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C:\Users\kereyno5\ASU Dropbox\ASU Prep\ASU Prep Business Office\FY24 FBO\AFRs\AFR Copy for Website\"/>
    </mc:Choice>
  </mc:AlternateContent>
  <xr:revisionPtr revIDLastSave="0" documentId="8_{5D9BD353-0BEF-4F2E-93E4-9B484512590C}" xr6:coauthVersionLast="36" xr6:coauthVersionMax="36" xr10:uidLastSave="{00000000-0000-0000-0000-000000000000}"/>
  <workbookProtection workbookAlgorithmName="SHA-512" workbookHashValue="kexJUcyAxlRO8NhMZDyBT79aqxqxHBxUBNSMrrePIYYvJnKXR9Fc8xyoc4i1fxDJff7vrfmPnXKgW5hXnJstPQ==" workbookSaltValue="GtP5YlFFve80uahz0IpaMg==" workbookSpinCount="100000" lockStructure="1"/>
  <bookViews>
    <workbookView xWindow="28680" yWindow="-120" windowWidth="24240" windowHeight="13020" tabRatio="812" xr2:uid="{00000000-000D-0000-FFFF-FFFF00000000}"/>
  </bookViews>
  <sheets>
    <sheet name="Cover Page" sheetId="2" r:id="rId1"/>
    <sheet name="Page 1" sheetId="8" r:id="rId2"/>
    <sheet name="Page 2" sheetId="7" r:id="rId3"/>
    <sheet name="Page 3" sheetId="22" r:id="rId4"/>
    <sheet name="Page 4" sheetId="12" r:id="rId5"/>
    <sheet name="Page 5" sheetId="14" r:id="rId6"/>
    <sheet name="Page 6" sheetId="6" r:id="rId7"/>
    <sheet name="Page 7" sheetId="5" r:id="rId8"/>
    <sheet name="Page 8" sheetId="4" r:id="rId9"/>
    <sheet name="Page 9" sheetId="15" r:id="rId10"/>
    <sheet name="Page 10" sheetId="23" r:id="rId11"/>
    <sheet name="Summary" sheetId="24" r:id="rId12"/>
    <sheet name="Project balance reserves" sheetId="25" r:id="rId13"/>
    <sheet name="School listing" sheetId="20" r:id="rId14"/>
    <sheet name="Alerts" sheetId="17" r:id="rId15"/>
    <sheet name="Instructions" sheetId="16" r:id="rId16"/>
    <sheet name="Accounting data" sheetId="21" r:id="rId17"/>
    <sheet name="Calculations" sheetId="18" r:id="rId18"/>
  </sheets>
  <externalReferences>
    <externalReference r:id="rId19"/>
    <externalReference r:id="rId20"/>
    <externalReference r:id="rId21"/>
    <externalReference r:id="rId22"/>
    <externalReference r:id="rId23"/>
  </externalReferences>
  <definedNames>
    <definedName name="_xlnm._FilterDatabase" localSheetId="16" hidden="1">'Accounting data'!$A$1:$L$4340</definedName>
    <definedName name="_xlnm._FilterDatabase" localSheetId="17" hidden="1">Calculations!$A$1:$E$1534</definedName>
    <definedName name="_xlnm._FilterDatabase" localSheetId="15" hidden="1">Instructions!$A$1:$D$102</definedName>
    <definedName name="_Order1" hidden="1">255</definedName>
    <definedName name="Account">'Accounting data'!$A$1</definedName>
    <definedName name="Accounting_Data_Tab">Instructions!$C$9</definedName>
    <definedName name="ActualTotalFederalAndStateProjects">'Page 8'!$K$42</definedName>
    <definedName name="ActualTotalInstImpExp">'Page 4'!$I$11</definedName>
    <definedName name="AddlInstrImprProjEndBal">'Page 4'!$F$19</definedName>
    <definedName name="AdjustedBeginningProjectBalance">Instructions!$C$88</definedName>
    <definedName name="AllDisabilityClassifications">Instructions!$C$40</definedName>
    <definedName name="Allocation_to_Schools_2">"TextBox 1"</definedName>
    <definedName name="ArizonaIndustryCredentialsIncentive">Instructions!$C$22</definedName>
    <definedName name="AuditServices">Instructions!$C$23</definedName>
    <definedName name="AverageTeacherSalary">Instructions!$C$37</definedName>
    <definedName name="BegProjectBalances">Instructions!$C$87</definedName>
    <definedName name="CapitalAcquisitions">Instructions!$C$24</definedName>
    <definedName name="CapitalAcquisitionsLine5">Instructions!$C$25</definedName>
    <definedName name="CashandInvestments">Instructions!$C$60</definedName>
    <definedName name="CashBal">'Page 6'!$F$6</definedName>
    <definedName name="CIP1072EndBal">'Page 5'!$O$48</definedName>
    <definedName name="ClssrmSitepg3">Instructions!$C$18</definedName>
    <definedName name="CSPlines122615">Instructions!$C$20</definedName>
    <definedName name="CSPlines4914">Instructions!$C$19</definedName>
    <definedName name="CSPPropertyPayments">Instructions!$C$21</definedName>
    <definedName name="CurrentExpensesByCategory">Instructions!$C$28</definedName>
    <definedName name="CurrentExpensesbyCategoryLines7and8">Instructions!$C$29</definedName>
    <definedName name="DebtService">Instructions!$C$49</definedName>
    <definedName name="District_Name">'School listing'!$A$1</definedName>
    <definedName name="ExpensesPage2">Instructions!$C$16</definedName>
    <definedName name="F001P100TotActExp">'[1]Page 2'!$J$22</definedName>
    <definedName name="F001P100TotBudgExp">'[1]Page 2'!$I$22</definedName>
    <definedName name="F001P200TotActExp">'[1]Page 2'!$J$34</definedName>
    <definedName name="F001P200TotBudgExp">'[1]Page 2'!$I$34</definedName>
    <definedName name="F001P400">'[1]Page 2'!$J$35</definedName>
    <definedName name="F001P400TotBudgExp">'[1]Page 2'!$I$35</definedName>
    <definedName name="F001P510">'[1]Page 2'!$J$37</definedName>
    <definedName name="F001P510TotBudgExp">'[1]Page 2'!$I$37</definedName>
    <definedName name="F001P530TotActExp">'[1]Page 2'!$J$42</definedName>
    <definedName name="F001P530TotBudgExp">'[1]Page 2'!$I$42</definedName>
    <definedName name="F001P540">'[1]Page 2'!$J$43</definedName>
    <definedName name="F001P540TotBudgExp">'[1]Page 2'!$I$43</definedName>
    <definedName name="F001P550TotActExp">'[1]Page 2'!$J$45</definedName>
    <definedName name="F001P550TotBudgExp">'[1]Page 2'!$I$45</definedName>
    <definedName name="FederalAndStateProjectsAdjustedBeginningProjectBalance">Instructions!$C$42</definedName>
    <definedName name="FederalAndStateProjectsPage2">Instructions!$C$17</definedName>
    <definedName name="FederalAndStateProjectsPage9">Instructions!$C$43</definedName>
    <definedName name="FederalAndStateProjectsPage9Line30">Instructions!$C$45</definedName>
    <definedName name="Food_Service_1600">Instructions!$C$12</definedName>
    <definedName name="FP11001130EndBal">'Page 8'!$N$6</definedName>
    <definedName name="FP11401150EndBal">'Page 8'!$N$7</definedName>
    <definedName name="FP1160EndBal">'Page 8'!$N$8</definedName>
    <definedName name="FP11701180EndBal">'Page 8'!$N$9</definedName>
    <definedName name="FP1190EndBal">'Page 8'!$N$10</definedName>
    <definedName name="FP1200EndBal">'Page 8'!$N$11</definedName>
    <definedName name="FP1210EndBal">'Page 8'!$N$12</definedName>
    <definedName name="FP1220EndBal">'Page 8'!$N$13</definedName>
    <definedName name="FP1230EndBal">'Page 8'!$N$14</definedName>
    <definedName name="FP1240EndBal">'Page 8'!$N$15</definedName>
    <definedName name="FP1250EndBal">'Page 8'!$N$16</definedName>
    <definedName name="FP1260EndBal">'Page 8'!$N$17</definedName>
    <definedName name="FP1280EndBal">'Page 8'!$N$18</definedName>
    <definedName name="FP1290EndBal">'Page 8'!$N$19</definedName>
    <definedName name="FP1300EndBal">'Page 8'!$N$20</definedName>
    <definedName name="FP13101399EndBal">'Page 8'!$N$22</definedName>
    <definedName name="FP13XXImpactAidEndBal">'Page 8'!$N$21</definedName>
    <definedName name="FullTimeEquivalentTeachers">Instructions!$C$30</definedName>
    <definedName name="GeneralInstructions">Instructions!$C$2</definedName>
    <definedName name="GeneralPage1">Instructions!$C$11</definedName>
    <definedName name="GeneralPage10">Instructions!$C$46</definedName>
    <definedName name="ImpactAidandOtherFederalProjects">Instructions!$C$44</definedName>
    <definedName name="InvestmentInCapitalAssets">Instructions!$C$26</definedName>
    <definedName name="InvestmentInCapitalAssetsLine5">Instructions!$C$27</definedName>
    <definedName name="LongandShortTermDebt">Instructions!$C$61</definedName>
    <definedName name="NameCountyCTDSNumber">Instructions!$C$7</definedName>
    <definedName name="Page10DebtServiceDetail">Instructions!$C$71</definedName>
    <definedName name="Page10FY20to23Exp">Instructions!$C$81</definedName>
    <definedName name="Page10FY24Exp">Instructions!$C$82</definedName>
    <definedName name="Page10General">Instructions!$C$65</definedName>
    <definedName name="Page10OtherLine">Instructions!$C$66</definedName>
    <definedName name="Page10PPP">Instructions!$A$84</definedName>
    <definedName name="Page10projects">Instructions!$A$72</definedName>
    <definedName name="Page10ProjectsLine1">Instructions!$C$74</definedName>
    <definedName name="Page10ProjectsLine2">Instructions!$C$75</definedName>
    <definedName name="Page10ProjectsLine3">Instructions!$C$76</definedName>
    <definedName name="Page10ProjectsLine4">Instructions!$C$77</definedName>
    <definedName name="Page10ProjectsLine5">Instructions!$C$78</definedName>
    <definedName name="Page10ProjectsLine6">Instructions!$C$79</definedName>
    <definedName name="Page10PropertyDisbursement">Instructions!$C$69</definedName>
    <definedName name="Page10PropertyDisbursementDetail">Instructions!$C$70</definedName>
    <definedName name="Page10Remaining">Instructions!$C$83</definedName>
    <definedName name="Page10TechDetail">Instructions!$C$67</definedName>
    <definedName name="Page10TechDetailLine7">Instructions!$C$68</definedName>
    <definedName name="Page10TotalAward">Instructions!$C$80</definedName>
    <definedName name="Page6CCRewards">Instructions!#REF!</definedName>
    <definedName name="_xlnm.Print_Area" localSheetId="14">Alerts!$A$1:$A$17</definedName>
    <definedName name="_xlnm.Print_Area" localSheetId="0">'Cover Page'!$A$1:$R$35</definedName>
    <definedName name="_xlnm.Print_Area" localSheetId="15">Instructions!$A$1:$D$64</definedName>
    <definedName name="_xlnm.Print_Area" localSheetId="1">'Page 1'!$A$1:$N$40</definedName>
    <definedName name="_xlnm.Print_Area" localSheetId="10">'Page 10'!$A$1:$P$47</definedName>
    <definedName name="_xlnm.Print_Area" localSheetId="2">'Page 2'!$A$1:$M$48</definedName>
    <definedName name="_xlnm.Print_Area" localSheetId="3">'Page 3'!$A$1:$L$30</definedName>
    <definedName name="_xlnm.Print_Area" localSheetId="4">'Page 4'!$A$1:$M$29</definedName>
    <definedName name="_xlnm.Print_Area" localSheetId="6">'Page 6'!$A$1:$U$42</definedName>
    <definedName name="_xlnm.Print_Area" localSheetId="7">'Page 7'!$A$1:$W$27</definedName>
    <definedName name="_xlnm.Print_Area" localSheetId="8">'Page 8'!$A$1:$O$42</definedName>
    <definedName name="_xlnm.Print_Area" localSheetId="9">'Page 9'!$A$1:$L$63</definedName>
    <definedName name="_xlnm.Print_Area" localSheetId="12">'Project balance reserves'!$A$1:$N$46</definedName>
    <definedName name="_xlnm.Print_Area" localSheetId="11">Summary!$A$1:$V$23</definedName>
    <definedName name="PriorYearSalary">'Page 6'!$T$30</definedName>
    <definedName name="PropertyDisbursements">Instructions!$C$47</definedName>
    <definedName name="PropertyDisbursementsByType">Instructions!$C$48</definedName>
    <definedName name="ReserveBalSecA">Instructions!$C$89</definedName>
    <definedName name="ReserveBalSecAl1">Instructions!$C$90</definedName>
    <definedName name="ReserveBalSecAl2">Instructions!$C$91</definedName>
    <definedName name="ReserveBalSecAl3">Instructions!$C$92</definedName>
    <definedName name="ReserveBalSecAl3a">Instructions!$C$93</definedName>
    <definedName name="ReserveBalSecAl3b">Instructions!$C$94</definedName>
    <definedName name="ReserveBalSecAl3c">Instructions!$C$95</definedName>
    <definedName name="ReserveBalSecAl3d">Instructions!$C$96</definedName>
    <definedName name="ReserveBalSecAl3e">Instructions!$C$97</definedName>
    <definedName name="ReserveBalSecAl3f">Instructions!$C$98</definedName>
    <definedName name="ReserveBalSecAl3g">Instructions!$C$99</definedName>
    <definedName name="ReserveBalSecB">Instructions!$C$100</definedName>
    <definedName name="ReserveBalSecBl1">Instructions!#REF!</definedName>
    <definedName name="ReserveBalSecBl2">Instructions!#REF!</definedName>
    <definedName name="ReserveBalSecBl3">Instructions!#REF!</definedName>
    <definedName name="ReserveBalSecBl4">Instructions!$C$101</definedName>
    <definedName name="ReserveBalSecBl5">Instructions!$C$102</definedName>
    <definedName name="ReserveBalSecBl6">Instructions!#REF!</definedName>
    <definedName name="ReserveBalSecBl7">Instructions!#REF!</definedName>
    <definedName name="ReserveBalSecBl8">Instructions!#REF!</definedName>
    <definedName name="Restricted3200">Instructions!$C$13</definedName>
    <definedName name="Results_Based_Funding">Instructions!#REF!</definedName>
    <definedName name="Revenue_From_Selected_Federal_Sources">Instructions!$C$50</definedName>
    <definedName name="School_Listing_Tab">Instructions!$C$8</definedName>
    <definedName name="Section_C_Transportation">Instructions!$C$41</definedName>
    <definedName name="SEIP1071EndBal">'Page 5'!$O$26</definedName>
    <definedName name="SP1000ClassSiteProj">'Page 2'!$J$43</definedName>
    <definedName name="SP1000CompInstrProj">'Page 2'!$J$46</definedName>
    <definedName name="SP1000FedStProj">'Page 2'!$J$47</definedName>
    <definedName name="SP1000InstrImpProj">'Page 2'!$J$44</definedName>
    <definedName name="SP1000P100F1000">'Page 2'!$J$7</definedName>
    <definedName name="SP1000P100F2100">'Page 2'!$J$9</definedName>
    <definedName name="SP1000P100F2200">'Page 2'!$J$10</definedName>
    <definedName name="SP1000P100F2300">'Page 2'!$J$11</definedName>
    <definedName name="SP1000P100F2400">'Page 2'!$J$12</definedName>
    <definedName name="SP1000P100F2500">'Page 2'!$J$13</definedName>
    <definedName name="SP1000P100F2600">'Page 2'!$J$14</definedName>
    <definedName name="SP1000P100F2900">'Page 2'!$J$15</definedName>
    <definedName name="SP1000P100F3000">'Page 2'!$J$16</definedName>
    <definedName name="SP1000P100F4000">'Page 2'!$J$17</definedName>
    <definedName name="SP1000P100F5000">'Page 2'!$J$18</definedName>
    <definedName name="SP1000P200F1000">'Page 2'!$J$25</definedName>
    <definedName name="SP1000P200F2100">'Page 2'!$J$27</definedName>
    <definedName name="SP1000P200F2200">'Page 2'!$J$28</definedName>
    <definedName name="SP1000P200F2300">'Page 2'!$J$29</definedName>
    <definedName name="SP1000P200F2400">'Page 2'!$J$30</definedName>
    <definedName name="SP1000P200F2500">'Page 2'!$J$31</definedName>
    <definedName name="SP1000P200F2600">'Page 2'!$J$32</definedName>
    <definedName name="SP1000P200F2900">'Page 2'!$J$33</definedName>
    <definedName name="SP1000P200F3000">'Page 2'!$J$34</definedName>
    <definedName name="SP1000P200F4000">'Page 2'!$J$35</definedName>
    <definedName name="SP1000P200F5000">'Page 2'!$J$36</definedName>
    <definedName name="SP1000P400">'Page 2'!$J$38</definedName>
    <definedName name="SP1000P530">'Page 2'!$J$39</definedName>
    <definedName name="SP1000P540">'Page 2'!$J$40</definedName>
    <definedName name="SP1000P550">'Page 2'!$J$41</definedName>
    <definedName name="SP1000P610">'Page 2'!$J$19</definedName>
    <definedName name="SP1000P620">'Page 2'!$J$20</definedName>
    <definedName name="SP1000P630700800900">'Page 2'!$J$22</definedName>
    <definedName name="SP1000StruEngImmProj">'Page 2'!$J$45</definedName>
    <definedName name="SpecialEdProgramsByType">Instructions!$C$39</definedName>
    <definedName name="StP1400EndBal">'Page 8'!$N$28</definedName>
    <definedName name="StP1410EndBal">'Page 8'!$N$29</definedName>
    <definedName name="StP1420EndBal">'Page 8'!$N$30</definedName>
    <definedName name="StP1425EndBal">'Page 8'!$N$31</definedName>
    <definedName name="StP1430EndBal">'Page 8'!$N$32</definedName>
    <definedName name="StP1435EndBal">'Page 8'!$N$33</definedName>
    <definedName name="StP1450EndBal">'Page 8'!$N$34</definedName>
    <definedName name="StP1456EndBal">'Page 8'!$N$35</definedName>
    <definedName name="StP1460EndBal">'Page 8'!$N$36</definedName>
    <definedName name="StP1465EndBal">'Page 8'!$N$37</definedName>
    <definedName name="StP14701499EndBal">'Page 8'!$N$39</definedName>
    <definedName name="StP14XXEndBal">'Page 8'!$N$38</definedName>
    <definedName name="SumADM">Instructions!$C$86</definedName>
    <definedName name="SumGen">Instructions!$C$85</definedName>
    <definedName name="SupportServicesInstructionDetail">Instructions!$C$64</definedName>
    <definedName name="TeacherSalaries">Instructions!$C$31</definedName>
    <definedName name="TeacherSalariesLine1">Instructions!$C$32</definedName>
    <definedName name="TeacherSalariesLine2">Instructions!$C$33</definedName>
    <definedName name="TeacherSalariesLine3">Instructions!$C$34</definedName>
    <definedName name="TeacherSalariesLine4">Instructions!$C$35</definedName>
    <definedName name="TeacherSalariesLine5">Instructions!$C$36</definedName>
    <definedName name="TechnologyDetail">Instructions!$C$63</definedName>
    <definedName name="TotalActualGiftedExpenses">Instructions!$C$38</definedName>
    <definedName name="TotalCIP6100">'Page 5'!$H$48</definedName>
    <definedName name="TotalCIP6200">'Page 5'!$I$48</definedName>
    <definedName name="TotalCIP630064006500">'Page 5'!$J$48</definedName>
    <definedName name="TotalCIP6600">'Page 5'!$K$48</definedName>
    <definedName name="TotalCIP6800">'Page 5'!$L$48</definedName>
    <definedName name="TotalSEIP6100">'Page 5'!$H$26</definedName>
    <definedName name="TotalSEIP6200">'Page 5'!$I$26</definedName>
    <definedName name="TotalSEIP630064006500">'Page 5'!$J$26</definedName>
    <definedName name="TotalSEIP6600">'Page 5'!$K$26</definedName>
    <definedName name="TotalSEIP6800">'Page 5'!$L$26</definedName>
    <definedName name="TotExpSchoolwide">'Page 2'!$J$42</definedName>
    <definedName name="Unrestricted_Restricted_4100_4300">Instructions!$C$14</definedName>
    <definedName name="Unrestricted_Restricted_4200_4500">Instructions!$C$15</definedName>
    <definedName name="UtilitiesandEnergyServices">Instructions!$C$62</definedName>
  </definedNames>
  <calcPr calcId="191028"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12" l="1"/>
  <c r="J38" i="4"/>
  <c r="D7" i="20" l="1"/>
  <c r="I5" i="24"/>
  <c r="G17" i="24" l="1"/>
  <c r="D42" i="23"/>
  <c r="F42" i="23"/>
  <c r="K32" i="15"/>
  <c r="M20" i="6"/>
  <c r="T13" i="6"/>
  <c r="J39" i="4" l="1"/>
  <c r="J37" i="4"/>
  <c r="J36" i="4"/>
  <c r="J35" i="4"/>
  <c r="J34" i="4"/>
  <c r="J33" i="4"/>
  <c r="J32" i="4"/>
  <c r="J31" i="4"/>
  <c r="J30" i="4"/>
  <c r="J29" i="4"/>
  <c r="J28" i="4"/>
  <c r="J22" i="4"/>
  <c r="J21" i="4"/>
  <c r="J20" i="4"/>
  <c r="J19" i="4"/>
  <c r="J18" i="4"/>
  <c r="J17" i="4"/>
  <c r="J16" i="4"/>
  <c r="J15" i="4"/>
  <c r="J14" i="4"/>
  <c r="J13" i="4"/>
  <c r="J12" i="4"/>
  <c r="J11" i="4"/>
  <c r="J10" i="4"/>
  <c r="J9" i="4"/>
  <c r="J8" i="4"/>
  <c r="J7" i="4"/>
  <c r="J6" i="4"/>
  <c r="S25" i="5"/>
  <c r="S22" i="5"/>
  <c r="S21" i="5"/>
  <c r="S20" i="5"/>
  <c r="S19" i="5"/>
  <c r="S18" i="5"/>
  <c r="S17" i="5"/>
  <c r="S16" i="5"/>
  <c r="M14" i="5"/>
  <c r="F19" i="6"/>
  <c r="F18" i="6"/>
  <c r="F17" i="6"/>
  <c r="F16" i="6"/>
  <c r="F15" i="6"/>
  <c r="F14" i="6"/>
  <c r="M47" i="14"/>
  <c r="M43" i="14"/>
  <c r="M42" i="14"/>
  <c r="M41" i="14"/>
  <c r="M40" i="14"/>
  <c r="M39" i="14"/>
  <c r="M38" i="14"/>
  <c r="M37" i="14"/>
  <c r="M35" i="14"/>
  <c r="M25" i="14"/>
  <c r="M21" i="14"/>
  <c r="M20" i="14"/>
  <c r="M19" i="14"/>
  <c r="M18" i="14"/>
  <c r="M17" i="14"/>
  <c r="M16" i="14"/>
  <c r="M14" i="14"/>
  <c r="M13" i="14"/>
  <c r="H10" i="12"/>
  <c r="H9" i="12"/>
  <c r="H8" i="12"/>
  <c r="H7" i="12"/>
  <c r="F19" i="22"/>
  <c r="F18" i="22"/>
  <c r="F17" i="22"/>
  <c r="J12" i="22" a="1"/>
  <c r="J12" i="22" s="1"/>
  <c r="J11" i="22" a="1"/>
  <c r="J11" i="22" s="1"/>
  <c r="J10" i="22" a="1"/>
  <c r="J10" i="22" s="1"/>
  <c r="J9" i="22" a="1"/>
  <c r="J9" i="22" s="1"/>
  <c r="J8" i="22" a="1"/>
  <c r="J8" i="22" s="1"/>
  <c r="I47" i="7"/>
  <c r="I46" i="7"/>
  <c r="I45" i="7"/>
  <c r="I44" i="7"/>
  <c r="I43" i="7"/>
  <c r="I41" i="7"/>
  <c r="I40" i="7"/>
  <c r="I39" i="7"/>
  <c r="I38" i="7"/>
  <c r="I36" i="7"/>
  <c r="I35" i="7"/>
  <c r="I34" i="7"/>
  <c r="I33" i="7"/>
  <c r="I32" i="7"/>
  <c r="I31" i="7"/>
  <c r="I30" i="7"/>
  <c r="I29" i="7"/>
  <c r="I28" i="7"/>
  <c r="I27" i="7"/>
  <c r="I25" i="7"/>
  <c r="I21" i="7"/>
  <c r="I20" i="7"/>
  <c r="I19" i="7"/>
  <c r="I18" i="7"/>
  <c r="I17" i="7"/>
  <c r="I16" i="7"/>
  <c r="I15" i="7"/>
  <c r="I14" i="7"/>
  <c r="I13" i="7"/>
  <c r="I12" i="7"/>
  <c r="I11" i="7"/>
  <c r="I10" i="7"/>
  <c r="I9" i="7"/>
  <c r="I7" i="7"/>
  <c r="B17" i="24"/>
  <c r="E39" i="4"/>
  <c r="E38" i="4" a="1"/>
  <c r="E38" i="4" s="1"/>
  <c r="E37" i="4"/>
  <c r="E36" i="4"/>
  <c r="E35" i="4"/>
  <c r="E34" i="4"/>
  <c r="E33" i="4"/>
  <c r="E32" i="4"/>
  <c r="E31" i="4"/>
  <c r="E30" i="4"/>
  <c r="E29" i="4"/>
  <c r="E28" i="4"/>
  <c r="E25" i="4"/>
  <c r="E22" i="4"/>
  <c r="E21" i="4"/>
  <c r="E20" i="4"/>
  <c r="E19" i="4"/>
  <c r="E18" i="4"/>
  <c r="E17" i="4"/>
  <c r="E16" i="4"/>
  <c r="E15" i="4"/>
  <c r="E14" i="4"/>
  <c r="E13" i="4"/>
  <c r="E12" i="4"/>
  <c r="E11" i="4"/>
  <c r="E10" i="4"/>
  <c r="E9" i="4"/>
  <c r="E8" i="4"/>
  <c r="E7" i="4"/>
  <c r="E6" i="4"/>
  <c r="T30" i="6"/>
  <c r="D6" i="6"/>
  <c r="F48" i="14"/>
  <c r="F26" i="14"/>
  <c r="F15" i="12"/>
  <c r="K47" i="7"/>
  <c r="K46" i="7"/>
  <c r="K45" i="7"/>
  <c r="K44" i="7"/>
  <c r="K43" i="7"/>
  <c r="K41" i="7"/>
  <c r="K40" i="7"/>
  <c r="K39" i="7"/>
  <c r="K38" i="7"/>
  <c r="K36" i="7"/>
  <c r="K35" i="7"/>
  <c r="K34" i="7"/>
  <c r="K33" i="7"/>
  <c r="K32" i="7"/>
  <c r="K31" i="7"/>
  <c r="K30" i="7"/>
  <c r="K29" i="7"/>
  <c r="K28" i="7"/>
  <c r="K27" i="7"/>
  <c r="K25" i="7"/>
  <c r="K22" i="7"/>
  <c r="K21" i="7"/>
  <c r="K20" i="7"/>
  <c r="K19" i="7"/>
  <c r="K18" i="7"/>
  <c r="K17" i="7"/>
  <c r="K16" i="7"/>
  <c r="K15" i="7"/>
  <c r="K14" i="7"/>
  <c r="K13" i="7"/>
  <c r="K12" i="7"/>
  <c r="K11" i="7"/>
  <c r="K10" i="7"/>
  <c r="K9" i="7"/>
  <c r="K7" i="7"/>
  <c r="AC9" i="4" l="1"/>
  <c r="AC10" i="4"/>
  <c r="J44" i="7" l="1"/>
  <c r="E1538" i="18" l="1"/>
  <c r="E1537" i="18"/>
  <c r="E1536" i="18"/>
  <c r="E1535" i="18"/>
  <c r="E1532" i="18" a="1"/>
  <c r="E1532" i="18" s="1"/>
  <c r="E1531" i="18" a="1"/>
  <c r="E1531" i="18" s="1"/>
  <c r="E1530" i="18" a="1"/>
  <c r="E1530" i="18" s="1"/>
  <c r="E1529" i="18" a="1"/>
  <c r="E1529" i="18" s="1"/>
  <c r="E1527" i="18"/>
  <c r="E1526" i="18"/>
  <c r="E1525" i="18"/>
  <c r="E1524" i="18"/>
  <c r="E1522" i="18" a="1"/>
  <c r="E1522" i="18" s="1"/>
  <c r="E1521" i="18" a="1"/>
  <c r="E1521" i="18" s="1"/>
  <c r="E1520" i="18" a="1"/>
  <c r="E1520" i="18" s="1"/>
  <c r="E1519" i="18"/>
  <c r="E1517" i="18"/>
  <c r="E1516" i="18"/>
  <c r="E1515" i="18"/>
  <c r="E1514" i="18"/>
  <c r="E1513" i="18"/>
  <c r="E1512" i="18"/>
  <c r="E1511" i="18"/>
  <c r="E1510" i="18"/>
  <c r="E1509" i="18"/>
  <c r="E1508" i="18"/>
  <c r="E1507" i="18"/>
  <c r="E1506" i="18"/>
  <c r="E1503" i="18" a="1"/>
  <c r="E1503" i="18" s="1"/>
  <c r="E1502" i="18" a="1"/>
  <c r="E1502" i="18" s="1"/>
  <c r="E1501" i="18" a="1"/>
  <c r="E1501" i="18" s="1"/>
  <c r="E1500" i="18" a="1"/>
  <c r="E1500" i="18" s="1"/>
  <c r="E1498" i="18" a="1"/>
  <c r="E1498" i="18" s="1"/>
  <c r="E1497" i="18" a="1"/>
  <c r="E1497" i="18" s="1"/>
  <c r="E1496" i="18" a="1"/>
  <c r="E1496" i="18" s="1"/>
  <c r="E1495" i="18" a="1"/>
  <c r="E1495" i="18"/>
  <c r="E1493" i="18" a="1"/>
  <c r="E1493" i="18" s="1"/>
  <c r="E1492" i="18" a="1"/>
  <c r="E1492" i="18" s="1"/>
  <c r="E1491" i="18" a="1"/>
  <c r="E1491" i="18" s="1"/>
  <c r="E1490" i="18" a="1"/>
  <c r="E1490" i="18" s="1"/>
  <c r="E1488" i="18" a="1"/>
  <c r="E1488" i="18" s="1"/>
  <c r="E1487" i="18" a="1"/>
  <c r="E1487" i="18" s="1"/>
  <c r="E1486" i="18" a="1"/>
  <c r="E1486" i="18"/>
  <c r="E1485" i="18" a="1"/>
  <c r="E1485" i="18" s="1"/>
  <c r="E1483" i="18" a="1"/>
  <c r="E1483" i="18" s="1"/>
  <c r="E1482" i="18" a="1"/>
  <c r="E1482" i="18" s="1"/>
  <c r="E1481" i="18" a="1"/>
  <c r="E1481" i="18" s="1"/>
  <c r="E1480" i="18" a="1"/>
  <c r="E1480" i="18"/>
  <c r="E1478" i="18" a="1"/>
  <c r="E1478" i="18" s="1"/>
  <c r="E1477" i="18" a="1"/>
  <c r="E1477" i="18"/>
  <c r="E1476" i="18" a="1"/>
  <c r="E1476" i="18" s="1"/>
  <c r="E1475" i="18" a="1"/>
  <c r="E1475" i="18" s="1"/>
  <c r="E1473" i="18" a="1"/>
  <c r="E1473" i="18" s="1"/>
  <c r="E1472" i="18" a="1"/>
  <c r="E1472" i="18" s="1"/>
  <c r="E1471" i="18" a="1"/>
  <c r="E1471" i="18"/>
  <c r="E1470" i="18" a="1"/>
  <c r="E1470" i="18"/>
  <c r="E1468" i="18" a="1"/>
  <c r="E1468" i="18"/>
  <c r="E1467" i="18" a="1"/>
  <c r="E1467" i="18" s="1"/>
  <c r="E1466" i="18" a="1"/>
  <c r="E1466" i="18" s="1"/>
  <c r="E1465" i="18" a="1"/>
  <c r="E1465" i="18"/>
  <c r="E1463" i="18" a="1"/>
  <c r="E1463" i="18" s="1"/>
  <c r="E1462" i="18" a="1"/>
  <c r="E1462" i="18" s="1"/>
  <c r="E1461" i="18" a="1"/>
  <c r="E1461" i="18"/>
  <c r="E1460" i="18" a="1"/>
  <c r="E1460" i="18" s="1"/>
  <c r="E1458" i="18" a="1"/>
  <c r="E1458" i="18" s="1"/>
  <c r="E1457" i="18" a="1"/>
  <c r="E1457" i="18" s="1"/>
  <c r="E1456" i="18" a="1"/>
  <c r="E1456" i="18" s="1"/>
  <c r="E1455" i="18" a="1"/>
  <c r="E1455" i="18" s="1"/>
  <c r="E1453" i="18" a="1"/>
  <c r="E1453" i="18" s="1"/>
  <c r="E1452" i="18" a="1"/>
  <c r="E1452" i="18"/>
  <c r="E1451" i="18" a="1"/>
  <c r="E1451" i="18" s="1"/>
  <c r="E1450" i="18" a="1"/>
  <c r="E1450" i="18" s="1"/>
  <c r="E1448" i="18"/>
  <c r="E1447" i="18"/>
  <c r="E1446" i="18"/>
  <c r="E1445" i="18"/>
  <c r="E1437" i="18"/>
  <c r="E1438" i="18" s="1"/>
  <c r="E1387" i="18"/>
  <c r="E1386" i="18"/>
  <c r="E1385" i="18"/>
  <c r="E1384" i="18"/>
  <c r="E1383" i="18"/>
  <c r="E1382" i="18"/>
  <c r="E1381" i="18"/>
  <c r="E1380" i="18"/>
  <c r="E1379" i="18"/>
  <c r="E1378" i="18"/>
  <c r="E1377" i="18"/>
  <c r="E1376" i="18"/>
  <c r="E1375" i="18"/>
  <c r="E1374" i="18"/>
  <c r="E1373" i="18"/>
  <c r="E1372" i="18"/>
  <c r="E1371" i="18"/>
  <c r="E1370" i="18"/>
  <c r="E1365" i="18"/>
  <c r="E1363" i="18"/>
  <c r="E1361" i="18"/>
  <c r="E1360" i="18"/>
  <c r="E1359" i="18"/>
  <c r="E1358" i="18"/>
  <c r="E1354" i="18"/>
  <c r="E1352" i="18"/>
  <c r="E1350" i="18"/>
  <c r="E1349" i="18"/>
  <c r="E1348" i="18"/>
  <c r="E1347" i="18"/>
  <c r="E1343" i="18"/>
  <c r="E1341" i="18"/>
  <c r="E1339" i="18"/>
  <c r="E1338" i="18"/>
  <c r="E1337" i="18"/>
  <c r="E1336" i="18"/>
  <c r="E1332" i="18"/>
  <c r="E1330" i="18"/>
  <c r="E1328" i="18"/>
  <c r="E1327" i="18"/>
  <c r="E1326" i="18"/>
  <c r="E1325" i="18"/>
  <c r="E1310" i="18"/>
  <c r="E1308" i="18"/>
  <c r="E1306" i="18"/>
  <c r="E1305" i="18"/>
  <c r="E1304" i="18"/>
  <c r="E1303" i="18"/>
  <c r="E1299" i="18"/>
  <c r="E1297" i="18"/>
  <c r="E1295" i="18"/>
  <c r="E1294" i="18"/>
  <c r="E1293" i="18"/>
  <c r="E1292" i="18"/>
  <c r="E1288" i="18"/>
  <c r="E1286" i="18"/>
  <c r="E1284" i="18"/>
  <c r="E1283" i="18"/>
  <c r="E1282" i="18"/>
  <c r="E1281" i="18"/>
  <c r="E1277" i="18"/>
  <c r="E1275" i="18"/>
  <c r="E1273" i="18"/>
  <c r="E1272" i="18"/>
  <c r="E1271" i="18"/>
  <c r="E1270" i="18"/>
  <c r="E1266" i="18"/>
  <c r="E1264" i="18"/>
  <c r="E1262" i="18"/>
  <c r="E1261" i="18"/>
  <c r="E1260" i="18"/>
  <c r="E1259" i="18"/>
  <c r="E1255" i="18"/>
  <c r="E1253" i="18"/>
  <c r="E1251" i="18"/>
  <c r="E1250" i="18"/>
  <c r="E1249" i="18"/>
  <c r="E1248" i="18"/>
  <c r="E1244" i="18"/>
  <c r="E1242" i="18"/>
  <c r="E1240" i="18"/>
  <c r="E1239" i="18"/>
  <c r="E1238" i="18"/>
  <c r="E1237" i="18"/>
  <c r="E1233" i="18"/>
  <c r="E1231" i="18"/>
  <c r="E1229" i="18"/>
  <c r="E1228" i="18"/>
  <c r="E1227" i="18"/>
  <c r="E1226" i="18"/>
  <c r="E1222" i="18"/>
  <c r="E1220" i="18"/>
  <c r="E1218" i="18"/>
  <c r="E1217" i="18"/>
  <c r="E1216" i="18"/>
  <c r="E1215" i="18"/>
  <c r="E1213" i="18"/>
  <c r="E1212" i="18"/>
  <c r="E1211" i="18"/>
  <c r="E1210" i="18"/>
  <c r="E1209" i="18"/>
  <c r="E1208" i="18"/>
  <c r="E1207" i="18"/>
  <c r="E1206" i="18"/>
  <c r="E1205" i="18"/>
  <c r="E1204" i="18"/>
  <c r="E1203" i="18"/>
  <c r="E1202" i="18"/>
  <c r="E1197" i="18"/>
  <c r="E1196" i="18"/>
  <c r="E1195" i="18"/>
  <c r="E1194" i="18"/>
  <c r="E1190" i="18"/>
  <c r="E1189" i="18"/>
  <c r="E1188" i="18"/>
  <c r="E1187" i="18"/>
  <c r="E1186" i="18"/>
  <c r="E1176" i="18"/>
  <c r="E1175" i="18"/>
  <c r="E1174" i="18"/>
  <c r="E1173" i="18"/>
  <c r="E1169" i="18"/>
  <c r="E1168" i="18"/>
  <c r="E1167" i="18"/>
  <c r="E1166" i="18"/>
  <c r="E1162" i="18"/>
  <c r="E1161" i="18"/>
  <c r="E1160" i="18"/>
  <c r="E1159" i="18"/>
  <c r="E1155" i="18"/>
  <c r="E1154" i="18"/>
  <c r="E1153" i="18"/>
  <c r="E1152" i="18"/>
  <c r="E1148" i="18"/>
  <c r="E1147" i="18"/>
  <c r="E1146" i="18"/>
  <c r="E1145" i="18"/>
  <c r="E1141" i="18"/>
  <c r="E1140" i="18"/>
  <c r="E1139" i="18"/>
  <c r="E1138" i="18"/>
  <c r="E1134" i="18"/>
  <c r="E1133" i="18"/>
  <c r="E1132" i="18"/>
  <c r="E1131" i="18"/>
  <c r="E1127" i="18"/>
  <c r="E1126" i="18"/>
  <c r="E1125" i="18"/>
  <c r="E1124" i="18"/>
  <c r="E1120" i="18"/>
  <c r="E1119" i="18"/>
  <c r="E1118" i="18"/>
  <c r="E1117" i="18"/>
  <c r="E1113" i="18"/>
  <c r="E1112" i="18"/>
  <c r="E1111" i="18"/>
  <c r="E1110" i="18"/>
  <c r="E1108" i="18"/>
  <c r="E1107" i="18"/>
  <c r="E1106" i="18"/>
  <c r="E1105" i="18"/>
  <c r="E1079" i="18"/>
  <c r="E1078" i="18"/>
  <c r="E1077" i="18"/>
  <c r="E1076" i="18"/>
  <c r="E1060" i="18"/>
  <c r="E1059" i="18"/>
  <c r="E1058" i="18"/>
  <c r="E1057" i="18"/>
  <c r="E1053" i="18"/>
  <c r="E1052" i="18"/>
  <c r="E1051" i="18"/>
  <c r="E1050" i="18"/>
  <c r="E1048" i="18"/>
  <c r="E1047" i="18"/>
  <c r="E1046" i="18"/>
  <c r="E1045" i="18"/>
  <c r="E1044" i="18"/>
  <c r="E1043" i="18"/>
  <c r="E1042" i="18"/>
  <c r="E1041" i="18"/>
  <c r="E1040" i="18"/>
  <c r="E1039" i="18"/>
  <c r="E1038" i="18"/>
  <c r="E1037" i="18"/>
  <c r="E1032" i="18"/>
  <c r="E1031" i="18"/>
  <c r="E1030" i="18"/>
  <c r="E1029" i="18"/>
  <c r="E1025" i="18"/>
  <c r="E1024" i="18"/>
  <c r="E1023" i="18"/>
  <c r="E1022" i="18"/>
  <c r="E1011" i="18"/>
  <c r="E1010" i="18"/>
  <c r="E1009" i="18"/>
  <c r="E1008" i="18"/>
  <c r="E1004" i="18"/>
  <c r="E1003" i="18"/>
  <c r="E1002" i="18"/>
  <c r="E1001" i="18"/>
  <c r="E997" i="18"/>
  <c r="E996" i="18"/>
  <c r="E995" i="18"/>
  <c r="E994" i="18"/>
  <c r="E990" i="18"/>
  <c r="E989" i="18"/>
  <c r="E988" i="18"/>
  <c r="E987" i="18"/>
  <c r="E983" i="18"/>
  <c r="E982" i="18"/>
  <c r="E981" i="18"/>
  <c r="E980" i="18"/>
  <c r="E976" i="18"/>
  <c r="E975" i="18"/>
  <c r="E974" i="18"/>
  <c r="E973" i="18"/>
  <c r="E969" i="18"/>
  <c r="E968" i="18"/>
  <c r="E967" i="18"/>
  <c r="E966" i="18"/>
  <c r="E962" i="18"/>
  <c r="E961" i="18"/>
  <c r="E960" i="18"/>
  <c r="E959" i="18"/>
  <c r="E955" i="18"/>
  <c r="E954" i="18"/>
  <c r="E953" i="18"/>
  <c r="E952" i="18"/>
  <c r="E948" i="18"/>
  <c r="E947" i="18"/>
  <c r="E946" i="18"/>
  <c r="E945" i="18"/>
  <c r="E733" i="18"/>
  <c r="E732" i="18"/>
  <c r="E731" i="18"/>
  <c r="E730" i="18"/>
  <c r="E729" i="18"/>
  <c r="E728" i="18"/>
  <c r="E727" i="18"/>
  <c r="E726" i="18"/>
  <c r="E725" i="18"/>
  <c r="E724" i="18"/>
  <c r="E723" i="18"/>
  <c r="E722" i="18"/>
  <c r="E717" i="18"/>
  <c r="E716" i="18"/>
  <c r="E715" i="18"/>
  <c r="E714" i="18"/>
  <c r="E710" i="18"/>
  <c r="E709" i="18"/>
  <c r="E708" i="18"/>
  <c r="E707" i="18"/>
  <c r="E696" i="18"/>
  <c r="E695" i="18"/>
  <c r="E694" i="18"/>
  <c r="E693" i="18"/>
  <c r="E689" i="18"/>
  <c r="E688" i="18"/>
  <c r="E687" i="18"/>
  <c r="E686" i="18"/>
  <c r="E682" i="18"/>
  <c r="E681" i="18"/>
  <c r="E680" i="18"/>
  <c r="E679" i="18"/>
  <c r="E675" i="18"/>
  <c r="E674" i="18"/>
  <c r="E673" i="18"/>
  <c r="E672" i="18"/>
  <c r="E668" i="18"/>
  <c r="E667" i="18"/>
  <c r="E666" i="18"/>
  <c r="E665" i="18"/>
  <c r="E661" i="18"/>
  <c r="E660" i="18"/>
  <c r="E659" i="18"/>
  <c r="E658" i="18"/>
  <c r="E654" i="18"/>
  <c r="E653" i="18"/>
  <c r="E652" i="18"/>
  <c r="E651" i="18"/>
  <c r="E647" i="18"/>
  <c r="E646" i="18"/>
  <c r="E645" i="18"/>
  <c r="E644" i="18"/>
  <c r="E640" i="18"/>
  <c r="E639" i="18"/>
  <c r="E638" i="18"/>
  <c r="E637" i="18"/>
  <c r="E633" i="18"/>
  <c r="E632" i="18"/>
  <c r="E631" i="18"/>
  <c r="E630" i="18"/>
  <c r="E601" i="18"/>
  <c r="E600" i="18"/>
  <c r="E599" i="18"/>
  <c r="E598" i="18"/>
  <c r="E597" i="18"/>
  <c r="E596" i="18"/>
  <c r="E595" i="18"/>
  <c r="E594" i="18"/>
  <c r="E593" i="18"/>
  <c r="E592" i="18"/>
  <c r="E591" i="18"/>
  <c r="E590" i="18"/>
  <c r="E588" i="18"/>
  <c r="E587" i="18"/>
  <c r="E586" i="18"/>
  <c r="E585" i="18"/>
  <c r="E584" i="18"/>
  <c r="E583" i="18"/>
  <c r="E582" i="18"/>
  <c r="E581" i="18"/>
  <c r="E580" i="18"/>
  <c r="E579" i="18"/>
  <c r="E578" i="18"/>
  <c r="E577" i="18"/>
  <c r="E575" i="18"/>
  <c r="E574" i="18"/>
  <c r="E573" i="18"/>
  <c r="E572" i="18"/>
  <c r="E571" i="18"/>
  <c r="E570" i="18"/>
  <c r="E569" i="18"/>
  <c r="E568" i="18"/>
  <c r="E567" i="18"/>
  <c r="E566" i="18"/>
  <c r="E565" i="18"/>
  <c r="E564" i="18"/>
  <c r="E543" i="18"/>
  <c r="E542" i="18"/>
  <c r="E541" i="18"/>
  <c r="E540" i="18"/>
  <c r="E539" i="18"/>
  <c r="E538" i="18"/>
  <c r="E537" i="18"/>
  <c r="E536" i="18"/>
  <c r="E516" i="18"/>
  <c r="E515" i="18"/>
  <c r="E514" i="18"/>
  <c r="E513" i="18"/>
  <c r="E512" i="18"/>
  <c r="E511" i="18"/>
  <c r="E510" i="18"/>
  <c r="E509" i="18"/>
  <c r="E462" i="18"/>
  <c r="E461" i="18"/>
  <c r="E460" i="18"/>
  <c r="E459" i="18"/>
  <c r="E458" i="18"/>
  <c r="E457" i="18"/>
  <c r="E456" i="18"/>
  <c r="E455" i="18"/>
  <c r="E435" i="18"/>
  <c r="E434" i="18"/>
  <c r="E433" i="18"/>
  <c r="E432" i="18"/>
  <c r="E431" i="18"/>
  <c r="E430" i="18"/>
  <c r="E429" i="18"/>
  <c r="E428" i="18"/>
  <c r="E408" i="18"/>
  <c r="E407" i="18"/>
  <c r="E406" i="18"/>
  <c r="E405" i="18"/>
  <c r="E404" i="18"/>
  <c r="E403" i="18"/>
  <c r="E402" i="18"/>
  <c r="E401" i="18"/>
  <c r="E381" i="18"/>
  <c r="E380" i="18"/>
  <c r="E379" i="18"/>
  <c r="E378" i="18"/>
  <c r="E377" i="18"/>
  <c r="E376" i="18"/>
  <c r="E375" i="18"/>
  <c r="E374" i="18"/>
  <c r="E354" i="18"/>
  <c r="E353" i="18"/>
  <c r="E352" i="18"/>
  <c r="E351" i="18"/>
  <c r="E350" i="18"/>
  <c r="E349" i="18"/>
  <c r="E348" i="18"/>
  <c r="E347" i="18"/>
  <c r="E327" i="18"/>
  <c r="E326" i="18"/>
  <c r="E325" i="18"/>
  <c r="E324" i="18"/>
  <c r="E323" i="18"/>
  <c r="E322" i="18"/>
  <c r="E321" i="18"/>
  <c r="E320" i="18"/>
  <c r="E300" i="18"/>
  <c r="E299" i="18"/>
  <c r="E298" i="18"/>
  <c r="E297" i="18"/>
  <c r="E296" i="18"/>
  <c r="E295" i="18"/>
  <c r="E294" i="18"/>
  <c r="E293" i="18"/>
  <c r="E273" i="18"/>
  <c r="E272" i="18"/>
  <c r="E271" i="18"/>
  <c r="E270" i="18"/>
  <c r="E269" i="18"/>
  <c r="E268" i="18"/>
  <c r="E267" i="18"/>
  <c r="E266" i="18"/>
  <c r="E246" i="18"/>
  <c r="E245" i="18"/>
  <c r="E244" i="18"/>
  <c r="E243" i="18"/>
  <c r="E242" i="18"/>
  <c r="E241" i="18"/>
  <c r="E240" i="18"/>
  <c r="E239" i="18"/>
  <c r="E219" i="18"/>
  <c r="E218" i="18"/>
  <c r="E217" i="18"/>
  <c r="E216" i="18"/>
  <c r="E215" i="18"/>
  <c r="E214" i="18"/>
  <c r="E213" i="18"/>
  <c r="E212" i="18"/>
  <c r="E210" i="18"/>
  <c r="E209" i="18"/>
  <c r="E208" i="18"/>
  <c r="E207" i="18"/>
  <c r="E206" i="18"/>
  <c r="E205" i="18"/>
  <c r="E204" i="18"/>
  <c r="E203" i="18"/>
  <c r="E202" i="18"/>
  <c r="E201" i="18"/>
  <c r="E200" i="18"/>
  <c r="E199" i="18"/>
  <c r="E194" i="18"/>
  <c r="E193" i="18"/>
  <c r="E192" i="18"/>
  <c r="E191" i="18"/>
  <c r="E187" i="18"/>
  <c r="E186" i="18"/>
  <c r="E185" i="18"/>
  <c r="E184" i="18"/>
  <c r="E173" i="18"/>
  <c r="E172" i="18"/>
  <c r="E171" i="18"/>
  <c r="E170" i="18"/>
  <c r="E166" i="18"/>
  <c r="E165" i="18"/>
  <c r="E164" i="18"/>
  <c r="E163" i="18"/>
  <c r="E159" i="18"/>
  <c r="E158" i="18"/>
  <c r="E157" i="18"/>
  <c r="E156" i="18"/>
  <c r="E152" i="18"/>
  <c r="E151" i="18"/>
  <c r="E150" i="18"/>
  <c r="E149" i="18"/>
  <c r="E145" i="18"/>
  <c r="E144" i="18"/>
  <c r="E143" i="18"/>
  <c r="E142" i="18"/>
  <c r="E138" i="18"/>
  <c r="E137" i="18"/>
  <c r="E136" i="18"/>
  <c r="E135" i="18"/>
  <c r="E131" i="18"/>
  <c r="E130" i="18"/>
  <c r="E129" i="18"/>
  <c r="E128" i="18"/>
  <c r="E124" i="18"/>
  <c r="E123" i="18"/>
  <c r="E122" i="18"/>
  <c r="E121" i="18"/>
  <c r="E117" i="18"/>
  <c r="E116" i="18"/>
  <c r="E115" i="18"/>
  <c r="E114" i="18"/>
  <c r="E110" i="18"/>
  <c r="E109" i="18"/>
  <c r="E108" i="18"/>
  <c r="E107" i="18"/>
  <c r="E105" i="18"/>
  <c r="E104" i="18"/>
  <c r="E103" i="18"/>
  <c r="E102" i="18"/>
  <c r="E101" i="18"/>
  <c r="E100" i="18"/>
  <c r="E99" i="18"/>
  <c r="E98" i="18"/>
  <c r="E97" i="18"/>
  <c r="E96" i="18"/>
  <c r="E95" i="18"/>
  <c r="E94" i="18"/>
  <c r="E89" i="18"/>
  <c r="E88" i="18"/>
  <c r="E87" i="18"/>
  <c r="E86" i="18"/>
  <c r="E82" i="18"/>
  <c r="E81" i="18"/>
  <c r="E80" i="18"/>
  <c r="E79" i="18"/>
  <c r="E68" i="18"/>
  <c r="E67" i="18"/>
  <c r="E66" i="18"/>
  <c r="E65" i="18"/>
  <c r="E61" i="18"/>
  <c r="E60" i="18"/>
  <c r="E59" i="18"/>
  <c r="E58" i="18"/>
  <c r="E54" i="18"/>
  <c r="E53" i="18"/>
  <c r="E52" i="18"/>
  <c r="E51" i="18"/>
  <c r="E47" i="18"/>
  <c r="E46" i="18"/>
  <c r="E45" i="18"/>
  <c r="E44" i="18"/>
  <c r="E40" i="18"/>
  <c r="E39" i="18"/>
  <c r="E38" i="18"/>
  <c r="E37" i="18"/>
  <c r="E33" i="18"/>
  <c r="E32" i="18"/>
  <c r="E31" i="18"/>
  <c r="E30" i="18"/>
  <c r="E26" i="18"/>
  <c r="E25" i="18"/>
  <c r="E24" i="18"/>
  <c r="E23" i="18"/>
  <c r="E19" i="18"/>
  <c r="E18" i="18"/>
  <c r="E17" i="18"/>
  <c r="E16" i="18"/>
  <c r="E12" i="18"/>
  <c r="E11" i="18"/>
  <c r="E10" i="18"/>
  <c r="E9" i="18"/>
  <c r="E5" i="18"/>
  <c r="E4" i="18"/>
  <c r="E3" i="18"/>
  <c r="E2" i="18"/>
  <c r="Y21" i="21"/>
  <c r="Y20" i="21"/>
  <c r="Y19" i="21"/>
  <c r="Y18" i="21"/>
  <c r="Y17" i="21"/>
  <c r="Y16" i="21"/>
  <c r="Y15" i="21"/>
  <c r="Y14" i="21"/>
  <c r="Y13" i="21"/>
  <c r="Y12" i="21"/>
  <c r="Y11" i="21"/>
  <c r="Y10" i="21"/>
  <c r="Y9" i="21"/>
  <c r="Y8" i="21"/>
  <c r="Y7" i="21"/>
  <c r="Y6" i="21"/>
  <c r="Y5" i="21"/>
  <c r="Y4" i="21"/>
  <c r="A11" i="17"/>
  <c r="B11" i="17" s="1"/>
  <c r="C7" i="20"/>
  <c r="B3" i="20"/>
  <c r="B2" i="20"/>
  <c r="B1" i="20"/>
  <c r="D39" i="25"/>
  <c r="C39" i="25"/>
  <c r="L1" i="25"/>
  <c r="H1" i="25"/>
  <c r="C1" i="25"/>
  <c r="J18" i="24"/>
  <c r="I18" i="24"/>
  <c r="N15" i="24"/>
  <c r="N12" i="24"/>
  <c r="I1" i="24"/>
  <c r="F1" i="24"/>
  <c r="B1" i="24"/>
  <c r="F43" i="23"/>
  <c r="E43" i="23"/>
  <c r="D43" i="23"/>
  <c r="G42" i="23"/>
  <c r="G41" i="23"/>
  <c r="N40" i="23"/>
  <c r="G40" i="23"/>
  <c r="G39" i="23"/>
  <c r="G38" i="23"/>
  <c r="P32" i="23"/>
  <c r="O32" i="23"/>
  <c r="N32" i="23"/>
  <c r="M32" i="23"/>
  <c r="L32" i="23"/>
  <c r="P31" i="23"/>
  <c r="O31" i="23"/>
  <c r="N31" i="23"/>
  <c r="M31" i="23"/>
  <c r="L31" i="23"/>
  <c r="J31" i="23"/>
  <c r="E28" i="23"/>
  <c r="O22" i="23"/>
  <c r="L19" i="23"/>
  <c r="M17" i="23" a="1"/>
  <c r="M17" i="23" s="1"/>
  <c r="K17" i="23" a="1"/>
  <c r="K17" i="23" s="1"/>
  <c r="J17" i="23" a="1"/>
  <c r="J17" i="23" s="1"/>
  <c r="H17" i="23" a="1"/>
  <c r="H17" i="23"/>
  <c r="G17" i="23" a="1"/>
  <c r="G17" i="23" s="1"/>
  <c r="F17" i="23" a="1"/>
  <c r="F17" i="23" s="1"/>
  <c r="E17" i="23" a="1"/>
  <c r="E17" i="23"/>
  <c r="D17" i="23" a="1"/>
  <c r="D17" i="23"/>
  <c r="M16" i="23" a="1"/>
  <c r="M16" i="23" s="1"/>
  <c r="K16" i="23" a="1"/>
  <c r="K16" i="23"/>
  <c r="J16" i="23" a="1"/>
  <c r="J16" i="23" s="1"/>
  <c r="H16" i="23" a="1"/>
  <c r="H16" i="23" s="1"/>
  <c r="G16" i="23" a="1"/>
  <c r="G16" i="23"/>
  <c r="F16" i="23" a="1"/>
  <c r="F16" i="23" s="1"/>
  <c r="E16" i="23" a="1"/>
  <c r="E16" i="23" s="1"/>
  <c r="D16" i="23" a="1"/>
  <c r="D16" i="23" s="1"/>
  <c r="M15" i="23" a="1"/>
  <c r="M15" i="23" s="1"/>
  <c r="K15" i="23" a="1"/>
  <c r="K15" i="23" s="1"/>
  <c r="J15" i="23" a="1"/>
  <c r="J15" i="23"/>
  <c r="H15" i="23" a="1"/>
  <c r="H15" i="23" s="1"/>
  <c r="G15" i="23" a="1"/>
  <c r="G15" i="23" s="1"/>
  <c r="F15" i="23" a="1"/>
  <c r="F15" i="23"/>
  <c r="E15" i="23" a="1"/>
  <c r="E15" i="23"/>
  <c r="D15" i="23" a="1"/>
  <c r="D15" i="23" s="1"/>
  <c r="M14" i="23" a="1"/>
  <c r="M14" i="23"/>
  <c r="K14" i="23" a="1"/>
  <c r="K14" i="23" s="1"/>
  <c r="J14" i="23" a="1"/>
  <c r="J14" i="23" s="1"/>
  <c r="H14" i="23" a="1"/>
  <c r="H14" i="23"/>
  <c r="G14" i="23" a="1"/>
  <c r="G14" i="23" s="1"/>
  <c r="F14" i="23" a="1"/>
  <c r="F14" i="23" s="1"/>
  <c r="E14" i="23" a="1"/>
  <c r="E14" i="23" s="1"/>
  <c r="D14" i="23" a="1"/>
  <c r="D14" i="23" s="1"/>
  <c r="M13" i="23" a="1"/>
  <c r="M13" i="23" s="1"/>
  <c r="K13" i="23" a="1"/>
  <c r="K13" i="23"/>
  <c r="J13" i="23" a="1"/>
  <c r="J13" i="23" s="1"/>
  <c r="H13" i="23" a="1"/>
  <c r="H13" i="23" s="1"/>
  <c r="G13" i="23" a="1"/>
  <c r="G13" i="23"/>
  <c r="F13" i="23" a="1"/>
  <c r="F13" i="23"/>
  <c r="E13" i="23" a="1"/>
  <c r="E13" i="23" s="1"/>
  <c r="D13" i="23" a="1"/>
  <c r="D13" i="23"/>
  <c r="AA12" i="23" a="1"/>
  <c r="AA12" i="23" s="1"/>
  <c r="M12" i="23" s="1" a="1"/>
  <c r="M12" i="23" s="1"/>
  <c r="K12" i="23" a="1"/>
  <c r="K12" i="23" s="1"/>
  <c r="J12" i="23" a="1"/>
  <c r="J12" i="23" s="1"/>
  <c r="I12" i="23" a="1"/>
  <c r="I12" i="23" s="1"/>
  <c r="I19" i="23" s="1"/>
  <c r="H12" i="23" a="1"/>
  <c r="H12" i="23" s="1"/>
  <c r="G12" i="23" a="1"/>
  <c r="G12" i="23" s="1"/>
  <c r="F12" i="23" a="1"/>
  <c r="F12" i="23" s="1"/>
  <c r="E12" i="23" a="1"/>
  <c r="E12" i="23" s="1"/>
  <c r="D12" i="23" a="1"/>
  <c r="D12" i="23" s="1"/>
  <c r="M11" i="23" a="1"/>
  <c r="M11" i="23" s="1"/>
  <c r="K11" i="23" a="1"/>
  <c r="K11" i="23"/>
  <c r="J11" i="23" a="1"/>
  <c r="J11" i="23"/>
  <c r="H11" i="23" a="1"/>
  <c r="H11" i="23" s="1"/>
  <c r="G11" i="23" a="1"/>
  <c r="G11" i="23"/>
  <c r="F11" i="23" a="1"/>
  <c r="F11" i="23" s="1"/>
  <c r="E11" i="23" a="1"/>
  <c r="E11" i="23"/>
  <c r="D11" i="23" a="1"/>
  <c r="D11" i="23" s="1"/>
  <c r="M10" i="23" a="1"/>
  <c r="M10" i="23" s="1"/>
  <c r="K10" i="23" a="1"/>
  <c r="K10" i="23" s="1"/>
  <c r="K18" i="23" s="1" a="1"/>
  <c r="J10" i="23" a="1"/>
  <c r="J10" i="23" s="1"/>
  <c r="J18" i="23" s="1" a="1"/>
  <c r="H10" i="23" a="1"/>
  <c r="H10" i="23" s="1"/>
  <c r="H18" i="23" s="1" a="1"/>
  <c r="G10" i="23" a="1"/>
  <c r="G10" i="23"/>
  <c r="G18" i="23" s="1" a="1"/>
  <c r="F10" i="23" a="1"/>
  <c r="F10" i="23" s="1"/>
  <c r="F18" i="23" s="1" a="1"/>
  <c r="E10" i="23" a="1"/>
  <c r="E10" i="23" s="1"/>
  <c r="E18" i="23" s="1" a="1"/>
  <c r="D10" i="23" a="1"/>
  <c r="D10" i="23"/>
  <c r="D18" i="23" s="1" a="1"/>
  <c r="L1" i="23"/>
  <c r="H1" i="23"/>
  <c r="B1" i="23"/>
  <c r="K60" i="15"/>
  <c r="K59" i="15"/>
  <c r="AA13" i="15" s="1"/>
  <c r="K39" i="15"/>
  <c r="D35" i="15" a="1"/>
  <c r="D35" i="15" s="1"/>
  <c r="D34" i="15" a="1"/>
  <c r="D34" i="15"/>
  <c r="D33" i="15" a="1"/>
  <c r="D33" i="15" s="1"/>
  <c r="K23" i="15"/>
  <c r="AA12" i="15"/>
  <c r="AA11" i="15"/>
  <c r="K1" i="15"/>
  <c r="F1" i="15"/>
  <c r="B1" i="15"/>
  <c r="M40" i="4"/>
  <c r="I23" i="24" s="1"/>
  <c r="L40" i="4"/>
  <c r="J23" i="24" s="1"/>
  <c r="I40" i="4"/>
  <c r="F23" i="24" s="1"/>
  <c r="K39" i="4"/>
  <c r="G39" i="4"/>
  <c r="K38" i="4"/>
  <c r="G38" i="4"/>
  <c r="K37" i="4"/>
  <c r="G37" i="4"/>
  <c r="K36" i="4"/>
  <c r="G36" i="4"/>
  <c r="K35" i="4"/>
  <c r="G35" i="4"/>
  <c r="K34" i="4"/>
  <c r="G34" i="4"/>
  <c r="K33" i="4"/>
  <c r="G33" i="4"/>
  <c r="K32" i="4"/>
  <c r="G32" i="4"/>
  <c r="K31" i="4"/>
  <c r="G31" i="4"/>
  <c r="K30" i="4"/>
  <c r="G30" i="4"/>
  <c r="K29" i="4"/>
  <c r="G29" i="4"/>
  <c r="K28" i="4"/>
  <c r="G28" i="4"/>
  <c r="Z25" i="4" a="1"/>
  <c r="Z25" i="4"/>
  <c r="Q25" i="4" a="1"/>
  <c r="Q25" i="4"/>
  <c r="K25" i="4" a="1"/>
  <c r="K25" i="4"/>
  <c r="H25" i="4" a="1"/>
  <c r="H25" i="4" s="1"/>
  <c r="M23" i="4"/>
  <c r="I22" i="24" s="1"/>
  <c r="L23" i="4"/>
  <c r="J22" i="24" s="1"/>
  <c r="I23" i="4"/>
  <c r="F22" i="24" s="1"/>
  <c r="K22" i="4"/>
  <c r="H22" i="4"/>
  <c r="G22" i="4"/>
  <c r="K21" i="4"/>
  <c r="H21" i="4"/>
  <c r="G21" i="4"/>
  <c r="K20" i="4"/>
  <c r="H20" i="4"/>
  <c r="G20" i="4"/>
  <c r="K19" i="4"/>
  <c r="H19" i="4"/>
  <c r="G19" i="4"/>
  <c r="K18" i="4"/>
  <c r="H18" i="4"/>
  <c r="G18" i="4"/>
  <c r="K17" i="4"/>
  <c r="H17" i="4"/>
  <c r="G17" i="4"/>
  <c r="K16" i="4"/>
  <c r="H16" i="4"/>
  <c r="G16" i="4"/>
  <c r="K15" i="4"/>
  <c r="H15" i="4"/>
  <c r="G15" i="4"/>
  <c r="K14" i="4"/>
  <c r="H14" i="4"/>
  <c r="G14" i="4"/>
  <c r="K13" i="4"/>
  <c r="H13" i="4"/>
  <c r="G13" i="4"/>
  <c r="K12" i="4"/>
  <c r="H12" i="4"/>
  <c r="G12" i="4"/>
  <c r="K11" i="4"/>
  <c r="H11" i="4"/>
  <c r="G11" i="4"/>
  <c r="K10" i="4"/>
  <c r="H10" i="4"/>
  <c r="G10" i="4"/>
  <c r="K9" i="4"/>
  <c r="H9" i="4"/>
  <c r="G9" i="4"/>
  <c r="AC8" i="4"/>
  <c r="K8" i="4"/>
  <c r="H8" i="4"/>
  <c r="G8" i="4"/>
  <c r="AC7" i="4"/>
  <c r="K7" i="4"/>
  <c r="H7" i="4"/>
  <c r="G7" i="4"/>
  <c r="AC6" i="4"/>
  <c r="K6" i="4"/>
  <c r="H6" i="4"/>
  <c r="G6" i="4"/>
  <c r="N1" i="4"/>
  <c r="H1" i="4"/>
  <c r="B1" i="4"/>
  <c r="T23" i="5"/>
  <c r="D19" i="5"/>
  <c r="AA11" i="5"/>
  <c r="Q11" i="5"/>
  <c r="P11" i="5"/>
  <c r="O11" i="5"/>
  <c r="N11" i="5"/>
  <c r="M11" i="5"/>
  <c r="L11" i="5"/>
  <c r="K11" i="5"/>
  <c r="J11" i="5"/>
  <c r="I11" i="5"/>
  <c r="H11" i="5"/>
  <c r="G11" i="5"/>
  <c r="F11" i="5"/>
  <c r="E11" i="5"/>
  <c r="R10" i="5"/>
  <c r="AA9" i="5"/>
  <c r="R9" i="5"/>
  <c r="AA8" i="5"/>
  <c r="R8" i="5"/>
  <c r="V1" i="5"/>
  <c r="L1" i="5"/>
  <c r="D1" i="5"/>
  <c r="G39" i="6"/>
  <c r="G41" i="6" s="1"/>
  <c r="T31" i="6"/>
  <c r="F29" i="6"/>
  <c r="G20" i="6"/>
  <c r="G11" i="6"/>
  <c r="F11" i="6"/>
  <c r="AA9" i="6"/>
  <c r="AA8" i="6"/>
  <c r="AA7" i="6"/>
  <c r="U1" i="6"/>
  <c r="L1" i="6"/>
  <c r="C1" i="6"/>
  <c r="B21" i="24"/>
  <c r="L47" i="14"/>
  <c r="K47" i="14"/>
  <c r="J47" i="14"/>
  <c r="I47" i="14"/>
  <c r="H47" i="14"/>
  <c r="L43" i="14"/>
  <c r="K43" i="14"/>
  <c r="J43" i="14"/>
  <c r="I43" i="14"/>
  <c r="H43" i="14"/>
  <c r="L42" i="14"/>
  <c r="K42" i="14"/>
  <c r="J42" i="14"/>
  <c r="I42" i="14"/>
  <c r="H42" i="14"/>
  <c r="L41" i="14"/>
  <c r="K41" i="14"/>
  <c r="J41" i="14"/>
  <c r="I41" i="14"/>
  <c r="H41" i="14"/>
  <c r="L40" i="14"/>
  <c r="K40" i="14"/>
  <c r="J40" i="14"/>
  <c r="I40" i="14"/>
  <c r="H40" i="14"/>
  <c r="L39" i="14"/>
  <c r="K39" i="14"/>
  <c r="J39" i="14"/>
  <c r="I39" i="14"/>
  <c r="H39" i="14"/>
  <c r="L38" i="14"/>
  <c r="K38" i="14"/>
  <c r="J38" i="14"/>
  <c r="I38" i="14"/>
  <c r="H38" i="14"/>
  <c r="L37" i="14"/>
  <c r="K37" i="14"/>
  <c r="J37" i="14"/>
  <c r="I37" i="14"/>
  <c r="H37" i="14"/>
  <c r="L35" i="14"/>
  <c r="K35" i="14"/>
  <c r="J35" i="14"/>
  <c r="I35" i="14"/>
  <c r="H35" i="14"/>
  <c r="G31" i="14"/>
  <c r="G30" i="14"/>
  <c r="B20" i="24"/>
  <c r="L25" i="14"/>
  <c r="K25" i="14"/>
  <c r="J25" i="14"/>
  <c r="I25" i="14"/>
  <c r="H25" i="14"/>
  <c r="L21" i="14"/>
  <c r="K21" i="14"/>
  <c r="J21" i="14"/>
  <c r="I21" i="14"/>
  <c r="H21" i="14"/>
  <c r="L20" i="14"/>
  <c r="K20" i="14"/>
  <c r="J20" i="14"/>
  <c r="I20" i="14"/>
  <c r="H20" i="14"/>
  <c r="L19" i="14"/>
  <c r="K19" i="14"/>
  <c r="J19" i="14"/>
  <c r="I19" i="14"/>
  <c r="H19" i="14"/>
  <c r="L18" i="14"/>
  <c r="K18" i="14"/>
  <c r="J18" i="14"/>
  <c r="I18" i="14"/>
  <c r="H18" i="14"/>
  <c r="L17" i="14"/>
  <c r="K17" i="14"/>
  <c r="J17" i="14"/>
  <c r="I17" i="14"/>
  <c r="H17" i="14"/>
  <c r="L16" i="14"/>
  <c r="K16" i="14"/>
  <c r="J16" i="14"/>
  <c r="I16" i="14"/>
  <c r="H16" i="14"/>
  <c r="L15" i="14"/>
  <c r="K15" i="14"/>
  <c r="J15" i="14"/>
  <c r="I15" i="14"/>
  <c r="H15" i="14"/>
  <c r="L13" i="14"/>
  <c r="K13" i="14"/>
  <c r="J13" i="14"/>
  <c r="I13" i="14"/>
  <c r="H13" i="14"/>
  <c r="G9" i="14"/>
  <c r="G8" i="14"/>
  <c r="O1" i="14"/>
  <c r="J1" i="14"/>
  <c r="D1" i="14"/>
  <c r="G28" i="12"/>
  <c r="F16" i="12"/>
  <c r="D19" i="24" s="1"/>
  <c r="B19" i="24"/>
  <c r="G11" i="12"/>
  <c r="F11" i="12"/>
  <c r="I10" i="12"/>
  <c r="I9" i="12"/>
  <c r="I8" i="12"/>
  <c r="AA7" i="12"/>
  <c r="I7" i="12"/>
  <c r="M1" i="12"/>
  <c r="H1" i="12"/>
  <c r="C1" i="12"/>
  <c r="F26" i="22"/>
  <c r="F25" i="22"/>
  <c r="B18" i="24"/>
  <c r="G18" i="22"/>
  <c r="H43" i="7" s="1"/>
  <c r="H12" i="22"/>
  <c r="G12" i="22"/>
  <c r="F12" i="22"/>
  <c r="H11" i="22"/>
  <c r="K11" i="22" s="1"/>
  <c r="I10" i="22"/>
  <c r="H10" i="22"/>
  <c r="G10" i="22"/>
  <c r="F10" i="22"/>
  <c r="I9" i="22"/>
  <c r="H9" i="22"/>
  <c r="G9" i="22"/>
  <c r="F9" i="22"/>
  <c r="I8" i="22"/>
  <c r="H8" i="22"/>
  <c r="G8" i="22"/>
  <c r="F8" i="22"/>
  <c r="J1" i="22"/>
  <c r="G1" i="22"/>
  <c r="D1" i="22"/>
  <c r="L44" i="7"/>
  <c r="G16" i="24"/>
  <c r="H41" i="7"/>
  <c r="G41" i="7"/>
  <c r="F41" i="7"/>
  <c r="E41" i="7"/>
  <c r="D41" i="7"/>
  <c r="G15" i="24"/>
  <c r="H40" i="7"/>
  <c r="G40" i="7"/>
  <c r="F40" i="7"/>
  <c r="E40" i="7"/>
  <c r="D40" i="7"/>
  <c r="G14" i="24"/>
  <c r="H39" i="7"/>
  <c r="G39" i="7"/>
  <c r="F39" i="7"/>
  <c r="E39" i="7"/>
  <c r="D39" i="7"/>
  <c r="G13" i="24"/>
  <c r="H38" i="7"/>
  <c r="G38" i="7"/>
  <c r="F38" i="7"/>
  <c r="E38" i="7"/>
  <c r="D38" i="7"/>
  <c r="H36" i="7"/>
  <c r="G36" i="7"/>
  <c r="F36" i="7"/>
  <c r="E36" i="7"/>
  <c r="D36" i="7"/>
  <c r="H35" i="7"/>
  <c r="G35" i="7"/>
  <c r="F35" i="7"/>
  <c r="E35" i="7"/>
  <c r="D35" i="7"/>
  <c r="H34" i="7"/>
  <c r="G34" i="7"/>
  <c r="F34" i="7"/>
  <c r="E34" i="7"/>
  <c r="D34" i="7"/>
  <c r="H33" i="7"/>
  <c r="G33" i="7"/>
  <c r="F33" i="7"/>
  <c r="E33" i="7"/>
  <c r="D33" i="7"/>
  <c r="H32" i="7"/>
  <c r="G32" i="7"/>
  <c r="F32" i="7"/>
  <c r="E32" i="7"/>
  <c r="D32" i="7"/>
  <c r="H31" i="7"/>
  <c r="G31" i="7"/>
  <c r="F31" i="7"/>
  <c r="E31" i="7"/>
  <c r="D31" i="7"/>
  <c r="H30" i="7"/>
  <c r="G30" i="7"/>
  <c r="F30" i="7"/>
  <c r="E30" i="7"/>
  <c r="D30" i="7"/>
  <c r="H29" i="7"/>
  <c r="G29" i="7"/>
  <c r="F29" i="7"/>
  <c r="E29" i="7"/>
  <c r="D29" i="7"/>
  <c r="H28" i="7"/>
  <c r="G28" i="7"/>
  <c r="F28" i="7"/>
  <c r="E28" i="7"/>
  <c r="D28" i="7"/>
  <c r="H27" i="7"/>
  <c r="G27" i="7"/>
  <c r="F27" i="7"/>
  <c r="E27" i="7"/>
  <c r="D27" i="7"/>
  <c r="H25" i="7"/>
  <c r="G25" i="7"/>
  <c r="F25" i="7"/>
  <c r="E25" i="7"/>
  <c r="D25" i="7"/>
  <c r="H22" i="7"/>
  <c r="G22" i="7"/>
  <c r="F22" i="7"/>
  <c r="E22" i="7"/>
  <c r="D22" i="7"/>
  <c r="H21" i="7"/>
  <c r="G21" i="7"/>
  <c r="F21" i="7"/>
  <c r="E21" i="7"/>
  <c r="D21" i="7"/>
  <c r="H20" i="7"/>
  <c r="G20" i="7"/>
  <c r="F20" i="7"/>
  <c r="E20" i="7"/>
  <c r="D20" i="7"/>
  <c r="H19" i="7"/>
  <c r="G19" i="7"/>
  <c r="F19" i="7"/>
  <c r="E19" i="7"/>
  <c r="D19" i="7"/>
  <c r="H18" i="7"/>
  <c r="G18" i="7"/>
  <c r="F18" i="7"/>
  <c r="E18" i="7"/>
  <c r="D18" i="7"/>
  <c r="H17" i="7"/>
  <c r="G17" i="7"/>
  <c r="F17" i="7"/>
  <c r="E17" i="7"/>
  <c r="D17" i="7"/>
  <c r="H16" i="7"/>
  <c r="G16" i="7"/>
  <c r="F16" i="7"/>
  <c r="E16" i="7"/>
  <c r="D16" i="7"/>
  <c r="H15" i="7"/>
  <c r="G15" i="7"/>
  <c r="F15" i="7"/>
  <c r="E15" i="7"/>
  <c r="D15" i="7"/>
  <c r="H14" i="7"/>
  <c r="G14" i="7"/>
  <c r="F14" i="7"/>
  <c r="E14" i="7"/>
  <c r="D14" i="7"/>
  <c r="H13" i="7"/>
  <c r="G13" i="7"/>
  <c r="F13" i="7"/>
  <c r="E13" i="7"/>
  <c r="D13" i="7"/>
  <c r="H12" i="7"/>
  <c r="G12" i="7"/>
  <c r="F12" i="7"/>
  <c r="E12" i="7"/>
  <c r="D12" i="7"/>
  <c r="H11" i="7"/>
  <c r="G11" i="7"/>
  <c r="F11" i="7"/>
  <c r="E11" i="7"/>
  <c r="D11" i="7"/>
  <c r="H10" i="7"/>
  <c r="G10" i="7"/>
  <c r="F10" i="7"/>
  <c r="E10" i="7"/>
  <c r="D10" i="7"/>
  <c r="H9" i="7"/>
  <c r="G9" i="7"/>
  <c r="F9" i="7"/>
  <c r="E9" i="7"/>
  <c r="D9" i="7"/>
  <c r="H7" i="7"/>
  <c r="G7" i="7"/>
  <c r="F7" i="7"/>
  <c r="E7" i="7"/>
  <c r="D7" i="7"/>
  <c r="L1" i="7"/>
  <c r="G1" i="7"/>
  <c r="B1" i="7"/>
  <c r="H37" i="8"/>
  <c r="H36" i="8"/>
  <c r="H35" i="8"/>
  <c r="H34" i="8"/>
  <c r="H33" i="8"/>
  <c r="H32" i="8"/>
  <c r="H29" i="8"/>
  <c r="H28" i="8"/>
  <c r="H27" i="8"/>
  <c r="H26" i="8"/>
  <c r="H25" i="8"/>
  <c r="H22" i="8"/>
  <c r="H21" i="8"/>
  <c r="H20" i="8"/>
  <c r="H17" i="8"/>
  <c r="H16" i="8"/>
  <c r="H15" i="8"/>
  <c r="H14" i="8"/>
  <c r="H13" i="8"/>
  <c r="H12" i="8"/>
  <c r="H11" i="8"/>
  <c r="J10" i="8"/>
  <c r="H10" i="8"/>
  <c r="H9" i="8"/>
  <c r="H8" i="8"/>
  <c r="H7" i="8"/>
  <c r="H6" i="8"/>
  <c r="H5" i="8"/>
  <c r="M1" i="8"/>
  <c r="H1" i="8"/>
  <c r="C1" i="8"/>
  <c r="T20" i="2"/>
  <c r="G43" i="23" l="1"/>
  <c r="H45" i="23" s="1"/>
  <c r="L42" i="4"/>
  <c r="AC11" i="4"/>
  <c r="M42" i="4"/>
  <c r="I42" i="4"/>
  <c r="AA12" i="5"/>
  <c r="R11" i="5"/>
  <c r="AA10" i="6"/>
  <c r="I11" i="12"/>
  <c r="H19" i="24" s="1"/>
  <c r="K19" i="24" s="1"/>
  <c r="E71" i="18"/>
  <c r="D21" i="15" s="1"/>
  <c r="E1247" i="18"/>
  <c r="E986" i="18"/>
  <c r="E1007" i="18"/>
  <c r="H19" i="15" s="1"/>
  <c r="E1035" i="18"/>
  <c r="H26" i="15" s="1"/>
  <c r="E1454" i="18"/>
  <c r="E1479" i="18"/>
  <c r="J11" i="7"/>
  <c r="L11" i="7" s="1"/>
  <c r="E685" i="18"/>
  <c r="G18" i="15" s="1"/>
  <c r="E169" i="18"/>
  <c r="E19" i="15" s="1"/>
  <c r="E671" i="18"/>
  <c r="E650" i="18"/>
  <c r="G14" i="15" s="1"/>
  <c r="E1144" i="18"/>
  <c r="I16" i="15" s="1"/>
  <c r="J44" i="14"/>
  <c r="J48" i="14" s="1"/>
  <c r="F46" i="7" s="1"/>
  <c r="J38" i="7"/>
  <c r="H13" i="24" s="1"/>
  <c r="J40" i="7"/>
  <c r="H15" i="24" s="1"/>
  <c r="J15" i="7"/>
  <c r="L15" i="7" s="1"/>
  <c r="E951" i="18"/>
  <c r="H11" i="15" s="1"/>
  <c r="E1130" i="18"/>
  <c r="I14" i="15" s="1"/>
  <c r="J13" i="7"/>
  <c r="L13" i="7" s="1"/>
  <c r="E15" i="18"/>
  <c r="D13" i="15" s="1"/>
  <c r="G32" i="14"/>
  <c r="G48" i="14" s="1"/>
  <c r="D21" i="24" s="1"/>
  <c r="J10" i="7"/>
  <c r="L10" i="7" s="1"/>
  <c r="E176" i="18"/>
  <c r="E21" i="15" s="1"/>
  <c r="E636" i="18"/>
  <c r="G11" i="15" s="1"/>
  <c r="E657" i="18"/>
  <c r="G15" i="15" s="1"/>
  <c r="J17" i="7"/>
  <c r="L17" i="7" s="1"/>
  <c r="N17" i="14"/>
  <c r="N39" i="14"/>
  <c r="E535" i="18"/>
  <c r="F22" i="15" s="1"/>
  <c r="E678" i="18"/>
  <c r="E1165" i="18"/>
  <c r="I18" i="15" s="1"/>
  <c r="J30" i="7"/>
  <c r="L30" i="7" s="1"/>
  <c r="E85" i="18"/>
  <c r="D22" i="15" s="1"/>
  <c r="E120" i="18"/>
  <c r="E13" i="15" s="1"/>
  <c r="E162" i="18"/>
  <c r="E18" i="15" s="1"/>
  <c r="E1489" i="18"/>
  <c r="E36" i="18"/>
  <c r="D16" i="15" s="1"/>
  <c r="E664" i="18"/>
  <c r="G16" i="15" s="1"/>
  <c r="N42" i="14"/>
  <c r="E1236" i="18"/>
  <c r="E1258" i="18"/>
  <c r="E1280" i="18"/>
  <c r="AA14" i="15"/>
  <c r="E43" i="18"/>
  <c r="E190" i="18"/>
  <c r="E22" i="15" s="1"/>
  <c r="E1061" i="18"/>
  <c r="E1116" i="18"/>
  <c r="I11" i="15" s="1"/>
  <c r="J41" i="7"/>
  <c r="H16" i="24" s="1"/>
  <c r="N16" i="14"/>
  <c r="G40" i="4"/>
  <c r="D23" i="24" s="1"/>
  <c r="E197" i="18"/>
  <c r="E26" i="15" s="1"/>
  <c r="E1028" i="18"/>
  <c r="H22" i="15" s="1"/>
  <c r="E1137" i="18"/>
  <c r="I15" i="15" s="1"/>
  <c r="E1459" i="18"/>
  <c r="E1469" i="18"/>
  <c r="E1494" i="18"/>
  <c r="J18" i="7"/>
  <c r="L18" i="7" s="1"/>
  <c r="J21" i="7"/>
  <c r="I13" i="22"/>
  <c r="G43" i="7" s="1"/>
  <c r="K40" i="4"/>
  <c r="H23" i="24" s="1"/>
  <c r="E127" i="18"/>
  <c r="E14" i="15" s="1"/>
  <c r="E692" i="18"/>
  <c r="G19" i="15" s="1"/>
  <c r="N11" i="23"/>
  <c r="N12" i="23"/>
  <c r="E29" i="18"/>
  <c r="D15" i="15" s="1"/>
  <c r="E106" i="18"/>
  <c r="D24" i="15" s="1"/>
  <c r="E373" i="18"/>
  <c r="J9" i="7"/>
  <c r="L8" i="7" s="1"/>
  <c r="J19" i="7"/>
  <c r="L19" i="7" s="1"/>
  <c r="E134" i="18"/>
  <c r="E15" i="15" s="1"/>
  <c r="E1082" i="18"/>
  <c r="E1123" i="18"/>
  <c r="I13" i="15" s="1"/>
  <c r="E1225" i="18"/>
  <c r="E1269" i="18"/>
  <c r="E1368" i="18"/>
  <c r="F23" i="4" a="1"/>
  <c r="F23" i="4" s="1"/>
  <c r="F40" i="4" a="1"/>
  <c r="F40" i="4" s="1"/>
  <c r="C23" i="24" s="1"/>
  <c r="AA18" i="22"/>
  <c r="J16" i="7"/>
  <c r="L16" i="7" s="1"/>
  <c r="K44" i="14"/>
  <c r="K48" i="14" s="1"/>
  <c r="G46" i="7" s="1"/>
  <c r="N31" i="4"/>
  <c r="N35" i="4"/>
  <c r="N39" i="4"/>
  <c r="J18" i="23"/>
  <c r="J19" i="23" s="1"/>
  <c r="E1504" i="18"/>
  <c r="E1523" i="18"/>
  <c r="J14" i="7"/>
  <c r="L14" i="7" s="1"/>
  <c r="J28" i="7"/>
  <c r="L28" i="7" s="1"/>
  <c r="K9" i="22"/>
  <c r="L44" i="14"/>
  <c r="L48" i="14" s="1"/>
  <c r="H46" i="7" s="1"/>
  <c r="G23" i="4"/>
  <c r="D22" i="24" s="1"/>
  <c r="E292" i="18"/>
  <c r="F14" i="15" s="1"/>
  <c r="E346" i="18"/>
  <c r="F16" i="15" s="1"/>
  <c r="E1109" i="18"/>
  <c r="E1193" i="18"/>
  <c r="I22" i="15" s="1"/>
  <c r="E1302" i="18"/>
  <c r="E1474" i="18"/>
  <c r="AA17" i="8"/>
  <c r="J12" i="7"/>
  <c r="L12" i="7" s="1"/>
  <c r="J35" i="7"/>
  <c r="L35" i="7" s="1"/>
  <c r="G10" i="14"/>
  <c r="G26" i="14" s="1"/>
  <c r="D20" i="24" s="1"/>
  <c r="N19" i="14"/>
  <c r="E238" i="18"/>
  <c r="E400" i="18"/>
  <c r="E576" i="18"/>
  <c r="E972" i="18"/>
  <c r="H15" i="15" s="1"/>
  <c r="E1000" i="18"/>
  <c r="H18" i="15" s="1"/>
  <c r="D37" i="7"/>
  <c r="H22" i="14"/>
  <c r="H26" i="14" s="1"/>
  <c r="D45" i="7" s="1"/>
  <c r="I22" i="14"/>
  <c r="I26" i="14" s="1"/>
  <c r="E45" i="7" s="1"/>
  <c r="N17" i="23"/>
  <c r="E57" i="18"/>
  <c r="D18" i="15" s="1"/>
  <c r="E92" i="18"/>
  <c r="D26" i="15" s="1"/>
  <c r="E454" i="18"/>
  <c r="F19" i="15" s="1"/>
  <c r="E713" i="18"/>
  <c r="G22" i="15" s="1"/>
  <c r="E1056" i="18"/>
  <c r="E1200" i="18"/>
  <c r="I26" i="15" s="1"/>
  <c r="E1388" i="18"/>
  <c r="E1518" i="18"/>
  <c r="D23" i="7"/>
  <c r="E37" i="7"/>
  <c r="J33" i="7"/>
  <c r="L33" i="7" s="1"/>
  <c r="N25" i="14"/>
  <c r="N28" i="4"/>
  <c r="N32" i="4"/>
  <c r="N36" i="4"/>
  <c r="N14" i="23"/>
  <c r="E8" i="18"/>
  <c r="D11" i="15" s="1"/>
  <c r="E113" i="18"/>
  <c r="E11" i="15" s="1"/>
  <c r="E141" i="18"/>
  <c r="E16" i="15" s="1"/>
  <c r="E211" i="18"/>
  <c r="E24" i="15" s="1"/>
  <c r="E1346" i="18"/>
  <c r="E1528" i="18"/>
  <c r="E23" i="7"/>
  <c r="F37" i="7"/>
  <c r="J22" i="14"/>
  <c r="J26" i="14" s="1"/>
  <c r="F45" i="7" s="1"/>
  <c r="N37" i="14"/>
  <c r="E64" i="18"/>
  <c r="D19" i="15" s="1"/>
  <c r="E720" i="18"/>
  <c r="G26" i="15" s="1"/>
  <c r="E1464" i="18"/>
  <c r="F23" i="7"/>
  <c r="G37" i="7"/>
  <c r="J31" i="7"/>
  <c r="L31" i="7" s="1"/>
  <c r="K22" i="14"/>
  <c r="K26" i="14" s="1"/>
  <c r="G45" i="7" s="1"/>
  <c r="N7" i="4"/>
  <c r="N16" i="4"/>
  <c r="H23" i="4"/>
  <c r="H42" i="4" s="1"/>
  <c r="E979" i="18"/>
  <c r="H16" i="15" s="1"/>
  <c r="E1049" i="18"/>
  <c r="H24" i="15" s="1"/>
  <c r="E1172" i="18"/>
  <c r="I19" i="15" s="1"/>
  <c r="E1214" i="18"/>
  <c r="I24" i="15" s="1"/>
  <c r="G23" i="7"/>
  <c r="H37" i="7"/>
  <c r="G13" i="22"/>
  <c r="E43" i="7" s="1"/>
  <c r="L22" i="14"/>
  <c r="L26" i="14" s="1"/>
  <c r="H45" i="7" s="1"/>
  <c r="E1313" i="18"/>
  <c r="E1449" i="18"/>
  <c r="E1533" i="18"/>
  <c r="H23" i="7"/>
  <c r="J29" i="7"/>
  <c r="L29" i="7" s="1"/>
  <c r="J39" i="7"/>
  <c r="H14" i="24" s="1"/>
  <c r="F27" i="22"/>
  <c r="D18" i="24" s="1"/>
  <c r="N40" i="14"/>
  <c r="N43" i="14"/>
  <c r="N29" i="4"/>
  <c r="N33" i="4"/>
  <c r="N13" i="23"/>
  <c r="E734" i="18"/>
  <c r="G24" i="15" s="1"/>
  <c r="J36" i="7"/>
  <c r="L36" i="7" s="1"/>
  <c r="N20" i="14"/>
  <c r="N38" i="14"/>
  <c r="N16" i="23"/>
  <c r="E265" i="18"/>
  <c r="F13" i="15" s="1"/>
  <c r="J27" i="7"/>
  <c r="L26" i="7" s="1"/>
  <c r="N14" i="14"/>
  <c r="K23" i="4"/>
  <c r="N20" i="4"/>
  <c r="E148" i="18"/>
  <c r="E319" i="18"/>
  <c r="F15" i="15" s="1"/>
  <c r="E481" i="18"/>
  <c r="F21" i="15" s="1"/>
  <c r="E958" i="18"/>
  <c r="H13" i="15" s="1"/>
  <c r="E1014" i="18"/>
  <c r="H21" i="15" s="1"/>
  <c r="E1151" i="18"/>
  <c r="E1179" i="18"/>
  <c r="I21" i="15" s="1"/>
  <c r="J34" i="7"/>
  <c r="L34" i="7" s="1"/>
  <c r="E562" i="18"/>
  <c r="F26" i="15" s="1"/>
  <c r="E643" i="18"/>
  <c r="G13" i="15" s="1"/>
  <c r="E1291" i="18"/>
  <c r="E1357" i="18"/>
  <c r="F13" i="22"/>
  <c r="N41" i="14"/>
  <c r="N8" i="4"/>
  <c r="N11" i="4"/>
  <c r="N14" i="4"/>
  <c r="E155" i="18"/>
  <c r="E427" i="18"/>
  <c r="F18" i="15" s="1"/>
  <c r="E1499" i="18"/>
  <c r="E1539" i="18"/>
  <c r="J22" i="7"/>
  <c r="J32" i="7"/>
  <c r="L32" i="7" s="1"/>
  <c r="H44" i="14"/>
  <c r="H48" i="14" s="1"/>
  <c r="D46" i="7" s="1"/>
  <c r="I44" i="14"/>
  <c r="I48" i="14" s="1"/>
  <c r="E46" i="7" s="1"/>
  <c r="E22" i="18"/>
  <c r="D14" i="15" s="1"/>
  <c r="E50" i="18"/>
  <c r="E699" i="18"/>
  <c r="G21" i="15" s="1"/>
  <c r="E1335" i="18"/>
  <c r="D36" i="15" s="1"/>
  <c r="E1484" i="18"/>
  <c r="J20" i="7"/>
  <c r="L20" i="7" s="1"/>
  <c r="H13" i="22"/>
  <c r="F43" i="7" s="1"/>
  <c r="K12" i="22"/>
  <c r="N18" i="14"/>
  <c r="N21" i="14"/>
  <c r="N47" i="14"/>
  <c r="N15" i="23"/>
  <c r="E589" i="18"/>
  <c r="E602" i="18"/>
  <c r="E965" i="18"/>
  <c r="H14" i="15" s="1"/>
  <c r="E993" i="18"/>
  <c r="E1158" i="18"/>
  <c r="K10" i="22"/>
  <c r="N10" i="4"/>
  <c r="N13" i="4"/>
  <c r="H30" i="8"/>
  <c r="J25" i="7"/>
  <c r="K8" i="22"/>
  <c r="N17" i="4"/>
  <c r="D18" i="23"/>
  <c r="D19" i="23" s="1"/>
  <c r="J7" i="7"/>
  <c r="L6" i="7" s="1"/>
  <c r="H38" i="8"/>
  <c r="E18" i="23"/>
  <c r="E19" i="23" s="1"/>
  <c r="N13" i="14"/>
  <c r="N35" i="14"/>
  <c r="F18" i="23"/>
  <c r="F19" i="23" s="1"/>
  <c r="N21" i="4"/>
  <c r="G18" i="23"/>
  <c r="G19" i="23" s="1"/>
  <c r="N6" i="4"/>
  <c r="N18" i="4"/>
  <c r="N30" i="4"/>
  <c r="N34" i="4"/>
  <c r="N38" i="4"/>
  <c r="N15" i="4"/>
  <c r="H18" i="23"/>
  <c r="H19" i="23" s="1"/>
  <c r="H18" i="8"/>
  <c r="N9" i="4"/>
  <c r="N12" i="4"/>
  <c r="K18" i="23"/>
  <c r="K19" i="23" s="1"/>
  <c r="N22" i="4"/>
  <c r="G25" i="4"/>
  <c r="N25" i="4" s="1"/>
  <c r="H23" i="8"/>
  <c r="N19" i="4"/>
  <c r="N10" i="23"/>
  <c r="L10" i="8"/>
  <c r="I37" i="7"/>
  <c r="F20" i="6"/>
  <c r="S23" i="5"/>
  <c r="J40" i="4"/>
  <c r="G23" i="24" s="1"/>
  <c r="I23" i="7"/>
  <c r="G11" i="24" s="1"/>
  <c r="J23" i="4"/>
  <c r="G22" i="24" s="1"/>
  <c r="M22" i="14"/>
  <c r="M26" i="14" s="1"/>
  <c r="G20" i="24" s="1"/>
  <c r="M44" i="14"/>
  <c r="M48" i="14" s="1"/>
  <c r="G21" i="24" s="1"/>
  <c r="H11" i="12"/>
  <c r="G19" i="24" s="1"/>
  <c r="J13" i="22"/>
  <c r="G18" i="24" s="1"/>
  <c r="E40" i="4"/>
  <c r="B23" i="24" s="1"/>
  <c r="T32" i="6"/>
  <c r="K37" i="7"/>
  <c r="K23" i="7"/>
  <c r="E23" i="4"/>
  <c r="N37" i="4"/>
  <c r="F17" i="12"/>
  <c r="M18" i="23" a="1"/>
  <c r="M18" i="23" s="1"/>
  <c r="M19" i="23" s="1"/>
  <c r="E22" i="24" l="1"/>
  <c r="F18" i="12"/>
  <c r="F19" i="12" s="1"/>
  <c r="L41" i="7"/>
  <c r="F28" i="22"/>
  <c r="L38" i="7"/>
  <c r="K13" i="22"/>
  <c r="F29" i="22" s="1"/>
  <c r="G17" i="15"/>
  <c r="G23" i="15" s="1"/>
  <c r="J15" i="15"/>
  <c r="E48" i="15"/>
  <c r="L40" i="7"/>
  <c r="H17" i="15"/>
  <c r="H23" i="15" s="1"/>
  <c r="J21" i="15"/>
  <c r="J19" i="15"/>
  <c r="D17" i="15"/>
  <c r="D23" i="15" s="1"/>
  <c r="J45" i="7"/>
  <c r="L45" i="7" s="1"/>
  <c r="J24" i="15"/>
  <c r="J18" i="15"/>
  <c r="E50" i="15"/>
  <c r="G42" i="4"/>
  <c r="F42" i="7"/>
  <c r="J13" i="15"/>
  <c r="F17" i="15"/>
  <c r="L21" i="7"/>
  <c r="D43" i="7"/>
  <c r="J43" i="7" s="1"/>
  <c r="Q34" i="2" s="1"/>
  <c r="E563" i="18"/>
  <c r="J37" i="7"/>
  <c r="H12" i="24" s="1"/>
  <c r="E198" i="18"/>
  <c r="E25" i="15" s="1"/>
  <c r="I17" i="15"/>
  <c r="I23" i="15" s="1"/>
  <c r="J46" i="7"/>
  <c r="L46" i="7" s="1"/>
  <c r="E1534" i="18"/>
  <c r="E42" i="7"/>
  <c r="J22" i="15"/>
  <c r="H42" i="7"/>
  <c r="E93" i="18"/>
  <c r="D25" i="15" s="1"/>
  <c r="G42" i="7"/>
  <c r="J42" i="4"/>
  <c r="N40" i="4"/>
  <c r="I42" i="7"/>
  <c r="I48" i="7" s="1"/>
  <c r="K23" i="24"/>
  <c r="N23" i="4"/>
  <c r="C22" i="24"/>
  <c r="C9" i="25" s="1"/>
  <c r="F42" i="4"/>
  <c r="E1369" i="18"/>
  <c r="E629" i="18"/>
  <c r="F24" i="15" s="1"/>
  <c r="L24" i="7"/>
  <c r="H22" i="24"/>
  <c r="E1201" i="18"/>
  <c r="I25" i="15" s="1"/>
  <c r="K42" i="4"/>
  <c r="J47" i="7" s="1"/>
  <c r="L47" i="7" s="1"/>
  <c r="E17" i="15"/>
  <c r="E23" i="15" s="1"/>
  <c r="J26" i="15"/>
  <c r="L39" i="7"/>
  <c r="F11" i="15"/>
  <c r="J16" i="15"/>
  <c r="J23" i="7"/>
  <c r="H11" i="24" s="1"/>
  <c r="E1036" i="18"/>
  <c r="H25" i="15" s="1"/>
  <c r="J11" i="15"/>
  <c r="H40" i="8"/>
  <c r="D17" i="24" s="1"/>
  <c r="N44" i="14"/>
  <c r="N48" i="14" s="1"/>
  <c r="E721" i="18"/>
  <c r="G25" i="15" s="1"/>
  <c r="J14" i="15"/>
  <c r="D42" i="7"/>
  <c r="N22" i="14"/>
  <c r="N26" i="14" s="1"/>
  <c r="H20" i="24" s="1"/>
  <c r="K20" i="24" s="1"/>
  <c r="E1505" i="18"/>
  <c r="N19" i="23"/>
  <c r="F45" i="23" s="1"/>
  <c r="F46" i="23" s="1"/>
  <c r="N18" i="23"/>
  <c r="G12" i="24"/>
  <c r="K42" i="7"/>
  <c r="K48" i="7" s="1"/>
  <c r="E42" i="4"/>
  <c r="B22" i="24"/>
  <c r="H18" i="24" l="1"/>
  <c r="K18" i="24" s="1"/>
  <c r="P30" i="23"/>
  <c r="F30" i="22"/>
  <c r="J42" i="7"/>
  <c r="H17" i="24" s="1"/>
  <c r="K17" i="24" s="1"/>
  <c r="F23" i="15"/>
  <c r="L43" i="7"/>
  <c r="L23" i="7"/>
  <c r="N30" i="23"/>
  <c r="M30" i="23"/>
  <c r="L37" i="7"/>
  <c r="J17" i="15"/>
  <c r="J23" i="15" s="1"/>
  <c r="J25" i="15"/>
  <c r="H21" i="24"/>
  <c r="K21" i="24" s="1"/>
  <c r="O48" i="14"/>
  <c r="O26" i="14"/>
  <c r="N42" i="4"/>
  <c r="F25" i="15"/>
  <c r="O30" i="23"/>
  <c r="L30" i="23"/>
  <c r="K22" i="24"/>
  <c r="J48" i="7" l="1"/>
  <c r="A13" i="17" s="1"/>
  <c r="B13" i="17" s="1"/>
  <c r="Q33" i="2"/>
  <c r="L42" i="7"/>
  <c r="C11" i="25"/>
  <c r="A7" i="17"/>
  <c r="B7" i="17" s="1"/>
  <c r="N9" i="7"/>
  <c r="B10" i="2" s="1"/>
  <c r="A9" i="17"/>
  <c r="B9" i="17" s="1"/>
  <c r="A15" i="17" l="1"/>
  <c r="B15" i="17" s="1"/>
  <c r="N10" i="7"/>
  <c r="B12" i="2" s="1"/>
  <c r="A6" i="17"/>
  <c r="B6" i="17" s="1"/>
  <c r="A10" i="17"/>
  <c r="B10" i="17" s="1"/>
  <c r="K11" i="12"/>
  <c r="K10" i="12"/>
  <c r="B18" i="2" s="1"/>
  <c r="A14" i="17"/>
  <c r="B14" i="17" s="1"/>
  <c r="H33" i="6"/>
  <c r="B16" i="2" s="1"/>
  <c r="A8" i="17"/>
  <c r="B8" i="17" s="1"/>
  <c r="A4" i="17"/>
  <c r="B4" i="17" s="1"/>
  <c r="M12" i="22"/>
  <c r="B14" i="2" s="1"/>
  <c r="A3" i="17"/>
  <c r="B3" i="17" s="1"/>
  <c r="L48" i="7"/>
  <c r="A5" i="17"/>
  <c r="B5" i="17" s="1"/>
  <c r="A16" i="17"/>
  <c r="B16" i="17" s="1"/>
  <c r="A12" i="17"/>
  <c r="B12" i="17" s="1"/>
  <c r="C13" i="25"/>
  <c r="C21" i="25" s="1"/>
  <c r="L2" i="2" l="1"/>
  <c r="L4" i="2" s="1"/>
  <c r="A1" i="17"/>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<sst xmlns="http://schemas.openxmlformats.org/spreadsheetml/2006/main" count="6358" uniqueCount="1352">
  <si>
    <t>Charter school</t>
  </si>
  <si>
    <t>County</t>
  </si>
  <si>
    <t>CTDS number</t>
  </si>
  <si>
    <t>File origination date:</t>
  </si>
  <si>
    <t>Charter name</t>
  </si>
  <si>
    <t>d.b.a. (as applicable)</t>
  </si>
  <si>
    <t>State of Arizona</t>
  </si>
  <si>
    <t>Charter School Annual Financial Report</t>
  </si>
  <si>
    <t>Education's website on</t>
  </si>
  <si>
    <t xml:space="preserve">contain(s) the data for the annual financial report </t>
  </si>
  <si>
    <t>described at left.</t>
  </si>
  <si>
    <t>Charter school official signature</t>
  </si>
  <si>
    <t>Email</t>
  </si>
  <si>
    <t>Charter school official (typed name)</t>
  </si>
  <si>
    <t>Total expenses by project</t>
  </si>
  <si>
    <t>1. Schoolwide and Other Special Projects (from page 2, line 33)</t>
  </si>
  <si>
    <t>$</t>
  </si>
  <si>
    <t>Signed</t>
  </si>
  <si>
    <t>Title</t>
  </si>
  <si>
    <t>2. Classroom Site Project (from page 2, line 34)</t>
  </si>
  <si>
    <t xml:space="preserve"> </t>
  </si>
  <si>
    <t>Revenue</t>
  </si>
  <si>
    <t>1000 Local sources</t>
  </si>
  <si>
    <t>Actual</t>
  </si>
  <si>
    <t>1.</t>
  </si>
  <si>
    <t xml:space="preserve">    1310  Tuition from individuals</t>
  </si>
  <si>
    <t>2.</t>
  </si>
  <si>
    <t xml:space="preserve">    1320  Tuition from other Arizona schools or districts</t>
  </si>
  <si>
    <t>3.</t>
  </si>
  <si>
    <t xml:space="preserve">    1410  Transportation fees from individuals</t>
  </si>
  <si>
    <t>1600 Food service revenues (from accounting data)</t>
  </si>
  <si>
    <t>4.</t>
  </si>
  <si>
    <t xml:space="preserve">    1420  Transportation fees from other Arizona schools or districts</t>
  </si>
  <si>
    <t>5.</t>
  </si>
  <si>
    <t xml:space="preserve">    1500  Earnings on investments</t>
  </si>
  <si>
    <t>6.</t>
  </si>
  <si>
    <t xml:space="preserve">    1600  Food service (from Food Service AFR, line 2)</t>
  </si>
  <si>
    <t>7.</t>
  </si>
  <si>
    <t xml:space="preserve">    1700  School activities </t>
  </si>
  <si>
    <t>8.</t>
  </si>
  <si>
    <t xml:space="preserve">    1750  Revenue from enterprise activities</t>
  </si>
  <si>
    <t>9.</t>
  </si>
  <si>
    <t xml:space="preserve">    1790  Extracurricular activities fees tax credit</t>
  </si>
  <si>
    <t>10.</t>
  </si>
  <si>
    <t xml:space="preserve">    1800  Revenue from community services activities</t>
  </si>
  <si>
    <t>11.</t>
  </si>
  <si>
    <t xml:space="preserve">    1900  Other revenues and gains from local sources</t>
  </si>
  <si>
    <t>12.</t>
  </si>
  <si>
    <t xml:space="preserve">    1920  Contributions and donations from private sources</t>
  </si>
  <si>
    <t>13.</t>
  </si>
  <si>
    <t xml:space="preserve">    Other revenue from local sources (specify)</t>
  </si>
  <si>
    <t>14.</t>
  </si>
  <si>
    <t>2000 Intermediate sources</t>
  </si>
  <si>
    <t>15.</t>
  </si>
  <si>
    <t xml:space="preserve">    2100  Unrestricted</t>
  </si>
  <si>
    <t>16.</t>
  </si>
  <si>
    <t xml:space="preserve">    2200  Restricted</t>
  </si>
  <si>
    <t>17.</t>
  </si>
  <si>
    <t xml:space="preserve">    Other revenue from intermediate sources (specify)</t>
  </si>
  <si>
    <t>18.</t>
  </si>
  <si>
    <t>3000 State sources</t>
  </si>
  <si>
    <t>19.</t>
  </si>
  <si>
    <t xml:space="preserve">    3110  State Equalization Assistance</t>
  </si>
  <si>
    <t>20.</t>
  </si>
  <si>
    <t xml:space="preserve">    3130-3150  Other unrestricted</t>
  </si>
  <si>
    <t>21.</t>
  </si>
  <si>
    <t xml:space="preserve">    3200  Restricted</t>
  </si>
  <si>
    <t>22.</t>
  </si>
  <si>
    <t xml:space="preserve">    3900  Revenue for/on behalf of the school</t>
  </si>
  <si>
    <t>23.</t>
  </si>
  <si>
    <t xml:space="preserve">    Other revenue from State sources (specify)</t>
  </si>
  <si>
    <t>24.</t>
  </si>
  <si>
    <t>4000 Federal sources</t>
  </si>
  <si>
    <t>25.</t>
  </si>
  <si>
    <t xml:space="preserve">    4100, 4300  Unrestricted/restricted received directly from the federal government</t>
  </si>
  <si>
    <t>26.</t>
  </si>
  <si>
    <t xml:space="preserve">    4200, 4500  Unrestricted/restricted received from the federal government through the State</t>
  </si>
  <si>
    <t>27.</t>
  </si>
  <si>
    <t xml:space="preserve">    4700 Revenue received from the federal government through other intermediate agencies</t>
  </si>
  <si>
    <t>28.</t>
  </si>
  <si>
    <t xml:space="preserve">    4800 Federal impact aid</t>
  </si>
  <si>
    <t>29.</t>
  </si>
  <si>
    <t xml:space="preserve">    4900 Revenue for/on behalf of the school</t>
  </si>
  <si>
    <t>30.</t>
  </si>
  <si>
    <t xml:space="preserve">    Other revenue from federal sources (specify)</t>
  </si>
  <si>
    <t>31.</t>
  </si>
  <si>
    <t>32.</t>
  </si>
  <si>
    <t>Total revenue from all sources (lines 14, 18, 24, and 31)</t>
  </si>
  <si>
    <t>Employee</t>
  </si>
  <si>
    <t>Purchased</t>
  </si>
  <si>
    <t>Totals</t>
  </si>
  <si>
    <t>% Increase/ decrease in actual</t>
  </si>
  <si>
    <t>Expenses</t>
  </si>
  <si>
    <t>Salaries</t>
  </si>
  <si>
    <t>benefits</t>
  </si>
  <si>
    <t>services</t>
  </si>
  <si>
    <t>Supplies</t>
  </si>
  <si>
    <t>Other</t>
  </si>
  <si>
    <t>Prior year</t>
  </si>
  <si>
    <t>1000 Schoolwide Project and 1500-1999 Other Special Projects</t>
  </si>
  <si>
    <t>6300, 6400, 6500</t>
  </si>
  <si>
    <t>Budget</t>
  </si>
  <si>
    <t>actual</t>
  </si>
  <si>
    <t>100 Regular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</si>
  <si>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</si>
  <si>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</si>
  <si>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</si>
  <si>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</si>
  <si>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</si>
  <si>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</si>
  <si>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</si>
  <si>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</si>
  <si>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</si>
  <si>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</si>
  <si>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t>
  </si>
  <si>
    <t xml:space="preserve">    5000 Debt service</t>
  </si>
  <si>
    <t>610 School-sponsored cocurricular activities</t>
  </si>
  <si>
    <t>620 School-sponsored athletics</t>
  </si>
  <si>
    <t>630 Other instructional programs</t>
  </si>
  <si>
    <t>700, 800, 900 Other programs</t>
  </si>
  <si>
    <t xml:space="preserve">    Subtotal (lines 1-15)</t>
  </si>
  <si>
    <t>200 Special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</si>
  <si>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</si>
  <si>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</si>
  <si>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</si>
  <si>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</si>
  <si>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</si>
  <si>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</si>
  <si>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</si>
  <si>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</si>
  <si>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</si>
  <si>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</si>
  <si>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 </t>
  </si>
  <si>
    <t xml:space="preserve">     5000 Debt service</t>
  </si>
  <si>
    <t xml:space="preserve">     Subtotal (lines 17-27)</t>
  </si>
  <si>
    <t>400 Pupil transportation</t>
  </si>
  <si>
    <t>530 Dropout prevention programs</t>
  </si>
  <si>
    <t>540 Joint career &amp; technical ed. &amp; vocational ed. center</t>
  </si>
  <si>
    <t>550 K-3 Reading</t>
  </si>
  <si>
    <t xml:space="preserve">     Subtotal (lines 16 and 28-32)</t>
  </si>
  <si>
    <t>33.</t>
  </si>
  <si>
    <t>34.</t>
  </si>
  <si>
    <t xml:space="preserve">Instructional Improvement Project </t>
  </si>
  <si>
    <t>35.</t>
  </si>
  <si>
    <t>English Language Learner Project (from page 5, line 14)</t>
  </si>
  <si>
    <t>36.</t>
  </si>
  <si>
    <t>Compensatory Instruction Project (from page 5, line 28 )</t>
  </si>
  <si>
    <t>37.</t>
  </si>
  <si>
    <t>38.</t>
  </si>
  <si>
    <t xml:space="preserve">     Total (lines 33-38)</t>
  </si>
  <si>
    <t>39.</t>
  </si>
  <si>
    <t xml:space="preserve">  County</t>
  </si>
  <si>
    <t xml:space="preserve">Employee </t>
  </si>
  <si>
    <t xml:space="preserve">Purchased </t>
  </si>
  <si>
    <t>Classroom Site Project 1010</t>
  </si>
  <si>
    <t>1000 Instructions</t>
  </si>
  <si>
    <t>2100 Support services—students</t>
  </si>
  <si>
    <t>2200 Support services—instructions</t>
  </si>
  <si>
    <t>2300 Support services—general administration</t>
  </si>
  <si>
    <t>3300 Community services operation</t>
  </si>
  <si>
    <t>Total Classroom Site Project (lines 1-5)</t>
  </si>
  <si>
    <t>Classroom Site Project 1010 property payments</t>
  </si>
  <si>
    <t>Property disbursements</t>
  </si>
  <si>
    <t>Interest 6850</t>
  </si>
  <si>
    <t>Redemption of principal</t>
  </si>
  <si>
    <t>Classroom Site Project</t>
  </si>
  <si>
    <t>Additional Classroom Site Project information</t>
  </si>
  <si>
    <t>Beginning project balance</t>
  </si>
  <si>
    <t>Revenues</t>
  </si>
  <si>
    <t>Interest earned</t>
  </si>
  <si>
    <t>Total revenues (lines 11 and 12)</t>
  </si>
  <si>
    <t>Total available (lines 10 and 13)</t>
  </si>
  <si>
    <r>
      <t>Expenses (</t>
    </r>
    <r>
      <rPr>
        <sz val="10"/>
        <rFont val="Cambria"/>
        <family val="1"/>
      </rPr>
      <t>from lines 6, 7, 8, and 9</t>
    </r>
    <r>
      <rPr>
        <sz val="10"/>
        <rFont val="Times New Roman"/>
        <family val="2"/>
      </rPr>
      <t>)</t>
    </r>
  </si>
  <si>
    <t xml:space="preserve">Ending project balance (line 14 minus line 15) </t>
  </si>
  <si>
    <t>Support</t>
  </si>
  <si>
    <t>Instruction</t>
  </si>
  <si>
    <t>Instructional Improvement Project 1020</t>
  </si>
  <si>
    <t>Teacher compensation increases</t>
  </si>
  <si>
    <t>Class size reduction</t>
  </si>
  <si>
    <t>Dropout prevention programs</t>
  </si>
  <si>
    <t>Instructional improvement programs</t>
  </si>
  <si>
    <t>Total Inst. Imp. expenses (lines 1-4, should equal line 9 below)</t>
  </si>
  <si>
    <t>Additional Instructional Improvement Project information</t>
  </si>
  <si>
    <t>Total available (lines 6 and 7)</t>
  </si>
  <si>
    <t>Expenses (line 5 above)</t>
  </si>
  <si>
    <t>Ending project balance  (line 8 minus line 9)</t>
  </si>
  <si>
    <t>Arizona Industry Credentials Incentive Project—detailed expenses</t>
  </si>
  <si>
    <t>Teacher instructional costs and professional development</t>
  </si>
  <si>
    <t>Student cost of certification, credentialing or licensure</t>
  </si>
  <si>
    <t>Developmental costs</t>
  </si>
  <si>
    <t>Instructional hardware, software or supplies</t>
  </si>
  <si>
    <t>Career exploration</t>
  </si>
  <si>
    <t>Total Arizona Industry Credentials Incentives expenses</t>
  </si>
  <si>
    <t>Beginning</t>
  </si>
  <si>
    <t xml:space="preserve">Employee  </t>
  </si>
  <si>
    <t>Total  expenses</t>
  </si>
  <si>
    <t>Ending</t>
  </si>
  <si>
    <t>Revenues and expenses</t>
  </si>
  <si>
    <t>project</t>
  </si>
  <si>
    <t>balance</t>
  </si>
  <si>
    <t>revenues</t>
  </si>
  <si>
    <t>English Language Learner Project—1071</t>
  </si>
  <si>
    <t>3200 Restricted revenue from State sources</t>
  </si>
  <si>
    <t>1500 Earnings on investments</t>
  </si>
  <si>
    <t>Total revenues (lines 1 and 2)</t>
  </si>
  <si>
    <t>260 Special education—ELL incremental costs</t>
  </si>
  <si>
    <t>1000 Instruction</t>
  </si>
  <si>
    <t>2000 Support services</t>
  </si>
  <si>
    <t>2100 Students</t>
  </si>
  <si>
    <t>2200 Instruction</t>
  </si>
  <si>
    <t>2300 General administration</t>
  </si>
  <si>
    <t>2400 School administration</t>
  </si>
  <si>
    <t>2500 Central services</t>
  </si>
  <si>
    <t xml:space="preserve">2600 Operation &amp; maintenance of plant </t>
  </si>
  <si>
    <t>2900 Other support services</t>
  </si>
  <si>
    <t>Program 260 subtotal (lines 4-11)</t>
  </si>
  <si>
    <t>430 Pupil transportation—ELL incremental costs</t>
  </si>
  <si>
    <t>2700 Student transportation</t>
  </si>
  <si>
    <t>Total (lines 12 and 13)</t>
  </si>
  <si>
    <t>Compensatory Instruction Project—1072</t>
  </si>
  <si>
    <t>Total revenues (lines 15 and 16)</t>
  </si>
  <si>
    <t>265 Special education—ELL compensatory instruction</t>
  </si>
  <si>
    <t>Program 265 subtotal (lines 18-25)</t>
  </si>
  <si>
    <t>435 Pupil Trans.—ELL compensatory instruction</t>
  </si>
  <si>
    <t>Total (lines 26 and 27)</t>
  </si>
  <si>
    <t>Supplementary information</t>
  </si>
  <si>
    <t>A.</t>
  </si>
  <si>
    <t>Cash balance</t>
  </si>
  <si>
    <t>F.</t>
  </si>
  <si>
    <t>Number of full-time equivalent certified teachers</t>
  </si>
  <si>
    <t>Number of full-time equivalent noncertified teachers</t>
  </si>
  <si>
    <t>B.</t>
  </si>
  <si>
    <t>Audit services</t>
  </si>
  <si>
    <t>Number of full-time equivalent contract teachers</t>
  </si>
  <si>
    <t>1.  Nonfederal</t>
  </si>
  <si>
    <t>Number of schools</t>
  </si>
  <si>
    <t>2.  Federal</t>
  </si>
  <si>
    <t>Actual days in session</t>
  </si>
  <si>
    <t>3.     Total (lines 1 and 2)</t>
  </si>
  <si>
    <t>Tuition expense (except payments to other Arizona schools or districts)</t>
  </si>
  <si>
    <t>Tuition expense (paid to other Arizona schools or districts)</t>
  </si>
  <si>
    <t>C.</t>
  </si>
  <si>
    <t>Capital acquisitions</t>
  </si>
  <si>
    <t>Textbooks (function 1000, object code 6642)</t>
  </si>
  <si>
    <t>1.  0181  Intangible assets</t>
  </si>
  <si>
    <t>2.  0191  Land and land improvements</t>
  </si>
  <si>
    <t>3.  0192  Site improvements</t>
  </si>
  <si>
    <t>Certified</t>
  </si>
  <si>
    <t>Noncertified</t>
  </si>
  <si>
    <t>Contract</t>
  </si>
  <si>
    <t>4.  0194  Buildings and building improvements</t>
  </si>
  <si>
    <t>G.</t>
  </si>
  <si>
    <t>Teacher salaries</t>
  </si>
  <si>
    <t>teachers</t>
  </si>
  <si>
    <t>substitutes</t>
  </si>
  <si>
    <t>5.  0196  Equipment</t>
  </si>
  <si>
    <t xml:space="preserve"> (function 1000)</t>
  </si>
  <si>
    <t>(object 6112)</t>
  </si>
  <si>
    <t>(object 6152)</t>
  </si>
  <si>
    <t>(object 6113)</t>
  </si>
  <si>
    <t>(object 6153)</t>
  </si>
  <si>
    <t>(object 6325)</t>
  </si>
  <si>
    <t>6.  0198  Construction in progress</t>
  </si>
  <si>
    <t xml:space="preserve">Regular education </t>
  </si>
  <si>
    <t>7.     Total capital acquisitions (lines 1-6)</t>
  </si>
  <si>
    <t>Special education</t>
  </si>
  <si>
    <t xml:space="preserve">Vocational education </t>
  </si>
  <si>
    <t>D.</t>
  </si>
  <si>
    <t>Other programs</t>
  </si>
  <si>
    <t>Cocurr. act., athletics, &amp; other (program 600)</t>
  </si>
  <si>
    <t xml:space="preserve">H. </t>
  </si>
  <si>
    <t>Average teacher salary (A.R.S. §15-189.05, as added by Laws 2018, Ch. 285, §3)</t>
  </si>
  <si>
    <t>7.     Total (lines 1-6)</t>
  </si>
  <si>
    <t>E.</t>
  </si>
  <si>
    <t>Current expenses by category</t>
  </si>
  <si>
    <t>1.  Classroom instruction excluding classroom supplies (function 1000,</t>
  </si>
  <si>
    <t>Percentage increase</t>
  </si>
  <si>
    <t xml:space="preserve">     except line 2 amount)</t>
  </si>
  <si>
    <t>2.  Classroom supplies (function 1000, object code 6600)</t>
  </si>
  <si>
    <t>3.  Administration (functions 2300, 2400, 2500, and 2900)</t>
  </si>
  <si>
    <t>Comments on average salary calculation (optional):</t>
  </si>
  <si>
    <t>4.  Support services—students (function 2100)</t>
  </si>
  <si>
    <t>5.  All other support services and operations (functions 2200, 2600,</t>
  </si>
  <si>
    <t xml:space="preserve">    2700, 3100, and 3400)</t>
  </si>
  <si>
    <t>6.     Total (lines 1-5)</t>
  </si>
  <si>
    <t>7. Current expenses from federal sources</t>
  </si>
  <si>
    <t>8. Current expenses from State and local sources</t>
  </si>
  <si>
    <t>Supplementary information (Cont’d)</t>
  </si>
  <si>
    <t>A. Enrollment of gifted pupils by grade</t>
  </si>
  <si>
    <t>Grade</t>
  </si>
  <si>
    <t>Areas of identification</t>
  </si>
  <si>
    <t>K</t>
  </si>
  <si>
    <t>Total</t>
  </si>
  <si>
    <t xml:space="preserve"> 1. Quantitative reasoning</t>
  </si>
  <si>
    <t xml:space="preserve"> 2. Verbal reasoning</t>
  </si>
  <si>
    <t xml:space="preserve"> 3. Nonverbal reasoning</t>
  </si>
  <si>
    <t xml:space="preserve"> 4. Total duplicated enrollment</t>
  </si>
  <si>
    <t xml:space="preserve">        (lines 1-3)</t>
  </si>
  <si>
    <t>B. Expenses for gifted pupils</t>
  </si>
  <si>
    <t>(elementary &amp; secondary)</t>
  </si>
  <si>
    <t>C. Special education programs by type</t>
  </si>
  <si>
    <t>Program 200 budget</t>
  </si>
  <si>
    <t>Program 200 actual</t>
  </si>
  <si>
    <t>Actual expenses for all gifted programs:</t>
  </si>
  <si>
    <t>Total all disability classifications</t>
  </si>
  <si>
    <t>K-8</t>
  </si>
  <si>
    <t>Gifted education</t>
  </si>
  <si>
    <t>9-12</t>
  </si>
  <si>
    <t>ELL incremental costs</t>
  </si>
  <si>
    <t xml:space="preserve">   Total</t>
  </si>
  <si>
    <t>ELL compensatory instruction</t>
  </si>
  <si>
    <t>Remedial education</t>
  </si>
  <si>
    <t>Vocational and technical education</t>
  </si>
  <si>
    <t>Career education</t>
  </si>
  <si>
    <t>Total (lines 1-7)</t>
  </si>
  <si>
    <t>Expenses incurred for transporting students with disabilities (as defined in A.R.S. §15-761) unique to the IEP</t>
  </si>
  <si>
    <t>Federal and State projects</t>
  </si>
  <si>
    <t>Adjusted</t>
  </si>
  <si>
    <t>Indirect</t>
  </si>
  <si>
    <t>Redemption</t>
  </si>
  <si>
    <t>Capital</t>
  </si>
  <si>
    <t>costs</t>
  </si>
  <si>
    <t>Reversions</t>
  </si>
  <si>
    <t xml:space="preserve">of </t>
  </si>
  <si>
    <t>acquisitions</t>
  </si>
  <si>
    <t>Federal projects</t>
  </si>
  <si>
    <t>principal</t>
  </si>
  <si>
    <t>1100-1130 ESEA Title I—Helping Disadvantaged Children</t>
  </si>
  <si>
    <t>1140-1150 ESEA Title II—Prof. Dev. And Technology</t>
  </si>
  <si>
    <t>1160 ESEA  Title IV—21st Century Schools</t>
  </si>
  <si>
    <t>1170-1180 ESEA Title V—Promote Informed Parent Choice</t>
  </si>
  <si>
    <t>1190 ESEA  Title III—Limited Eng. &amp; Immigrant Students</t>
  </si>
  <si>
    <t>1200 ESEA Title VII—Indian Education</t>
  </si>
  <si>
    <t>1210 ESEA Title VI—Flexibility and Accountability</t>
  </si>
  <si>
    <t>1220 IDEA, Part B, including ARP—IDEA Grants</t>
  </si>
  <si>
    <t>1230 Johnson-O'Malley</t>
  </si>
  <si>
    <t>1240 Workforce Investment Act</t>
  </si>
  <si>
    <t>1250 AEA—Adult Education</t>
  </si>
  <si>
    <t>1260-1270 Vocational Education—Basic Grants</t>
  </si>
  <si>
    <t>1280 ESEA Title X—Homeless Education</t>
  </si>
  <si>
    <t>1290 Medicaid Reimbursement</t>
  </si>
  <si>
    <t>1300 Charter School Implementation Project (Stimulus)</t>
  </si>
  <si>
    <t>13__ Impact Aid</t>
  </si>
  <si>
    <t>1310-1399 Other Federal Projects</t>
  </si>
  <si>
    <t xml:space="preserve">     Total federal projects (lines 1-17)</t>
  </si>
  <si>
    <t>Total COVID-19 federal relief projects included above</t>
  </si>
  <si>
    <t>State projects</t>
  </si>
  <si>
    <t>1400 Vocational Education</t>
  </si>
  <si>
    <t>1410 Early Childhood Block Grant</t>
  </si>
  <si>
    <t>1420 Extended School Year—Pupils with Disabilities</t>
  </si>
  <si>
    <t>1425 Adult Basic Education</t>
  </si>
  <si>
    <t>1430 Chemical Abuse Prevention Programs</t>
  </si>
  <si>
    <t>1435 Academic Contests</t>
  </si>
  <si>
    <t>1450 Gifted Education</t>
  </si>
  <si>
    <t>1456 College Credit Exam Incentives</t>
  </si>
  <si>
    <t>1460 Environmental Special Plate</t>
  </si>
  <si>
    <t>1465 Charter School Stimulus Fund</t>
  </si>
  <si>
    <t>14_ Arizona Industry Credentials Incentive</t>
  </si>
  <si>
    <t>1470-1499 Other State Projects</t>
  </si>
  <si>
    <t>Additional information for National Public Education Financial Survey Reporting</t>
  </si>
  <si>
    <t>Programs 100-630</t>
  </si>
  <si>
    <t>Dues and</t>
  </si>
  <si>
    <t>6800</t>
  </si>
  <si>
    <t>6300, 6400,</t>
  </si>
  <si>
    <t>fees</t>
  </si>
  <si>
    <t>Miscellaneous</t>
  </si>
  <si>
    <t xml:space="preserve">(excluding 6810,   </t>
  </si>
  <si>
    <t>Property</t>
  </si>
  <si>
    <t>Projects (1000-1999)</t>
  </si>
  <si>
    <t>6850 and 6890)</t>
  </si>
  <si>
    <t>disbursements</t>
  </si>
  <si>
    <t xml:space="preserve">      2100 Students</t>
  </si>
  <si>
    <t xml:space="preserve">      2200 Instruction</t>
  </si>
  <si>
    <t xml:space="preserve">      2300 General administration</t>
  </si>
  <si>
    <t xml:space="preserve">      2400 School administration</t>
  </si>
  <si>
    <t xml:space="preserve">      2500, 2900 Central services, other support services </t>
  </si>
  <si>
    <t xml:space="preserve">      2600 Operation &amp; maintenance of plant</t>
  </si>
  <si>
    <t xml:space="preserve">      2700 Student transportation</t>
  </si>
  <si>
    <t>3000 Operation of noninstructional services</t>
  </si>
  <si>
    <t xml:space="preserve">      3100 Food service operations</t>
  </si>
  <si>
    <t xml:space="preserve">      3400 Bookstore operations</t>
  </si>
  <si>
    <t>Total (lines 1-10)</t>
  </si>
  <si>
    <t>From federal sources (from line 11 above)</t>
  </si>
  <si>
    <t>From State &amp; local sources (from line 11 above)</t>
  </si>
  <si>
    <t>4000 Facilities acquisition &amp; construction</t>
  </si>
  <si>
    <t>All expense</t>
  </si>
  <si>
    <t>object codes</t>
  </si>
  <si>
    <t xml:space="preserve">     1. Sinking funds</t>
  </si>
  <si>
    <t>(excluding</t>
  </si>
  <si>
    <t xml:space="preserve">Property </t>
  </si>
  <si>
    <t xml:space="preserve">     2. Bond funds</t>
  </si>
  <si>
    <t>6700 and 6900)</t>
  </si>
  <si>
    <t xml:space="preserve">     3. Other funds, except for any employee retirement funds</t>
  </si>
  <si>
    <t>1. Program 700—Adult/continuing education programs</t>
  </si>
  <si>
    <t>2. Program 800—Community college education programs</t>
  </si>
  <si>
    <t>3. Program 900—Community services program</t>
  </si>
  <si>
    <t>Long-term and short-term debt</t>
  </si>
  <si>
    <t>4. Function 3300—Community services operations (programs 700-900)</t>
  </si>
  <si>
    <t>Property disbursements by type</t>
  </si>
  <si>
    <t>All programs</t>
  </si>
  <si>
    <t xml:space="preserve">     1. Intangible assets</t>
  </si>
  <si>
    <t xml:space="preserve">     2. Land and land improvements</t>
  </si>
  <si>
    <t xml:space="preserve">     3. Buildings</t>
  </si>
  <si>
    <t xml:space="preserve">     4. Equipment</t>
  </si>
  <si>
    <t xml:space="preserve">     5. Construction</t>
  </si>
  <si>
    <t>Utilities and energy detail (only function 2600)</t>
  </si>
  <si>
    <t xml:space="preserve">     1. 6410 Utility services</t>
  </si>
  <si>
    <t>Debt service</t>
  </si>
  <si>
    <t xml:space="preserve">     2. 6621-6626 Energy</t>
  </si>
  <si>
    <t xml:space="preserve">     1. 6850 Interest</t>
  </si>
  <si>
    <t xml:space="preserve">     2. Redemption of principal</t>
  </si>
  <si>
    <t xml:space="preserve">     3. 6800 Other (function 5000, excluding 6850)</t>
  </si>
  <si>
    <t>Technology (all functions)</t>
  </si>
  <si>
    <t xml:space="preserve">     1. 6330 Technical services</t>
  </si>
  <si>
    <t xml:space="preserve">Revenue from selected federal sources </t>
  </si>
  <si>
    <t xml:space="preserve">     2. 6432 Technology-related repairs and maintenance </t>
  </si>
  <si>
    <t xml:space="preserve">     1. ESEA Title IV—Student Support and Academic Enrichment Grants</t>
  </si>
  <si>
    <t xml:space="preserve">     3. 6441 Rental of computers and related equipment</t>
  </si>
  <si>
    <t xml:space="preserve">     2. ESEA Title IV—21st Century Community Learning Centers</t>
  </si>
  <si>
    <t xml:space="preserve">     4. 6531 Telecommunications</t>
  </si>
  <si>
    <t xml:space="preserve">     3. ESEA Title V—Rural Education-Rural and Low-Income School Program</t>
  </si>
  <si>
    <t xml:space="preserve">     5. 6650 Technology-related supplies </t>
  </si>
  <si>
    <t xml:space="preserve">     4. ESEA Title V—Rural Education-Small, Rural School Achievement Program</t>
  </si>
  <si>
    <t xml:space="preserve">     6. Technology-related hardware and software</t>
  </si>
  <si>
    <t>Support services-instruction detail</t>
  </si>
  <si>
    <t xml:space="preserve">     1. 2220 Improvement of instruction</t>
  </si>
  <si>
    <t xml:space="preserve">     2. 2230 Library/media services</t>
  </si>
  <si>
    <t>Additional information for National Public Education Financial Survey (NPEFS) reporting of COVID-19 federal relief projects</t>
  </si>
  <si>
    <t>Programs 700-900</t>
  </si>
  <si>
    <t xml:space="preserve">Judgements </t>
  </si>
  <si>
    <t>All</t>
  </si>
  <si>
    <t>Current expenses from COVID-19 federal relief projects</t>
  </si>
  <si>
    <t>against the school</t>
  </si>
  <si>
    <t xml:space="preserve">(excluding 6810, </t>
  </si>
  <si>
    <t>Object Codes</t>
  </si>
  <si>
    <t>6820, 6850, and 6890)</t>
  </si>
  <si>
    <t>(excluding 6900)</t>
  </si>
  <si>
    <t>2100, 2200  Student Support Services</t>
  </si>
  <si>
    <t>2300, 2500, 2900 Other Support Services</t>
  </si>
  <si>
    <t>2600 Operation &amp; maintenance of plant</t>
  </si>
  <si>
    <t>3100 Food service operations</t>
  </si>
  <si>
    <t>3400 Bookstore operations</t>
  </si>
  <si>
    <t>Total (lines 1-9)</t>
  </si>
  <si>
    <t>Technology related expenses from COVID-19 federal relief projects</t>
  </si>
  <si>
    <t>Total spending detail</t>
  </si>
  <si>
    <t>Classroom spending detail</t>
  </si>
  <si>
    <t>Property disbursement detail for COVID-19 federal relief projects</t>
  </si>
  <si>
    <t>Indirect costs from COVID-19 federal relief projects</t>
  </si>
  <si>
    <t>1. 6330 Technical services</t>
  </si>
  <si>
    <t>1. Intangible assets</t>
  </si>
  <si>
    <t>1. 6900 Indirect costs</t>
  </si>
  <si>
    <t xml:space="preserve">2. 6432 Technology-related repairs and maintenance </t>
  </si>
  <si>
    <t>2. Land and land improvements</t>
  </si>
  <si>
    <t>3. 6441 Rental of computers and related equipment</t>
  </si>
  <si>
    <t>3. Buildings</t>
  </si>
  <si>
    <t>Property disbursements from COVID-19 federal relief projects</t>
  </si>
  <si>
    <t>4. 6531 Telecommunications</t>
  </si>
  <si>
    <t>4. Equipment</t>
  </si>
  <si>
    <t>1. Program 700 Adult/continuing education programs</t>
  </si>
  <si>
    <t>5. 6650 Technology-related supplies &amp; purchased services (less than $5,000)</t>
  </si>
  <si>
    <t>5. Construction</t>
  </si>
  <si>
    <t>2. Program 800 Community college education programs</t>
  </si>
  <si>
    <t>6. Technology-related hardware &amp; software ($5,000 or more)</t>
  </si>
  <si>
    <t>3. Program 900 Community services program</t>
  </si>
  <si>
    <t xml:space="preserve">7. 6641-43 Software reported in library books, textbooks, or instructional aids </t>
  </si>
  <si>
    <t>Debt service detail for COVID-19 federal relief projects</t>
  </si>
  <si>
    <t>1. 6850 Interest</t>
  </si>
  <si>
    <t>2. Redemption of principal</t>
  </si>
  <si>
    <t/>
  </si>
  <si>
    <t>COVID-19 federal relief projects</t>
  </si>
  <si>
    <t>Total Award
(all fiscal years)</t>
  </si>
  <si>
    <t>Amount
remaining to
spend</t>
  </si>
  <si>
    <t>Paycheck Protection Program</t>
  </si>
  <si>
    <t>1. Total loan amount received</t>
  </si>
  <si>
    <t>1. Elementary and Secondary School Emergency Relief Funds (ESSER I)</t>
  </si>
  <si>
    <t>2. Total PPP loans spent in all fiscal years</t>
  </si>
  <si>
    <t>2. Elementary and Secondary School Emergency Relief Funds (ESSER II)</t>
  </si>
  <si>
    <t xml:space="preserve">3. Total loan amount approved for forgiveness </t>
  </si>
  <si>
    <t>3. Elementary and Secondary School Emergency Relief Funds (ESSER III)</t>
  </si>
  <si>
    <t>4. Total amounts returned to Small Business Administration</t>
  </si>
  <si>
    <t>4. Governor’s Emergency Education Relief Funds (GEER) - includes Acceleration Academies Program</t>
  </si>
  <si>
    <t>5. Total loan amount remaining (line 1 minus lines 2 and 4, final amount should equal 0)</t>
  </si>
  <si>
    <t>5. Coronavirus Relief Fund (CRF)—Enrollment Stability Grant (ESG) Program</t>
  </si>
  <si>
    <t>6. Other COVID-19 federal relief projects</t>
  </si>
  <si>
    <t>7. Total</t>
  </si>
  <si>
    <t>Avg. Daily Membership</t>
  </si>
  <si>
    <t>Attending</t>
  </si>
  <si>
    <t xml:space="preserve">                                            Annual Financial Report Summary</t>
  </si>
  <si>
    <t xml:space="preserve">Adjusted </t>
  </si>
  <si>
    <t xml:space="preserve">Revenues </t>
  </si>
  <si>
    <t>Budgeted Expenses</t>
  </si>
  <si>
    <t>Actual Expenses</t>
  </si>
  <si>
    <t xml:space="preserve">Redemption of </t>
  </si>
  <si>
    <t>Project/Program</t>
  </si>
  <si>
    <t>Project Balance</t>
  </si>
  <si>
    <t>Indirect costs</t>
  </si>
  <si>
    <t xml:space="preserve">principal </t>
  </si>
  <si>
    <t>Additional reserve information</t>
  </si>
  <si>
    <t>Regular Education</t>
  </si>
  <si>
    <t>Special Education</t>
  </si>
  <si>
    <t>Pupil Transportation</t>
  </si>
  <si>
    <t>Dropout Prevention Programs</t>
  </si>
  <si>
    <t>Joint Career &amp; Tech. Ed. &amp; Voc. Ed. Center</t>
  </si>
  <si>
    <t>K-3 Reading Program</t>
  </si>
  <si>
    <t>Schoolwide and other special projects</t>
  </si>
  <si>
    <t>Classroom Site</t>
  </si>
  <si>
    <t>Instructional Improvement</t>
  </si>
  <si>
    <t>English Language Learner</t>
  </si>
  <si>
    <t>Compensatory Instruction</t>
  </si>
  <si>
    <t>Federal Projects</t>
  </si>
  <si>
    <t>State Projects</t>
  </si>
  <si>
    <t>All Projects</t>
  </si>
  <si>
    <t>x</t>
  </si>
  <si>
    <t>3.a</t>
  </si>
  <si>
    <t>Deficit balance</t>
  </si>
  <si>
    <t>3.b</t>
  </si>
  <si>
    <t>3.c</t>
  </si>
  <si>
    <t>3.d</t>
  </si>
  <si>
    <t>3.e</t>
  </si>
  <si>
    <t>3.f</t>
  </si>
  <si>
    <t>Maintained for future financial stability</t>
  </si>
  <si>
    <t>3.g</t>
  </si>
  <si>
    <t>Maintained for other purposes (Specify)</t>
  </si>
  <si>
    <t>3.h</t>
  </si>
  <si>
    <t>3.i</t>
  </si>
  <si>
    <t>Yes</t>
  </si>
  <si>
    <t>No</t>
  </si>
  <si>
    <t xml:space="preserve">3. </t>
  </si>
  <si>
    <t xml:space="preserve">Project(s) </t>
  </si>
  <si>
    <t>Method used to establish a targeted project balance reserve amount</t>
  </si>
  <si>
    <t>Total:</t>
  </si>
  <si>
    <t>See page 3. Classroom Site Project revenue information is not complete. Ensure that all revenues have been recorded for Project 1010—Classroom Site, on page 3, lines 11 and 12. Classroom Site Project YTD payment reports can be obtained from ADE at https://apps.azed.gov/SchoolFinanceReports/Reports.</t>
  </si>
  <si>
    <t>Page 4, Instructional Improvement Project revenue is not complete. Ensure revenue has been reported for the Instructional Improvement Project on page 4, line 7. Instructional Improvement Project YTD payment reports can be obtained from ADE at https://apps.azed.gov/SchoolFinanceReports/Reports.</t>
  </si>
  <si>
    <t>Page 6, section E, line 3 is not accurate based on amounts reported on page 2 for functions 2300, 2400, 2500 and 2900. The expense reported on page 6 should be greater than those amounts reported on page 2. Ensure the amount reported on page 6, section E, line 3 for current administration expense is accurate.</t>
  </si>
  <si>
    <t>Page 6, section F, lines 1-3 are not complete as the Charter did not report any FTE for teachers.</t>
  </si>
  <si>
    <t>Page 6, section G, teachers salaries table is not complete. Ensure all teacher salary information is reported on page 6, section G. The sum of all salary amounts reported must be greater than 0.</t>
  </si>
  <si>
    <t>Page 6, sections F and G do not appear appropriate. Ensure the number of FTE teachers reported in section F and the teacher salaries reported in section G are correct.</t>
  </si>
  <si>
    <t xml:space="preserve">Page 7, section C, special education programs by type table does not include all program 200 SPED expenses. Ensure all special education expenses are reported by type on page 7, section C, lines 1-7. The total on page 7 should include special education expenses reported on pages 2 and 6. </t>
  </si>
  <si>
    <t>Page 9, property disbursements by type table is not complete. Ensure all property disbursements have been reported in the property disbursements by type table on page 9. Total property disbursements in this table should equal the sum of property disbursements in the two preceding tables above on page 9. If there were no property disbursements during the fiscal year, then record a 0 for each line item in the table as applicable. This information is needed for NPEFS reporting.</t>
  </si>
  <si>
    <t xml:space="preserve">Page 9, NPEFS information is not accurate based on amounts reported throughout the AFR. This alert compares total expenses reported on page 2, line 39 to the sum of the following expenses: page 9, lines 11 and 14 (excluding property disbursements), page 9 expenses for programs 700-900 and function 3300 (excluding property disbursements), the debt service—interest expense, and the debt service—other expense. The sum of the applicable amounts on page 9 should be greater than the expense reported on page 2, line 39. </t>
  </si>
  <si>
    <t>Page 8, line 19 is not complete. Ensure all COVID-19 amounts are reported on line 19. If the Charter does not have any activity to report, enter a 0 on the line item(s) as applicable. Line 19 cannot be left blank.</t>
  </si>
  <si>
    <t>Charters must complete all required detail for each school site, including charters with only one school.</t>
  </si>
  <si>
    <t>School #</t>
  </si>
  <si>
    <t>School name</t>
  </si>
  <si>
    <t>School CTDS</t>
  </si>
  <si>
    <t>Unweighted attending student count</t>
  </si>
  <si>
    <t>Unit code(s)</t>
  </si>
  <si>
    <t>Primary unit code</t>
  </si>
  <si>
    <t>Comments</t>
  </si>
  <si>
    <t>Charterwide</t>
  </si>
  <si>
    <t>School Listing–Charterwide</t>
  </si>
  <si>
    <t>Private schools</t>
  </si>
  <si>
    <t>School Listing–Private Schools</t>
  </si>
  <si>
    <t>CTED (Member Districts)</t>
  </si>
  <si>
    <t>School Listing–CTED (Member Districts)</t>
  </si>
  <si>
    <t>School 1</t>
  </si>
  <si>
    <t>School Listing–School 1</t>
  </si>
  <si>
    <t>School 2</t>
  </si>
  <si>
    <t>School Listing–School 2</t>
  </si>
  <si>
    <t>School 3</t>
  </si>
  <si>
    <t>School Listing–School 3</t>
  </si>
  <si>
    <t>School 4</t>
  </si>
  <si>
    <t>School Listing–School 4</t>
  </si>
  <si>
    <t>School 5</t>
  </si>
  <si>
    <t>School Listing–School 5</t>
  </si>
  <si>
    <t>School 6</t>
  </si>
  <si>
    <t>School Listing–School 6</t>
  </si>
  <si>
    <t>School 7</t>
  </si>
  <si>
    <t>School Listing–School 7</t>
  </si>
  <si>
    <t>School 8</t>
  </si>
  <si>
    <t>School Listing–School 8</t>
  </si>
  <si>
    <t>School 9</t>
  </si>
  <si>
    <t>School Listing–School 9</t>
  </si>
  <si>
    <t>School 10</t>
  </si>
  <si>
    <t>School Listing–School 10</t>
  </si>
  <si>
    <t>School 11</t>
  </si>
  <si>
    <t>School Listing–School 11</t>
  </si>
  <si>
    <t>School 12</t>
  </si>
  <si>
    <t>School Listing–School 12</t>
  </si>
  <si>
    <t>School 13</t>
  </si>
  <si>
    <t>School Listing–School 13</t>
  </si>
  <si>
    <t>School 14</t>
  </si>
  <si>
    <t>School Listing–School 14</t>
  </si>
  <si>
    <t>School 15</t>
  </si>
  <si>
    <t>School Listing–School 15</t>
  </si>
  <si>
    <t>School 16</t>
  </si>
  <si>
    <t>School Listing–School 16</t>
  </si>
  <si>
    <t>School 17</t>
  </si>
  <si>
    <t>School Listing–School 17</t>
  </si>
  <si>
    <t>School 18</t>
  </si>
  <si>
    <t>School Listing–School 18</t>
  </si>
  <si>
    <t>School 19</t>
  </si>
  <si>
    <t>School Listing–School 19</t>
  </si>
  <si>
    <t>School 20</t>
  </si>
  <si>
    <t>School Listing–School 20</t>
  </si>
  <si>
    <t>School 21</t>
  </si>
  <si>
    <t>School Listing–School 21</t>
  </si>
  <si>
    <t>School 22</t>
  </si>
  <si>
    <t>School Listing–School 22</t>
  </si>
  <si>
    <t>School 23</t>
  </si>
  <si>
    <t>School Listing–School 23</t>
  </si>
  <si>
    <t>School 24</t>
  </si>
  <si>
    <t>School Listing–School 24</t>
  </si>
  <si>
    <t>School 25</t>
  </si>
  <si>
    <t>School Listing–School 25</t>
  </si>
  <si>
    <t>School 26</t>
  </si>
  <si>
    <t>School Listing–School 26</t>
  </si>
  <si>
    <t>School 27</t>
  </si>
  <si>
    <t>School Listing–School 27</t>
  </si>
  <si>
    <t>School 28</t>
  </si>
  <si>
    <t>School Listing–School 28</t>
  </si>
  <si>
    <t>School 29</t>
  </si>
  <si>
    <t>School Listing–School 29</t>
  </si>
  <si>
    <t>School 30</t>
  </si>
  <si>
    <t>School Listing–School 30</t>
  </si>
  <si>
    <t>School 31</t>
  </si>
  <si>
    <t>School Listing–School 31</t>
  </si>
  <si>
    <t>School 32</t>
  </si>
  <si>
    <t>School Listing–School 32</t>
  </si>
  <si>
    <t>School 33</t>
  </si>
  <si>
    <t>School Listing–School 33</t>
  </si>
  <si>
    <t>School 34</t>
  </si>
  <si>
    <t>School Listing–School 34</t>
  </si>
  <si>
    <t>School 35</t>
  </si>
  <si>
    <t>School Listing–School 35</t>
  </si>
  <si>
    <t>School 36</t>
  </si>
  <si>
    <t>School Listing–School 36</t>
  </si>
  <si>
    <t>School 37</t>
  </si>
  <si>
    <t>School Listing–School 37</t>
  </si>
  <si>
    <t>School 38</t>
  </si>
  <si>
    <t>School Listing–School 38</t>
  </si>
  <si>
    <t>School 39</t>
  </si>
  <si>
    <t>School Listing–School 39</t>
  </si>
  <si>
    <t>School 40</t>
  </si>
  <si>
    <t>School Listing–School 40</t>
  </si>
  <si>
    <t>School 41</t>
  </si>
  <si>
    <t>School Listing–School 41</t>
  </si>
  <si>
    <t>School 42</t>
  </si>
  <si>
    <t>School Listing–School 42</t>
  </si>
  <si>
    <t>School 43</t>
  </si>
  <si>
    <t>School Listing–School 43</t>
  </si>
  <si>
    <t>School 44</t>
  </si>
  <si>
    <t>School Listing–School 44</t>
  </si>
  <si>
    <t>School 45</t>
  </si>
  <si>
    <t>School Listing–School 45</t>
  </si>
  <si>
    <t>School 46</t>
  </si>
  <si>
    <t>School Listing–School 46</t>
  </si>
  <si>
    <t>School 47</t>
  </si>
  <si>
    <t>School Listing–School 47</t>
  </si>
  <si>
    <t>School 48</t>
  </si>
  <si>
    <t>School Listing–School 48</t>
  </si>
  <si>
    <t>School 49</t>
  </si>
  <si>
    <t>School Listing–School 49</t>
  </si>
  <si>
    <t>School 50</t>
  </si>
  <si>
    <t>School Listing–School 50</t>
  </si>
  <si>
    <t>School 51</t>
  </si>
  <si>
    <t>School Listing–School 51</t>
  </si>
  <si>
    <t>School 52</t>
  </si>
  <si>
    <t>School Listing–School 52</t>
  </si>
  <si>
    <t>School 53</t>
  </si>
  <si>
    <t>School Listing–School 53</t>
  </si>
  <si>
    <t>School 54</t>
  </si>
  <si>
    <t>School Listing–School 54</t>
  </si>
  <si>
    <t>School 55</t>
  </si>
  <si>
    <t>School Listing–School 55</t>
  </si>
  <si>
    <t>School 56</t>
  </si>
  <si>
    <t>School Listing–School 56</t>
  </si>
  <si>
    <t>School 57</t>
  </si>
  <si>
    <t>School Listing–School 57</t>
  </si>
  <si>
    <t>School 58</t>
  </si>
  <si>
    <t>School Listing–School 58</t>
  </si>
  <si>
    <t>School 59</t>
  </si>
  <si>
    <t>School Listing–School 59</t>
  </si>
  <si>
    <t>School 60</t>
  </si>
  <si>
    <t>School Listing–School 60</t>
  </si>
  <si>
    <t>School 61</t>
  </si>
  <si>
    <t>School Listing–School 61</t>
  </si>
  <si>
    <t>School 62</t>
  </si>
  <si>
    <t>School Listing–School 62</t>
  </si>
  <si>
    <t>School 63</t>
  </si>
  <si>
    <t>School Listing–School 63</t>
  </si>
  <si>
    <t>School 64</t>
  </si>
  <si>
    <t>School Listing–School 64</t>
  </si>
  <si>
    <t>School 65</t>
  </si>
  <si>
    <t>School Listing–School 65</t>
  </si>
  <si>
    <t>School 66</t>
  </si>
  <si>
    <t>School Listing–School 66</t>
  </si>
  <si>
    <t>School 67</t>
  </si>
  <si>
    <t>School Listing–School 67</t>
  </si>
  <si>
    <t>School 68</t>
  </si>
  <si>
    <t>School Listing–School 68</t>
  </si>
  <si>
    <t>School 69</t>
  </si>
  <si>
    <t>School Listing–School 69</t>
  </si>
  <si>
    <t>School 70</t>
  </si>
  <si>
    <t>School Listing–School 70</t>
  </si>
  <si>
    <t>School 71</t>
  </si>
  <si>
    <t>School Listing–School 71</t>
  </si>
  <si>
    <t>School 72</t>
  </si>
  <si>
    <t>School Listing–School 72</t>
  </si>
  <si>
    <t>School 73</t>
  </si>
  <si>
    <t>School Listing–School 73</t>
  </si>
  <si>
    <t>School 74</t>
  </si>
  <si>
    <t>School Listing–School 74</t>
  </si>
  <si>
    <t>School 75</t>
  </si>
  <si>
    <t>School Listing–School 75</t>
  </si>
  <si>
    <t>School 76</t>
  </si>
  <si>
    <t>School Listing–School 76</t>
  </si>
  <si>
    <t>School 77</t>
  </si>
  <si>
    <t>School Listing–School 77</t>
  </si>
  <si>
    <t>School 78</t>
  </si>
  <si>
    <t>School Listing–School 78</t>
  </si>
  <si>
    <t>School 79</t>
  </si>
  <si>
    <t>School Listing–School 79</t>
  </si>
  <si>
    <t>School 80</t>
  </si>
  <si>
    <t>School Listing–School 80</t>
  </si>
  <si>
    <t>School 81</t>
  </si>
  <si>
    <t>School Listing–School 81</t>
  </si>
  <si>
    <t>School 82</t>
  </si>
  <si>
    <t>School Listing–School 82</t>
  </si>
  <si>
    <t>School 83</t>
  </si>
  <si>
    <t>School Listing–School 83</t>
  </si>
  <si>
    <t>School 84</t>
  </si>
  <si>
    <t>School Listing–School 84</t>
  </si>
  <si>
    <t>School 85</t>
  </si>
  <si>
    <t>School Listing–School 85</t>
  </si>
  <si>
    <t>School 86</t>
  </si>
  <si>
    <t>School Listing–School 86</t>
  </si>
  <si>
    <t>School 87</t>
  </si>
  <si>
    <t>School Listing–School 87</t>
  </si>
  <si>
    <t>School 88</t>
  </si>
  <si>
    <t>School Listing–School 88</t>
  </si>
  <si>
    <t>School 89</t>
  </si>
  <si>
    <t>School Listing–School 89</t>
  </si>
  <si>
    <t>School 90</t>
  </si>
  <si>
    <t>School Listing–School 90</t>
  </si>
  <si>
    <t>Page</t>
  </si>
  <si>
    <t>Reference</t>
  </si>
  <si>
    <t>Instructions</t>
  </si>
  <si>
    <t>Significant Change</t>
  </si>
  <si>
    <t>General</t>
  </si>
  <si>
    <t xml:space="preserve">We provide these instructions to help charter schools (charters) prepare the Charter School Annual Financial Report (AFR). Within the forms, blue font indicates that an instruction is linked to that specific line. The instructions button links to any general instructions or to the first instruction for a page. To return to the related forms after reviewing the instructions, simply click on the form's tab at the bottom of the Excel screen or press the Alt and back arrow keys. </t>
  </si>
  <si>
    <t xml:space="preserve">The AFR presents condensed financial activity (i.e., beginning and ending balances, revenues and expenses, and budget to actual comparisons of expenses for the fiscal year) of the Charter for comparison purposes. This information assists sponsors, charter governing boards, administrators, ADE, legislators, other governmental agencies, and taxpayers in determining whether charters are meeting their stewardship responsibilities.
</t>
  </si>
  <si>
    <t>Alerts will appear on the cover page and throughout the form when areas of the AFR are not completed or do not appear to be accurately reported. The alerts will disappear as they are resolved. Detailed descriptions of the alerts, as well as guidance on how to resolve the alerts, can be found on the Alerts tab. Charters should complete all areas of the AFR that apply to their operations, whether or not the item is listed in the alert. These alerts do not replace the need for a separate employee to review the AFR for accuracy and completeness. Charters should ensure that no alerts remain on the cover page before uploading the files.</t>
  </si>
  <si>
    <t>Cover</t>
  </si>
  <si>
    <t>Name, county, CTDS number</t>
  </si>
  <si>
    <t>The charter name, county, and CTDS number should be entered on the cover page of the AFR. The CTDS number should not contain any slashes, dashes, etc., and must be exactly 9 digits. Zeros should be entered to fill the school portion of the number on the cover page. This information will be automatically transferred to other sheets in the file.</t>
  </si>
  <si>
    <t>School listing tab</t>
  </si>
  <si>
    <t xml:space="preserve">Enter school-level information for each school within the Charter including school names, school CTDS numbers, and unweighted attending student counts. As school names are added to the tab, the primary unit code cell for that school will shade red until a primary unit code is entered, as described below. The CTDS numbers in column C should not contain any slashes, dashes, etc., and must be exactly 9 digits. Use 100th-day (or 200th-day) student counts to report each school's unweighted attending student count in column D. Charters can refer to AzEDS AMD-15 Report.
Enter the applicable unit code(s) in column E used to code expenses at the school level for each school, as well as the unit code(s) used to code expenses to the Charter and private schools. If more than one unit code was used for a school, separate each unit code with a comma. For example (100, 101, 102). 
Charters must assign a 3-digit primary unit code in column F for each school as this data will be used in the School-Level AFR. Formulas within the School-Level AFR are set to assign only one unit code to each school, charterwide, and private schools, if applicable. The comments column can be used for additional information to describe the unit codes and primary unit codes. </t>
  </si>
  <si>
    <t>Accounting data tab</t>
  </si>
  <si>
    <r>
      <rPr>
        <b/>
        <sz val="10"/>
        <color indexed="8"/>
        <rFont val="Times New Roman"/>
        <family val="1"/>
      </rPr>
      <t xml:space="preserve">Charters must complete the Accounting data tab within this workbook. Charters will use the data from the Accounting data tab to complete the AFR and school-level reporting.
</t>
    </r>
    <r>
      <rPr>
        <sz val="10"/>
        <rFont val="Times New Roman"/>
        <family val="2"/>
      </rPr>
      <t xml:space="preserve">
Charters must copy their accounting data from their accounting records and paste the data into columns A through G in the Accounting data tab within this file. When pasting data, select "Paste Options:" and choose "Values (V)". Paste data into cell A2. Do not copy any column headers into the Accounting data tab or paste over any column headers within the tab.  
Charters should filter on the data elements in columns A through E and select the appropriate project, program, function, object, and unit for each line item from the dropdown list provided in columns H through L to report within the AFR. If a cell has not been assigned a value, the cell will be highlighted in red. When complete, the form should not have any red highlighted cells in rows with charter submitted data. Any blank rows will remain red highlighted.
</t>
    </r>
    <r>
      <rPr>
        <b/>
        <sz val="10"/>
        <rFont val="Times New Roman"/>
        <family val="1"/>
      </rPr>
      <t>Charters should select "1310-1399-COVID-19 Federal Relief Projects", "1227-ARP-IDEA Preschool", and "1228-ARP-IDEA Basic" from the dropdown list provided in column H for all expenses and revenues from COVID-19 federal relief projects.</t>
    </r>
    <r>
      <rPr>
        <sz val="10"/>
        <rFont val="Times New Roman"/>
        <family val="2"/>
      </rPr>
      <t xml:space="preserve">  </t>
    </r>
  </si>
  <si>
    <t xml:space="preserve">Charters must assign expenses for Project 1071—English Language Learner and Project 1072—Compensatory Instruction to the following program codes, as applicable, to automatically populate on page 6:
•260—English Language Learners incremental costs
•430—Pupil transportation-ELL incremental costs
•265—English Language Learners compensatory instruction
•435—Pupil transportation-ELL compensatory instruction
Other Federal Projects 1310-1399 must be identified as COVID-19 and non-COVID-19 related projects. 
Expenses for function 2700—student transportation must be coded to program codes, as applicable, to automatically populate on page 2, line 29:
•400—Pupil transportation
•430—Pupil transportation-ELL incremental costs
•435—Pupil transportation-ELL compensatory instruction 
Data with improper codes will highlight yellow. The form should not have any yellow highlighted cells when submitted. </t>
  </si>
  <si>
    <t xml:space="preserve">Report all revenues the Charter received on this page.  </t>
  </si>
  <si>
    <t xml:space="preserve">1600 Food service, line 6 </t>
  </si>
  <si>
    <t>Report all revenues the Charter received from dispensing food to students and adults. If the Charter participates in the National School Lunch Program and completed the Food Service AFR as required, this amount will populate from revenues, line 2 on the Food Service AFR. If the Charter did not collect any revenue from students or adults for food service, enter a 0 value on the line.</t>
  </si>
  <si>
    <t>3200  Restricted,
line 21</t>
  </si>
  <si>
    <t xml:space="preserve">Revenues received in the Classroom Site Project (CSP) (project code 1010), Instructional Improvement Project (project code 1020), English Language Learner Project (project code 1071), and Compensatory Instruction Project (project code 1072) should be reported as restricted. In addition, any restricted revenues received for State projects, as reported on page 9, should also be included, as applicable. Classroom Site Project and Instructional Improvement Project YTD Payment Reports can be obtained from ADE at https://apps.azed.gov/SchoolFinanceReports/Reports
If you are not following the USFRCS Chart of Accounts, please report these revenues as 3200 restricted for federal survey purposes. 
</t>
  </si>
  <si>
    <t>4100, 4300  Unrestricted/restricted received directly from the federal government, 
line 25</t>
  </si>
  <si>
    <t>Do not include federal impact aid revenues received on this line. These revenues should be reported on line 28 as 4800 federal impact aid.</t>
  </si>
  <si>
    <t>4200, 4500  Unrestricted/restricted received from the federal government through the State, line 26</t>
  </si>
  <si>
    <t xml:space="preserve">Report unrestricted/restricted revenues received from the federal government through the State on this line, including revenues from COVID-19 federal relief projects, such as the Elementary and Secondary School Emergency Relief (ESSER). </t>
  </si>
  <si>
    <t>Expenses, lines 1-32</t>
  </si>
  <si>
    <r>
      <t>Report expenses for 1000-Schoolwide Project and 1500-1999-Other Special Projects on lines 1 through 32. Do not include the Classroom Site Project (project code 1010), Instructional Improvement Project (project code 1020), English Language Learner Project (project code 1071), Compensatory Instruction Project (project code 1072), or Federal and State Projects (project codes 1100 through 1499) expenses as these expenses are reported on other pages and formulas will populate lines 34 through 38.</t>
    </r>
    <r>
      <rPr>
        <strike/>
        <sz val="10"/>
        <rFont val="Times New Roman"/>
        <family val="1"/>
      </rPr>
      <t xml:space="preserve"> </t>
    </r>
    <r>
      <rPr>
        <sz val="10"/>
        <rFont val="Times New Roman"/>
        <family val="2"/>
      </rPr>
      <t xml:space="preserve">
Report expenses for programs 200-special education and 270-vocational and technical education on lines 17-28. Report expenses for program 400-pupil transportation on line 29. 
Do not include payments for capital acquisitions, depreciation, impairment expense or principal payments.  </t>
    </r>
  </si>
  <si>
    <t>Federal and State projects, line 38</t>
  </si>
  <si>
    <t xml:space="preserve">Expenses made from the CSP (1010) should be made in accordance with A.R.S. §15-977. Schools may establish any CSP subprojects (1011-1019) to track monies for specific allowable purposes or separately account for carryover balances and other one-time CSP monies. </t>
  </si>
  <si>
    <r>
      <t>Line</t>
    </r>
    <r>
      <rPr>
        <strike/>
        <sz val="10"/>
        <rFont val="Times New Roman"/>
        <family val="1"/>
      </rPr>
      <t>s</t>
    </r>
    <r>
      <rPr>
        <sz val="10"/>
        <rFont val="Times New Roman"/>
        <family val="2"/>
      </rPr>
      <t xml:space="preserve"> 4</t>
    </r>
  </si>
  <si>
    <t xml:space="preserve">Report expenses for teacher liability insurance premiums made from Project 1010. </t>
  </si>
  <si>
    <t xml:space="preserve"> Line 5</t>
  </si>
  <si>
    <r>
      <t xml:space="preserve">Report </t>
    </r>
    <r>
      <rPr>
        <b/>
        <sz val="10"/>
        <rFont val="Times New Roman"/>
        <family val="1"/>
      </rPr>
      <t>allowable</t>
    </r>
    <r>
      <rPr>
        <sz val="10"/>
        <rFont val="Times New Roman"/>
        <family val="2"/>
      </rPr>
      <t xml:space="preserve"> CSP amounts for function 3300—community service operations on this line. For example, if a charter included a community school program, such as preschool for children without disabilities, as a CSP-eligible program related to its educational mission, report the teacher salaries and related expenses </t>
    </r>
    <r>
      <rPr>
        <b/>
        <sz val="10"/>
        <rFont val="Times New Roman"/>
        <family val="1"/>
      </rPr>
      <t>allowable under CSP</t>
    </r>
    <r>
      <rPr>
        <sz val="10"/>
        <rFont val="Times New Roman"/>
        <family val="2"/>
      </rPr>
      <t xml:space="preserve"> here. </t>
    </r>
  </si>
  <si>
    <t>Classroom Site Project Property Payments</t>
  </si>
  <si>
    <r>
      <t>Arizona Industry Credentials Incentive project</t>
    </r>
    <r>
      <rPr>
        <sz val="10"/>
        <rFont val="Calibri"/>
        <family val="2"/>
      </rPr>
      <t>—</t>
    </r>
    <r>
      <rPr>
        <sz val="10"/>
        <rFont val="Times New Roman"/>
        <family val="2"/>
      </rPr>
      <t>detailed expenses</t>
    </r>
  </si>
  <si>
    <t>Enter the detailed actual expense amounts for the following allowable costs in accordance with  A.R.S. §15-249.15:
• Instructional costs and professional development for a career technical education program teacher to become a certifying professional for an approved certificate, credential, or license.
• To offset the students' cost of certification, credentialing, or licensure.
• Developmental costs related to creating, expanding or improving an approved site of a certificate, credential, or license career     technical program or course.
• Instructional hardware, software, or supplies required for the certification, credentialing, or licensure.
• Career exploration in any school grade and awareness activities for parents, students, and the community for the approved sectors.</t>
  </si>
  <si>
    <t>Section B— 
Audit services</t>
  </si>
  <si>
    <t>Section C— 
Capital acquisitions</t>
  </si>
  <si>
    <t>Section C— 
Capital acquisitions,  
line 6</t>
  </si>
  <si>
    <t>Section D—Investment in capital assets</t>
  </si>
  <si>
    <t>Section D— 
Investment in capital assets,  
line 6</t>
  </si>
  <si>
    <t>Section E—Current expenses by category</t>
  </si>
  <si>
    <t>A.R.S. §15-255 requires the Superintendent of Public Instruction's Annual Report to include total current expenses per pupil and separate per pupil amounts by (1) classroom instruction excluding classroom supplies, (2) classroom supplies, (3) administration, (4) support services—students, and (5) all other support services and operations. ADE will calculate the "per pupil" amounts based on the total current expenses reported on lines 1 through 5 of this section. 
Current expenses include expenses from all projects for elementary and secondary education (e.g., all schoolwide projects including classroom site, instructional improvement, english language learner, compensatory instruction and most federal and state projects and other special projects).  Current expenses do not include tuition paid to other Arizona school charters or charters, outlays for facilities acquisition and construction, furniture, equipment, technology, vehicles, debt retirement, and expenses for nonpublic school programs appropriately recorded in program codes 700, 800, and 900.  (e.g., adult/continuing education, community college education, community services, etc.).</t>
  </si>
  <si>
    <t>Section E— 
Current expenses by category,  
lines 7 and 8</t>
  </si>
  <si>
    <t>The Every Student Succeeds Act (ESSA) requires current expenses to be reported by source. Report the portion of current expenses from line 6 that were paid from federal sources. If no expenses were paid from federal sources, enter a 0 value on line 7. Line 8 contains a formula to calculate the current expenses from State and local sources.</t>
  </si>
  <si>
    <r>
      <t>Section F</t>
    </r>
    <r>
      <rPr>
        <sz val="10"/>
        <rFont val="Calibri"/>
        <family val="2"/>
      </rPr>
      <t>—</t>
    </r>
    <r>
      <rPr>
        <sz val="10"/>
        <rFont val="Times New Roman"/>
        <family val="2"/>
      </rPr>
      <t>Number of 
full-time equivalent teachers</t>
    </r>
  </si>
  <si>
    <t xml:space="preserve">Report the number of full-time equivalent (FTE) certified, noncertified, and contract teachers on lines 1-3, respectively. These amounts may include fractional FTE for part-time teachers. A teacher should be reported on only 1 line. If a teacher is both a certified and contract teacher, report only the applicable FTE on line 3. Do not include instructional aides or assistants. </t>
  </si>
  <si>
    <t>Section G—Teacher salaries</t>
  </si>
  <si>
    <t>Report base salaries, overtime, and additional compensation paid to certified and noncertified teachers, certified and noncertified substitute teachers, and contract teachers.  Do not include salaries paid to instructional aides or assistants.  Report the salaries based on the appropriate program.  If a teacher teaches in more than 1 program, calculate the salary based on the amount of time instructing in each program. If FTE amounts were reported for certified, noncertified, or contract teachers in section F, corresponding salary amounts should be reported in section G.</t>
  </si>
  <si>
    <t>Section G— 
Teachers salaries,  
line 1</t>
  </si>
  <si>
    <t xml:space="preserve">Regular education includes expenses coded to program 100,  career education programs coded to program 200, and K-3 Reading expenses coded to program 550.  </t>
  </si>
  <si>
    <t>Section G— 
Teachers salaries,  
line 2</t>
  </si>
  <si>
    <t xml:space="preserve">Special education includes expenses coded to program 200 (excluding ELL incremental costs, compensatory instruction, vocational and technological education, and career education programs).  </t>
  </si>
  <si>
    <t>Section G— 
Teachers salaries,  
line 3</t>
  </si>
  <si>
    <t>Vocational education includes expenses coded to programs 270 and 540.</t>
  </si>
  <si>
    <t>Section G— 
Teachers salaries,  
line 4</t>
  </si>
  <si>
    <t>Other programs includes expenses coded to programs 260, 265, and 530.</t>
  </si>
  <si>
    <t>Section G— 
Teachers salaries,  
line 5</t>
  </si>
  <si>
    <t>Cocurricular activities, athletics, and other includes expenses coded to program 600.</t>
  </si>
  <si>
    <t>Section H— 
Average teacher salary</t>
  </si>
  <si>
    <t xml:space="preserve">Sections B and C— 
Total gifted expenses  
</t>
  </si>
  <si>
    <t>Total actual gifted expenses in sections B and C must agree.</t>
  </si>
  <si>
    <t>Section C—Special ed. programs by type</t>
  </si>
  <si>
    <r>
      <t xml:space="preserve">Enter only the amounts of expenses for special education programs by type for 1000-Schoolwide Project and 1500-1999-Other Special Projects. Federal and state projects' special education expenses are reported on page 8 and should not be reported here.  Retain supporting documentation for the allocation of expenses to individual special education programs.
</t>
    </r>
    <r>
      <rPr>
        <b/>
        <sz val="10"/>
        <rFont val="Times New Roman"/>
        <family val="1"/>
      </rPr>
      <t>Charters should report actual total expenses in Program 200ꟷSpecial Education for disability classifications defined in A.R.S. §15-761 on line 1, Total All Disability Classifications.</t>
    </r>
    <r>
      <rPr>
        <sz val="10"/>
        <rFont val="Times New Roman"/>
        <family val="2"/>
      </rPr>
      <t xml:space="preserve"> The amounts entered on line 1 and line 8 are used by ADE in the calculation of maintenance of effort.  The total expenses for all of these programs on line 8 must agree to the total 1000-Schoolwide Project and 1500-1999 Other Special projects, programs 200 expenses reported on page 2, line 28.</t>
    </r>
  </si>
  <si>
    <t>Section C—Total all disability classifications</t>
  </si>
  <si>
    <t>Enter total expenses for the disability classifications defined in A.R.S. §15-761.</t>
  </si>
  <si>
    <t>Section C—Transportation</t>
  </si>
  <si>
    <t>Charters should report actual total transportation expenses coded within program 400 for transporting students whose IEPs require transportation as necessary for the provision of free and appropriate public education (FAPE).</t>
  </si>
  <si>
    <t>Impact aid and other federal projects, lines 16, 17, and 19</t>
  </si>
  <si>
    <r>
      <t xml:space="preserve">Enter Impact Aid amounts on line 16. Enter all Other Federal Projects (less Impact Aid), including amounts for COVID-19 federal relief projects, such as the Elementary and Secondary School Emergency Relief (ESSER) programs, on line 17. Separately report revenues and expenses for COVID-19 federal relief projects on line 19.
</t>
    </r>
    <r>
      <rPr>
        <b/>
        <sz val="10"/>
        <rFont val="Times New Roman"/>
        <family val="1"/>
      </rPr>
      <t>All COVID-19 related amounts must be identified as 1227-ARP-IDEA Preschool, 1228-ARP-IDEA Basic or 1310-1399-COVID-19 Federal Relief Projects on the Accounting data tab.</t>
    </r>
    <r>
      <rPr>
        <sz val="10"/>
        <rFont val="Times New Roman"/>
        <family val="2"/>
      </rPr>
      <t xml:space="preserve">
If the Charter does not have any amounts to report, enter a 0 value for each item as applicable.
</t>
    </r>
  </si>
  <si>
    <t>The total budget and actual expenses on line 33 should agree with the total column for federal and State projects on line 38 on page 2.</t>
  </si>
  <si>
    <t>Revenue from selected federal sources</t>
  </si>
  <si>
    <t xml:space="preserve">Report revenues received from selected federal sources listed on lines 1 through 4.
1. Student Support and Academic Enrichment Grants (subgrants from States only) (ESEA IV-A-1, section 4105)
The purpose of this grant is to improve students’ academic achievement by increasing the capacity of States, local educational agencies, schools, and local communities to provide all students with access to a well-rounded education, improve school conditions for student learning, and improve the use of technology in order to improve the academic achievement and digital literacy of all students. Additional information is available at the following link: </t>
  </si>
  <si>
    <t>https://www.azed.gov/titleiv-a/</t>
  </si>
  <si>
    <t>2. 21st Century Community Learning Centers (subgrants from States only—excludes awards under national activities) (ESEA IV-B)
This program is funded by a federal grant from the U.S. Department of Education and administered by the Arizona Department of Education. Additional information is available at the following link:</t>
  </si>
  <si>
    <t>https://www.azed.gov/21stcclc/federal-and-state-regulations/</t>
  </si>
  <si>
    <t>3. Rural education - Rural and Low-Income School program (RLIS) (ESEA V-B-2, section 5221)
The purpose of this program is to provide for equity in cases where rural or low-income schools receive allocations insufficient for their needs and are at a competitive disadvantage for other grants. Additional information is available at the following link:</t>
  </si>
  <si>
    <t xml:space="preserve"> https://www.azed.gov/titlei/sample-page/rural-low-income-schools-rlis/</t>
  </si>
  <si>
    <t xml:space="preserve">4. Rural education - Small, Rural School Achievement program (SRSA) (ESEA V-B-1, section 5211)
This program authorizes the U.S. Secretary of Education to award formula grants directly to eligible LEAs (i.e., those LEAs eligible under the alternative uses of funds program) to carry out activities authorized under other specified federal programs. Additional information is available at the following link: </t>
  </si>
  <si>
    <t>https://www.azed.gov/titlei/reap/</t>
  </si>
  <si>
    <t>For support assistance for federal and State grants, please contact the Arizona Department of Education's Grants Management Team:</t>
  </si>
  <si>
    <t>https://www.azed.gov/grants-management/contact/</t>
  </si>
  <si>
    <t>Cash and investments held at fiscal year end</t>
  </si>
  <si>
    <r>
      <t xml:space="preserve">Charters should report ending balance amounts of cash and investments (at market value) for the following funds:
     </t>
    </r>
    <r>
      <rPr>
        <b/>
        <sz val="10"/>
        <rFont val="Times New Roman"/>
        <family val="1"/>
      </rPr>
      <t xml:space="preserve">Sinking funds </t>
    </r>
    <r>
      <rPr>
        <sz val="10"/>
        <rFont val="Times New Roman"/>
        <family val="2"/>
      </rPr>
      <t xml:space="preserve">— funds containing reserves held specifically for redemption of long-term debt.
   </t>
    </r>
    <r>
      <rPr>
        <b/>
        <sz val="10"/>
        <rFont val="Times New Roman"/>
        <family val="1"/>
      </rPr>
      <t xml:space="preserve">  Bond funds </t>
    </r>
    <r>
      <rPr>
        <sz val="10"/>
        <rFont val="Times New Roman"/>
        <family val="2"/>
      </rPr>
      <t xml:space="preserve">— funds containing unexpended proceeds of bond issues that were being held pending their disbursement.                                       
     </t>
    </r>
    <r>
      <rPr>
        <b/>
        <sz val="10"/>
        <rFont val="Times New Roman"/>
        <family val="1"/>
      </rPr>
      <t xml:space="preserve">Other funds </t>
    </r>
    <r>
      <rPr>
        <sz val="10"/>
        <rFont val="Times New Roman"/>
        <family val="2"/>
      </rPr>
      <t xml:space="preserve">— all other funds, </t>
    </r>
    <r>
      <rPr>
        <b/>
        <sz val="10"/>
        <rFont val="Times New Roman"/>
        <family val="1"/>
      </rPr>
      <t>exclude</t>
    </r>
    <r>
      <rPr>
        <sz val="10"/>
        <rFont val="Times New Roman"/>
        <family val="2"/>
      </rPr>
      <t xml:space="preserve"> any employee retirement funds.
Include cash balances; cash on hand; certificates of deposit; federal securities; State and local government securities; mortgages; and corporate stocks, bonds, and notes. </t>
    </r>
    <r>
      <rPr>
        <b/>
        <sz val="10"/>
        <rFont val="Times New Roman"/>
        <family val="1"/>
      </rPr>
      <t>Exclude</t>
    </r>
    <r>
      <rPr>
        <sz val="10"/>
        <rFont val="Times New Roman"/>
        <family val="2"/>
      </rPr>
      <t xml:space="preserve"> accounts receivable, value of real property, and all nonsecurity assets.
This section was added to the AFR to assist with Form 33 reporting to NCES.
 </t>
    </r>
  </si>
  <si>
    <r>
      <t xml:space="preserve">Long-term debt—Report beginning and ending balances for all bonded indebtedness and any other interest-bearing debt with a term of more than 1 year on lines 1 and 4, respectively. Include bonds, notes, and loans. Report all long-term debt issued during the fiscal year on line 2. Report all principal payments made on long-term debt during the fiscal year on line 3.
Short-term debt—Report beginning and ending balances for interest-bearing debt with a term of 1 year or less such as bank revolving lines of credit and other short-term debt. Charters with short-term debt activity but no beginning and ending balances should report 0 on lines 5 and 6.
</t>
    </r>
    <r>
      <rPr>
        <b/>
        <sz val="10"/>
        <rFont val="Times New Roman"/>
        <family val="1"/>
      </rPr>
      <t>DO NOT INCLUDE</t>
    </r>
    <r>
      <rPr>
        <sz val="10"/>
        <rFont val="Times New Roman"/>
        <family val="2"/>
      </rPr>
      <t xml:space="preserve"> lease purchase agreements, compensated absences, accounts payable, and other noninterest bearing obligations in amounts reported in this section.
This section was added to the AFR to assist with Form 33 reporting to NCES.</t>
    </r>
  </si>
  <si>
    <t>Utilities and energy services</t>
  </si>
  <si>
    <r>
      <t xml:space="preserve">Report expenses for utility services, such as water and sewage services, coded to object code 6410, and energy expenses, such as electricity, gas, coal, and gasoline, coded to object codes 6621-6626. Services received from public or private utility companies should be reported here. Do </t>
    </r>
    <r>
      <rPr>
        <b/>
        <u/>
        <sz val="10"/>
        <rFont val="Times New Roman"/>
        <family val="1"/>
      </rPr>
      <t>not</t>
    </r>
    <r>
      <rPr>
        <sz val="10"/>
        <rFont val="Times New Roman"/>
        <family val="2"/>
      </rPr>
      <t xml:space="preserve"> include expenses for telephone or internet services.</t>
    </r>
  </si>
  <si>
    <t>Technology detail</t>
  </si>
  <si>
    <r>
      <t xml:space="preserve">Charters must report detailed technology-related technical services expenses, technology-related repairs and maintenance, and rental of computers and related equipment (object codes 6330, 6432, and 6441) in lines 1 through 3. </t>
    </r>
    <r>
      <rPr>
        <sz val="10"/>
        <color theme="1"/>
        <rFont val="Times New Roman"/>
        <family val="1"/>
      </rPr>
      <t xml:space="preserve">Do </t>
    </r>
    <r>
      <rPr>
        <b/>
        <sz val="10"/>
        <color theme="1"/>
        <rFont val="Times New Roman"/>
        <family val="1"/>
      </rPr>
      <t>not</t>
    </r>
    <r>
      <rPr>
        <sz val="10"/>
        <color theme="1"/>
        <rFont val="Times New Roman"/>
        <family val="1"/>
      </rPr>
      <t xml:space="preserve"> include nontechnology-related technical services expenses such as purchasing and warehouses services not related to technology.</t>
    </r>
    <r>
      <rPr>
        <sz val="10"/>
        <rFont val="Times New Roman"/>
        <family val="2"/>
      </rPr>
      <t xml:space="preserve">
Report expenses for telecommunications coded to object code 6531 on line 4. These amounts should only include expenses for telephone and voice communication services, and voicemail; data communication services to establish or maintain computer-based communications, networking, and Internet services; video communications services to establish or maintain one-way or two-way video communications via satellite, cable, or other devices billed by the service provider.
Report expenses for technology-related supplies coded to object code 6650 and technology-related hardware and software costs below the capitalization threshold on line 5. For technology-related supplies, include expenses for supplies that are typically used in conjunction with technology-related hardware or software (e.g., compact discs, flash drives, cables, and monitor stands). Technology-related hardware and software costs that exceed the capitalization threshold should be reported on line 6. Do </t>
    </r>
    <r>
      <rPr>
        <b/>
        <u/>
        <sz val="10"/>
        <rFont val="Times New Roman"/>
        <family val="1"/>
      </rPr>
      <t>not</t>
    </r>
    <r>
      <rPr>
        <sz val="10"/>
        <rFont val="Times New Roman"/>
        <family val="2"/>
      </rPr>
      <t xml:space="preserve"> include expenses for nontechnology-related equipment such as machinery, vehicles, and furniture.
</t>
    </r>
  </si>
  <si>
    <t xml:space="preserve">Charters must report detailed support services-instruction expenses for improvement of instruction and library/media services (function codes 2220 and 2230) in lines 1 and 2. </t>
  </si>
  <si>
    <t>The information included on this page is required for NPEFS reporting of COVID-19 federal relief projects. Most information on this page will be pulled with formulas from the charter's accounting data for projects identified as COVID-19 federal relief projects ("1310-1399-COVID-19 Federal Relief Projects", "1227-ARP-IDEA Preschool", and "1228-ARP-IDEA Basic"). The Charter must manually enter amounts to the nearest dollar in the orange highlighted cells, if applicable.</t>
  </si>
  <si>
    <t xml:space="preserve">Current expenses from COVID-19 federal relief projects table populates with function and object data from the Accounting data tab. Generally, line 9 should not show negative amounts. Any negative amounts displayed on line 9 will be highlighted with yellow shading. Please ensure that the Accounting Data tab was completed according to the instructions above. </t>
  </si>
  <si>
    <t>Technology Detail</t>
  </si>
  <si>
    <t xml:space="preserve">This table reports technology-related expenses from COVID-19 federal relief funds. Enter amounts for total technology spending (all functions) in column D and for classroom technology spending (functions 1000, 2100, and 2200) in column E for each item listed on lines 1 through 7. </t>
  </si>
  <si>
    <t>Technology Detail,
line 7</t>
  </si>
  <si>
    <t>Enter the total amount for instructional software coded to objects 6641—Library Books, 6642—Textbooks, and 6643—Instructional Aids. These purchases should be coded to function 1000 or 2200; therefore, the amount entered in the total spending column will pull to the classroom spending column in this line.</t>
  </si>
  <si>
    <t xml:space="preserve">Property disbursements should include actual payments made during the year for capital acquisitions, not including related capital lease or other debt service payments.  Property disbursements for nonfixed (movable) equipment in programs 100 through 630 should be allocated to functions 1000 through 4000 (other) based on the intended use of the equipment.  All other property disbursements for these programs should be included as "other". Property disbursements for Programs 700-900 must be entered into the separate table below. </t>
  </si>
  <si>
    <t>Property disbursement detail</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</si>
  <si>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capital lease or other debt service payments. Total property disbursements in this table should equal the sum of property disbursements in cell L19 and those for Programs 700-900 (cells O25, O26, and O27). If no disbursements were made during the year, enter a 0 value in each line.</t>
  </si>
  <si>
    <t>Debt service
detail</t>
  </si>
  <si>
    <t>Debt service amounts should include interest and redemption of principal for all programs. Interest expenses should be charged to object code 6850.  Redemption of principal should include payments made during the year for principal on capital leases and other long-term debt that were recorded as a reduction of the related liability.</t>
  </si>
  <si>
    <t xml:space="preserve">https://www.azauditor.gov/District_charter_ADE_COVID-19_spending_special_report_FY_2022 </t>
  </si>
  <si>
    <t>COVID-19 federal relief projects, line 1</t>
  </si>
  <si>
    <t>Report information for monies received from the charter's Elementary and Secondary School Emergency Relief I project (ESSER I) award allocation, determined by ADE. Monies received from ADE as an ARP School and Community grantee should be reported on line 6.</t>
  </si>
  <si>
    <t>COVID-19 federal relief projects, line 2</t>
  </si>
  <si>
    <t>Report information for monies received from the charter's Elementary and Secondary School Emergency Relief II project (ESSER II) award allocation, determined by ADE. Monies received from ADE as an ARP School and Community grantee should be reported on line 6.</t>
  </si>
  <si>
    <t>COVID-19 federal relief projects, line 3</t>
  </si>
  <si>
    <t>Report information for monies received from the charter's Elementary and Secondary School Emergency Relief III project (ESSER III) award allocation, determined by ADE. Monies received from ADE as an ARP School and Community grantee should be reported on line 6.</t>
  </si>
  <si>
    <t>COVID-19 federal relief projects, line 4</t>
  </si>
  <si>
    <t>Report information for monies received from the Governor's Emergency Education Relief (GEER) project here. Examples of programs distributed from GEER include the Acceleration Academy Grant, Beat the Odds Leadership Academy Grant, and Teach for America Grant.
Do not report Enrollment Stabilities Grant (ESG) information on this line. ESG should be reported on line 5, Coronavirus Relief Fund (CRF)—Enrollment Stability Grant (ESG) Program.</t>
  </si>
  <si>
    <t>COVID-19 federal relief projects, line 5</t>
  </si>
  <si>
    <t>Report information for monies received from the Coronavirus Relief Fund (CRF)—Enrollment Stability Grant (ESG) Program.</t>
  </si>
  <si>
    <t>COVID-19 federal relief projects, line 6</t>
  </si>
  <si>
    <r>
      <t xml:space="preserve">Report all other information for COVID-related monies received that cannot be appropriately reported on lines 1 through 5 of this table. Include other grants identified by ADE, the Governor's Office, and other agencies for which the charter has federal reporting responsibilities. 
</t>
    </r>
    <r>
      <rPr>
        <b/>
        <sz val="10"/>
        <rFont val="Times New Roman"/>
        <family val="1"/>
      </rPr>
      <t>DO NOT INCLUDE AMOUNTS RECEIVED AS A VENDOR OR BENEFICIARY.</t>
    </r>
    <r>
      <rPr>
        <sz val="10"/>
        <rFont val="Times New Roman"/>
        <family val="2"/>
      </rPr>
      <t xml:space="preserve">
Examples of grants identified by ADE include:
ARP-IDEA grants (USFRCS Chart of Accounts projects 1227 and 1228)
ARP Homeless grants
ARP school and community grants
Food service awards 
Grants identified by the Governor's Office include: 
Expansion and Innovation Fund microgrants
Project Momentum
Civic Innovation
Education Plus-Up
100 Day In-Person Reimbursement
AZ OnTrack Summer Camp 
Grants identified by other agencies include: 
Arizona Department of Emergency and Military Affairs (DEMA) FEMA Public Assistance Program
Emergency Connectivity Fund 
Arizona Department of Economic Security (DES)
Small Business Administration (SBA)—Paycheck Protection Program </t>
    </r>
  </si>
  <si>
    <t>COVID-19 federal relief projects, Total Award
(all fiscal years)</t>
  </si>
  <si>
    <t>COVID-19 federal relief projects, Amount Remaining to Spend/Conditional formatting</t>
  </si>
  <si>
    <t>Paycheck Protection Program
detail</t>
  </si>
  <si>
    <t>Enter Paycheck Protection Program (PPP) amounts for all fiscal years on lines 1-4. If the amount is zero, enter 0. 
Report PPP loan amounts returned to the issuing bank or the Small Business Administration on line 4.
Line 5 subtracts the amounts reported for PPP loans spent in all fiscal years (line 2) and PPP amounts returned (line 4) from total loan amount received (line 1). When the table is completed, Line 5 should equal 0. 
All PPP information should be reported on line 6 of the  COVID-19 federal relief projects table. The Total loan amount received should be reported within the Total Award (all fiscal years) and Total PPP loans spent in all fiscal years should be reported within the applicable year's expenses.</t>
  </si>
  <si>
    <t>Summary</t>
  </si>
  <si>
    <t>The Summary condenses the information in the AFR. Most information in the Summary automatically pulls from the AFR, so the AFR should be completed before the Summary. The Charter must manually enter amounts to the nearest dollar in the orange highlighted cells, if applicable.</t>
  </si>
  <si>
    <t>ADM</t>
  </si>
  <si>
    <t>Beginning Project Balances</t>
  </si>
  <si>
    <t>Adjusted Beginning Project Balance</t>
  </si>
  <si>
    <t>Section A
General</t>
  </si>
  <si>
    <t>Section A
Line 1</t>
  </si>
  <si>
    <t>Section A
Line 2</t>
  </si>
  <si>
    <t>Section A
Line 3</t>
  </si>
  <si>
    <t xml:space="preserve">For the ending balance reported on line 2, charters must report the amount attributable to the specific purposes listed which identify how charters plan to use the monies in future years. Amounts reported on lines 3.a through 3.j must equal the total  balance reported on line 2. Specific instructions for lines 3.a through 3.h. are included below. Two rows are provided to describe other fund balance purposes not already listed. charters must specify the purpose for amounts included on the other lines in column B. </t>
  </si>
  <si>
    <t>Section A
Line 3.a</t>
  </si>
  <si>
    <t>Section A
Line 3.b</t>
  </si>
  <si>
    <t xml:space="preserve">Section A
Lines 3.d </t>
  </si>
  <si>
    <t>Report amounts set aside for future debt service principal and interest payments on long-term debt.</t>
  </si>
  <si>
    <t>Section A
Lines 3.e</t>
  </si>
  <si>
    <t xml:space="preserve">Report amounts set aside for the future purchase of land, buildings, building improvements, improvements other than buildings, equipment, or other acquisitions that will be capitalized. Additionally, this category may include funds set aside for long-term planned maintenance projects or future replacement of equipment.  </t>
  </si>
  <si>
    <t>Section A
Lines 3.f</t>
  </si>
  <si>
    <t>Report restricted cash and investments held with ASRS or in an irrevocable 115 trust for future years' retirement contribution payments (i.e., the ASRS Contribution Prepayment Program). Amounts the Charter is holding with ASRS or in an irrevocable 115 trust and plans to amortize and apply to the current year's required pension contribution payments should be included on line 3.b.</t>
  </si>
  <si>
    <t>Section A
Lines 3.g</t>
  </si>
  <si>
    <t>Report amounts set aside to manage cash flows in future budget years to cover such things as revenue shortfalls, emergencies, and/or other unforeseen circumstances.</t>
  </si>
  <si>
    <t>Section B</t>
  </si>
  <si>
    <t>Line 4</t>
  </si>
  <si>
    <t>Line 5</t>
  </si>
  <si>
    <t>Element 5</t>
  </si>
  <si>
    <t>Description</t>
  </si>
  <si>
    <t xml:space="preserve"> YTD Transactions </t>
  </si>
  <si>
    <t>Project</t>
  </si>
  <si>
    <t>Program</t>
  </si>
  <si>
    <t>Function</t>
  </si>
  <si>
    <t>Object</t>
  </si>
  <si>
    <t>Unit</t>
  </si>
  <si>
    <t>Dropdown list for Project</t>
  </si>
  <si>
    <t>Dropdown list for Program</t>
  </si>
  <si>
    <t>Dropdown list for Function</t>
  </si>
  <si>
    <t>Dropdown list for Object</t>
  </si>
  <si>
    <t>Balance Sheet (asset or liability)</t>
  </si>
  <si>
    <t>1000-Schoolwide Project</t>
  </si>
  <si>
    <t>1010-Classroom Site Project</t>
  </si>
  <si>
    <t>6100-Salaries</t>
  </si>
  <si>
    <t>1020-Instructional Improvement Project</t>
  </si>
  <si>
    <t>100-Regular Education</t>
  </si>
  <si>
    <t>1000-Instruction</t>
  </si>
  <si>
    <t>6200-Employee Benefits</t>
  </si>
  <si>
    <t>1071-English Language Learner</t>
  </si>
  <si>
    <t>200-Special Education</t>
  </si>
  <si>
    <t>1900-Other Instructional Staff</t>
  </si>
  <si>
    <t>6300-6400-6500-Purchased Services</t>
  </si>
  <si>
    <t>1072-Compensatory Instruction Project</t>
  </si>
  <si>
    <t>260-English Language Learners Incremental Costs</t>
  </si>
  <si>
    <t>2100-Support Services-Students</t>
  </si>
  <si>
    <t>6600-Supplies</t>
  </si>
  <si>
    <t>1100-1130-ESEA Title I - Helping Disadvantaged Children</t>
  </si>
  <si>
    <t>265-English Language Learners Compensatory Instruction</t>
  </si>
  <si>
    <t>2200-Support Services-Instruction</t>
  </si>
  <si>
    <t>6700-Property (depreciation &amp; impairments)</t>
  </si>
  <si>
    <t>1140-1150-ESEA Title II  - Prof. Dev. And Technology</t>
  </si>
  <si>
    <t>270-Vocational and Technical Education</t>
  </si>
  <si>
    <t>2220-Improvement of Instruction</t>
  </si>
  <si>
    <t>6810-Dues &amp; Fees</t>
  </si>
  <si>
    <t>1160-ESEA  Title IV - 21st Century Schools</t>
  </si>
  <si>
    <t>400-Pupil Transportation</t>
  </si>
  <si>
    <t>2230-Library/Media Services</t>
  </si>
  <si>
    <t>6820-Judgments Against a Charter</t>
  </si>
  <si>
    <t>1170-1180-ESEA Title V - Promote Informed Parent Choice</t>
  </si>
  <si>
    <t>430-Pupil Transportation-ELL Incremental Costs</t>
  </si>
  <si>
    <t>2300-Support Services-General Administration</t>
  </si>
  <si>
    <t>6850-Interest</t>
  </si>
  <si>
    <t>1190-ESEA  Title III - Limited Eng. &amp; Immigrant Students</t>
  </si>
  <si>
    <t>435-Pupil Transportation-ELL Compensatory Instruction</t>
  </si>
  <si>
    <t>2400-Support Services-School Administration</t>
  </si>
  <si>
    <t>6890-Miscellaneous</t>
  </si>
  <si>
    <t>1200-ESEA Title VII - Indian Education</t>
  </si>
  <si>
    <t>530-Dropout Prevention Programs</t>
  </si>
  <si>
    <t>2500-Central Services</t>
  </si>
  <si>
    <t>6830-6840-6860-6870 Other Expenses and Losses</t>
  </si>
  <si>
    <t>1210-ESEA Title VI - Flexibility and Accountability</t>
  </si>
  <si>
    <t>540-Joint Career &amp; Technical Ed. &amp; Vocational Ed. Center</t>
  </si>
  <si>
    <t>2600-Operation and Maintenance of Plant</t>
  </si>
  <si>
    <t>6900-Other Objects (Indirect Costs)</t>
  </si>
  <si>
    <t>1220-IDEA, Part B</t>
  </si>
  <si>
    <t>550-K-3 Reading Program</t>
  </si>
  <si>
    <t>2700-Student Transportation</t>
  </si>
  <si>
    <t>1310-Tuition from Individuals</t>
  </si>
  <si>
    <t>1227-ARP-IDEA Preschool</t>
  </si>
  <si>
    <t>610-School-Sponsored Cocurricular Activities</t>
  </si>
  <si>
    <t>2900-Other Support Services</t>
  </si>
  <si>
    <t>1320-Tuition from Other Arizona Schools or Districts</t>
  </si>
  <si>
    <t>1228-ARP-IDEA Basic</t>
  </si>
  <si>
    <t>620-School-Sponsored Athletics</t>
  </si>
  <si>
    <t>3100-Food Service Operations</t>
  </si>
  <si>
    <t>1410-Transportation Fees from Individuals</t>
  </si>
  <si>
    <t>1230-Johnson-O'Malley</t>
  </si>
  <si>
    <t>630-Other Instructional Programs</t>
  </si>
  <si>
    <t>3300-Community Service Operations</t>
  </si>
  <si>
    <t>1420-Transportation Fees from Other Arizona Schools or Districts</t>
  </si>
  <si>
    <t>1240-Workforce Investment Act</t>
  </si>
  <si>
    <t>700-Adult/Continuing Education Programs</t>
  </si>
  <si>
    <t>3400-Bookstore Operations</t>
  </si>
  <si>
    <t>1500-Earnings on Investments</t>
  </si>
  <si>
    <t>1250-AEA - Adult Education</t>
  </si>
  <si>
    <t>800-Community College Education Programs</t>
  </si>
  <si>
    <t>4000-Facilities Acquisition &amp; Construction</t>
  </si>
  <si>
    <t>1600-Food Service</t>
  </si>
  <si>
    <t>1260-1270-Vocational Education - Basic Grants</t>
  </si>
  <si>
    <t>900-Community Services Programs</t>
  </si>
  <si>
    <t>5000-Debt Service</t>
  </si>
  <si>
    <t xml:space="preserve">1700-School Activities </t>
  </si>
  <si>
    <t>1280-ESEA Title X - Homeless Education</t>
  </si>
  <si>
    <t>1750-Revenue from Enterprise Activities</t>
  </si>
  <si>
    <t>1290-Medicaid Reimbursement</t>
  </si>
  <si>
    <t>1790-Extracurricular Activities Fees Tax Credit</t>
  </si>
  <si>
    <t>1300-Charter School Implementation Project (Stimulus)</t>
  </si>
  <si>
    <t>1800-Revenue from Community Services Activities</t>
  </si>
  <si>
    <t>13XX-Impact Aid</t>
  </si>
  <si>
    <t>1900-Other Revenues and Gains from Local Sources</t>
  </si>
  <si>
    <t>1310-1399-COVID-19 Federal Relief Projects</t>
  </si>
  <si>
    <t>1920-Contributions and Donations from Private Sources</t>
  </si>
  <si>
    <t>1310-1399-Other Federal Projects</t>
  </si>
  <si>
    <t>Other Revenue from Local Sources</t>
  </si>
  <si>
    <t>1400-Vocational Education</t>
  </si>
  <si>
    <t>2100-Unrestricted Revenue from Intermediate Sources</t>
  </si>
  <si>
    <t>1410-Early Childhood Block Grant</t>
  </si>
  <si>
    <t>2200-Restricted Revenue from Intermediate Sources</t>
  </si>
  <si>
    <t>1420-Extended School Year - Pupils with Disabilities</t>
  </si>
  <si>
    <t>Other Revenue from Intermediate Sources</t>
  </si>
  <si>
    <t>1425-Adult Basic Education</t>
  </si>
  <si>
    <t>3110-State Equalization Assistance</t>
  </si>
  <si>
    <t>1430-Chemical Abuse Prevention Programs</t>
  </si>
  <si>
    <t>3130-3150-Other Unrestricted Revenue from State Sources</t>
  </si>
  <si>
    <t>1435-Academic Contests</t>
  </si>
  <si>
    <t>3200-Restricted Revenue from State Sources</t>
  </si>
  <si>
    <t>1450-Gifted Education</t>
  </si>
  <si>
    <t>3900-Revenue for/on Behalf of the School</t>
  </si>
  <si>
    <t>1456-College Credit Exam Incentives</t>
  </si>
  <si>
    <t>Other Revenue from State Sources</t>
  </si>
  <si>
    <t>4100, 4300-Unrestricted/Restricted Received Directly from the Federal Government</t>
  </si>
  <si>
    <t>1460-Environmental Special Plate</t>
  </si>
  <si>
    <t>4200, 4500-Unrestricted/Restricted Received from the Federal Government through the State</t>
  </si>
  <si>
    <t>1465-Charter School Stimulus Fund</t>
  </si>
  <si>
    <t>4700-Revenue Received from the Federal Government through Other Intermediate Agencies</t>
  </si>
  <si>
    <t>14XX-Arizona Industry Credentials Incentive</t>
  </si>
  <si>
    <t>4800-Federal Impact Aid</t>
  </si>
  <si>
    <t>1470-1499-Other State Projects</t>
  </si>
  <si>
    <t>4900-Revenue for/on Behalf of the School</t>
  </si>
  <si>
    <t>1500-1999-Other Special Projects</t>
  </si>
  <si>
    <t>Other Revenue from Federal Sources</t>
  </si>
  <si>
    <t>9999-Other Non PSD-12 Projects</t>
  </si>
  <si>
    <t>Project(s)</t>
  </si>
  <si>
    <t>Program(s)</t>
  </si>
  <si>
    <t>Function(s)</t>
  </si>
  <si>
    <t>Object(s)</t>
  </si>
  <si>
    <t xml:space="preserve">Amount </t>
  </si>
  <si>
    <t>all</t>
  </si>
  <si>
    <t xml:space="preserve">9999-Other Non PSD-12 Projects </t>
  </si>
  <si>
    <t>700-900</t>
  </si>
  <si>
    <t xml:space="preserve">Total for all Projects (excluding 9999-Other Non PSD-12 Projects ), Programs 100-630, Function 1000, and Object 6100 </t>
  </si>
  <si>
    <t xml:space="preserve">Total for all Projects (excluding 9999-Other Non PSD-12 Projects ), Programs 100-630, Function 2100, and Object 6100 </t>
  </si>
  <si>
    <t xml:space="preserve">Total for all Projects (excluding 9999-Other Non PSD-12 Projects ), Programs 100-630, Function 2200, and Object 6100 </t>
  </si>
  <si>
    <t xml:space="preserve">Total for all Projects (excluding 9999-Other Non PSD-12 Projects ), Programs 100-630, Function 2300, and Object 6100 </t>
  </si>
  <si>
    <t xml:space="preserve">Total for all Projects (excluding 9999-Other Non PSD-12 Projects ), Programs 100-630, Function 2400, and Object 6100 </t>
  </si>
  <si>
    <t xml:space="preserve">Total for all Projects (excluding 9999-Other Non PSD-12 Projects ), Programs 100-630, Function 2500, and Object 6100 </t>
  </si>
  <si>
    <t xml:space="preserve">Total for all Projects (excluding 9999-Other Non PSD-12 Projects ), Programs 100-630, Function 2900, and Object 6100 </t>
  </si>
  <si>
    <t xml:space="preserve">Total for all Projects (excluding 9999-Other Non PSD-12 Projects ), Programs 100-630, Function 2600, and Object 6100 </t>
  </si>
  <si>
    <t xml:space="preserve">Total for all Projects (excluding 9999-Other Non PSD-12 Projects ), Programs 100-630, Function 2700, and Object 6100 </t>
  </si>
  <si>
    <t xml:space="preserve">Total for all Projects (excluding 9999-Other Non PSD-12 Projects ), Programs 100-630, Function 3100, and Object 6100 </t>
  </si>
  <si>
    <t xml:space="preserve">Total for all Projects (excluding 9999-Other Non PSD-12 Projects ), Programs 100-630, Function 3400, and Object 6100 </t>
  </si>
  <si>
    <t xml:space="preserve">Total for all Projects (excluding 9999-Other Non PSD-12 Projects ), Programs 100-630, Function 4000, and Object 6100 </t>
  </si>
  <si>
    <t>Total for all Projects (excluding 9999-Other Non PSD-12 Projects ), Programs 100-630, All Functions except 4000, and Object 6100</t>
  </si>
  <si>
    <t>1100-1399</t>
  </si>
  <si>
    <t xml:space="preserve">Total for Projects 1100-1399, Programs 100-630, Functions 1000-3000, and Object 6100 </t>
  </si>
  <si>
    <t xml:space="preserve">Total for all Projects (excluding 9999-Other Non PSD-12 Projects ), Programs 100-630, Function 1000, and Object 6200 </t>
  </si>
  <si>
    <t xml:space="preserve">Total for all Projects (excluding 9999-Other Non PSD-12 Projects ), Programs 100-630, Function 2100, and Object 6200 </t>
  </si>
  <si>
    <t xml:space="preserve">Total for all Projects (excluding 9999-Other Non PSD-12 Projects ), Programs 100-630, Function 2200, and Object 6200 </t>
  </si>
  <si>
    <t xml:space="preserve">Total for all Projects (excluding 9999-Other Non PSD-12 Projects ), Programs 100-630, Function 2300, and Object 6200 </t>
  </si>
  <si>
    <t xml:space="preserve">Total for all Projects (excluding 9999-Other Non PSD-12 Projects ), Programs 100-630, Function 2400, and Object 6200 </t>
  </si>
  <si>
    <t xml:space="preserve">Total for all Projects (excluding 9999-Other Non PSD-12 Projects ), Programs 100-630, Function 2500, and Object 6200 </t>
  </si>
  <si>
    <t xml:space="preserve">Total for all Projects (excluding 9999-Other Non PSD-12 Projects ), Programs 100-630, Function 2900, and Object 6200 </t>
  </si>
  <si>
    <t xml:space="preserve">Total for all Projects (excluding 9999-Other Non PSD-12 Projects ), Programs 100-630, Function 2600, and Object 6200 </t>
  </si>
  <si>
    <t xml:space="preserve">Total for all Projects (excluding 9999-Other Non PSD-12 Projects ), Programs 100-630, Function 2700, and Object 6200 </t>
  </si>
  <si>
    <t xml:space="preserve">Total for all Projects (excluding 9999-Other Non PSD-12 Projects ), Programs 100-630, Function 3100, and Object 6200 </t>
  </si>
  <si>
    <t xml:space="preserve">Total for all Projects (excluding 9999-Other Non PSD-12 Projects ), Programs 100-630, Function 3400, and Object 6200 </t>
  </si>
  <si>
    <t xml:space="preserve">Total for all Projects(excluding 9999-Other Non PSD-12 Projects ), Programs 100-630, Function 4000, and Object 6200 </t>
  </si>
  <si>
    <t>Total for all Projects (excluding 9999-Other Non PSD-12 Projects ), Programs 100-630, All Functions excluding 4000, and Object 6200</t>
  </si>
  <si>
    <t xml:space="preserve">Total for Projects 1100-1399, Programs 100-630, Functions 1000-3000, and Object 6200 </t>
  </si>
  <si>
    <t>6300, 6400, and 6500</t>
  </si>
  <si>
    <t>Total for all Projects (excluding 9999-Other Non PSD-12 Projects ), Programs 100-630, Function 1000, and Object 6300, 6400, and 6500</t>
  </si>
  <si>
    <t>Total for all Projects (excluding 9999-Other Non PSD-12 Projects ), Programs 100-630, Function 2100, and Object 6300, 6400, and 6500</t>
  </si>
  <si>
    <t>Total for all Projects (excluding 9999-Other Non PSD-12 Projects ), Programs 100-630, Function 2200, and Object 6300, 6400, and 6500</t>
  </si>
  <si>
    <t>Total for all Projects (excluding 9999-Other Non PSD-12 Projects ), Programs 100-630, Function 2300, and Object 6300, 6400, and 6500</t>
  </si>
  <si>
    <t>Total for all Projects (excluding 9999-Other Non PSD-12 Projects ), Programs 100-630, Function 2400, and Object 6300, 6400, and 6500</t>
  </si>
  <si>
    <t>Total for all Projects (excluding 9999-Other Non PSD-12 Projects ), Programs 100-630, Function 2500, and Object 6300, 6400, and 6500</t>
  </si>
  <si>
    <t>Total for all Projects (excluding 9999-Other Non PSD-12 Projects ), Programs 100-630, Function 2900, and Object 6300, 6400, and 6500</t>
  </si>
  <si>
    <t>Total for all Projects (excluding 9999-Other Non PSD-12 Projects ), Programs 100-630, Function 2600, and Object 6300, 6400, and 6500</t>
  </si>
  <si>
    <t>Total for all Projects (excluding 9999-Other Non PSD-12 Projects ), Programs 100-630, Function 2700, and Object 6300, 6400, and 6500</t>
  </si>
  <si>
    <t xml:space="preserve">Total for all Projects (excluding 9999-Other Non PSD-12 Projects ), Programs 100-630, Function 3100, and Object 6300, 6400, and 6500 </t>
  </si>
  <si>
    <t>Total for all Projects (excluding 9999-Other Non PSD-12 Projects ), Programs 100-630, Function 3400, and Object 6300, 6400, and 6500</t>
  </si>
  <si>
    <t>Total for all Projects (excluding 9999-Other Non PSD-12 Projects ), Programs 100-630, Function 4000, and Object 6300, 6400, and 6500</t>
  </si>
  <si>
    <t>Total for all Projects (excluding 9999-Other Non PSD-12 Projects ), Programs 100-630, All Functions excluding 4000, and Objects 6300, 6400, and 6500</t>
  </si>
  <si>
    <t xml:space="preserve">Total for Projects 1100-1399, Programs 100-630, Functions 1000-3000, and Object 6300 </t>
  </si>
  <si>
    <t xml:space="preserve">Total for Projects 1100-1399, Programs 100-630, Functions 1000-3000, and Object 6400 </t>
  </si>
  <si>
    <t xml:space="preserve">Total for Projects 1100-1399, Programs 100-630, Functions 1000-3000, and Object 6500 </t>
  </si>
  <si>
    <t xml:space="preserve">Total for Projects 1100-1399, Programs 100-630, Functions 1000-3000, and Objects 6300,6400 and 6500 </t>
  </si>
  <si>
    <t>Total for all Projects (excluding 9999-Other Non PSD-12 Projects ), Programs 100-630, Function 1000, and Object 6600</t>
  </si>
  <si>
    <t>Total for all Projects (excluding 9999-Other Non PSD-12 Projects ), Programs 100-630, Function 2100, and Object 6600</t>
  </si>
  <si>
    <t>Total for all Projects (excluding 9999-Other Non PSD-12 Projects ), Programs 100-630, Function 2200, and Object 6600</t>
  </si>
  <si>
    <t>Total for all Projects (excluding 9999-Other Non PSD-12 Projects ), Programs 100-630, Function 2300, and Object 6600</t>
  </si>
  <si>
    <t>Total for all Projects (excluding 9999-Other Non PSD-12 Projects ), Programs 100-630, Function 2400, and Object 6600</t>
  </si>
  <si>
    <t>Total for all Projects (excluding 9999-Other Non PSD-12 Projects ), Programs 100-630, Function 2500, and Object 6600</t>
  </si>
  <si>
    <t>Total for all Projects (excluding 9999-Other Non PSD-12 Projects ), Programs 100-630, Function 2900, and Object 6600</t>
  </si>
  <si>
    <t>Total for all Projects (excluding 9999-Other Non PSD-12 Projects ), Programs 100-630, Function 2600, and Object 6600</t>
  </si>
  <si>
    <t>Total for all Projects (excluding 9999-Other Non PSD-12 Projects ), Programs 100-630, Function 2700, and Object 6600</t>
  </si>
  <si>
    <t>Total for all Projects (excluding 9999-Other Non PSD-12 Projects ), Programs 100-630, Function 3100, and Object 6600</t>
  </si>
  <si>
    <t>Total for all Projects (excluding 9999-Other Non PSD-12 Projects ), Programs 100-630, Function 3400, and Object 6600</t>
  </si>
  <si>
    <t>Total for all Projects (excluding 9999-Other Non PSD-12 Projects ), Programs 100-630, Function 4000, and Object 6600</t>
  </si>
  <si>
    <t>Total for all Projects (excluding 9999-Other Non PSD-12 Projects ), Programs 100-630, All Functions excluding 4000, and Object 6600</t>
  </si>
  <si>
    <t>Total for Projects 1100-1399, Programs 100-630, Functions 1000-3000, and Object 6600</t>
  </si>
  <si>
    <t>Total for all Projects (excluding 9999-Other Non PSD-12 Projects ), Programs 100-630, Function 1000, and Object 6810</t>
  </si>
  <si>
    <t>Total for all Projects (excluding 9999-Other Non PSD-12 Projects ), Programs 100-630, Function 2100, and Object 6810</t>
  </si>
  <si>
    <t>Total for all Projects (excluding 9999-Other Non PSD-12 Projects ), Programs 100-630, Function 2200, and Object 6810</t>
  </si>
  <si>
    <t>Total for all Projects (excluding 9999-Other Non PSD-12 Projects ), Programs 100-630, Function 2300, and Object 6810</t>
  </si>
  <si>
    <t>Total for all Projects (excluding 9999-Other Non PSD-12 Projects ), Programs 100-630, Function 2400, and Object 6810</t>
  </si>
  <si>
    <t>Total for all Projects (excluding 9999-Other Non PSD-12 Projects ), Programs 100-630, Function 2500, and Object 6810</t>
  </si>
  <si>
    <t>Total for all Projects (excluding 9999-Other Non PSD-12 Projects ), Programs 100-630, Function 2900, and Object 6810</t>
  </si>
  <si>
    <t>Total for all Projects (excluding 9999-Other Non PSD-12 Projects ), Programs 100-630, Function 2600, and Object 6810</t>
  </si>
  <si>
    <t>Total for all Projects (excluding 9999-Other Non PSD-12 Projects ), Programs 100-630, Function 2700, and Object 6810</t>
  </si>
  <si>
    <t>Total for all Projects (excluding 9999-Other Non PSD-12 Projects ), Programs 100-630, Function 3100, and Object 6810</t>
  </si>
  <si>
    <t>Total for all Projects (excluding 9999-Other Non PSD-12 Projects ), Programs 100-630, Function 3400, and Object 6810</t>
  </si>
  <si>
    <t>Total for all Projects (excluding 9999-Other Non PSD-12 Projects ), Programs 100-630, Function 4000, and Object 6810</t>
  </si>
  <si>
    <t>Total for all Projects (excluding 9999-Other Non PSD-12 Projects ), Programs 100-630, All Functions excluding 4000, and Object 6810</t>
  </si>
  <si>
    <t>Total for Projects 1100-1399, Programs 100-630, Functions 1000-3000, and Object 6810</t>
  </si>
  <si>
    <t>Total for all Projects (excluding 9999-Other Non PSD-12 Projects ), Programs 100-630, Function 2300, and Object 6820</t>
  </si>
  <si>
    <t>Total for Projects 1100-1399, Programs 100-630, Function 2300, and Object 6820</t>
  </si>
  <si>
    <t>Total for all Projects (excluding 9999-Other Non PSD-12 Projects ), Programs 100-630, Function 2500, and Object 6850</t>
  </si>
  <si>
    <t>Total for Projects 1100-1399, Programs 100-630, Functions 2500, and Object 6850</t>
  </si>
  <si>
    <t>Total for all Projects (excluding 9999-Other Non PSD-12 Projects ), Programs 100-630, Function 1000, and Object 6890</t>
  </si>
  <si>
    <t>Total for all Projects (excluding 9999-Other Non PSD-12 Projects ), Programs 100-630, Function 2100, and Object 6890</t>
  </si>
  <si>
    <t>Total for all Projects (excluding 9999-Other Non PSD-12 Projects ), Programs 100-630, Function 2200, and Object 6890</t>
  </si>
  <si>
    <t>Total for all Projects (excluding 9999-Other Non PSD-12 Projects ), Programs 100-630, Function 2300, and Object 6890</t>
  </si>
  <si>
    <t>Total for all Projects (excluding 9999-Other Non PSD-12 Projects ), Programs 100-630, Function 2400, and Object 6890</t>
  </si>
  <si>
    <t>Total for all Projects (excluding 9999-Other Non PSD-12 Projects ), Programs 100-630, Function 2500, and Object 6890</t>
  </si>
  <si>
    <t>Total for all Projects (excluding 9999-Other Non PSD-12 Projects ), Programs 100-630, Function 2900, and Object 6890</t>
  </si>
  <si>
    <t>Total for all Projects (excluding 9999-Other Non PSD-12 Projects ), Programs 100-630, Function 2600, and Object 6890</t>
  </si>
  <si>
    <t>Total for all Projects (excluding 9999-Other Non PSD-12 Projects ), Programs 100-630, Function 2700, and Object 6890</t>
  </si>
  <si>
    <t>Total for all Projects (excluding 9999-Other Non PSD-12 Projects ), Programs 100-630, Function 3100, and Object 6890</t>
  </si>
  <si>
    <t>Total for all Projects (excluding 9999-Other Non PSD-12 Projects ), Programs 100-630, Function 3200, and Object 6890</t>
  </si>
  <si>
    <t>Total for all Projects (excluding 9999-Other Non PSD-12 Projects ), Programs 100-630, Function 3400, and Object 6890</t>
  </si>
  <si>
    <t>Total for all Projects (excluding 9999-Other Non PSD-12 Projects ), Programs 100-630, Function 4000, and Object 6890</t>
  </si>
  <si>
    <t>Total for all Projects (excluding 9999-Other Non PSD-12 Projects ), Programs 100-630, All Functions excluding 4000, and Object 6890</t>
  </si>
  <si>
    <t>Total for Projects 1100-1399, Programs 100-630, Functions 1000-3000, and Object 6890</t>
  </si>
  <si>
    <t>Total for all Projects (excluding 9999-Other Non PSD-12 Projects ), Programs 700-900, Function 1000, and all 6000 Objects, excluding 6700 and 6900</t>
  </si>
  <si>
    <t>Total for all Projects (excluding 9999-Other Non PSD-12 Projects ), Programs 700-900, Function 2100, and all 6000 Objects, excluding 6700 and 6900</t>
  </si>
  <si>
    <t>Total for all Projects (excluding 9999-Other Non PSD-12 Projects ), Programs 700-900, Function 2200, and all 6000 Objects, excluding 6700 and 6900</t>
  </si>
  <si>
    <t>Total for all Projects (excluding 9999-Other Non PSD-12 Projects ), Programs 700-900, Function 2300, and all 6000 Objects, excluding 6700 and 6900</t>
  </si>
  <si>
    <t>Total for all Projects (excluding 9999-Other Non PSD-12 Projects ), Programs 700-900, Function 2400, and all 6000 Objects, excluding 6700 and 6900</t>
  </si>
  <si>
    <t>Total for all Projects (excluding 9999-Other Non PSD-12 Projects ), Programs 700-900, Function 2500, and all 6000 Objects, excluding 6700 and 6900</t>
  </si>
  <si>
    <t>Total for all Projects (excluding 9999-Other Non PSD-12 Projects ), Programs 700-900, Function 2900, and all 6000 Objects, excluding 6700 and 6900</t>
  </si>
  <si>
    <t>Total for all Projects (excluding 9999-Other Non PSD-12 Projects ), Programs 700-900, Function 2600, and all 6000 Objects, excluding 6700 and 6900</t>
  </si>
  <si>
    <t>Total for all Projects (excluding 9999-Other Non PSD-12 Projects ), Programs 700-900, Function 3100, and all 6000 Objects, excluding 6700 and 6900</t>
  </si>
  <si>
    <t>Total for all Projects (excluding 9999-Other Non PSD-12 Projects ), Programs 700-900, Function 3300, and all 6000 Objects, excluding 6700 and 6900</t>
  </si>
  <si>
    <t>Total for all Projects (excluding 9999-Other Non PSD-12 Projects ), Programs 700-900, Function 3400, and all 6000 Objects, excluding 6700 and 6900</t>
  </si>
  <si>
    <t>Total for all Projects (excluding 9999-Other Non PSD-12 Projects ), Programs 700-900, Function 4000, and all 6000 Objects, excluding 6700 and 6900</t>
  </si>
  <si>
    <t>Total for all Projects (excluding 9999-Other Non PSD-12 Projects ), Programs 700-900, Function 5000, and all 6000 Objects, excluding 6700 and 6900</t>
  </si>
  <si>
    <t>Total for all Projects (excluding 9999-Other Non PSD-12 Projects ), Programs 700-900, All Functions except 4000-5000, and all 6000 Objects, excluding 6700 and 6900</t>
  </si>
  <si>
    <t>Total for Projects 1100-1399, Programs 700-900, All Functions, and all 6000 Objects excluding 6900</t>
  </si>
  <si>
    <t>900-949</t>
  </si>
  <si>
    <t>Total for 9999-Other Non PSD-12 Projects, All Programs, All Functions, All 6000 Objects</t>
  </si>
  <si>
    <t>Total for all Projects (excluding 9999-Other Non PSD-12 Projects ), Programs 100-630, Function 5000, and Object 6850</t>
  </si>
  <si>
    <t>Total for all Projects (excluding 9999-Other Non PSD-12 Projects ), Programs 100-630, Function 1000, and Object 6800</t>
  </si>
  <si>
    <t>Total for all Projects (excluding 9999-Other Non PSD-12 Projects ), Programs 100-630, Function 2100, and Object 6800</t>
  </si>
  <si>
    <t>Total for all Projects (excluding 9999-Other Non PSD-12 Projects ), Programs 100-630, Function 2200, and Object 6800</t>
  </si>
  <si>
    <t>Total for all Projects (excluding 9999-Other Non PSD-12 Projects ), Programs 100-630, Function 2300, and Object 6800</t>
  </si>
  <si>
    <t>Total for all Projects (excluding 9999-Other Non PSD-12 Projects ), Programs 100-630, Function 2400, and Object 6800</t>
  </si>
  <si>
    <t>Total for all Projects (excluding 9999-Other Non PSD-12 Projects ), Programs 100-630, Function 2500, and Object 6800</t>
  </si>
  <si>
    <t>Total for all Projects (excluding 9999-Other Non PSD-12 Projects ), Programs 100-630, Function 2900, and Object 6800</t>
  </si>
  <si>
    <t>Total for all Projects (excluding 9999-Other Non PSD-12 Projects ), Programs 100-630, Function 2600, and Object 6800</t>
  </si>
  <si>
    <t>Total for all Projects (excluding 9999-Other Non PSD-12 Projects ), Programs 100-630, Function 2700, and Object 6800</t>
  </si>
  <si>
    <t>Total for all Projects (excluding 9999-Other Non PSD-12 Projects ), Programs 100-630, Function 3100, and Object 6800</t>
  </si>
  <si>
    <t>Total for all Projects (excluding 9999-Other Non PSD-12 Projects ), Programs 100-630, Function 3400, and Object 6800</t>
  </si>
  <si>
    <t>Total for all Projects (excluding 9999-Other Non PSD-12 Projects ), Programs 700-900, All Functions except 4000, and Object 6800</t>
  </si>
  <si>
    <t>Total for Projects 1100-1399, Programs 100-630, Functions 1000-3000, and Object 6800</t>
  </si>
  <si>
    <t>Total for all Projects (excluding 9999-Other Non PSD-12 Projects ), Programs 100-630, Function 4000, and Object 6800</t>
  </si>
  <si>
    <t>Total for all Projects (excluding 9999-Other Non PSD-12 Projects ), Programs 100-630, Function 1900, and Object 6100</t>
  </si>
  <si>
    <t xml:space="preserve">Total for Projects 1100-1399, Programs 100-630, Functions 1900, and Object 6100 </t>
  </si>
  <si>
    <t>Total for State and Local Projects, Programs 100-630, Functions 1900, and Object 6100</t>
  </si>
  <si>
    <t>Total for all Projects (excluding 9999-Other Non PSD-12 Projects ), Programs 100-630, Function 5000, and Object 6800</t>
  </si>
  <si>
    <t>The Charter should complete the Cover, School listing, and Accounting data tabs first. This file has been designed to populate most amounts automatically based on provided accounting data. The Charter must manually enter amounts to the nearest dollar in the orange highlighted cells. Do not enter information in the shaded areas or protected cells and do not change formulas. Charters must follow all instructions to ensure uploaded files will pass validation checks.</t>
  </si>
  <si>
    <t>B. Project balance reserve process or policy</t>
  </si>
  <si>
    <t>Does the Charter operate additional school sites with resources that are not reflected in the project balances reported in section A?</t>
  </si>
  <si>
    <t xml:space="preserve">Is the Charter a part of another financial reporting entity (e.g., a larger nonprofit organization) with resources that are not reflected in the project balances reported in Section A? </t>
  </si>
  <si>
    <t xml:space="preserve">     Total federal and State projects (lines 18 and 32)</t>
  </si>
  <si>
    <t xml:space="preserve">     Total State projects (lines 20-31)</t>
  </si>
  <si>
    <t>A. Project balance amounts and planned uses</t>
  </si>
  <si>
    <t>Total project balance (should agree to amount on line 2)</t>
  </si>
  <si>
    <t>If question 1 was answered yes, complete the table below to describe the Charter's specific FY 2024 targeted and actual project balance reserve amounts and methods used to establish those targeted balance reserve amounts.</t>
  </si>
  <si>
    <t>The Charter plans to take the following actions related to its ending project balance in FY 2025 and thereafter:</t>
  </si>
  <si>
    <t>This tab presents information on the amount and planned use of the Charter's project's balances to increase transparency and provide decision-makers, other stakeholders, and the public more complete financial information. It also presents information about policies or guidelines the Charter used to establish target project balance reserve amounts.</t>
  </si>
  <si>
    <t>Prior year ending project balance</t>
  </si>
  <si>
    <t>Current year ending project balance</t>
  </si>
  <si>
    <t xml:space="preserve">Targeted FY 2024 project balance reserve amount </t>
  </si>
  <si>
    <t xml:space="preserve">Actual FY 2024 project balance reserve amount </t>
  </si>
  <si>
    <t xml:space="preserve">This line pulls in prior year ending balances from the Summary tab for all projects. If any ending project balances were reported incorrectly on the prior year AFR, charters should enter the calculated beginning balance on the Summary tab, column C, as described in the instruction for that column. The calculated beginning balance should include any errors or audit adjustments identified in the Charter's FY 2023 audit. </t>
  </si>
  <si>
    <t xml:space="preserve">Report amounts the Charter plans to spend to support FY 2025 budgeted spending after using all available FY 2025 revenues. Any nonspendable amounts included in reserve such as current prepaid assets should be included in this line if the Charter plans to use them in FY 2025. Otherwise, such nonspendable assets should be included in the amounts reported on the lines below based on the Charter's plan to use them to benefit a future year, as applicable. </t>
  </si>
  <si>
    <t>Section A
Lines 3.c, through h</t>
  </si>
  <si>
    <t xml:space="preserve">Report accumulated reserve amounts that will not be used to finance current budget year expenses and their intended future purposes on lines 3.c through h. Amounts needed to support current-year (FY 2025) expenditures should have been reported on lines 3.b. See specific instructions for line 3. c through f below. If a specific purpose has not been listed, use lines 3. g and h and indicate the purpose. </t>
  </si>
  <si>
    <t>Section B provides information about any process or policy the Charter uses to establish targeted (goal) project balance reserve amounts.</t>
  </si>
  <si>
    <t>Charters should use this space to describe any planned actions related to its project balance amounts going forward, including increasing reserves that do not meet targeted levels or using excess amounts held in reserve beyond the adopted targeted reserve level. Also, describe any planned actions to change targeted reserve levels or formally adopt policies related to reserve levels, if not already in place. This space may also be used to describe why amounts are maintained for the purposes reported in section A and more detailed information on the Charter's plans for using maintained fund balances in future years. If the Charter's ending balance is negative, describe actions planned to eliminate the deficits (negative amounts).</t>
  </si>
  <si>
    <t xml:space="preserve">      Total Local Revenue (lines 1-13)</t>
  </si>
  <si>
    <t>Page 6, section H, average teacher salary table is not complete. The average salary of all teachers employed in FY 2024 must be recorded on page 6, section H, line 1. New charters must still report an amount on line 1. If a charter was new and began operations in FY 2024, please indicate so by checking the box in K28.</t>
  </si>
  <si>
    <t>Federal and State projects, line 33</t>
  </si>
  <si>
    <r>
      <t xml:space="preserve">The total of budget and actual federal and State project expenses (project codes 1100 through 1499 on page 9) should be included on line 38.  The total of budgeted and actual expenses on line 38 should agree with the total of federal and State project expenses on line </t>
    </r>
    <r>
      <rPr>
        <sz val="10"/>
        <color rgb="FFFF0000"/>
        <rFont val="Times New Roman"/>
        <family val="1"/>
      </rPr>
      <t>33</t>
    </r>
    <r>
      <rPr>
        <sz val="10"/>
        <rFont val="Times New Roman"/>
        <family val="2"/>
      </rPr>
      <t xml:space="preserve"> of page 8.</t>
    </r>
  </si>
  <si>
    <t>Report property disbursement, interest, and redemption of principal payments made in accordance with §15-977. Property disbursements should include payments for capital acquisitions, not including related capital lease or other debt service payments. Interest expenses will be charged to object code 6850. Redemption of principal should include payments for principal on leases and other long-term debt that reduced the related liability.</t>
  </si>
  <si>
    <t>(see Reserve balance tab for more detail)</t>
  </si>
  <si>
    <t>Page 1, line 21. 3200-Restricted revenues should be greater than or equal to total revenue amounts on pages 3-5 for CSP, IIP, ELLP and CIP. Ensure revenues are properly recorded for Classroom Site Project on page 3, line 11; Instructional Improvement Project on page 4, line 7; English Language Learner Project on page 5, line 1 and Compensatory Instruction Project, page 5, line 15. As these revenues are all considered restricted revenues from State sources, these amounts should be included in the amount reported on page 1, line 21. In addition, any restricted revenues received for State projects, as reported on page 8, should also be included, as appropriate.</t>
  </si>
  <si>
    <t>Page 6, section C is not complete. Ensure all expenses for capital acquisitions are reported on page 6, section C, lines 1-6. If the Charter does not have any applicable capital acquisitions to report, enter a 0 on the line item(s) as applicable. Lines 1-6 cannot be left blank.</t>
  </si>
  <si>
    <t>Page 6, section E, current expenses table is not complete. Ensure current expenses reported on page 6, section E are accurate. Lines 1, 2, 3, and 5 cannot be 0 or left blank.</t>
  </si>
  <si>
    <t>Property disbursements should include actual payments made during the year for capital acquisitions, not including related finance lease or other debt service payments.  Property disbursements for nonfixed (movable) equipment in programs 100 through 600 should be allocated to functions 1000 through 4000 based on the intended use of the equipment.  All other property disbursements for these programs should be included in function 4000.</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</si>
  <si>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finance lease or other debt service payments. Total property disbursements in this table should equal the sum of property disbursements in the 2 preceding tables above. If no disbursements were made during the year, enter a 0 value in each line.</t>
  </si>
  <si>
    <t>Debt service amounts should include interest, redemption of principal, and other expenses  for programs 100-630. Interest should be expenses charged to object code 6850.  Redemption of principal should include payments made during the year for principal on finance leases and other long-term debt that were recorded as a reduction of the related liability. All other expenses coded within the 6800 object range, function 5000, should be included in line 6800 Other.</t>
  </si>
  <si>
    <t>The amounts in this column calculate automatically based on columns D, E, and F on each line. Any negative amounts, will be highlighted in yellow. To correct negative amounts in these cells, verify that spending reported in columns E through F does not exceed the total award reported in column D. All amounts entered into this form should be rounded to the nearest whole dollar. This column may also show negative amounts if cents are entered in the award or spending columns.
For further assistance with this issue, please contact the Auditor General's Accountability Services Division at (602) 977-2796 or email asd@azauditor.gov.</t>
  </si>
  <si>
    <t>Charters must manually enter total award and spending information for the various COVID-19 grants listed in lines 1 through 6 of this table. Charters can refer to the Auditor General's COVID-19 Spending Special Report Followup, Dashboard B, for previously reported grant award and prior years' spending information, when completing this table. Detailed instructions regarding the amounts that should be included in each row and column are included below.</t>
  </si>
  <si>
    <t>FY 2024</t>
  </si>
  <si>
    <t>We, the Governing Board of the Charter School, hereby certify the Annual Financial Report and School Level Reporting form per A.R.S. §§15-183(E)(6) and 15-904 for Fiscal Year 2024.</t>
  </si>
  <si>
    <t xml:space="preserve">The annual financial report file(s) for FY 2024 uploaded to the Arizona Department of </t>
  </si>
  <si>
    <t xml:space="preserve">      Total Intermediate Revenue (lines 15-17)</t>
  </si>
  <si>
    <t xml:space="preserve">      Total State Revenue (lines 19-23)</t>
  </si>
  <si>
    <t xml:space="preserve">      Total Federal Revenue (lines 25-30)</t>
  </si>
  <si>
    <t>Classroom Site Project (from page 3, lines 6 and 8)</t>
  </si>
  <si>
    <t>Federal and State Projects (from page 8, line 33)</t>
  </si>
  <si>
    <t>July 1, 2023</t>
  </si>
  <si>
    <t>June 30, 2024</t>
  </si>
  <si>
    <t>Investment in capital assets as of June 30, 2024</t>
  </si>
  <si>
    <t>Check box if the Charter was new and began operations in FY 2024.</t>
  </si>
  <si>
    <t>Average salary of all teachers employed in FY 2024</t>
  </si>
  <si>
    <t>Average salary of all teachers employed in FY 2023</t>
  </si>
  <si>
    <t>Increase in average teacher salary from FY 2023</t>
  </si>
  <si>
    <t>Cash and investments held at June 30, 2024</t>
  </si>
  <si>
    <t xml:space="preserve">     1. Long-term debt outstanding, July 1, 2023</t>
  </si>
  <si>
    <t xml:space="preserve">     2. Long-term debt issued during FY 2024</t>
  </si>
  <si>
    <t xml:space="preserve">     3. Long-term debt retired during FY 2024</t>
  </si>
  <si>
    <t xml:space="preserve">     4. Long-term debt outstanding, June 30, 2024</t>
  </si>
  <si>
    <t xml:space="preserve">     5. Short-term debt outstanding, July 1, 2023</t>
  </si>
  <si>
    <t xml:space="preserve">     6. Short-term debt outstanding, June 30, 2024</t>
  </si>
  <si>
    <t>Total FY 2024 expenses + indirect costs, debt service, and property disbursements</t>
  </si>
  <si>
    <t>FY 2020 through 
FY 2023
Expenses and other financing uses</t>
  </si>
  <si>
    <t>FY 2024
Expenses and other financing uses</t>
  </si>
  <si>
    <t>2023</t>
  </si>
  <si>
    <t>2024</t>
  </si>
  <si>
    <t>The total reserve balance for FY 2024 is:</t>
  </si>
  <si>
    <t>FY 2023 ending project balance</t>
  </si>
  <si>
    <t>FY 2024 ending project balance</t>
  </si>
  <si>
    <t>Planned to be spent in FY 2025 to support budgeted spending</t>
  </si>
  <si>
    <r>
      <t xml:space="preserve">Maintained for debt retirement </t>
    </r>
    <r>
      <rPr>
        <u/>
        <sz val="10"/>
        <rFont val="Times New Roman"/>
        <family val="1"/>
      </rPr>
      <t>after</t>
    </r>
    <r>
      <rPr>
        <sz val="10"/>
        <rFont val="Times New Roman"/>
        <family val="2"/>
      </rPr>
      <t xml:space="preserve"> FY 2025</t>
    </r>
  </si>
  <si>
    <r>
      <t xml:space="preserve">Maintained for capital projects </t>
    </r>
    <r>
      <rPr>
        <u/>
        <sz val="10"/>
        <rFont val="Times New Roman"/>
        <family val="1"/>
      </rPr>
      <t>after</t>
    </r>
    <r>
      <rPr>
        <sz val="10"/>
        <rFont val="Times New Roman"/>
        <family val="2"/>
      </rPr>
      <t xml:space="preserve"> FY 2025</t>
    </r>
  </si>
  <si>
    <r>
      <t xml:space="preserve">Maintained for retirement contributions </t>
    </r>
    <r>
      <rPr>
        <u/>
        <sz val="10"/>
        <rFont val="Times New Roman"/>
        <family val="1"/>
      </rPr>
      <t>after</t>
    </r>
    <r>
      <rPr>
        <sz val="10"/>
        <rFont val="Times New Roman"/>
        <family val="2"/>
      </rPr>
      <t xml:space="preserve"> FY 2025</t>
    </r>
  </si>
  <si>
    <t>FY 2024 ending project balance details:</t>
  </si>
  <si>
    <t xml:space="preserve">Section A presents the prior year's and current year's ending balances for all projects and provides space for charters to report FY 2024 ending balance details that identify how charters plan to use those monies in future years. </t>
  </si>
  <si>
    <r>
      <t xml:space="preserve">All actual revenues, expenses, and account balances presented on the AFR must agree with the Charter's accounting records as of June 30, 2024. Revenue and expense account codes used in the AFR agree with the </t>
    </r>
    <r>
      <rPr>
        <i/>
        <sz val="10"/>
        <rFont val="Times New Roman"/>
        <family val="1"/>
      </rPr>
      <t>Uniform System of Financial Records for Arizona Charter Schools</t>
    </r>
    <r>
      <rPr>
        <sz val="10"/>
        <rFont val="Times New Roman"/>
        <family val="2"/>
      </rPr>
      <t xml:space="preserve"> (USFRCS) Chart of Accounts. Charters that are exempted from all or part of the USFRCS in accordance with A.R.S. §15-183(E)(6) must use an accounting system that allows them to report financial data in the AFR standard expense types and functional uses. See the USFRCS Chart of Accounts for more information on project, function, and object codes and descriptions at https://www.azauditor.gov/reports-publications/charter-schools/manuals-memorandums.  Charters should ensure their budget amounts agree to their most recently revised or adopted FY 2024 budget that was submitted to ADE.           
Revenues must include cash receipts through June 30, 2024, and accrued revenues received after the end of the fiscal year. Examples of accrued revenues are cost reimbursement and entitlement programs, interest earned on investments, and FY 2024 Classroom Site Project revenues.         
Expenses consist of all expenses incurred during the fiscal year, including expenses for goods and services received on or before June 30, 2024, but not paid for by that date. Examples of items requiring such treatment are included in the USFRCS, pages VI-G-8 and 9.</t>
    </r>
  </si>
  <si>
    <r>
      <t>Record amounts expended in FY 202</t>
    </r>
    <r>
      <rPr>
        <sz val="10"/>
        <rFont val="Times New Roman"/>
        <family val="2"/>
      </rPr>
      <t>4</t>
    </r>
    <r>
      <rPr>
        <sz val="10"/>
        <rFont val="Times New Roman"/>
        <family val="2"/>
      </rPr>
      <t xml:space="preserve"> for audit services. 
Nonfederal audit expense incurred in FY 202</t>
    </r>
    <r>
      <rPr>
        <sz val="10"/>
        <rFont val="Times New Roman"/>
        <family val="2"/>
      </rPr>
      <t>4</t>
    </r>
    <r>
      <rPr>
        <sz val="10"/>
        <rFont val="Times New Roman"/>
        <family val="2"/>
      </rPr>
      <t xml:space="preserve"> may be included on the budget for FY 202</t>
    </r>
    <r>
      <rPr>
        <sz val="10"/>
        <rFont val="Times New Roman"/>
        <family val="2"/>
      </rPr>
      <t>6</t>
    </r>
    <r>
      <rPr>
        <sz val="10"/>
        <rFont val="Times New Roman"/>
        <family val="2"/>
      </rPr>
      <t xml:space="preserve"> for reimbursement pursuant to A.R.S. </t>
    </r>
    <r>
      <rPr>
        <sz val="10"/>
        <rFont val="Calibri"/>
        <family val="2"/>
      </rPr>
      <t>§</t>
    </r>
    <r>
      <rPr>
        <sz val="10"/>
        <rFont val="Times New Roman"/>
        <family val="2"/>
      </rPr>
      <t>15-914.  In order to receive reimbursement in FY 202</t>
    </r>
    <r>
      <rPr>
        <sz val="10"/>
        <rFont val="Times New Roman"/>
        <family val="2"/>
      </rPr>
      <t>6</t>
    </r>
    <r>
      <rPr>
        <sz val="10"/>
        <rFont val="Times New Roman"/>
        <family val="2"/>
      </rPr>
      <t>, nonfederal audit expenses must be included in the FY 202</t>
    </r>
    <r>
      <rPr>
        <sz val="10"/>
        <rFont val="Times New Roman"/>
        <family val="2"/>
      </rPr>
      <t>4</t>
    </r>
    <r>
      <rPr>
        <sz val="10"/>
        <rFont val="Times New Roman"/>
        <family val="2"/>
      </rPr>
      <t xml:space="preserve"> AFR.  Amounts reported must be amounts actually spent in FY 202</t>
    </r>
    <r>
      <rPr>
        <sz val="10"/>
        <rFont val="Times New Roman"/>
        <family val="2"/>
      </rPr>
      <t>4</t>
    </r>
    <r>
      <rPr>
        <sz val="10"/>
        <rFont val="Times New Roman"/>
        <family val="2"/>
      </rPr>
      <t xml:space="preserve">.  </t>
    </r>
    <r>
      <rPr>
        <b/>
        <sz val="10"/>
        <rFont val="Times New Roman"/>
        <family val="1"/>
      </rPr>
      <t>Do not include the costs of consulting or other services paid to audit firms in the nonfederal or federal audit services actual expenses.</t>
    </r>
  </si>
  <si>
    <t>Enter the total increase in capital assets, by asset classification, recorded in the general ledger and on the capital assets list for the year ended June 30, 2024.  These amounts represent only the assets acquired during the year costing $5,000 or more and, for equipment, having useful lives of 1 year or more. The amount should include assets that were purchased or financed. If no acquisitions were made during the year, enter a 0 value in each line.
Note: If the Charter's policy is to include intangible assets; land, buildings, and related improvements; site improvements; or equipment costing less than $5,000 on the capital assets list, these items should also be included.</t>
  </si>
  <si>
    <t xml:space="preserve">Enter the total increase in construction in progress for the year ended June 30, 2024.  This amount is not recorded on the capital assets list until the project is completed.  Therefore, it will not appear on the capital assets list as of June 30, 2024.
</t>
  </si>
  <si>
    <t>Enter the total cost, by asset classification, recorded in the general ledger and on the capital assets list as of June 30, 2024, for items costing $5,000 or more and, for equipment, having useful lives of 1 year or more.  These amounts represent the ending balances in the capital assets accounts, accounting for current year acquisitions and disposals, and should not include depreciation.
Note:  If the Charter's policy is to include land, buildings, and related improvements; site improvements; or equipment costing less than $5,000 on the capital assets list, these items should also be included.  The sum of lines 1, 2, 3, and 4 should agree with the amount recorded on the Charter's capital assets list as of June 30, 2024.</t>
  </si>
  <si>
    <t>Enter the total cost of construction in progress as of June 30, 2024.  This amount is not recorded on the capital assets list as of June 30, 2024.</t>
  </si>
  <si>
    <t>Enter the average teacher salary of all teachers employed in FY 2024. Each charter should be consistent in the type of salary information included in this table from year to year, as similarly reported in the budget. An optional comment box is available to provide any additional detail regarding the average teacher salary calculation.  Ensure the average teacher salary amount reported for FY 2023 pulls correctly from the prior year AFR.</t>
  </si>
  <si>
    <t xml:space="preserve">Enter all known awards to date, awarded both before and after June 30, 2024. If the specific fund/program is not listed, it should be reported on line 6, Other COVID-19 Federal Relief Funds. 
For further assistance with this item, please contact the Auditor General's Accountability Services Division at (602) 977-2796 or email asd@azauditor.gov. 
New charters reporting for the first time: Enter the total award amounts in each line, as applicable. If your charter did not receive an award for a listed project, please enter 0 on that line. </t>
  </si>
  <si>
    <t>COVID-19 federal relief projects, FY 2020 through 2023
Expenses and Other Financing Uses</t>
  </si>
  <si>
    <t xml:space="preserve">Enter the total FY 2020 through 2023 expenses, including property disbursements, debt service payments, and indirect costs transfers-out amounts from each COVID project/program listed. If the amount is zero, enter 0. If the specific project/program is not listed, report on line 6, Other COVID-19 federal relief projects. </t>
  </si>
  <si>
    <t>COVID-19 federal relief projects, FY 2024 Expenses and Other Financing Uses</t>
  </si>
  <si>
    <t>Enter the total expenses, including property disbursements and debt service payments, and indirect costs transfers-out made for FY 2024 from each COVID project/program listed. If the amount is zero, enter 0. If the specific project/program is not listed, report on line 6, Other COVID-19 federal relief projects.
Total expenses on line 7 should agree to the amount displayed in cell H43.</t>
  </si>
  <si>
    <t xml:space="preserve">Obtain total Attending ADM for FY 2023 and FY 2024 from ADE’s ADM30 reports, available on ADE’s website.  </t>
  </si>
  <si>
    <t xml:space="preserve">The beginning balance for each project, at July 1, 2023, automatically pull from the projects' ending balance reported on the FY 2023 AFR. </t>
  </si>
  <si>
    <r>
      <t xml:space="preserve">ADE will use the information included on this page to complete the National Public Education Financial Survey (NPEFS) and Form 33 issued by the National Center for Education Statistics. </t>
    </r>
    <r>
      <rPr>
        <b/>
        <u/>
        <sz val="10"/>
        <rFont val="Times New Roman"/>
        <family val="1"/>
      </rPr>
      <t>All charters are required to submit NPEFS data</t>
    </r>
    <r>
      <rPr>
        <sz val="10"/>
        <rFont val="Times New Roman"/>
        <family val="1"/>
      </rPr>
      <t xml:space="preserve">, which is used to calculate a State per pupil expenditure amount that is used in the formula for allocating a number of federal program funds to states and local education agencies, including Title I, Impact Aid, and Indian Education. Other programs use State per pupil expenditure data indirectly because their allocation formulas are based, in whole or in part, on State Title I allocations. The NPEFS and Form 33 data is also used by researchers and government policymakers to address important education policy and research issues.
Report all amounts from Projects 1000 through 1999 on this page. Do not include principal payments.
If the charter has a negative amount in cell G25 (supplies from State and local sources), the negative amount is likely from an adjustment made to recognize spending from Child nutrition program revenues reported in the afr24-food service.xlsx file as federal spending rather than State and local spending where the Food Service Project is initially reported. If there is a negative amount in cell G25:
1. Note the amount of the negative balance and add that amount at the end of the formula in cell G25 (for example “+200”) to clear the negative. Then you must subtract that amount in total (for example “-200”) at the end of the formula(s) for one or more of the other State and local spending cells (D25 through F25 or H25 through K25), without creating a negative balance in any of those cells.
2. Finally, to complete this adjustment, add the adjustment amount(s) from step 1 above to the applicable federal source columns by object code in cells D24 through K24.
</t>
    </r>
  </si>
  <si>
    <t>If an ending project balance is reported incorrectly on the FY 2023 AFR, charters should enter the correct amount in the adjusted beginning project balance column, lines 1 through 31. Lines that report amounts for multiple projects should enter a single amount for the calculated beginning project balance for all projects reported on that line. Only enter amounts in this column if the charter needs to adjust beginning project balance for any errors or audit adjustments identified in the charter's FY 2023 audit.</t>
  </si>
  <si>
    <r>
      <t>This line pulls in current year ending balances from the Summar</t>
    </r>
    <r>
      <rPr>
        <sz val="10"/>
        <rFont val="Times New Roman"/>
        <family val="1"/>
      </rPr>
      <t>y tab for all projects.</t>
    </r>
  </si>
  <si>
    <t xml:space="preserve">Amounts for indirect costs, expenses, capital acquisitions, redemption of principal, and ending balance should agree with the Charter's completion reports filed with the ADE Grants Management Office. Manually enter in any amounts for reversions (monies returned to the grantor) and capital acquisitions and principal payments.
Do not include payments for depreciation or impairment expense.  
Report expenses related to monies remaining in Project 1457—Results-based Funding on line 31—Other State Projects, along with any other State project funds not included on lines 20 through 30 above by identifying activity as 1470-1499-Other State Projects in the accounting data tab.
  </t>
  </si>
  <si>
    <t>Laws 2023, Chapter 142, §2 repealed A.R.S. §15-249.08, which had established Project 1457—Results-based Funding and required separate reporting of the Project's activities in the AFR.</t>
  </si>
  <si>
    <t>If an ending project balance is reported incorrectly on the FY 2023 AFR, charters should enter the correct amount in the adjusted beginning project balance column, lines 17 through 23. Lines that report amounts for multiple projects should enter a single amount for the calculated beginning project balance for all projects reported on that line. Only enter amounts in this column if the charter needs to adjust beginning project balance for any errors or audit adjustments identified in the charter's FY 2023 audit.</t>
  </si>
  <si>
    <t>Does the Charter have a process or policy it follows to establish a targeted (goal) project balance reserve level that the Charter is working to maintain each year? (Yes or No in cell F26) If the Charter has an adopted policy, enter the policy number in the box provided (cell G26).</t>
  </si>
  <si>
    <t xml:space="preserve">For projects with a deficit balance, enter the negative amount on this line. Charters' projects may have deficit balances because expenses exceeded available resources from current revenues and prior year reserve balance and therefore, reduce the amount of resources available in future years.  </t>
  </si>
  <si>
    <t>If the Charter answered question B.1 "Yes," complete this table to describe the Charter's specific FY 2024 targeted and actual project balance reserve amounts and methods used to establish those targeted balance reserve amounts. Charters should display information in this table in a way that best reflects its process or policies. It may combine all or multiple projects on 1 line or use individual lines for specific projects if varying methods are used to establish target balance reserve levels for different projects. For example, a charter may establish project balance reserve levels based on a certain percentage of operating revenue or spending, or describe minimum and maximum targeted balances. If a charter establishes targeted project balance reserve amounts based on the Arizona State Board for Charter Schools financial framework or other private or nonprofit reserve guidelines, that may also be described here.</t>
  </si>
  <si>
    <t>Policy number (N/A if no adopted policy exists):</t>
  </si>
  <si>
    <t>Arizona charter schools may operate in a variety of ways including as a single school or as multiple school sites under 1 charter holder or charter management organization. A charter's operating structure may affect project balance decisions. The questions below are intended to provide clarifying information on a charter's operating format for users to consider when reviewing the specific project balance information reported on this page.</t>
  </si>
  <si>
    <t>Project balance reserves tab</t>
  </si>
  <si>
    <t>Chairperson</t>
  </si>
  <si>
    <t>Vice Chairperson</t>
  </si>
  <si>
    <t>Treasurer</t>
  </si>
  <si>
    <t>Director</t>
  </si>
  <si>
    <t>Board Member</t>
  </si>
  <si>
    <t>Phillip Netolicky</t>
  </si>
  <si>
    <t>pnetolic@asu.edu</t>
  </si>
  <si>
    <t>Account</t>
  </si>
  <si>
    <t>Fund</t>
  </si>
  <si>
    <t>ASU Preparatory Academy - South Phoenix Primary</t>
  </si>
  <si>
    <t>Maricopa</t>
  </si>
  <si>
    <t>078267000</t>
  </si>
  <si>
    <t>1100-1005</t>
  </si>
  <si>
    <t>1100-1006</t>
  </si>
  <si>
    <t>1591-1002</t>
  </si>
  <si>
    <t>1591-1005</t>
  </si>
  <si>
    <t>Interest Income</t>
  </si>
  <si>
    <t>Daily Sales - Food Service to Students</t>
  </si>
  <si>
    <t>Student Activities Fees</t>
  </si>
  <si>
    <t>Tax Credit Donation - Unrestircted</t>
  </si>
  <si>
    <t>Tax Credit Donation - Restircted</t>
  </si>
  <si>
    <t>Contributions and Donations - Without Donor Restrictions</t>
  </si>
  <si>
    <t>Contributions and Donations - With Donor Restrictions</t>
  </si>
  <si>
    <t>In-Kind Services - ASU</t>
  </si>
  <si>
    <t>Private Grant Revenue</t>
  </si>
  <si>
    <t>Refund of Prior Year Expenses</t>
  </si>
  <si>
    <t>State Equalization Assistance</t>
  </si>
  <si>
    <t>Prop 123</t>
  </si>
  <si>
    <t>Prop 301</t>
  </si>
  <si>
    <t>School Safety Program Expansion</t>
  </si>
  <si>
    <t>Arts Consumable Grant</t>
  </si>
  <si>
    <t>Title I</t>
  </si>
  <si>
    <t>Title III - ELL</t>
  </si>
  <si>
    <t>IDEA</t>
  </si>
  <si>
    <t>ARP-HCY (Homeless Children and Youth)</t>
  </si>
  <si>
    <t>ESF(Education Stabilization Fund)</t>
  </si>
  <si>
    <t>NSLP(National School Lunch Program)</t>
  </si>
  <si>
    <t>CACFP(Child and Adult Care Food Program)</t>
  </si>
  <si>
    <t>SBP(School Breakfast Program)</t>
  </si>
  <si>
    <t>USDA Credit</t>
  </si>
  <si>
    <t>Salaries - General</t>
  </si>
  <si>
    <t>Salaries - Certified Teacher</t>
  </si>
  <si>
    <t>Salaries - Substitutes</t>
  </si>
  <si>
    <t>Salaries - Instructional Assistants</t>
  </si>
  <si>
    <t>Adjunct Salaries - Certified Teacher</t>
  </si>
  <si>
    <t>Salaries - General - Additional Pay</t>
  </si>
  <si>
    <t>Salaries - Certified Teacher - Additional Pay</t>
  </si>
  <si>
    <t>Salaries - Instructional Assistants - Additional Pay</t>
  </si>
  <si>
    <t>Salaries - Noncertified Teacher</t>
  </si>
  <si>
    <t>Salaries - Noncertified Teacher - Additional Pay</t>
  </si>
  <si>
    <t>Health Insurance - Medical</t>
  </si>
  <si>
    <t>Health Insurance - HSA</t>
  </si>
  <si>
    <t>Health Insurance - Dental</t>
  </si>
  <si>
    <t>Health Insurance - Vision</t>
  </si>
  <si>
    <t>Health Insurance - Life</t>
  </si>
  <si>
    <t>Social Security</t>
  </si>
  <si>
    <t>Medicare</t>
  </si>
  <si>
    <t>ASRS</t>
  </si>
  <si>
    <t>ASRS - LTD</t>
  </si>
  <si>
    <t>Unemployment Insurance</t>
  </si>
  <si>
    <t>Worker's Compensation</t>
  </si>
  <si>
    <t>Termination Payments</t>
  </si>
  <si>
    <t>Severance Payments</t>
  </si>
  <si>
    <t>State Benefit Expense</t>
  </si>
  <si>
    <t>Other Employee Benefits - Parking</t>
  </si>
  <si>
    <t>Payroll Tax Expense - Temporary</t>
  </si>
  <si>
    <t>Audit</t>
  </si>
  <si>
    <t>Federal Audit</t>
  </si>
  <si>
    <t>Contract Teachers</t>
  </si>
  <si>
    <t>Counselors and Therapists</t>
  </si>
  <si>
    <t>Training and Professional Development</t>
  </si>
  <si>
    <t>Other Professional Services</t>
  </si>
  <si>
    <t>Marketing</t>
  </si>
  <si>
    <t>Legal</t>
  </si>
  <si>
    <t>Water and Sewage</t>
  </si>
  <si>
    <t>Disposal</t>
  </si>
  <si>
    <t>Custodial</t>
  </si>
  <si>
    <t>Grounds Care</t>
  </si>
  <si>
    <t>Pest Control</t>
  </si>
  <si>
    <t>Nontechnology-Related Repairs and Maintenance</t>
  </si>
  <si>
    <t>Technology-Related Repairs and Maintenance</t>
  </si>
  <si>
    <t>Rentals for land, building and equipment</t>
  </si>
  <si>
    <t>Rental of Computers and Related Equipment</t>
  </si>
  <si>
    <t>Student Transportation Services</t>
  </si>
  <si>
    <t>Property and Casulaty Insurance</t>
  </si>
  <si>
    <t>Telephone and Data</t>
  </si>
  <si>
    <t>Postage and Shipping</t>
  </si>
  <si>
    <t>Printing</t>
  </si>
  <si>
    <t>Travel - Other</t>
  </si>
  <si>
    <t>Travel - Mileage Reimbursement</t>
  </si>
  <si>
    <t>General Supplies</t>
  </si>
  <si>
    <t>Health Office Supplies</t>
  </si>
  <si>
    <t>Testing and Assessment</t>
  </si>
  <si>
    <t>Electricity</t>
  </si>
  <si>
    <t>Gas and Other Fuel</t>
  </si>
  <si>
    <t>Food - USDA Commodities (Excluding Freight)</t>
  </si>
  <si>
    <t>Food - USDA Commodities (Freight Only)</t>
  </si>
  <si>
    <t>Food - Reimbursable Meals</t>
  </si>
  <si>
    <t>Food - Ala Carte</t>
  </si>
  <si>
    <t>Instructional Materials/Software</t>
  </si>
  <si>
    <t>Textbooks</t>
  </si>
  <si>
    <t>Supplies - Technology-Related</t>
  </si>
  <si>
    <t>Furniture &amp; Equipment under $5,000</t>
  </si>
  <si>
    <t>Depreciation Expense</t>
  </si>
  <si>
    <t>Dues and Fees</t>
  </si>
  <si>
    <t>Software Licensing (Non-Curricular)</t>
  </si>
  <si>
    <t>Judgments against the School</t>
  </si>
  <si>
    <t>Pass-through Payments</t>
  </si>
  <si>
    <t>Bad Debt Expense</t>
  </si>
  <si>
    <t>Loss on Sale or disposal of Fixed Assets</t>
  </si>
  <si>
    <t>Miscellaneous Expenses</t>
  </si>
  <si>
    <t>Indirect Costs</t>
  </si>
  <si>
    <t>N/A</t>
  </si>
  <si>
    <t>The deficit balance of this charter will continue and be funded by surplus from other charters in the network.</t>
  </si>
  <si>
    <t>jrogier@asu.edu</t>
  </si>
  <si>
    <t>Jill Rogier</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</si>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</sst>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0_);\(0\)"/>
    <numFmt numFmtId="166" formatCode="0.0"/>
    <numFmt numFmtId="167" formatCode="0."/>
    <numFmt numFmtId="168" formatCode="\(0E+00\);\(\-0E+00\)"/>
    <numFmt numFmtId="169" formatCode="0.000"/>
    <numFmt numFmtId="170" formatCode="_(&quot;$&quot;* #,##0_);_(&quot;$&quot;* \(#,##0\);_(&quot;$&quot;* &quot;-&quot;??_);_(@_)"/>
    <numFmt numFmtId="171" formatCode="0.0%"/>
    <numFmt numFmtId="172" formatCode="_(* #,##0_);_(* \(#,##0\);_(* &quot;-&quot;??_);_(@_)"/>
    <numFmt numFmtId="173" formatCode="#,##0.0000_);\(#,##0.0000\)"/>
  </numFmts>
  <fonts count="63" x14ac:knownFonts="1">
    <font>
      <sz val="10"/>
      <name val="Times New Roman"/>
      <family val="2"/>
    </font>
    <font>
      <sz val="10"/>
      <name val="Arial"/>
      <family val="2"/>
    </font>
    <font>
      <sz val="11"/>
      <color theme="1"/>
      <name val="Calibri"/>
      <family val="2"/>
      <scheme val="minor"/>
    </font>
    <font>
      <b/>
      <sz val="10"/>
      <name val="Times New Roman"/>
      <family val="1"/>
    </font>
    <font>
      <sz val="9"/>
      <name val="Times New Roman"/>
      <family val="1"/>
    </font>
    <font>
      <b/>
      <sz val="10"/>
      <name val="Arial"/>
      <family val="2"/>
    </font>
    <font>
      <u/>
      <sz val="9"/>
      <color indexed="12"/>
      <name val="Arial"/>
      <family val="2"/>
    </font>
    <font>
      <b/>
      <sz val="14"/>
      <name val="Times New Roman"/>
      <family val="1"/>
    </font>
    <font>
      <b/>
      <sz val="12"/>
      <name val="Times New Roman"/>
      <family val="1"/>
    </font>
    <font>
      <sz val="10"/>
      <name val="Calibri"/>
      <family val="2"/>
    </font>
    <font>
      <sz val="10"/>
      <color indexed="12"/>
      <name val="Times New Roman"/>
      <family val="1"/>
    </font>
    <font>
      <b/>
      <u/>
      <sz val="10"/>
      <name val="Times New Roman"/>
      <family val="1"/>
    </font>
    <font>
      <sz val="11"/>
      <name val="Times New Roman"/>
      <family val="1"/>
    </font>
    <font>
      <sz val="12"/>
      <name val="Arial"/>
      <family val="2"/>
    </font>
    <font>
      <b/>
      <sz val="10"/>
      <color indexed="12"/>
      <name val="Times New Roman"/>
      <family val="1"/>
    </font>
    <font>
      <sz val="8"/>
      <name val="Times New Roman"/>
      <family val="1"/>
    </font>
    <font>
      <strike/>
      <sz val="10"/>
      <name val="Times New Roman"/>
      <family val="1"/>
    </font>
    <font>
      <b/>
      <sz val="11"/>
      <name val="Times New Roman"/>
      <family val="1"/>
    </font>
    <font>
      <u/>
      <sz val="9"/>
      <color indexed="12"/>
      <name val="Times New Roman"/>
      <family val="1"/>
    </font>
    <font>
      <b/>
      <i/>
      <sz val="10"/>
      <name val="Times New Roman"/>
      <family val="1"/>
    </font>
    <font>
      <b/>
      <sz val="9"/>
      <name val="Times New Roman"/>
      <family val="1"/>
    </font>
    <font>
      <i/>
      <sz val="10"/>
      <name val="Times New Roman"/>
      <family val="1"/>
    </font>
    <font>
      <b/>
      <sz val="9"/>
      <color indexed="12"/>
      <name val="Times New Roman"/>
      <family val="1"/>
    </font>
    <font>
      <sz val="11"/>
      <name val="Calibri"/>
      <family val="2"/>
    </font>
    <font>
      <u/>
      <sz val="9"/>
      <name val="Arial"/>
      <family val="2"/>
    </font>
    <font>
      <sz val="10"/>
      <name val="Cambria"/>
      <family val="1"/>
    </font>
    <font>
      <b/>
      <sz val="10"/>
      <color indexed="8"/>
      <name val="Times New Roman"/>
      <family val="1"/>
    </font>
    <font>
      <b/>
      <sz val="11"/>
      <color theme="1"/>
      <name val="Calibri"/>
      <family val="2"/>
      <scheme val="minor"/>
    </font>
    <font>
      <sz val="10"/>
      <color theme="1"/>
      <name val="Times New Roman"/>
      <family val="1"/>
    </font>
    <font>
      <b/>
      <u/>
      <sz val="10"/>
      <color rgb="FF0000FF"/>
      <name val="Times New Roman"/>
      <family val="1"/>
    </font>
    <font>
      <sz val="10"/>
      <color rgb="FF0000FF"/>
      <name val="Times New Roman"/>
      <family val="1"/>
    </font>
    <font>
      <b/>
      <sz val="10"/>
      <color rgb="FF0000FF"/>
      <name val="Times New Roman"/>
      <family val="1"/>
    </font>
    <font>
      <sz val="10"/>
      <color rgb="FFFF0000"/>
      <name val="Times New Roman"/>
      <family val="1"/>
    </font>
    <font>
      <strike/>
      <sz val="10"/>
      <color rgb="FFFF0000"/>
      <name val="Times New Roman"/>
      <family val="1"/>
    </font>
    <font>
      <sz val="11"/>
      <name val="Calibri"/>
      <family val="2"/>
      <scheme val="minor"/>
    </font>
    <font>
      <b/>
      <sz val="11"/>
      <color theme="1"/>
      <name val="Times New Roman"/>
      <family val="1"/>
    </font>
    <font>
      <sz val="11"/>
      <color theme="1"/>
      <name val="Times New Roman"/>
      <family val="1"/>
    </font>
    <font>
      <sz val="11"/>
      <color theme="0" tint="-0.24985503707998902"/>
      <name val="Times New Roman"/>
      <family val="1"/>
    </font>
    <font>
      <b/>
      <sz val="11"/>
      <name val="Calibri"/>
      <family val="2"/>
      <scheme val="minor"/>
    </font>
    <font>
      <u/>
      <sz val="8"/>
      <color rgb="FF0000FF"/>
      <name val="Times New Roman"/>
      <family val="1"/>
    </font>
    <font>
      <sz val="10"/>
      <color theme="0"/>
      <name val="Times New Roman"/>
      <family val="1"/>
    </font>
    <font>
      <sz val="11"/>
      <color theme="1" tint="0.34998626667073579"/>
      <name val="Calibri"/>
      <family val="2"/>
    </font>
    <font>
      <b/>
      <sz val="10"/>
      <color rgb="FFFF0000"/>
      <name val="Times New Roman"/>
      <family val="1"/>
    </font>
    <font>
      <sz val="10"/>
      <color theme="2" tint="-0.74987029633472702"/>
      <name val="Times New Roman"/>
      <family val="1"/>
    </font>
    <font>
      <sz val="11"/>
      <color rgb="FF000000"/>
      <name val="Calibri"/>
      <family val="2"/>
      <scheme val="minor"/>
    </font>
    <font>
      <u/>
      <sz val="10"/>
      <color indexed="12"/>
      <name val="Arial"/>
      <family val="2"/>
    </font>
    <font>
      <sz val="10"/>
      <color indexed="8"/>
      <name val="Times New Roman"/>
      <family val="1"/>
    </font>
    <font>
      <sz val="10"/>
      <color theme="0" tint="-0.3498947111423078"/>
      <name val="Times New Roman"/>
      <family val="1"/>
    </font>
    <font>
      <sz val="10"/>
      <color rgb="FF000000"/>
      <name val="Times New Roman"/>
      <family val="1"/>
    </font>
    <font>
      <sz val="9"/>
      <color rgb="FFFF0000"/>
      <name val="Times New Roman"/>
      <family val="1"/>
    </font>
    <font>
      <sz val="10"/>
      <color rgb="FF0000CC"/>
      <name val="Times New Roman"/>
      <family val="2"/>
    </font>
    <font>
      <b/>
      <sz val="10"/>
      <color theme="1"/>
      <name val="Times New Roman"/>
      <family val="1"/>
    </font>
    <font>
      <b/>
      <u/>
      <sz val="10"/>
      <color theme="1"/>
      <name val="Times New Roman"/>
      <family val="1"/>
    </font>
    <font>
      <b/>
      <sz val="10"/>
      <color rgb="FF0000CC"/>
      <name val="Times New Roman"/>
      <family val="1"/>
    </font>
    <font>
      <i/>
      <sz val="10"/>
      <color theme="1"/>
      <name val="Times New Roman"/>
      <family val="1"/>
    </font>
    <font>
      <sz val="11"/>
      <color rgb="FFFF0000"/>
      <name val="Times New Roman"/>
      <family val="1"/>
    </font>
    <font>
      <sz val="14"/>
      <name val="Times New Roman"/>
      <family val="1"/>
    </font>
    <font>
      <sz val="10"/>
      <color rgb="FF3366FF"/>
      <name val="Times New Roman"/>
      <family val="1"/>
    </font>
    <font>
      <b/>
      <sz val="8"/>
      <color indexed="12"/>
      <name val="Times New Roman"/>
      <family val="1"/>
    </font>
    <font>
      <u/>
      <sz val="10"/>
      <name val="Times New Roman"/>
      <family val="1"/>
    </font>
    <font>
      <u/>
      <sz val="10"/>
      <color indexed="12"/>
      <name val="Times New Roman"/>
      <family val="1"/>
    </font>
    <font>
      <sz val="10"/>
      <name val="Times New Roman"/>
      <family val="2"/>
    </font>
    <font>
      <sz val="10"/>
      <name val="Times New Roman"/>
      <family val="1"/>
    </font>
  </fonts>
  <fills count="19">
    <fill>
      <patternFill patternType="none"/>
    </fill>
    <fill>
      <patternFill patternType="gray125"/>
    </fill>
    <fill>
      <patternFill patternType="solid">
        <fgColor theme="0" tint="-0.1498764000366222"/>
        <bgColor indexed="64"/>
      </patternFill>
    </fill>
    <fill>
      <patternFill patternType="solid">
        <fgColor theme="9" tint="0.59987182226020086"/>
        <bgColor indexed="64"/>
      </patternFill>
    </fill>
    <fill>
      <patternFill patternType="solid">
        <fgColor theme="0"/>
        <bgColor indexed="64"/>
      </patternFill>
    </fill>
    <fill>
      <patternFill patternType="solid">
        <fgColor indexed="9"/>
        <bgColor indexed="64"/>
      </patternFill>
    </fill>
    <fill>
      <patternFill patternType="solid">
        <fgColor rgb="FFCCFFFF"/>
        <bgColor indexed="64"/>
      </patternFill>
    </fill>
    <fill>
      <patternFill patternType="solid">
        <fgColor indexed="22"/>
        <bgColor indexed="64"/>
      </patternFill>
    </fill>
    <fill>
      <patternFill patternType="solid">
        <fgColor theme="0" tint="-0.24988555558946501"/>
        <bgColor indexed="64"/>
      </patternFill>
    </fill>
    <fill>
      <patternFill patternType="solid">
        <fgColor theme="0" tint="-0.24985503707998902"/>
        <bgColor indexed="64"/>
      </patternFill>
    </fill>
    <fill>
      <patternFill patternType="solid">
        <fgColor theme="0" tint="-0.24982451857051302"/>
        <bgColor indexed="64"/>
      </patternFill>
    </fill>
    <fill>
      <patternFill patternType="solid">
        <fgColor rgb="FFFFFF00"/>
        <bgColor indexed="64"/>
      </patternFill>
    </fill>
    <fill>
      <patternFill patternType="solid">
        <fgColor theme="0" tint="-0.14990691854609822"/>
        <bgColor indexed="64"/>
      </patternFill>
    </fill>
    <fill>
      <patternFill patternType="solid">
        <fgColor theme="4" tint="0.79985961485641044"/>
        <bgColor indexed="64"/>
      </patternFill>
    </fill>
    <fill>
      <patternFill patternType="solid">
        <fgColor theme="5" tint="0.59987182226020086"/>
        <bgColor indexed="64"/>
      </patternFill>
    </fill>
    <fill>
      <patternFill patternType="solid">
        <fgColor theme="5" tint="0.39997558519241921"/>
        <bgColor indexed="64"/>
      </patternFill>
    </fill>
    <fill>
      <patternFill patternType="solid">
        <fgColor rgb="FFDDEBF7"/>
        <bgColor indexed="64"/>
      </patternFill>
    </fill>
    <fill>
      <patternFill patternType="solid">
        <fgColor theme="6" tint="0.59987182226020086"/>
        <bgColor indexed="64"/>
      </patternFill>
    </fill>
    <fill>
      <patternFill patternType="solid">
        <fgColor rgb="FFFFFFCC"/>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double">
        <color auto="1"/>
      </bottom>
      <diagonal/>
    </border>
    <border>
      <left/>
      <right/>
      <top style="thin">
        <color auto="1"/>
      </top>
      <bottom style="double">
        <color auto="1"/>
      </bottom>
      <diagonal/>
    </border>
    <border>
      <left/>
      <right/>
      <top/>
      <bottom style="double">
        <color auto="1"/>
      </bottom>
      <diagonal/>
    </border>
    <border>
      <left style="thin">
        <color auto="1"/>
      </left>
      <right style="thin">
        <color auto="1"/>
      </right>
      <top style="thin">
        <color auto="1"/>
      </top>
      <bottom style="double">
        <color auto="1"/>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indexed="8"/>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style="thin">
        <color indexed="8"/>
      </bottom>
      <diagonal/>
    </border>
    <border>
      <left style="thin">
        <color indexed="8"/>
      </left>
      <right style="thin">
        <color indexed="8"/>
      </right>
      <top/>
      <bottom style="thin">
        <color auto="1"/>
      </bottom>
      <diagonal/>
    </border>
    <border>
      <left style="thin">
        <color indexed="8"/>
      </left>
      <right/>
      <top/>
      <bottom style="thin">
        <color indexed="8"/>
      </bottom>
      <diagonal/>
    </border>
    <border>
      <left/>
      <right style="thin">
        <color auto="1"/>
      </right>
      <top style="thin">
        <color indexed="8"/>
      </top>
      <bottom/>
      <diagonal/>
    </border>
    <border>
      <left style="thin">
        <color auto="1"/>
      </left>
      <right style="thin">
        <color auto="1"/>
      </right>
      <top style="thin">
        <color indexed="8"/>
      </top>
      <bottom style="thin">
        <color auto="1"/>
      </bottom>
      <diagonal/>
    </border>
    <border>
      <left/>
      <right style="thin">
        <color auto="1"/>
      </right>
      <top style="thin">
        <color indexed="8"/>
      </top>
      <bottom style="thin">
        <color auto="1"/>
      </bottom>
      <diagonal/>
    </border>
    <border>
      <left style="thin">
        <color auto="1"/>
      </left>
      <right style="thin">
        <color auto="1"/>
      </right>
      <top/>
      <bottom style="medium">
        <color auto="1"/>
      </bottom>
      <diagonal/>
    </border>
    <border>
      <left/>
      <right/>
      <top/>
      <bottom style="thin">
        <color theme="4" tint="0.39997558519241921"/>
      </bottom>
      <diagonal/>
    </border>
  </borders>
  <cellStyleXfs count="15">
    <xf numFmtId="0" fontId="0" fillId="0" borderId="0"/>
    <xf numFmtId="9" fontId="6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6" fillId="0" borderId="0" applyNumberFormat="0" applyFill="0" applyBorder="0">
      <protection locked="0"/>
    </xf>
    <xf numFmtId="0" fontId="2" fillId="0" borderId="0"/>
    <xf numFmtId="0" fontId="13" fillId="0" borderId="0" applyFont="0" applyBorder="0"/>
    <xf numFmtId="0" fontId="1" fillId="0" borderId="0"/>
    <xf numFmtId="0" fontId="1" fillId="0" borderId="0"/>
    <xf numFmtId="0" fontId="2" fillId="0" borderId="0"/>
    <xf numFmtId="0" fontId="45" fillId="0" borderId="0" applyNumberFormat="0" applyFill="0" applyBorder="0">
      <protection locked="0"/>
    </xf>
    <xf numFmtId="0" fontId="61" fillId="0" borderId="0"/>
    <xf numFmtId="0" fontId="6" fillId="0" borderId="0" applyNumberFormat="0" applyFill="0" applyBorder="0">
      <protection locked="0"/>
    </xf>
  </cellStyleXfs>
  <cellXfs count="893">
    <xf numFmtId="0" fontId="0" fillId="0" borderId="0" xfId="0"/>
    <xf numFmtId="0" fontId="0" fillId="0" borderId="0" xfId="0" applyAlignment="1">
      <alignment horizontal="center" wrapText="1"/>
    </xf>
    <xf numFmtId="0" fontId="0" fillId="0" borderId="3" xfId="0" applyBorder="1"/>
    <xf numFmtId="0" fontId="0" fillId="0" borderId="0" xfId="0" applyAlignment="1">
      <alignment horizontal="right"/>
    </xf>
    <xf numFmtId="0" fontId="0" fillId="0" borderId="0" xfId="0" applyAlignment="1">
      <alignment wrapText="1"/>
    </xf>
    <xf numFmtId="0" fontId="36" fillId="0" borderId="1" xfId="7" applyFont="1" applyBorder="1" applyProtection="1">
      <protection locked="0"/>
    </xf>
    <xf numFmtId="49" fontId="36" fillId="0" borderId="1" xfId="7" applyNumberFormat="1" applyFont="1" applyBorder="1" applyProtection="1">
      <protection locked="0"/>
    </xf>
    <xf numFmtId="169" fontId="36" fillId="0" borderId="1" xfId="7" applyNumberFormat="1" applyFont="1" applyBorder="1" applyProtection="1">
      <protection locked="0"/>
    </xf>
    <xf numFmtId="0" fontId="36" fillId="0" borderId="1" xfId="7" applyFont="1" applyBorder="1" applyAlignment="1" applyProtection="1">
      <alignment horizontal="right"/>
      <protection locked="0"/>
    </xf>
    <xf numFmtId="0" fontId="36" fillId="0" borderId="1" xfId="7" applyFont="1" applyBorder="1" applyAlignment="1" applyProtection="1">
      <alignment wrapText="1"/>
      <protection locked="0"/>
    </xf>
    <xf numFmtId="0" fontId="38" fillId="2" borderId="1" xfId="7" applyFont="1" applyFill="1" applyBorder="1" applyAlignment="1" applyProtection="1">
      <alignment horizontal="center"/>
      <protection locked="0"/>
    </xf>
    <xf numFmtId="0" fontId="2" fillId="0" borderId="0" xfId="7" applyProtection="1">
      <protection locked="0"/>
    </xf>
    <xf numFmtId="0" fontId="2" fillId="0" borderId="0" xfId="7" applyAlignment="1" applyProtection="1">
      <alignment horizontal="left" vertical="top"/>
      <protection locked="0"/>
    </xf>
    <xf numFmtId="0" fontId="2" fillId="0" borderId="0" xfId="7"/>
    <xf numFmtId="0" fontId="2" fillId="3" borderId="2" xfId="7" applyFill="1" applyBorder="1" applyAlignment="1" applyProtection="1">
      <alignment horizontal="left" vertical="top"/>
      <protection locked="0"/>
    </xf>
    <xf numFmtId="40" fontId="38" fillId="2" borderId="1" xfId="7" applyNumberFormat="1" applyFont="1" applyFill="1" applyBorder="1" applyAlignment="1" applyProtection="1">
      <alignment horizontal="center"/>
      <protection locked="0"/>
    </xf>
    <xf numFmtId="40" fontId="2" fillId="0" borderId="0" xfId="7" applyNumberFormat="1" applyAlignment="1" applyProtection="1">
      <alignment horizontal="left" vertical="top"/>
      <protection locked="0"/>
    </xf>
    <xf numFmtId="40" fontId="2" fillId="0" borderId="0" xfId="7" applyNumberFormat="1" applyProtection="1">
      <protection locked="0"/>
    </xf>
    <xf numFmtId="0" fontId="38" fillId="2" borderId="2" xfId="7" applyFont="1" applyFill="1" applyBorder="1" applyAlignment="1" applyProtection="1">
      <alignment horizontal="center"/>
      <protection locked="0"/>
    </xf>
    <xf numFmtId="0" fontId="2" fillId="3" borderId="0" xfId="7" applyFill="1" applyProtection="1">
      <protection locked="0"/>
    </xf>
    <xf numFmtId="0" fontId="2" fillId="3" borderId="0" xfId="7" applyFill="1" applyAlignment="1" applyProtection="1">
      <alignment horizontal="left" vertical="top"/>
      <protection locked="0"/>
    </xf>
    <xf numFmtId="0" fontId="2" fillId="3" borderId="0" xfId="7" applyFill="1" applyAlignment="1" applyProtection="1">
      <alignment horizontal="left"/>
      <protection locked="0"/>
    </xf>
    <xf numFmtId="0" fontId="44" fillId="4" borderId="0" xfId="0" applyFont="1" applyFill="1" applyProtection="1">
      <protection locked="0"/>
    </xf>
    <xf numFmtId="37" fontId="0" fillId="0" borderId="3" xfId="0" applyNumberFormat="1" applyBorder="1" applyProtection="1">
      <protection locked="0"/>
    </xf>
    <xf numFmtId="37" fontId="0" fillId="0" borderId="4" xfId="0" applyNumberFormat="1" applyBorder="1" applyProtection="1">
      <protection locked="0"/>
    </xf>
    <xf numFmtId="37" fontId="0" fillId="0" borderId="0" xfId="0" applyNumberFormat="1"/>
    <xf numFmtId="37" fontId="0" fillId="0" borderId="0" xfId="0" applyNumberFormat="1" applyProtection="1">
      <protection locked="0"/>
    </xf>
    <xf numFmtId="37" fontId="0" fillId="0" borderId="1" xfId="0" applyNumberFormat="1" applyBorder="1" applyAlignment="1" applyProtection="1">
      <alignment horizontal="right"/>
      <protection locked="0"/>
    </xf>
    <xf numFmtId="37" fontId="0" fillId="0" borderId="5" xfId="0" applyNumberFormat="1" applyBorder="1" applyAlignment="1" applyProtection="1">
      <alignment horizontal="right"/>
      <protection locked="0"/>
    </xf>
    <xf numFmtId="0" fontId="44" fillId="4" borderId="6" xfId="0" applyFont="1" applyFill="1" applyBorder="1" applyProtection="1">
      <protection locked="0"/>
    </xf>
    <xf numFmtId="168" fontId="52" fillId="0" borderId="7" xfId="12" applyNumberFormat="1" applyFont="1" applyFill="1" applyBorder="1" applyProtection="1"/>
    <xf numFmtId="37" fontId="28" fillId="0" borderId="1" xfId="10" applyNumberFormat="1" applyFont="1" applyBorder="1" applyAlignment="1" applyProtection="1">
      <alignment horizontal="right" vertical="center"/>
      <protection locked="0"/>
    </xf>
    <xf numFmtId="168" fontId="3" fillId="0" borderId="1" xfId="12" applyNumberFormat="1" applyFont="1" applyFill="1" applyBorder="1" applyAlignment="1" applyProtection="1">
      <alignment horizontal="center" wrapText="1"/>
    </xf>
    <xf numFmtId="37" fontId="28" fillId="0" borderId="1" xfId="4" applyNumberFormat="1" applyFont="1" applyFill="1" applyBorder="1" applyProtection="1">
      <protection locked="0"/>
    </xf>
    <xf numFmtId="37" fontId="28" fillId="5" borderId="1" xfId="10" quotePrefix="1" applyNumberFormat="1" applyFont="1" applyFill="1" applyBorder="1" applyProtection="1">
      <protection locked="0"/>
    </xf>
    <xf numFmtId="37" fontId="28" fillId="0" borderId="1" xfId="4" applyNumberFormat="1" applyFont="1" applyFill="1" applyBorder="1" applyAlignment="1" applyProtection="1">
      <alignment wrapText="1"/>
    </xf>
    <xf numFmtId="37" fontId="28" fillId="0" borderId="8" xfId="4" applyNumberFormat="1" applyFont="1" applyFill="1" applyBorder="1" applyProtection="1">
      <protection locked="0"/>
    </xf>
    <xf numFmtId="37" fontId="28" fillId="0" borderId="0" xfId="4" applyNumberFormat="1" applyFont="1" applyFill="1" applyBorder="1" applyProtection="1"/>
    <xf numFmtId="0" fontId="14" fillId="0" borderId="0" xfId="12" applyFont="1" applyFill="1" applyBorder="1" applyProtection="1"/>
    <xf numFmtId="0" fontId="31" fillId="0" borderId="0" xfId="12" applyFont="1" applyFill="1" applyBorder="1" applyProtection="1"/>
    <xf numFmtId="165" fontId="28" fillId="0" borderId="0" xfId="12" applyNumberFormat="1" applyFont="1" applyFill="1" applyBorder="1" applyAlignment="1" applyProtection="1">
      <alignment vertical="center" wrapText="1"/>
    </xf>
    <xf numFmtId="165" fontId="32" fillId="0" borderId="0" xfId="12" applyNumberFormat="1" applyFont="1" applyFill="1" applyBorder="1" applyAlignment="1" applyProtection="1">
      <alignment horizontal="center" vertical="center" wrapText="1"/>
    </xf>
    <xf numFmtId="168" fontId="10" fillId="6" borderId="9" xfId="12" applyNumberFormat="1" applyFont="1" applyFill="1" applyBorder="1" applyAlignment="1" applyProtection="1">
      <alignment horizontal="left"/>
    </xf>
    <xf numFmtId="165" fontId="28" fillId="6" borderId="4" xfId="12" applyNumberFormat="1" applyFont="1" applyFill="1" applyBorder="1" applyAlignment="1" applyProtection="1">
      <alignment horizontal="left"/>
    </xf>
    <xf numFmtId="37" fontId="28" fillId="0" borderId="1" xfId="10" applyNumberFormat="1" applyFont="1" applyBorder="1" applyProtection="1">
      <protection locked="0"/>
    </xf>
    <xf numFmtId="168" fontId="10" fillId="6" borderId="4" xfId="12" applyNumberFormat="1" applyFont="1" applyFill="1" applyBorder="1" applyAlignment="1" applyProtection="1">
      <alignment horizontal="left"/>
    </xf>
    <xf numFmtId="37" fontId="51" fillId="0" borderId="1" xfId="4" applyNumberFormat="1" applyFont="1" applyFill="1" applyBorder="1" applyAlignment="1" applyProtection="1">
      <alignment horizontal="right"/>
    </xf>
    <xf numFmtId="0" fontId="40" fillId="0" borderId="0" xfId="0" applyFont="1"/>
    <xf numFmtId="37" fontId="48" fillId="4" borderId="1" xfId="0" applyNumberFormat="1" applyFont="1" applyFill="1" applyBorder="1" applyProtection="1">
      <protection locked="0"/>
    </xf>
    <xf numFmtId="37" fontId="48" fillId="4" borderId="5" xfId="0" applyNumberFormat="1" applyFont="1" applyFill="1" applyBorder="1" applyProtection="1">
      <protection locked="0"/>
    </xf>
    <xf numFmtId="37" fontId="48" fillId="0" borderId="1" xfId="0" applyNumberFormat="1" applyFont="1" applyBorder="1" applyProtection="1">
      <protection locked="0"/>
    </xf>
    <xf numFmtId="37" fontId="48" fillId="4" borderId="11" xfId="0" applyNumberFormat="1" applyFont="1" applyFill="1" applyBorder="1" applyProtection="1">
      <protection locked="0"/>
    </xf>
    <xf numFmtId="37" fontId="48" fillId="0" borderId="11" xfId="0" applyNumberFormat="1" applyFont="1" applyBorder="1" applyProtection="1">
      <protection locked="0"/>
    </xf>
    <xf numFmtId="37" fontId="48" fillId="0" borderId="3" xfId="0" applyNumberFormat="1" applyFont="1" applyBorder="1" applyProtection="1">
      <protection locked="0"/>
    </xf>
    <xf numFmtId="3" fontId="48" fillId="0" borderId="3" xfId="0" applyNumberFormat="1" applyFont="1" applyBorder="1" applyProtection="1">
      <protection locked="0"/>
    </xf>
    <xf numFmtId="0" fontId="58" fillId="6" borderId="4" xfId="12" applyFont="1" applyFill="1" applyBorder="1" applyProtection="1"/>
    <xf numFmtId="0" fontId="58" fillId="6" borderId="8" xfId="12" applyFont="1" applyFill="1" applyBorder="1" applyProtection="1"/>
    <xf numFmtId="0" fontId="3" fillId="0" borderId="0" xfId="0" applyFont="1" applyAlignment="1">
      <alignment horizontal="right"/>
    </xf>
    <xf numFmtId="0" fontId="3" fillId="0" borderId="1" xfId="0" applyFont="1" applyBorder="1" applyAlignment="1">
      <alignment horizontal="center"/>
    </xf>
    <xf numFmtId="0" fontId="4" fillId="0" borderId="0" xfId="0" applyFont="1"/>
    <xf numFmtId="0" fontId="0" fillId="6" borderId="0" xfId="6" applyFont="1" applyFill="1" applyAlignment="1" applyProtection="1">
      <alignment horizontal="right"/>
    </xf>
    <xf numFmtId="0" fontId="0" fillId="0" borderId="0" xfId="0" quotePrefix="1" applyAlignment="1">
      <alignment horizontal="right"/>
    </xf>
    <xf numFmtId="49" fontId="0" fillId="0" borderId="0" xfId="0" applyNumberFormat="1" applyAlignment="1">
      <alignment horizontal="right"/>
    </xf>
    <xf numFmtId="0" fontId="49" fillId="0" borderId="0" xfId="0" applyFont="1"/>
    <xf numFmtId="0" fontId="4" fillId="0" borderId="0" xfId="0" applyFont="1" applyAlignment="1">
      <alignment horizontal="centerContinuous"/>
    </xf>
    <xf numFmtId="0" fontId="0" fillId="0" borderId="0" xfId="0" applyAlignment="1">
      <alignment horizontal="centerContinuous"/>
    </xf>
    <xf numFmtId="49" fontId="0" fillId="0" borderId="0" xfId="0" quotePrefix="1" applyNumberFormat="1" applyAlignment="1">
      <alignment horizontal="right"/>
    </xf>
    <xf numFmtId="3" fontId="4" fillId="0" borderId="0" xfId="0" applyNumberFormat="1" applyFont="1"/>
    <xf numFmtId="0" fontId="0" fillId="0" borderId="12" xfId="0" applyBorder="1"/>
    <xf numFmtId="0" fontId="0" fillId="0" borderId="7" xfId="0" applyBorder="1"/>
    <xf numFmtId="0" fontId="0" fillId="0" borderId="13" xfId="0" applyBorder="1"/>
    <xf numFmtId="0" fontId="0" fillId="0" borderId="10" xfId="0" applyBorder="1" applyAlignment="1">
      <alignment horizontal="centerContinuous"/>
    </xf>
    <xf numFmtId="0" fontId="0" fillId="0" borderId="13" xfId="0" applyBorder="1" applyAlignment="1">
      <alignment horizontal="centerContinuous"/>
    </xf>
    <xf numFmtId="0" fontId="0" fillId="0" borderId="12" xfId="0" applyBorder="1" applyAlignment="1">
      <alignment horizontal="centerContinuous"/>
    </xf>
    <xf numFmtId="0" fontId="31" fillId="6" borderId="2" xfId="6" applyFont="1" applyFill="1" applyBorder="1" applyProtection="1"/>
    <xf numFmtId="0" fontId="0" fillId="0" borderId="14" xfId="0" applyBorder="1"/>
    <xf numFmtId="0" fontId="0" fillId="0" borderId="2" xfId="0" applyBorder="1" applyAlignment="1">
      <alignment horizontal="center"/>
    </xf>
    <xf numFmtId="0" fontId="0" fillId="0" borderId="15" xfId="0" applyBorder="1" applyAlignment="1">
      <alignment horizontal="centerContinuous"/>
    </xf>
    <xf numFmtId="0" fontId="0" fillId="0" borderId="15" xfId="0" applyBorder="1" applyAlignment="1">
      <alignment horizontal="center"/>
    </xf>
    <xf numFmtId="0" fontId="0" fillId="0" borderId="14" xfId="0" applyBorder="1" applyAlignment="1">
      <alignment horizontal="centerContinuous"/>
    </xf>
    <xf numFmtId="0" fontId="0" fillId="0" borderId="10" xfId="0" applyBorder="1"/>
    <xf numFmtId="0" fontId="3" fillId="0" borderId="16" xfId="0" applyFont="1" applyBorder="1"/>
    <xf numFmtId="0" fontId="0" fillId="0" borderId="17" xfId="0" applyBorder="1"/>
    <xf numFmtId="0" fontId="0" fillId="0" borderId="5" xfId="0" applyBorder="1" applyAlignment="1">
      <alignment horizontal="center"/>
    </xf>
    <xf numFmtId="0" fontId="3" fillId="0" borderId="12" xfId="0" applyFont="1" applyBorder="1"/>
    <xf numFmtId="37" fontId="0" fillId="0" borderId="10" xfId="0" applyNumberFormat="1" applyBorder="1"/>
    <xf numFmtId="0" fontId="0" fillId="0" borderId="2" xfId="0" applyBorder="1"/>
    <xf numFmtId="49" fontId="0" fillId="0" borderId="14" xfId="0" applyNumberFormat="1" applyBorder="1" applyAlignment="1">
      <alignment horizontal="right"/>
    </xf>
    <xf numFmtId="49" fontId="0" fillId="0" borderId="0" xfId="0" applyNumberFormat="1" applyAlignment="1">
      <alignment horizontal="left"/>
    </xf>
    <xf numFmtId="37" fontId="0" fillId="0" borderId="12" xfId="0" applyNumberFormat="1" applyBorder="1"/>
    <xf numFmtId="0" fontId="0" fillId="0" borderId="16" xfId="0" applyBorder="1"/>
    <xf numFmtId="49" fontId="0" fillId="0" borderId="3" xfId="0" applyNumberFormat="1" applyBorder="1" applyAlignment="1">
      <alignment horizontal="right"/>
    </xf>
    <xf numFmtId="0" fontId="3" fillId="0" borderId="2" xfId="0" applyFont="1" applyBorder="1"/>
    <xf numFmtId="49" fontId="0" fillId="0" borderId="17" xfId="0" applyNumberFormat="1" applyBorder="1" applyAlignment="1">
      <alignment horizontal="right"/>
    </xf>
    <xf numFmtId="10" fontId="48" fillId="4" borderId="0" xfId="0" applyNumberFormat="1" applyFont="1" applyFill="1"/>
    <xf numFmtId="49" fontId="0" fillId="0" borderId="2" xfId="0" applyNumberFormat="1" applyBorder="1" applyAlignment="1">
      <alignment horizontal="right"/>
    </xf>
    <xf numFmtId="0" fontId="0" fillId="0" borderId="9" xfId="0" applyBorder="1"/>
    <xf numFmtId="0" fontId="0" fillId="0" borderId="4" xfId="0" applyBorder="1"/>
    <xf numFmtId="49" fontId="0" fillId="0" borderId="8" xfId="0" applyNumberFormat="1" applyBorder="1" applyAlignment="1">
      <alignment horizontal="right"/>
    </xf>
    <xf numFmtId="37" fontId="0" fillId="7" borderId="1" xfId="0" applyNumberFormat="1" applyFill="1" applyBorder="1"/>
    <xf numFmtId="0" fontId="24" fillId="6" borderId="4" xfId="6" applyFont="1" applyFill="1" applyBorder="1" applyProtection="1"/>
    <xf numFmtId="37" fontId="0" fillId="8" borderId="1" xfId="0" applyNumberFormat="1" applyFill="1" applyBorder="1"/>
    <xf numFmtId="37" fontId="0" fillId="0" borderId="1" xfId="0" applyNumberFormat="1" applyBorder="1" applyProtection="1">
      <protection locked="0"/>
    </xf>
    <xf numFmtId="14" fontId="3" fillId="0" borderId="3" xfId="0" applyNumberFormat="1" applyFont="1" applyBorder="1"/>
    <xf numFmtId="0" fontId="5" fillId="0" borderId="0" xfId="0" applyFont="1" applyAlignment="1">
      <alignment horizontal="left"/>
    </xf>
    <xf numFmtId="0" fontId="32" fillId="0" borderId="0" xfId="0" applyFont="1" applyAlignment="1">
      <alignment vertical="center" wrapText="1"/>
    </xf>
    <xf numFmtId="0" fontId="32" fillId="0" borderId="14" xfId="0" applyFont="1" applyBorder="1" applyAlignment="1">
      <alignment vertical="center" wrapText="1"/>
    </xf>
    <xf numFmtId="0" fontId="0" fillId="4" borderId="0" xfId="0" applyFill="1"/>
    <xf numFmtId="0" fontId="0" fillId="0" borderId="0" xfId="0" applyAlignment="1">
      <alignment horizontal="justify" vertical="top" wrapText="1"/>
    </xf>
    <xf numFmtId="0" fontId="0" fillId="0" borderId="0" xfId="0" applyAlignment="1">
      <alignment horizontal="justify" vertical="top"/>
    </xf>
    <xf numFmtId="0" fontId="0" fillId="0" borderId="7" xfId="9" applyFont="1" applyBorder="1" applyAlignment="1">
      <alignment horizontal="centerContinuous"/>
    </xf>
    <xf numFmtId="0" fontId="32" fillId="0" borderId="7" xfId="9" applyFont="1" applyBorder="1" applyAlignment="1">
      <alignment horizontal="centerContinuous"/>
    </xf>
    <xf numFmtId="0" fontId="32" fillId="0" borderId="13" xfId="9" applyFont="1" applyBorder="1" applyAlignment="1">
      <alignment horizontal="centerContinuous"/>
    </xf>
    <xf numFmtId="0" fontId="32" fillId="0" borderId="2" xfId="0" applyFont="1" applyBorder="1" applyAlignment="1">
      <alignment horizontal="center"/>
    </xf>
    <xf numFmtId="0" fontId="3" fillId="0" borderId="2" xfId="9" applyFont="1" applyBorder="1"/>
    <xf numFmtId="0" fontId="32" fillId="0" borderId="0" xfId="9" applyFont="1"/>
    <xf numFmtId="0" fontId="32" fillId="0" borderId="14" xfId="9" applyFont="1" applyBorder="1"/>
    <xf numFmtId="0" fontId="0" fillId="0" borderId="15" xfId="9" applyFont="1" applyBorder="1" applyAlignment="1">
      <alignment horizontal="center"/>
    </xf>
    <xf numFmtId="0" fontId="32" fillId="0" borderId="2" xfId="9" applyFont="1" applyBorder="1" applyAlignment="1">
      <alignment horizontal="center"/>
    </xf>
    <xf numFmtId="0" fontId="32" fillId="0" borderId="3" xfId="9" applyFont="1" applyBorder="1"/>
    <xf numFmtId="0" fontId="32" fillId="0" borderId="17" xfId="9" applyFont="1" applyBorder="1"/>
    <xf numFmtId="0" fontId="32" fillId="0" borderId="13" xfId="0" applyFont="1" applyBorder="1"/>
    <xf numFmtId="0" fontId="32" fillId="0" borderId="2" xfId="9" applyFont="1" applyBorder="1"/>
    <xf numFmtId="0" fontId="0" fillId="0" borderId="14" xfId="0" quotePrefix="1" applyBorder="1" applyAlignment="1">
      <alignment horizontal="right"/>
    </xf>
    <xf numFmtId="0" fontId="32" fillId="6" borderId="0" xfId="0" applyFont="1" applyFill="1"/>
    <xf numFmtId="0" fontId="32" fillId="0" borderId="16" xfId="9" applyFont="1" applyBorder="1"/>
    <xf numFmtId="0" fontId="32" fillId="6" borderId="3" xfId="0" applyFont="1" applyFill="1" applyBorder="1"/>
    <xf numFmtId="0" fontId="0" fillId="0" borderId="17" xfId="0" quotePrefix="1" applyBorder="1" applyAlignment="1">
      <alignment horizontal="right"/>
    </xf>
    <xf numFmtId="0" fontId="0" fillId="0" borderId="8" xfId="0" applyBorder="1"/>
    <xf numFmtId="0" fontId="0" fillId="0" borderId="8" xfId="0" applyBorder="1" applyAlignment="1">
      <alignment horizontal="center"/>
    </xf>
    <xf numFmtId="0" fontId="32" fillId="0" borderId="7" xfId="0" applyFont="1" applyBorder="1"/>
    <xf numFmtId="0" fontId="0" fillId="0" borderId="7" xfId="0" quotePrefix="1" applyBorder="1" applyAlignment="1">
      <alignment horizontal="right"/>
    </xf>
    <xf numFmtId="0" fontId="41" fillId="4" borderId="0" xfId="0" applyFont="1" applyFill="1" applyAlignment="1">
      <alignment vertical="center"/>
    </xf>
    <xf numFmtId="0" fontId="32" fillId="0" borderId="3" xfId="0" applyFont="1" applyBorder="1"/>
    <xf numFmtId="0" fontId="0" fillId="0" borderId="3" xfId="0" quotePrefix="1" applyBorder="1" applyAlignment="1">
      <alignment horizontal="right"/>
    </xf>
    <xf numFmtId="0" fontId="3" fillId="0" borderId="3" xfId="0" applyFont="1" applyBorder="1" applyAlignment="1">
      <alignment vertical="center"/>
    </xf>
    <xf numFmtId="0" fontId="3" fillId="0" borderId="12"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3" fillId="0" borderId="0" xfId="0" applyFont="1" applyAlignment="1">
      <alignment vertical="center"/>
    </xf>
    <xf numFmtId="0" fontId="42" fillId="0" borderId="0" xfId="0" applyFont="1" applyAlignment="1">
      <alignment vertical="center"/>
    </xf>
    <xf numFmtId="167" fontId="0" fillId="0" borderId="0" xfId="0" quotePrefix="1" applyNumberFormat="1" applyAlignment="1">
      <alignment horizontal="right"/>
    </xf>
    <xf numFmtId="167" fontId="0" fillId="0" borderId="3" xfId="0" quotePrefix="1" applyNumberFormat="1" applyBorder="1" applyAlignment="1">
      <alignment horizontal="right"/>
    </xf>
    <xf numFmtId="0" fontId="0" fillId="0" borderId="12" xfId="9" applyFont="1" applyBorder="1"/>
    <xf numFmtId="0" fontId="0" fillId="0" borderId="14" xfId="9" applyFont="1" applyBorder="1" applyAlignment="1">
      <alignment horizontal="center"/>
    </xf>
    <xf numFmtId="167" fontId="0" fillId="0" borderId="7" xfId="9" applyNumberFormat="1" applyFont="1" applyBorder="1"/>
    <xf numFmtId="37" fontId="0" fillId="4" borderId="10" xfId="9" applyNumberFormat="1" applyFont="1" applyFill="1" applyBorder="1"/>
    <xf numFmtId="38" fontId="0" fillId="0" borderId="0" xfId="9" applyNumberFormat="1" applyFont="1" applyAlignment="1">
      <alignment horizontal="right"/>
    </xf>
    <xf numFmtId="167" fontId="0" fillId="0" borderId="0" xfId="9" applyNumberFormat="1" applyFont="1"/>
    <xf numFmtId="167" fontId="0" fillId="0" borderId="0" xfId="9" applyNumberFormat="1" applyFont="1" applyAlignment="1">
      <alignment horizontal="left"/>
    </xf>
    <xf numFmtId="167" fontId="0" fillId="0" borderId="14" xfId="9" applyNumberFormat="1" applyFont="1" applyBorder="1"/>
    <xf numFmtId="37" fontId="0" fillId="8" borderId="5" xfId="9" applyNumberFormat="1" applyFont="1" applyFill="1" applyBorder="1"/>
    <xf numFmtId="167" fontId="0" fillId="0" borderId="17" xfId="9" applyNumberFormat="1" applyFont="1" applyBorder="1"/>
    <xf numFmtId="168" fontId="0" fillId="5" borderId="15" xfId="0" applyNumberFormat="1" applyFill="1" applyBorder="1" applyAlignment="1">
      <alignment horizontal="center"/>
    </xf>
    <xf numFmtId="168" fontId="0" fillId="5" borderId="0" xfId="0" applyNumberFormat="1" applyFill="1"/>
    <xf numFmtId="167" fontId="0" fillId="0" borderId="0" xfId="9" applyNumberFormat="1" applyFont="1" applyAlignment="1">
      <alignment horizontal="right"/>
    </xf>
    <xf numFmtId="168" fontId="0" fillId="5" borderId="2" xfId="0" applyNumberFormat="1" applyFill="1" applyBorder="1"/>
    <xf numFmtId="168" fontId="0" fillId="0" borderId="0" xfId="0" applyNumberFormat="1"/>
    <xf numFmtId="168" fontId="0" fillId="5" borderId="16" xfId="0" applyNumberFormat="1" applyFill="1" applyBorder="1"/>
    <xf numFmtId="168" fontId="0" fillId="0" borderId="3" xfId="0" applyNumberFormat="1" applyBorder="1"/>
    <xf numFmtId="167" fontId="0" fillId="0" borderId="3" xfId="9" applyNumberFormat="1" applyFont="1" applyBorder="1" applyAlignment="1">
      <alignment horizontal="right"/>
    </xf>
    <xf numFmtId="38" fontId="0" fillId="5" borderId="0" xfId="0" applyNumberFormat="1" applyFill="1"/>
    <xf numFmtId="168" fontId="0" fillId="5" borderId="7" xfId="0" applyNumberFormat="1" applyFill="1" applyBorder="1"/>
    <xf numFmtId="167" fontId="0" fillId="0" borderId="7" xfId="9" applyNumberFormat="1" applyFont="1" applyBorder="1" applyAlignment="1">
      <alignment horizontal="right"/>
    </xf>
    <xf numFmtId="38" fontId="0" fillId="5" borderId="10" xfId="0" applyNumberFormat="1" applyFill="1" applyBorder="1" applyAlignment="1">
      <alignment horizontal="right"/>
    </xf>
    <xf numFmtId="167" fontId="32" fillId="0" borderId="3" xfId="9" applyNumberFormat="1" applyFont="1" applyBorder="1" applyAlignment="1">
      <alignment horizontal="right"/>
    </xf>
    <xf numFmtId="38" fontId="0" fillId="5" borderId="5" xfId="0" applyNumberFormat="1" applyFill="1" applyBorder="1" applyAlignment="1">
      <alignment horizontal="center"/>
    </xf>
    <xf numFmtId="167" fontId="32" fillId="0" borderId="0" xfId="9" applyNumberFormat="1" applyFont="1" applyAlignment="1">
      <alignment horizontal="left"/>
    </xf>
    <xf numFmtId="168" fontId="32" fillId="5" borderId="12" xfId="0" applyNumberFormat="1" applyFont="1" applyFill="1" applyBorder="1"/>
    <xf numFmtId="168" fontId="0" fillId="0" borderId="7" xfId="0" applyNumberFormat="1" applyBorder="1"/>
    <xf numFmtId="167" fontId="0" fillId="0" borderId="13" xfId="9" applyNumberFormat="1" applyFont="1" applyBorder="1" applyAlignment="1">
      <alignment horizontal="right"/>
    </xf>
    <xf numFmtId="37" fontId="0" fillId="9" borderId="5" xfId="9" applyNumberFormat="1" applyFont="1" applyFill="1" applyBorder="1"/>
    <xf numFmtId="167" fontId="0" fillId="0" borderId="2" xfId="9" applyNumberFormat="1" applyFont="1" applyBorder="1" applyAlignment="1">
      <alignment horizontal="left"/>
    </xf>
    <xf numFmtId="168" fontId="32" fillId="5" borderId="2" xfId="0" applyNumberFormat="1" applyFont="1" applyFill="1" applyBorder="1"/>
    <xf numFmtId="167" fontId="0" fillId="0" borderId="14" xfId="9" applyNumberFormat="1" applyFont="1" applyBorder="1" applyAlignment="1">
      <alignment horizontal="right"/>
    </xf>
    <xf numFmtId="167" fontId="0" fillId="0" borderId="17" xfId="9" applyNumberFormat="1" applyFont="1" applyBorder="1" applyAlignment="1">
      <alignment horizontal="right"/>
    </xf>
    <xf numFmtId="3" fontId="0" fillId="0" borderId="0" xfId="0" applyNumberFormat="1" applyAlignment="1">
      <alignment horizontal="right"/>
    </xf>
    <xf numFmtId="3" fontId="0" fillId="0" borderId="0" xfId="0" applyNumberFormat="1"/>
    <xf numFmtId="0" fontId="0" fillId="0" borderId="0" xfId="0" applyAlignment="1">
      <alignment vertical="top"/>
    </xf>
    <xf numFmtId="0" fontId="28" fillId="0" borderId="0" xfId="0" applyFont="1" applyAlignment="1">
      <alignment vertical="top"/>
    </xf>
    <xf numFmtId="37" fontId="0" fillId="0" borderId="0" xfId="0" applyNumberFormat="1" applyAlignment="1">
      <alignment vertical="top"/>
    </xf>
    <xf numFmtId="38" fontId="0" fillId="0" borderId="0" xfId="0" applyNumberFormat="1" applyAlignment="1">
      <alignment vertical="top"/>
    </xf>
    <xf numFmtId="49" fontId="0" fillId="0" borderId="0" xfId="0" applyNumberFormat="1" applyAlignment="1">
      <alignment horizontal="left" vertical="top"/>
    </xf>
    <xf numFmtId="38" fontId="0" fillId="0" borderId="0" xfId="0" applyNumberFormat="1" applyAlignment="1">
      <alignment vertical="center"/>
    </xf>
    <xf numFmtId="0" fontId="0" fillId="0" borderId="13" xfId="0" applyBorder="1" applyAlignment="1">
      <alignment horizontal="center"/>
    </xf>
    <xf numFmtId="0" fontId="0" fillId="0" borderId="12" xfId="0" applyBorder="1" applyAlignment="1">
      <alignment horizontal="center"/>
    </xf>
    <xf numFmtId="0" fontId="0" fillId="0" borderId="15" xfId="0" applyBorder="1"/>
    <xf numFmtId="167" fontId="0" fillId="0" borderId="17" xfId="0" applyNumberFormat="1" applyBorder="1"/>
    <xf numFmtId="167" fontId="0" fillId="0" borderId="17" xfId="0" applyNumberFormat="1" applyBorder="1" applyAlignment="1">
      <alignment horizontal="center"/>
    </xf>
    <xf numFmtId="0" fontId="0" fillId="0" borderId="5" xfId="0" applyBorder="1" applyAlignment="1">
      <alignment horizontal="center" vertical="center"/>
    </xf>
    <xf numFmtId="0" fontId="0" fillId="0" borderId="3" xfId="0" applyBorder="1" applyAlignment="1">
      <alignment horizontal="center" vertical="center"/>
    </xf>
    <xf numFmtId="167" fontId="0" fillId="0" borderId="14" xfId="0" applyNumberFormat="1" applyBorder="1"/>
    <xf numFmtId="37" fontId="0" fillId="9" borderId="1" xfId="0" applyNumberFormat="1" applyFill="1" applyBorder="1"/>
    <xf numFmtId="37" fontId="0" fillId="9" borderId="10" xfId="0" applyNumberFormat="1" applyFill="1" applyBorder="1"/>
    <xf numFmtId="167" fontId="0" fillId="0" borderId="0" xfId="0" applyNumberFormat="1"/>
    <xf numFmtId="37" fontId="0" fillId="10" borderId="10" xfId="0" applyNumberFormat="1" applyFill="1" applyBorder="1"/>
    <xf numFmtId="37" fontId="0" fillId="4" borderId="10" xfId="0" applyNumberFormat="1" applyFill="1" applyBorder="1"/>
    <xf numFmtId="37" fontId="0" fillId="10" borderId="13" xfId="0" applyNumberFormat="1" applyFill="1" applyBorder="1"/>
    <xf numFmtId="37" fontId="0" fillId="10" borderId="15" xfId="0" applyNumberFormat="1" applyFill="1" applyBorder="1"/>
    <xf numFmtId="37" fontId="0" fillId="4" borderId="15" xfId="0" applyNumberFormat="1" applyFill="1" applyBorder="1"/>
    <xf numFmtId="37" fontId="0" fillId="10" borderId="14" xfId="0" applyNumberFormat="1" applyFill="1" applyBorder="1"/>
    <xf numFmtId="37" fontId="0" fillId="10" borderId="5" xfId="0" applyNumberFormat="1" applyFill="1" applyBorder="1"/>
    <xf numFmtId="37" fontId="0" fillId="10" borderId="17" xfId="0" applyNumberFormat="1" applyFill="1" applyBorder="1"/>
    <xf numFmtId="37" fontId="0" fillId="10" borderId="1" xfId="0" applyNumberFormat="1" applyFill="1" applyBorder="1"/>
    <xf numFmtId="37" fontId="0" fillId="9" borderId="9" xfId="0" applyNumberFormat="1" applyFill="1" applyBorder="1"/>
    <xf numFmtId="37" fontId="0" fillId="10" borderId="8" xfId="0" applyNumberFormat="1" applyFill="1" applyBorder="1"/>
    <xf numFmtId="37" fontId="0" fillId="9" borderId="3" xfId="0" applyNumberFormat="1" applyFill="1" applyBorder="1"/>
    <xf numFmtId="167" fontId="0" fillId="0" borderId="0" xfId="0" applyNumberFormat="1" applyAlignment="1">
      <alignment horizontal="left"/>
    </xf>
    <xf numFmtId="167" fontId="0" fillId="0" borderId="8" xfId="0" applyNumberFormat="1" applyBorder="1"/>
    <xf numFmtId="167" fontId="0" fillId="0" borderId="13" xfId="9" applyNumberFormat="1" applyFont="1" applyBorder="1"/>
    <xf numFmtId="37" fontId="0" fillId="9" borderId="5" xfId="0" applyNumberFormat="1" applyFill="1" applyBorder="1"/>
    <xf numFmtId="37" fontId="0" fillId="9" borderId="12" xfId="0" applyNumberFormat="1" applyFill="1" applyBorder="1"/>
    <xf numFmtId="37" fontId="0" fillId="9" borderId="2" xfId="0" applyNumberFormat="1" applyFill="1" applyBorder="1"/>
    <xf numFmtId="37" fontId="0" fillId="9" borderId="16" xfId="0" applyNumberFormat="1" applyFill="1" applyBorder="1"/>
    <xf numFmtId="37" fontId="48" fillId="4" borderId="10" xfId="0" applyNumberFormat="1" applyFont="1" applyFill="1" applyBorder="1"/>
    <xf numFmtId="49" fontId="0" fillId="0" borderId="3" xfId="0" applyNumberFormat="1" applyBorder="1" applyAlignment="1">
      <alignment horizontal="centerContinuous"/>
    </xf>
    <xf numFmtId="0" fontId="3" fillId="0" borderId="0" xfId="0" applyFont="1" applyAlignment="1">
      <alignment horizontal="centerContinuous"/>
    </xf>
    <xf numFmtId="37" fontId="48" fillId="0" borderId="3" xfId="0" applyNumberFormat="1" applyFont="1" applyBorder="1"/>
    <xf numFmtId="49" fontId="30" fillId="6" borderId="0" xfId="6" applyNumberFormat="1" applyFont="1" applyFill="1" applyProtection="1"/>
    <xf numFmtId="0" fontId="30" fillId="6" borderId="0" xfId="6" applyFont="1" applyFill="1" applyProtection="1"/>
    <xf numFmtId="49" fontId="0" fillId="6" borderId="0" xfId="6" applyNumberFormat="1" applyFont="1" applyFill="1" applyProtection="1"/>
    <xf numFmtId="0" fontId="0" fillId="6" borderId="0" xfId="6" applyFont="1" applyFill="1" applyProtection="1"/>
    <xf numFmtId="37" fontId="0" fillId="0" borderId="3" xfId="0" applyNumberFormat="1" applyBorder="1"/>
    <xf numFmtId="164" fontId="0" fillId="0" borderId="0" xfId="0" applyNumberFormat="1" applyAlignment="1">
      <alignment horizontal="center"/>
    </xf>
    <xf numFmtId="0" fontId="40" fillId="4" borderId="0" xfId="0" applyFont="1" applyFill="1"/>
    <xf numFmtId="0" fontId="0" fillId="0" borderId="0" xfId="0" quotePrefix="1"/>
    <xf numFmtId="37" fontId="48" fillId="0" borderId="11" xfId="0" applyNumberFormat="1" applyFont="1" applyBorder="1"/>
    <xf numFmtId="37" fontId="48" fillId="4" borderId="18" xfId="0" applyNumberFormat="1" applyFont="1" applyFill="1" applyBorder="1"/>
    <xf numFmtId="37" fontId="0" fillId="0" borderId="0" xfId="0" applyNumberFormat="1" applyAlignment="1">
      <alignment horizontal="right"/>
    </xf>
    <xf numFmtId="0" fontId="4" fillId="0" borderId="10" xfId="0" applyFont="1" applyBorder="1" applyAlignment="1">
      <alignment horizontal="center" wrapText="1"/>
    </xf>
    <xf numFmtId="0" fontId="4" fillId="0" borderId="15" xfId="0" applyFont="1" applyBorder="1" applyAlignment="1">
      <alignment horizontal="center" wrapText="1"/>
    </xf>
    <xf numFmtId="0" fontId="4" fillId="0" borderId="5" xfId="0" applyFont="1" applyBorder="1" applyAlignment="1">
      <alignment horizontal="center" wrapText="1"/>
    </xf>
    <xf numFmtId="37" fontId="48" fillId="4" borderId="11" xfId="0" applyNumberFormat="1" applyFont="1" applyFill="1" applyBorder="1"/>
    <xf numFmtId="0" fontId="57" fillId="6" borderId="0" xfId="6" applyFont="1" applyFill="1" applyProtection="1"/>
    <xf numFmtId="37" fontId="0" fillId="8" borderId="12" xfId="0" applyNumberFormat="1" applyFill="1" applyBorder="1"/>
    <xf numFmtId="37" fontId="0" fillId="8" borderId="7" xfId="0" applyNumberFormat="1" applyFill="1" applyBorder="1"/>
    <xf numFmtId="37" fontId="0" fillId="8" borderId="13" xfId="0" applyNumberFormat="1" applyFill="1" applyBorder="1"/>
    <xf numFmtId="37" fontId="0" fillId="8" borderId="10" xfId="0" applyNumberFormat="1" applyFill="1" applyBorder="1"/>
    <xf numFmtId="0" fontId="30" fillId="0" borderId="0" xfId="6" applyFont="1" applyProtection="1"/>
    <xf numFmtId="0" fontId="6" fillId="6" borderId="0" xfId="6" applyFill="1" applyProtection="1"/>
    <xf numFmtId="0" fontId="5" fillId="0" borderId="0" xfId="0" applyFont="1"/>
    <xf numFmtId="37" fontId="0" fillId="0" borderId="19" xfId="0" applyNumberFormat="1" applyBorder="1"/>
    <xf numFmtId="49" fontId="15" fillId="0" borderId="0" xfId="0" applyNumberFormat="1" applyFont="1" applyAlignment="1">
      <alignment horizontal="right"/>
    </xf>
    <xf numFmtId="3" fontId="48" fillId="0" borderId="4" xfId="0" applyNumberFormat="1" applyFont="1" applyBorder="1"/>
    <xf numFmtId="0" fontId="30" fillId="0" borderId="0" xfId="0" applyFont="1"/>
    <xf numFmtId="3" fontId="48" fillId="4" borderId="7" xfId="0" applyNumberFormat="1" applyFont="1" applyFill="1" applyBorder="1"/>
    <xf numFmtId="49" fontId="0" fillId="0" borderId="0" xfId="0" quotePrefix="1" applyNumberFormat="1" applyAlignment="1">
      <alignment horizontal="left"/>
    </xf>
    <xf numFmtId="168" fontId="0" fillId="0" borderId="0" xfId="0" applyNumberFormat="1" applyAlignment="1">
      <alignment horizontal="center"/>
    </xf>
    <xf numFmtId="171" fontId="48" fillId="4" borderId="19" xfId="0" applyNumberFormat="1" applyFont="1" applyFill="1" applyBorder="1"/>
    <xf numFmtId="0" fontId="12" fillId="0" borderId="0" xfId="0" applyFont="1"/>
    <xf numFmtId="0" fontId="48" fillId="0" borderId="7" xfId="0" applyFont="1" applyBorder="1"/>
    <xf numFmtId="49" fontId="0" fillId="0" borderId="0" xfId="0" applyNumberFormat="1"/>
    <xf numFmtId="0" fontId="30" fillId="0" borderId="0" xfId="6" applyFont="1" applyFill="1" applyProtection="1"/>
    <xf numFmtId="0" fontId="32" fillId="0" borderId="0" xfId="6" applyFont="1" applyFill="1" applyProtection="1"/>
    <xf numFmtId="0" fontId="10" fillId="6" borderId="1" xfId="6" applyFont="1" applyFill="1" applyBorder="1" applyAlignment="1" applyProtection="1">
      <alignment horizontal="center" wrapText="1"/>
    </xf>
    <xf numFmtId="0" fontId="10" fillId="6" borderId="10" xfId="6" applyFont="1" applyFill="1" applyBorder="1" applyAlignment="1" applyProtection="1">
      <alignment horizontal="center" wrapText="1"/>
    </xf>
    <xf numFmtId="37" fontId="0" fillId="0" borderId="20" xfId="0" applyNumberFormat="1" applyBorder="1"/>
    <xf numFmtId="37" fontId="0" fillId="0" borderId="18" xfId="0" applyNumberFormat="1" applyBorder="1"/>
    <xf numFmtId="0" fontId="0" fillId="0" borderId="14" xfId="0" applyBorder="1" applyAlignment="1">
      <alignment horizontal="center"/>
    </xf>
    <xf numFmtId="37" fontId="48" fillId="8" borderId="1" xfId="0" applyNumberFormat="1" applyFont="1" applyFill="1" applyBorder="1"/>
    <xf numFmtId="37" fontId="0" fillId="7" borderId="10" xfId="0" applyNumberFormat="1" applyFill="1" applyBorder="1"/>
    <xf numFmtId="0" fontId="0" fillId="4" borderId="0" xfId="6" applyFont="1" applyFill="1" applyProtection="1"/>
    <xf numFmtId="37" fontId="0" fillId="7" borderId="11" xfId="0" applyNumberFormat="1" applyFill="1" applyBorder="1"/>
    <xf numFmtId="37" fontId="0" fillId="7" borderId="18" xfId="0" applyNumberFormat="1" applyFill="1" applyBorder="1"/>
    <xf numFmtId="49" fontId="32" fillId="0" borderId="0" xfId="0" applyNumberFormat="1" applyFont="1" applyAlignment="1">
      <alignment horizontal="right"/>
    </xf>
    <xf numFmtId="49" fontId="32" fillId="0" borderId="0" xfId="0" applyNumberFormat="1" applyFont="1"/>
    <xf numFmtId="37" fontId="48" fillId="4" borderId="21" xfId="0" applyNumberFormat="1" applyFont="1" applyFill="1" applyBorder="1"/>
    <xf numFmtId="49" fontId="0" fillId="0" borderId="3" xfId="0" applyNumberFormat="1" applyBorder="1"/>
    <xf numFmtId="168" fontId="3" fillId="5" borderId="0" xfId="0" applyNumberFormat="1" applyFont="1" applyFill="1"/>
    <xf numFmtId="168" fontId="29" fillId="0" borderId="0" xfId="6" applyNumberFormat="1" applyFont="1" applyFill="1" applyProtection="1"/>
    <xf numFmtId="168" fontId="14" fillId="0" borderId="2" xfId="6" applyNumberFormat="1" applyFont="1" applyFill="1" applyBorder="1" applyProtection="1"/>
    <xf numFmtId="168" fontId="32" fillId="5" borderId="0" xfId="0" applyNumberFormat="1" applyFont="1" applyFill="1"/>
    <xf numFmtId="168" fontId="0" fillId="0" borderId="10" xfId="0" applyNumberFormat="1" applyBorder="1" applyAlignment="1">
      <alignment horizontal="center"/>
    </xf>
    <xf numFmtId="2" fontId="0" fillId="0" borderId="10" xfId="0" applyNumberFormat="1" applyBorder="1" applyAlignment="1">
      <alignment horizontal="center"/>
    </xf>
    <xf numFmtId="49" fontId="0" fillId="0" borderId="10" xfId="0" applyNumberFormat="1" applyBorder="1" applyAlignment="1">
      <alignment horizontal="center" wrapText="1"/>
    </xf>
    <xf numFmtId="49" fontId="30" fillId="6" borderId="0" xfId="0" applyNumberFormat="1" applyFont="1" applyFill="1" applyAlignment="1">
      <alignment horizontal="center" wrapText="1"/>
    </xf>
    <xf numFmtId="1" fontId="0" fillId="0" borderId="2" xfId="0" applyNumberFormat="1" applyBorder="1" applyAlignment="1">
      <alignment wrapText="1"/>
    </xf>
    <xf numFmtId="168" fontId="0" fillId="0" borderId="15" xfId="0" applyNumberFormat="1" applyBorder="1" applyAlignment="1">
      <alignment horizontal="center"/>
    </xf>
    <xf numFmtId="2" fontId="0" fillId="0" borderId="15" xfId="0" applyNumberFormat="1" applyBorder="1" applyAlignment="1">
      <alignment horizontal="center"/>
    </xf>
    <xf numFmtId="49" fontId="0" fillId="0" borderId="15" xfId="0" applyNumberFormat="1" applyBorder="1" applyAlignment="1">
      <alignment horizontal="center" wrapText="1"/>
    </xf>
    <xf numFmtId="1" fontId="32" fillId="0" borderId="2" xfId="0" applyNumberFormat="1" applyFont="1" applyBorder="1" applyAlignment="1">
      <alignment wrapText="1"/>
    </xf>
    <xf numFmtId="1" fontId="0" fillId="0" borderId="15" xfId="0" applyNumberFormat="1" applyBorder="1" applyAlignment="1">
      <alignment horizontal="center"/>
    </xf>
    <xf numFmtId="1" fontId="0" fillId="0" borderId="15" xfId="0" applyNumberFormat="1" applyBorder="1" applyAlignment="1">
      <alignment horizontal="center" wrapText="1"/>
    </xf>
    <xf numFmtId="2" fontId="30" fillId="6" borderId="0" xfId="6" applyNumberFormat="1" applyFont="1" applyFill="1" applyBorder="1" applyAlignment="1" applyProtection="1">
      <alignment horizontal="center"/>
    </xf>
    <xf numFmtId="168" fontId="3" fillId="0" borderId="0" xfId="0" applyNumberFormat="1" applyFont="1" applyAlignment="1">
      <alignment horizontal="left"/>
    </xf>
    <xf numFmtId="1" fontId="30" fillId="6" borderId="0" xfId="6" applyNumberFormat="1" applyFont="1" applyFill="1" applyBorder="1" applyAlignment="1" applyProtection="1">
      <alignment horizontal="center"/>
    </xf>
    <xf numFmtId="168" fontId="0" fillId="5" borderId="0" xfId="0" quotePrefix="1" applyNumberFormat="1" applyFill="1" applyAlignment="1">
      <alignment horizontal="right"/>
    </xf>
    <xf numFmtId="168" fontId="0" fillId="5" borderId="0" xfId="0" quotePrefix="1" applyNumberFormat="1" applyFill="1" applyAlignment="1">
      <alignment horizontal="left"/>
    </xf>
    <xf numFmtId="168" fontId="40" fillId="0" borderId="0" xfId="0" applyNumberFormat="1" applyFont="1"/>
    <xf numFmtId="37" fontId="0" fillId="0" borderId="10" xfId="9" applyNumberFormat="1" applyFont="1" applyBorder="1"/>
    <xf numFmtId="168" fontId="0" fillId="5" borderId="2" xfId="0" quotePrefix="1" applyNumberFormat="1" applyFill="1" applyBorder="1" applyAlignment="1">
      <alignment horizontal="left"/>
    </xf>
    <xf numFmtId="1" fontId="0" fillId="5" borderId="0" xfId="0" applyNumberFormat="1" applyFill="1" applyAlignment="1">
      <alignment horizontal="left"/>
    </xf>
    <xf numFmtId="49" fontId="0" fillId="5" borderId="0" xfId="0" quotePrefix="1" applyNumberFormat="1" applyFill="1" applyAlignment="1">
      <alignment horizontal="right"/>
    </xf>
    <xf numFmtId="49" fontId="0" fillId="5" borderId="2" xfId="0" quotePrefix="1" applyNumberFormat="1" applyFill="1" applyBorder="1" applyAlignment="1">
      <alignment horizontal="left"/>
    </xf>
    <xf numFmtId="166" fontId="0" fillId="5" borderId="0" xfId="0" applyNumberFormat="1" applyFill="1" applyAlignment="1">
      <alignment horizontal="left"/>
    </xf>
    <xf numFmtId="168" fontId="0" fillId="0" borderId="0" xfId="0" applyNumberFormat="1" applyAlignment="1">
      <alignment horizontal="left"/>
    </xf>
    <xf numFmtId="49" fontId="0" fillId="5" borderId="0" xfId="0" quotePrefix="1" applyNumberFormat="1" applyFill="1" applyAlignment="1">
      <alignment horizontal="left"/>
    </xf>
    <xf numFmtId="1" fontId="0" fillId="5" borderId="0" xfId="0" applyNumberFormat="1" applyFill="1"/>
    <xf numFmtId="1" fontId="0" fillId="0" borderId="0" xfId="0" applyNumberFormat="1"/>
    <xf numFmtId="168" fontId="32" fillId="0" borderId="0" xfId="0" applyNumberFormat="1" applyFont="1" applyAlignment="1">
      <alignment horizontal="left"/>
    </xf>
    <xf numFmtId="168" fontId="16" fillId="5" borderId="0" xfId="0" applyNumberFormat="1" applyFont="1" applyFill="1"/>
    <xf numFmtId="168" fontId="0" fillId="5" borderId="10" xfId="0" applyNumberFormat="1" applyFill="1" applyBorder="1" applyAlignment="1">
      <alignment horizontal="center"/>
    </xf>
    <xf numFmtId="168" fontId="30" fillId="6" borderId="10" xfId="0" applyNumberFormat="1" applyFont="1" applyFill="1" applyBorder="1"/>
    <xf numFmtId="168" fontId="33" fillId="5" borderId="0" xfId="0" applyNumberFormat="1" applyFont="1" applyFill="1"/>
    <xf numFmtId="168" fontId="30" fillId="6" borderId="0" xfId="6" applyNumberFormat="1" applyFont="1" applyFill="1" applyBorder="1" applyProtection="1"/>
    <xf numFmtId="49" fontId="16" fillId="5" borderId="0" xfId="0" applyNumberFormat="1" applyFont="1" applyFill="1" applyAlignment="1">
      <alignment horizontal="right"/>
    </xf>
    <xf numFmtId="168" fontId="30" fillId="6" borderId="15" xfId="0" applyNumberFormat="1" applyFont="1" applyFill="1" applyBorder="1"/>
    <xf numFmtId="49" fontId="0" fillId="5" borderId="0" xfId="0" applyNumberFormat="1" applyFill="1" applyAlignment="1">
      <alignment horizontal="right"/>
    </xf>
    <xf numFmtId="168" fontId="30" fillId="6" borderId="15" xfId="6" applyNumberFormat="1" applyFont="1" applyFill="1" applyBorder="1" applyAlignment="1" applyProtection="1">
      <alignment horizontal="center"/>
    </xf>
    <xf numFmtId="168" fontId="0" fillId="5" borderId="5" xfId="0" applyNumberFormat="1" applyFill="1" applyBorder="1" applyAlignment="1">
      <alignment horizontal="center"/>
    </xf>
    <xf numFmtId="168" fontId="30" fillId="6" borderId="5" xfId="6" applyNumberFormat="1" applyFont="1" applyFill="1" applyBorder="1" applyAlignment="1" applyProtection="1">
      <alignment horizontal="center"/>
    </xf>
    <xf numFmtId="168" fontId="0" fillId="5" borderId="14" xfId="0" quotePrefix="1" applyNumberFormat="1" applyFill="1" applyBorder="1" applyAlignment="1">
      <alignment horizontal="right"/>
    </xf>
    <xf numFmtId="49" fontId="0" fillId="5" borderId="0" xfId="0" applyNumberFormat="1" applyFill="1" applyAlignment="1">
      <alignment horizontal="left"/>
    </xf>
    <xf numFmtId="38" fontId="0" fillId="0" borderId="0" xfId="0" applyNumberFormat="1"/>
    <xf numFmtId="168" fontId="0" fillId="0" borderId="1" xfId="0" applyNumberFormat="1" applyBorder="1" applyAlignment="1">
      <alignment horizontal="center"/>
    </xf>
    <xf numFmtId="0" fontId="32" fillId="0" borderId="0" xfId="0" quotePrefix="1" applyFont="1" applyAlignment="1">
      <alignment horizontal="right"/>
    </xf>
    <xf numFmtId="1" fontId="0" fillId="5" borderId="0" xfId="0" applyNumberFormat="1" applyFill="1" applyAlignment="1">
      <alignment horizontal="center"/>
    </xf>
    <xf numFmtId="38" fontId="0" fillId="0" borderId="0" xfId="0" applyNumberFormat="1" applyAlignment="1">
      <alignment horizontal="center"/>
    </xf>
    <xf numFmtId="168" fontId="0" fillId="0" borderId="3" xfId="0" applyNumberFormat="1" applyBorder="1" applyAlignment="1">
      <alignment horizontal="center"/>
    </xf>
    <xf numFmtId="168" fontId="30" fillId="6" borderId="0" xfId="6" applyNumberFormat="1" applyFont="1" applyFill="1" applyProtection="1"/>
    <xf numFmtId="168" fontId="33" fillId="6" borderId="0" xfId="0" applyNumberFormat="1" applyFont="1" applyFill="1"/>
    <xf numFmtId="168" fontId="0" fillId="0" borderId="5" xfId="0" applyNumberFormat="1" applyBorder="1" applyAlignment="1">
      <alignment horizontal="center"/>
    </xf>
    <xf numFmtId="168" fontId="32" fillId="5" borderId="0" xfId="0" quotePrefix="1" applyNumberFormat="1" applyFont="1" applyFill="1" applyAlignment="1">
      <alignment horizontal="right"/>
    </xf>
    <xf numFmtId="49" fontId="28" fillId="5" borderId="0" xfId="0" applyNumberFormat="1" applyFont="1" applyFill="1" applyAlignment="1">
      <alignment horizontal="left"/>
    </xf>
    <xf numFmtId="168" fontId="33" fillId="0" borderId="0" xfId="0" applyNumberFormat="1" applyFont="1" applyAlignment="1">
      <alignment vertical="top" wrapText="1"/>
    </xf>
    <xf numFmtId="168" fontId="39" fillId="6" borderId="0" xfId="6" applyNumberFormat="1" applyFont="1" applyFill="1" applyProtection="1"/>
    <xf numFmtId="168" fontId="32" fillId="0" borderId="0" xfId="0" applyNumberFormat="1" applyFont="1"/>
    <xf numFmtId="168" fontId="0" fillId="4" borderId="0" xfId="0" applyNumberFormat="1" applyFill="1"/>
    <xf numFmtId="168" fontId="0" fillId="5" borderId="0" xfId="0" quotePrefix="1" applyNumberFormat="1" applyFill="1"/>
    <xf numFmtId="168" fontId="0" fillId="5" borderId="0" xfId="0" applyNumberFormat="1" applyFill="1" applyAlignment="1">
      <alignment horizontal="right"/>
    </xf>
    <xf numFmtId="0" fontId="51" fillId="0" borderId="0" xfId="10" applyFont="1" applyAlignment="1">
      <alignment horizontal="right"/>
    </xf>
    <xf numFmtId="168" fontId="28" fillId="5" borderId="0" xfId="10" applyNumberFormat="1" applyFont="1" applyFill="1"/>
    <xf numFmtId="168" fontId="28" fillId="0" borderId="0" xfId="10" applyNumberFormat="1" applyFont="1"/>
    <xf numFmtId="0" fontId="0" fillId="0" borderId="3" xfId="11" applyFont="1" applyBorder="1" applyAlignment="1">
      <alignment horizontal="center"/>
    </xf>
    <xf numFmtId="0" fontId="28" fillId="0" borderId="0" xfId="10" applyFont="1" applyAlignment="1">
      <alignment horizontal="center"/>
    </xf>
    <xf numFmtId="168" fontId="51" fillId="5" borderId="0" xfId="10" applyNumberFormat="1" applyFont="1" applyFill="1" applyAlignment="1">
      <alignment horizontal="center"/>
    </xf>
    <xf numFmtId="168" fontId="3" fillId="5" borderId="0" xfId="10" applyNumberFormat="1" applyFont="1" applyFill="1" applyAlignment="1">
      <alignment horizontal="center"/>
    </xf>
    <xf numFmtId="168" fontId="32" fillId="5" borderId="0" xfId="10" applyNumberFormat="1" applyFont="1" applyFill="1"/>
    <xf numFmtId="168" fontId="32" fillId="0" borderId="0" xfId="10" applyNumberFormat="1" applyFont="1"/>
    <xf numFmtId="0" fontId="32" fillId="0" borderId="0" xfId="10" applyFont="1"/>
    <xf numFmtId="0" fontId="51" fillId="0" borderId="0" xfId="10" applyFont="1" applyAlignment="1">
      <alignment horizontal="left"/>
    </xf>
    <xf numFmtId="0" fontId="28" fillId="0" borderId="0" xfId="10" applyFont="1"/>
    <xf numFmtId="14" fontId="28" fillId="5" borderId="0" xfId="10" applyNumberFormat="1" applyFont="1" applyFill="1" applyAlignment="1">
      <alignment horizontal="left"/>
    </xf>
    <xf numFmtId="168" fontId="28" fillId="5" borderId="13" xfId="10" applyNumberFormat="1" applyFont="1" applyFill="1" applyBorder="1"/>
    <xf numFmtId="168" fontId="51" fillId="5" borderId="1" xfId="10" applyNumberFormat="1" applyFont="1" applyFill="1" applyBorder="1" applyAlignment="1">
      <alignment horizontal="center"/>
    </xf>
    <xf numFmtId="168" fontId="28" fillId="0" borderId="10" xfId="10" applyNumberFormat="1" applyFont="1" applyBorder="1" applyAlignment="1">
      <alignment horizontal="center"/>
    </xf>
    <xf numFmtId="2" fontId="28" fillId="0" borderId="10" xfId="10" applyNumberFormat="1" applyFont="1" applyBorder="1" applyAlignment="1">
      <alignment horizontal="center"/>
    </xf>
    <xf numFmtId="49" fontId="51" fillId="6" borderId="10" xfId="10" applyNumberFormat="1" applyFont="1" applyFill="1" applyBorder="1" applyAlignment="1">
      <alignment horizontal="center" wrapText="1"/>
    </xf>
    <xf numFmtId="168" fontId="28" fillId="0" borderId="15" xfId="10" applyNumberFormat="1" applyFont="1" applyBorder="1" applyAlignment="1">
      <alignment horizontal="center"/>
    </xf>
    <xf numFmtId="2" fontId="28" fillId="0" borderId="15" xfId="10" applyNumberFormat="1" applyFont="1" applyBorder="1" applyAlignment="1">
      <alignment horizontal="center"/>
    </xf>
    <xf numFmtId="49" fontId="28" fillId="0" borderId="15" xfId="10" applyNumberFormat="1" applyFont="1" applyBorder="1" applyAlignment="1">
      <alignment horizontal="center" wrapText="1"/>
    </xf>
    <xf numFmtId="49" fontId="51" fillId="6" borderId="15" xfId="10" applyNumberFormat="1" applyFont="1" applyFill="1" applyBorder="1" applyAlignment="1">
      <alignment horizontal="center" wrapText="1"/>
    </xf>
    <xf numFmtId="165" fontId="0" fillId="5" borderId="15" xfId="10" applyNumberFormat="1" applyFont="1" applyFill="1" applyBorder="1" applyAlignment="1">
      <alignment horizontal="center"/>
    </xf>
    <xf numFmtId="1" fontId="28" fillId="0" borderId="15" xfId="10" applyNumberFormat="1" applyFont="1" applyBorder="1" applyAlignment="1">
      <alignment horizontal="center"/>
    </xf>
    <xf numFmtId="0" fontId="10" fillId="6" borderId="0" xfId="6" applyFont="1" applyFill="1" applyAlignment="1" applyProtection="1">
      <alignment horizontal="center" vertical="center"/>
    </xf>
    <xf numFmtId="1" fontId="28" fillId="0" borderId="5" xfId="10" applyNumberFormat="1" applyFont="1" applyBorder="1" applyAlignment="1">
      <alignment horizontal="center"/>
    </xf>
    <xf numFmtId="165" fontId="0" fillId="5" borderId="5" xfId="10" applyNumberFormat="1" applyFont="1" applyFill="1" applyBorder="1" applyAlignment="1">
      <alignment horizontal="center"/>
    </xf>
    <xf numFmtId="168" fontId="28" fillId="5" borderId="12" xfId="10" applyNumberFormat="1" applyFont="1" applyFill="1" applyBorder="1" applyAlignment="1">
      <alignment horizontal="left"/>
    </xf>
    <xf numFmtId="168" fontId="28" fillId="5" borderId="7" xfId="10" applyNumberFormat="1" applyFont="1" applyFill="1" applyBorder="1" applyAlignment="1">
      <alignment horizontal="left"/>
    </xf>
    <xf numFmtId="168" fontId="28" fillId="5" borderId="13" xfId="10" quotePrefix="1" applyNumberFormat="1" applyFont="1" applyFill="1" applyBorder="1" applyAlignment="1">
      <alignment horizontal="right"/>
    </xf>
    <xf numFmtId="37" fontId="28" fillId="0" borderId="1" xfId="10" applyNumberFormat="1" applyFont="1" applyBorder="1" applyAlignment="1">
      <alignment horizontal="right" vertical="center"/>
    </xf>
    <xf numFmtId="37" fontId="28" fillId="8" borderId="1" xfId="10" applyNumberFormat="1" applyFont="1" applyFill="1" applyBorder="1" applyAlignment="1">
      <alignment horizontal="right" vertical="center"/>
    </xf>
    <xf numFmtId="37" fontId="51" fillId="0" borderId="1" xfId="10" applyNumberFormat="1" applyFont="1" applyBorder="1" applyAlignment="1">
      <alignment horizontal="right" vertical="center"/>
    </xf>
    <xf numFmtId="168" fontId="28" fillId="5" borderId="0" xfId="10" quotePrefix="1" applyNumberFormat="1" applyFont="1" applyFill="1" applyAlignment="1">
      <alignment horizontal="left"/>
    </xf>
    <xf numFmtId="168" fontId="28" fillId="5" borderId="2" xfId="10" applyNumberFormat="1" applyFont="1" applyFill="1" applyBorder="1" applyAlignment="1">
      <alignment horizontal="left"/>
    </xf>
    <xf numFmtId="168" fontId="28" fillId="5" borderId="14" xfId="10" quotePrefix="1" applyNumberFormat="1" applyFont="1" applyFill="1" applyBorder="1" applyAlignment="1">
      <alignment horizontal="right"/>
    </xf>
    <xf numFmtId="37" fontId="0" fillId="0" borderId="1" xfId="10" applyNumberFormat="1" applyFont="1" applyBorder="1" applyAlignment="1">
      <alignment horizontal="right" vertical="center"/>
    </xf>
    <xf numFmtId="168" fontId="32" fillId="11" borderId="0" xfId="10" applyNumberFormat="1" applyFont="1" applyFill="1"/>
    <xf numFmtId="1" fontId="28" fillId="5" borderId="2" xfId="10" applyNumberFormat="1" applyFont="1" applyFill="1" applyBorder="1" applyAlignment="1">
      <alignment horizontal="left"/>
    </xf>
    <xf numFmtId="1" fontId="28" fillId="5" borderId="0" xfId="10" applyNumberFormat="1" applyFont="1" applyFill="1" applyAlignment="1">
      <alignment horizontal="left"/>
    </xf>
    <xf numFmtId="49" fontId="28" fillId="5" borderId="14" xfId="10" quotePrefix="1" applyNumberFormat="1" applyFont="1" applyFill="1" applyBorder="1" applyAlignment="1">
      <alignment horizontal="right"/>
    </xf>
    <xf numFmtId="49" fontId="28" fillId="5" borderId="0" xfId="10" quotePrefix="1" applyNumberFormat="1" applyFont="1" applyFill="1" applyAlignment="1">
      <alignment horizontal="left"/>
    </xf>
    <xf numFmtId="168" fontId="28" fillId="0" borderId="2" xfId="10" applyNumberFormat="1" applyFont="1" applyBorder="1" applyAlignment="1">
      <alignment horizontal="left"/>
    </xf>
    <xf numFmtId="168" fontId="28" fillId="0" borderId="0" xfId="10" applyNumberFormat="1" applyFont="1" applyAlignment="1">
      <alignment horizontal="left"/>
    </xf>
    <xf numFmtId="0" fontId="50" fillId="6" borderId="2" xfId="6" applyFont="1" applyFill="1" applyBorder="1" applyProtection="1"/>
    <xf numFmtId="168" fontId="28" fillId="6" borderId="0" xfId="10" applyNumberFormat="1" applyFont="1" applyFill="1" applyAlignment="1">
      <alignment horizontal="left"/>
    </xf>
    <xf numFmtId="49" fontId="28" fillId="6" borderId="14" xfId="10" quotePrefix="1" applyNumberFormat="1" applyFont="1" applyFill="1" applyBorder="1" applyAlignment="1">
      <alignment horizontal="right"/>
    </xf>
    <xf numFmtId="168" fontId="28" fillId="0" borderId="16" xfId="10" applyNumberFormat="1" applyFont="1" applyBorder="1" applyAlignment="1">
      <alignment horizontal="left"/>
    </xf>
    <xf numFmtId="168" fontId="28" fillId="0" borderId="3" xfId="10" applyNumberFormat="1" applyFont="1" applyBorder="1" applyAlignment="1">
      <alignment horizontal="left"/>
    </xf>
    <xf numFmtId="49" fontId="28" fillId="5" borderId="17" xfId="10" quotePrefix="1" applyNumberFormat="1" applyFont="1" applyFill="1" applyBorder="1" applyAlignment="1">
      <alignment horizontal="right"/>
    </xf>
    <xf numFmtId="37" fontId="51" fillId="0" borderId="1" xfId="10" applyNumberFormat="1" applyFont="1" applyBorder="1"/>
    <xf numFmtId="49" fontId="28" fillId="5" borderId="0" xfId="10" quotePrefix="1" applyNumberFormat="1" applyFont="1" applyFill="1" applyAlignment="1">
      <alignment horizontal="right"/>
    </xf>
    <xf numFmtId="0" fontId="53" fillId="6" borderId="9" xfId="6" applyFont="1" applyFill="1" applyBorder="1" applyProtection="1"/>
    <xf numFmtId="0" fontId="3" fillId="6" borderId="4" xfId="10" applyFont="1" applyFill="1" applyBorder="1"/>
    <xf numFmtId="0" fontId="3" fillId="6" borderId="8" xfId="10" applyFont="1" applyFill="1" applyBorder="1"/>
    <xf numFmtId="168" fontId="51" fillId="5" borderId="9" xfId="10" applyNumberFormat="1" applyFont="1" applyFill="1" applyBorder="1"/>
    <xf numFmtId="168" fontId="51" fillId="5" borderId="4" xfId="10" applyNumberFormat="1" applyFont="1" applyFill="1" applyBorder="1"/>
    <xf numFmtId="168" fontId="28" fillId="5" borderId="8" xfId="10" applyNumberFormat="1" applyFont="1" applyFill="1" applyBorder="1" applyAlignment="1">
      <alignment horizontal="center"/>
    </xf>
    <xf numFmtId="168" fontId="28" fillId="5" borderId="16" xfId="10" applyNumberFormat="1" applyFont="1" applyFill="1" applyBorder="1"/>
    <xf numFmtId="168" fontId="28" fillId="5" borderId="3" xfId="10" applyNumberFormat="1" applyFont="1" applyFill="1" applyBorder="1"/>
    <xf numFmtId="168" fontId="28" fillId="5" borderId="17" xfId="10" applyNumberFormat="1" applyFont="1" applyFill="1" applyBorder="1"/>
    <xf numFmtId="168" fontId="28" fillId="5" borderId="9" xfId="10" applyNumberFormat="1" applyFont="1" applyFill="1" applyBorder="1"/>
    <xf numFmtId="168" fontId="28" fillId="5" borderId="4" xfId="10" applyNumberFormat="1" applyFont="1" applyFill="1" applyBorder="1"/>
    <xf numFmtId="168" fontId="28" fillId="5" borderId="8" xfId="10" applyNumberFormat="1" applyFont="1" applyFill="1" applyBorder="1"/>
    <xf numFmtId="0" fontId="28" fillId="0" borderId="9" xfId="10" applyFont="1" applyBorder="1"/>
    <xf numFmtId="0" fontId="28" fillId="0" borderId="4" xfId="10" applyFont="1" applyBorder="1"/>
    <xf numFmtId="168" fontId="28" fillId="0" borderId="8" xfId="10" applyNumberFormat="1" applyFont="1" applyBorder="1"/>
    <xf numFmtId="37" fontId="28" fillId="5" borderId="1" xfId="10" applyNumberFormat="1" applyFont="1" applyFill="1" applyBorder="1"/>
    <xf numFmtId="168" fontId="28" fillId="0" borderId="9" xfId="10" applyNumberFormat="1" applyFont="1" applyBorder="1"/>
    <xf numFmtId="168" fontId="28" fillId="0" borderId="4" xfId="10" applyNumberFormat="1" applyFont="1" applyBorder="1"/>
    <xf numFmtId="168" fontId="28" fillId="5" borderId="12" xfId="10" applyNumberFormat="1" applyFont="1" applyFill="1" applyBorder="1"/>
    <xf numFmtId="168" fontId="28" fillId="5" borderId="7" xfId="10" applyNumberFormat="1" applyFont="1" applyFill="1" applyBorder="1"/>
    <xf numFmtId="168" fontId="28" fillId="0" borderId="13" xfId="10" applyNumberFormat="1" applyFont="1" applyBorder="1"/>
    <xf numFmtId="0" fontId="50" fillId="6" borderId="9" xfId="6" applyFont="1" applyFill="1" applyBorder="1" applyProtection="1"/>
    <xf numFmtId="168" fontId="28" fillId="6" borderId="4" xfId="10" applyNumberFormat="1" applyFont="1" applyFill="1" applyBorder="1"/>
    <xf numFmtId="168" fontId="28" fillId="6" borderId="8" xfId="10" applyNumberFormat="1" applyFont="1" applyFill="1" applyBorder="1"/>
    <xf numFmtId="38" fontId="28" fillId="0" borderId="0" xfId="10" applyNumberFormat="1" applyFont="1" applyAlignment="1">
      <alignment horizontal="right" vertical="center"/>
    </xf>
    <xf numFmtId="168" fontId="28" fillId="5" borderId="0" xfId="10" quotePrefix="1" applyNumberFormat="1" applyFont="1" applyFill="1"/>
    <xf numFmtId="168" fontId="28" fillId="5" borderId="9" xfId="10" quotePrefix="1" applyNumberFormat="1" applyFont="1" applyFill="1" applyBorder="1"/>
    <xf numFmtId="37" fontId="28" fillId="0" borderId="1" xfId="10" applyNumberFormat="1" applyFont="1" applyBorder="1" applyAlignment="1">
      <alignment horizontal="right"/>
    </xf>
    <xf numFmtId="0" fontId="28" fillId="0" borderId="0" xfId="4" quotePrefix="1" applyNumberFormat="1" applyFont="1" applyFill="1" applyBorder="1" applyAlignment="1" applyProtection="1">
      <alignment horizontal="left"/>
    </xf>
    <xf numFmtId="168" fontId="28" fillId="0" borderId="0" xfId="10" applyNumberFormat="1" applyFont="1" applyAlignment="1">
      <alignment wrapText="1"/>
    </xf>
    <xf numFmtId="0" fontId="42" fillId="0" borderId="0" xfId="4" quotePrefix="1" applyNumberFormat="1" applyFont="1" applyFill="1" applyBorder="1" applyAlignment="1" applyProtection="1">
      <alignment vertical="center" wrapText="1"/>
    </xf>
    <xf numFmtId="168" fontId="42" fillId="4" borderId="0" xfId="10" applyNumberFormat="1" applyFont="1" applyFill="1" applyAlignment="1">
      <alignment vertical="center" wrapText="1"/>
    </xf>
    <xf numFmtId="168" fontId="42" fillId="0" borderId="0" xfId="10" applyNumberFormat="1" applyFont="1" applyAlignment="1">
      <alignment wrapText="1"/>
    </xf>
    <xf numFmtId="37" fontId="51" fillId="0" borderId="1" xfId="10" applyNumberFormat="1" applyFont="1" applyBorder="1" applyAlignment="1">
      <alignment horizontal="right"/>
    </xf>
    <xf numFmtId="168" fontId="28" fillId="0" borderId="0" xfId="10" applyNumberFormat="1" applyFont="1" applyAlignment="1">
      <alignment horizontal="right"/>
    </xf>
    <xf numFmtId="0" fontId="0" fillId="0" borderId="0" xfId="10" applyFont="1" applyAlignment="1">
      <alignment vertical="top"/>
    </xf>
    <xf numFmtId="0" fontId="32" fillId="0" borderId="0" xfId="10" applyFont="1" applyAlignment="1">
      <alignment vertical="top"/>
    </xf>
    <xf numFmtId="37" fontId="28" fillId="0" borderId="1" xfId="4" applyNumberFormat="1" applyFont="1" applyBorder="1" applyProtection="1">
      <protection locked="0"/>
    </xf>
    <xf numFmtId="172" fontId="28" fillId="0" borderId="1" xfId="4" applyNumberFormat="1" applyFont="1" applyBorder="1" applyProtection="1">
      <protection locked="0"/>
    </xf>
    <xf numFmtId="37" fontId="28" fillId="0" borderId="1" xfId="4" applyNumberFormat="1" applyFont="1" applyBorder="1" applyProtection="1"/>
    <xf numFmtId="0" fontId="3" fillId="0" borderId="0" xfId="13" applyFont="1"/>
    <xf numFmtId="0" fontId="61" fillId="0" borderId="0" xfId="13"/>
    <xf numFmtId="168" fontId="3" fillId="5" borderId="0" xfId="13" applyNumberFormat="1" applyFont="1" applyFill="1" applyAlignment="1">
      <alignment horizontal="left"/>
    </xf>
    <xf numFmtId="0" fontId="10" fillId="6" borderId="0" xfId="6" applyFont="1" applyFill="1" applyAlignment="1" applyProtection="1">
      <alignment horizontal="right"/>
    </xf>
    <xf numFmtId="0" fontId="61" fillId="0" borderId="0" xfId="13" applyAlignment="1">
      <alignment horizontal="right" vertical="center"/>
    </xf>
    <xf numFmtId="37" fontId="26" fillId="5" borderId="0" xfId="13" applyNumberFormat="1" applyFont="1" applyFill="1" applyAlignment="1">
      <alignment horizontal="left" vertical="center"/>
    </xf>
    <xf numFmtId="168" fontId="61" fillId="5" borderId="22" xfId="13" applyNumberFormat="1" applyFill="1" applyBorder="1"/>
    <xf numFmtId="168" fontId="61" fillId="6" borderId="22" xfId="13" applyNumberFormat="1" applyFill="1" applyBorder="1"/>
    <xf numFmtId="168" fontId="50" fillId="6" borderId="22" xfId="6" applyNumberFormat="1" applyFont="1" applyFill="1" applyBorder="1" applyAlignment="1" applyProtection="1">
      <alignment horizontal="center"/>
    </xf>
    <xf numFmtId="37" fontId="46" fillId="0" borderId="23" xfId="13" applyNumberFormat="1" applyFont="1" applyBorder="1" applyAlignment="1">
      <alignment horizontal="center"/>
    </xf>
    <xf numFmtId="37" fontId="46" fillId="0" borderId="10" xfId="13" applyNumberFormat="1" applyFont="1" applyBorder="1" applyAlignment="1">
      <alignment horizontal="center"/>
    </xf>
    <xf numFmtId="37" fontId="46" fillId="5" borderId="24" xfId="13" applyNumberFormat="1" applyFont="1" applyFill="1" applyBorder="1" applyAlignment="1">
      <alignment horizontal="center"/>
    </xf>
    <xf numFmtId="37" fontId="46" fillId="5" borderId="25" xfId="13" applyNumberFormat="1" applyFont="1" applyFill="1" applyBorder="1" applyAlignment="1">
      <alignment horizontal="left"/>
    </xf>
    <xf numFmtId="37" fontId="50" fillId="6" borderId="25" xfId="6" applyNumberFormat="1" applyFont="1" applyFill="1" applyBorder="1" applyAlignment="1" applyProtection="1">
      <alignment horizontal="center" vertical="center"/>
    </xf>
    <xf numFmtId="37" fontId="50" fillId="6" borderId="25" xfId="6" applyNumberFormat="1" applyFont="1" applyFill="1" applyBorder="1" applyAlignment="1" applyProtection="1">
      <alignment horizontal="center"/>
    </xf>
    <xf numFmtId="38" fontId="46" fillId="0" borderId="26" xfId="13" applyNumberFormat="1" applyFont="1" applyBorder="1" applyAlignment="1">
      <alignment horizontal="center"/>
    </xf>
    <xf numFmtId="37" fontId="46" fillId="0" borderId="15" xfId="13" applyNumberFormat="1" applyFont="1" applyBorder="1" applyAlignment="1">
      <alignment horizontal="center"/>
    </xf>
    <xf numFmtId="37" fontId="46" fillId="5" borderId="15" xfId="13" applyNumberFormat="1" applyFont="1" applyFill="1" applyBorder="1" applyAlignment="1">
      <alignment horizontal="center"/>
    </xf>
    <xf numFmtId="37" fontId="46" fillId="5" borderId="27" xfId="13" applyNumberFormat="1" applyFont="1" applyFill="1" applyBorder="1" applyAlignment="1">
      <alignment horizontal="center"/>
    </xf>
    <xf numFmtId="38" fontId="50" fillId="6" borderId="28" xfId="6" applyNumberFormat="1" applyFont="1" applyFill="1" applyBorder="1" applyAlignment="1" applyProtection="1">
      <alignment horizontal="center" vertical="center"/>
    </xf>
    <xf numFmtId="38" fontId="50" fillId="6" borderId="28" xfId="6" applyNumberFormat="1" applyFont="1" applyFill="1" applyBorder="1" applyAlignment="1" applyProtection="1">
      <alignment horizontal="center"/>
    </xf>
    <xf numFmtId="38" fontId="46" fillId="0" borderId="29" xfId="13" applyNumberFormat="1" applyFont="1" applyBorder="1" applyAlignment="1">
      <alignment horizontal="center"/>
    </xf>
    <xf numFmtId="37" fontId="46" fillId="0" borderId="5" xfId="13" applyNumberFormat="1" applyFont="1" applyBorder="1" applyAlignment="1">
      <alignment horizontal="center"/>
    </xf>
    <xf numFmtId="38" fontId="46" fillId="5" borderId="5" xfId="13" applyNumberFormat="1" applyFont="1" applyFill="1" applyBorder="1" applyAlignment="1">
      <alignment horizontal="center"/>
    </xf>
    <xf numFmtId="37" fontId="46" fillId="5" borderId="29" xfId="13" applyNumberFormat="1" applyFont="1" applyFill="1" applyBorder="1" applyAlignment="1">
      <alignment horizontal="left"/>
    </xf>
    <xf numFmtId="37" fontId="46" fillId="7" borderId="1" xfId="13" applyNumberFormat="1" applyFont="1" applyFill="1" applyBorder="1"/>
    <xf numFmtId="37" fontId="46" fillId="7" borderId="5" xfId="13" applyNumberFormat="1" applyFont="1" applyFill="1" applyBorder="1"/>
    <xf numFmtId="37" fontId="46" fillId="7" borderId="16" xfId="13" applyNumberFormat="1" applyFont="1" applyFill="1" applyBorder="1"/>
    <xf numFmtId="37" fontId="47" fillId="8" borderId="9" xfId="13" applyNumberFormat="1" applyFont="1" applyFill="1" applyBorder="1" applyAlignment="1">
      <alignment horizontal="center"/>
    </xf>
    <xf numFmtId="37" fontId="46" fillId="5" borderId="24" xfId="13" applyNumberFormat="1" applyFont="1" applyFill="1" applyBorder="1"/>
    <xf numFmtId="37" fontId="46" fillId="5" borderId="13" xfId="13" applyNumberFormat="1" applyFont="1" applyFill="1" applyBorder="1"/>
    <xf numFmtId="37" fontId="47" fillId="8" borderId="8" xfId="13" applyNumberFormat="1" applyFont="1" applyFill="1" applyBorder="1" applyAlignment="1">
      <alignment horizontal="center"/>
    </xf>
    <xf numFmtId="37" fontId="46" fillId="7" borderId="9" xfId="13" applyNumberFormat="1" applyFont="1" applyFill="1" applyBorder="1"/>
    <xf numFmtId="37" fontId="46" fillId="5" borderId="30" xfId="13" applyNumberFormat="1" applyFont="1" applyFill="1" applyBorder="1"/>
    <xf numFmtId="165" fontId="61" fillId="0" borderId="0" xfId="13" applyNumberFormat="1"/>
    <xf numFmtId="37" fontId="46" fillId="0" borderId="24" xfId="13" applyNumberFormat="1" applyFont="1" applyBorder="1"/>
    <xf numFmtId="37" fontId="46" fillId="5" borderId="26" xfId="13" applyNumberFormat="1" applyFont="1" applyFill="1" applyBorder="1" applyAlignment="1">
      <alignment horizontal="left"/>
    </xf>
    <xf numFmtId="37" fontId="46" fillId="7" borderId="10" xfId="13" applyNumberFormat="1" applyFont="1" applyFill="1" applyBorder="1"/>
    <xf numFmtId="37" fontId="46" fillId="7" borderId="12" xfId="13" applyNumberFormat="1" applyFont="1" applyFill="1" applyBorder="1"/>
    <xf numFmtId="37" fontId="46" fillId="0" borderId="31" xfId="13" applyNumberFormat="1" applyFont="1" applyBorder="1"/>
    <xf numFmtId="37" fontId="46" fillId="5" borderId="32" xfId="13" applyNumberFormat="1" applyFont="1" applyFill="1" applyBorder="1"/>
    <xf numFmtId="42" fontId="61" fillId="5" borderId="3" xfId="13" applyNumberFormat="1" applyFill="1" applyBorder="1"/>
    <xf numFmtId="37" fontId="46" fillId="0" borderId="1" xfId="13" applyNumberFormat="1" applyFont="1" applyBorder="1" applyAlignment="1">
      <alignment horizontal="left"/>
    </xf>
    <xf numFmtId="37" fontId="47" fillId="8" borderId="1" xfId="13" applyNumberFormat="1" applyFont="1" applyFill="1" applyBorder="1" applyAlignment="1">
      <alignment horizontal="center"/>
    </xf>
    <xf numFmtId="37" fontId="46" fillId="0" borderId="17" xfId="13" applyNumberFormat="1" applyFont="1" applyBorder="1"/>
    <xf numFmtId="37" fontId="46" fillId="5" borderId="16" xfId="13" applyNumberFormat="1" applyFont="1" applyFill="1" applyBorder="1"/>
    <xf numFmtId="37" fontId="46" fillId="7" borderId="1" xfId="13" applyNumberFormat="1" applyFont="1" applyFill="1" applyBorder="1" applyAlignment="1">
      <alignment horizontal="center"/>
    </xf>
    <xf numFmtId="37" fontId="46" fillId="0" borderId="9" xfId="13" applyNumberFormat="1" applyFont="1" applyBorder="1" applyAlignment="1">
      <alignment horizontal="left"/>
    </xf>
    <xf numFmtId="37" fontId="46" fillId="0" borderId="1" xfId="13" applyNumberFormat="1" applyFont="1" applyBorder="1"/>
    <xf numFmtId="37" fontId="46" fillId="5" borderId="1" xfId="13" applyNumberFormat="1" applyFont="1" applyFill="1" applyBorder="1"/>
    <xf numFmtId="37" fontId="46" fillId="0" borderId="8" xfId="13" applyNumberFormat="1" applyFont="1" applyBorder="1"/>
    <xf numFmtId="37" fontId="46" fillId="5" borderId="9" xfId="13" applyNumberFormat="1" applyFont="1" applyFill="1" applyBorder="1"/>
    <xf numFmtId="37" fontId="46" fillId="5" borderId="8" xfId="13" applyNumberFormat="1" applyFont="1" applyFill="1" applyBorder="1"/>
    <xf numFmtId="0" fontId="32" fillId="0" borderId="0" xfId="13" applyFont="1"/>
    <xf numFmtId="37" fontId="46" fillId="0" borderId="1" xfId="13" applyNumberFormat="1" applyFont="1" applyBorder="1" applyProtection="1">
      <protection locked="0"/>
    </xf>
    <xf numFmtId="0" fontId="0" fillId="0" borderId="0" xfId="11" applyFont="1" applyAlignment="1">
      <alignment horizontal="center"/>
    </xf>
    <xf numFmtId="0" fontId="28" fillId="0" borderId="0" xfId="8" applyFont="1"/>
    <xf numFmtId="37" fontId="28" fillId="0" borderId="0" xfId="8" applyNumberFormat="1" applyFont="1"/>
    <xf numFmtId="0" fontId="51" fillId="0" borderId="0" xfId="8" applyFont="1" applyAlignment="1">
      <alignment horizontal="right"/>
    </xf>
    <xf numFmtId="0" fontId="0" fillId="0" borderId="0" xfId="4" applyNumberFormat="1" applyFont="1" applyBorder="1" applyAlignment="1" applyProtection="1">
      <alignment horizontal="left" vertical="top"/>
    </xf>
    <xf numFmtId="37" fontId="28" fillId="0" borderId="0" xfId="8" applyNumberFormat="1" applyFont="1" applyAlignment="1">
      <alignment horizontal="left"/>
    </xf>
    <xf numFmtId="0" fontId="32" fillId="0" borderId="0" xfId="8" applyFont="1"/>
    <xf numFmtId="0" fontId="32" fillId="4" borderId="0" xfId="8" applyFont="1" applyFill="1"/>
    <xf numFmtId="37" fontId="51" fillId="0" borderId="0" xfId="8" applyNumberFormat="1" applyFont="1" applyAlignment="1">
      <alignment horizontal="left"/>
    </xf>
    <xf numFmtId="0" fontId="51" fillId="12" borderId="1" xfId="0" applyFont="1" applyFill="1" applyBorder="1" applyAlignment="1">
      <alignment horizontal="center" wrapText="1"/>
    </xf>
    <xf numFmtId="0" fontId="51" fillId="0" borderId="0" xfId="0" applyFont="1" applyAlignment="1">
      <alignment horizontal="left" vertical="top"/>
    </xf>
    <xf numFmtId="0" fontId="51" fillId="0" borderId="0" xfId="0" applyFont="1" applyAlignment="1">
      <alignment wrapText="1"/>
    </xf>
    <xf numFmtId="168" fontId="10" fillId="6" borderId="0" xfId="6" quotePrefix="1" applyNumberFormat="1" applyFont="1" applyFill="1" applyAlignment="1" applyProtection="1">
      <alignment horizontal="right"/>
    </xf>
    <xf numFmtId="0" fontId="0" fillId="0" borderId="0" xfId="0" applyAlignment="1">
      <alignment horizontal="left" vertical="top"/>
    </xf>
    <xf numFmtId="0" fontId="3" fillId="0" borderId="0" xfId="0" quotePrefix="1" applyFont="1" applyAlignment="1">
      <alignment horizontal="left"/>
    </xf>
    <xf numFmtId="0" fontId="54" fillId="0" borderId="0" xfId="0" applyFont="1"/>
    <xf numFmtId="0" fontId="0" fillId="0" borderId="1" xfId="0" applyBorder="1"/>
    <xf numFmtId="49" fontId="28" fillId="0" borderId="0" xfId="6" applyNumberFormat="1" applyFont="1" applyFill="1" applyAlignment="1" applyProtection="1">
      <alignment horizontal="center" vertical="top"/>
    </xf>
    <xf numFmtId="0" fontId="51" fillId="0" borderId="0" xfId="0" applyFont="1" applyAlignment="1">
      <alignment horizontal="center" wrapText="1"/>
    </xf>
    <xf numFmtId="49" fontId="10" fillId="0" borderId="0" xfId="6" applyNumberFormat="1" applyFont="1" applyFill="1" applyAlignment="1" applyProtection="1">
      <alignment horizontal="center" vertical="top"/>
    </xf>
    <xf numFmtId="0" fontId="0" fillId="0" borderId="0" xfId="0" applyAlignment="1">
      <alignment vertical="top" wrapText="1"/>
    </xf>
    <xf numFmtId="0" fontId="0" fillId="0" borderId="0" xfId="0" applyAlignment="1">
      <alignment horizontal="right" vertical="top"/>
    </xf>
    <xf numFmtId="0" fontId="32" fillId="0" borderId="0" xfId="0" applyFont="1" applyAlignment="1">
      <alignment horizontal="left" vertical="top" wrapText="1"/>
    </xf>
    <xf numFmtId="170" fontId="0" fillId="0" borderId="0" xfId="2" applyNumberFormat="1" applyFont="1" applyFill="1" applyBorder="1" applyAlignment="1" applyProtection="1">
      <alignment vertical="top"/>
    </xf>
    <xf numFmtId="0" fontId="0" fillId="0" borderId="0" xfId="0" quotePrefix="1" applyAlignment="1">
      <alignment horizontal="center"/>
    </xf>
    <xf numFmtId="0" fontId="0" fillId="0" borderId="1" xfId="0" applyBorder="1" applyAlignment="1" applyProtection="1">
      <alignment horizontal="center" vertical="center"/>
      <protection locked="0"/>
    </xf>
    <xf numFmtId="0" fontId="8" fillId="0" borderId="0" xfId="0" applyFont="1" applyAlignment="1">
      <alignment vertical="top"/>
    </xf>
    <xf numFmtId="0" fontId="43" fillId="0" borderId="0" xfId="0" applyFont="1" applyAlignment="1">
      <alignment vertical="top" wrapText="1"/>
    </xf>
    <xf numFmtId="0" fontId="0" fillId="0" borderId="0" xfId="0" applyAlignment="1">
      <alignment vertical="center" wrapText="1"/>
    </xf>
    <xf numFmtId="0" fontId="17" fillId="0" borderId="1" xfId="6" applyFont="1" applyBorder="1" applyProtection="1"/>
    <xf numFmtId="0" fontId="36" fillId="0" borderId="1" xfId="7" applyFont="1" applyBorder="1" applyAlignment="1">
      <alignment horizontal="left"/>
    </xf>
    <xf numFmtId="0" fontId="36" fillId="0" borderId="0" xfId="7" applyFont="1"/>
    <xf numFmtId="0" fontId="35" fillId="0" borderId="1" xfId="7" applyFont="1" applyBorder="1"/>
    <xf numFmtId="49" fontId="36" fillId="0" borderId="1" xfId="7" applyNumberFormat="1" applyFont="1" applyBorder="1" applyAlignment="1">
      <alignment horizontal="left"/>
    </xf>
    <xf numFmtId="0" fontId="35" fillId="0" borderId="1" xfId="7" applyFont="1" applyBorder="1" applyAlignment="1">
      <alignment horizontal="center"/>
    </xf>
    <xf numFmtId="0" fontId="17" fillId="0" borderId="1" xfId="7" applyFont="1" applyBorder="1" applyAlignment="1">
      <alignment horizontal="center"/>
    </xf>
    <xf numFmtId="0" fontId="17" fillId="0" borderId="1" xfId="7" applyFont="1" applyBorder="1" applyAlignment="1">
      <alignment horizontal="center" wrapText="1"/>
    </xf>
    <xf numFmtId="0" fontId="36" fillId="0" borderId="1" xfId="7" applyFont="1" applyBorder="1"/>
    <xf numFmtId="0" fontId="37" fillId="9" borderId="1" xfId="7" applyFont="1" applyFill="1" applyBorder="1"/>
    <xf numFmtId="49" fontId="36" fillId="0" borderId="1" xfId="7" applyNumberFormat="1" applyFont="1" applyBorder="1"/>
    <xf numFmtId="169" fontId="36" fillId="0" borderId="1" xfId="7" applyNumberFormat="1" applyFont="1" applyBorder="1"/>
    <xf numFmtId="0" fontId="36" fillId="0" borderId="1" xfId="7" applyFont="1" applyBorder="1" applyAlignment="1">
      <alignment horizontal="right"/>
    </xf>
    <xf numFmtId="0" fontId="36" fillId="0" borderId="1" xfId="7" applyFont="1" applyBorder="1" applyAlignment="1">
      <alignment wrapText="1"/>
    </xf>
    <xf numFmtId="0" fontId="12" fillId="0" borderId="1" xfId="7" applyFont="1" applyBorder="1"/>
    <xf numFmtId="0" fontId="36" fillId="9" borderId="1" xfId="7" applyFont="1" applyFill="1" applyBorder="1"/>
    <xf numFmtId="0" fontId="3" fillId="0" borderId="1" xfId="0" applyFont="1" applyBorder="1" applyAlignment="1">
      <alignment horizontal="center" vertical="center" wrapText="1"/>
    </xf>
    <xf numFmtId="168" fontId="0" fillId="5" borderId="1" xfId="0" applyNumberFormat="1" applyFill="1" applyBorder="1" applyAlignment="1">
      <alignment horizontal="justify" vertical="top" wrapText="1"/>
    </xf>
    <xf numFmtId="0" fontId="0" fillId="5" borderId="1" xfId="0" applyFill="1" applyBorder="1"/>
    <xf numFmtId="168" fontId="0" fillId="5" borderId="10" xfId="0" applyNumberFormat="1" applyFill="1" applyBorder="1" applyAlignment="1">
      <alignment horizontal="justify" vertical="top" wrapText="1"/>
    </xf>
    <xf numFmtId="168" fontId="31" fillId="0" borderId="0" xfId="6" applyNumberFormat="1" applyFont="1" applyFill="1" applyBorder="1" applyProtection="1"/>
    <xf numFmtId="168" fontId="0" fillId="5" borderId="1" xfId="0" applyNumberFormat="1" applyFill="1" applyBorder="1" applyAlignment="1">
      <alignment horizontal="justify" vertical="top"/>
    </xf>
    <xf numFmtId="168" fontId="30" fillId="5" borderId="1" xfId="6" applyNumberFormat="1" applyFont="1" applyFill="1" applyBorder="1" applyAlignment="1" applyProtection="1">
      <alignment horizontal="center" vertical="top"/>
    </xf>
    <xf numFmtId="168" fontId="0" fillId="5" borderId="1" xfId="0" applyNumberFormat="1" applyFill="1" applyBorder="1" applyAlignment="1">
      <alignment horizontal="center" vertical="top" wrapText="1"/>
    </xf>
    <xf numFmtId="168" fontId="30" fillId="5" borderId="1" xfId="6" applyNumberFormat="1" applyFont="1" applyFill="1" applyBorder="1" applyAlignment="1" applyProtection="1">
      <alignment horizontal="center" vertical="top" wrapText="1"/>
    </xf>
    <xf numFmtId="168" fontId="0" fillId="5" borderId="5" xfId="0" applyNumberFormat="1" applyFill="1" applyBorder="1" applyAlignment="1">
      <alignment horizontal="justify" vertical="top" wrapText="1"/>
    </xf>
    <xf numFmtId="165" fontId="30" fillId="5" borderId="1" xfId="6" applyNumberFormat="1" applyFont="1" applyFill="1" applyBorder="1" applyAlignment="1" applyProtection="1">
      <alignment horizontal="center" vertical="top"/>
    </xf>
    <xf numFmtId="168" fontId="0" fillId="0" borderId="1" xfId="0" applyNumberFormat="1" applyBorder="1" applyAlignment="1">
      <alignment horizontal="center" vertical="top"/>
    </xf>
    <xf numFmtId="165" fontId="30" fillId="0" borderId="1" xfId="6" applyNumberFormat="1" applyFont="1" applyFill="1" applyBorder="1" applyAlignment="1" applyProtection="1">
      <alignment horizontal="center" vertical="top"/>
    </xf>
    <xf numFmtId="168" fontId="0" fillId="0" borderId="1" xfId="0" applyNumberFormat="1" applyBorder="1" applyAlignment="1">
      <alignment horizontal="justify" vertical="top"/>
    </xf>
    <xf numFmtId="168" fontId="0" fillId="0" borderId="1" xfId="0" applyNumberFormat="1" applyBorder="1" applyAlignment="1">
      <alignment horizontal="center" vertical="top" wrapText="1"/>
    </xf>
    <xf numFmtId="168" fontId="0" fillId="0" borderId="1" xfId="0" applyNumberFormat="1" applyBorder="1" applyAlignment="1">
      <alignment horizontal="justify" vertical="top" wrapText="1"/>
    </xf>
    <xf numFmtId="0" fontId="33" fillId="0" borderId="1" xfId="0" applyFont="1" applyBorder="1" applyAlignment="1">
      <alignment vertical="top" wrapText="1"/>
    </xf>
    <xf numFmtId="0" fontId="0" fillId="5" borderId="1" xfId="0" applyFill="1" applyBorder="1" applyAlignment="1">
      <alignment horizontal="left" vertical="top" wrapText="1"/>
    </xf>
    <xf numFmtId="0" fontId="32" fillId="0" borderId="1" xfId="0" applyFont="1" applyBorder="1"/>
    <xf numFmtId="0" fontId="0" fillId="5" borderId="1" xfId="0" applyFill="1" applyBorder="1" applyAlignment="1">
      <alignment vertical="top" wrapText="1"/>
    </xf>
    <xf numFmtId="168" fontId="0" fillId="5" borderId="8" xfId="0" applyNumberFormat="1" applyFill="1" applyBorder="1" applyAlignment="1">
      <alignment horizontal="justify" vertical="top"/>
    </xf>
    <xf numFmtId="0" fontId="0" fillId="0" borderId="8" xfId="0" applyBorder="1" applyAlignment="1">
      <alignment vertical="top" wrapText="1"/>
    </xf>
    <xf numFmtId="168" fontId="0" fillId="0" borderId="15" xfId="0" applyNumberFormat="1" applyBorder="1" applyAlignment="1">
      <alignment horizontal="center" vertical="top" wrapText="1"/>
    </xf>
    <xf numFmtId="168" fontId="18" fillId="0" borderId="8" xfId="6" applyNumberFormat="1" applyFont="1" applyBorder="1" applyAlignment="1" applyProtection="1">
      <alignment horizontal="justify" vertical="top" wrapText="1"/>
    </xf>
    <xf numFmtId="0" fontId="33" fillId="4" borderId="1" xfId="0" applyFont="1" applyFill="1" applyBorder="1" applyAlignment="1">
      <alignment horizontal="left" vertical="top" wrapText="1"/>
    </xf>
    <xf numFmtId="168" fontId="0" fillId="0" borderId="1" xfId="0" applyNumberFormat="1" applyBorder="1" applyAlignment="1">
      <alignment horizontal="left" vertical="top" wrapText="1"/>
    </xf>
    <xf numFmtId="0" fontId="16" fillId="0" borderId="1" xfId="0" applyFont="1" applyBorder="1" applyAlignment="1">
      <alignment vertical="top" wrapText="1"/>
    </xf>
    <xf numFmtId="168" fontId="0" fillId="5" borderId="0" xfId="0" applyNumberFormat="1" applyFill="1" applyAlignment="1">
      <alignment wrapText="1"/>
    </xf>
    <xf numFmtId="168" fontId="0" fillId="5" borderId="0" xfId="0" applyNumberFormat="1" applyFill="1" applyAlignment="1">
      <alignment horizontal="center"/>
    </xf>
    <xf numFmtId="0" fontId="0" fillId="5" borderId="0" xfId="0" applyFill="1" applyAlignment="1">
      <alignment horizontal="left"/>
    </xf>
    <xf numFmtId="0" fontId="0" fillId="5" borderId="0" xfId="0" applyFill="1"/>
    <xf numFmtId="37" fontId="46" fillId="0" borderId="8" xfId="13" applyNumberFormat="1" applyFont="1" applyBorder="1" applyProtection="1">
      <protection locked="0"/>
    </xf>
    <xf numFmtId="37" fontId="46" fillId="5" borderId="4" xfId="13" applyNumberFormat="1" applyFont="1" applyFill="1" applyBorder="1"/>
    <xf numFmtId="37" fontId="46" fillId="0" borderId="4" xfId="13" applyNumberFormat="1" applyFont="1" applyBorder="1" applyAlignment="1" applyProtection="1">
      <alignment horizontal="right"/>
      <protection locked="0"/>
    </xf>
    <xf numFmtId="37" fontId="46" fillId="0" borderId="9" xfId="13" applyNumberFormat="1" applyFont="1" applyBorder="1" applyAlignment="1" applyProtection="1">
      <alignment horizontal="right"/>
      <protection locked="0"/>
    </xf>
    <xf numFmtId="173" fontId="61" fillId="0" borderId="1" xfId="13" applyNumberFormat="1" applyBorder="1" applyProtection="1">
      <protection locked="0"/>
    </xf>
    <xf numFmtId="0" fontId="27" fillId="0" borderId="0" xfId="0" applyFont="1"/>
    <xf numFmtId="0" fontId="27" fillId="0" borderId="0" xfId="0" applyFont="1" applyAlignment="1">
      <alignment horizontal="right"/>
    </xf>
    <xf numFmtId="0" fontId="0" fillId="13" borderId="0" xfId="0" applyFill="1"/>
    <xf numFmtId="37" fontId="0" fillId="13" borderId="0" xfId="0" applyNumberFormat="1" applyFill="1"/>
    <xf numFmtId="0" fontId="0" fillId="13" borderId="0" xfId="0" applyFill="1" applyAlignment="1">
      <alignment horizontal="left"/>
    </xf>
    <xf numFmtId="0" fontId="0" fillId="2" borderId="0" xfId="0" applyFill="1"/>
    <xf numFmtId="37" fontId="27" fillId="2" borderId="0" xfId="0" applyNumberFormat="1" applyFont="1" applyFill="1"/>
    <xf numFmtId="37" fontId="0" fillId="2" borderId="0" xfId="0" applyNumberFormat="1" applyFill="1"/>
    <xf numFmtId="0" fontId="0" fillId="14" borderId="0" xfId="0" applyFill="1"/>
    <xf numFmtId="37" fontId="27" fillId="14" borderId="0" xfId="0" applyNumberFormat="1" applyFont="1" applyFill="1"/>
    <xf numFmtId="37" fontId="34" fillId="13" borderId="0" xfId="0" applyNumberFormat="1" applyFont="1" applyFill="1"/>
    <xf numFmtId="0" fontId="0" fillId="13" borderId="0" xfId="0" applyFill="1" applyAlignment="1">
      <alignment horizontal="right"/>
    </xf>
    <xf numFmtId="37" fontId="0" fillId="14" borderId="0" xfId="0" applyNumberFormat="1" applyFill="1"/>
    <xf numFmtId="0" fontId="0" fillId="15" borderId="0" xfId="0" applyFill="1"/>
    <xf numFmtId="37" fontId="0" fillId="15" borderId="0" xfId="0" applyNumberFormat="1" applyFill="1"/>
    <xf numFmtId="0" fontId="0" fillId="16" borderId="0" xfId="0" applyFill="1"/>
    <xf numFmtId="37" fontId="0" fillId="16" borderId="0" xfId="0" applyNumberFormat="1" applyFill="1"/>
    <xf numFmtId="37" fontId="0" fillId="16" borderId="0" xfId="0" applyNumberFormat="1" applyFill="1" applyAlignment="1">
      <alignment horizontal="right"/>
    </xf>
    <xf numFmtId="0" fontId="0" fillId="16" borderId="0" xfId="0" applyFill="1" applyAlignment="1">
      <alignment horizontal="right"/>
    </xf>
    <xf numFmtId="0" fontId="0" fillId="2" borderId="0" xfId="0" applyFill="1" applyAlignment="1">
      <alignment horizontal="right"/>
    </xf>
    <xf numFmtId="0" fontId="0" fillId="17" borderId="0" xfId="0" applyFill="1"/>
    <xf numFmtId="37" fontId="0" fillId="17" borderId="0" xfId="0" applyNumberFormat="1" applyFill="1"/>
    <xf numFmtId="37" fontId="3" fillId="2" borderId="0" xfId="0" applyNumberFormat="1" applyFont="1" applyFill="1"/>
    <xf numFmtId="0" fontId="28" fillId="13" borderId="0" xfId="0" applyFont="1" applyFill="1"/>
    <xf numFmtId="37" fontId="28" fillId="13" borderId="0" xfId="0" applyNumberFormat="1" applyFont="1" applyFill="1"/>
    <xf numFmtId="0" fontId="28" fillId="13" borderId="0" xfId="0" applyFont="1" applyFill="1" applyAlignment="1">
      <alignment horizontal="left"/>
    </xf>
    <xf numFmtId="0" fontId="28" fillId="2" borderId="0" xfId="0" applyFont="1" applyFill="1"/>
    <xf numFmtId="37" fontId="48" fillId="0" borderId="18" xfId="0" applyNumberFormat="1" applyFont="1" applyBorder="1"/>
    <xf numFmtId="0" fontId="10" fillId="6" borderId="0" xfId="6" applyFont="1" applyFill="1" applyProtection="1"/>
    <xf numFmtId="37" fontId="46" fillId="0" borderId="9" xfId="13" applyNumberFormat="1" applyFont="1" applyBorder="1"/>
    <xf numFmtId="49" fontId="61" fillId="0" borderId="3" xfId="13" applyNumberFormat="1" applyBorder="1" applyAlignment="1">
      <alignment horizontal="center"/>
    </xf>
    <xf numFmtId="49" fontId="44" fillId="0" borderId="3" xfId="0" applyNumberFormat="1" applyFont="1" applyBorder="1" applyProtection="1">
      <protection locked="0"/>
    </xf>
    <xf numFmtId="37" fontId="48" fillId="0" borderId="10" xfId="0" applyNumberFormat="1" applyFont="1" applyBorder="1" applyProtection="1">
      <protection locked="0"/>
    </xf>
    <xf numFmtId="37" fontId="28" fillId="5" borderId="1" xfId="10" applyNumberFormat="1" applyFont="1" applyFill="1" applyBorder="1" applyProtection="1">
      <protection locked="0"/>
    </xf>
    <xf numFmtId="168" fontId="3" fillId="0" borderId="0" xfId="6" applyNumberFormat="1" applyFont="1" applyFill="1" applyAlignment="1" applyProtection="1">
      <alignment horizontal="left" vertical="top"/>
    </xf>
    <xf numFmtId="0" fontId="28" fillId="0" borderId="0" xfId="0" applyFont="1"/>
    <xf numFmtId="0" fontId="32" fillId="0" borderId="0" xfId="0" applyFont="1"/>
    <xf numFmtId="0" fontId="3" fillId="0" borderId="0" xfId="0" applyFont="1"/>
    <xf numFmtId="37" fontId="48" fillId="0" borderId="1" xfId="0" applyNumberFormat="1" applyFont="1" applyBorder="1"/>
    <xf numFmtId="37" fontId="0" fillId="0" borderId="1" xfId="0" applyNumberFormat="1" applyBorder="1"/>
    <xf numFmtId="37" fontId="48" fillId="4" borderId="1" xfId="0" applyNumberFormat="1" applyFont="1" applyFill="1" applyBorder="1"/>
    <xf numFmtId="10" fontId="48" fillId="4" borderId="1" xfId="0" applyNumberFormat="1" applyFont="1" applyFill="1" applyBorder="1"/>
    <xf numFmtId="37" fontId="48" fillId="0" borderId="15" xfId="0" applyNumberFormat="1" applyFont="1" applyBorder="1"/>
    <xf numFmtId="37" fontId="0" fillId="0" borderId="5" xfId="0" applyNumberFormat="1" applyBorder="1"/>
    <xf numFmtId="37" fontId="48" fillId="0" borderId="5" xfId="0" applyNumberFormat="1" applyFont="1" applyBorder="1"/>
    <xf numFmtId="37" fontId="48" fillId="4" borderId="5" xfId="0" applyNumberFormat="1" applyFont="1" applyFill="1" applyBorder="1"/>
    <xf numFmtId="37" fontId="0" fillId="4" borderId="21" xfId="0" applyNumberFormat="1" applyFill="1" applyBorder="1"/>
    <xf numFmtId="0" fontId="14" fillId="6" borderId="12" xfId="6" applyFont="1" applyFill="1" applyBorder="1" applyProtection="1"/>
    <xf numFmtId="0" fontId="14" fillId="6" borderId="7" xfId="6" applyFont="1" applyFill="1" applyBorder="1" applyProtection="1"/>
    <xf numFmtId="168" fontId="51" fillId="5" borderId="0" xfId="10" applyNumberFormat="1" applyFont="1" applyFill="1"/>
    <xf numFmtId="16" fontId="28" fillId="0" borderId="0" xfId="0" quotePrefix="1" applyNumberFormat="1" applyFont="1" applyAlignment="1">
      <alignment horizontal="right" vertical="top" wrapText="1"/>
    </xf>
    <xf numFmtId="0" fontId="0" fillId="0" borderId="0" xfId="0" quotePrefix="1" applyAlignment="1">
      <alignment horizontal="right" vertical="top"/>
    </xf>
    <xf numFmtId="168" fontId="3" fillId="0" borderId="0" xfId="6" applyNumberFormat="1" applyFont="1" applyFill="1" applyAlignment="1" applyProtection="1">
      <alignment vertical="top"/>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0" fillId="0" borderId="0" xfId="0" applyAlignment="1">
      <alignment horizontal="center"/>
    </xf>
    <xf numFmtId="0" fontId="3" fillId="0" borderId="0" xfId="0" applyFont="1" applyAlignment="1">
      <alignment horizontal="left"/>
    </xf>
    <xf numFmtId="49" fontId="0" fillId="0" borderId="3" xfId="0" applyNumberFormat="1" applyBorder="1" applyAlignment="1">
      <alignment horizontal="center"/>
    </xf>
    <xf numFmtId="0" fontId="0" fillId="0" borderId="3" xfId="0" applyBorder="1" applyAlignment="1">
      <alignment horizontal="center"/>
    </xf>
    <xf numFmtId="0" fontId="0" fillId="0" borderId="0" xfId="0" applyAlignment="1">
      <alignment horizontal="left"/>
    </xf>
    <xf numFmtId="0" fontId="0" fillId="0" borderId="0" xfId="0" applyAlignment="1">
      <alignment horizontal="left" wrapText="1"/>
    </xf>
    <xf numFmtId="0" fontId="0" fillId="0" borderId="5" xfId="0" applyBorder="1" applyAlignment="1">
      <alignment horizontal="center" wrapText="1"/>
    </xf>
    <xf numFmtId="0" fontId="0" fillId="0" borderId="10" xfId="0" applyBorder="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0" fontId="3" fillId="0" borderId="0" xfId="0" applyFont="1" applyAlignment="1">
      <alignment horizontal="center"/>
    </xf>
    <xf numFmtId="37" fontId="0" fillId="0" borderId="4" xfId="0" applyNumberFormat="1" applyBorder="1" applyAlignment="1" applyProtection="1">
      <alignment horizontal="right"/>
      <protection locked="0"/>
    </xf>
    <xf numFmtId="0" fontId="0" fillId="0" borderId="16" xfId="0" applyBorder="1" applyAlignment="1">
      <alignment horizontal="center"/>
    </xf>
    <xf numFmtId="0" fontId="0" fillId="0" borderId="17" xfId="0" applyBorder="1" applyAlignment="1">
      <alignment horizontal="center"/>
    </xf>
    <xf numFmtId="168" fontId="0" fillId="5" borderId="0" xfId="0" applyNumberFormat="1" applyFill="1" applyAlignment="1">
      <alignment horizontal="left"/>
    </xf>
    <xf numFmtId="168" fontId="0" fillId="5" borderId="14" xfId="0" applyNumberFormat="1" applyFill="1" applyBorder="1" applyAlignment="1">
      <alignment horizontal="left"/>
    </xf>
    <xf numFmtId="0" fontId="0" fillId="0" borderId="0" xfId="0" quotePrefix="1" applyAlignment="1">
      <alignment horizontal="left"/>
    </xf>
    <xf numFmtId="168" fontId="3" fillId="5" borderId="0" xfId="0" applyNumberFormat="1" applyFont="1" applyFill="1" applyAlignment="1">
      <alignment horizontal="center"/>
    </xf>
    <xf numFmtId="0" fontId="0" fillId="0" borderId="1" xfId="0" applyBorder="1" applyAlignment="1">
      <alignment horizontal="center"/>
    </xf>
    <xf numFmtId="0" fontId="28" fillId="0" borderId="9" xfId="10" applyFont="1" applyBorder="1" applyAlignment="1">
      <alignment horizontal="left"/>
    </xf>
    <xf numFmtId="0" fontId="28" fillId="0" borderId="4" xfId="10" applyFont="1" applyBorder="1" applyAlignment="1">
      <alignment horizontal="left"/>
    </xf>
    <xf numFmtId="168" fontId="28" fillId="5" borderId="0" xfId="10" applyNumberFormat="1" applyFont="1" applyFill="1" applyAlignment="1">
      <alignment horizontal="left"/>
    </xf>
    <xf numFmtId="0" fontId="28" fillId="0" borderId="3" xfId="10" applyFont="1" applyBorder="1" applyAlignment="1">
      <alignment horizontal="center"/>
    </xf>
    <xf numFmtId="0" fontId="61" fillId="0" borderId="3" xfId="13" applyBorder="1" applyAlignment="1">
      <alignment horizontal="center"/>
    </xf>
    <xf numFmtId="0" fontId="0" fillId="0" borderId="0" xfId="0" applyAlignment="1">
      <alignment horizontal="left" vertical="top" wrapText="1"/>
    </xf>
    <xf numFmtId="168" fontId="3" fillId="0" borderId="0" xfId="6" quotePrefix="1" applyNumberFormat="1" applyFont="1" applyFill="1" applyAlignment="1" applyProtection="1">
      <alignment horizontal="left" vertical="top"/>
    </xf>
    <xf numFmtId="168" fontId="0" fillId="0" borderId="10" xfId="0" applyNumberFormat="1" applyBorder="1" applyAlignment="1">
      <alignment horizontal="center" vertical="top" wrapText="1"/>
    </xf>
    <xf numFmtId="168" fontId="28" fillId="0" borderId="1" xfId="0" applyNumberFormat="1" applyFont="1" applyBorder="1" applyAlignment="1">
      <alignment horizontal="left" vertical="top" wrapText="1"/>
    </xf>
    <xf numFmtId="0" fontId="0" fillId="0" borderId="1" xfId="0" applyBorder="1" applyAlignment="1">
      <alignment vertical="top" wrapText="1"/>
    </xf>
    <xf numFmtId="168" fontId="0" fillId="0" borderId="10" xfId="0" applyNumberFormat="1" applyBorder="1" applyAlignment="1">
      <alignment horizontal="justify" vertical="top"/>
    </xf>
    <xf numFmtId="0" fontId="16" fillId="0" borderId="10" xfId="0" applyFont="1" applyBorder="1" applyAlignment="1">
      <alignment vertical="top" wrapText="1"/>
    </xf>
    <xf numFmtId="168" fontId="0" fillId="0" borderId="5" xfId="0" applyNumberFormat="1" applyBorder="1" applyAlignment="1">
      <alignment horizontal="justify" vertical="top"/>
    </xf>
    <xf numFmtId="0" fontId="16" fillId="0" borderId="5" xfId="0" applyFont="1" applyBorder="1" applyAlignment="1">
      <alignment vertical="top" wrapText="1"/>
    </xf>
    <xf numFmtId="0" fontId="0" fillId="0" borderId="1" xfId="0" applyBorder="1" applyAlignment="1">
      <alignment horizontal="center" vertical="top" wrapText="1"/>
    </xf>
    <xf numFmtId="0" fontId="0" fillId="0" borderId="1" xfId="0" applyBorder="1" applyAlignment="1">
      <alignment horizontal="justify" vertical="top"/>
    </xf>
    <xf numFmtId="0" fontId="0" fillId="0" borderId="1" xfId="0" applyBorder="1" applyAlignment="1">
      <alignment horizontal="justify" vertical="top" wrapText="1"/>
    </xf>
    <xf numFmtId="0" fontId="0" fillId="0" borderId="1" xfId="0" applyBorder="1" applyAlignment="1">
      <alignment horizontal="left" vertical="top" wrapText="1"/>
    </xf>
    <xf numFmtId="0" fontId="56" fillId="0" borderId="1" xfId="0" applyFont="1" applyBorder="1"/>
    <xf numFmtId="0" fontId="0" fillId="0" borderId="9" xfId="0" applyBorder="1" applyAlignment="1">
      <alignment horizontal="center" vertical="top" wrapText="1"/>
    </xf>
    <xf numFmtId="0" fontId="56" fillId="0" borderId="8" xfId="0" applyFont="1" applyBorder="1"/>
    <xf numFmtId="0" fontId="0" fillId="0" borderId="1" xfId="0" applyBorder="1" applyAlignment="1">
      <alignment horizontal="left" vertical="top"/>
    </xf>
    <xf numFmtId="0" fontId="0" fillId="0" borderId="1" xfId="0" applyBorder="1" applyAlignment="1">
      <alignment horizontal="left"/>
    </xf>
    <xf numFmtId="0" fontId="10" fillId="0" borderId="13" xfId="6" applyFont="1" applyFill="1" applyBorder="1" applyAlignment="1" applyProtection="1">
      <alignment horizontal="center" vertical="top"/>
    </xf>
    <xf numFmtId="0" fontId="50" fillId="0" borderId="1" xfId="0" applyFont="1" applyBorder="1" applyAlignment="1">
      <alignment horizontal="center" vertical="top" wrapText="1"/>
    </xf>
    <xf numFmtId="0" fontId="10" fillId="0" borderId="8" xfId="6" applyFont="1" applyFill="1" applyBorder="1" applyAlignment="1" applyProtection="1">
      <alignment horizontal="center" vertical="top"/>
    </xf>
    <xf numFmtId="0" fontId="10" fillId="0" borderId="0" xfId="6" applyFont="1" applyFill="1" applyAlignment="1" applyProtection="1">
      <alignment horizontal="center" vertical="top"/>
    </xf>
    <xf numFmtId="0" fontId="10" fillId="0" borderId="14" xfId="6" applyFont="1" applyFill="1" applyBorder="1" applyAlignment="1" applyProtection="1">
      <alignment horizontal="center" vertical="top"/>
    </xf>
    <xf numFmtId="0" fontId="10" fillId="0" borderId="15" xfId="6" applyFont="1" applyFill="1" applyBorder="1" applyAlignment="1" applyProtection="1">
      <alignment horizontal="center" vertical="top"/>
    </xf>
    <xf numFmtId="0" fontId="10" fillId="0" borderId="17" xfId="6" applyFont="1" applyFill="1" applyBorder="1" applyAlignment="1" applyProtection="1">
      <alignment horizontal="center" vertical="top"/>
    </xf>
    <xf numFmtId="37" fontId="48" fillId="4" borderId="15" xfId="0" applyNumberFormat="1" applyFont="1" applyFill="1" applyBorder="1"/>
    <xf numFmtId="0" fontId="51" fillId="0" borderId="0" xfId="0" applyFont="1" applyAlignment="1">
      <alignment vertical="center" wrapText="1"/>
    </xf>
    <xf numFmtId="0" fontId="51" fillId="0" borderId="0" xfId="0" applyFont="1" applyAlignment="1">
      <alignment horizontal="center" vertical="center" wrapText="1"/>
    </xf>
    <xf numFmtId="168" fontId="51" fillId="0" borderId="0" xfId="6" quotePrefix="1" applyNumberFormat="1" applyFont="1" applyFill="1" applyAlignment="1" applyProtection="1">
      <alignment vertical="top"/>
    </xf>
    <xf numFmtId="0" fontId="28" fillId="0" borderId="0" xfId="0" applyFont="1" applyAlignment="1">
      <alignment vertical="top" wrapText="1"/>
    </xf>
    <xf numFmtId="37" fontId="0" fillId="0" borderId="9" xfId="0" applyNumberFormat="1" applyBorder="1"/>
    <xf numFmtId="37" fontId="48" fillId="4" borderId="8" xfId="0" applyNumberFormat="1" applyFont="1" applyFill="1" applyBorder="1"/>
    <xf numFmtId="37" fontId="61" fillId="5" borderId="12" xfId="13" applyNumberFormat="1" applyFill="1" applyBorder="1"/>
    <xf numFmtId="49" fontId="0" fillId="0" borderId="1" xfId="0" applyNumberFormat="1" applyBorder="1" applyAlignment="1" applyProtection="1">
      <alignment horizontal="center" vertical="center" wrapText="1"/>
      <protection locked="0"/>
    </xf>
    <xf numFmtId="0" fontId="0" fillId="0" borderId="0" xfId="0" applyAlignment="1">
      <alignment horizontal="center" vertical="center"/>
    </xf>
    <xf numFmtId="0" fontId="0" fillId="18" borderId="1" xfId="0" applyFill="1" applyBorder="1" applyAlignment="1">
      <alignment vertical="top" wrapText="1"/>
    </xf>
    <xf numFmtId="9" fontId="61" fillId="0" borderId="0" xfId="13" applyNumberFormat="1"/>
    <xf numFmtId="0" fontId="0" fillId="0" borderId="1" xfId="0" applyBorder="1" applyProtection="1">
      <protection locked="0"/>
    </xf>
    <xf numFmtId="42" fontId="61" fillId="5" borderId="0" xfId="13" applyNumberFormat="1" applyFill="1"/>
    <xf numFmtId="37" fontId="61" fillId="0" borderId="1" xfId="13" applyNumberFormat="1" applyBorder="1"/>
    <xf numFmtId="0" fontId="0" fillId="0" borderId="1" xfId="0" applyBorder="1" applyAlignment="1" applyProtection="1">
      <alignment vertical="top"/>
      <protection locked="0"/>
    </xf>
    <xf numFmtId="37" fontId="0" fillId="4" borderId="1" xfId="0" applyNumberFormat="1" applyFill="1" applyBorder="1"/>
    <xf numFmtId="49" fontId="0" fillId="0" borderId="0" xfId="0" applyNumberFormat="1" applyAlignment="1">
      <alignment horizontal="center"/>
    </xf>
    <xf numFmtId="0" fontId="30" fillId="6" borderId="10" xfId="6" applyFont="1" applyFill="1" applyBorder="1" applyAlignment="1" applyProtection="1">
      <alignment horizontal="center"/>
    </xf>
    <xf numFmtId="0" fontId="30" fillId="6" borderId="15" xfId="6" applyFont="1" applyFill="1" applyBorder="1" applyAlignment="1" applyProtection="1">
      <alignment horizontal="center"/>
    </xf>
    <xf numFmtId="0" fontId="30" fillId="6" borderId="5" xfId="6" applyFont="1" applyFill="1" applyBorder="1" applyAlignment="1" applyProtection="1">
      <alignment horizontal="center"/>
    </xf>
    <xf numFmtId="168" fontId="0" fillId="5" borderId="0" xfId="10" applyNumberFormat="1" applyFont="1" applyFill="1" applyAlignment="1">
      <alignment horizontal="right"/>
    </xf>
    <xf numFmtId="0" fontId="3" fillId="0" borderId="8" xfId="12" applyNumberFormat="1" applyFont="1" applyFill="1" applyBorder="1" applyAlignment="1" applyProtection="1">
      <alignment horizontal="center" vertical="center" wrapText="1"/>
    </xf>
    <xf numFmtId="0" fontId="0" fillId="0" borderId="0" xfId="0" quotePrefix="1" applyAlignment="1">
      <alignment horizontal="left" vertical="top"/>
    </xf>
    <xf numFmtId="0" fontId="60" fillId="0" borderId="9" xfId="6" applyFont="1" applyFill="1" applyBorder="1" applyAlignment="1" applyProtection="1">
      <alignment horizontal="left"/>
    </xf>
    <xf numFmtId="37" fontId="62" fillId="0" borderId="1" xfId="0" applyNumberFormat="1" applyFont="1" applyBorder="1"/>
    <xf numFmtId="168" fontId="62" fillId="0" borderId="1" xfId="0" applyNumberFormat="1" applyFont="1" applyBorder="1" applyAlignment="1">
      <alignment horizontal="justify" vertical="top" wrapText="1"/>
    </xf>
    <xf numFmtId="168" fontId="62" fillId="0" borderId="1" xfId="0" applyNumberFormat="1" applyFont="1" applyBorder="1" applyAlignment="1">
      <alignment horizontal="justify" vertical="top"/>
    </xf>
    <xf numFmtId="168" fontId="62" fillId="0" borderId="1" xfId="0" applyNumberFormat="1" applyFont="1" applyBorder="1" applyAlignment="1">
      <alignment horizontal="left" vertical="top" wrapText="1"/>
    </xf>
    <xf numFmtId="0" fontId="62" fillId="18" borderId="1" xfId="0" applyFont="1" applyFill="1" applyBorder="1" applyAlignment="1">
      <alignment vertical="top" wrapText="1"/>
    </xf>
    <xf numFmtId="14" fontId="44" fillId="0" borderId="3" xfId="0" applyNumberFormat="1" applyFont="1" applyBorder="1" applyProtection="1">
      <protection locked="0"/>
    </xf>
    <xf numFmtId="0" fontId="0" fillId="0" borderId="0" xfId="0"/>
    <xf numFmtId="0" fontId="27" fillId="0" borderId="34" xfId="0" applyFont="1" applyBorder="1"/>
    <xf numFmtId="0" fontId="27" fillId="0" borderId="0" xfId="0" applyFont="1" applyBorder="1"/>
    <xf numFmtId="172" fontId="0" fillId="0" borderId="0" xfId="0" applyNumberFormat="1"/>
    <xf numFmtId="0" fontId="0" fillId="0" borderId="3" xfId="0" applyBorder="1"/>
    <xf numFmtId="0" fontId="0" fillId="0" borderId="7" xfId="0" applyBorder="1" applyAlignment="1">
      <alignment horizontal="center"/>
    </xf>
    <xf numFmtId="0" fontId="44" fillId="0" borderId="3" xfId="0" applyFont="1" applyBorder="1" applyProtection="1">
      <protection locked="0"/>
    </xf>
    <xf numFmtId="0" fontId="0" fillId="0" borderId="3" xfId="0" applyBorder="1" applyAlignment="1" applyProtection="1">
      <alignment horizontal="center"/>
      <protection locked="0"/>
    </xf>
    <xf numFmtId="0" fontId="44" fillId="0" borderId="0" xfId="0" applyFont="1" applyProtection="1">
      <protection locked="0"/>
    </xf>
    <xf numFmtId="0" fontId="44" fillId="4" borderId="0" xfId="0" applyFont="1" applyFill="1" applyAlignment="1">
      <alignment wrapText="1"/>
    </xf>
    <xf numFmtId="0" fontId="32" fillId="4" borderId="0" xfId="0" applyFont="1" applyFill="1" applyAlignment="1">
      <alignment horizontal="left" vertical="top" wrapText="1"/>
    </xf>
    <xf numFmtId="0" fontId="44" fillId="4" borderId="0" xfId="0" applyFont="1" applyFill="1"/>
    <xf numFmtId="0" fontId="19" fillId="4" borderId="0" xfId="0" applyFont="1" applyFill="1" applyAlignment="1">
      <alignment vertical="top" wrapText="1"/>
    </xf>
    <xf numFmtId="0" fontId="7" fillId="0" borderId="0" xfId="0" applyFont="1" applyAlignment="1">
      <alignment horizontal="center"/>
    </xf>
    <xf numFmtId="0" fontId="8" fillId="0" borderId="0" xfId="0" applyFont="1" applyAlignment="1">
      <alignment horizontal="center"/>
    </xf>
    <xf numFmtId="0" fontId="0" fillId="0" borderId="0" xfId="0"/>
    <xf numFmtId="0" fontId="32" fillId="0" borderId="0" xfId="0" applyFont="1" applyAlignment="1">
      <alignment horizontal="left" vertical="center" wrapText="1"/>
    </xf>
    <xf numFmtId="0" fontId="32" fillId="0" borderId="14" xfId="0" applyFont="1" applyBorder="1" applyAlignment="1">
      <alignment horizontal="left" vertical="center" wrapText="1"/>
    </xf>
    <xf numFmtId="0" fontId="0" fillId="0" borderId="0" xfId="0" applyAlignment="1">
      <alignment horizontal="center" wrapText="1"/>
    </xf>
    <xf numFmtId="0" fontId="0" fillId="0" borderId="7" xfId="0" applyBorder="1" applyAlignment="1">
      <alignment horizontal="center" vertical="top"/>
    </xf>
    <xf numFmtId="0" fontId="0" fillId="0" borderId="0" xfId="0" applyAlignment="1">
      <alignment horizontal="center"/>
    </xf>
    <xf numFmtId="0" fontId="32" fillId="4" borderId="0" xfId="0" applyFont="1" applyFill="1" applyAlignment="1">
      <alignment horizontal="left" vertical="center" wrapText="1"/>
    </xf>
    <xf numFmtId="0" fontId="32" fillId="4" borderId="14" xfId="0" applyFont="1" applyFill="1" applyBorder="1" applyAlignment="1">
      <alignment horizontal="left" vertical="center" wrapText="1"/>
    </xf>
    <xf numFmtId="0" fontId="3" fillId="0" borderId="0" xfId="0" applyFont="1" applyAlignment="1">
      <alignment horizontal="left"/>
    </xf>
    <xf numFmtId="37" fontId="48" fillId="4" borderId="3" xfId="0" applyNumberFormat="1" applyFont="1" applyFill="1" applyBorder="1"/>
    <xf numFmtId="0" fontId="0" fillId="0" borderId="0" xfId="0" applyAlignment="1">
      <alignment horizontal="justify" wrapText="1"/>
    </xf>
    <xf numFmtId="0" fontId="0" fillId="0" borderId="3" xfId="0" applyBorder="1" applyProtection="1">
      <protection locked="0"/>
    </xf>
    <xf numFmtId="0" fontId="0" fillId="0" borderId="0" xfId="0" applyAlignment="1">
      <alignment horizontal="center" vertical="top"/>
    </xf>
    <xf numFmtId="49" fontId="0" fillId="0" borderId="3" xfId="0" applyNumberFormat="1" applyBorder="1" applyAlignment="1">
      <alignment horizontal="center"/>
    </xf>
    <xf numFmtId="0" fontId="0" fillId="0" borderId="3" xfId="0" applyBorder="1" applyAlignment="1">
      <alignment horizontal="center"/>
    </xf>
    <xf numFmtId="49" fontId="44" fillId="4" borderId="3" xfId="0" applyNumberFormat="1" applyFont="1" applyFill="1" applyBorder="1" applyProtection="1">
      <protection locked="0"/>
    </xf>
    <xf numFmtId="49" fontId="0" fillId="4" borderId="3" xfId="0" applyNumberFormat="1" applyFill="1" applyBorder="1" applyProtection="1">
      <protection locked="0"/>
    </xf>
    <xf numFmtId="0" fontId="20" fillId="0" borderId="1" xfId="0" applyFont="1" applyBorder="1" applyAlignment="1">
      <alignment horizontal="center" wrapText="1"/>
    </xf>
    <xf numFmtId="6" fontId="20" fillId="0" borderId="1" xfId="0" applyNumberFormat="1" applyFont="1" applyBorder="1" applyAlignment="1">
      <alignment horizontal="center"/>
    </xf>
    <xf numFmtId="0" fontId="0" fillId="0" borderId="0" xfId="0" applyAlignment="1">
      <alignment horizontal="left"/>
    </xf>
    <xf numFmtId="0" fontId="3" fillId="0" borderId="0" xfId="0" applyFont="1"/>
    <xf numFmtId="10" fontId="48" fillId="4" borderId="1" xfId="0" applyNumberFormat="1" applyFont="1" applyFill="1" applyBorder="1"/>
    <xf numFmtId="10" fontId="0" fillId="4" borderId="1" xfId="0" applyNumberFormat="1" applyFill="1" applyBorder="1"/>
    <xf numFmtId="10" fontId="0" fillId="4" borderId="1" xfId="0" applyNumberFormat="1" applyFill="1" applyBorder="1" applyAlignment="1">
      <alignment horizontal="right"/>
    </xf>
    <xf numFmtId="0" fontId="0" fillId="0" borderId="10" xfId="0" applyBorder="1" applyAlignment="1">
      <alignment horizontal="center" wrapText="1"/>
    </xf>
    <xf numFmtId="0" fontId="0" fillId="0" borderId="15"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xf>
    <xf numFmtId="37" fontId="48" fillId="0" borderId="10" xfId="0" applyNumberFormat="1" applyFont="1" applyBorder="1" applyAlignment="1">
      <alignment horizontal="right"/>
    </xf>
    <xf numFmtId="37" fontId="48" fillId="0" borderId="5" xfId="0" applyNumberFormat="1" applyFont="1" applyBorder="1" applyAlignment="1">
      <alignment horizontal="right"/>
    </xf>
    <xf numFmtId="0" fontId="0" fillId="0" borderId="0" xfId="0" applyAlignment="1">
      <alignment horizontal="left" wrapText="1"/>
    </xf>
    <xf numFmtId="10" fontId="48" fillId="4" borderId="15" xfId="0" applyNumberFormat="1" applyFont="1" applyFill="1" applyBorder="1"/>
    <xf numFmtId="10" fontId="0" fillId="4" borderId="5" xfId="0" applyNumberFormat="1" applyFill="1" applyBorder="1"/>
    <xf numFmtId="0" fontId="0" fillId="0" borderId="9" xfId="9" applyFont="1" applyBorder="1" applyAlignment="1">
      <alignment horizontal="center"/>
    </xf>
    <xf numFmtId="0" fontId="0" fillId="0" borderId="8" xfId="9" applyFont="1" applyBorder="1" applyAlignment="1">
      <alignment horizontal="center"/>
    </xf>
    <xf numFmtId="0" fontId="23" fillId="0" borderId="0" xfId="0" applyFont="1" applyAlignment="1">
      <alignment horizontal="left" vertical="center" wrapText="1"/>
    </xf>
    <xf numFmtId="0" fontId="22" fillId="6" borderId="3" xfId="6" applyFont="1" applyFill="1" applyBorder="1" applyProtection="1"/>
    <xf numFmtId="37" fontId="0" fillId="9" borderId="12" xfId="0" applyNumberFormat="1" applyFill="1" applyBorder="1" applyAlignment="1">
      <alignment horizontal="center"/>
    </xf>
    <xf numFmtId="37" fontId="0" fillId="9" borderId="2" xfId="0" applyNumberFormat="1" applyFill="1" applyBorder="1" applyAlignment="1">
      <alignment horizontal="center"/>
    </xf>
    <xf numFmtId="37" fontId="0" fillId="9" borderId="1" xfId="0" applyNumberFormat="1" applyFill="1" applyBorder="1" applyAlignment="1">
      <alignment horizontal="center"/>
    </xf>
    <xf numFmtId="37" fontId="0" fillId="9" borderId="10" xfId="0" applyNumberFormat="1" applyFill="1" applyBorder="1" applyAlignment="1">
      <alignment horizontal="center"/>
    </xf>
    <xf numFmtId="37" fontId="0" fillId="9" borderId="5" xfId="0" applyNumberFormat="1" applyFill="1" applyBorder="1" applyAlignment="1">
      <alignment horizontal="center"/>
    </xf>
    <xf numFmtId="37" fontId="48" fillId="4" borderId="1" xfId="0" applyNumberFormat="1" applyFont="1" applyFill="1" applyBorder="1"/>
    <xf numFmtId="37" fontId="0" fillId="4" borderId="1" xfId="0" applyNumberFormat="1" applyFill="1" applyBorder="1"/>
    <xf numFmtId="37" fontId="0" fillId="9" borderId="15" xfId="0" applyNumberFormat="1" applyFill="1" applyBorder="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37" fontId="0" fillId="9" borderId="16" xfId="0" applyNumberFormat="1" applyFill="1" applyBorder="1" applyAlignment="1">
      <alignment horizontal="center"/>
    </xf>
    <xf numFmtId="0" fontId="0" fillId="0" borderId="4" xfId="0" applyBorder="1" applyAlignment="1">
      <alignment horizontal="center"/>
    </xf>
    <xf numFmtId="37" fontId="48" fillId="0" borderId="5" xfId="0" applyNumberFormat="1" applyFont="1" applyBorder="1"/>
    <xf numFmtId="37" fontId="0" fillId="0" borderId="1" xfId="0" applyNumberFormat="1" applyBorder="1"/>
    <xf numFmtId="0" fontId="3" fillId="0" borderId="3" xfId="0" applyFont="1" applyBorder="1" applyAlignment="1">
      <alignment horizontal="center"/>
    </xf>
    <xf numFmtId="0" fontId="3" fillId="0" borderId="0" xfId="0" applyFont="1" applyAlignment="1">
      <alignment horizontal="center"/>
    </xf>
    <xf numFmtId="49" fontId="30" fillId="6" borderId="0" xfId="6" applyNumberFormat="1" applyFont="1" applyFill="1" applyBorder="1" applyAlignment="1" applyProtection="1">
      <alignment horizontal="left" vertical="top" wrapText="1"/>
    </xf>
    <xf numFmtId="0" fontId="4" fillId="0" borderId="12" xfId="0" applyFont="1" applyBorder="1" applyAlignment="1">
      <alignment horizontal="center" wrapText="1"/>
    </xf>
    <xf numFmtId="0" fontId="4" fillId="0" borderId="7" xfId="0" applyFont="1" applyBorder="1" applyAlignment="1">
      <alignment horizontal="center" wrapText="1"/>
    </xf>
    <xf numFmtId="0" fontId="4" fillId="0" borderId="13" xfId="0" applyFont="1" applyBorder="1" applyAlignment="1">
      <alignment horizontal="center" wrapText="1"/>
    </xf>
    <xf numFmtId="0" fontId="30" fillId="6" borderId="0" xfId="6" applyFont="1" applyFill="1" applyAlignment="1" applyProtection="1">
      <alignment wrapText="1"/>
    </xf>
    <xf numFmtId="0" fontId="30" fillId="6" borderId="0" xfId="6" applyFont="1" applyFill="1" applyBorder="1" applyAlignment="1" applyProtection="1">
      <alignment wrapText="1"/>
    </xf>
    <xf numFmtId="0" fontId="30" fillId="6" borderId="0" xfId="6" applyFont="1" applyFill="1" applyAlignment="1" applyProtection="1">
      <alignment horizontal="left" vertical="top" wrapText="1"/>
    </xf>
    <xf numFmtId="37" fontId="0" fillId="0" borderId="9" xfId="0" applyNumberFormat="1" applyBorder="1" applyAlignment="1" applyProtection="1">
      <alignment horizontal="right"/>
      <protection locked="0"/>
    </xf>
    <xf numFmtId="37" fontId="0" fillId="0" borderId="4" xfId="0" applyNumberFormat="1" applyBorder="1" applyAlignment="1" applyProtection="1">
      <alignment horizontal="right"/>
      <protection locked="0"/>
    </xf>
    <xf numFmtId="37" fontId="0" fillId="0" borderId="8" xfId="0" applyNumberFormat="1" applyBorder="1" applyAlignment="1" applyProtection="1">
      <alignment horizontal="right"/>
      <protection locked="0"/>
    </xf>
    <xf numFmtId="0" fontId="4" fillId="0" borderId="2" xfId="0" applyFont="1" applyBorder="1" applyAlignment="1">
      <alignment horizontal="center" wrapText="1"/>
    </xf>
    <xf numFmtId="0" fontId="4" fillId="0" borderId="14" xfId="0" applyFont="1" applyBorder="1" applyAlignment="1">
      <alignment horizontal="center" wrapText="1"/>
    </xf>
    <xf numFmtId="49" fontId="48" fillId="4" borderId="12" xfId="0" applyNumberFormat="1" applyFont="1" applyFill="1" applyBorder="1" applyAlignment="1" applyProtection="1">
      <alignment vertical="top" wrapText="1"/>
      <protection locked="0"/>
    </xf>
    <xf numFmtId="49" fontId="0" fillId="4" borderId="7" xfId="0" applyNumberFormat="1" applyFill="1" applyBorder="1" applyAlignment="1" applyProtection="1">
      <alignment horizontal="left" vertical="top" wrapText="1"/>
      <protection locked="0"/>
    </xf>
    <xf numFmtId="49" fontId="0" fillId="4" borderId="13" xfId="0" applyNumberFormat="1" applyFill="1" applyBorder="1" applyAlignment="1" applyProtection="1">
      <alignment horizontal="left" vertical="top" wrapText="1"/>
      <protection locked="0"/>
    </xf>
    <xf numFmtId="49" fontId="0" fillId="4" borderId="16" xfId="0" applyNumberFormat="1" applyFill="1" applyBorder="1" applyAlignment="1" applyProtection="1">
      <alignment horizontal="left" vertical="top" wrapText="1"/>
      <protection locked="0"/>
    </xf>
    <xf numFmtId="49" fontId="0" fillId="4" borderId="3" xfId="0" applyNumberFormat="1" applyFill="1" applyBorder="1" applyAlignment="1" applyProtection="1">
      <alignment horizontal="left" vertical="top" wrapText="1"/>
      <protection locked="0"/>
    </xf>
    <xf numFmtId="49" fontId="0" fillId="4" borderId="14" xfId="0" applyNumberFormat="1" applyFill="1" applyBorder="1" applyAlignment="1" applyProtection="1">
      <alignment horizontal="left" vertical="top" wrapText="1"/>
      <protection locked="0"/>
    </xf>
    <xf numFmtId="37" fontId="0" fillId="0" borderId="16" xfId="0" applyNumberFormat="1" applyBorder="1" applyAlignment="1" applyProtection="1">
      <alignment horizontal="right"/>
      <protection locked="0"/>
    </xf>
    <xf numFmtId="37" fontId="0" fillId="0" borderId="3" xfId="0" applyNumberFormat="1" applyBorder="1" applyAlignment="1" applyProtection="1">
      <alignment horizontal="right"/>
      <protection locked="0"/>
    </xf>
    <xf numFmtId="37" fontId="0" fillId="0" borderId="17" xfId="0" applyNumberFormat="1" applyBorder="1" applyAlignment="1" applyProtection="1">
      <alignment horizontal="right"/>
      <protection locked="0"/>
    </xf>
    <xf numFmtId="0" fontId="4" fillId="0" borderId="16" xfId="0" applyFont="1" applyBorder="1" applyAlignment="1">
      <alignment horizontal="center" wrapText="1"/>
    </xf>
    <xf numFmtId="0" fontId="4" fillId="0" borderId="17" xfId="0" applyFont="1" applyBorder="1" applyAlignment="1">
      <alignment horizontal="center" wrapText="1"/>
    </xf>
    <xf numFmtId="37" fontId="0" fillId="0" borderId="12" xfId="0" applyNumberFormat="1" applyBorder="1" applyAlignment="1" applyProtection="1">
      <alignment horizontal="right"/>
      <protection locked="0"/>
    </xf>
    <xf numFmtId="37" fontId="0" fillId="0" borderId="7" xfId="0" applyNumberFormat="1" applyBorder="1" applyAlignment="1" applyProtection="1">
      <alignment horizontal="right"/>
      <protection locked="0"/>
    </xf>
    <xf numFmtId="37" fontId="0" fillId="0" borderId="13" xfId="0" applyNumberFormat="1" applyBorder="1" applyAlignment="1" applyProtection="1">
      <alignment horizontal="right"/>
      <protection locked="0"/>
    </xf>
    <xf numFmtId="0" fontId="4" fillId="0" borderId="0" xfId="0" applyFont="1" applyAlignment="1">
      <alignment horizontal="center" wrapText="1"/>
    </xf>
    <xf numFmtId="0" fontId="4" fillId="0" borderId="3" xfId="0" applyFont="1" applyBorder="1" applyAlignment="1">
      <alignment horizontal="center" wrapText="1"/>
    </xf>
    <xf numFmtId="37" fontId="48" fillId="0" borderId="10" xfId="0" applyNumberFormat="1" applyFont="1" applyBorder="1" applyAlignment="1">
      <alignment vertical="center"/>
    </xf>
    <xf numFmtId="37" fontId="0" fillId="0" borderId="33" xfId="0" applyNumberFormat="1" applyBorder="1" applyAlignment="1">
      <alignment horizontal="right" vertical="center"/>
    </xf>
    <xf numFmtId="0" fontId="10" fillId="6" borderId="0" xfId="6" applyFont="1" applyFill="1" applyAlignment="1" applyProtection="1">
      <alignment horizontal="left" vertical="center" wrapText="1"/>
    </xf>
    <xf numFmtId="0" fontId="10" fillId="6" borderId="0" xfId="6" applyFont="1" applyFill="1" applyBorder="1" applyAlignment="1" applyProtection="1">
      <alignment horizontal="left" vertical="center" wrapText="1"/>
    </xf>
    <xf numFmtId="37" fontId="48" fillId="0" borderId="10" xfId="0" applyNumberFormat="1" applyFont="1" applyBorder="1" applyAlignment="1" applyProtection="1">
      <alignment vertical="center"/>
      <protection locked="0"/>
    </xf>
    <xf numFmtId="37" fontId="0" fillId="0" borderId="33" xfId="0" applyNumberFormat="1" applyBorder="1" applyAlignment="1" applyProtection="1">
      <alignment horizontal="right" vertical="center"/>
      <protection locked="0"/>
    </xf>
    <xf numFmtId="37" fontId="48" fillId="4" borderId="5" xfId="0" applyNumberFormat="1" applyFont="1" applyFill="1" applyBorder="1"/>
    <xf numFmtId="37" fontId="0" fillId="4" borderId="21" xfId="0" applyNumberFormat="1" applyFill="1" applyBorder="1"/>
    <xf numFmtId="0" fontId="30" fillId="6" borderId="0" xfId="6" applyFont="1" applyFill="1" applyAlignment="1" applyProtection="1">
      <alignment horizontal="left"/>
    </xf>
    <xf numFmtId="0" fontId="0" fillId="0" borderId="0" xfId="6" applyFont="1" applyFill="1" applyBorder="1" applyAlignment="1" applyProtection="1">
      <alignment horizontal="left" wrapText="1"/>
    </xf>
    <xf numFmtId="0" fontId="30" fillId="6" borderId="0" xfId="6" applyFont="1" applyFill="1" applyAlignment="1" applyProtection="1">
      <alignment vertical="top" wrapText="1"/>
    </xf>
    <xf numFmtId="0" fontId="30" fillId="6" borderId="0" xfId="6" applyFont="1" applyFill="1" applyAlignment="1" applyProtection="1">
      <alignment horizontal="center"/>
    </xf>
    <xf numFmtId="0" fontId="30" fillId="6" borderId="0" xfId="6" applyFont="1" applyFill="1" applyBorder="1" applyAlignment="1" applyProtection="1">
      <alignment horizontal="center"/>
    </xf>
    <xf numFmtId="0" fontId="0" fillId="0" borderId="16" xfId="0" applyBorder="1" applyAlignment="1">
      <alignment horizontal="center"/>
    </xf>
    <xf numFmtId="0" fontId="0" fillId="0" borderId="17" xfId="0" applyBorder="1" applyAlignment="1">
      <alignment horizontal="center"/>
    </xf>
    <xf numFmtId="168" fontId="0" fillId="5" borderId="0" xfId="0" applyNumberFormat="1" applyFill="1" applyAlignment="1">
      <alignment horizontal="left"/>
    </xf>
    <xf numFmtId="168" fontId="0" fillId="5" borderId="14" xfId="0" applyNumberFormat="1" applyFill="1" applyBorder="1" applyAlignment="1">
      <alignment horizontal="left"/>
    </xf>
    <xf numFmtId="168" fontId="28" fillId="5" borderId="0" xfId="0" applyNumberFormat="1" applyFont="1" applyFill="1" applyAlignment="1">
      <alignment horizontal="left"/>
    </xf>
    <xf numFmtId="0" fontId="0" fillId="0" borderId="0" xfId="0" quotePrefix="1" applyAlignment="1">
      <alignment horizontal="left"/>
    </xf>
    <xf numFmtId="168" fontId="3" fillId="5" borderId="0" xfId="0" applyNumberFormat="1" applyFont="1" applyFill="1" applyAlignment="1">
      <alignment horizontal="center"/>
    </xf>
    <xf numFmtId="0" fontId="0" fillId="0" borderId="1" xfId="0" applyBorder="1" applyAlignment="1">
      <alignment horizontal="center"/>
    </xf>
    <xf numFmtId="168" fontId="28" fillId="5" borderId="14" xfId="0" applyNumberFormat="1" applyFont="1" applyFill="1" applyBorder="1" applyAlignment="1">
      <alignment horizontal="left"/>
    </xf>
    <xf numFmtId="0" fontId="28" fillId="0" borderId="9" xfId="10" applyFont="1" applyBorder="1" applyAlignment="1">
      <alignment horizontal="left"/>
    </xf>
    <xf numFmtId="0" fontId="28" fillId="0" borderId="4" xfId="10" applyFont="1" applyBorder="1" applyAlignment="1">
      <alignment horizontal="left"/>
    </xf>
    <xf numFmtId="0" fontId="28" fillId="0" borderId="8" xfId="10" applyFont="1" applyBorder="1" applyAlignment="1">
      <alignment horizontal="left"/>
    </xf>
    <xf numFmtId="168" fontId="32" fillId="0" borderId="0" xfId="10" applyNumberFormat="1" applyFont="1" applyAlignment="1">
      <alignment horizontal="center" vertical="center" wrapText="1"/>
    </xf>
    <xf numFmtId="168" fontId="32" fillId="0" borderId="0" xfId="10" quotePrefix="1" applyNumberFormat="1" applyFont="1" applyAlignment="1">
      <alignment horizontal="center" vertical="center" wrapText="1"/>
    </xf>
    <xf numFmtId="0" fontId="14" fillId="6" borderId="9" xfId="6" applyFont="1" applyFill="1" applyBorder="1" applyProtection="1"/>
    <xf numFmtId="0" fontId="14" fillId="6" borderId="4" xfId="6" applyFont="1" applyFill="1" applyBorder="1" applyProtection="1"/>
    <xf numFmtId="0" fontId="14" fillId="6" borderId="8" xfId="6" applyFont="1" applyFill="1" applyBorder="1" applyProtection="1"/>
    <xf numFmtId="168" fontId="28" fillId="5" borderId="0" xfId="10" applyNumberFormat="1" applyFont="1" applyFill="1" applyAlignment="1">
      <alignment horizontal="left"/>
    </xf>
    <xf numFmtId="0" fontId="0" fillId="0" borderId="9"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4" fillId="6" borderId="12" xfId="6" applyFont="1" applyFill="1" applyBorder="1" applyProtection="1"/>
    <xf numFmtId="0" fontId="14" fillId="6" borderId="7" xfId="6" applyFont="1" applyFill="1" applyBorder="1" applyProtection="1"/>
    <xf numFmtId="0" fontId="14" fillId="6" borderId="13" xfId="6" applyFont="1" applyFill="1" applyBorder="1" applyProtection="1"/>
    <xf numFmtId="0" fontId="14" fillId="6" borderId="16" xfId="6" applyFont="1" applyFill="1" applyBorder="1" applyProtection="1"/>
    <xf numFmtId="0" fontId="14" fillId="6" borderId="3" xfId="6" applyFont="1" applyFill="1" applyBorder="1" applyProtection="1"/>
    <xf numFmtId="0" fontId="14" fillId="6" borderId="17" xfId="6" applyFont="1" applyFill="1" applyBorder="1" applyProtection="1"/>
    <xf numFmtId="0" fontId="28" fillId="0" borderId="9" xfId="0" applyFont="1" applyBorder="1"/>
    <xf numFmtId="0" fontId="28" fillId="0" borderId="4" xfId="0" applyFont="1" applyBorder="1"/>
    <xf numFmtId="0" fontId="28" fillId="0" borderId="8" xfId="0" applyFont="1" applyBorder="1"/>
    <xf numFmtId="168" fontId="42" fillId="0" borderId="7" xfId="12" applyNumberFormat="1" applyFont="1" applyFill="1" applyBorder="1" applyAlignment="1" applyProtection="1">
      <alignment horizontal="left" vertical="top"/>
    </xf>
    <xf numFmtId="168" fontId="42" fillId="0" borderId="0" xfId="12" applyNumberFormat="1" applyFont="1" applyFill="1" applyBorder="1" applyAlignment="1" applyProtection="1">
      <alignment horizontal="left" vertical="top"/>
    </xf>
    <xf numFmtId="0" fontId="51" fillId="0" borderId="9" xfId="10" applyFont="1" applyBorder="1" applyAlignment="1">
      <alignment horizontal="center"/>
    </xf>
    <xf numFmtId="0" fontId="51" fillId="0" borderId="4" xfId="10" applyFont="1" applyBorder="1" applyAlignment="1">
      <alignment horizontal="center"/>
    </xf>
    <xf numFmtId="0" fontId="51" fillId="0" borderId="8" xfId="10" applyFont="1" applyBorder="1" applyAlignment="1">
      <alignment horizontal="center"/>
    </xf>
    <xf numFmtId="168" fontId="28" fillId="5" borderId="10" xfId="10" applyNumberFormat="1" applyFont="1" applyFill="1" applyBorder="1" applyAlignment="1">
      <alignment horizontal="center" vertical="center"/>
    </xf>
    <xf numFmtId="168" fontId="28" fillId="5" borderId="15" xfId="10" applyNumberFormat="1" applyFont="1" applyFill="1" applyBorder="1" applyAlignment="1">
      <alignment horizontal="center" vertical="center"/>
    </xf>
    <xf numFmtId="168" fontId="28" fillId="5" borderId="5" xfId="10" applyNumberFormat="1" applyFont="1" applyFill="1" applyBorder="1" applyAlignment="1">
      <alignment horizontal="center" vertical="center"/>
    </xf>
    <xf numFmtId="168" fontId="51" fillId="5" borderId="0" xfId="10" applyNumberFormat="1" applyFont="1" applyFill="1"/>
    <xf numFmtId="168" fontId="51" fillId="5" borderId="14" xfId="10" applyNumberFormat="1" applyFont="1" applyFill="1" applyBorder="1"/>
    <xf numFmtId="168" fontId="51" fillId="5" borderId="3" xfId="10" applyNumberFormat="1" applyFont="1" applyFill="1" applyBorder="1"/>
    <xf numFmtId="168" fontId="51" fillId="5" borderId="17" xfId="10" applyNumberFormat="1" applyFont="1" applyFill="1" applyBorder="1"/>
    <xf numFmtId="168" fontId="32" fillId="0" borderId="0" xfId="10" applyNumberFormat="1" applyFont="1" applyAlignment="1">
      <alignment horizontal="center" wrapText="1"/>
    </xf>
    <xf numFmtId="0" fontId="28" fillId="0" borderId="3" xfId="10" applyFont="1" applyBorder="1" applyAlignment="1">
      <alignment horizontal="center"/>
    </xf>
    <xf numFmtId="168" fontId="14" fillId="6" borderId="10" xfId="12" applyNumberFormat="1" applyFont="1" applyFill="1" applyBorder="1" applyAlignment="1" applyProtection="1">
      <alignment horizontal="center" wrapText="1"/>
    </xf>
    <xf numFmtId="168" fontId="14" fillId="6" borderId="5" xfId="12" applyNumberFormat="1" applyFont="1" applyFill="1" applyBorder="1" applyAlignment="1" applyProtection="1">
      <alignment horizontal="center" wrapText="1"/>
    </xf>
    <xf numFmtId="38" fontId="46" fillId="0" borderId="24" xfId="13" applyNumberFormat="1" applyFont="1" applyBorder="1" applyAlignment="1">
      <alignment horizontal="center" wrapText="1"/>
    </xf>
    <xf numFmtId="38" fontId="46" fillId="0" borderId="15" xfId="13" applyNumberFormat="1" applyFont="1" applyBorder="1" applyAlignment="1">
      <alignment horizontal="center" wrapText="1"/>
    </xf>
    <xf numFmtId="38" fontId="46" fillId="0" borderId="10" xfId="13" applyNumberFormat="1" applyFont="1" applyBorder="1" applyAlignment="1">
      <alignment horizontal="center" wrapText="1"/>
    </xf>
    <xf numFmtId="0" fontId="61" fillId="0" borderId="3" xfId="13" applyBorder="1" applyAlignment="1">
      <alignment horizontal="center"/>
    </xf>
    <xf numFmtId="37" fontId="46" fillId="0" borderId="22" xfId="13" applyNumberFormat="1" applyFont="1" applyBorder="1" applyAlignment="1">
      <alignment horizontal="center" wrapText="1"/>
    </xf>
    <xf numFmtId="37" fontId="46" fillId="0" borderId="25" xfId="13" applyNumberFormat="1" applyFont="1" applyBorder="1" applyAlignment="1">
      <alignment horizontal="center" wrapText="1"/>
    </xf>
    <xf numFmtId="37" fontId="46" fillId="0" borderId="27" xfId="13" applyNumberFormat="1" applyFont="1" applyBorder="1" applyAlignment="1">
      <alignment horizontal="center" wrapText="1"/>
    </xf>
    <xf numFmtId="0" fontId="0" fillId="0" borderId="12"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0" fillId="0" borderId="2" xfId="0" applyBorder="1" applyAlignment="1" applyProtection="1">
      <alignment horizontal="center" wrapText="1"/>
      <protection locked="0"/>
    </xf>
    <xf numFmtId="0" fontId="0" fillId="0" borderId="0" xfId="0" applyAlignment="1" applyProtection="1">
      <alignment horizontal="center" wrapText="1"/>
      <protection locked="0"/>
    </xf>
    <xf numFmtId="0" fontId="0" fillId="0" borderId="16" xfId="0" applyBorder="1" applyAlignment="1" applyProtection="1">
      <alignment horizontal="center" wrapText="1"/>
      <protection locked="0"/>
    </xf>
    <xf numFmtId="0" fontId="0" fillId="0" borderId="3" xfId="0" applyBorder="1" applyAlignment="1" applyProtection="1">
      <alignment horizontal="center" wrapText="1"/>
      <protection locked="0"/>
    </xf>
    <xf numFmtId="0" fontId="3" fillId="0" borderId="9" xfId="0" applyFont="1" applyBorder="1" applyAlignment="1">
      <alignment horizontal="left" wrapText="1"/>
    </xf>
    <xf numFmtId="0" fontId="3" fillId="0" borderId="4" xfId="0" applyFont="1" applyBorder="1" applyAlignment="1">
      <alignment horizontal="left" wrapText="1"/>
    </xf>
    <xf numFmtId="0" fontId="3" fillId="0" borderId="8" xfId="0" applyFont="1" applyBorder="1" applyAlignment="1">
      <alignment horizontal="left" wrapText="1"/>
    </xf>
    <xf numFmtId="0" fontId="0" fillId="0" borderId="9"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8" xfId="0" applyBorder="1" applyAlignment="1" applyProtection="1">
      <alignment horizontal="center" wrapText="1"/>
      <protection locked="0"/>
    </xf>
    <xf numFmtId="168" fontId="53" fillId="6" borderId="0" xfId="6" applyNumberFormat="1" applyFont="1" applyFill="1" applyAlignment="1" applyProtection="1">
      <alignment horizontal="left"/>
    </xf>
    <xf numFmtId="0" fontId="0" fillId="0" borderId="0" xfId="0" applyAlignment="1">
      <alignment horizontal="left" vertical="top" wrapText="1"/>
    </xf>
    <xf numFmtId="0" fontId="0" fillId="0" borderId="14" xfId="0" applyBorder="1" applyAlignment="1">
      <alignment horizontal="left" vertical="top" wrapText="1"/>
    </xf>
    <xf numFmtId="37" fontId="3" fillId="0" borderId="0" xfId="8" applyNumberFormat="1" applyFont="1" applyAlignment="1">
      <alignment horizontal="left" wrapText="1"/>
    </xf>
    <xf numFmtId="0" fontId="0" fillId="0" borderId="0" xfId="0" quotePrefix="1" applyAlignment="1">
      <alignment horizontal="right" vertical="top"/>
    </xf>
    <xf numFmtId="0" fontId="51" fillId="0" borderId="0" xfId="0" applyFont="1"/>
    <xf numFmtId="0" fontId="51" fillId="0" borderId="0" xfId="0" applyFont="1" applyAlignment="1">
      <alignment vertical="top" wrapText="1"/>
    </xf>
    <xf numFmtId="0" fontId="28" fillId="0" borderId="0" xfId="0" applyFont="1" applyAlignment="1">
      <alignment horizontal="left" vertical="top" wrapText="1"/>
    </xf>
    <xf numFmtId="0" fontId="28" fillId="0" borderId="14" xfId="0" applyFont="1" applyBorder="1" applyAlignment="1">
      <alignment horizontal="left" vertical="top" wrapText="1"/>
    </xf>
    <xf numFmtId="0" fontId="55" fillId="0" borderId="9" xfId="7" applyFont="1" applyBorder="1" applyAlignment="1">
      <alignment horizontal="center"/>
    </xf>
    <xf numFmtId="0" fontId="55" fillId="0" borderId="4" xfId="7" applyFont="1" applyBorder="1" applyAlignment="1">
      <alignment horizontal="center"/>
    </xf>
    <xf numFmtId="0" fontId="55" fillId="0" borderId="8" xfId="7" applyFont="1" applyBorder="1" applyAlignment="1">
      <alignment horizontal="center"/>
    </xf>
    <xf numFmtId="168" fontId="10" fillId="5" borderId="12" xfId="6" applyNumberFormat="1" applyFont="1" applyFill="1" applyBorder="1" applyAlignment="1" applyProtection="1">
      <alignment horizontal="center" vertical="center"/>
    </xf>
    <xf numFmtId="168" fontId="10" fillId="5" borderId="13" xfId="6" applyNumberFormat="1" applyFont="1" applyFill="1" applyBorder="1" applyAlignment="1" applyProtection="1">
      <alignment horizontal="center" vertical="center"/>
    </xf>
    <xf numFmtId="168" fontId="10" fillId="5" borderId="2" xfId="6" applyNumberFormat="1" applyFont="1" applyFill="1" applyBorder="1" applyAlignment="1" applyProtection="1">
      <alignment horizontal="center" vertical="center"/>
    </xf>
    <xf numFmtId="168" fontId="10" fillId="5" borderId="14" xfId="6" applyNumberFormat="1" applyFont="1" applyFill="1" applyBorder="1" applyAlignment="1" applyProtection="1">
      <alignment horizontal="center" vertical="center"/>
    </xf>
    <xf numFmtId="168" fontId="10" fillId="5" borderId="16" xfId="6" applyNumberFormat="1" applyFont="1" applyFill="1" applyBorder="1" applyAlignment="1" applyProtection="1">
      <alignment horizontal="center" vertical="center"/>
    </xf>
    <xf numFmtId="168" fontId="10" fillId="5" borderId="17" xfId="6" applyNumberFormat="1" applyFont="1" applyFill="1" applyBorder="1" applyAlignment="1" applyProtection="1">
      <alignment horizontal="center" vertical="center"/>
    </xf>
    <xf numFmtId="168" fontId="30" fillId="5" borderId="10" xfId="6" applyNumberFormat="1" applyFont="1" applyFill="1" applyBorder="1" applyAlignment="1" applyProtection="1">
      <alignment horizontal="center" vertical="top" wrapText="1"/>
    </xf>
    <xf numFmtId="168" fontId="30" fillId="5" borderId="5" xfId="6" applyNumberFormat="1" applyFont="1" applyFill="1" applyBorder="1" applyAlignment="1" applyProtection="1">
      <alignment horizontal="center" vertical="top" wrapText="1"/>
    </xf>
    <xf numFmtId="168" fontId="0" fillId="0" borderId="10" xfId="0" applyNumberFormat="1" applyBorder="1" applyAlignment="1">
      <alignment horizontal="center" vertical="top"/>
    </xf>
    <xf numFmtId="168" fontId="0" fillId="0" borderId="5" xfId="0" applyNumberFormat="1" applyBorder="1" applyAlignment="1">
      <alignment horizontal="center" vertical="top"/>
    </xf>
    <xf numFmtId="0" fontId="10" fillId="0" borderId="13" xfId="6" applyFont="1" applyFill="1" applyBorder="1" applyAlignment="1" applyProtection="1">
      <alignment horizontal="center" vertical="top"/>
    </xf>
    <xf numFmtId="0" fontId="10" fillId="0" borderId="17" xfId="6" applyFont="1" applyFill="1" applyBorder="1" applyAlignment="1" applyProtection="1">
      <alignment horizontal="center" vertical="top"/>
    </xf>
    <xf numFmtId="168" fontId="0" fillId="0" borderId="10" xfId="0" applyNumberFormat="1" applyBorder="1" applyAlignment="1">
      <alignment horizontal="center" vertical="top" wrapText="1"/>
    </xf>
    <xf numFmtId="168" fontId="0" fillId="0" borderId="16" xfId="0" applyNumberFormat="1" applyBorder="1" applyAlignment="1">
      <alignment horizontal="center" vertical="top" wrapText="1"/>
    </xf>
  </cellXfs>
  <cellStyles count="15">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Hyperlink 2" xfId="12" xr:uid="{00000000-0005-0000-0000-00000C000000}"/>
    <cellStyle name="Hyperlink 3" xfId="14" xr:uid="{00000000-0005-0000-0000-00000E000000}"/>
    <cellStyle name="Normal" xfId="0" builtinId="0"/>
    <cellStyle name="Normal 2" xfId="7" xr:uid="{00000000-0005-0000-0000-000007000000}"/>
    <cellStyle name="Normal 2 2" xfId="11" xr:uid="{00000000-0005-0000-0000-00000B000000}"/>
    <cellStyle name="Normal 3" xfId="8" xr:uid="{00000000-0005-0000-0000-000008000000}"/>
    <cellStyle name="Normal 4" xfId="10" xr:uid="{00000000-0005-0000-0000-00000A000000}"/>
    <cellStyle name="Normal 5" xfId="13" xr:uid="{00000000-0005-0000-0000-00000D000000}"/>
    <cellStyle name="Normal_budget03" xfId="9" xr:uid="{00000000-0005-0000-0000-000009000000}"/>
    <cellStyle name="Percent" xfId="1" xr:uid="{00000000-0005-0000-0000-000001000000}"/>
  </cellStyles>
  <dxfs count="8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5050"/>
        </patternFill>
      </fill>
    </dxf>
    <dxf>
      <fill>
        <patternFill>
          <bgColor rgb="FFFF5050"/>
        </patternFill>
      </fill>
    </dxf>
    <dxf>
      <fill>
        <patternFill patternType="solid">
          <fgColor rgb="FFFFFF00"/>
          <bgColor rgb="FF000000"/>
        </patternFill>
      </fill>
    </dxf>
    <dxf>
      <fill>
        <patternFill>
          <bgColor rgb="FFFF0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patternType="none"/>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patternType="none"/>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heetMetadata" Target="metadata.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hyperlink" Target="#Instructions!C4"/><Relationship Id="rId1" Type="http://schemas.openxmlformats.org/officeDocument/2006/relationships/hyperlink" Target="#Instructions!A1"/></Relationships>
</file>

<file path=xl/drawings/_rels/drawing10.xml.rels><?xml version="1.0" encoding="UTF-8" standalone="yes"?>
<Relationships xmlns="http://schemas.openxmlformats.org/package/2006/relationships"><Relationship Id="rId1" Type="http://schemas.openxmlformats.org/officeDocument/2006/relationships/hyperlink" Target="#School_Listing_Tab"/></Relationships>
</file>

<file path=xl/drawings/_rels/drawing11.xml.rels><?xml version="1.0" encoding="UTF-8" standalone="yes"?>
<Relationships xmlns="http://schemas.openxmlformats.org/package/2006/relationships"><Relationship Id="rId1" Type="http://schemas.openxmlformats.org/officeDocument/2006/relationships/hyperlink" Target="#Accounting_Data_Tab"/></Relationships>
</file>

<file path=xl/drawings/_rels/drawing2.xml.rels><?xml version="1.0" encoding="UTF-8" standalone="yes"?>
<Relationships xmlns="http://schemas.openxmlformats.org/package/2006/relationships"><Relationship Id="rId1" Type="http://schemas.openxmlformats.org/officeDocument/2006/relationships/hyperlink" Target="#GeneralPage1"/></Relationships>
</file>

<file path=xl/drawings/_rels/drawing3.xml.rels><?xml version="1.0" encoding="UTF-8" standalone="yes"?>
<Relationships xmlns="http://schemas.openxmlformats.org/package/2006/relationships"><Relationship Id="rId1" Type="http://schemas.openxmlformats.org/officeDocument/2006/relationships/hyperlink" Target="#ExpensesPage2"/></Relationships>
</file>

<file path=xl/drawings/_rels/drawing4.xml.rels><?xml version="1.0" encoding="UTF-8" standalone="yes"?>
<Relationships xmlns="http://schemas.openxmlformats.org/package/2006/relationships"><Relationship Id="rId1" Type="http://schemas.openxmlformats.org/officeDocument/2006/relationships/hyperlink" Target="#AuditServices"/></Relationships>
</file>

<file path=xl/drawings/_rels/drawing5.xml.rels><?xml version="1.0" encoding="UTF-8" standalone="yes"?>
<Relationships xmlns="http://schemas.openxmlformats.org/package/2006/relationships"><Relationship Id="rId1" Type="http://schemas.openxmlformats.org/officeDocument/2006/relationships/hyperlink" Target="#TotalActualGiftedExpenses"/></Relationships>
</file>

<file path=xl/drawings/_rels/drawing6.xml.rels><?xml version="1.0" encoding="UTF-8" standalone="yes"?>
<Relationships xmlns="http://schemas.openxmlformats.org/package/2006/relationships"><Relationship Id="rId1" Type="http://schemas.openxmlformats.org/officeDocument/2006/relationships/hyperlink" Target="#FederalAndStateProjectsPage9"/></Relationships>
</file>

<file path=xl/drawings/_rels/drawing7.xml.rels><?xml version="1.0" encoding="UTF-8" standalone="yes"?>
<Relationships xmlns="http://schemas.openxmlformats.org/package/2006/relationships"><Relationship Id="rId1" Type="http://schemas.openxmlformats.org/officeDocument/2006/relationships/hyperlink" Target="#GeneralPage10"/></Relationships>
</file>

<file path=xl/drawings/_rels/drawing8.xml.rels><?xml version="1.0" encoding="UTF-8" standalone="yes"?>
<Relationships xmlns="http://schemas.openxmlformats.org/package/2006/relationships"><Relationship Id="rId1" Type="http://schemas.openxmlformats.org/officeDocument/2006/relationships/hyperlink" Target="#Page10General"/></Relationships>
</file>

<file path=xl/drawings/_rels/drawing9.xml.rels><?xml version="1.0" encoding="UTF-8" standalone="yes"?>
<Relationships xmlns="http://schemas.openxmlformats.org/package/2006/relationships"><Relationship Id="rId1" Type="http://schemas.openxmlformats.org/officeDocument/2006/relationships/hyperlink" Target="#SumGen"/></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161925</xdr:rowOff>
    </xdr:from>
    <xdr:to>
      <xdr:col>2</xdr:col>
      <xdr:colOff>295275</xdr:colOff>
      <xdr:row>6</xdr:row>
      <xdr:rowOff>0</xdr:rowOff>
    </xdr:to>
    <xdr:sp macro="" textlink="">
      <xdr:nvSpPr>
        <xdr:cNvPr id="2" name="TextBox 2">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0" y="647700"/>
          <a:ext cx="1924050" cy="3810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twoCellAnchor>
    <xdr:from>
      <xdr:col>0</xdr:col>
      <xdr:colOff>0</xdr:colOff>
      <xdr:row>6</xdr:row>
      <xdr:rowOff>0</xdr:rowOff>
    </xdr:from>
    <xdr:to>
      <xdr:col>2</xdr:col>
      <xdr:colOff>285750</xdr:colOff>
      <xdr:row>9</xdr:row>
      <xdr:rowOff>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0" y="1028700"/>
          <a:ext cx="1914525" cy="619125"/>
        </a:xfrm>
        <a:prstGeom prst="rect">
          <a:avLst/>
        </a:prstGeom>
        <a:solidFill>
          <a:srgbClr val="FF0000">
            <a:alpha val="48000"/>
          </a:srgbClr>
        </a:solidFill>
        <a:ln w="9525" cmpd="sng">
          <a:solidFill>
            <a:srgbClr val="FF0000"/>
          </a:solidFill>
          <a:prstDash val="dash"/>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square" lIns="0" rIns="0" rtlCol="0" anchor="ctr"/>
        <a:lstStyle/>
        <a:p>
          <a:pPr algn="ctr"/>
          <a:r>
            <a:rPr lang="en-US" sz="900">
              <a:latin typeface="Times New Roman" pitchFamily="18" charset="0"/>
              <a:cs typeface="Times New Roman" pitchFamily="18" charset="0"/>
            </a:rPr>
            <a:t>Complete the Cover, School listing, and Accounting</a:t>
          </a:r>
          <a:r>
            <a:rPr lang="en-US" sz="900" baseline="0">
              <a:latin typeface="Times New Roman" pitchFamily="18" charset="0"/>
              <a:cs typeface="Times New Roman" pitchFamily="18" charset="0"/>
            </a:rPr>
            <a:t> data tabs first. See instructions.</a:t>
          </a:r>
          <a:endParaRPr lang="en-US" sz="900"/>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2</xdr:col>
      <xdr:colOff>714375</xdr:colOff>
      <xdr:row>0</xdr:row>
      <xdr:rowOff>0</xdr:rowOff>
    </xdr:from>
    <xdr:to>
      <xdr:col>4</xdr:col>
      <xdr:colOff>104775</xdr:colOff>
      <xdr:row>2</xdr:row>
      <xdr:rowOff>0</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D00-000003000000}"/>
            </a:ext>
          </a:extLst>
        </xdr:cNvPr>
        <xdr:cNvSpPr txBox="1"/>
      </xdr:nvSpPr>
      <xdr:spPr>
        <a:xfrm>
          <a:off x="6562725" y="0"/>
          <a:ext cx="2095500" cy="32385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1724025</xdr:colOff>
      <xdr:row>0</xdr:row>
      <xdr:rowOff>266700</xdr:rowOff>
    </xdr:to>
    <xdr:sp macro="" textlink="">
      <xdr:nvSpPr>
        <xdr:cNvPr id="156" name="TextBox 4">
          <a:hlinkClick xmlns:r="http://schemas.openxmlformats.org/officeDocument/2006/relationships" r:id="rId1"/>
          <a:extLst>
            <a:ext uri="{FF2B5EF4-FFF2-40B4-BE49-F238E27FC236}">
              <a16:creationId xmlns:a16="http://schemas.microsoft.com/office/drawing/2014/main" id="{00000000-0008-0000-1000-00009C000000}"/>
            </a:ext>
          </a:extLst>
        </xdr:cNvPr>
        <xdr:cNvSpPr txBox="1"/>
      </xdr:nvSpPr>
      <xdr:spPr>
        <a:xfrm>
          <a:off x="0" y="0"/>
          <a:ext cx="4467225" cy="2667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b="1"/>
            <a:t>Accounting</a:t>
          </a:r>
          <a:r>
            <a:rPr lang="en-US" sz="1200" b="1" baseline="0"/>
            <a:t> data tab instructions </a:t>
          </a:r>
          <a:r>
            <a:rPr lang="en-US" sz="1100" b="1" baseline="0"/>
            <a:t>can</a:t>
          </a:r>
          <a:r>
            <a:rPr lang="en-US" sz="1200" b="1" baseline="0"/>
            <a:t> be </a:t>
          </a:r>
          <a:r>
            <a:rPr lang="en-US" sz="1100" b="1" baseline="0"/>
            <a:t>found</a:t>
          </a:r>
          <a:r>
            <a:rPr lang="en-US" sz="1200" b="1" baseline="0"/>
            <a:t> on the instructions tab.</a:t>
          </a:r>
          <a:endParaRPr lang="en-US" sz="1200" b="1"/>
        </a:p>
      </xdr:txBody>
    </xdr:sp>
    <xdr:clientData fPrintsWithSheet="0"/>
  </xdr:twoCellAnchor>
  <xdr:twoCellAnchor>
    <xdr:from>
      <xdr:col>1</xdr:col>
      <xdr:colOff>1781175</xdr:colOff>
      <xdr:row>0</xdr:row>
      <xdr:rowOff>0</xdr:rowOff>
    </xdr:from>
    <xdr:to>
      <xdr:col>3</xdr:col>
      <xdr:colOff>1295400</xdr:colOff>
      <xdr:row>0</xdr:row>
      <xdr:rowOff>314325</xdr:rowOff>
    </xdr:to>
    <xdr:sp macro="" textlink="">
      <xdr:nvSpPr>
        <xdr:cNvPr id="161" name="Rectangle 1">
          <a:extLst>
            <a:ext uri="{FF2B5EF4-FFF2-40B4-BE49-F238E27FC236}">
              <a16:creationId xmlns:a16="http://schemas.microsoft.com/office/drawing/2014/main" id="{00000000-0008-0000-1000-0000A1000000}"/>
            </a:ext>
          </a:extLst>
        </xdr:cNvPr>
        <xdr:cNvSpPr/>
      </xdr:nvSpPr>
      <xdr:spPr>
        <a:xfrm>
          <a:off x="4524375" y="0"/>
          <a:ext cx="4267200" cy="314325"/>
        </a:xfrm>
        <a:prstGeom prst="rect">
          <a:avLst/>
        </a:prstGeom>
        <a:solidFill>
          <a:srgbClr val="D9D9D9"/>
        </a:solid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r>
            <a:rPr lang="en-US" sz="1100" b="1">
              <a:solidFill>
                <a:schemeClr val="tx1"/>
              </a:solidFill>
            </a:rPr>
            <a:t>Accounting data must be reported</a:t>
          </a:r>
          <a:r>
            <a:rPr lang="en-US" sz="1100" b="1" baseline="0">
              <a:solidFill>
                <a:schemeClr val="tx1"/>
              </a:solidFill>
            </a:rPr>
            <a:t> in accordance with the USFRCS. </a:t>
          </a:r>
          <a:endParaRPr lang="en-US"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0</xdr:rowOff>
    </xdr:from>
    <xdr:to>
      <xdr:col>5</xdr:col>
      <xdr:colOff>342900</xdr:colOff>
      <xdr:row>3</xdr:row>
      <xdr:rowOff>57150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3114675" y="323850"/>
          <a:ext cx="1419225" cy="21907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133350</xdr:colOff>
      <xdr:row>2</xdr:row>
      <xdr:rowOff>47625</xdr:rowOff>
    </xdr:from>
    <xdr:to>
      <xdr:col>1</xdr:col>
      <xdr:colOff>1952625</xdr:colOff>
      <xdr:row>3</xdr:row>
      <xdr:rowOff>85725</xdr:rowOff>
    </xdr:to>
    <xdr:sp macro="" textlink="">
      <xdr:nvSpPr>
        <xdr:cNvPr id="4" name="TextBox 4">
          <a:hlinkClick xmlns:r="http://schemas.openxmlformats.org/officeDocument/2006/relationships" r:id="rId1"/>
          <a:extLst>
            <a:ext uri="{FF2B5EF4-FFF2-40B4-BE49-F238E27FC236}">
              <a16:creationId xmlns:a16="http://schemas.microsoft.com/office/drawing/2014/main" id="{00000000-0008-0000-0200-000004000000}"/>
            </a:ext>
          </a:extLst>
        </xdr:cNvPr>
        <xdr:cNvSpPr txBox="1"/>
      </xdr:nvSpPr>
      <xdr:spPr>
        <a:xfrm>
          <a:off x="1323975" y="247650"/>
          <a:ext cx="1819275" cy="23812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0</xdr:colOff>
      <xdr:row>5</xdr:row>
      <xdr:rowOff>0</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600-000003000000}"/>
            </a:ext>
          </a:extLst>
        </xdr:cNvPr>
        <xdr:cNvSpPr txBox="1"/>
      </xdr:nvSpPr>
      <xdr:spPr>
        <a:xfrm>
          <a:off x="219075" y="476250"/>
          <a:ext cx="1905000" cy="16192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1</xdr:row>
      <xdr:rowOff>142875</xdr:rowOff>
    </xdr:from>
    <xdr:to>
      <xdr:col>2</xdr:col>
      <xdr:colOff>228600</xdr:colOff>
      <xdr:row>4</xdr:row>
      <xdr:rowOff>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700-000002000000}"/>
            </a:ext>
          </a:extLst>
        </xdr:cNvPr>
        <xdr:cNvSpPr txBox="1"/>
      </xdr:nvSpPr>
      <xdr:spPr>
        <a:xfrm>
          <a:off x="76200" y="304800"/>
          <a:ext cx="876300" cy="25717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1</xdr:col>
      <xdr:colOff>123825</xdr:colOff>
      <xdr:row>3</xdr:row>
      <xdr:rowOff>0</xdr:rowOff>
    </xdr:from>
    <xdr:to>
      <xdr:col>2</xdr:col>
      <xdr:colOff>495300</xdr:colOff>
      <xdr:row>4</xdr:row>
      <xdr:rowOff>123825</xdr:rowOff>
    </xdr:to>
    <xdr:sp macro="" textlink="">
      <xdr:nvSpPr>
        <xdr:cNvPr id="5" name="TextBox 1">
          <a:hlinkClick xmlns:r="http://schemas.openxmlformats.org/officeDocument/2006/relationships" r:id="rId1"/>
          <a:extLst>
            <a:ext uri="{FF2B5EF4-FFF2-40B4-BE49-F238E27FC236}">
              <a16:creationId xmlns:a16="http://schemas.microsoft.com/office/drawing/2014/main" id="{00000000-0008-0000-0800-000005000000}"/>
            </a:ext>
          </a:extLst>
        </xdr:cNvPr>
        <xdr:cNvSpPr txBox="1"/>
      </xdr:nvSpPr>
      <xdr:spPr>
        <a:xfrm>
          <a:off x="1343025" y="485775"/>
          <a:ext cx="1476375" cy="28575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876300</xdr:colOff>
      <xdr:row>4</xdr:row>
      <xdr:rowOff>0</xdr:rowOff>
    </xdr:from>
    <xdr:to>
      <xdr:col>1</xdr:col>
      <xdr:colOff>2447925</xdr:colOff>
      <xdr:row>6</xdr:row>
      <xdr:rowOff>0</xdr:rowOff>
    </xdr:to>
    <xdr:sp macro="" textlink="">
      <xdr:nvSpPr>
        <xdr:cNvPr id="2" name="TextBox 2">
          <a:hlinkClick xmlns:r="http://schemas.openxmlformats.org/officeDocument/2006/relationships" r:id="rId1"/>
          <a:extLst>
            <a:ext uri="{FF2B5EF4-FFF2-40B4-BE49-F238E27FC236}">
              <a16:creationId xmlns:a16="http://schemas.microsoft.com/office/drawing/2014/main" id="{00000000-0008-0000-0900-000002000000}"/>
            </a:ext>
          </a:extLst>
        </xdr:cNvPr>
        <xdr:cNvSpPr txBox="1"/>
      </xdr:nvSpPr>
      <xdr:spPr>
        <a:xfrm>
          <a:off x="876300" y="609600"/>
          <a:ext cx="2705100" cy="3048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0</xdr:col>
      <xdr:colOff>114300</xdr:colOff>
      <xdr:row>2</xdr:row>
      <xdr:rowOff>0</xdr:rowOff>
    </xdr:from>
    <xdr:to>
      <xdr:col>0</xdr:col>
      <xdr:colOff>2647950</xdr:colOff>
      <xdr:row>3</xdr:row>
      <xdr:rowOff>28575</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A00-000003000000}"/>
            </a:ext>
          </a:extLst>
        </xdr:cNvPr>
        <xdr:cNvSpPr txBox="1"/>
      </xdr:nvSpPr>
      <xdr:spPr>
        <a:xfrm>
          <a:off x="114300" y="323850"/>
          <a:ext cx="2533650" cy="1905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114300</xdr:colOff>
      <xdr:row>3</xdr:row>
      <xdr:rowOff>28575</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B00-000003000000}"/>
            </a:ext>
          </a:extLst>
        </xdr:cNvPr>
        <xdr:cNvSpPr txBox="1"/>
      </xdr:nvSpPr>
      <xdr:spPr>
        <a:xfrm>
          <a:off x="0" y="323850"/>
          <a:ext cx="2295525" cy="1905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SFORMS/afr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ereyno5/ASU%20Dropbox/ASU%20Prep/ASU%20Prep%20Business%20Office/FY24%20FBO/AFRs/SPhx%20ES/afr24-food%20servic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SFORMS/budget24%20-%20SPhx%20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SFORMS/afr23%20-%20SPhx%20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kereyno5/ASU%20Dropbox/ASU%20Prep/ASU%20Prep%20Business%20Office/FY24%20FBO/AFRs/SPhx%20ES/budget24%20SPhx%20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ge 1"/>
      <sheetName val="Page 2"/>
      <sheetName val="Page 3"/>
      <sheetName val="Page 4"/>
      <sheetName val="Page 5"/>
      <sheetName val="Page 6"/>
      <sheetName val="Page 7"/>
      <sheetName val="Page 8"/>
      <sheetName val="Page 9"/>
      <sheetName val="Page 10"/>
      <sheetName val="Summary"/>
      <sheetName val="Reserve balance"/>
      <sheetName val="Alerts"/>
      <sheetName val="School listing"/>
      <sheetName val="Instructions"/>
      <sheetName val="Accounting data"/>
      <sheetName val="Calculations"/>
      <sheetName val="afr23"/>
    </sheetNames>
    <sheetDataSet>
      <sheetData sheetId="0">
        <row r="1">
          <cell r="D1" t="str">
            <v>Freedom Academy, Inc</v>
          </cell>
        </row>
      </sheetData>
      <sheetData sheetId="1"/>
      <sheetData sheetId="2">
        <row r="6">
          <cell r="J6">
            <v>0</v>
          </cell>
        </row>
        <row r="22">
          <cell r="I22"/>
          <cell r="J22">
            <v>0</v>
          </cell>
        </row>
        <row r="34">
          <cell r="I34">
            <v>0</v>
          </cell>
          <cell r="J34">
            <v>0</v>
          </cell>
        </row>
        <row r="35">
          <cell r="I35">
            <v>0</v>
          </cell>
          <cell r="J35">
            <v>0</v>
          </cell>
        </row>
        <row r="37">
          <cell r="I37">
            <v>0</v>
          </cell>
          <cell r="J37">
            <v>0</v>
          </cell>
        </row>
        <row r="42">
          <cell r="I42">
            <v>0</v>
          </cell>
          <cell r="J42">
            <v>0</v>
          </cell>
        </row>
        <row r="43">
          <cell r="I43">
            <v>0</v>
          </cell>
          <cell r="J43">
            <v>0</v>
          </cell>
        </row>
        <row r="45">
          <cell r="I45">
            <v>0</v>
          </cell>
          <cell r="J45">
            <v>0</v>
          </cell>
        </row>
      </sheetData>
      <sheetData sheetId="3">
        <row r="30">
          <cell r="F30">
            <v>0</v>
          </cell>
        </row>
      </sheetData>
      <sheetData sheetId="4">
        <row r="19">
          <cell r="F19">
            <v>0</v>
          </cell>
        </row>
      </sheetData>
      <sheetData sheetId="5">
        <row r="26">
          <cell r="O26">
            <v>0</v>
          </cell>
        </row>
      </sheetData>
      <sheetData sheetId="6">
        <row r="6">
          <cell r="F6"/>
        </row>
      </sheetData>
      <sheetData sheetId="7"/>
      <sheetData sheetId="8">
        <row r="6">
          <cell r="M6">
            <v>0</v>
          </cell>
        </row>
      </sheetData>
      <sheetData sheetId="9"/>
      <sheetData sheetId="10"/>
      <sheetData sheetId="11">
        <row r="17">
          <cell r="K17">
            <v>0</v>
          </cell>
        </row>
      </sheetData>
      <sheetData sheetId="12"/>
      <sheetData sheetId="13"/>
      <sheetData sheetId="14">
        <row r="10">
          <cell r="F10">
            <v>300</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od Service AFR"/>
      <sheetName val="Instructions"/>
    </sheetNames>
    <sheetDataSet>
      <sheetData sheetId="0">
        <row r="7">
          <cell r="E7">
            <v>2681</v>
          </cell>
        </row>
        <row r="10">
          <cell r="E10">
            <v>63627</v>
          </cell>
        </row>
        <row r="11">
          <cell r="E11">
            <v>4982</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harter Contacts"/>
      <sheetName val="Page 1"/>
      <sheetName val="Page 2"/>
      <sheetName val="Page 3"/>
      <sheetName val="Page 4"/>
      <sheetName val="Budget Summary"/>
      <sheetName val="Data Entry"/>
      <sheetName val="Calculations"/>
      <sheetName val="BSA55"/>
      <sheetName val="Instructions"/>
      <sheetName val="budget24 - SPhx ES"/>
    </sheetNames>
    <definedNames>
      <definedName name="_CSP1000" refersTo="='Page 3'!$K$8"/>
      <definedName name="_CSP2100" refersTo="='Page 3'!$K$9"/>
      <definedName name="_CSP2200" refersTo="='Page 3'!$K$10"/>
      <definedName name="_CSP2300" refersTo="='Page 3'!$K$11"/>
      <definedName name="_CSP3300" refersTo="='Page 3'!$K$12"/>
      <definedName name="CA0181IntangibleAssets" refersTo="='Page 2'!$E$40"/>
      <definedName name="CA0191Land" refersTo="='Page 2'!$E$41"/>
      <definedName name="CA0192SiteImprovements" refersTo="='Page 2'!$E$42"/>
      <definedName name="CA0194Buildings" refersTo="='Page 2'!$E$43"/>
      <definedName name="CA0196Equipment" refersTo="='Page 2'!$E$44"/>
      <definedName name="CA0198CIP" refersTo="='Page 2'!$E$45"/>
      <definedName name="CIP1072P265F1000" refersTo="='Page 4'!$N$30"/>
      <definedName name="CIP1072P265F2100" refersTo="='Page 4'!$N$32"/>
      <definedName name="CIP1072P265F2200" refersTo="='Page 4'!$N$33"/>
      <definedName name="CIP1072P265F2300" refersTo="='Page 4'!$N$34"/>
      <definedName name="CIP1072P265F2400" refersTo="='Page 4'!$N$35"/>
      <definedName name="CIP1072P265F2500" refersTo="='Page 4'!$N$36"/>
      <definedName name="CIP1072P265F2600" refersTo="='Page 4'!$N$37"/>
      <definedName name="CIP1072P265F2900" refersTo="='Page 4'!$N$38"/>
      <definedName name="CIP1072P435F2700" refersTo="='Page 4'!$N$42"/>
      <definedName name="FP11001130TitleI" refersTo="='Page 2'!$E$5"/>
      <definedName name="FP11401150TitleII" refersTo="='Page 2'!$E$6"/>
      <definedName name="FP1160TitleIV" refersTo="='Page 2'!$E$7"/>
      <definedName name="FP11701180TitleV" refersTo="='Page 2'!$E$8"/>
      <definedName name="FP1190TitleIII" refersTo="='Page 2'!$E$9"/>
      <definedName name="FP1200TitleVII" refersTo="='Page 2'!$E$10"/>
      <definedName name="FP1210TitleVI" refersTo="='Page 2'!$E$11"/>
      <definedName name="FP1220IDEA" refersTo="='Page 2'!$E$12"/>
      <definedName name="FP1230Johnson" refersTo="='Page 2'!$E$13"/>
      <definedName name="FP1240WIA" refersTo="='Page 2'!$E$14"/>
      <definedName name="FP1250AEA" refersTo="='Page 2'!$E$15"/>
      <definedName name="FP12601270VocEd" refersTo="='Page 2'!$E$16"/>
      <definedName name="FP1280TitleX" refersTo="='Page 2'!$E$17"/>
      <definedName name="FP1290Medicaid" refersTo="='Page 2'!$E$18"/>
      <definedName name="FP13__ImpactAid" refersTo="='Page 2'!$E$20"/>
      <definedName name="FP1300Charter" refersTo="='Page 2'!$E$19"/>
      <definedName name="FP13101399Other" refersTo="='Page 2'!$E$21"/>
      <definedName name="FP1420ExtendedSchool" refersTo="='Page 2'!$E$26"/>
      <definedName name="IIPClassSizeReduction" refersTo="='Page 2'!$N$22"/>
      <definedName name="IIPDropoutPreventionPrograms" refersTo="='Page 2'!$N$23"/>
      <definedName name="IIPInstructionalImprovementPrograms" refersTo="='Page 2'!$N$24"/>
      <definedName name="IIPTeacherCompensationIncreases" refersTo="='Page 2'!$N$21"/>
      <definedName name="P200CareerEducation" refersTo="='Page 2'!$N$11"/>
      <definedName name="P200ELLCompensatoryInstruction" refersTo="='Page 2'!$N$8"/>
      <definedName name="P200ELLIncrementalCosts" refersTo="='Page 2'!$N$7"/>
      <definedName name="P200GiftedEducation" refersTo="='Page 2'!$N$6"/>
      <definedName name="P200RemedialEducation" refersTo="='Page 2'!$N$9"/>
      <definedName name="P200VocationalandTechnologicalEd" refersTo="='Page 2'!$N$10"/>
      <definedName name="SEIP1071P260F1000" refersTo="='Page 4'!$N$9"/>
      <definedName name="SEIP1071P260F2100" refersTo="='Page 4'!$N$11"/>
      <definedName name="SEIP1071P260F2200" refersTo="='Page 4'!$N$12"/>
      <definedName name="SEIP1071P260F2300" refersTo="='Page 4'!$N$13"/>
      <definedName name="SEIP1071P260F2400" refersTo="='Page 4'!$N$14"/>
      <definedName name="SEIP1071P260F2500" refersTo="='Page 4'!$N$15"/>
      <definedName name="SEIP1071P260F2600" refersTo="='Page 4'!$N$16"/>
      <definedName name="SEIP1071P260F2900" refersTo="='Page 4'!$N$17"/>
      <definedName name="SEIP1071P430F2700" refersTo="='Page 4'!$N$21"/>
      <definedName name="SP1000ClassSiteProj" refersTo="='Page 1'!$L$44"/>
      <definedName name="SP1000CompInstrProj" refersTo="='Page 1'!$L$47"/>
      <definedName name="SP1000FedStProj" refersTo="='Page 1'!$L$48"/>
      <definedName name="SP1000InstrImpProj" refersTo="='Page 1'!$L$45"/>
      <definedName name="SP1000P100F1000" refersTo="='Page 1'!$L$8"/>
      <definedName name="SP1000P100F2100" refersTo="='Page 1'!$L$10"/>
      <definedName name="SP1000P100F2200" refersTo="='Page 1'!$L$11"/>
      <definedName name="SP1000P100F2300" refersTo="='Page 1'!$L$12"/>
      <definedName name="SP1000P100F2400" refersTo="='Page 1'!$L$13"/>
      <definedName name="SP1000P100F2500" refersTo="='Page 1'!$L$14"/>
      <definedName name="SP1000P100F2600" refersTo="='Page 1'!$L$15"/>
      <definedName name="SP1000P100F2900" refersTo="='Page 1'!$L$16"/>
      <definedName name="SP1000P100F3000" refersTo="='Page 1'!$L$17"/>
      <definedName name="SP1000P100F4000" refersTo="='Page 1'!$L$18"/>
      <definedName name="SP1000P100F5000" refersTo="='Page 1'!$L$19"/>
      <definedName name="SP1000P200F1000" refersTo="='Page 1'!$L$25"/>
      <definedName name="SP1000P200F2100" refersTo="='Page 1'!$L$27"/>
      <definedName name="SP1000P200F2200" refersTo="='Page 1'!$L$28"/>
      <definedName name="SP1000P200F2300" refersTo="='Page 1'!$L$29"/>
      <definedName name="SP1000P200F2400" refersTo="='Page 1'!$L$30"/>
      <definedName name="SP1000P200F2500" refersTo="='Page 1'!$L$31"/>
      <definedName name="SP1000P200F2600" refersTo="='Page 1'!$L$32"/>
      <definedName name="SP1000P200F2900" refersTo="='Page 1'!$L$33"/>
      <definedName name="SP1000P200F3000" refersTo="='Page 1'!$L$34"/>
      <definedName name="SP1000P200F4000" refersTo="='Page 1'!$L$35"/>
      <definedName name="SP1000P200F5000" refersTo="='Page 1'!$L$36"/>
      <definedName name="SP1000P400" refersTo="='Page 1'!$L$39"/>
      <definedName name="SP1000P530" refersTo="='Page 1'!$L$40"/>
      <definedName name="SP1000P540" refersTo="='Page 1'!$L$41"/>
      <definedName name="SP1000P550" refersTo="='Page 1'!$L$42"/>
      <definedName name="SP1000P610" refersTo="='Page 1'!$L$20"/>
      <definedName name="SP1000P620" refersTo="='Page 1'!$L$21"/>
      <definedName name="SP1000P630700800900" refersTo="='Page 1'!$L$22"/>
      <definedName name="SP1000StruEngImmProj" refersTo="='Page 1'!$L$46"/>
      <definedName name="SP1400VocEd" refersTo="='Page 2'!$E$24"/>
      <definedName name="SP1410EarlyChildhoodBlockGrant" refersTo="='Page 2'!$E$25"/>
      <definedName name="SP1425AdultBasicEd" refersTo="='Page 2'!$E$27"/>
      <definedName name="SP1430ChemicalAbuse" refersTo="='Page 2'!$E$28"/>
      <definedName name="SP1435AcademicContests" refersTo="='Page 2'!$E$29"/>
      <definedName name="SP1450GiftedEd" refersTo="='Page 2'!$E$30"/>
      <definedName name="SP1460EnvironmentalSpecialPlate" refersTo="='Page 2'!$E$32"/>
      <definedName name="SP1465CharterSchool" refersTo="='Page 2'!$E$33"/>
      <definedName name="SP14701499Other" refersTo="='Page 2'!$E$35"/>
    </definedNames>
    <sheetDataSet>
      <sheetData sheetId="0"/>
      <sheetData sheetId="1"/>
      <sheetData sheetId="2">
        <row r="8">
          <cell r="L8">
            <v>341258</v>
          </cell>
        </row>
        <row r="10">
          <cell r="L10">
            <v>40393</v>
          </cell>
        </row>
        <row r="11">
          <cell r="L11">
            <v>7391</v>
          </cell>
        </row>
        <row r="12">
          <cell r="L12">
            <v>6289</v>
          </cell>
        </row>
        <row r="13">
          <cell r="L13">
            <v>147214</v>
          </cell>
        </row>
        <row r="14">
          <cell r="L14">
            <v>159193</v>
          </cell>
        </row>
        <row r="15">
          <cell r="L15">
            <v>229423</v>
          </cell>
        </row>
        <row r="16">
          <cell r="L16">
            <v>12482</v>
          </cell>
        </row>
        <row r="17">
          <cell r="L17">
            <v>59901</v>
          </cell>
        </row>
        <row r="18">
          <cell r="L18">
            <v>0</v>
          </cell>
        </row>
        <row r="19">
          <cell r="L19">
            <v>0</v>
          </cell>
        </row>
        <row r="20">
          <cell r="L20">
            <v>0</v>
          </cell>
        </row>
        <row r="21">
          <cell r="L21">
            <v>0</v>
          </cell>
        </row>
        <row r="22">
          <cell r="L22">
            <v>0</v>
          </cell>
        </row>
        <row r="25">
          <cell r="L25">
            <v>40358</v>
          </cell>
        </row>
        <row r="27">
          <cell r="L27">
            <v>9746</v>
          </cell>
        </row>
        <row r="28">
          <cell r="L28">
            <v>0</v>
          </cell>
        </row>
        <row r="29">
          <cell r="L29">
            <v>0</v>
          </cell>
        </row>
        <row r="30">
          <cell r="L30">
            <v>0</v>
          </cell>
        </row>
        <row r="31">
          <cell r="L31">
            <v>0</v>
          </cell>
        </row>
        <row r="32">
          <cell r="L32">
            <v>0</v>
          </cell>
        </row>
        <row r="33">
          <cell r="L33">
            <v>0</v>
          </cell>
        </row>
        <row r="34">
          <cell r="L34">
            <v>0</v>
          </cell>
        </row>
        <row r="35">
          <cell r="L35">
            <v>0</v>
          </cell>
        </row>
        <row r="36">
          <cell r="L36">
            <v>0</v>
          </cell>
        </row>
        <row r="39">
          <cell r="L39">
            <v>16071</v>
          </cell>
        </row>
        <row r="40">
          <cell r="L40">
            <v>0</v>
          </cell>
        </row>
        <row r="41">
          <cell r="L41">
            <v>0</v>
          </cell>
        </row>
        <row r="42">
          <cell r="L42">
            <v>9826</v>
          </cell>
        </row>
        <row r="44">
          <cell r="L44">
            <v>41789</v>
          </cell>
        </row>
        <row r="45">
          <cell r="L45">
            <v>2200</v>
          </cell>
        </row>
        <row r="46">
          <cell r="L46">
            <v>0</v>
          </cell>
        </row>
        <row r="47">
          <cell r="L47">
            <v>0</v>
          </cell>
        </row>
        <row r="48">
          <cell r="L48">
            <v>561882</v>
          </cell>
        </row>
      </sheetData>
      <sheetData sheetId="3">
        <row r="5">
          <cell r="E5">
            <v>75584</v>
          </cell>
          <cell r="N5">
            <v>50104</v>
          </cell>
        </row>
        <row r="6">
          <cell r="E6">
            <v>3193</v>
          </cell>
          <cell r="N6"/>
        </row>
        <row r="7">
          <cell r="E7">
            <v>10000</v>
          </cell>
          <cell r="N7"/>
        </row>
        <row r="8">
          <cell r="E8"/>
          <cell r="N8"/>
        </row>
        <row r="9">
          <cell r="E9"/>
          <cell r="N9"/>
        </row>
        <row r="10">
          <cell r="E10"/>
          <cell r="N10"/>
        </row>
        <row r="11">
          <cell r="E11"/>
          <cell r="N11"/>
        </row>
        <row r="12">
          <cell r="E12">
            <v>14144</v>
          </cell>
        </row>
        <row r="13">
          <cell r="E13"/>
        </row>
        <row r="14">
          <cell r="E14"/>
          <cell r="N14"/>
        </row>
        <row r="15">
          <cell r="E15"/>
        </row>
        <row r="16">
          <cell r="E16"/>
        </row>
        <row r="17">
          <cell r="E17"/>
        </row>
        <row r="18">
          <cell r="E18"/>
        </row>
        <row r="19">
          <cell r="E19"/>
        </row>
        <row r="20">
          <cell r="E20"/>
        </row>
        <row r="21">
          <cell r="E21">
            <v>458961</v>
          </cell>
          <cell r="N21"/>
        </row>
        <row r="22">
          <cell r="N22"/>
        </row>
        <row r="23">
          <cell r="N23"/>
        </row>
        <row r="24">
          <cell r="E24"/>
          <cell r="N24">
            <v>2200</v>
          </cell>
        </row>
        <row r="25">
          <cell r="E25"/>
        </row>
        <row r="26">
          <cell r="E26"/>
        </row>
        <row r="27">
          <cell r="E27"/>
        </row>
        <row r="28">
          <cell r="E28"/>
        </row>
        <row r="29">
          <cell r="E29"/>
        </row>
        <row r="30">
          <cell r="E30"/>
        </row>
        <row r="31">
          <cell r="E31"/>
        </row>
        <row r="32">
          <cell r="E32"/>
        </row>
        <row r="33">
          <cell r="E33"/>
        </row>
        <row r="34">
          <cell r="E34"/>
        </row>
        <row r="35">
          <cell r="E35"/>
        </row>
        <row r="40">
          <cell r="E40"/>
        </row>
        <row r="41">
          <cell r="E41"/>
        </row>
        <row r="42">
          <cell r="E42"/>
        </row>
        <row r="43">
          <cell r="E43"/>
        </row>
        <row r="44">
          <cell r="E44"/>
        </row>
        <row r="45">
          <cell r="E45"/>
        </row>
      </sheetData>
      <sheetData sheetId="4">
        <row r="8">
          <cell r="K8">
            <v>41789</v>
          </cell>
        </row>
        <row r="9">
          <cell r="K9">
            <v>0</v>
          </cell>
        </row>
        <row r="10">
          <cell r="K10">
            <v>0</v>
          </cell>
        </row>
        <row r="11">
          <cell r="K11">
            <v>0</v>
          </cell>
        </row>
        <row r="12">
          <cell r="K12">
            <v>0</v>
          </cell>
        </row>
        <row r="17">
          <cell r="F17"/>
        </row>
        <row r="18">
          <cell r="F18"/>
        </row>
        <row r="19">
          <cell r="F19"/>
        </row>
      </sheetData>
      <sheetData sheetId="5">
        <row r="9">
          <cell r="N9">
            <v>0</v>
          </cell>
        </row>
        <row r="11">
          <cell r="N11">
            <v>0</v>
          </cell>
        </row>
        <row r="12">
          <cell r="N12">
            <v>0</v>
          </cell>
        </row>
        <row r="13">
          <cell r="N13">
            <v>0</v>
          </cell>
        </row>
        <row r="14">
          <cell r="N14">
            <v>0</v>
          </cell>
        </row>
        <row r="15">
          <cell r="N15">
            <v>0</v>
          </cell>
        </row>
        <row r="16">
          <cell r="N16">
            <v>0</v>
          </cell>
        </row>
        <row r="17">
          <cell r="N17">
            <v>0</v>
          </cell>
        </row>
        <row r="21">
          <cell r="N21">
            <v>0</v>
          </cell>
        </row>
        <row r="30">
          <cell r="N30">
            <v>0</v>
          </cell>
        </row>
        <row r="32">
          <cell r="N32">
            <v>0</v>
          </cell>
        </row>
        <row r="33">
          <cell r="N33">
            <v>0</v>
          </cell>
        </row>
        <row r="34">
          <cell r="N34">
            <v>0</v>
          </cell>
        </row>
        <row r="35">
          <cell r="N35">
            <v>0</v>
          </cell>
        </row>
        <row r="36">
          <cell r="N36">
            <v>0</v>
          </cell>
        </row>
        <row r="37">
          <cell r="N37">
            <v>0</v>
          </cell>
        </row>
        <row r="38">
          <cell r="N38">
            <v>0</v>
          </cell>
        </row>
        <row r="42">
          <cell r="N42">
            <v>0</v>
          </cell>
        </row>
      </sheetData>
      <sheetData sheetId="6"/>
      <sheetData sheetId="7"/>
      <sheetData sheetId="8"/>
      <sheetData sheetId="9"/>
      <sheetData sheetId="10"/>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ge 1"/>
      <sheetName val="Page 2"/>
      <sheetName val="Page 3"/>
      <sheetName val="Page 4"/>
      <sheetName val="Page 5"/>
      <sheetName val="Page 6"/>
      <sheetName val="Page 7"/>
      <sheetName val="Page 8"/>
      <sheetName val="Page 9"/>
      <sheetName val="Page 10"/>
      <sheetName val="Summary"/>
      <sheetName val="Reserve balance"/>
      <sheetName val="Alerts"/>
      <sheetName val="School listing"/>
      <sheetName val="Instructions"/>
      <sheetName val="Accounting data"/>
      <sheetName val="Calculations"/>
      <sheetName val="afr23 - SPhx ES"/>
    </sheetNames>
    <definedNames>
      <definedName name="AddlInstrImprProjEndBal" refersTo="='Page 4'!$F$19"/>
      <definedName name="CashBal" refersTo="='Page 6'!$F$6"/>
      <definedName name="CIP1072EndBal" refersTo="='Page 5'!$O$48"/>
      <definedName name="FP11001130EndBal" refersTo="='Page 8'!$M$6"/>
      <definedName name="FP11401150EndBal" refersTo="='Page 8'!$M$7"/>
      <definedName name="FP1160EndBal" refersTo="='Page 8'!$M$8"/>
      <definedName name="FP11701180EndBal" refersTo="='Page 8'!$M$9"/>
      <definedName name="FP1190EndBal" refersTo="='Page 8'!$M$10"/>
      <definedName name="FP1200EndBal" refersTo="='Page 8'!$M$11"/>
      <definedName name="FP1210EndBal" refersTo="='Page 8'!$M$12"/>
      <definedName name="FP1220EndBal" refersTo="='Page 8'!$M$13"/>
      <definedName name="FP1230EndBal" refersTo="='Page 8'!$M$14"/>
      <definedName name="FP1240EndBal" refersTo="='Page 8'!$M$15"/>
      <definedName name="FP1250EndBal" refersTo="='Page 8'!$M$16"/>
      <definedName name="FP1260EndBal" refersTo="='Page 8'!$M$17"/>
      <definedName name="FP1280EndBal" refersTo="='Page 8'!$M$18"/>
      <definedName name="FP1290EndBal" refersTo="='Page 8'!$M$19"/>
      <definedName name="FP1300EndBal" refersTo="='Page 8'!$M$20"/>
      <definedName name="FP13101399EndBal" refersTo="='Page 8'!$M$22"/>
      <definedName name="SEIP1071EndBal" refersTo="='Page 5'!$O$26"/>
      <definedName name="SP1000ClassSiteProj" refersTo="='Page 2'!$J$43"/>
      <definedName name="SP1000CompInstrProj" refersTo="='Page 2'!$J$46"/>
      <definedName name="SP1000FedStProj" refersTo="='Page 2'!$J$47"/>
      <definedName name="SP1000InstrImpProj" refersTo="='Page 2'!$J$44"/>
      <definedName name="SP1000P100F1000" refersTo="='Page 2'!$J$6"/>
      <definedName name="SP1000P100F2100" refersTo="='Page 2'!$J$8"/>
      <definedName name="SP1000P100F2200" refersTo="='Page 2'!$J$10"/>
      <definedName name="SP1000P100F2300" refersTo="='Page 2'!$J$11"/>
      <definedName name="SP1000P100F2400" refersTo="='Page 2'!$J$12"/>
      <definedName name="SP1000P100F2500" refersTo="='Page 2'!$J$13"/>
      <definedName name="SP1000P100F2600" refersTo="='Page 2'!$J$14"/>
      <definedName name="SP1000P100F2900" refersTo="='Page 2'!$J$15"/>
      <definedName name="SP1000P100F3000" refersTo="='Page 2'!$J$16"/>
      <definedName name="SP1000P100F4000" refersTo="='Page 2'!$J$17"/>
      <definedName name="SP1000P100F5000" refersTo="='Page 2'!$J$18"/>
      <definedName name="SP1000P200F1000" refersTo="='Page 2'!$J$24"/>
      <definedName name="SP1000P200F2100" refersTo="='Page 2'!$J$26"/>
      <definedName name="SP1000P200F2200" refersTo="='Page 2'!$J$28"/>
      <definedName name="SP1000P200F2300" refersTo="='Page 2'!$J$29"/>
      <definedName name="SP1000P200F2400" refersTo="='Page 2'!$J$30"/>
      <definedName name="SP1000P200F2500" refersTo="='Page 2'!$J$31"/>
      <definedName name="SP1000P200F2600" refersTo="='Page 2'!$J$32"/>
      <definedName name="SP1000P200F2900" refersTo="='Page 2'!$J$33"/>
      <definedName name="SP1000P200F3000" refersTo="='Page 2'!$J$34"/>
      <definedName name="SP1000P200F4000" refersTo="='Page 2'!$J$35"/>
      <definedName name="SP1000P200F5000" refersTo="='Page 2'!$J$36"/>
      <definedName name="SP1000P400" refersTo="='Page 2'!$J$38"/>
      <definedName name="SP1000P530" refersTo="='Page 2'!$J$39"/>
      <definedName name="SP1000P540" refersTo="='Page 2'!$J$40"/>
      <definedName name="SP1000P550" refersTo="='Page 2'!$J$41"/>
      <definedName name="SP1000P610" refersTo="='Page 2'!$J$19"/>
      <definedName name="SP1000P620" refersTo="='Page 2'!$J$20"/>
      <definedName name="SP1000P630700800900" refersTo="='Page 2'!$J$22"/>
      <definedName name="SP1000StruEngImmProj" refersTo="='Page 2'!$J$45"/>
      <definedName name="StP1400EndBal" refersTo="='Page 8'!$M$28"/>
      <definedName name="StP1410EndBal" refersTo="='Page 8'!$M$29"/>
      <definedName name="StP1420EndBal" refersTo="='Page 8'!$M$30"/>
      <definedName name="StP1425EndBal" refersTo="='Page 8'!$M$31"/>
      <definedName name="StP1430EndBal" refersTo="='Page 8'!$M$32"/>
      <definedName name="StP1435EndBal" refersTo="='Page 8'!$M$33"/>
      <definedName name="StP1450EndBal" refersTo="='Page 8'!$M$34"/>
      <definedName name="StP1460EndBal" refersTo="='Page 8'!$M$37"/>
      <definedName name="StP1465EndBal" refersTo="='Page 8'!$M$38"/>
      <definedName name="StP14701499EndBal" refersTo="='Page 8'!$M$40"/>
      <definedName name="StP14XXEndBal" refersTo="='Page 8'!$M$39"/>
    </definedNames>
    <sheetDataSet>
      <sheetData sheetId="0"/>
      <sheetData sheetId="1"/>
      <sheetData sheetId="2">
        <row r="6">
          <cell r="J6">
            <v>217104</v>
          </cell>
        </row>
        <row r="8">
          <cell r="J8">
            <v>46862</v>
          </cell>
        </row>
        <row r="10">
          <cell r="J10">
            <v>6788</v>
          </cell>
        </row>
        <row r="11">
          <cell r="J11">
            <v>5885</v>
          </cell>
        </row>
        <row r="12">
          <cell r="J12">
            <v>137673</v>
          </cell>
        </row>
        <row r="13">
          <cell r="J13">
            <v>152242</v>
          </cell>
        </row>
        <row r="14">
          <cell r="J14">
            <v>243605</v>
          </cell>
        </row>
        <row r="15">
          <cell r="J15">
            <v>0</v>
          </cell>
        </row>
        <row r="16">
          <cell r="J16">
            <v>57443</v>
          </cell>
        </row>
        <row r="17">
          <cell r="J17">
            <v>0</v>
          </cell>
        </row>
        <row r="18">
          <cell r="J18">
            <v>0</v>
          </cell>
        </row>
        <row r="19">
          <cell r="J19">
            <v>20</v>
          </cell>
        </row>
        <row r="20">
          <cell r="J20">
            <v>0</v>
          </cell>
        </row>
        <row r="21">
          <cell r="J21">
            <v>0</v>
          </cell>
        </row>
        <row r="22">
          <cell r="J22">
            <v>0</v>
          </cell>
        </row>
        <row r="24">
          <cell r="J24">
            <v>27874</v>
          </cell>
        </row>
        <row r="26">
          <cell r="J26">
            <v>25164</v>
          </cell>
        </row>
        <row r="28">
          <cell r="J28">
            <v>1626</v>
          </cell>
        </row>
        <row r="29">
          <cell r="J29">
            <v>0</v>
          </cell>
        </row>
        <row r="30">
          <cell r="J30">
            <v>19</v>
          </cell>
        </row>
        <row r="31">
          <cell r="J31">
            <v>184</v>
          </cell>
        </row>
        <row r="32">
          <cell r="J32">
            <v>0</v>
          </cell>
        </row>
        <row r="33">
          <cell r="J33">
            <v>0</v>
          </cell>
        </row>
        <row r="34">
          <cell r="J34">
            <v>0</v>
          </cell>
        </row>
        <row r="35">
          <cell r="J35">
            <v>0</v>
          </cell>
        </row>
        <row r="36">
          <cell r="J36">
            <v>0</v>
          </cell>
        </row>
        <row r="38">
          <cell r="J38">
            <v>18546</v>
          </cell>
        </row>
        <row r="39">
          <cell r="J39">
            <v>0</v>
          </cell>
        </row>
        <row r="40">
          <cell r="J40">
            <v>0</v>
          </cell>
        </row>
        <row r="41">
          <cell r="J41">
            <v>10325</v>
          </cell>
        </row>
        <row r="43">
          <cell r="J43">
            <v>43825</v>
          </cell>
        </row>
        <row r="44">
          <cell r="J44">
            <v>4262</v>
          </cell>
        </row>
        <row r="45">
          <cell r="J45">
            <v>0</v>
          </cell>
        </row>
        <row r="46">
          <cell r="J46">
            <v>0</v>
          </cell>
        </row>
        <row r="47">
          <cell r="J47">
            <v>551816</v>
          </cell>
        </row>
      </sheetData>
      <sheetData sheetId="3"/>
      <sheetData sheetId="4">
        <row r="19">
          <cell r="F19">
            <v>0</v>
          </cell>
        </row>
      </sheetData>
      <sheetData sheetId="5">
        <row r="26">
          <cell r="O26">
            <v>0</v>
          </cell>
        </row>
        <row r="48">
          <cell r="O48">
            <v>0</v>
          </cell>
        </row>
      </sheetData>
      <sheetData sheetId="6">
        <row r="6">
          <cell r="F6">
            <v>-319497</v>
          </cell>
        </row>
        <row r="29">
          <cell r="T29">
            <v>52956</v>
          </cell>
        </row>
      </sheetData>
      <sheetData sheetId="7"/>
      <sheetData sheetId="8">
        <row r="6">
          <cell r="M6">
            <v>3813</v>
          </cell>
        </row>
        <row r="7">
          <cell r="M7">
            <v>0</v>
          </cell>
        </row>
        <row r="8">
          <cell r="M8">
            <v>0</v>
          </cell>
        </row>
        <row r="9">
          <cell r="M9">
            <v>0</v>
          </cell>
        </row>
        <row r="10">
          <cell r="M10">
            <v>147</v>
          </cell>
        </row>
        <row r="11">
          <cell r="M11">
            <v>0</v>
          </cell>
        </row>
        <row r="12">
          <cell r="M12">
            <v>0</v>
          </cell>
        </row>
        <row r="13">
          <cell r="M13">
            <v>-752</v>
          </cell>
        </row>
        <row r="14">
          <cell r="M14">
            <v>0</v>
          </cell>
        </row>
        <row r="15">
          <cell r="M15">
            <v>0</v>
          </cell>
        </row>
        <row r="16">
          <cell r="M16">
            <v>0</v>
          </cell>
        </row>
        <row r="17">
          <cell r="M17">
            <v>0</v>
          </cell>
        </row>
        <row r="18">
          <cell r="M18">
            <v>0</v>
          </cell>
        </row>
        <row r="19">
          <cell r="M19">
            <v>0</v>
          </cell>
        </row>
        <row r="20">
          <cell r="M20">
            <v>0</v>
          </cell>
        </row>
        <row r="21">
          <cell r="M21">
            <v>-14341</v>
          </cell>
        </row>
        <row r="22">
          <cell r="M22">
            <v>87227</v>
          </cell>
        </row>
        <row r="25">
          <cell r="M25">
            <v>41647</v>
          </cell>
        </row>
        <row r="28">
          <cell r="M28">
            <v>0</v>
          </cell>
        </row>
        <row r="29">
          <cell r="M29">
            <v>0</v>
          </cell>
        </row>
        <row r="30">
          <cell r="M30">
            <v>0</v>
          </cell>
        </row>
        <row r="31">
          <cell r="M31">
            <v>0</v>
          </cell>
        </row>
        <row r="32">
          <cell r="M32">
            <v>0</v>
          </cell>
        </row>
        <row r="33">
          <cell r="M33">
            <v>0</v>
          </cell>
        </row>
        <row r="34">
          <cell r="M34">
            <v>0</v>
          </cell>
        </row>
        <row r="35">
          <cell r="M35">
            <v>0</v>
          </cell>
        </row>
        <row r="36">
          <cell r="M36">
            <v>0</v>
          </cell>
        </row>
        <row r="37">
          <cell r="M37">
            <v>0</v>
          </cell>
        </row>
        <row r="38">
          <cell r="M38">
            <v>0</v>
          </cell>
        </row>
        <row r="39">
          <cell r="M39">
            <v>0</v>
          </cell>
        </row>
        <row r="40">
          <cell r="M40">
            <v>0</v>
          </cell>
        </row>
      </sheetData>
      <sheetData sheetId="9"/>
      <sheetData sheetId="10"/>
      <sheetData sheetId="11">
        <row r="5">
          <cell r="J5">
            <v>47.5929</v>
          </cell>
        </row>
        <row r="17">
          <cell r="K17">
            <v>-2757593</v>
          </cell>
        </row>
      </sheetData>
      <sheetData sheetId="12"/>
      <sheetData sheetId="13"/>
      <sheetData sheetId="14"/>
      <sheetData sheetId="15"/>
      <sheetData sheetId="16"/>
      <sheetData sheetId="17"/>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harter Contacts"/>
      <sheetName val="Page 1"/>
      <sheetName val="Page 2"/>
      <sheetName val="Page 3"/>
      <sheetName val="Page 4"/>
      <sheetName val="Budget Summary"/>
      <sheetName val="Data Entry"/>
      <sheetName val="Calculations"/>
      <sheetName val="BSA55"/>
      <sheetName val="Instructions"/>
      <sheetName val="budget24 SPhx ES"/>
    </sheetNames>
    <definedNames>
      <definedName name="SP1000Total" refersTo="='Page 1'!$L$43"/>
    </definedNames>
    <sheetDataSet>
      <sheetData sheetId="0"/>
      <sheetData sheetId="1"/>
      <sheetData sheetId="2">
        <row r="43">
          <cell r="L43">
            <v>1079545</v>
          </cell>
        </row>
      </sheetData>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jrogier@asu.edu"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CS%20FINAL%20FILES%20FROM%20ADE/BegFundBalances"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azed.gov/titlei/sample-page/rural-low-income-schools-rlis/" TargetMode="External"/><Relationship Id="rId7" Type="http://schemas.openxmlformats.org/officeDocument/2006/relationships/printerSettings" Target="../printerSettings/printerSettings16.bin"/><Relationship Id="rId2" Type="http://schemas.openxmlformats.org/officeDocument/2006/relationships/hyperlink" Target="https://www.azed.gov/21stcclc/federal-and-state-regulations/" TargetMode="External"/><Relationship Id="rId1" Type="http://schemas.openxmlformats.org/officeDocument/2006/relationships/hyperlink" Target="https://www.azed.gov/titleiv-a/" TargetMode="External"/><Relationship Id="rId6" Type="http://schemas.openxmlformats.org/officeDocument/2006/relationships/hyperlink" Target="https://www.azauditor.gov/District_charter_ADE_COVID-19_spending_special_report_FY_2022" TargetMode="External"/><Relationship Id="rId5" Type="http://schemas.openxmlformats.org/officeDocument/2006/relationships/hyperlink" Target="https://www.azed.gov/grants-management/contact/" TargetMode="External"/><Relationship Id="rId4" Type="http://schemas.openxmlformats.org/officeDocument/2006/relationships/hyperlink" Target="https://www.azed.gov/titlei/reap/"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CS%20FINAL%20FILES%20FROM%20ADE/Program_200_Budget_and_Program_200_Actual_column_totals_should_equal_line_27_on_page_2." TargetMode="External"/><Relationship Id="rId1" Type="http://schemas.openxmlformats.org/officeDocument/2006/relationships/hyperlink" Target="../CS%20FINAL%20FILES%20FROM%20ADE/Program_200_Budget_and_Program_200_Actual_column_totals_should_equal_line_27_on_page_2." TargetMode="External"/><Relationship Id="rId4"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EE37A-9784-4E92-A38B-92FC1796372E}">
  <sheetPr>
    <pageSetUpPr fitToPage="1"/>
  </sheetPr>
  <dimension ref="A1:AB36"/>
  <sheetViews>
    <sheetView showGridLines="0" tabSelected="1" zoomScaleNormal="100" workbookViewId="0">
      <selection activeCell="Z20" sqref="Z20"/>
    </sheetView>
  </sheetViews>
  <sheetFormatPr defaultColWidth="9.33203125" defaultRowHeight="12.75" x14ac:dyDescent="0.2"/>
  <cols>
    <col min="1" max="1" width="22.1640625" customWidth="1"/>
    <col min="2" max="2" width="6.33203125" customWidth="1"/>
    <col min="3" max="3" width="5.33203125" customWidth="1"/>
    <col min="4" max="4" width="9.33203125" customWidth="1"/>
    <col min="5" max="5" width="6.33203125" customWidth="1"/>
    <col min="6" max="6" width="13" customWidth="1"/>
    <col min="7" max="7" width="7.83203125" customWidth="1"/>
    <col min="8" max="8" width="3.33203125" customWidth="1"/>
    <col min="9" max="9" width="13" customWidth="1"/>
    <col min="10" max="12" width="9.33203125" customWidth="1"/>
    <col min="13" max="13" width="11" customWidth="1"/>
    <col min="14" max="14" width="20" customWidth="1"/>
    <col min="15" max="15" width="17.33203125" customWidth="1"/>
    <col min="16" max="16" width="7" customWidth="1"/>
    <col min="17" max="17" width="3.33203125" customWidth="1"/>
    <col min="18" max="18" width="16" customWidth="1"/>
    <col min="19" max="26" width="9.33203125" customWidth="1"/>
    <col min="27" max="27" width="18" customWidth="1"/>
    <col min="28" max="28" width="11.83203125" customWidth="1"/>
    <col min="29" max="29" width="9.33203125" customWidth="1"/>
  </cols>
  <sheetData>
    <row r="1" spans="1:28" ht="12.75" customHeight="1" x14ac:dyDescent="0.25">
      <c r="A1" s="716" t="s">
        <v>0</v>
      </c>
      <c r="B1" s="716"/>
      <c r="C1" s="716"/>
      <c r="D1" s="701" t="s">
        <v>1244</v>
      </c>
      <c r="E1" s="700"/>
      <c r="F1" s="700"/>
      <c r="G1" s="700"/>
      <c r="H1" s="700"/>
      <c r="I1" s="700"/>
      <c r="L1" s="623" t="s">
        <v>1</v>
      </c>
      <c r="M1" s="699" t="s">
        <v>1245</v>
      </c>
      <c r="N1" s="700"/>
      <c r="Q1" s="57" t="s">
        <v>2</v>
      </c>
      <c r="R1" s="589" t="s">
        <v>1246</v>
      </c>
      <c r="AA1" s="595" t="s">
        <v>3</v>
      </c>
      <c r="AB1" s="103">
        <v>45519</v>
      </c>
    </row>
    <row r="2" spans="1:28" ht="12.75" customHeight="1" x14ac:dyDescent="0.2">
      <c r="A2" s="104"/>
      <c r="B2" s="104"/>
      <c r="C2" s="104"/>
      <c r="D2" s="698" t="s">
        <v>4</v>
      </c>
      <c r="E2" s="698"/>
      <c r="F2" s="698"/>
      <c r="G2" s="698"/>
      <c r="H2" s="698"/>
      <c r="I2" s="698"/>
      <c r="L2" s="704" t="str">
        <f>IF('Page 2'!J48=0,"",IF(OR(Alerts!A2&lt;&gt;"",Alerts!A3&lt;&gt;"",Alerts!A4&lt;&gt;"",Alerts!A5&lt;&gt;"",Alerts!A6&lt;&gt;"",Alerts!A7&lt;&gt;"",Alerts!A8&lt;&gt;"",Alerts!A9&lt;&gt;"",Alerts!A10&lt;&gt;"",Alerts!A11&lt;&gt;"",Alerts!A12&lt;&gt;"",Alerts!A13&lt;&gt;"",Alerts!A14&lt;&gt;"",Alerts!A15&lt;&gt;""),"ALERT: The following item(s) need to be addressed before the AFR is submitted. See the Alerts Tab for more detailed information, including guidance on how to resolve the alerts.",""))</f>
        <v/>
      </c>
      <c r="M2" s="705"/>
      <c r="N2" s="705"/>
      <c r="O2" s="705"/>
      <c r="P2" s="705"/>
      <c r="Q2" s="705"/>
      <c r="R2" s="705"/>
    </row>
    <row r="3" spans="1:28" ht="12.75" customHeight="1" x14ac:dyDescent="0.25">
      <c r="A3" s="104"/>
      <c r="B3" s="104"/>
      <c r="C3" s="104"/>
      <c r="D3" s="701"/>
      <c r="E3" s="700"/>
      <c r="F3" s="700"/>
      <c r="G3" s="700"/>
      <c r="H3" s="700"/>
      <c r="I3" s="700"/>
      <c r="L3" s="705"/>
      <c r="M3" s="705"/>
      <c r="N3" s="705"/>
      <c r="O3" s="705"/>
      <c r="P3" s="705"/>
      <c r="Q3" s="705"/>
      <c r="R3" s="705"/>
    </row>
    <row r="4" spans="1:28" ht="12.75" customHeight="1" x14ac:dyDescent="0.2">
      <c r="A4" s="104"/>
      <c r="B4" s="104"/>
      <c r="C4" s="104"/>
      <c r="D4" s="698" t="s">
        <v>5</v>
      </c>
      <c r="E4" s="698"/>
      <c r="F4" s="698"/>
      <c r="G4" s="698"/>
      <c r="H4" s="698"/>
      <c r="I4" s="698"/>
      <c r="L4" s="702" t="str">
        <f>IF(L2="","",CONCATENATE(Alerts!B3,CHAR(10),Alerts!B4,CHAR(10),Alerts!B5,CHAR(10),Alerts!B6,CHAR(10),Alerts!B7,CHAR(10),Alerts!B8,CHAR(10),Alerts!B9,CHAR(10),Alerts!B10,CHAR(10),Alerts!B11,CHAR(10),Alerts!B12,CHAR(10),Alerts!B13,CHAR(10),Alerts!B14,CHAR(10),Alerts!B15,CHAR(10),Alerts!B16))</f>
        <v/>
      </c>
      <c r="M4" s="703"/>
      <c r="N4" s="703"/>
      <c r="O4" s="703"/>
      <c r="P4" s="703"/>
      <c r="Q4" s="703"/>
      <c r="R4" s="703"/>
    </row>
    <row r="5" spans="1:28" ht="12.75" customHeight="1" x14ac:dyDescent="0.2">
      <c r="A5" s="104"/>
      <c r="B5" s="104"/>
      <c r="C5" s="104"/>
      <c r="L5" s="703"/>
      <c r="M5" s="703"/>
      <c r="N5" s="703"/>
      <c r="O5" s="703"/>
      <c r="P5" s="703"/>
      <c r="Q5" s="703"/>
      <c r="R5" s="703"/>
    </row>
    <row r="6" spans="1:28" ht="18.75" x14ac:dyDescent="0.3">
      <c r="A6" s="65"/>
      <c r="B6" s="706" t="s">
        <v>1173</v>
      </c>
      <c r="C6" s="706"/>
      <c r="D6" s="706"/>
      <c r="E6" s="706"/>
      <c r="F6" s="706"/>
      <c r="G6" s="706"/>
      <c r="H6" s="706"/>
      <c r="I6" s="706"/>
      <c r="J6" s="79"/>
      <c r="L6" s="703"/>
      <c r="M6" s="703"/>
      <c r="N6" s="703"/>
      <c r="O6" s="703"/>
      <c r="P6" s="703"/>
      <c r="Q6" s="703"/>
      <c r="R6" s="703"/>
    </row>
    <row r="7" spans="1:28" ht="18" customHeight="1" x14ac:dyDescent="0.3">
      <c r="A7" s="65"/>
      <c r="B7" s="706" t="s">
        <v>6</v>
      </c>
      <c r="C7" s="706"/>
      <c r="D7" s="706"/>
      <c r="E7" s="706"/>
      <c r="F7" s="706"/>
      <c r="G7" s="706"/>
      <c r="H7" s="706"/>
      <c r="I7" s="706"/>
      <c r="J7" s="75"/>
      <c r="L7" s="703"/>
      <c r="M7" s="703"/>
      <c r="N7" s="703"/>
      <c r="O7" s="703"/>
      <c r="P7" s="703"/>
      <c r="Q7" s="703"/>
      <c r="R7" s="703"/>
    </row>
    <row r="8" spans="1:28" ht="18" customHeight="1" x14ac:dyDescent="0.25">
      <c r="A8" s="65"/>
      <c r="B8" s="707" t="s">
        <v>7</v>
      </c>
      <c r="C8" s="707"/>
      <c r="D8" s="707"/>
      <c r="E8" s="707"/>
      <c r="F8" s="707"/>
      <c r="G8" s="707"/>
      <c r="H8" s="707"/>
      <c r="I8" s="707"/>
      <c r="J8" s="79"/>
      <c r="L8" s="703"/>
      <c r="M8" s="703"/>
      <c r="N8" s="703"/>
      <c r="O8" s="703"/>
      <c r="P8" s="703"/>
      <c r="Q8" s="703"/>
      <c r="R8" s="703"/>
    </row>
    <row r="9" spans="1:28" ht="12.75" customHeight="1" x14ac:dyDescent="0.2">
      <c r="C9" s="105"/>
      <c r="D9" s="105"/>
      <c r="E9" s="105"/>
      <c r="F9" s="105"/>
      <c r="G9" s="105"/>
      <c r="H9" s="105"/>
      <c r="I9" s="105"/>
      <c r="J9" s="106"/>
      <c r="L9" s="703"/>
      <c r="M9" s="703"/>
      <c r="N9" s="703"/>
      <c r="O9" s="703"/>
      <c r="P9" s="702"/>
      <c r="Q9" s="703"/>
      <c r="R9" s="703"/>
    </row>
    <row r="10" spans="1:28" ht="26.25" customHeight="1" x14ac:dyDescent="0.25">
      <c r="A10" s="22"/>
      <c r="B10" s="709" t="str">
        <f>IF('Page 2'!N9="","","Checking the box to the left certifies the Charter did not incur any expenses for student support services, as defined in the USFRCS and reported on Page 2, Line 2, during the fiscal year.")</f>
        <v/>
      </c>
      <c r="C10" s="709"/>
      <c r="D10" s="709"/>
      <c r="E10" s="709"/>
      <c r="F10" s="709"/>
      <c r="G10" s="709"/>
      <c r="H10" s="709"/>
      <c r="I10" s="709"/>
      <c r="J10" s="710"/>
      <c r="L10" s="703"/>
      <c r="M10" s="703"/>
      <c r="N10" s="703"/>
      <c r="O10" s="703"/>
      <c r="P10" s="703"/>
      <c r="Q10" s="703"/>
      <c r="R10" s="703"/>
    </row>
    <row r="11" spans="1:28" x14ac:dyDescent="0.2">
      <c r="A11" s="107"/>
      <c r="B11" s="105"/>
      <c r="C11" s="105"/>
      <c r="D11" s="105"/>
      <c r="E11" s="105"/>
      <c r="F11" s="105"/>
      <c r="G11" s="105"/>
      <c r="H11" s="105"/>
      <c r="I11" s="105"/>
      <c r="J11" s="106"/>
      <c r="L11" s="703"/>
      <c r="M11" s="703"/>
      <c r="N11" s="703"/>
      <c r="O11" s="703"/>
      <c r="P11" s="703"/>
      <c r="Q11" s="703"/>
      <c r="R11" s="703"/>
    </row>
    <row r="12" spans="1:28" ht="25.5" customHeight="1" x14ac:dyDescent="0.25">
      <c r="A12" s="22"/>
      <c r="B12" s="709" t="str">
        <f>IF('Page 2'!N10="","","Checking the box to the left certifies the Charter did not incur any expenses for instructional support services, as defined in the USFRCS and reported on Page 2, Line 3, during the fiscal year.")</f>
        <v/>
      </c>
      <c r="C12" s="709"/>
      <c r="D12" s="709"/>
      <c r="E12" s="709"/>
      <c r="F12" s="709"/>
      <c r="G12" s="709"/>
      <c r="H12" s="709"/>
      <c r="I12" s="709"/>
      <c r="J12" s="710"/>
      <c r="K12" s="62"/>
      <c r="L12" s="703"/>
      <c r="M12" s="703"/>
      <c r="N12" s="703"/>
      <c r="O12" s="703"/>
      <c r="P12" s="703"/>
      <c r="Q12" s="703"/>
      <c r="R12" s="703"/>
    </row>
    <row r="13" spans="1:28" x14ac:dyDescent="0.2">
      <c r="A13" s="107"/>
      <c r="C13" s="105"/>
      <c r="D13" s="105"/>
      <c r="E13" s="105"/>
      <c r="F13" s="105"/>
      <c r="G13" s="105"/>
      <c r="H13" s="105"/>
      <c r="I13" s="105"/>
      <c r="J13" s="106"/>
      <c r="L13" s="703"/>
      <c r="M13" s="703"/>
      <c r="N13" s="703"/>
      <c r="O13" s="703"/>
      <c r="P13" s="703"/>
      <c r="Q13" s="703"/>
      <c r="R13" s="703"/>
    </row>
    <row r="14" spans="1:28" ht="25.5" customHeight="1" x14ac:dyDescent="0.25">
      <c r="A14" s="22"/>
      <c r="B14" s="714" t="str">
        <f>IF('Page 3'!M12="","","Checking the box to the left certifies the Charter did not incur any expenses for Classroom Site Project, as reported on Page 3, during the fiscal year.")</f>
        <v/>
      </c>
      <c r="C14" s="714"/>
      <c r="D14" s="714"/>
      <c r="E14" s="714"/>
      <c r="F14" s="714"/>
      <c r="G14" s="714"/>
      <c r="H14" s="714"/>
      <c r="I14" s="714"/>
      <c r="J14" s="715"/>
      <c r="L14" s="703"/>
      <c r="M14" s="703"/>
      <c r="N14" s="703"/>
      <c r="O14" s="703"/>
      <c r="P14" s="703"/>
      <c r="Q14" s="703"/>
      <c r="R14" s="703"/>
    </row>
    <row r="15" spans="1:28" x14ac:dyDescent="0.2">
      <c r="A15" s="107"/>
      <c r="C15" s="105"/>
      <c r="D15" s="105"/>
      <c r="E15" s="105"/>
      <c r="F15" s="105"/>
      <c r="G15" s="105"/>
      <c r="H15" s="105"/>
      <c r="I15" s="105"/>
      <c r="J15" s="106"/>
      <c r="L15" s="703"/>
      <c r="M15" s="703"/>
      <c r="N15" s="703"/>
      <c r="O15" s="703"/>
      <c r="P15" s="703"/>
      <c r="Q15" s="703"/>
      <c r="R15" s="703"/>
    </row>
    <row r="16" spans="1:28" ht="39.75" customHeight="1" x14ac:dyDescent="0.25">
      <c r="A16" s="22"/>
      <c r="B16" s="709" t="str">
        <f>IF('Page 6'!H33="","","Checking the box to the left certifies the Charter did not incur any current expenses for student support services, as defined in the USFRCS and reported on Page 6-Section E-Line 4, during the fiscal year.")</f>
        <v/>
      </c>
      <c r="C16" s="709"/>
      <c r="D16" s="709"/>
      <c r="E16" s="709"/>
      <c r="F16" s="709"/>
      <c r="G16" s="709"/>
      <c r="H16" s="709"/>
      <c r="I16" s="709"/>
      <c r="J16" s="710"/>
      <c r="L16" s="703"/>
      <c r="M16" s="703"/>
      <c r="N16" s="703"/>
      <c r="O16" s="703"/>
      <c r="P16" s="703"/>
      <c r="Q16" s="703"/>
      <c r="R16" s="703"/>
    </row>
    <row r="17" spans="1:26" x14ac:dyDescent="0.2">
      <c r="A17" s="107"/>
      <c r="C17" s="105"/>
      <c r="D17" s="105"/>
      <c r="E17" s="105"/>
      <c r="F17" s="105"/>
      <c r="G17" s="105"/>
      <c r="H17" s="105"/>
      <c r="I17" s="105"/>
      <c r="J17" s="106"/>
      <c r="L17" s="703"/>
      <c r="M17" s="703"/>
      <c r="N17" s="703"/>
      <c r="O17" s="703"/>
      <c r="P17" s="703"/>
      <c r="Q17" s="703"/>
      <c r="R17" s="703"/>
    </row>
    <row r="18" spans="1:26" ht="48" customHeight="1" x14ac:dyDescent="0.25">
      <c r="A18" s="22"/>
      <c r="B18" s="709" t="str">
        <f>IF('Page 4'!K10="","","Checking the box to the left certifies the Charter did not incur any expenses for Instructional Improvement Project, as defined in the USFRCS and reported on Page 4, Line 5, during the fiscal year.")</f>
        <v/>
      </c>
      <c r="C18" s="709"/>
      <c r="D18" s="709"/>
      <c r="E18" s="709"/>
      <c r="F18" s="709"/>
      <c r="G18" s="709"/>
      <c r="H18" s="709"/>
      <c r="I18" s="709"/>
      <c r="J18" s="710"/>
      <c r="L18" s="703"/>
      <c r="M18" s="703"/>
      <c r="N18" s="703"/>
      <c r="O18" s="703"/>
      <c r="P18" s="703"/>
      <c r="Q18" s="703"/>
      <c r="R18" s="703"/>
      <c r="S18" s="613"/>
      <c r="T18" s="613"/>
    </row>
    <row r="19" spans="1:26" ht="12.75" customHeight="1" thickBot="1" x14ac:dyDescent="0.25">
      <c r="B19" s="711" t="s">
        <v>1174</v>
      </c>
      <c r="C19" s="711"/>
      <c r="D19" s="711"/>
      <c r="E19" s="711"/>
      <c r="F19" s="711"/>
      <c r="G19" s="711"/>
      <c r="H19" s="711"/>
      <c r="I19" s="711"/>
      <c r="J19" s="79"/>
      <c r="L19" s="708" t="s">
        <v>1175</v>
      </c>
      <c r="M19" s="708"/>
      <c r="N19" s="708"/>
      <c r="O19" s="708"/>
      <c r="P19" s="708"/>
      <c r="Q19" s="708"/>
      <c r="R19" s="708"/>
      <c r="S19" s="613"/>
      <c r="T19" s="613"/>
    </row>
    <row r="20" spans="1:26" ht="25.5" customHeight="1" thickBot="1" x14ac:dyDescent="0.3">
      <c r="B20" s="711"/>
      <c r="C20" s="711"/>
      <c r="D20" s="711"/>
      <c r="E20" s="711"/>
      <c r="F20" s="711"/>
      <c r="G20" s="711"/>
      <c r="H20" s="711"/>
      <c r="I20" s="711"/>
      <c r="J20" s="79"/>
      <c r="L20" t="s">
        <v>8</v>
      </c>
      <c r="N20" s="692">
        <v>45580</v>
      </c>
      <c r="O20" s="718" t="s">
        <v>9</v>
      </c>
      <c r="P20" s="718"/>
      <c r="Q20" s="718"/>
      <c r="R20" s="718"/>
      <c r="T20" s="711" t="str">
        <f>IF(Z20="X","","Charters schools must review the FY 2024 AFR Formula Corrections file and make any required formula corrections before finalizing and submitting the AFR. Select the X in the dropdown box in cell Z20 once this step is complete.")</f>
        <v/>
      </c>
      <c r="U20" s="711"/>
      <c r="V20" s="711"/>
      <c r="W20" s="711"/>
      <c r="X20" s="711"/>
      <c r="Z20" s="29" t="s">
        <v>1351</v>
      </c>
    </row>
    <row r="21" spans="1:26" ht="12.75" customHeight="1" x14ac:dyDescent="0.2">
      <c r="A21" s="708"/>
      <c r="B21" s="708"/>
      <c r="C21" s="708"/>
      <c r="D21" s="708"/>
      <c r="E21" s="708"/>
      <c r="F21" s="613"/>
      <c r="G21" s="713"/>
      <c r="H21" s="713"/>
      <c r="I21" s="713"/>
      <c r="J21" s="79"/>
      <c r="L21" s="708" t="s">
        <v>10</v>
      </c>
      <c r="M21" s="708"/>
      <c r="N21" s="708"/>
      <c r="O21" s="108"/>
      <c r="P21" s="108"/>
      <c r="Q21" s="108"/>
      <c r="R21" s="108"/>
      <c r="T21" s="711"/>
      <c r="U21" s="711"/>
      <c r="V21" s="711"/>
      <c r="W21" s="711"/>
      <c r="X21" s="711"/>
    </row>
    <row r="22" spans="1:26" ht="13.5" customHeight="1" x14ac:dyDescent="0.25">
      <c r="A22" s="697"/>
      <c r="B22" s="697"/>
      <c r="C22" s="697"/>
      <c r="D22" s="697"/>
      <c r="E22" s="697"/>
      <c r="F22" s="613"/>
      <c r="G22" s="699" t="s">
        <v>1235</v>
      </c>
      <c r="H22" s="700"/>
      <c r="I22" s="700"/>
      <c r="J22" s="79"/>
      <c r="M22" s="108"/>
      <c r="N22" s="108"/>
      <c r="O22" s="108"/>
      <c r="P22" s="108"/>
      <c r="Q22" s="108"/>
      <c r="R22" s="108"/>
      <c r="T22" s="711"/>
      <c r="U22" s="711"/>
      <c r="V22" s="711"/>
      <c r="W22" s="711"/>
      <c r="X22" s="711"/>
    </row>
    <row r="23" spans="1:26" ht="12.75" customHeight="1" x14ac:dyDescent="0.25">
      <c r="H23" s="613"/>
      <c r="I23" s="613"/>
      <c r="J23" s="75"/>
      <c r="L23" s="697"/>
      <c r="M23" s="697"/>
      <c r="N23" s="697"/>
      <c r="P23" s="701" t="s">
        <v>1349</v>
      </c>
      <c r="Q23" s="700"/>
      <c r="R23" s="700"/>
      <c r="T23" s="711"/>
      <c r="U23" s="711"/>
      <c r="V23" s="711"/>
      <c r="W23" s="711"/>
      <c r="X23" s="711"/>
    </row>
    <row r="24" spans="1:26" ht="14.25" customHeight="1" x14ac:dyDescent="0.25">
      <c r="A24" s="697"/>
      <c r="B24" s="697"/>
      <c r="C24" s="697"/>
      <c r="D24" s="697"/>
      <c r="E24" s="697"/>
      <c r="F24" s="613"/>
      <c r="G24" s="699" t="s">
        <v>1236</v>
      </c>
      <c r="H24" s="700"/>
      <c r="I24" s="700"/>
      <c r="J24" s="75"/>
      <c r="L24" s="712" t="s">
        <v>11</v>
      </c>
      <c r="M24" s="712"/>
      <c r="N24" s="712"/>
      <c r="P24" s="712" t="s">
        <v>12</v>
      </c>
      <c r="Q24" s="712"/>
      <c r="R24" s="712"/>
    </row>
    <row r="25" spans="1:26" ht="12.75" customHeight="1" x14ac:dyDescent="0.25">
      <c r="J25" s="75"/>
      <c r="L25" s="701" t="s">
        <v>1350</v>
      </c>
      <c r="M25" s="719"/>
      <c r="N25" s="719"/>
    </row>
    <row r="26" spans="1:26" ht="14.25" customHeight="1" x14ac:dyDescent="0.25">
      <c r="A26" s="697"/>
      <c r="B26" s="697"/>
      <c r="C26" s="697"/>
      <c r="D26" s="697"/>
      <c r="E26" s="697"/>
      <c r="F26" s="613"/>
      <c r="G26" s="699" t="s">
        <v>1237</v>
      </c>
      <c r="H26" s="700"/>
      <c r="I26" s="700"/>
      <c r="J26" s="75"/>
      <c r="L26" s="712" t="s">
        <v>13</v>
      </c>
      <c r="M26" s="712"/>
      <c r="N26" s="712"/>
    </row>
    <row r="27" spans="1:26" ht="12.75" customHeight="1" x14ac:dyDescent="0.2">
      <c r="J27" s="75"/>
      <c r="L27" s="708"/>
      <c r="M27" s="708"/>
      <c r="N27" s="708"/>
      <c r="O27" s="109"/>
      <c r="P27" s="720"/>
      <c r="Q27" s="720"/>
      <c r="R27" s="720"/>
    </row>
    <row r="28" spans="1:26" ht="12.75" customHeight="1" x14ac:dyDescent="0.25">
      <c r="A28" s="697"/>
      <c r="B28" s="697"/>
      <c r="C28" s="697"/>
      <c r="D28" s="697"/>
      <c r="E28" s="697"/>
      <c r="F28" s="613"/>
      <c r="G28" s="699" t="s">
        <v>1238</v>
      </c>
      <c r="H28" s="700"/>
      <c r="I28" s="700"/>
      <c r="J28" s="75"/>
      <c r="L28" s="697"/>
      <c r="M28" s="697"/>
      <c r="N28" s="697"/>
      <c r="P28" s="701" t="s">
        <v>1241</v>
      </c>
      <c r="Q28" s="700"/>
      <c r="R28" s="700"/>
    </row>
    <row r="29" spans="1:26" ht="14.25" customHeight="1" x14ac:dyDescent="0.2">
      <c r="D29" s="613"/>
      <c r="E29" s="613"/>
      <c r="F29" s="613"/>
      <c r="G29" s="613"/>
      <c r="J29" s="75"/>
      <c r="L29" s="712" t="s">
        <v>11</v>
      </c>
      <c r="M29" s="712"/>
      <c r="N29" s="712"/>
      <c r="P29" s="712" t="s">
        <v>12</v>
      </c>
      <c r="Q29" s="712"/>
      <c r="R29" s="712"/>
    </row>
    <row r="30" spans="1:26" ht="12.75" customHeight="1" x14ac:dyDescent="0.25">
      <c r="A30" s="697"/>
      <c r="B30" s="697"/>
      <c r="C30" s="697"/>
      <c r="D30" s="697"/>
      <c r="E30" s="697"/>
      <c r="F30" s="613"/>
      <c r="G30" s="699" t="s">
        <v>1239</v>
      </c>
      <c r="H30" s="700"/>
      <c r="I30" s="700"/>
      <c r="K30" s="86"/>
      <c r="L30" s="701" t="s">
        <v>1240</v>
      </c>
      <c r="M30" s="719"/>
      <c r="N30" s="719"/>
    </row>
    <row r="31" spans="1:26" ht="30.75" customHeight="1" x14ac:dyDescent="0.25">
      <c r="A31" s="697"/>
      <c r="B31" s="697"/>
      <c r="C31" s="697"/>
      <c r="D31" s="697"/>
      <c r="E31" s="697"/>
      <c r="F31" s="613"/>
      <c r="G31" s="699"/>
      <c r="H31" s="700"/>
      <c r="I31" s="700"/>
      <c r="J31" s="75"/>
      <c r="K31" s="86"/>
      <c r="L31" s="712" t="s">
        <v>13</v>
      </c>
      <c r="M31" s="712"/>
      <c r="N31" s="712"/>
    </row>
    <row r="32" spans="1:26" ht="12.75" customHeight="1" x14ac:dyDescent="0.2">
      <c r="J32" s="75"/>
      <c r="K32" s="68"/>
      <c r="L32" s="69" t="s">
        <v>14</v>
      </c>
      <c r="M32" s="69"/>
      <c r="N32" s="69"/>
      <c r="O32" s="69"/>
      <c r="P32" s="69"/>
      <c r="Q32" s="69"/>
      <c r="R32" s="69"/>
    </row>
    <row r="33" spans="1:18" ht="12.75" customHeight="1" x14ac:dyDescent="0.25">
      <c r="A33" s="697"/>
      <c r="B33" s="697"/>
      <c r="C33" s="697"/>
      <c r="D33" s="697"/>
      <c r="E33" s="697"/>
      <c r="F33" s="613"/>
      <c r="G33" s="701"/>
      <c r="H33" s="700"/>
      <c r="I33" s="700"/>
      <c r="J33" s="75"/>
      <c r="L33" t="s">
        <v>15</v>
      </c>
      <c r="P33" s="3" t="s">
        <v>16</v>
      </c>
      <c r="Q33" s="717">
        <f>TotExpSchoolwide</f>
        <v>1200608</v>
      </c>
      <c r="R33" s="717"/>
    </row>
    <row r="34" spans="1:18" ht="12.75" customHeight="1" x14ac:dyDescent="0.2">
      <c r="A34" s="698" t="s">
        <v>17</v>
      </c>
      <c r="B34" s="698"/>
      <c r="C34" s="698"/>
      <c r="D34" s="698"/>
      <c r="E34" s="698"/>
      <c r="F34" s="613"/>
      <c r="G34" s="698" t="s">
        <v>18</v>
      </c>
      <c r="H34" s="698"/>
      <c r="I34" s="698"/>
      <c r="J34" s="75"/>
      <c r="L34" t="s">
        <v>19</v>
      </c>
      <c r="P34" s="3" t="s">
        <v>16</v>
      </c>
      <c r="Q34" s="717">
        <f>SP1000ClassSiteProj</f>
        <v>50389</v>
      </c>
      <c r="R34" s="717"/>
    </row>
    <row r="35" spans="1:18" ht="12.75" customHeight="1" x14ac:dyDescent="0.2">
      <c r="J35" s="75"/>
    </row>
    <row r="36" spans="1:18" ht="12.75" customHeight="1" x14ac:dyDescent="0.2"/>
  </sheetData>
  <sheetProtection formatCells="0" formatColumns="0" formatRows="0"/>
  <mergeCells count="55">
    <mergeCell ref="T20:X23"/>
    <mergeCell ref="L28:N28"/>
    <mergeCell ref="L29:N29"/>
    <mergeCell ref="L26:N26"/>
    <mergeCell ref="P23:R23"/>
    <mergeCell ref="P24:R24"/>
    <mergeCell ref="P27:R27"/>
    <mergeCell ref="L23:N23"/>
    <mergeCell ref="Q34:R34"/>
    <mergeCell ref="L31:N31"/>
    <mergeCell ref="L19:R19"/>
    <mergeCell ref="L21:N21"/>
    <mergeCell ref="O20:R20"/>
    <mergeCell ref="Q33:R33"/>
    <mergeCell ref="P29:R29"/>
    <mergeCell ref="P28:R28"/>
    <mergeCell ref="L25:N25"/>
    <mergeCell ref="L30:N30"/>
    <mergeCell ref="M1:N1"/>
    <mergeCell ref="D2:I2"/>
    <mergeCell ref="D3:I3"/>
    <mergeCell ref="D4:I4"/>
    <mergeCell ref="L27:N27"/>
    <mergeCell ref="B19:I20"/>
    <mergeCell ref="A26:E26"/>
    <mergeCell ref="L24:N24"/>
    <mergeCell ref="G21:I21"/>
    <mergeCell ref="B14:J14"/>
    <mergeCell ref="A22:E22"/>
    <mergeCell ref="G22:I22"/>
    <mergeCell ref="A1:C1"/>
    <mergeCell ref="D1:I1"/>
    <mergeCell ref="B12:J12"/>
    <mergeCell ref="B18:J18"/>
    <mergeCell ref="L4:R18"/>
    <mergeCell ref="L2:R3"/>
    <mergeCell ref="B6:I6"/>
    <mergeCell ref="B8:I8"/>
    <mergeCell ref="A21:E21"/>
    <mergeCell ref="B7:I7"/>
    <mergeCell ref="B10:J10"/>
    <mergeCell ref="B16:J16"/>
    <mergeCell ref="G34:I34"/>
    <mergeCell ref="G24:I24"/>
    <mergeCell ref="G26:I26"/>
    <mergeCell ref="G28:I28"/>
    <mergeCell ref="G30:I30"/>
    <mergeCell ref="G31:I31"/>
    <mergeCell ref="G33:I33"/>
    <mergeCell ref="A24:E24"/>
    <mergeCell ref="A28:E28"/>
    <mergeCell ref="A30:E30"/>
    <mergeCell ref="A31:E31"/>
    <mergeCell ref="A34:E34"/>
    <mergeCell ref="A33:E33"/>
  </mergeCells>
  <conditionalFormatting sqref="A16:B16">
    <cfRule type="expression" priority="23" stopIfTrue="1">
      <formula>$A$16="X"</formula>
    </cfRule>
  </conditionalFormatting>
  <conditionalFormatting sqref="B10">
    <cfRule type="expression" dxfId="80" priority="28" stopIfTrue="1">
      <formula>$A$10="X"</formula>
    </cfRule>
  </conditionalFormatting>
  <conditionalFormatting sqref="B12 B14">
    <cfRule type="expression" priority="26" stopIfTrue="1">
      <formula>$A$14="X"</formula>
    </cfRule>
  </conditionalFormatting>
  <conditionalFormatting sqref="B12 B11:J11">
    <cfRule type="expression" priority="27" stopIfTrue="1">
      <formula>$A$12="X"</formula>
    </cfRule>
  </conditionalFormatting>
  <conditionalFormatting sqref="D1 M1 R1">
    <cfRule type="expression" dxfId="79" priority="6" stopIfTrue="1">
      <formula>D1=""</formula>
    </cfRule>
  </conditionalFormatting>
  <conditionalFormatting sqref="D3:I3">
    <cfRule type="expression" dxfId="78" priority="4" stopIfTrue="1">
      <formula>$D$3=""</formula>
    </cfRule>
  </conditionalFormatting>
  <conditionalFormatting sqref="G22 G24 G26 G28 G30:G31 G33">
    <cfRule type="expression" dxfId="77" priority="5" stopIfTrue="1">
      <formula>$G22=""</formula>
    </cfRule>
  </conditionalFormatting>
  <conditionalFormatting sqref="L2:R3">
    <cfRule type="expression" dxfId="76" priority="15" stopIfTrue="1">
      <formula>$L$4&lt;&gt;""</formula>
    </cfRule>
  </conditionalFormatting>
  <conditionalFormatting sqref="N20 P23 L25 P28 L30">
    <cfRule type="expression" dxfId="75" priority="3" stopIfTrue="1">
      <formula>L20=""</formula>
    </cfRule>
  </conditionalFormatting>
  <conditionalFormatting sqref="T20">
    <cfRule type="expression" dxfId="74" priority="1" stopIfTrue="1">
      <formula>$Z$20="X"</formula>
    </cfRule>
  </conditionalFormatting>
  <dataValidations xWindow="701" yWindow="156" count="3">
    <dataValidation type="textLength" operator="equal" showInputMessage="1" showErrorMessage="1" prompt="This cell will only accept entries equal to 9 digits.  Charter schools must enter their CTD number plus 3 zeros." sqref="R1" xr:uid="{00000000-0002-0000-0000-000000000000}">
      <formula1>9</formula1>
    </dataValidation>
    <dataValidation type="date" operator="greaterThanOrEqual" allowBlank="1" showInputMessage="1" showErrorMessage="1" errorTitle="Date" error="Enter Valid Date_x000a_MM/DD/YYYY" promptTitle="Enter Date as" prompt="MM/DD/YYYY" sqref="N20" xr:uid="{00000000-0002-0000-0000-000001000000}">
      <formula1>42962</formula1>
    </dataValidation>
    <dataValidation type="list" allowBlank="1" showInputMessage="1" showErrorMessage="1" sqref="A14 A16 A12 A10 A18 Z20" xr:uid="{00000000-0002-0000-0000-000002000000}">
      <formula1>"X"</formula1>
    </dataValidation>
  </dataValidations>
  <hyperlinks>
    <hyperlink ref="P23" r:id="rId1" xr:uid="{28A84D94-9887-4DC7-93C1-EE376E4C8A6F}"/>
  </hyperlinks>
  <pageMargins left="0.75" right="0.25" top="0.25" bottom="0.25" header="0.5" footer="0.15"/>
  <pageSetup paperSize="5" scale="97" orientation="landscape" r:id="rId2"/>
  <headerFooter>
    <oddFooter>&amp;LRev. 8/24 Arizona Department of Education and Auditor General&amp;CFY 2024</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24E4D-A9EB-428D-BDA2-238716D84E95}">
  <sheetPr>
    <pageSetUpPr fitToPage="1"/>
  </sheetPr>
  <dimension ref="A1:AC68"/>
  <sheetViews>
    <sheetView showGridLines="0" zoomScaleNormal="100" workbookViewId="0">
      <selection activeCell="K59" sqref="K59:K60"/>
    </sheetView>
  </sheetViews>
  <sheetFormatPr defaultColWidth="9.33203125" defaultRowHeight="12.75" customHeight="1" x14ac:dyDescent="0.2"/>
  <cols>
    <col min="1" max="1" width="19.83203125" style="154" customWidth="1"/>
    <col min="2" max="2" width="42.83203125" style="154" customWidth="1"/>
    <col min="3" max="3" width="3" style="154" customWidth="1"/>
    <col min="4" max="6" width="16.83203125" style="154" customWidth="1"/>
    <col min="7" max="7" width="18.6640625" style="154" customWidth="1"/>
    <col min="8" max="10" width="17.83203125" style="157" customWidth="1"/>
    <col min="11" max="11" width="16.83203125" style="157" customWidth="1"/>
    <col min="12" max="12" width="3" style="154" customWidth="1"/>
    <col min="13" max="13" width="10.83203125" style="154" customWidth="1"/>
    <col min="14" max="14" width="9.33203125" style="154" customWidth="1"/>
    <col min="15" max="15" width="2.33203125" style="154" customWidth="1"/>
    <col min="16" max="16" width="9.33203125" style="154" customWidth="1"/>
    <col min="17" max="25" width="9.33203125" style="154" hidden="1" customWidth="1"/>
    <col min="26" max="29" width="9.33203125" style="154" customWidth="1"/>
    <col min="30" max="16384" width="9.33203125" style="154"/>
  </cols>
  <sheetData>
    <row r="1" spans="1:29" ht="12" customHeight="1" x14ac:dyDescent="0.2">
      <c r="A1" s="614" t="s">
        <v>0</v>
      </c>
      <c r="B1" s="616" t="str">
        <f>'Cover Page'!D1</f>
        <v>ASU Preparatory Academy - South Phoenix Primary</v>
      </c>
      <c r="C1" s="613"/>
      <c r="D1"/>
      <c r="E1" s="57" t="s">
        <v>1</v>
      </c>
      <c r="F1" s="722" t="str">
        <f>'Cover Page'!M1</f>
        <v>Maricopa</v>
      </c>
      <c r="G1" s="722"/>
      <c r="H1"/>
      <c r="I1" s="57"/>
      <c r="J1" s="57" t="s">
        <v>2</v>
      </c>
      <c r="K1" s="615" t="str">
        <f>'Cover Page'!R1</f>
        <v>078267000</v>
      </c>
      <c r="L1" s="267"/>
      <c r="M1" s="613"/>
      <c r="N1" s="630"/>
      <c r="O1" s="630"/>
    </row>
    <row r="2" spans="1:29" ht="12" customHeight="1" x14ac:dyDescent="0.2">
      <c r="A2" s="57"/>
      <c r="B2" s="57"/>
      <c r="C2" s="614"/>
      <c r="D2" s="613"/>
      <c r="E2"/>
      <c r="F2"/>
      <c r="G2"/>
      <c r="H2" s="57"/>
      <c r="I2" s="613"/>
      <c r="J2" s="613"/>
      <c r="K2" s="613"/>
      <c r="L2"/>
      <c r="M2" s="613"/>
      <c r="N2" s="630"/>
      <c r="O2" s="630"/>
    </row>
    <row r="3" spans="1:29" ht="12" customHeight="1" x14ac:dyDescent="0.2">
      <c r="A3" s="268"/>
      <c r="B3" s="268"/>
      <c r="C3" s="268"/>
      <c r="D3" s="268"/>
      <c r="E3" s="268"/>
      <c r="F3" s="268"/>
      <c r="G3" s="268"/>
      <c r="H3" s="268"/>
      <c r="I3" s="268"/>
      <c r="J3" s="268"/>
      <c r="K3" s="268"/>
      <c r="L3" s="268"/>
      <c r="M3" s="268"/>
    </row>
    <row r="4" spans="1:29" ht="12" customHeight="1" x14ac:dyDescent="0.2">
      <c r="A4" s="268"/>
      <c r="B4" s="268"/>
      <c r="C4" s="808" t="s">
        <v>359</v>
      </c>
      <c r="D4" s="808"/>
      <c r="E4" s="808"/>
      <c r="F4" s="808"/>
      <c r="G4" s="808"/>
      <c r="H4" s="808"/>
      <c r="I4" s="808"/>
      <c r="J4" s="808"/>
      <c r="K4" s="808"/>
      <c r="L4" s="808"/>
      <c r="M4" s="268"/>
    </row>
    <row r="5" spans="1:29" ht="12" customHeight="1" x14ac:dyDescent="0.2"/>
    <row r="6" spans="1:29" ht="12" customHeight="1" x14ac:dyDescent="0.2">
      <c r="A6" s="269"/>
      <c r="B6" s="269"/>
      <c r="D6" s="809" t="s">
        <v>360</v>
      </c>
      <c r="E6" s="809"/>
      <c r="F6" s="809"/>
      <c r="G6" s="809"/>
      <c r="H6" s="809"/>
      <c r="I6" s="809"/>
      <c r="J6" s="809"/>
      <c r="K6" s="809"/>
      <c r="L6" s="270"/>
      <c r="M6" s="157"/>
      <c r="N6" s="157"/>
      <c r="V6" s="271"/>
    </row>
    <row r="7" spans="1:29" ht="12" customHeight="1" x14ac:dyDescent="0.2">
      <c r="D7" s="272"/>
      <c r="E7" s="273"/>
      <c r="F7" s="273" t="s">
        <v>153</v>
      </c>
      <c r="G7" s="273"/>
      <c r="H7" s="273"/>
      <c r="I7" s="274"/>
      <c r="J7" s="274" t="s">
        <v>97</v>
      </c>
      <c r="K7" s="275"/>
      <c r="L7" s="276"/>
      <c r="M7" s="157"/>
      <c r="N7" s="157"/>
      <c r="T7" s="271"/>
      <c r="V7" s="271"/>
    </row>
    <row r="8" spans="1:29" ht="12" customHeight="1" x14ac:dyDescent="0.2">
      <c r="D8" s="277"/>
      <c r="E8" s="278" t="s">
        <v>88</v>
      </c>
      <c r="F8" s="278" t="s">
        <v>95</v>
      </c>
      <c r="G8" s="278"/>
      <c r="H8" s="279" t="s">
        <v>361</v>
      </c>
      <c r="I8" s="279"/>
      <c r="J8" s="279" t="s">
        <v>362</v>
      </c>
      <c r="K8" s="275"/>
      <c r="L8" s="280"/>
      <c r="N8" s="157"/>
      <c r="U8" s="271"/>
      <c r="AC8" s="271"/>
    </row>
    <row r="9" spans="1:29" ht="12" customHeight="1" x14ac:dyDescent="0.2">
      <c r="D9" s="278" t="s">
        <v>93</v>
      </c>
      <c r="E9" s="281" t="s">
        <v>94</v>
      </c>
      <c r="F9" s="281" t="s">
        <v>363</v>
      </c>
      <c r="G9" s="281" t="s">
        <v>96</v>
      </c>
      <c r="H9" s="279" t="s">
        <v>364</v>
      </c>
      <c r="I9" s="282" t="s">
        <v>365</v>
      </c>
      <c r="J9" s="282" t="s">
        <v>366</v>
      </c>
      <c r="K9" s="283" t="s">
        <v>367</v>
      </c>
      <c r="L9" s="280"/>
      <c r="N9" s="157"/>
      <c r="U9" s="271"/>
      <c r="AA9" s="271"/>
    </row>
    <row r="10" spans="1:29" ht="12" customHeight="1" x14ac:dyDescent="0.2">
      <c r="A10" s="284" t="s">
        <v>368</v>
      </c>
      <c r="B10" s="284"/>
      <c r="D10" s="281">
        <v>6100</v>
      </c>
      <c r="E10" s="281">
        <v>6200</v>
      </c>
      <c r="F10" s="281">
        <v>6500</v>
      </c>
      <c r="G10" s="281">
        <v>6600</v>
      </c>
      <c r="H10" s="281">
        <v>6810</v>
      </c>
      <c r="I10" s="282">
        <v>6890</v>
      </c>
      <c r="J10" s="282" t="s">
        <v>369</v>
      </c>
      <c r="K10" s="285" t="s">
        <v>370</v>
      </c>
      <c r="L10" s="280"/>
      <c r="N10" s="157"/>
      <c r="S10" s="271"/>
      <c r="AA10" s="157"/>
    </row>
    <row r="11" spans="1:29" ht="12" customHeight="1" x14ac:dyDescent="0.2">
      <c r="A11" s="627" t="s">
        <v>206</v>
      </c>
      <c r="B11" s="627"/>
      <c r="C11" s="286" t="s">
        <v>24</v>
      </c>
      <c r="D11" s="598">
        <f>Calculations!E8</f>
        <v>387115</v>
      </c>
      <c r="E11" s="598">
        <f>Calculations!E113</f>
        <v>105290</v>
      </c>
      <c r="F11" s="598">
        <f>Calculations!E238</f>
        <v>48068</v>
      </c>
      <c r="G11" s="598">
        <f>Calculations!E636</f>
        <v>119655</v>
      </c>
      <c r="H11" s="598">
        <f>Calculations!E951</f>
        <v>6605</v>
      </c>
      <c r="I11" s="598">
        <f>Calculations!E1116</f>
        <v>95</v>
      </c>
      <c r="J11" s="598">
        <f>Calculations!E1454-H11-I11</f>
        <v>176045</v>
      </c>
      <c r="K11" s="590">
        <v>0</v>
      </c>
      <c r="L11" s="287" t="s">
        <v>24</v>
      </c>
      <c r="N11" s="157"/>
      <c r="S11" s="271"/>
      <c r="AA11" s="288" t="str">
        <f>IF(OR(K11="",K14="",K13="",K15="",K16="",K17="",K18="",K19="",K21="",K22="",K24="",K25="",K26=""),"yes","")</f>
        <v/>
      </c>
    </row>
    <row r="12" spans="1:29" ht="12" customHeight="1" x14ac:dyDescent="0.2">
      <c r="A12" s="154" t="s">
        <v>207</v>
      </c>
      <c r="C12" s="286"/>
      <c r="D12" s="289"/>
      <c r="E12" s="289"/>
      <c r="F12" s="289"/>
      <c r="G12" s="289"/>
      <c r="H12" s="289"/>
      <c r="I12" s="289"/>
      <c r="J12" s="289"/>
      <c r="K12" s="85"/>
      <c r="L12" s="287"/>
      <c r="N12" s="157"/>
      <c r="S12" s="271"/>
      <c r="AA12" s="288" t="str">
        <f>IF(OR(E33="",E34="",E35="",E36="",E40="",E41="",E42="",E43="",E44="",E49="",E53="",E54="",E55="",E56=""),"yes","")</f>
        <v/>
      </c>
    </row>
    <row r="13" spans="1:29" ht="12" customHeight="1" x14ac:dyDescent="0.2">
      <c r="A13" s="627" t="s">
        <v>371</v>
      </c>
      <c r="B13" s="627"/>
      <c r="C13" s="286" t="s">
        <v>26</v>
      </c>
      <c r="D13" s="603">
        <f>Calculations!E15</f>
        <v>258039</v>
      </c>
      <c r="E13" s="603">
        <f>Calculations!E120</f>
        <v>69748</v>
      </c>
      <c r="F13" s="603">
        <f>Calculations!E265</f>
        <v>7580</v>
      </c>
      <c r="G13" s="603">
        <f>Calculations!E643</f>
        <v>43675</v>
      </c>
      <c r="H13" s="603">
        <f>Calculations!E958</f>
        <v>77</v>
      </c>
      <c r="I13" s="603">
        <f>Calculations!E1123</f>
        <v>0</v>
      </c>
      <c r="J13" s="603">
        <f>Calculations!E1459-H13-I13</f>
        <v>0</v>
      </c>
      <c r="K13" s="49">
        <v>0</v>
      </c>
      <c r="L13" s="287" t="s">
        <v>26</v>
      </c>
      <c r="W13" s="271"/>
      <c r="AA13" s="288" t="str">
        <f>IF(OR(K30="",K31="",K32="",K36="",K37="",K38="",K41="",K42="",K46="",K47="",K51="",K52="",K53="",K54="",K55="",K56="",K59="",K60=""),"yes","")</f>
        <v/>
      </c>
    </row>
    <row r="14" spans="1:29" ht="12" customHeight="1" x14ac:dyDescent="0.2">
      <c r="A14" s="627" t="s">
        <v>372</v>
      </c>
      <c r="B14" s="627"/>
      <c r="C14" s="286" t="s">
        <v>28</v>
      </c>
      <c r="D14" s="598">
        <f>Calculations!E22</f>
        <v>5178</v>
      </c>
      <c r="E14" s="598">
        <f>Calculations!E127</f>
        <v>1235</v>
      </c>
      <c r="F14" s="598">
        <f>Calculations!E292</f>
        <v>5194</v>
      </c>
      <c r="G14" s="598">
        <f>Calculations!E650</f>
        <v>200</v>
      </c>
      <c r="H14" s="598">
        <f>Calculations!E965</f>
        <v>37</v>
      </c>
      <c r="I14" s="598">
        <f>Calculations!E1130</f>
        <v>0</v>
      </c>
      <c r="J14" s="598">
        <f>Calculations!E1464-H14-I14</f>
        <v>0</v>
      </c>
      <c r="K14" s="49">
        <v>0</v>
      </c>
      <c r="L14" s="290" t="s">
        <v>28</v>
      </c>
      <c r="N14" s="157"/>
      <c r="W14" s="271"/>
      <c r="AA14" s="288" t="str">
        <f>IF(AND(AA11="",AA12="",AA13=""),"","yes")</f>
        <v/>
      </c>
    </row>
    <row r="15" spans="1:29" ht="12" customHeight="1" x14ac:dyDescent="0.2">
      <c r="A15" s="627" t="s">
        <v>373</v>
      </c>
      <c r="B15" s="627"/>
      <c r="C15" s="286" t="s">
        <v>31</v>
      </c>
      <c r="D15" s="598">
        <f>Calculations!E29</f>
        <v>3497</v>
      </c>
      <c r="E15" s="598">
        <f>Calculations!E134</f>
        <v>731</v>
      </c>
      <c r="F15" s="598">
        <f>Calculations!E319</f>
        <v>582</v>
      </c>
      <c r="G15" s="598">
        <f>Calculations!E657</f>
        <v>92</v>
      </c>
      <c r="H15" s="598">
        <f>Calculations!E972</f>
        <v>1230</v>
      </c>
      <c r="I15" s="598">
        <f>Calculations!E1137</f>
        <v>0</v>
      </c>
      <c r="J15" s="598">
        <f>Calculations!E1469-H15-I15</f>
        <v>100</v>
      </c>
      <c r="K15" s="49">
        <v>0</v>
      </c>
      <c r="L15" s="290" t="s">
        <v>31</v>
      </c>
    </row>
    <row r="16" spans="1:29" ht="12" customHeight="1" x14ac:dyDescent="0.2">
      <c r="A16" s="291" t="s">
        <v>374</v>
      </c>
      <c r="B16" s="291"/>
      <c r="C16" s="292" t="s">
        <v>33</v>
      </c>
      <c r="D16" s="598">
        <f>Calculations!E36</f>
        <v>97418</v>
      </c>
      <c r="E16" s="598">
        <f>Calculations!E141</f>
        <v>24948</v>
      </c>
      <c r="F16" s="598">
        <f>Calculations!E346</f>
        <v>1992</v>
      </c>
      <c r="G16" s="598">
        <f>Calculations!E664</f>
        <v>951</v>
      </c>
      <c r="H16" s="598">
        <f>Calculations!E979</f>
        <v>347</v>
      </c>
      <c r="I16" s="598">
        <f>Calculations!E1144</f>
        <v>0</v>
      </c>
      <c r="J16" s="598">
        <f>Calculations!E1474-H16-I16</f>
        <v>0</v>
      </c>
      <c r="K16" s="49">
        <v>0</v>
      </c>
      <c r="L16" s="293" t="s">
        <v>33</v>
      </c>
    </row>
    <row r="17" spans="1:12" ht="12" customHeight="1" x14ac:dyDescent="0.2">
      <c r="A17" s="294" t="s">
        <v>375</v>
      </c>
      <c r="B17" s="294"/>
      <c r="C17" s="292" t="s">
        <v>35</v>
      </c>
      <c r="D17" s="598">
        <f>Calculations!E43+Calculations!E50</f>
        <v>49713</v>
      </c>
      <c r="E17" s="598">
        <f>Calculations!E148+Calculations!E155</f>
        <v>64896</v>
      </c>
      <c r="F17" s="598">
        <f>Calculations!E373+Calculations!E400</f>
        <v>96921</v>
      </c>
      <c r="G17" s="598">
        <f>Calculations!E671+Calculations!E678</f>
        <v>22644</v>
      </c>
      <c r="H17" s="598">
        <f>Calculations!E986+Calculations!E993</f>
        <v>16489</v>
      </c>
      <c r="I17" s="598">
        <f>Calculations!E1151+Calculations!E1158</f>
        <v>1431</v>
      </c>
      <c r="J17" s="598">
        <f>Calculations!E1479+Calculations!E1484-Calculations!E1082-H17-I17</f>
        <v>3046</v>
      </c>
      <c r="K17" s="49">
        <v>0</v>
      </c>
      <c r="L17" s="293" t="s">
        <v>35</v>
      </c>
    </row>
    <row r="18" spans="1:12" ht="12" customHeight="1" x14ac:dyDescent="0.2">
      <c r="A18" s="627" t="s">
        <v>376</v>
      </c>
      <c r="B18" s="627"/>
      <c r="C18" s="292" t="s">
        <v>37</v>
      </c>
      <c r="D18" s="598">
        <f>Calculations!E57</f>
        <v>41128</v>
      </c>
      <c r="E18" s="598">
        <f>Calculations!E162</f>
        <v>11576</v>
      </c>
      <c r="F18" s="598">
        <f>Calculations!E427</f>
        <v>186489</v>
      </c>
      <c r="G18" s="598">
        <f>Calculations!E685</f>
        <v>22488</v>
      </c>
      <c r="H18" s="598">
        <f>Calculations!E1000</f>
        <v>1992</v>
      </c>
      <c r="I18" s="598">
        <f>Calculations!E1165</f>
        <v>0</v>
      </c>
      <c r="J18" s="598">
        <f>Calculations!E1489-H18-I18</f>
        <v>0</v>
      </c>
      <c r="K18" s="49">
        <v>0</v>
      </c>
      <c r="L18" s="293" t="s">
        <v>37</v>
      </c>
    </row>
    <row r="19" spans="1:12" ht="12" customHeight="1" x14ac:dyDescent="0.2">
      <c r="A19" s="295" t="s">
        <v>377</v>
      </c>
      <c r="B19" s="295"/>
      <c r="C19" s="292" t="s">
        <v>39</v>
      </c>
      <c r="D19" s="598">
        <f>Calculations!E64</f>
        <v>5505</v>
      </c>
      <c r="E19" s="598">
        <f>Calculations!E169</f>
        <v>1717</v>
      </c>
      <c r="F19" s="598">
        <f>Calculations!E454</f>
        <v>27805</v>
      </c>
      <c r="G19" s="598">
        <f>Calculations!E692</f>
        <v>90</v>
      </c>
      <c r="H19" s="598">
        <f>Calculations!E1007</f>
        <v>0</v>
      </c>
      <c r="I19" s="598">
        <f>Calculations!E1172</f>
        <v>0</v>
      </c>
      <c r="J19" s="598">
        <f>Calculations!E1494-H19-I19</f>
        <v>0</v>
      </c>
      <c r="K19" s="49">
        <v>0</v>
      </c>
      <c r="L19" s="293" t="s">
        <v>39</v>
      </c>
    </row>
    <row r="20" spans="1:12" ht="12" customHeight="1" x14ac:dyDescent="0.2">
      <c r="A20" s="627" t="s">
        <v>378</v>
      </c>
      <c r="B20" s="627"/>
      <c r="C20" s="292"/>
      <c r="D20" s="289"/>
      <c r="E20" s="289"/>
      <c r="F20" s="289"/>
      <c r="G20" s="289"/>
      <c r="H20" s="289"/>
      <c r="I20" s="289"/>
      <c r="J20" s="289"/>
      <c r="K20" s="85"/>
      <c r="L20" s="296"/>
    </row>
    <row r="21" spans="1:12" ht="12" customHeight="1" x14ac:dyDescent="0.2">
      <c r="A21" s="295" t="s">
        <v>379</v>
      </c>
      <c r="B21" s="295"/>
      <c r="C21" s="292" t="s">
        <v>41</v>
      </c>
      <c r="D21" s="603">
        <f>Calculations!E71</f>
        <v>5631</v>
      </c>
      <c r="E21" s="603">
        <f>Calculations!E176</f>
        <v>1151</v>
      </c>
      <c r="F21" s="603">
        <f>Calculations!E481</f>
        <v>6</v>
      </c>
      <c r="G21" s="603">
        <f>Calculations!E699</f>
        <v>66781</v>
      </c>
      <c r="H21" s="603">
        <f>Calculations!E1014</f>
        <v>297</v>
      </c>
      <c r="I21" s="603">
        <f>Calculations!E1179</f>
        <v>0</v>
      </c>
      <c r="J21" s="603">
        <f>Calculations!E1499-H21-I21</f>
        <v>0</v>
      </c>
      <c r="K21" s="49">
        <v>0</v>
      </c>
      <c r="L21" s="296" t="s">
        <v>41</v>
      </c>
    </row>
    <row r="22" spans="1:12" ht="12" customHeight="1" x14ac:dyDescent="0.2">
      <c r="A22" s="295" t="s">
        <v>380</v>
      </c>
      <c r="B22" s="295"/>
      <c r="C22" s="292" t="s">
        <v>43</v>
      </c>
      <c r="D22" s="598">
        <f>Calculations!E85</f>
        <v>0</v>
      </c>
      <c r="E22" s="598">
        <f>Calculations!E190</f>
        <v>0</v>
      </c>
      <c r="F22" s="598">
        <f>Calculations!E535</f>
        <v>0</v>
      </c>
      <c r="G22" s="598">
        <f>Calculations!E713</f>
        <v>0</v>
      </c>
      <c r="H22" s="598">
        <f>Calculations!E1028</f>
        <v>0</v>
      </c>
      <c r="I22" s="598">
        <f>Calculations!E1193</f>
        <v>0</v>
      </c>
      <c r="J22" s="598">
        <f>Calculations!E1504-H22-I22</f>
        <v>0</v>
      </c>
      <c r="K22" s="49">
        <v>0</v>
      </c>
      <c r="L22" s="293" t="s">
        <v>43</v>
      </c>
    </row>
    <row r="23" spans="1:12" ht="12" customHeight="1" x14ac:dyDescent="0.2">
      <c r="A23" s="295" t="s">
        <v>381</v>
      </c>
      <c r="B23" s="295"/>
      <c r="C23" s="292" t="s">
        <v>45</v>
      </c>
      <c r="D23" s="598">
        <f t="shared" ref="D23:K23" si="0">SUM(D11:D22)</f>
        <v>853224</v>
      </c>
      <c r="E23" s="598">
        <f t="shared" si="0"/>
        <v>281292</v>
      </c>
      <c r="F23" s="598">
        <f t="shared" si="0"/>
        <v>374637</v>
      </c>
      <c r="G23" s="598">
        <f t="shared" si="0"/>
        <v>276576</v>
      </c>
      <c r="H23" s="598">
        <f t="shared" si="0"/>
        <v>27074</v>
      </c>
      <c r="I23" s="598">
        <f t="shared" si="0"/>
        <v>1526</v>
      </c>
      <c r="J23" s="598">
        <f t="shared" si="0"/>
        <v>179191</v>
      </c>
      <c r="K23" s="598">
        <f t="shared" si="0"/>
        <v>0</v>
      </c>
      <c r="L23" s="293" t="s">
        <v>45</v>
      </c>
    </row>
    <row r="24" spans="1:12" ht="12" customHeight="1" x14ac:dyDescent="0.2">
      <c r="A24" s="295" t="s">
        <v>382</v>
      </c>
      <c r="B24" s="295"/>
      <c r="C24" s="292" t="s">
        <v>47</v>
      </c>
      <c r="D24" s="598">
        <f>Calculations!E106</f>
        <v>434374</v>
      </c>
      <c r="E24" s="598">
        <f>Calculations!E211</f>
        <v>130131</v>
      </c>
      <c r="F24" s="598">
        <f>Calculations!E629</f>
        <v>27927</v>
      </c>
      <c r="G24" s="596">
        <f>Calculations!E734+'[2]Food Service AFR'!$E$10+'[2]Food Service AFR'!$E$11</f>
        <v>142682</v>
      </c>
      <c r="H24" s="598">
        <f>Calculations!E1049</f>
        <v>0</v>
      </c>
      <c r="I24" s="598">
        <f>Calculations!E1214</f>
        <v>0</v>
      </c>
      <c r="J24" s="598">
        <f>Calculations!E1518-Calculations!E1109-H24-I24</f>
        <v>0</v>
      </c>
      <c r="K24" s="48">
        <v>0</v>
      </c>
      <c r="L24" s="293" t="s">
        <v>47</v>
      </c>
    </row>
    <row r="25" spans="1:12" ht="12" customHeight="1" x14ac:dyDescent="0.2">
      <c r="A25" s="295" t="s">
        <v>383</v>
      </c>
      <c r="B25" s="295"/>
      <c r="C25" s="292" t="s">
        <v>49</v>
      </c>
      <c r="D25" s="598">
        <f>Calculations!E93-Calculations!E106</f>
        <v>418850</v>
      </c>
      <c r="E25" s="598">
        <f>Calculations!E198-Calculations!E211</f>
        <v>151161</v>
      </c>
      <c r="F25" s="598">
        <f>Calculations!E563-Calculations!E629</f>
        <v>346710</v>
      </c>
      <c r="G25" s="596">
        <f>Calculations!E721-Calculations!E734-'[2]Food Service AFR'!$E$10-'[2]Food Service AFR'!$E$11</f>
        <v>133894</v>
      </c>
      <c r="H25" s="598">
        <f>Calculations!E1036-Calculations!E1049</f>
        <v>27074</v>
      </c>
      <c r="I25" s="598">
        <f>Calculations!E1201-Calculations!E1214</f>
        <v>1526</v>
      </c>
      <c r="J25" s="598">
        <f>Calculations!E1505-Calculations!E1518-Calculations!E1082-H25-I25</f>
        <v>179191</v>
      </c>
      <c r="K25" s="48">
        <v>0</v>
      </c>
      <c r="L25" s="293" t="s">
        <v>49</v>
      </c>
    </row>
    <row r="26" spans="1:12" ht="12" customHeight="1" x14ac:dyDescent="0.2">
      <c r="A26" s="295" t="s">
        <v>384</v>
      </c>
      <c r="B26" s="295"/>
      <c r="C26" s="292" t="s">
        <v>51</v>
      </c>
      <c r="D26" s="598">
        <f>Calculations!E92</f>
        <v>0</v>
      </c>
      <c r="E26" s="598">
        <f>Calculations!E197</f>
        <v>0</v>
      </c>
      <c r="F26" s="598">
        <f>Calculations!E562</f>
        <v>0</v>
      </c>
      <c r="G26" s="598">
        <f>Calculations!E720</f>
        <v>0</v>
      </c>
      <c r="H26" s="598">
        <f>Calculations!E1035</f>
        <v>0</v>
      </c>
      <c r="I26" s="598">
        <f>Calculations!E1200</f>
        <v>0</v>
      </c>
      <c r="J26" s="598">
        <f>Calculations!E1523-H26-I26</f>
        <v>0</v>
      </c>
      <c r="K26" s="48">
        <v>0</v>
      </c>
      <c r="L26" s="293" t="s">
        <v>51</v>
      </c>
    </row>
    <row r="27" spans="1:12" ht="12" customHeight="1" x14ac:dyDescent="0.2">
      <c r="B27" s="627"/>
      <c r="C27" s="292"/>
      <c r="D27" s="297"/>
      <c r="E27" s="297"/>
      <c r="F27" s="297"/>
      <c r="G27" s="297"/>
      <c r="H27" s="297"/>
      <c r="I27" s="297"/>
      <c r="J27" s="297"/>
      <c r="K27" s="298"/>
      <c r="L27" s="297"/>
    </row>
    <row r="28" spans="1:12" hidden="1" x14ac:dyDescent="0.2">
      <c r="A28" s="299"/>
      <c r="B28" s="627"/>
      <c r="C28" s="292"/>
      <c r="D28" s="297"/>
      <c r="E28" s="297"/>
      <c r="F28" s="297"/>
      <c r="G28" s="297"/>
      <c r="H28" s="297"/>
      <c r="I28" s="297"/>
      <c r="J28" s="297"/>
      <c r="K28" s="298"/>
      <c r="L28" s="297"/>
    </row>
    <row r="29" spans="1:12" ht="12" customHeight="1" x14ac:dyDescent="0.2">
      <c r="A29" s="300"/>
      <c r="B29" s="300"/>
      <c r="C29" s="300"/>
      <c r="D29" s="301" t="s">
        <v>385</v>
      </c>
      <c r="E29" s="302"/>
      <c r="F29" s="303"/>
      <c r="H29" s="304" t="s">
        <v>1188</v>
      </c>
      <c r="I29" s="219"/>
      <c r="J29" s="304"/>
    </row>
    <row r="30" spans="1:12" ht="12" customHeight="1" x14ac:dyDescent="0.2">
      <c r="A30" s="300"/>
      <c r="B30" s="300"/>
      <c r="C30" s="305"/>
      <c r="D30" s="153" t="s">
        <v>386</v>
      </c>
      <c r="E30" s="306"/>
      <c r="F30" s="303"/>
      <c r="H30" s="806" t="s">
        <v>387</v>
      </c>
      <c r="I30" s="806"/>
      <c r="J30" s="810"/>
      <c r="K30" s="48">
        <v>0</v>
      </c>
      <c r="L30" s="307" t="s">
        <v>24</v>
      </c>
    </row>
    <row r="31" spans="1:12" ht="12" customHeight="1" x14ac:dyDescent="0.2">
      <c r="A31" s="300"/>
      <c r="B31" s="300"/>
      <c r="C31" s="305"/>
      <c r="D31" s="153" t="s">
        <v>388</v>
      </c>
      <c r="E31" s="308" t="s">
        <v>389</v>
      </c>
      <c r="F31" s="303"/>
      <c r="H31" s="806" t="s">
        <v>390</v>
      </c>
      <c r="I31" s="806"/>
      <c r="J31" s="810"/>
      <c r="K31" s="48">
        <v>0</v>
      </c>
      <c r="L31" s="307" t="s">
        <v>26</v>
      </c>
    </row>
    <row r="32" spans="1:12" ht="12" customHeight="1" x14ac:dyDescent="0.2">
      <c r="A32" s="300"/>
      <c r="B32" s="300"/>
      <c r="C32" s="305"/>
      <c r="D32" s="309" t="s">
        <v>391</v>
      </c>
      <c r="E32" s="310" t="s">
        <v>370</v>
      </c>
      <c r="F32" s="300"/>
      <c r="H32" s="806" t="s">
        <v>392</v>
      </c>
      <c r="I32" s="806"/>
      <c r="J32" s="810"/>
      <c r="K32" s="48">
        <f>CashBal</f>
        <v>109717</v>
      </c>
      <c r="L32" s="307" t="s">
        <v>28</v>
      </c>
    </row>
    <row r="33" spans="1:12" ht="12" customHeight="1" x14ac:dyDescent="0.2">
      <c r="A33" s="804" t="s">
        <v>393</v>
      </c>
      <c r="B33" s="804"/>
      <c r="C33" s="311"/>
      <c r="D33" s="598">
        <f t="array" ref="D33">SUM(SUMIFS('Accounting data'!$G$2:$G$37000,'Accounting data'!$I$2:$I$37000,"7*",'Accounting data'!$J$2:$J$37000,{"1*","2*","3*","4*","5*"},'Accounting data'!$K$2:$K$37000,"6*"))-SUM(SUMIFS('Accounting data'!$G$2:$G$37000,'Accounting data'!$I$2:$I$37000,"7*",'Accounting data'!$J$2:$J$37000,{"1*","2*","3*","4*","5*"},'Accounting data'!$K$2:$K$37000,"67*"))-SUM(SUMIFS('Accounting data'!$G$2:$G$37000,'Accounting data'!$I$2:$I$37000,"7*",'Accounting data'!$J$2:$J$37000,{"1*","2*","3*","4*","5*"},'Accounting data'!$K$2:$K$37000,"69*"))</f>
        <v>0</v>
      </c>
      <c r="E33" s="48">
        <v>0</v>
      </c>
      <c r="F33" s="312" t="s">
        <v>24</v>
      </c>
      <c r="H33" s="154"/>
      <c r="I33" s="154"/>
      <c r="J33" s="154"/>
      <c r="K33" s="313"/>
    </row>
    <row r="34" spans="1:12" ht="12" customHeight="1" x14ac:dyDescent="0.2">
      <c r="A34" s="806" t="s">
        <v>394</v>
      </c>
      <c r="B34" s="806"/>
      <c r="C34" s="628"/>
      <c r="D34" s="598">
        <f t="array" ref="D34">SUM(SUMIFS('Accounting data'!$G$2:$G$37000,'Accounting data'!$I$2:$I$37000,"8*",'Accounting data'!$J$2:$J$37000,{"1*","2*","3*","4*","5*"},'Accounting data'!$K$2:$K$37000,"6*"))-SUM(SUMIFS('Accounting data'!$G$2:$G$37000,'Accounting data'!$I$2:$I$37000,"8*",'Accounting data'!$J$2:$J$37000,{"1*","2*","3*","4*","5*"},'Accounting data'!$K$2:$K$37000,"67*"))-SUM(SUMIFS('Accounting data'!$G$2:$G$37000,'Accounting data'!$I$2:$I$37000,"8*",'Accounting data'!$J$2:$J$37000,{"1*","2*","3*","4*","5*"},'Accounting data'!$K$2:$K$37000,"69*"))</f>
        <v>0</v>
      </c>
      <c r="E34" s="48">
        <v>0</v>
      </c>
      <c r="F34" s="312" t="s">
        <v>26</v>
      </c>
      <c r="H34" s="154"/>
      <c r="I34" s="154"/>
      <c r="J34" s="154"/>
      <c r="K34" s="313"/>
    </row>
    <row r="35" spans="1:12" ht="12" customHeight="1" x14ac:dyDescent="0.2">
      <c r="A35" s="806" t="s">
        <v>395</v>
      </c>
      <c r="B35" s="806"/>
      <c r="C35" s="628"/>
      <c r="D35" s="598">
        <f t="array" ref="D35">SUM(SUMIFS('Accounting data'!$G$2:$G$37000,'Accounting data'!$I$2:$I$37000,"9*",'Accounting data'!$J$2:$J$37000,{"1*","2*","3*","4*","5*"},'Accounting data'!$K$2:$K$37000,"6*"))-SUM(SUMIFS('Accounting data'!$G$2:$G$37000,'Accounting data'!$I$2:$I$37000,"9*",'Accounting data'!$J$2:$J$37000,{"1*","2*","3*","4*","5*"},'Accounting data'!$K$2:$K$37000,"67*"))-SUM(SUMIFS('Accounting data'!$G$2:$G$37000,'Accounting data'!$I$2:$I$37000,"9*",'Accounting data'!$J$2:$J$37000,{"1*","2*","3*","4*","5*"},'Accounting data'!$K$2:$K$37000,"69*"))</f>
        <v>0</v>
      </c>
      <c r="E35" s="48">
        <v>0</v>
      </c>
      <c r="F35" s="312" t="s">
        <v>28</v>
      </c>
      <c r="H35" s="304" t="s">
        <v>396</v>
      </c>
      <c r="I35" s="219"/>
      <c r="J35" s="154"/>
      <c r="K35" s="313"/>
    </row>
    <row r="36" spans="1:12" ht="12" customHeight="1" x14ac:dyDescent="0.2">
      <c r="A36" s="806" t="s">
        <v>397</v>
      </c>
      <c r="B36" s="806"/>
      <c r="C36" s="311"/>
      <c r="D36" s="598">
        <f>Calculations!E1335</f>
        <v>0</v>
      </c>
      <c r="E36" s="48">
        <v>0</v>
      </c>
      <c r="F36" s="296" t="s">
        <v>31</v>
      </c>
      <c r="H36" s="804" t="s">
        <v>1189</v>
      </c>
      <c r="I36" s="804"/>
      <c r="J36" s="805"/>
      <c r="K36" s="48">
        <v>0</v>
      </c>
      <c r="L36" s="307" t="s">
        <v>24</v>
      </c>
    </row>
    <row r="37" spans="1:12" ht="12" customHeight="1" x14ac:dyDescent="0.2">
      <c r="C37" s="307"/>
      <c r="E37" s="157"/>
      <c r="F37" s="312"/>
      <c r="H37" s="804" t="s">
        <v>1190</v>
      </c>
      <c r="I37" s="804"/>
      <c r="J37" s="805"/>
      <c r="K37" s="48">
        <v>0</v>
      </c>
      <c r="L37" s="307" t="s">
        <v>26</v>
      </c>
    </row>
    <row r="38" spans="1:12" ht="12" customHeight="1" x14ac:dyDescent="0.2">
      <c r="C38" s="307"/>
      <c r="E38" s="157"/>
      <c r="F38" s="312"/>
      <c r="H38" s="804" t="s">
        <v>1191</v>
      </c>
      <c r="I38" s="804"/>
      <c r="J38" s="805"/>
      <c r="K38" s="48">
        <v>0</v>
      </c>
      <c r="L38" s="307" t="s">
        <v>28</v>
      </c>
    </row>
    <row r="39" spans="1:12" ht="12" customHeight="1" x14ac:dyDescent="0.2">
      <c r="A39" s="304" t="s">
        <v>398</v>
      </c>
      <c r="B39" s="219"/>
      <c r="E39" s="314" t="s">
        <v>399</v>
      </c>
      <c r="F39"/>
      <c r="H39" s="804" t="s">
        <v>1192</v>
      </c>
      <c r="I39" s="804"/>
      <c r="J39" s="805"/>
      <c r="K39" s="598">
        <f>K36+K37-K38</f>
        <v>0</v>
      </c>
      <c r="L39" s="307" t="s">
        <v>31</v>
      </c>
    </row>
    <row r="40" spans="1:12" ht="12" customHeight="1" x14ac:dyDescent="0.2">
      <c r="A40" s="807" t="s">
        <v>400</v>
      </c>
      <c r="B40" s="727"/>
      <c r="E40" s="50">
        <v>0</v>
      </c>
      <c r="F40" s="225" t="s">
        <v>24</v>
      </c>
      <c r="K40" s="313"/>
    </row>
    <row r="41" spans="1:12" ht="12" customHeight="1" x14ac:dyDescent="0.2">
      <c r="A41" s="727" t="s">
        <v>401</v>
      </c>
      <c r="B41" s="727"/>
      <c r="C41" s="315"/>
      <c r="E41" s="50">
        <v>0</v>
      </c>
      <c r="F41" s="296" t="s">
        <v>26</v>
      </c>
      <c r="H41" s="804" t="s">
        <v>1193</v>
      </c>
      <c r="I41" s="804"/>
      <c r="J41" s="804"/>
      <c r="K41" s="50">
        <v>0</v>
      </c>
      <c r="L41" s="307" t="s">
        <v>33</v>
      </c>
    </row>
    <row r="42" spans="1:12" ht="12" customHeight="1" x14ac:dyDescent="0.2">
      <c r="A42" s="727" t="s">
        <v>402</v>
      </c>
      <c r="B42" s="727"/>
      <c r="C42" s="315"/>
      <c r="E42" s="50">
        <v>0</v>
      </c>
      <c r="F42" s="296" t="s">
        <v>28</v>
      </c>
      <c r="H42" s="804" t="s">
        <v>1194</v>
      </c>
      <c r="I42" s="804"/>
      <c r="J42" s="804"/>
      <c r="K42" s="50">
        <v>0</v>
      </c>
      <c r="L42" s="307" t="s">
        <v>35</v>
      </c>
    </row>
    <row r="43" spans="1:12" ht="12" customHeight="1" x14ac:dyDescent="0.2">
      <c r="A43" s="727" t="s">
        <v>403</v>
      </c>
      <c r="B43" s="727"/>
      <c r="C43" s="315"/>
      <c r="E43" s="50">
        <v>0</v>
      </c>
      <c r="F43" s="296" t="s">
        <v>31</v>
      </c>
      <c r="K43" s="313"/>
    </row>
    <row r="44" spans="1:12" ht="12" customHeight="1" x14ac:dyDescent="0.2">
      <c r="A44" s="727" t="s">
        <v>404</v>
      </c>
      <c r="B44" s="727"/>
      <c r="C44" s="315"/>
      <c r="E44" s="50">
        <v>0</v>
      </c>
      <c r="F44" s="296" t="s">
        <v>33</v>
      </c>
      <c r="H44" s="307"/>
      <c r="I44" s="316"/>
      <c r="J44" s="316"/>
      <c r="K44" s="317"/>
      <c r="L44" s="316"/>
    </row>
    <row r="45" spans="1:12" ht="12" customHeight="1" x14ac:dyDescent="0.2">
      <c r="A45"/>
      <c r="B45"/>
      <c r="C45" s="307"/>
      <c r="E45"/>
      <c r="F45"/>
      <c r="H45" s="304" t="s">
        <v>405</v>
      </c>
      <c r="I45" s="219"/>
      <c r="J45" s="304"/>
      <c r="K45" s="313"/>
    </row>
    <row r="46" spans="1:12" ht="12.75" customHeight="1" x14ac:dyDescent="0.2">
      <c r="E46" s="318"/>
      <c r="H46" s="804" t="s">
        <v>406</v>
      </c>
      <c r="I46" s="804"/>
      <c r="J46" s="805"/>
      <c r="K46" s="48">
        <v>1749</v>
      </c>
      <c r="L46" s="307" t="s">
        <v>24</v>
      </c>
    </row>
    <row r="47" spans="1:12" ht="12.75" customHeight="1" x14ac:dyDescent="0.2">
      <c r="A47" s="319" t="s">
        <v>407</v>
      </c>
      <c r="B47" s="320"/>
      <c r="C47" s="303"/>
      <c r="E47" s="321" t="s">
        <v>360</v>
      </c>
      <c r="H47" s="804" t="s">
        <v>408</v>
      </c>
      <c r="I47" s="804"/>
      <c r="J47" s="805"/>
      <c r="K47" s="48">
        <v>15966</v>
      </c>
      <c r="L47" s="307" t="s">
        <v>26</v>
      </c>
    </row>
    <row r="48" spans="1:12" ht="12.75" customHeight="1" x14ac:dyDescent="0.2">
      <c r="A48" s="627" t="s">
        <v>409</v>
      </c>
      <c r="B48" s="627"/>
      <c r="C48" s="322"/>
      <c r="E48" s="598">
        <f>Calculations!E1082+Calculations!E1449</f>
        <v>0</v>
      </c>
      <c r="F48" s="312" t="s">
        <v>24</v>
      </c>
      <c r="G48" s="627"/>
      <c r="K48" s="313"/>
    </row>
    <row r="49" spans="1:15" ht="12.75" customHeight="1" x14ac:dyDescent="0.2">
      <c r="A49" s="804" t="s">
        <v>410</v>
      </c>
      <c r="B49" s="804"/>
      <c r="C49" s="322"/>
      <c r="E49" s="48">
        <v>0</v>
      </c>
      <c r="F49" s="312" t="s">
        <v>26</v>
      </c>
      <c r="K49" s="313"/>
    </row>
    <row r="50" spans="1:15" ht="12.75" customHeight="1" x14ac:dyDescent="0.2">
      <c r="A50" s="806" t="s">
        <v>411</v>
      </c>
      <c r="B50" s="806"/>
      <c r="E50" s="598">
        <f>Calculations!E1539-Calculations!E1449</f>
        <v>0</v>
      </c>
      <c r="F50" s="323" t="s">
        <v>28</v>
      </c>
      <c r="H50" s="304" t="s">
        <v>412</v>
      </c>
      <c r="I50" s="304"/>
      <c r="K50" s="313"/>
    </row>
    <row r="51" spans="1:15" ht="12.75" customHeight="1" x14ac:dyDescent="0.2">
      <c r="E51" s="157"/>
      <c r="G51" s="324"/>
      <c r="H51" s="157" t="s">
        <v>413</v>
      </c>
      <c r="K51" s="50">
        <v>0</v>
      </c>
      <c r="L51" s="307" t="s">
        <v>24</v>
      </c>
    </row>
    <row r="52" spans="1:15" ht="12.75" customHeight="1" x14ac:dyDescent="0.2">
      <c r="A52" s="219" t="s">
        <v>414</v>
      </c>
      <c r="B52" s="325"/>
      <c r="C52" s="307"/>
      <c r="E52" s="157"/>
      <c r="G52" s="324"/>
      <c r="H52" s="157" t="s">
        <v>415</v>
      </c>
      <c r="K52" s="50">
        <v>92</v>
      </c>
      <c r="L52" s="307" t="s">
        <v>26</v>
      </c>
      <c r="M52" s="326"/>
      <c r="N52" s="157"/>
      <c r="O52" s="157"/>
    </row>
    <row r="53" spans="1:15" ht="12.75" customHeight="1" x14ac:dyDescent="0.2">
      <c r="A53" s="154" t="s">
        <v>416</v>
      </c>
      <c r="C53" s="286"/>
      <c r="D53" s="327"/>
      <c r="E53" s="50">
        <v>0</v>
      </c>
      <c r="F53" s="328" t="s">
        <v>24</v>
      </c>
      <c r="G53" s="324"/>
      <c r="H53" s="157" t="s">
        <v>417</v>
      </c>
      <c r="K53" s="50">
        <v>0</v>
      </c>
      <c r="L53" s="286" t="s">
        <v>28</v>
      </c>
    </row>
    <row r="54" spans="1:15" ht="12.75" customHeight="1" x14ac:dyDescent="0.2">
      <c r="A54" s="154" t="s">
        <v>418</v>
      </c>
      <c r="C54" s="286"/>
      <c r="D54" s="327"/>
      <c r="E54" s="50">
        <v>0</v>
      </c>
      <c r="F54" s="328" t="s">
        <v>26</v>
      </c>
      <c r="G54" s="324"/>
      <c r="H54" s="157" t="s">
        <v>419</v>
      </c>
      <c r="K54" s="50">
        <v>17167</v>
      </c>
      <c r="L54" s="286" t="s">
        <v>31</v>
      </c>
    </row>
    <row r="55" spans="1:15" ht="12.75" customHeight="1" x14ac:dyDescent="0.2">
      <c r="A55" s="154" t="s">
        <v>420</v>
      </c>
      <c r="C55" s="286"/>
      <c r="D55" s="327"/>
      <c r="E55" s="50">
        <v>0</v>
      </c>
      <c r="F55" s="328" t="s">
        <v>28</v>
      </c>
      <c r="G55" s="324"/>
      <c r="H55" s="627" t="s">
        <v>421</v>
      </c>
      <c r="I55" s="627"/>
      <c r="J55" s="627"/>
      <c r="K55" s="50">
        <v>1145</v>
      </c>
      <c r="L55" s="286" t="s">
        <v>33</v>
      </c>
    </row>
    <row r="56" spans="1:15" ht="12.75" customHeight="1" x14ac:dyDescent="0.2">
      <c r="A56" s="154" t="s">
        <v>422</v>
      </c>
      <c r="C56" s="286"/>
      <c r="D56" s="327"/>
      <c r="E56" s="50">
        <v>0</v>
      </c>
      <c r="F56" s="328" t="s">
        <v>31</v>
      </c>
      <c r="H56" s="627" t="s">
        <v>423</v>
      </c>
      <c r="I56" s="627"/>
      <c r="J56" s="627"/>
      <c r="K56" s="50">
        <v>126269</v>
      </c>
      <c r="L56" s="286" t="s">
        <v>35</v>
      </c>
    </row>
    <row r="57" spans="1:15" ht="12.75" customHeight="1" x14ac:dyDescent="0.2">
      <c r="C57" s="329"/>
      <c r="D57" s="327"/>
      <c r="F57" s="271"/>
      <c r="G57" s="324"/>
      <c r="K57" s="313"/>
      <c r="L57" s="286"/>
    </row>
    <row r="58" spans="1:15" ht="12.75" customHeight="1" x14ac:dyDescent="0.2">
      <c r="G58" s="324"/>
      <c r="H58" s="304" t="s">
        <v>424</v>
      </c>
      <c r="I58" s="304"/>
      <c r="K58" s="313"/>
    </row>
    <row r="59" spans="1:15" ht="12.75" customHeight="1" x14ac:dyDescent="0.2">
      <c r="G59" s="324"/>
      <c r="H59" s="157" t="s">
        <v>425</v>
      </c>
      <c r="K59" s="596">
        <f>SUMIFS('Accounting data'!$G$2:$G$37000,'Accounting data'!$J$2:$J$37000,"2220*")</f>
        <v>0</v>
      </c>
      <c r="L59" s="286" t="s">
        <v>24</v>
      </c>
      <c r="M59" s="326"/>
      <c r="N59" s="157"/>
      <c r="O59" s="157"/>
    </row>
    <row r="60" spans="1:15" ht="12.75" customHeight="1" x14ac:dyDescent="0.2">
      <c r="G60" s="324"/>
      <c r="H60" s="157" t="s">
        <v>426</v>
      </c>
      <c r="K60" s="596">
        <f>SUMIFS('Accounting data'!$G$2:$G$37000,'Accounting data'!$J$2:$J$37000,"2230*")</f>
        <v>0</v>
      </c>
      <c r="L60" s="286" t="s">
        <v>26</v>
      </c>
    </row>
    <row r="61" spans="1:15" ht="15" customHeight="1" x14ac:dyDescent="0.2">
      <c r="G61" s="324"/>
    </row>
    <row r="68" spans="8:8" ht="12.75" customHeight="1" x14ac:dyDescent="0.2">
      <c r="H68" s="157" t="s">
        <v>20</v>
      </c>
    </row>
  </sheetData>
  <sheetProtection formatCells="0" formatColumns="0" formatRows="0"/>
  <mergeCells count="25">
    <mergeCell ref="F1:G1"/>
    <mergeCell ref="C4:L4"/>
    <mergeCell ref="D6:K6"/>
    <mergeCell ref="H32:J32"/>
    <mergeCell ref="H30:J30"/>
    <mergeCell ref="H31:J31"/>
    <mergeCell ref="A50:B50"/>
    <mergeCell ref="A33:B33"/>
    <mergeCell ref="A44:B44"/>
    <mergeCell ref="A40:B40"/>
    <mergeCell ref="A43:B43"/>
    <mergeCell ref="A34:B34"/>
    <mergeCell ref="H37:J37"/>
    <mergeCell ref="H46:J46"/>
    <mergeCell ref="H47:J47"/>
    <mergeCell ref="A49:B49"/>
    <mergeCell ref="A35:B35"/>
    <mergeCell ref="A36:B36"/>
    <mergeCell ref="A41:B41"/>
    <mergeCell ref="A42:B42"/>
    <mergeCell ref="H36:J36"/>
    <mergeCell ref="H42:J42"/>
    <mergeCell ref="H41:J41"/>
    <mergeCell ref="H38:J38"/>
    <mergeCell ref="H39:J39"/>
  </mergeCells>
  <conditionalFormatting sqref="E33:E36 E49 E53:E56">
    <cfRule type="expression" dxfId="39" priority="6" stopIfTrue="1">
      <formula>$E33=""</formula>
    </cfRule>
  </conditionalFormatting>
  <conditionalFormatting sqref="E40:E44">
    <cfRule type="expression" dxfId="38" priority="2" stopIfTrue="1">
      <formula>$E40=""</formula>
    </cfRule>
  </conditionalFormatting>
  <conditionalFormatting sqref="K11 K21:K22 K24:K26 K30:K32 K36:K38 K41:K42 K46:K47 K51:K56 K13:K19">
    <cfRule type="expression" dxfId="37" priority="5" stopIfTrue="1">
      <formula>$K11=""</formula>
    </cfRule>
  </conditionalFormatting>
  <conditionalFormatting sqref="K59:K60">
    <cfRule type="expression" dxfId="36" priority="3" stopIfTrue="1">
      <formula>$K59=""</formula>
    </cfRule>
  </conditionalFormatting>
  <dataValidations count="2">
    <dataValidation allowBlank="1" showInputMessage="1" showErrorMessage="1" prompt="This amount has been adjusted to include federal food service revenue amounts included on the FS AFR." sqref="G24" xr:uid="{00000000-0002-0000-0900-000000000000}"/>
    <dataValidation allowBlank="1" showInputMessage="1" showErrorMessage="1" prompt="This amount has been adjusted to exclude federal food service revenue amounts included on the FS AFR. If the amount is negative, refer to the General instructions for Page 10." sqref="G25" xr:uid="{00000000-0002-0000-0900-000001000000}"/>
  </dataValidations>
  <hyperlinks>
    <hyperlink ref="E31:E32" location="PropertyDisbursements" display="Property " xr:uid="{00000000-0004-0000-0900-000000000000}"/>
    <hyperlink ref="A39:B39" location="PropertyDisbursementsByType" display="Property Disbursements by Type" xr:uid="{00000000-0004-0000-0900-000001000000}"/>
    <hyperlink ref="A47" location="DebtService" display="Debt Service" xr:uid="{00000000-0004-0000-0900-000002000000}"/>
    <hyperlink ref="H35" location="DebtService" display="Debt Service" xr:uid="{00000000-0004-0000-0900-000003000000}"/>
    <hyperlink ref="H45" location="DebtService" display="Debt Service" xr:uid="{00000000-0004-0000-0900-000004000000}"/>
    <hyperlink ref="H35:I35" location="LongandShortTermDebt" display="Long-term and Short-term Debt" xr:uid="{00000000-0004-0000-0900-000005000000}"/>
    <hyperlink ref="H45:J45" location="UtilitiesandEnergyServices" display="Utilities and Energy Detail (Function 2600)" xr:uid="{00000000-0004-0000-0900-000006000000}"/>
    <hyperlink ref="H50" location="TechnologyDetail" display="Technology" xr:uid="{00000000-0004-0000-0900-000007000000}"/>
    <hyperlink ref="H29:J29" location="CashandInvestments" display="Cash and Investments held at June 30, 2017" xr:uid="{00000000-0004-0000-0900-000008000000}"/>
    <hyperlink ref="K9:K10" location="PropertyDisbursements" display="Property" xr:uid="{00000000-0004-0000-0900-000009000000}"/>
    <hyperlink ref="A52:B52" location="Revenue_From_Selected_Federal_Sources" display="Revenue from selected federal sources " xr:uid="{00000000-0004-0000-0900-00000A000000}"/>
    <hyperlink ref="H58" location="SupportServicesInstructionDetail" display="Support services-instruction detail" xr:uid="{00000000-0004-0000-0900-00000B000000}"/>
  </hyperlinks>
  <pageMargins left="0.75" right="0.25" top="0.25" bottom="0.25" header="0.5" footer="0.15"/>
  <pageSetup paperSize="5" scale="77" orientation="landscape" r:id="rId1"/>
  <headerFooter>
    <oddFooter>&amp;LRev. 8/24 Arizona Department of Education and Auditor General&amp;CFY 2024</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F9292-990F-4161-9B89-C3CD151F6C38}">
  <sheetPr>
    <pageSetUpPr fitToPage="1"/>
  </sheetPr>
  <dimension ref="A1:AW49"/>
  <sheetViews>
    <sheetView showGridLines="0" zoomScaleNormal="100" workbookViewId="0">
      <selection activeCell="I35" sqref="I35"/>
    </sheetView>
  </sheetViews>
  <sheetFormatPr defaultColWidth="9" defaultRowHeight="12.75" x14ac:dyDescent="0.2"/>
  <cols>
    <col min="1" max="1" width="48.33203125" style="331" customWidth="1"/>
    <col min="2" max="2" width="2.83203125" style="331" customWidth="1"/>
    <col min="3" max="3" width="35.33203125" style="331" customWidth="1"/>
    <col min="4" max="4" width="13.83203125" style="331" bestFit="1" customWidth="1"/>
    <col min="5" max="5" width="15.33203125" style="331" customWidth="1"/>
    <col min="6" max="6" width="14.1640625" style="331" customWidth="1"/>
    <col min="7" max="7" width="15.1640625" style="331" customWidth="1"/>
    <col min="8" max="8" width="13.33203125" style="332" customWidth="1"/>
    <col min="9" max="9" width="17.33203125" style="332" customWidth="1"/>
    <col min="10" max="10" width="15.1640625" style="332" customWidth="1"/>
    <col min="11" max="11" width="20.33203125" style="332" customWidth="1"/>
    <col min="12" max="12" width="16" style="331" customWidth="1"/>
    <col min="13" max="13" width="16.83203125" style="331" customWidth="1"/>
    <col min="14" max="14" width="16" style="331" customWidth="1"/>
    <col min="15" max="15" width="14.83203125" style="331" customWidth="1"/>
    <col min="16" max="16" width="17.33203125" style="331" customWidth="1"/>
    <col min="17" max="17" width="14.83203125" style="331" customWidth="1"/>
    <col min="18" max="21" width="9" style="337" customWidth="1"/>
    <col min="22" max="26" width="9" style="338" customWidth="1"/>
    <col min="27" max="27" width="8.1640625" style="338" bestFit="1" customWidth="1"/>
    <col min="28" max="29" width="9" style="338" customWidth="1"/>
    <col min="30" max="34" width="10.33203125" style="339" customWidth="1"/>
    <col min="35" max="35" width="9" style="339" customWidth="1"/>
    <col min="36" max="48" width="9" style="337" customWidth="1"/>
    <col min="49" max="256" width="9" style="331" customWidth="1"/>
    <col min="257" max="257" width="60.33203125" style="331" customWidth="1"/>
    <col min="258" max="258" width="2.83203125" style="331" customWidth="1"/>
    <col min="259" max="259" width="14.83203125" style="331" customWidth="1"/>
    <col min="260" max="260" width="13.83203125" style="331" bestFit="1" customWidth="1"/>
    <col min="261" max="261" width="15.33203125" style="331" customWidth="1"/>
    <col min="262" max="262" width="14.1640625" style="331" customWidth="1"/>
    <col min="263" max="263" width="15.1640625" style="331" customWidth="1"/>
    <col min="264" max="264" width="13.33203125" style="331" customWidth="1"/>
    <col min="265" max="265" width="17.33203125" style="331" customWidth="1"/>
    <col min="266" max="266" width="15.1640625" style="331" customWidth="1"/>
    <col min="267" max="267" width="19.6640625" style="331" customWidth="1"/>
    <col min="268" max="270" width="16" style="331" customWidth="1"/>
    <col min="271" max="271" width="14.83203125" style="331" customWidth="1"/>
    <col min="272" max="272" width="17.33203125" style="331" customWidth="1"/>
    <col min="273" max="273" width="14.83203125" style="331" customWidth="1"/>
    <col min="274" max="282" width="9" style="331" customWidth="1"/>
    <col min="283" max="283" width="7.1640625" style="331" bestFit="1" customWidth="1"/>
    <col min="284" max="285" width="9" style="331" customWidth="1"/>
    <col min="286" max="290" width="10.33203125" style="331" customWidth="1"/>
    <col min="291" max="512" width="9" style="331" customWidth="1"/>
    <col min="513" max="513" width="60.33203125" style="331" customWidth="1"/>
    <col min="514" max="514" width="2.83203125" style="331" customWidth="1"/>
    <col min="515" max="515" width="14.83203125" style="331" customWidth="1"/>
    <col min="516" max="516" width="13.83203125" style="331" bestFit="1" customWidth="1"/>
    <col min="517" max="517" width="15.33203125" style="331" customWidth="1"/>
    <col min="518" max="518" width="14.1640625" style="331" customWidth="1"/>
    <col min="519" max="519" width="15.1640625" style="331" customWidth="1"/>
    <col min="520" max="520" width="13.33203125" style="331" customWidth="1"/>
    <col min="521" max="521" width="17.33203125" style="331" customWidth="1"/>
    <col min="522" max="522" width="15.1640625" style="331" customWidth="1"/>
    <col min="523" max="523" width="19.6640625" style="331" customWidth="1"/>
    <col min="524" max="526" width="16" style="331" customWidth="1"/>
    <col min="527" max="527" width="14.83203125" style="331" customWidth="1"/>
    <col min="528" max="528" width="17.33203125" style="331" customWidth="1"/>
    <col min="529" max="529" width="14.83203125" style="331" customWidth="1"/>
    <col min="530" max="538" width="9" style="331" customWidth="1"/>
    <col min="539" max="539" width="7.1640625" style="331" bestFit="1" customWidth="1"/>
    <col min="540" max="541" width="9" style="331" customWidth="1"/>
    <col min="542" max="546" width="10.33203125" style="331" customWidth="1"/>
    <col min="547" max="768" width="9" style="331" customWidth="1"/>
    <col min="769" max="769" width="60.33203125" style="331" customWidth="1"/>
    <col min="770" max="770" width="2.83203125" style="331" customWidth="1"/>
    <col min="771" max="771" width="14.83203125" style="331" customWidth="1"/>
    <col min="772" max="772" width="13.83203125" style="331" bestFit="1" customWidth="1"/>
    <col min="773" max="773" width="15.33203125" style="331" customWidth="1"/>
    <col min="774" max="774" width="14.1640625" style="331" customWidth="1"/>
    <col min="775" max="775" width="15.1640625" style="331" customWidth="1"/>
    <col min="776" max="776" width="13.33203125" style="331" customWidth="1"/>
    <col min="777" max="777" width="17.33203125" style="331" customWidth="1"/>
    <col min="778" max="778" width="15.1640625" style="331" customWidth="1"/>
    <col min="779" max="779" width="19.6640625" style="331" customWidth="1"/>
    <col min="780" max="782" width="16" style="331" customWidth="1"/>
    <col min="783" max="783" width="14.83203125" style="331" customWidth="1"/>
    <col min="784" max="784" width="17.33203125" style="331" customWidth="1"/>
    <col min="785" max="785" width="14.83203125" style="331" customWidth="1"/>
    <col min="786" max="794" width="9" style="331" customWidth="1"/>
    <col min="795" max="795" width="7.1640625" style="331" bestFit="1" customWidth="1"/>
    <col min="796" max="797" width="9" style="331" customWidth="1"/>
    <col min="798" max="802" width="10.33203125" style="331" customWidth="1"/>
    <col min="803" max="1024" width="9" style="331" customWidth="1"/>
    <col min="1025" max="1025" width="60.33203125" style="331" customWidth="1"/>
    <col min="1026" max="1026" width="2.83203125" style="331" customWidth="1"/>
    <col min="1027" max="1027" width="14.83203125" style="331" customWidth="1"/>
    <col min="1028" max="1028" width="13.83203125" style="331" bestFit="1" customWidth="1"/>
    <col min="1029" max="1029" width="15.33203125" style="331" customWidth="1"/>
    <col min="1030" max="1030" width="14.1640625" style="331" customWidth="1"/>
    <col min="1031" max="1031" width="15.1640625" style="331" customWidth="1"/>
    <col min="1032" max="1032" width="13.33203125" style="331" customWidth="1"/>
    <col min="1033" max="1033" width="17.33203125" style="331" customWidth="1"/>
    <col min="1034" max="1034" width="15.1640625" style="331" customWidth="1"/>
    <col min="1035" max="1035" width="19.6640625" style="331" customWidth="1"/>
    <col min="1036" max="1038" width="16" style="331" customWidth="1"/>
    <col min="1039" max="1039" width="14.83203125" style="331" customWidth="1"/>
    <col min="1040" max="1040" width="17.33203125" style="331" customWidth="1"/>
    <col min="1041" max="1041" width="14.83203125" style="331" customWidth="1"/>
    <col min="1042" max="1050" width="9" style="331" customWidth="1"/>
    <col min="1051" max="1051" width="7.1640625" style="331" bestFit="1" customWidth="1"/>
    <col min="1052" max="1053" width="9" style="331" customWidth="1"/>
    <col min="1054" max="1058" width="10.33203125" style="331" customWidth="1"/>
    <col min="1059" max="1280" width="9" style="331" customWidth="1"/>
    <col min="1281" max="1281" width="60.33203125" style="331" customWidth="1"/>
    <col min="1282" max="1282" width="2.83203125" style="331" customWidth="1"/>
    <col min="1283" max="1283" width="14.83203125" style="331" customWidth="1"/>
    <col min="1284" max="1284" width="13.83203125" style="331" bestFit="1" customWidth="1"/>
    <col min="1285" max="1285" width="15.33203125" style="331" customWidth="1"/>
    <col min="1286" max="1286" width="14.1640625" style="331" customWidth="1"/>
    <col min="1287" max="1287" width="15.1640625" style="331" customWidth="1"/>
    <col min="1288" max="1288" width="13.33203125" style="331" customWidth="1"/>
    <col min="1289" max="1289" width="17.33203125" style="331" customWidth="1"/>
    <col min="1290" max="1290" width="15.1640625" style="331" customWidth="1"/>
    <col min="1291" max="1291" width="19.6640625" style="331" customWidth="1"/>
    <col min="1292" max="1294" width="16" style="331" customWidth="1"/>
    <col min="1295" max="1295" width="14.83203125" style="331" customWidth="1"/>
    <col min="1296" max="1296" width="17.33203125" style="331" customWidth="1"/>
    <col min="1297" max="1297" width="14.83203125" style="331" customWidth="1"/>
    <col min="1298" max="1306" width="9" style="331" customWidth="1"/>
    <col min="1307" max="1307" width="7.1640625" style="331" bestFit="1" customWidth="1"/>
    <col min="1308" max="1309" width="9" style="331" customWidth="1"/>
    <col min="1310" max="1314" width="10.33203125" style="331" customWidth="1"/>
    <col min="1315" max="1536" width="9" style="331" customWidth="1"/>
    <col min="1537" max="1537" width="60.33203125" style="331" customWidth="1"/>
    <col min="1538" max="1538" width="2.83203125" style="331" customWidth="1"/>
    <col min="1539" max="1539" width="14.83203125" style="331" customWidth="1"/>
    <col min="1540" max="1540" width="13.83203125" style="331" bestFit="1" customWidth="1"/>
    <col min="1541" max="1541" width="15.33203125" style="331" customWidth="1"/>
    <col min="1542" max="1542" width="14.1640625" style="331" customWidth="1"/>
    <col min="1543" max="1543" width="15.1640625" style="331" customWidth="1"/>
    <col min="1544" max="1544" width="13.33203125" style="331" customWidth="1"/>
    <col min="1545" max="1545" width="17.33203125" style="331" customWidth="1"/>
    <col min="1546" max="1546" width="15.1640625" style="331" customWidth="1"/>
    <col min="1547" max="1547" width="19.6640625" style="331" customWidth="1"/>
    <col min="1548" max="1550" width="16" style="331" customWidth="1"/>
    <col min="1551" max="1551" width="14.83203125" style="331" customWidth="1"/>
    <col min="1552" max="1552" width="17.33203125" style="331" customWidth="1"/>
    <col min="1553" max="1553" width="14.83203125" style="331" customWidth="1"/>
    <col min="1554" max="1562" width="9" style="331" customWidth="1"/>
    <col min="1563" max="1563" width="7.1640625" style="331" bestFit="1" customWidth="1"/>
    <col min="1564" max="1565" width="9" style="331" customWidth="1"/>
    <col min="1566" max="1570" width="10.33203125" style="331" customWidth="1"/>
    <col min="1571" max="1792" width="9" style="331" customWidth="1"/>
    <col min="1793" max="1793" width="60.33203125" style="331" customWidth="1"/>
    <col min="1794" max="1794" width="2.83203125" style="331" customWidth="1"/>
    <col min="1795" max="1795" width="14.83203125" style="331" customWidth="1"/>
    <col min="1796" max="1796" width="13.83203125" style="331" bestFit="1" customWidth="1"/>
    <col min="1797" max="1797" width="15.33203125" style="331" customWidth="1"/>
    <col min="1798" max="1798" width="14.1640625" style="331" customWidth="1"/>
    <col min="1799" max="1799" width="15.1640625" style="331" customWidth="1"/>
    <col min="1800" max="1800" width="13.33203125" style="331" customWidth="1"/>
    <col min="1801" max="1801" width="17.33203125" style="331" customWidth="1"/>
    <col min="1802" max="1802" width="15.1640625" style="331" customWidth="1"/>
    <col min="1803" max="1803" width="19.6640625" style="331" customWidth="1"/>
    <col min="1804" max="1806" width="16" style="331" customWidth="1"/>
    <col min="1807" max="1807" width="14.83203125" style="331" customWidth="1"/>
    <col min="1808" max="1808" width="17.33203125" style="331" customWidth="1"/>
    <col min="1809" max="1809" width="14.83203125" style="331" customWidth="1"/>
    <col min="1810" max="1818" width="9" style="331" customWidth="1"/>
    <col min="1819" max="1819" width="7.1640625" style="331" bestFit="1" customWidth="1"/>
    <col min="1820" max="1821" width="9" style="331" customWidth="1"/>
    <col min="1822" max="1826" width="10.33203125" style="331" customWidth="1"/>
    <col min="1827" max="2048" width="9" style="331" customWidth="1"/>
    <col min="2049" max="2049" width="60.33203125" style="331" customWidth="1"/>
    <col min="2050" max="2050" width="2.83203125" style="331" customWidth="1"/>
    <col min="2051" max="2051" width="14.83203125" style="331" customWidth="1"/>
    <col min="2052" max="2052" width="13.83203125" style="331" bestFit="1" customWidth="1"/>
    <col min="2053" max="2053" width="15.33203125" style="331" customWidth="1"/>
    <col min="2054" max="2054" width="14.1640625" style="331" customWidth="1"/>
    <col min="2055" max="2055" width="15.1640625" style="331" customWidth="1"/>
    <col min="2056" max="2056" width="13.33203125" style="331" customWidth="1"/>
    <col min="2057" max="2057" width="17.33203125" style="331" customWidth="1"/>
    <col min="2058" max="2058" width="15.1640625" style="331" customWidth="1"/>
    <col min="2059" max="2059" width="19.6640625" style="331" customWidth="1"/>
    <col min="2060" max="2062" width="16" style="331" customWidth="1"/>
    <col min="2063" max="2063" width="14.83203125" style="331" customWidth="1"/>
    <col min="2064" max="2064" width="17.33203125" style="331" customWidth="1"/>
    <col min="2065" max="2065" width="14.83203125" style="331" customWidth="1"/>
    <col min="2066" max="2074" width="9" style="331" customWidth="1"/>
    <col min="2075" max="2075" width="7.1640625" style="331" bestFit="1" customWidth="1"/>
    <col min="2076" max="2077" width="9" style="331" customWidth="1"/>
    <col min="2078" max="2082" width="10.33203125" style="331" customWidth="1"/>
    <col min="2083" max="2304" width="9" style="331" customWidth="1"/>
    <col min="2305" max="2305" width="60.33203125" style="331" customWidth="1"/>
    <col min="2306" max="2306" width="2.83203125" style="331" customWidth="1"/>
    <col min="2307" max="2307" width="14.83203125" style="331" customWidth="1"/>
    <col min="2308" max="2308" width="13.83203125" style="331" bestFit="1" customWidth="1"/>
    <col min="2309" max="2309" width="15.33203125" style="331" customWidth="1"/>
    <col min="2310" max="2310" width="14.1640625" style="331" customWidth="1"/>
    <col min="2311" max="2311" width="15.1640625" style="331" customWidth="1"/>
    <col min="2312" max="2312" width="13.33203125" style="331" customWidth="1"/>
    <col min="2313" max="2313" width="17.33203125" style="331" customWidth="1"/>
    <col min="2314" max="2314" width="15.1640625" style="331" customWidth="1"/>
    <col min="2315" max="2315" width="19.6640625" style="331" customWidth="1"/>
    <col min="2316" max="2318" width="16" style="331" customWidth="1"/>
    <col min="2319" max="2319" width="14.83203125" style="331" customWidth="1"/>
    <col min="2320" max="2320" width="17.33203125" style="331" customWidth="1"/>
    <col min="2321" max="2321" width="14.83203125" style="331" customWidth="1"/>
    <col min="2322" max="2330" width="9" style="331" customWidth="1"/>
    <col min="2331" max="2331" width="7.1640625" style="331" bestFit="1" customWidth="1"/>
    <col min="2332" max="2333" width="9" style="331" customWidth="1"/>
    <col min="2334" max="2338" width="10.33203125" style="331" customWidth="1"/>
    <col min="2339" max="2560" width="9" style="331" customWidth="1"/>
    <col min="2561" max="2561" width="60.33203125" style="331" customWidth="1"/>
    <col min="2562" max="2562" width="2.83203125" style="331" customWidth="1"/>
    <col min="2563" max="2563" width="14.83203125" style="331" customWidth="1"/>
    <col min="2564" max="2564" width="13.83203125" style="331" bestFit="1" customWidth="1"/>
    <col min="2565" max="2565" width="15.33203125" style="331" customWidth="1"/>
    <col min="2566" max="2566" width="14.1640625" style="331" customWidth="1"/>
    <col min="2567" max="2567" width="15.1640625" style="331" customWidth="1"/>
    <col min="2568" max="2568" width="13.33203125" style="331" customWidth="1"/>
    <col min="2569" max="2569" width="17.33203125" style="331" customWidth="1"/>
    <col min="2570" max="2570" width="15.1640625" style="331" customWidth="1"/>
    <col min="2571" max="2571" width="19.6640625" style="331" customWidth="1"/>
    <col min="2572" max="2574" width="16" style="331" customWidth="1"/>
    <col min="2575" max="2575" width="14.83203125" style="331" customWidth="1"/>
    <col min="2576" max="2576" width="17.33203125" style="331" customWidth="1"/>
    <col min="2577" max="2577" width="14.83203125" style="331" customWidth="1"/>
    <col min="2578" max="2586" width="9" style="331" customWidth="1"/>
    <col min="2587" max="2587" width="7.1640625" style="331" bestFit="1" customWidth="1"/>
    <col min="2588" max="2589" width="9" style="331" customWidth="1"/>
    <col min="2590" max="2594" width="10.33203125" style="331" customWidth="1"/>
    <col min="2595" max="2816" width="9" style="331" customWidth="1"/>
    <col min="2817" max="2817" width="60.33203125" style="331" customWidth="1"/>
    <col min="2818" max="2818" width="2.83203125" style="331" customWidth="1"/>
    <col min="2819" max="2819" width="14.83203125" style="331" customWidth="1"/>
    <col min="2820" max="2820" width="13.83203125" style="331" bestFit="1" customWidth="1"/>
    <col min="2821" max="2821" width="15.33203125" style="331" customWidth="1"/>
    <col min="2822" max="2822" width="14.1640625" style="331" customWidth="1"/>
    <col min="2823" max="2823" width="15.1640625" style="331" customWidth="1"/>
    <col min="2824" max="2824" width="13.33203125" style="331" customWidth="1"/>
    <col min="2825" max="2825" width="17.33203125" style="331" customWidth="1"/>
    <col min="2826" max="2826" width="15.1640625" style="331" customWidth="1"/>
    <col min="2827" max="2827" width="19.6640625" style="331" customWidth="1"/>
    <col min="2828" max="2830" width="16" style="331" customWidth="1"/>
    <col min="2831" max="2831" width="14.83203125" style="331" customWidth="1"/>
    <col min="2832" max="2832" width="17.33203125" style="331" customWidth="1"/>
    <col min="2833" max="2833" width="14.83203125" style="331" customWidth="1"/>
    <col min="2834" max="2842" width="9" style="331" customWidth="1"/>
    <col min="2843" max="2843" width="7.1640625" style="331" bestFit="1" customWidth="1"/>
    <col min="2844" max="2845" width="9" style="331" customWidth="1"/>
    <col min="2846" max="2850" width="10.33203125" style="331" customWidth="1"/>
    <col min="2851" max="3072" width="9" style="331" customWidth="1"/>
    <col min="3073" max="3073" width="60.33203125" style="331" customWidth="1"/>
    <col min="3074" max="3074" width="2.83203125" style="331" customWidth="1"/>
    <col min="3075" max="3075" width="14.83203125" style="331" customWidth="1"/>
    <col min="3076" max="3076" width="13.83203125" style="331" bestFit="1" customWidth="1"/>
    <col min="3077" max="3077" width="15.33203125" style="331" customWidth="1"/>
    <col min="3078" max="3078" width="14.1640625" style="331" customWidth="1"/>
    <col min="3079" max="3079" width="15.1640625" style="331" customWidth="1"/>
    <col min="3080" max="3080" width="13.33203125" style="331" customWidth="1"/>
    <col min="3081" max="3081" width="17.33203125" style="331" customWidth="1"/>
    <col min="3082" max="3082" width="15.1640625" style="331" customWidth="1"/>
    <col min="3083" max="3083" width="19.6640625" style="331" customWidth="1"/>
    <col min="3084" max="3086" width="16" style="331" customWidth="1"/>
    <col min="3087" max="3087" width="14.83203125" style="331" customWidth="1"/>
    <col min="3088" max="3088" width="17.33203125" style="331" customWidth="1"/>
    <col min="3089" max="3089" width="14.83203125" style="331" customWidth="1"/>
    <col min="3090" max="3098" width="9" style="331" customWidth="1"/>
    <col min="3099" max="3099" width="7.1640625" style="331" bestFit="1" customWidth="1"/>
    <col min="3100" max="3101" width="9" style="331" customWidth="1"/>
    <col min="3102" max="3106" width="10.33203125" style="331" customWidth="1"/>
    <col min="3107" max="3328" width="9" style="331" customWidth="1"/>
    <col min="3329" max="3329" width="60.33203125" style="331" customWidth="1"/>
    <col min="3330" max="3330" width="2.83203125" style="331" customWidth="1"/>
    <col min="3331" max="3331" width="14.83203125" style="331" customWidth="1"/>
    <col min="3332" max="3332" width="13.83203125" style="331" bestFit="1" customWidth="1"/>
    <col min="3333" max="3333" width="15.33203125" style="331" customWidth="1"/>
    <col min="3334" max="3334" width="14.1640625" style="331" customWidth="1"/>
    <col min="3335" max="3335" width="15.1640625" style="331" customWidth="1"/>
    <col min="3336" max="3336" width="13.33203125" style="331" customWidth="1"/>
    <col min="3337" max="3337" width="17.33203125" style="331" customWidth="1"/>
    <col min="3338" max="3338" width="15.1640625" style="331" customWidth="1"/>
    <col min="3339" max="3339" width="19.6640625" style="331" customWidth="1"/>
    <col min="3340" max="3342" width="16" style="331" customWidth="1"/>
    <col min="3343" max="3343" width="14.83203125" style="331" customWidth="1"/>
    <col min="3344" max="3344" width="17.33203125" style="331" customWidth="1"/>
    <col min="3345" max="3345" width="14.83203125" style="331" customWidth="1"/>
    <col min="3346" max="3354" width="9" style="331" customWidth="1"/>
    <col min="3355" max="3355" width="7.1640625" style="331" bestFit="1" customWidth="1"/>
    <col min="3356" max="3357" width="9" style="331" customWidth="1"/>
    <col min="3358" max="3362" width="10.33203125" style="331" customWidth="1"/>
    <col min="3363" max="3584" width="9" style="331" customWidth="1"/>
    <col min="3585" max="3585" width="60.33203125" style="331" customWidth="1"/>
    <col min="3586" max="3586" width="2.83203125" style="331" customWidth="1"/>
    <col min="3587" max="3587" width="14.83203125" style="331" customWidth="1"/>
    <col min="3588" max="3588" width="13.83203125" style="331" bestFit="1" customWidth="1"/>
    <col min="3589" max="3589" width="15.33203125" style="331" customWidth="1"/>
    <col min="3590" max="3590" width="14.1640625" style="331" customWidth="1"/>
    <col min="3591" max="3591" width="15.1640625" style="331" customWidth="1"/>
    <col min="3592" max="3592" width="13.33203125" style="331" customWidth="1"/>
    <col min="3593" max="3593" width="17.33203125" style="331" customWidth="1"/>
    <col min="3594" max="3594" width="15.1640625" style="331" customWidth="1"/>
    <col min="3595" max="3595" width="19.6640625" style="331" customWidth="1"/>
    <col min="3596" max="3598" width="16" style="331" customWidth="1"/>
    <col min="3599" max="3599" width="14.83203125" style="331" customWidth="1"/>
    <col min="3600" max="3600" width="17.33203125" style="331" customWidth="1"/>
    <col min="3601" max="3601" width="14.83203125" style="331" customWidth="1"/>
    <col min="3602" max="3610" width="9" style="331" customWidth="1"/>
    <col min="3611" max="3611" width="7.1640625" style="331" bestFit="1" customWidth="1"/>
    <col min="3612" max="3613" width="9" style="331" customWidth="1"/>
    <col min="3614" max="3618" width="10.33203125" style="331" customWidth="1"/>
    <col min="3619" max="3840" width="9" style="331" customWidth="1"/>
    <col min="3841" max="3841" width="60.33203125" style="331" customWidth="1"/>
    <col min="3842" max="3842" width="2.83203125" style="331" customWidth="1"/>
    <col min="3843" max="3843" width="14.83203125" style="331" customWidth="1"/>
    <col min="3844" max="3844" width="13.83203125" style="331" bestFit="1" customWidth="1"/>
    <col min="3845" max="3845" width="15.33203125" style="331" customWidth="1"/>
    <col min="3846" max="3846" width="14.1640625" style="331" customWidth="1"/>
    <col min="3847" max="3847" width="15.1640625" style="331" customWidth="1"/>
    <col min="3848" max="3848" width="13.33203125" style="331" customWidth="1"/>
    <col min="3849" max="3849" width="17.33203125" style="331" customWidth="1"/>
    <col min="3850" max="3850" width="15.1640625" style="331" customWidth="1"/>
    <col min="3851" max="3851" width="19.6640625" style="331" customWidth="1"/>
    <col min="3852" max="3854" width="16" style="331" customWidth="1"/>
    <col min="3855" max="3855" width="14.83203125" style="331" customWidth="1"/>
    <col min="3856" max="3856" width="17.33203125" style="331" customWidth="1"/>
    <col min="3857" max="3857" width="14.83203125" style="331" customWidth="1"/>
    <col min="3858" max="3866" width="9" style="331" customWidth="1"/>
    <col min="3867" max="3867" width="7.1640625" style="331" bestFit="1" customWidth="1"/>
    <col min="3868" max="3869" width="9" style="331" customWidth="1"/>
    <col min="3870" max="3874" width="10.33203125" style="331" customWidth="1"/>
    <col min="3875" max="4096" width="9" style="331" customWidth="1"/>
    <col min="4097" max="4097" width="60.33203125" style="331" customWidth="1"/>
    <col min="4098" max="4098" width="2.83203125" style="331" customWidth="1"/>
    <col min="4099" max="4099" width="14.83203125" style="331" customWidth="1"/>
    <col min="4100" max="4100" width="13.83203125" style="331" bestFit="1" customWidth="1"/>
    <col min="4101" max="4101" width="15.33203125" style="331" customWidth="1"/>
    <col min="4102" max="4102" width="14.1640625" style="331" customWidth="1"/>
    <col min="4103" max="4103" width="15.1640625" style="331" customWidth="1"/>
    <col min="4104" max="4104" width="13.33203125" style="331" customWidth="1"/>
    <col min="4105" max="4105" width="17.33203125" style="331" customWidth="1"/>
    <col min="4106" max="4106" width="15.1640625" style="331" customWidth="1"/>
    <col min="4107" max="4107" width="19.6640625" style="331" customWidth="1"/>
    <col min="4108" max="4110" width="16" style="331" customWidth="1"/>
    <col min="4111" max="4111" width="14.83203125" style="331" customWidth="1"/>
    <col min="4112" max="4112" width="17.33203125" style="331" customWidth="1"/>
    <col min="4113" max="4113" width="14.83203125" style="331" customWidth="1"/>
    <col min="4114" max="4122" width="9" style="331" customWidth="1"/>
    <col min="4123" max="4123" width="7.1640625" style="331" bestFit="1" customWidth="1"/>
    <col min="4124" max="4125" width="9" style="331" customWidth="1"/>
    <col min="4126" max="4130" width="10.33203125" style="331" customWidth="1"/>
    <col min="4131" max="4352" width="9" style="331" customWidth="1"/>
    <col min="4353" max="4353" width="60.33203125" style="331" customWidth="1"/>
    <col min="4354" max="4354" width="2.83203125" style="331" customWidth="1"/>
    <col min="4355" max="4355" width="14.83203125" style="331" customWidth="1"/>
    <col min="4356" max="4356" width="13.83203125" style="331" bestFit="1" customWidth="1"/>
    <col min="4357" max="4357" width="15.33203125" style="331" customWidth="1"/>
    <col min="4358" max="4358" width="14.1640625" style="331" customWidth="1"/>
    <col min="4359" max="4359" width="15.1640625" style="331" customWidth="1"/>
    <col min="4360" max="4360" width="13.33203125" style="331" customWidth="1"/>
    <col min="4361" max="4361" width="17.33203125" style="331" customWidth="1"/>
    <col min="4362" max="4362" width="15.1640625" style="331" customWidth="1"/>
    <col min="4363" max="4363" width="19.6640625" style="331" customWidth="1"/>
    <col min="4364" max="4366" width="16" style="331" customWidth="1"/>
    <col min="4367" max="4367" width="14.83203125" style="331" customWidth="1"/>
    <col min="4368" max="4368" width="17.33203125" style="331" customWidth="1"/>
    <col min="4369" max="4369" width="14.83203125" style="331" customWidth="1"/>
    <col min="4370" max="4378" width="9" style="331" customWidth="1"/>
    <col min="4379" max="4379" width="7.1640625" style="331" bestFit="1" customWidth="1"/>
    <col min="4380" max="4381" width="9" style="331" customWidth="1"/>
    <col min="4382" max="4386" width="10.33203125" style="331" customWidth="1"/>
    <col min="4387" max="4608" width="9" style="331" customWidth="1"/>
    <col min="4609" max="4609" width="60.33203125" style="331" customWidth="1"/>
    <col min="4610" max="4610" width="2.83203125" style="331" customWidth="1"/>
    <col min="4611" max="4611" width="14.83203125" style="331" customWidth="1"/>
    <col min="4612" max="4612" width="13.83203125" style="331" bestFit="1" customWidth="1"/>
    <col min="4613" max="4613" width="15.33203125" style="331" customWidth="1"/>
    <col min="4614" max="4614" width="14.1640625" style="331" customWidth="1"/>
    <col min="4615" max="4615" width="15.1640625" style="331" customWidth="1"/>
    <col min="4616" max="4616" width="13.33203125" style="331" customWidth="1"/>
    <col min="4617" max="4617" width="17.33203125" style="331" customWidth="1"/>
    <col min="4618" max="4618" width="15.1640625" style="331" customWidth="1"/>
    <col min="4619" max="4619" width="19.6640625" style="331" customWidth="1"/>
    <col min="4620" max="4622" width="16" style="331" customWidth="1"/>
    <col min="4623" max="4623" width="14.83203125" style="331" customWidth="1"/>
    <col min="4624" max="4624" width="17.33203125" style="331" customWidth="1"/>
    <col min="4625" max="4625" width="14.83203125" style="331" customWidth="1"/>
    <col min="4626" max="4634" width="9" style="331" customWidth="1"/>
    <col min="4635" max="4635" width="7.1640625" style="331" bestFit="1" customWidth="1"/>
    <col min="4636" max="4637" width="9" style="331" customWidth="1"/>
    <col min="4638" max="4642" width="10.33203125" style="331" customWidth="1"/>
    <col min="4643" max="4864" width="9" style="331" customWidth="1"/>
    <col min="4865" max="4865" width="60.33203125" style="331" customWidth="1"/>
    <col min="4866" max="4866" width="2.83203125" style="331" customWidth="1"/>
    <col min="4867" max="4867" width="14.83203125" style="331" customWidth="1"/>
    <col min="4868" max="4868" width="13.83203125" style="331" bestFit="1" customWidth="1"/>
    <col min="4869" max="4869" width="15.33203125" style="331" customWidth="1"/>
    <col min="4870" max="4870" width="14.1640625" style="331" customWidth="1"/>
    <col min="4871" max="4871" width="15.1640625" style="331" customWidth="1"/>
    <col min="4872" max="4872" width="13.33203125" style="331" customWidth="1"/>
    <col min="4873" max="4873" width="17.33203125" style="331" customWidth="1"/>
    <col min="4874" max="4874" width="15.1640625" style="331" customWidth="1"/>
    <col min="4875" max="4875" width="19.6640625" style="331" customWidth="1"/>
    <col min="4876" max="4878" width="16" style="331" customWidth="1"/>
    <col min="4879" max="4879" width="14.83203125" style="331" customWidth="1"/>
    <col min="4880" max="4880" width="17.33203125" style="331" customWidth="1"/>
    <col min="4881" max="4881" width="14.83203125" style="331" customWidth="1"/>
    <col min="4882" max="4890" width="9" style="331" customWidth="1"/>
    <col min="4891" max="4891" width="7.1640625" style="331" bestFit="1" customWidth="1"/>
    <col min="4892" max="4893" width="9" style="331" customWidth="1"/>
    <col min="4894" max="4898" width="10.33203125" style="331" customWidth="1"/>
    <col min="4899" max="5120" width="9" style="331" customWidth="1"/>
    <col min="5121" max="5121" width="60.33203125" style="331" customWidth="1"/>
    <col min="5122" max="5122" width="2.83203125" style="331" customWidth="1"/>
    <col min="5123" max="5123" width="14.83203125" style="331" customWidth="1"/>
    <col min="5124" max="5124" width="13.83203125" style="331" bestFit="1" customWidth="1"/>
    <col min="5125" max="5125" width="15.33203125" style="331" customWidth="1"/>
    <col min="5126" max="5126" width="14.1640625" style="331" customWidth="1"/>
    <col min="5127" max="5127" width="15.1640625" style="331" customWidth="1"/>
    <col min="5128" max="5128" width="13.33203125" style="331" customWidth="1"/>
    <col min="5129" max="5129" width="17.33203125" style="331" customWidth="1"/>
    <col min="5130" max="5130" width="15.1640625" style="331" customWidth="1"/>
    <col min="5131" max="5131" width="19.6640625" style="331" customWidth="1"/>
    <col min="5132" max="5134" width="16" style="331" customWidth="1"/>
    <col min="5135" max="5135" width="14.83203125" style="331" customWidth="1"/>
    <col min="5136" max="5136" width="17.33203125" style="331" customWidth="1"/>
    <col min="5137" max="5137" width="14.83203125" style="331" customWidth="1"/>
    <col min="5138" max="5146" width="9" style="331" customWidth="1"/>
    <col min="5147" max="5147" width="7.1640625" style="331" bestFit="1" customWidth="1"/>
    <col min="5148" max="5149" width="9" style="331" customWidth="1"/>
    <col min="5150" max="5154" width="10.33203125" style="331" customWidth="1"/>
    <col min="5155" max="5376" width="9" style="331" customWidth="1"/>
    <col min="5377" max="5377" width="60.33203125" style="331" customWidth="1"/>
    <col min="5378" max="5378" width="2.83203125" style="331" customWidth="1"/>
    <col min="5379" max="5379" width="14.83203125" style="331" customWidth="1"/>
    <col min="5380" max="5380" width="13.83203125" style="331" bestFit="1" customWidth="1"/>
    <col min="5381" max="5381" width="15.33203125" style="331" customWidth="1"/>
    <col min="5382" max="5382" width="14.1640625" style="331" customWidth="1"/>
    <col min="5383" max="5383" width="15.1640625" style="331" customWidth="1"/>
    <col min="5384" max="5384" width="13.33203125" style="331" customWidth="1"/>
    <col min="5385" max="5385" width="17.33203125" style="331" customWidth="1"/>
    <col min="5386" max="5386" width="15.1640625" style="331" customWidth="1"/>
    <col min="5387" max="5387" width="19.6640625" style="331" customWidth="1"/>
    <col min="5388" max="5390" width="16" style="331" customWidth="1"/>
    <col min="5391" max="5391" width="14.83203125" style="331" customWidth="1"/>
    <col min="5392" max="5392" width="17.33203125" style="331" customWidth="1"/>
    <col min="5393" max="5393" width="14.83203125" style="331" customWidth="1"/>
    <col min="5394" max="5402" width="9" style="331" customWidth="1"/>
    <col min="5403" max="5403" width="7.1640625" style="331" bestFit="1" customWidth="1"/>
    <col min="5404" max="5405" width="9" style="331" customWidth="1"/>
    <col min="5406" max="5410" width="10.33203125" style="331" customWidth="1"/>
    <col min="5411" max="5632" width="9" style="331" customWidth="1"/>
    <col min="5633" max="5633" width="60.33203125" style="331" customWidth="1"/>
    <col min="5634" max="5634" width="2.83203125" style="331" customWidth="1"/>
    <col min="5635" max="5635" width="14.83203125" style="331" customWidth="1"/>
    <col min="5636" max="5636" width="13.83203125" style="331" bestFit="1" customWidth="1"/>
    <col min="5637" max="5637" width="15.33203125" style="331" customWidth="1"/>
    <col min="5638" max="5638" width="14.1640625" style="331" customWidth="1"/>
    <col min="5639" max="5639" width="15.1640625" style="331" customWidth="1"/>
    <col min="5640" max="5640" width="13.33203125" style="331" customWidth="1"/>
    <col min="5641" max="5641" width="17.33203125" style="331" customWidth="1"/>
    <col min="5642" max="5642" width="15.1640625" style="331" customWidth="1"/>
    <col min="5643" max="5643" width="19.6640625" style="331" customWidth="1"/>
    <col min="5644" max="5646" width="16" style="331" customWidth="1"/>
    <col min="5647" max="5647" width="14.83203125" style="331" customWidth="1"/>
    <col min="5648" max="5648" width="17.33203125" style="331" customWidth="1"/>
    <col min="5649" max="5649" width="14.83203125" style="331" customWidth="1"/>
    <col min="5650" max="5658" width="9" style="331" customWidth="1"/>
    <col min="5659" max="5659" width="7.1640625" style="331" bestFit="1" customWidth="1"/>
    <col min="5660" max="5661" width="9" style="331" customWidth="1"/>
    <col min="5662" max="5666" width="10.33203125" style="331" customWidth="1"/>
    <col min="5667" max="5888" width="9" style="331" customWidth="1"/>
    <col min="5889" max="5889" width="60.33203125" style="331" customWidth="1"/>
    <col min="5890" max="5890" width="2.83203125" style="331" customWidth="1"/>
    <col min="5891" max="5891" width="14.83203125" style="331" customWidth="1"/>
    <col min="5892" max="5892" width="13.83203125" style="331" bestFit="1" customWidth="1"/>
    <col min="5893" max="5893" width="15.33203125" style="331" customWidth="1"/>
    <col min="5894" max="5894" width="14.1640625" style="331" customWidth="1"/>
    <col min="5895" max="5895" width="15.1640625" style="331" customWidth="1"/>
    <col min="5896" max="5896" width="13.33203125" style="331" customWidth="1"/>
    <col min="5897" max="5897" width="17.33203125" style="331" customWidth="1"/>
    <col min="5898" max="5898" width="15.1640625" style="331" customWidth="1"/>
    <col min="5899" max="5899" width="19.6640625" style="331" customWidth="1"/>
    <col min="5900" max="5902" width="16" style="331" customWidth="1"/>
    <col min="5903" max="5903" width="14.83203125" style="331" customWidth="1"/>
    <col min="5904" max="5904" width="17.33203125" style="331" customWidth="1"/>
    <col min="5905" max="5905" width="14.83203125" style="331" customWidth="1"/>
    <col min="5906" max="5914" width="9" style="331" customWidth="1"/>
    <col min="5915" max="5915" width="7.1640625" style="331" bestFit="1" customWidth="1"/>
    <col min="5916" max="5917" width="9" style="331" customWidth="1"/>
    <col min="5918" max="5922" width="10.33203125" style="331" customWidth="1"/>
    <col min="5923" max="6144" width="9" style="331" customWidth="1"/>
    <col min="6145" max="6145" width="60.33203125" style="331" customWidth="1"/>
    <col min="6146" max="6146" width="2.83203125" style="331" customWidth="1"/>
    <col min="6147" max="6147" width="14.83203125" style="331" customWidth="1"/>
    <col min="6148" max="6148" width="13.83203125" style="331" bestFit="1" customWidth="1"/>
    <col min="6149" max="6149" width="15.33203125" style="331" customWidth="1"/>
    <col min="6150" max="6150" width="14.1640625" style="331" customWidth="1"/>
    <col min="6151" max="6151" width="15.1640625" style="331" customWidth="1"/>
    <col min="6152" max="6152" width="13.33203125" style="331" customWidth="1"/>
    <col min="6153" max="6153" width="17.33203125" style="331" customWidth="1"/>
    <col min="6154" max="6154" width="15.1640625" style="331" customWidth="1"/>
    <col min="6155" max="6155" width="19.6640625" style="331" customWidth="1"/>
    <col min="6156" max="6158" width="16" style="331" customWidth="1"/>
    <col min="6159" max="6159" width="14.83203125" style="331" customWidth="1"/>
    <col min="6160" max="6160" width="17.33203125" style="331" customWidth="1"/>
    <col min="6161" max="6161" width="14.83203125" style="331" customWidth="1"/>
    <col min="6162" max="6170" width="9" style="331" customWidth="1"/>
    <col min="6171" max="6171" width="7.1640625" style="331" bestFit="1" customWidth="1"/>
    <col min="6172" max="6173" width="9" style="331" customWidth="1"/>
    <col min="6174" max="6178" width="10.33203125" style="331" customWidth="1"/>
    <col min="6179" max="6400" width="9" style="331" customWidth="1"/>
    <col min="6401" max="6401" width="60.33203125" style="331" customWidth="1"/>
    <col min="6402" max="6402" width="2.83203125" style="331" customWidth="1"/>
    <col min="6403" max="6403" width="14.83203125" style="331" customWidth="1"/>
    <col min="6404" max="6404" width="13.83203125" style="331" bestFit="1" customWidth="1"/>
    <col min="6405" max="6405" width="15.33203125" style="331" customWidth="1"/>
    <col min="6406" max="6406" width="14.1640625" style="331" customWidth="1"/>
    <col min="6407" max="6407" width="15.1640625" style="331" customWidth="1"/>
    <col min="6408" max="6408" width="13.33203125" style="331" customWidth="1"/>
    <col min="6409" max="6409" width="17.33203125" style="331" customWidth="1"/>
    <col min="6410" max="6410" width="15.1640625" style="331" customWidth="1"/>
    <col min="6411" max="6411" width="19.6640625" style="331" customWidth="1"/>
    <col min="6412" max="6414" width="16" style="331" customWidth="1"/>
    <col min="6415" max="6415" width="14.83203125" style="331" customWidth="1"/>
    <col min="6416" max="6416" width="17.33203125" style="331" customWidth="1"/>
    <col min="6417" max="6417" width="14.83203125" style="331" customWidth="1"/>
    <col min="6418" max="6426" width="9" style="331" customWidth="1"/>
    <col min="6427" max="6427" width="7.1640625" style="331" bestFit="1" customWidth="1"/>
    <col min="6428" max="6429" width="9" style="331" customWidth="1"/>
    <col min="6430" max="6434" width="10.33203125" style="331" customWidth="1"/>
    <col min="6435" max="6656" width="9" style="331" customWidth="1"/>
    <col min="6657" max="6657" width="60.33203125" style="331" customWidth="1"/>
    <col min="6658" max="6658" width="2.83203125" style="331" customWidth="1"/>
    <col min="6659" max="6659" width="14.83203125" style="331" customWidth="1"/>
    <col min="6660" max="6660" width="13.83203125" style="331" bestFit="1" customWidth="1"/>
    <col min="6661" max="6661" width="15.33203125" style="331" customWidth="1"/>
    <col min="6662" max="6662" width="14.1640625" style="331" customWidth="1"/>
    <col min="6663" max="6663" width="15.1640625" style="331" customWidth="1"/>
    <col min="6664" max="6664" width="13.33203125" style="331" customWidth="1"/>
    <col min="6665" max="6665" width="17.33203125" style="331" customWidth="1"/>
    <col min="6666" max="6666" width="15.1640625" style="331" customWidth="1"/>
    <col min="6667" max="6667" width="19.6640625" style="331" customWidth="1"/>
    <col min="6668" max="6670" width="16" style="331" customWidth="1"/>
    <col min="6671" max="6671" width="14.83203125" style="331" customWidth="1"/>
    <col min="6672" max="6672" width="17.33203125" style="331" customWidth="1"/>
    <col min="6673" max="6673" width="14.83203125" style="331" customWidth="1"/>
    <col min="6674" max="6682" width="9" style="331" customWidth="1"/>
    <col min="6683" max="6683" width="7.1640625" style="331" bestFit="1" customWidth="1"/>
    <col min="6684" max="6685" width="9" style="331" customWidth="1"/>
    <col min="6686" max="6690" width="10.33203125" style="331" customWidth="1"/>
    <col min="6691" max="6912" width="9" style="331" customWidth="1"/>
    <col min="6913" max="6913" width="60.33203125" style="331" customWidth="1"/>
    <col min="6914" max="6914" width="2.83203125" style="331" customWidth="1"/>
    <col min="6915" max="6915" width="14.83203125" style="331" customWidth="1"/>
    <col min="6916" max="6916" width="13.83203125" style="331" bestFit="1" customWidth="1"/>
    <col min="6917" max="6917" width="15.33203125" style="331" customWidth="1"/>
    <col min="6918" max="6918" width="14.1640625" style="331" customWidth="1"/>
    <col min="6919" max="6919" width="15.1640625" style="331" customWidth="1"/>
    <col min="6920" max="6920" width="13.33203125" style="331" customWidth="1"/>
    <col min="6921" max="6921" width="17.33203125" style="331" customWidth="1"/>
    <col min="6922" max="6922" width="15.1640625" style="331" customWidth="1"/>
    <col min="6923" max="6923" width="19.6640625" style="331" customWidth="1"/>
    <col min="6924" max="6926" width="16" style="331" customWidth="1"/>
    <col min="6927" max="6927" width="14.83203125" style="331" customWidth="1"/>
    <col min="6928" max="6928" width="17.33203125" style="331" customWidth="1"/>
    <col min="6929" max="6929" width="14.83203125" style="331" customWidth="1"/>
    <col min="6930" max="6938" width="9" style="331" customWidth="1"/>
    <col min="6939" max="6939" width="7.1640625" style="331" bestFit="1" customWidth="1"/>
    <col min="6940" max="6941" width="9" style="331" customWidth="1"/>
    <col min="6942" max="6946" width="10.33203125" style="331" customWidth="1"/>
    <col min="6947" max="7168" width="9" style="331" customWidth="1"/>
    <col min="7169" max="7169" width="60.33203125" style="331" customWidth="1"/>
    <col min="7170" max="7170" width="2.83203125" style="331" customWidth="1"/>
    <col min="7171" max="7171" width="14.83203125" style="331" customWidth="1"/>
    <col min="7172" max="7172" width="13.83203125" style="331" bestFit="1" customWidth="1"/>
    <col min="7173" max="7173" width="15.33203125" style="331" customWidth="1"/>
    <col min="7174" max="7174" width="14.1640625" style="331" customWidth="1"/>
    <col min="7175" max="7175" width="15.1640625" style="331" customWidth="1"/>
    <col min="7176" max="7176" width="13.33203125" style="331" customWidth="1"/>
    <col min="7177" max="7177" width="17.33203125" style="331" customWidth="1"/>
    <col min="7178" max="7178" width="15.1640625" style="331" customWidth="1"/>
    <col min="7179" max="7179" width="19.6640625" style="331" customWidth="1"/>
    <col min="7180" max="7182" width="16" style="331" customWidth="1"/>
    <col min="7183" max="7183" width="14.83203125" style="331" customWidth="1"/>
    <col min="7184" max="7184" width="17.33203125" style="331" customWidth="1"/>
    <col min="7185" max="7185" width="14.83203125" style="331" customWidth="1"/>
    <col min="7186" max="7194" width="9" style="331" customWidth="1"/>
    <col min="7195" max="7195" width="7.1640625" style="331" bestFit="1" customWidth="1"/>
    <col min="7196" max="7197" width="9" style="331" customWidth="1"/>
    <col min="7198" max="7202" width="10.33203125" style="331" customWidth="1"/>
    <col min="7203" max="7424" width="9" style="331" customWidth="1"/>
    <col min="7425" max="7425" width="60.33203125" style="331" customWidth="1"/>
    <col min="7426" max="7426" width="2.83203125" style="331" customWidth="1"/>
    <col min="7427" max="7427" width="14.83203125" style="331" customWidth="1"/>
    <col min="7428" max="7428" width="13.83203125" style="331" bestFit="1" customWidth="1"/>
    <col min="7429" max="7429" width="15.33203125" style="331" customWidth="1"/>
    <col min="7430" max="7430" width="14.1640625" style="331" customWidth="1"/>
    <col min="7431" max="7431" width="15.1640625" style="331" customWidth="1"/>
    <col min="7432" max="7432" width="13.33203125" style="331" customWidth="1"/>
    <col min="7433" max="7433" width="17.33203125" style="331" customWidth="1"/>
    <col min="7434" max="7434" width="15.1640625" style="331" customWidth="1"/>
    <col min="7435" max="7435" width="19.6640625" style="331" customWidth="1"/>
    <col min="7436" max="7438" width="16" style="331" customWidth="1"/>
    <col min="7439" max="7439" width="14.83203125" style="331" customWidth="1"/>
    <col min="7440" max="7440" width="17.33203125" style="331" customWidth="1"/>
    <col min="7441" max="7441" width="14.83203125" style="331" customWidth="1"/>
    <col min="7442" max="7450" width="9" style="331" customWidth="1"/>
    <col min="7451" max="7451" width="7.1640625" style="331" bestFit="1" customWidth="1"/>
    <col min="7452" max="7453" width="9" style="331" customWidth="1"/>
    <col min="7454" max="7458" width="10.33203125" style="331" customWidth="1"/>
    <col min="7459" max="7680" width="9" style="331" customWidth="1"/>
    <col min="7681" max="7681" width="60.33203125" style="331" customWidth="1"/>
    <col min="7682" max="7682" width="2.83203125" style="331" customWidth="1"/>
    <col min="7683" max="7683" width="14.83203125" style="331" customWidth="1"/>
    <col min="7684" max="7684" width="13.83203125" style="331" bestFit="1" customWidth="1"/>
    <col min="7685" max="7685" width="15.33203125" style="331" customWidth="1"/>
    <col min="7686" max="7686" width="14.1640625" style="331" customWidth="1"/>
    <col min="7687" max="7687" width="15.1640625" style="331" customWidth="1"/>
    <col min="7688" max="7688" width="13.33203125" style="331" customWidth="1"/>
    <col min="7689" max="7689" width="17.33203125" style="331" customWidth="1"/>
    <col min="7690" max="7690" width="15.1640625" style="331" customWidth="1"/>
    <col min="7691" max="7691" width="19.6640625" style="331" customWidth="1"/>
    <col min="7692" max="7694" width="16" style="331" customWidth="1"/>
    <col min="7695" max="7695" width="14.83203125" style="331" customWidth="1"/>
    <col min="7696" max="7696" width="17.33203125" style="331" customWidth="1"/>
    <col min="7697" max="7697" width="14.83203125" style="331" customWidth="1"/>
    <col min="7698" max="7706" width="9" style="331" customWidth="1"/>
    <col min="7707" max="7707" width="7.1640625" style="331" bestFit="1" customWidth="1"/>
    <col min="7708" max="7709" width="9" style="331" customWidth="1"/>
    <col min="7710" max="7714" width="10.33203125" style="331" customWidth="1"/>
    <col min="7715" max="7936" width="9" style="331" customWidth="1"/>
    <col min="7937" max="7937" width="60.33203125" style="331" customWidth="1"/>
    <col min="7938" max="7938" width="2.83203125" style="331" customWidth="1"/>
    <col min="7939" max="7939" width="14.83203125" style="331" customWidth="1"/>
    <col min="7940" max="7940" width="13.83203125" style="331" bestFit="1" customWidth="1"/>
    <col min="7941" max="7941" width="15.33203125" style="331" customWidth="1"/>
    <col min="7942" max="7942" width="14.1640625" style="331" customWidth="1"/>
    <col min="7943" max="7943" width="15.1640625" style="331" customWidth="1"/>
    <col min="7944" max="7944" width="13.33203125" style="331" customWidth="1"/>
    <col min="7945" max="7945" width="17.33203125" style="331" customWidth="1"/>
    <col min="7946" max="7946" width="15.1640625" style="331" customWidth="1"/>
    <col min="7947" max="7947" width="19.6640625" style="331" customWidth="1"/>
    <col min="7948" max="7950" width="16" style="331" customWidth="1"/>
    <col min="7951" max="7951" width="14.83203125" style="331" customWidth="1"/>
    <col min="7952" max="7952" width="17.33203125" style="331" customWidth="1"/>
    <col min="7953" max="7953" width="14.83203125" style="331" customWidth="1"/>
    <col min="7954" max="7962" width="9" style="331" customWidth="1"/>
    <col min="7963" max="7963" width="7.1640625" style="331" bestFit="1" customWidth="1"/>
    <col min="7964" max="7965" width="9" style="331" customWidth="1"/>
    <col min="7966" max="7970" width="10.33203125" style="331" customWidth="1"/>
    <col min="7971" max="8192" width="9" style="331" customWidth="1"/>
    <col min="8193" max="8193" width="60.33203125" style="331" customWidth="1"/>
    <col min="8194" max="8194" width="2.83203125" style="331" customWidth="1"/>
    <col min="8195" max="8195" width="14.83203125" style="331" customWidth="1"/>
    <col min="8196" max="8196" width="13.83203125" style="331" bestFit="1" customWidth="1"/>
    <col min="8197" max="8197" width="15.33203125" style="331" customWidth="1"/>
    <col min="8198" max="8198" width="14.1640625" style="331" customWidth="1"/>
    <col min="8199" max="8199" width="15.1640625" style="331" customWidth="1"/>
    <col min="8200" max="8200" width="13.33203125" style="331" customWidth="1"/>
    <col min="8201" max="8201" width="17.33203125" style="331" customWidth="1"/>
    <col min="8202" max="8202" width="15.1640625" style="331" customWidth="1"/>
    <col min="8203" max="8203" width="19.6640625" style="331" customWidth="1"/>
    <col min="8204" max="8206" width="16" style="331" customWidth="1"/>
    <col min="8207" max="8207" width="14.83203125" style="331" customWidth="1"/>
    <col min="8208" max="8208" width="17.33203125" style="331" customWidth="1"/>
    <col min="8209" max="8209" width="14.83203125" style="331" customWidth="1"/>
    <col min="8210" max="8218" width="9" style="331" customWidth="1"/>
    <col min="8219" max="8219" width="7.1640625" style="331" bestFit="1" customWidth="1"/>
    <col min="8220" max="8221" width="9" style="331" customWidth="1"/>
    <col min="8222" max="8226" width="10.33203125" style="331" customWidth="1"/>
    <col min="8227" max="8448" width="9" style="331" customWidth="1"/>
    <col min="8449" max="8449" width="60.33203125" style="331" customWidth="1"/>
    <col min="8450" max="8450" width="2.83203125" style="331" customWidth="1"/>
    <col min="8451" max="8451" width="14.83203125" style="331" customWidth="1"/>
    <col min="8452" max="8452" width="13.83203125" style="331" bestFit="1" customWidth="1"/>
    <col min="8453" max="8453" width="15.33203125" style="331" customWidth="1"/>
    <col min="8454" max="8454" width="14.1640625" style="331" customWidth="1"/>
    <col min="8455" max="8455" width="15.1640625" style="331" customWidth="1"/>
    <col min="8456" max="8456" width="13.33203125" style="331" customWidth="1"/>
    <col min="8457" max="8457" width="17.33203125" style="331" customWidth="1"/>
    <col min="8458" max="8458" width="15.1640625" style="331" customWidth="1"/>
    <col min="8459" max="8459" width="19.6640625" style="331" customWidth="1"/>
    <col min="8460" max="8462" width="16" style="331" customWidth="1"/>
    <col min="8463" max="8463" width="14.83203125" style="331" customWidth="1"/>
    <col min="8464" max="8464" width="17.33203125" style="331" customWidth="1"/>
    <col min="8465" max="8465" width="14.83203125" style="331" customWidth="1"/>
    <col min="8466" max="8474" width="9" style="331" customWidth="1"/>
    <col min="8475" max="8475" width="7.1640625" style="331" bestFit="1" customWidth="1"/>
    <col min="8476" max="8477" width="9" style="331" customWidth="1"/>
    <col min="8478" max="8482" width="10.33203125" style="331" customWidth="1"/>
    <col min="8483" max="8704" width="9" style="331" customWidth="1"/>
    <col min="8705" max="8705" width="60.33203125" style="331" customWidth="1"/>
    <col min="8706" max="8706" width="2.83203125" style="331" customWidth="1"/>
    <col min="8707" max="8707" width="14.83203125" style="331" customWidth="1"/>
    <col min="8708" max="8708" width="13.83203125" style="331" bestFit="1" customWidth="1"/>
    <col min="8709" max="8709" width="15.33203125" style="331" customWidth="1"/>
    <col min="8710" max="8710" width="14.1640625" style="331" customWidth="1"/>
    <col min="8711" max="8711" width="15.1640625" style="331" customWidth="1"/>
    <col min="8712" max="8712" width="13.33203125" style="331" customWidth="1"/>
    <col min="8713" max="8713" width="17.33203125" style="331" customWidth="1"/>
    <col min="8714" max="8714" width="15.1640625" style="331" customWidth="1"/>
    <col min="8715" max="8715" width="19.6640625" style="331" customWidth="1"/>
    <col min="8716" max="8718" width="16" style="331" customWidth="1"/>
    <col min="8719" max="8719" width="14.83203125" style="331" customWidth="1"/>
    <col min="8720" max="8720" width="17.33203125" style="331" customWidth="1"/>
    <col min="8721" max="8721" width="14.83203125" style="331" customWidth="1"/>
    <col min="8722" max="8730" width="9" style="331" customWidth="1"/>
    <col min="8731" max="8731" width="7.1640625" style="331" bestFit="1" customWidth="1"/>
    <col min="8732" max="8733" width="9" style="331" customWidth="1"/>
    <col min="8734" max="8738" width="10.33203125" style="331" customWidth="1"/>
    <col min="8739" max="8960" width="9" style="331" customWidth="1"/>
    <col min="8961" max="8961" width="60.33203125" style="331" customWidth="1"/>
    <col min="8962" max="8962" width="2.83203125" style="331" customWidth="1"/>
    <col min="8963" max="8963" width="14.83203125" style="331" customWidth="1"/>
    <col min="8964" max="8964" width="13.83203125" style="331" bestFit="1" customWidth="1"/>
    <col min="8965" max="8965" width="15.33203125" style="331" customWidth="1"/>
    <col min="8966" max="8966" width="14.1640625" style="331" customWidth="1"/>
    <col min="8967" max="8967" width="15.1640625" style="331" customWidth="1"/>
    <col min="8968" max="8968" width="13.33203125" style="331" customWidth="1"/>
    <col min="8969" max="8969" width="17.33203125" style="331" customWidth="1"/>
    <col min="8970" max="8970" width="15.1640625" style="331" customWidth="1"/>
    <col min="8971" max="8971" width="19.6640625" style="331" customWidth="1"/>
    <col min="8972" max="8974" width="16" style="331" customWidth="1"/>
    <col min="8975" max="8975" width="14.83203125" style="331" customWidth="1"/>
    <col min="8976" max="8976" width="17.33203125" style="331" customWidth="1"/>
    <col min="8977" max="8977" width="14.83203125" style="331" customWidth="1"/>
    <col min="8978" max="8986" width="9" style="331" customWidth="1"/>
    <col min="8987" max="8987" width="7.1640625" style="331" bestFit="1" customWidth="1"/>
    <col min="8988" max="8989" width="9" style="331" customWidth="1"/>
    <col min="8990" max="8994" width="10.33203125" style="331" customWidth="1"/>
    <col min="8995" max="9216" width="9" style="331" customWidth="1"/>
    <col min="9217" max="9217" width="60.33203125" style="331" customWidth="1"/>
    <col min="9218" max="9218" width="2.83203125" style="331" customWidth="1"/>
    <col min="9219" max="9219" width="14.83203125" style="331" customWidth="1"/>
    <col min="9220" max="9220" width="13.83203125" style="331" bestFit="1" customWidth="1"/>
    <col min="9221" max="9221" width="15.33203125" style="331" customWidth="1"/>
    <col min="9222" max="9222" width="14.1640625" style="331" customWidth="1"/>
    <col min="9223" max="9223" width="15.1640625" style="331" customWidth="1"/>
    <col min="9224" max="9224" width="13.33203125" style="331" customWidth="1"/>
    <col min="9225" max="9225" width="17.33203125" style="331" customWidth="1"/>
    <col min="9226" max="9226" width="15.1640625" style="331" customWidth="1"/>
    <col min="9227" max="9227" width="19.6640625" style="331" customWidth="1"/>
    <col min="9228" max="9230" width="16" style="331" customWidth="1"/>
    <col min="9231" max="9231" width="14.83203125" style="331" customWidth="1"/>
    <col min="9232" max="9232" width="17.33203125" style="331" customWidth="1"/>
    <col min="9233" max="9233" width="14.83203125" style="331" customWidth="1"/>
    <col min="9234" max="9242" width="9" style="331" customWidth="1"/>
    <col min="9243" max="9243" width="7.1640625" style="331" bestFit="1" customWidth="1"/>
    <col min="9244" max="9245" width="9" style="331" customWidth="1"/>
    <col min="9246" max="9250" width="10.33203125" style="331" customWidth="1"/>
    <col min="9251" max="9472" width="9" style="331" customWidth="1"/>
    <col min="9473" max="9473" width="60.33203125" style="331" customWidth="1"/>
    <col min="9474" max="9474" width="2.83203125" style="331" customWidth="1"/>
    <col min="9475" max="9475" width="14.83203125" style="331" customWidth="1"/>
    <col min="9476" max="9476" width="13.83203125" style="331" bestFit="1" customWidth="1"/>
    <col min="9477" max="9477" width="15.33203125" style="331" customWidth="1"/>
    <col min="9478" max="9478" width="14.1640625" style="331" customWidth="1"/>
    <col min="9479" max="9479" width="15.1640625" style="331" customWidth="1"/>
    <col min="9480" max="9480" width="13.33203125" style="331" customWidth="1"/>
    <col min="9481" max="9481" width="17.33203125" style="331" customWidth="1"/>
    <col min="9482" max="9482" width="15.1640625" style="331" customWidth="1"/>
    <col min="9483" max="9483" width="19.6640625" style="331" customWidth="1"/>
    <col min="9484" max="9486" width="16" style="331" customWidth="1"/>
    <col min="9487" max="9487" width="14.83203125" style="331" customWidth="1"/>
    <col min="9488" max="9488" width="17.33203125" style="331" customWidth="1"/>
    <col min="9489" max="9489" width="14.83203125" style="331" customWidth="1"/>
    <col min="9490" max="9498" width="9" style="331" customWidth="1"/>
    <col min="9499" max="9499" width="7.1640625" style="331" bestFit="1" customWidth="1"/>
    <col min="9500" max="9501" width="9" style="331" customWidth="1"/>
    <col min="9502" max="9506" width="10.33203125" style="331" customWidth="1"/>
    <col min="9507" max="9728" width="9" style="331" customWidth="1"/>
    <col min="9729" max="9729" width="60.33203125" style="331" customWidth="1"/>
    <col min="9730" max="9730" width="2.83203125" style="331" customWidth="1"/>
    <col min="9731" max="9731" width="14.83203125" style="331" customWidth="1"/>
    <col min="9732" max="9732" width="13.83203125" style="331" bestFit="1" customWidth="1"/>
    <col min="9733" max="9733" width="15.33203125" style="331" customWidth="1"/>
    <col min="9734" max="9734" width="14.1640625" style="331" customWidth="1"/>
    <col min="9735" max="9735" width="15.1640625" style="331" customWidth="1"/>
    <col min="9736" max="9736" width="13.33203125" style="331" customWidth="1"/>
    <col min="9737" max="9737" width="17.33203125" style="331" customWidth="1"/>
    <col min="9738" max="9738" width="15.1640625" style="331" customWidth="1"/>
    <col min="9739" max="9739" width="19.6640625" style="331" customWidth="1"/>
    <col min="9740" max="9742" width="16" style="331" customWidth="1"/>
    <col min="9743" max="9743" width="14.83203125" style="331" customWidth="1"/>
    <col min="9744" max="9744" width="17.33203125" style="331" customWidth="1"/>
    <col min="9745" max="9745" width="14.83203125" style="331" customWidth="1"/>
    <col min="9746" max="9754" width="9" style="331" customWidth="1"/>
    <col min="9755" max="9755" width="7.1640625" style="331" bestFit="1" customWidth="1"/>
    <col min="9756" max="9757" width="9" style="331" customWidth="1"/>
    <col min="9758" max="9762" width="10.33203125" style="331" customWidth="1"/>
    <col min="9763" max="9984" width="9" style="331" customWidth="1"/>
    <col min="9985" max="9985" width="60.33203125" style="331" customWidth="1"/>
    <col min="9986" max="9986" width="2.83203125" style="331" customWidth="1"/>
    <col min="9987" max="9987" width="14.83203125" style="331" customWidth="1"/>
    <col min="9988" max="9988" width="13.83203125" style="331" bestFit="1" customWidth="1"/>
    <col min="9989" max="9989" width="15.33203125" style="331" customWidth="1"/>
    <col min="9990" max="9990" width="14.1640625" style="331" customWidth="1"/>
    <col min="9991" max="9991" width="15.1640625" style="331" customWidth="1"/>
    <col min="9992" max="9992" width="13.33203125" style="331" customWidth="1"/>
    <col min="9993" max="9993" width="17.33203125" style="331" customWidth="1"/>
    <col min="9994" max="9994" width="15.1640625" style="331" customWidth="1"/>
    <col min="9995" max="9995" width="19.6640625" style="331" customWidth="1"/>
    <col min="9996" max="9998" width="16" style="331" customWidth="1"/>
    <col min="9999" max="9999" width="14.83203125" style="331" customWidth="1"/>
    <col min="10000" max="10000" width="17.33203125" style="331" customWidth="1"/>
    <col min="10001" max="10001" width="14.83203125" style="331" customWidth="1"/>
    <col min="10002" max="10010" width="9" style="331" customWidth="1"/>
    <col min="10011" max="10011" width="7.1640625" style="331" bestFit="1" customWidth="1"/>
    <col min="10012" max="10013" width="9" style="331" customWidth="1"/>
    <col min="10014" max="10018" width="10.33203125" style="331" customWidth="1"/>
    <col min="10019" max="10240" width="9" style="331" customWidth="1"/>
    <col min="10241" max="10241" width="60.33203125" style="331" customWidth="1"/>
    <col min="10242" max="10242" width="2.83203125" style="331" customWidth="1"/>
    <col min="10243" max="10243" width="14.83203125" style="331" customWidth="1"/>
    <col min="10244" max="10244" width="13.83203125" style="331" bestFit="1" customWidth="1"/>
    <col min="10245" max="10245" width="15.33203125" style="331" customWidth="1"/>
    <col min="10246" max="10246" width="14.1640625" style="331" customWidth="1"/>
    <col min="10247" max="10247" width="15.1640625" style="331" customWidth="1"/>
    <col min="10248" max="10248" width="13.33203125" style="331" customWidth="1"/>
    <col min="10249" max="10249" width="17.33203125" style="331" customWidth="1"/>
    <col min="10250" max="10250" width="15.1640625" style="331" customWidth="1"/>
    <col min="10251" max="10251" width="19.6640625" style="331" customWidth="1"/>
    <col min="10252" max="10254" width="16" style="331" customWidth="1"/>
    <col min="10255" max="10255" width="14.83203125" style="331" customWidth="1"/>
    <col min="10256" max="10256" width="17.33203125" style="331" customWidth="1"/>
    <col min="10257" max="10257" width="14.83203125" style="331" customWidth="1"/>
    <col min="10258" max="10266" width="9" style="331" customWidth="1"/>
    <col min="10267" max="10267" width="7.1640625" style="331" bestFit="1" customWidth="1"/>
    <col min="10268" max="10269" width="9" style="331" customWidth="1"/>
    <col min="10270" max="10274" width="10.33203125" style="331" customWidth="1"/>
    <col min="10275" max="10496" width="9" style="331" customWidth="1"/>
    <col min="10497" max="10497" width="60.33203125" style="331" customWidth="1"/>
    <col min="10498" max="10498" width="2.83203125" style="331" customWidth="1"/>
    <col min="10499" max="10499" width="14.83203125" style="331" customWidth="1"/>
    <col min="10500" max="10500" width="13.83203125" style="331" bestFit="1" customWidth="1"/>
    <col min="10501" max="10501" width="15.33203125" style="331" customWidth="1"/>
    <col min="10502" max="10502" width="14.1640625" style="331" customWidth="1"/>
    <col min="10503" max="10503" width="15.1640625" style="331" customWidth="1"/>
    <col min="10504" max="10504" width="13.33203125" style="331" customWidth="1"/>
    <col min="10505" max="10505" width="17.33203125" style="331" customWidth="1"/>
    <col min="10506" max="10506" width="15.1640625" style="331" customWidth="1"/>
    <col min="10507" max="10507" width="19.6640625" style="331" customWidth="1"/>
    <col min="10508" max="10510" width="16" style="331" customWidth="1"/>
    <col min="10511" max="10511" width="14.83203125" style="331" customWidth="1"/>
    <col min="10512" max="10512" width="17.33203125" style="331" customWidth="1"/>
    <col min="10513" max="10513" width="14.83203125" style="331" customWidth="1"/>
    <col min="10514" max="10522" width="9" style="331" customWidth="1"/>
    <col min="10523" max="10523" width="7.1640625" style="331" bestFit="1" customWidth="1"/>
    <col min="10524" max="10525" width="9" style="331" customWidth="1"/>
    <col min="10526" max="10530" width="10.33203125" style="331" customWidth="1"/>
    <col min="10531" max="10752" width="9" style="331" customWidth="1"/>
    <col min="10753" max="10753" width="60.33203125" style="331" customWidth="1"/>
    <col min="10754" max="10754" width="2.83203125" style="331" customWidth="1"/>
    <col min="10755" max="10755" width="14.83203125" style="331" customWidth="1"/>
    <col min="10756" max="10756" width="13.83203125" style="331" bestFit="1" customWidth="1"/>
    <col min="10757" max="10757" width="15.33203125" style="331" customWidth="1"/>
    <col min="10758" max="10758" width="14.1640625" style="331" customWidth="1"/>
    <col min="10759" max="10759" width="15.1640625" style="331" customWidth="1"/>
    <col min="10760" max="10760" width="13.33203125" style="331" customWidth="1"/>
    <col min="10761" max="10761" width="17.33203125" style="331" customWidth="1"/>
    <col min="10762" max="10762" width="15.1640625" style="331" customWidth="1"/>
    <col min="10763" max="10763" width="19.6640625" style="331" customWidth="1"/>
    <col min="10764" max="10766" width="16" style="331" customWidth="1"/>
    <col min="10767" max="10767" width="14.83203125" style="331" customWidth="1"/>
    <col min="10768" max="10768" width="17.33203125" style="331" customWidth="1"/>
    <col min="10769" max="10769" width="14.83203125" style="331" customWidth="1"/>
    <col min="10770" max="10778" width="9" style="331" customWidth="1"/>
    <col min="10779" max="10779" width="7.1640625" style="331" bestFit="1" customWidth="1"/>
    <col min="10780" max="10781" width="9" style="331" customWidth="1"/>
    <col min="10782" max="10786" width="10.33203125" style="331" customWidth="1"/>
    <col min="10787" max="11008" width="9" style="331" customWidth="1"/>
    <col min="11009" max="11009" width="60.33203125" style="331" customWidth="1"/>
    <col min="11010" max="11010" width="2.83203125" style="331" customWidth="1"/>
    <col min="11011" max="11011" width="14.83203125" style="331" customWidth="1"/>
    <col min="11012" max="11012" width="13.83203125" style="331" bestFit="1" customWidth="1"/>
    <col min="11013" max="11013" width="15.33203125" style="331" customWidth="1"/>
    <col min="11014" max="11014" width="14.1640625" style="331" customWidth="1"/>
    <col min="11015" max="11015" width="15.1640625" style="331" customWidth="1"/>
    <col min="11016" max="11016" width="13.33203125" style="331" customWidth="1"/>
    <col min="11017" max="11017" width="17.33203125" style="331" customWidth="1"/>
    <col min="11018" max="11018" width="15.1640625" style="331" customWidth="1"/>
    <col min="11019" max="11019" width="19.6640625" style="331" customWidth="1"/>
    <col min="11020" max="11022" width="16" style="331" customWidth="1"/>
    <col min="11023" max="11023" width="14.83203125" style="331" customWidth="1"/>
    <col min="11024" max="11024" width="17.33203125" style="331" customWidth="1"/>
    <col min="11025" max="11025" width="14.83203125" style="331" customWidth="1"/>
    <col min="11026" max="11034" width="9" style="331" customWidth="1"/>
    <col min="11035" max="11035" width="7.1640625" style="331" bestFit="1" customWidth="1"/>
    <col min="11036" max="11037" width="9" style="331" customWidth="1"/>
    <col min="11038" max="11042" width="10.33203125" style="331" customWidth="1"/>
    <col min="11043" max="11264" width="9" style="331" customWidth="1"/>
    <col min="11265" max="11265" width="60.33203125" style="331" customWidth="1"/>
    <col min="11266" max="11266" width="2.83203125" style="331" customWidth="1"/>
    <col min="11267" max="11267" width="14.83203125" style="331" customWidth="1"/>
    <col min="11268" max="11268" width="13.83203125" style="331" bestFit="1" customWidth="1"/>
    <col min="11269" max="11269" width="15.33203125" style="331" customWidth="1"/>
    <col min="11270" max="11270" width="14.1640625" style="331" customWidth="1"/>
    <col min="11271" max="11271" width="15.1640625" style="331" customWidth="1"/>
    <col min="11272" max="11272" width="13.33203125" style="331" customWidth="1"/>
    <col min="11273" max="11273" width="17.33203125" style="331" customWidth="1"/>
    <col min="11274" max="11274" width="15.1640625" style="331" customWidth="1"/>
    <col min="11275" max="11275" width="19.6640625" style="331" customWidth="1"/>
    <col min="11276" max="11278" width="16" style="331" customWidth="1"/>
    <col min="11279" max="11279" width="14.83203125" style="331" customWidth="1"/>
    <col min="11280" max="11280" width="17.33203125" style="331" customWidth="1"/>
    <col min="11281" max="11281" width="14.83203125" style="331" customWidth="1"/>
    <col min="11282" max="11290" width="9" style="331" customWidth="1"/>
    <col min="11291" max="11291" width="7.1640625" style="331" bestFit="1" customWidth="1"/>
    <col min="11292" max="11293" width="9" style="331" customWidth="1"/>
    <col min="11294" max="11298" width="10.33203125" style="331" customWidth="1"/>
    <col min="11299" max="11520" width="9" style="331" customWidth="1"/>
    <col min="11521" max="11521" width="60.33203125" style="331" customWidth="1"/>
    <col min="11522" max="11522" width="2.83203125" style="331" customWidth="1"/>
    <col min="11523" max="11523" width="14.83203125" style="331" customWidth="1"/>
    <col min="11524" max="11524" width="13.83203125" style="331" bestFit="1" customWidth="1"/>
    <col min="11525" max="11525" width="15.33203125" style="331" customWidth="1"/>
    <col min="11526" max="11526" width="14.1640625" style="331" customWidth="1"/>
    <col min="11527" max="11527" width="15.1640625" style="331" customWidth="1"/>
    <col min="11528" max="11528" width="13.33203125" style="331" customWidth="1"/>
    <col min="11529" max="11529" width="17.33203125" style="331" customWidth="1"/>
    <col min="11530" max="11530" width="15.1640625" style="331" customWidth="1"/>
    <col min="11531" max="11531" width="19.6640625" style="331" customWidth="1"/>
    <col min="11532" max="11534" width="16" style="331" customWidth="1"/>
    <col min="11535" max="11535" width="14.83203125" style="331" customWidth="1"/>
    <col min="11536" max="11536" width="17.33203125" style="331" customWidth="1"/>
    <col min="11537" max="11537" width="14.83203125" style="331" customWidth="1"/>
    <col min="11538" max="11546" width="9" style="331" customWidth="1"/>
    <col min="11547" max="11547" width="7.1640625" style="331" bestFit="1" customWidth="1"/>
    <col min="11548" max="11549" width="9" style="331" customWidth="1"/>
    <col min="11550" max="11554" width="10.33203125" style="331" customWidth="1"/>
    <col min="11555" max="11776" width="9" style="331" customWidth="1"/>
    <col min="11777" max="11777" width="60.33203125" style="331" customWidth="1"/>
    <col min="11778" max="11778" width="2.83203125" style="331" customWidth="1"/>
    <col min="11779" max="11779" width="14.83203125" style="331" customWidth="1"/>
    <col min="11780" max="11780" width="13.83203125" style="331" bestFit="1" customWidth="1"/>
    <col min="11781" max="11781" width="15.33203125" style="331" customWidth="1"/>
    <col min="11782" max="11782" width="14.1640625" style="331" customWidth="1"/>
    <col min="11783" max="11783" width="15.1640625" style="331" customWidth="1"/>
    <col min="11784" max="11784" width="13.33203125" style="331" customWidth="1"/>
    <col min="11785" max="11785" width="17.33203125" style="331" customWidth="1"/>
    <col min="11786" max="11786" width="15.1640625" style="331" customWidth="1"/>
    <col min="11787" max="11787" width="19.6640625" style="331" customWidth="1"/>
    <col min="11788" max="11790" width="16" style="331" customWidth="1"/>
    <col min="11791" max="11791" width="14.83203125" style="331" customWidth="1"/>
    <col min="11792" max="11792" width="17.33203125" style="331" customWidth="1"/>
    <col min="11793" max="11793" width="14.83203125" style="331" customWidth="1"/>
    <col min="11794" max="11802" width="9" style="331" customWidth="1"/>
    <col min="11803" max="11803" width="7.1640625" style="331" bestFit="1" customWidth="1"/>
    <col min="11804" max="11805" width="9" style="331" customWidth="1"/>
    <col min="11806" max="11810" width="10.33203125" style="331" customWidth="1"/>
    <col min="11811" max="12032" width="9" style="331" customWidth="1"/>
    <col min="12033" max="12033" width="60.33203125" style="331" customWidth="1"/>
    <col min="12034" max="12034" width="2.83203125" style="331" customWidth="1"/>
    <col min="12035" max="12035" width="14.83203125" style="331" customWidth="1"/>
    <col min="12036" max="12036" width="13.83203125" style="331" bestFit="1" customWidth="1"/>
    <col min="12037" max="12037" width="15.33203125" style="331" customWidth="1"/>
    <col min="12038" max="12038" width="14.1640625" style="331" customWidth="1"/>
    <col min="12039" max="12039" width="15.1640625" style="331" customWidth="1"/>
    <col min="12040" max="12040" width="13.33203125" style="331" customWidth="1"/>
    <col min="12041" max="12041" width="17.33203125" style="331" customWidth="1"/>
    <col min="12042" max="12042" width="15.1640625" style="331" customWidth="1"/>
    <col min="12043" max="12043" width="19.6640625" style="331" customWidth="1"/>
    <col min="12044" max="12046" width="16" style="331" customWidth="1"/>
    <col min="12047" max="12047" width="14.83203125" style="331" customWidth="1"/>
    <col min="12048" max="12048" width="17.33203125" style="331" customWidth="1"/>
    <col min="12049" max="12049" width="14.83203125" style="331" customWidth="1"/>
    <col min="12050" max="12058" width="9" style="331" customWidth="1"/>
    <col min="12059" max="12059" width="7.1640625" style="331" bestFit="1" customWidth="1"/>
    <col min="12060" max="12061" width="9" style="331" customWidth="1"/>
    <col min="12062" max="12066" width="10.33203125" style="331" customWidth="1"/>
    <col min="12067" max="12288" width="9" style="331" customWidth="1"/>
    <col min="12289" max="12289" width="60.33203125" style="331" customWidth="1"/>
    <col min="12290" max="12290" width="2.83203125" style="331" customWidth="1"/>
    <col min="12291" max="12291" width="14.83203125" style="331" customWidth="1"/>
    <col min="12292" max="12292" width="13.83203125" style="331" bestFit="1" customWidth="1"/>
    <col min="12293" max="12293" width="15.33203125" style="331" customWidth="1"/>
    <col min="12294" max="12294" width="14.1640625" style="331" customWidth="1"/>
    <col min="12295" max="12295" width="15.1640625" style="331" customWidth="1"/>
    <col min="12296" max="12296" width="13.33203125" style="331" customWidth="1"/>
    <col min="12297" max="12297" width="17.33203125" style="331" customWidth="1"/>
    <col min="12298" max="12298" width="15.1640625" style="331" customWidth="1"/>
    <col min="12299" max="12299" width="19.6640625" style="331" customWidth="1"/>
    <col min="12300" max="12302" width="16" style="331" customWidth="1"/>
    <col min="12303" max="12303" width="14.83203125" style="331" customWidth="1"/>
    <col min="12304" max="12304" width="17.33203125" style="331" customWidth="1"/>
    <col min="12305" max="12305" width="14.83203125" style="331" customWidth="1"/>
    <col min="12306" max="12314" width="9" style="331" customWidth="1"/>
    <col min="12315" max="12315" width="7.1640625" style="331" bestFit="1" customWidth="1"/>
    <col min="12316" max="12317" width="9" style="331" customWidth="1"/>
    <col min="12318" max="12322" width="10.33203125" style="331" customWidth="1"/>
    <col min="12323" max="12544" width="9" style="331" customWidth="1"/>
    <col min="12545" max="12545" width="60.33203125" style="331" customWidth="1"/>
    <col min="12546" max="12546" width="2.83203125" style="331" customWidth="1"/>
    <col min="12547" max="12547" width="14.83203125" style="331" customWidth="1"/>
    <col min="12548" max="12548" width="13.83203125" style="331" bestFit="1" customWidth="1"/>
    <col min="12549" max="12549" width="15.33203125" style="331" customWidth="1"/>
    <col min="12550" max="12550" width="14.1640625" style="331" customWidth="1"/>
    <col min="12551" max="12551" width="15.1640625" style="331" customWidth="1"/>
    <col min="12552" max="12552" width="13.33203125" style="331" customWidth="1"/>
    <col min="12553" max="12553" width="17.33203125" style="331" customWidth="1"/>
    <col min="12554" max="12554" width="15.1640625" style="331" customWidth="1"/>
    <col min="12555" max="12555" width="19.6640625" style="331" customWidth="1"/>
    <col min="12556" max="12558" width="16" style="331" customWidth="1"/>
    <col min="12559" max="12559" width="14.83203125" style="331" customWidth="1"/>
    <col min="12560" max="12560" width="17.33203125" style="331" customWidth="1"/>
    <col min="12561" max="12561" width="14.83203125" style="331" customWidth="1"/>
    <col min="12562" max="12570" width="9" style="331" customWidth="1"/>
    <col min="12571" max="12571" width="7.1640625" style="331" bestFit="1" customWidth="1"/>
    <col min="12572" max="12573" width="9" style="331" customWidth="1"/>
    <col min="12574" max="12578" width="10.33203125" style="331" customWidth="1"/>
    <col min="12579" max="12800" width="9" style="331" customWidth="1"/>
    <col min="12801" max="12801" width="60.33203125" style="331" customWidth="1"/>
    <col min="12802" max="12802" width="2.83203125" style="331" customWidth="1"/>
    <col min="12803" max="12803" width="14.83203125" style="331" customWidth="1"/>
    <col min="12804" max="12804" width="13.83203125" style="331" bestFit="1" customWidth="1"/>
    <col min="12805" max="12805" width="15.33203125" style="331" customWidth="1"/>
    <col min="12806" max="12806" width="14.1640625" style="331" customWidth="1"/>
    <col min="12807" max="12807" width="15.1640625" style="331" customWidth="1"/>
    <col min="12808" max="12808" width="13.33203125" style="331" customWidth="1"/>
    <col min="12809" max="12809" width="17.33203125" style="331" customWidth="1"/>
    <col min="12810" max="12810" width="15.1640625" style="331" customWidth="1"/>
    <col min="12811" max="12811" width="19.6640625" style="331" customWidth="1"/>
    <col min="12812" max="12814" width="16" style="331" customWidth="1"/>
    <col min="12815" max="12815" width="14.83203125" style="331" customWidth="1"/>
    <col min="12816" max="12816" width="17.33203125" style="331" customWidth="1"/>
    <col min="12817" max="12817" width="14.83203125" style="331" customWidth="1"/>
    <col min="12818" max="12826" width="9" style="331" customWidth="1"/>
    <col min="12827" max="12827" width="7.1640625" style="331" bestFit="1" customWidth="1"/>
    <col min="12828" max="12829" width="9" style="331" customWidth="1"/>
    <col min="12830" max="12834" width="10.33203125" style="331" customWidth="1"/>
    <col min="12835" max="13056" width="9" style="331" customWidth="1"/>
    <col min="13057" max="13057" width="60.33203125" style="331" customWidth="1"/>
    <col min="13058" max="13058" width="2.83203125" style="331" customWidth="1"/>
    <col min="13059" max="13059" width="14.83203125" style="331" customWidth="1"/>
    <col min="13060" max="13060" width="13.83203125" style="331" bestFit="1" customWidth="1"/>
    <col min="13061" max="13061" width="15.33203125" style="331" customWidth="1"/>
    <col min="13062" max="13062" width="14.1640625" style="331" customWidth="1"/>
    <col min="13063" max="13063" width="15.1640625" style="331" customWidth="1"/>
    <col min="13064" max="13064" width="13.33203125" style="331" customWidth="1"/>
    <col min="13065" max="13065" width="17.33203125" style="331" customWidth="1"/>
    <col min="13066" max="13066" width="15.1640625" style="331" customWidth="1"/>
    <col min="13067" max="13067" width="19.6640625" style="331" customWidth="1"/>
    <col min="13068" max="13070" width="16" style="331" customWidth="1"/>
    <col min="13071" max="13071" width="14.83203125" style="331" customWidth="1"/>
    <col min="13072" max="13072" width="17.33203125" style="331" customWidth="1"/>
    <col min="13073" max="13073" width="14.83203125" style="331" customWidth="1"/>
    <col min="13074" max="13082" width="9" style="331" customWidth="1"/>
    <col min="13083" max="13083" width="7.1640625" style="331" bestFit="1" customWidth="1"/>
    <col min="13084" max="13085" width="9" style="331" customWidth="1"/>
    <col min="13086" max="13090" width="10.33203125" style="331" customWidth="1"/>
    <col min="13091" max="13312" width="9" style="331" customWidth="1"/>
    <col min="13313" max="13313" width="60.33203125" style="331" customWidth="1"/>
    <col min="13314" max="13314" width="2.83203125" style="331" customWidth="1"/>
    <col min="13315" max="13315" width="14.83203125" style="331" customWidth="1"/>
    <col min="13316" max="13316" width="13.83203125" style="331" bestFit="1" customWidth="1"/>
    <col min="13317" max="13317" width="15.33203125" style="331" customWidth="1"/>
    <col min="13318" max="13318" width="14.1640625" style="331" customWidth="1"/>
    <col min="13319" max="13319" width="15.1640625" style="331" customWidth="1"/>
    <col min="13320" max="13320" width="13.33203125" style="331" customWidth="1"/>
    <col min="13321" max="13321" width="17.33203125" style="331" customWidth="1"/>
    <col min="13322" max="13322" width="15.1640625" style="331" customWidth="1"/>
    <col min="13323" max="13323" width="19.6640625" style="331" customWidth="1"/>
    <col min="13324" max="13326" width="16" style="331" customWidth="1"/>
    <col min="13327" max="13327" width="14.83203125" style="331" customWidth="1"/>
    <col min="13328" max="13328" width="17.33203125" style="331" customWidth="1"/>
    <col min="13329" max="13329" width="14.83203125" style="331" customWidth="1"/>
    <col min="13330" max="13338" width="9" style="331" customWidth="1"/>
    <col min="13339" max="13339" width="7.1640625" style="331" bestFit="1" customWidth="1"/>
    <col min="13340" max="13341" width="9" style="331" customWidth="1"/>
    <col min="13342" max="13346" width="10.33203125" style="331" customWidth="1"/>
    <col min="13347" max="13568" width="9" style="331" customWidth="1"/>
    <col min="13569" max="13569" width="60.33203125" style="331" customWidth="1"/>
    <col min="13570" max="13570" width="2.83203125" style="331" customWidth="1"/>
    <col min="13571" max="13571" width="14.83203125" style="331" customWidth="1"/>
    <col min="13572" max="13572" width="13.83203125" style="331" bestFit="1" customWidth="1"/>
    <col min="13573" max="13573" width="15.33203125" style="331" customWidth="1"/>
    <col min="13574" max="13574" width="14.1640625" style="331" customWidth="1"/>
    <col min="13575" max="13575" width="15.1640625" style="331" customWidth="1"/>
    <col min="13576" max="13576" width="13.33203125" style="331" customWidth="1"/>
    <col min="13577" max="13577" width="17.33203125" style="331" customWidth="1"/>
    <col min="13578" max="13578" width="15.1640625" style="331" customWidth="1"/>
    <col min="13579" max="13579" width="19.6640625" style="331" customWidth="1"/>
    <col min="13580" max="13582" width="16" style="331" customWidth="1"/>
    <col min="13583" max="13583" width="14.83203125" style="331" customWidth="1"/>
    <col min="13584" max="13584" width="17.33203125" style="331" customWidth="1"/>
    <col min="13585" max="13585" width="14.83203125" style="331" customWidth="1"/>
    <col min="13586" max="13594" width="9" style="331" customWidth="1"/>
    <col min="13595" max="13595" width="7.1640625" style="331" bestFit="1" customWidth="1"/>
    <col min="13596" max="13597" width="9" style="331" customWidth="1"/>
    <col min="13598" max="13602" width="10.33203125" style="331" customWidth="1"/>
    <col min="13603" max="13824" width="9" style="331" customWidth="1"/>
    <col min="13825" max="13825" width="60.33203125" style="331" customWidth="1"/>
    <col min="13826" max="13826" width="2.83203125" style="331" customWidth="1"/>
    <col min="13827" max="13827" width="14.83203125" style="331" customWidth="1"/>
    <col min="13828" max="13828" width="13.83203125" style="331" bestFit="1" customWidth="1"/>
    <col min="13829" max="13829" width="15.33203125" style="331" customWidth="1"/>
    <col min="13830" max="13830" width="14.1640625" style="331" customWidth="1"/>
    <col min="13831" max="13831" width="15.1640625" style="331" customWidth="1"/>
    <col min="13832" max="13832" width="13.33203125" style="331" customWidth="1"/>
    <col min="13833" max="13833" width="17.33203125" style="331" customWidth="1"/>
    <col min="13834" max="13834" width="15.1640625" style="331" customWidth="1"/>
    <col min="13835" max="13835" width="19.6640625" style="331" customWidth="1"/>
    <col min="13836" max="13838" width="16" style="331" customWidth="1"/>
    <col min="13839" max="13839" width="14.83203125" style="331" customWidth="1"/>
    <col min="13840" max="13840" width="17.33203125" style="331" customWidth="1"/>
    <col min="13841" max="13841" width="14.83203125" style="331" customWidth="1"/>
    <col min="13842" max="13850" width="9" style="331" customWidth="1"/>
    <col min="13851" max="13851" width="7.1640625" style="331" bestFit="1" customWidth="1"/>
    <col min="13852" max="13853" width="9" style="331" customWidth="1"/>
    <col min="13854" max="13858" width="10.33203125" style="331" customWidth="1"/>
    <col min="13859" max="14080" width="9" style="331" customWidth="1"/>
    <col min="14081" max="14081" width="60.33203125" style="331" customWidth="1"/>
    <col min="14082" max="14082" width="2.83203125" style="331" customWidth="1"/>
    <col min="14083" max="14083" width="14.83203125" style="331" customWidth="1"/>
    <col min="14084" max="14084" width="13.83203125" style="331" bestFit="1" customWidth="1"/>
    <col min="14085" max="14085" width="15.33203125" style="331" customWidth="1"/>
    <col min="14086" max="14086" width="14.1640625" style="331" customWidth="1"/>
    <col min="14087" max="14087" width="15.1640625" style="331" customWidth="1"/>
    <col min="14088" max="14088" width="13.33203125" style="331" customWidth="1"/>
    <col min="14089" max="14089" width="17.33203125" style="331" customWidth="1"/>
    <col min="14090" max="14090" width="15.1640625" style="331" customWidth="1"/>
    <col min="14091" max="14091" width="19.6640625" style="331" customWidth="1"/>
    <col min="14092" max="14094" width="16" style="331" customWidth="1"/>
    <col min="14095" max="14095" width="14.83203125" style="331" customWidth="1"/>
    <col min="14096" max="14096" width="17.33203125" style="331" customWidth="1"/>
    <col min="14097" max="14097" width="14.83203125" style="331" customWidth="1"/>
    <col min="14098" max="14106" width="9" style="331" customWidth="1"/>
    <col min="14107" max="14107" width="7.1640625" style="331" bestFit="1" customWidth="1"/>
    <col min="14108" max="14109" width="9" style="331" customWidth="1"/>
    <col min="14110" max="14114" width="10.33203125" style="331" customWidth="1"/>
    <col min="14115" max="14336" width="9" style="331" customWidth="1"/>
    <col min="14337" max="14337" width="60.33203125" style="331" customWidth="1"/>
    <col min="14338" max="14338" width="2.83203125" style="331" customWidth="1"/>
    <col min="14339" max="14339" width="14.83203125" style="331" customWidth="1"/>
    <col min="14340" max="14340" width="13.83203125" style="331" bestFit="1" customWidth="1"/>
    <col min="14341" max="14341" width="15.33203125" style="331" customWidth="1"/>
    <col min="14342" max="14342" width="14.1640625" style="331" customWidth="1"/>
    <col min="14343" max="14343" width="15.1640625" style="331" customWidth="1"/>
    <col min="14344" max="14344" width="13.33203125" style="331" customWidth="1"/>
    <col min="14345" max="14345" width="17.33203125" style="331" customWidth="1"/>
    <col min="14346" max="14346" width="15.1640625" style="331" customWidth="1"/>
    <col min="14347" max="14347" width="19.6640625" style="331" customWidth="1"/>
    <col min="14348" max="14350" width="16" style="331" customWidth="1"/>
    <col min="14351" max="14351" width="14.83203125" style="331" customWidth="1"/>
    <col min="14352" max="14352" width="17.33203125" style="331" customWidth="1"/>
    <col min="14353" max="14353" width="14.83203125" style="331" customWidth="1"/>
    <col min="14354" max="14362" width="9" style="331" customWidth="1"/>
    <col min="14363" max="14363" width="7.1640625" style="331" bestFit="1" customWidth="1"/>
    <col min="14364" max="14365" width="9" style="331" customWidth="1"/>
    <col min="14366" max="14370" width="10.33203125" style="331" customWidth="1"/>
    <col min="14371" max="14592" width="9" style="331" customWidth="1"/>
    <col min="14593" max="14593" width="60.33203125" style="331" customWidth="1"/>
    <col min="14594" max="14594" width="2.83203125" style="331" customWidth="1"/>
    <col min="14595" max="14595" width="14.83203125" style="331" customWidth="1"/>
    <col min="14596" max="14596" width="13.83203125" style="331" bestFit="1" customWidth="1"/>
    <col min="14597" max="14597" width="15.33203125" style="331" customWidth="1"/>
    <col min="14598" max="14598" width="14.1640625" style="331" customWidth="1"/>
    <col min="14599" max="14599" width="15.1640625" style="331" customWidth="1"/>
    <col min="14600" max="14600" width="13.33203125" style="331" customWidth="1"/>
    <col min="14601" max="14601" width="17.33203125" style="331" customWidth="1"/>
    <col min="14602" max="14602" width="15.1640625" style="331" customWidth="1"/>
    <col min="14603" max="14603" width="19.6640625" style="331" customWidth="1"/>
    <col min="14604" max="14606" width="16" style="331" customWidth="1"/>
    <col min="14607" max="14607" width="14.83203125" style="331" customWidth="1"/>
    <col min="14608" max="14608" width="17.33203125" style="331" customWidth="1"/>
    <col min="14609" max="14609" width="14.83203125" style="331" customWidth="1"/>
    <col min="14610" max="14618" width="9" style="331" customWidth="1"/>
    <col min="14619" max="14619" width="7.1640625" style="331" bestFit="1" customWidth="1"/>
    <col min="14620" max="14621" width="9" style="331" customWidth="1"/>
    <col min="14622" max="14626" width="10.33203125" style="331" customWidth="1"/>
    <col min="14627" max="14848" width="9" style="331" customWidth="1"/>
    <col min="14849" max="14849" width="60.33203125" style="331" customWidth="1"/>
    <col min="14850" max="14850" width="2.83203125" style="331" customWidth="1"/>
    <col min="14851" max="14851" width="14.83203125" style="331" customWidth="1"/>
    <col min="14852" max="14852" width="13.83203125" style="331" bestFit="1" customWidth="1"/>
    <col min="14853" max="14853" width="15.33203125" style="331" customWidth="1"/>
    <col min="14854" max="14854" width="14.1640625" style="331" customWidth="1"/>
    <col min="14855" max="14855" width="15.1640625" style="331" customWidth="1"/>
    <col min="14856" max="14856" width="13.33203125" style="331" customWidth="1"/>
    <col min="14857" max="14857" width="17.33203125" style="331" customWidth="1"/>
    <col min="14858" max="14858" width="15.1640625" style="331" customWidth="1"/>
    <col min="14859" max="14859" width="19.6640625" style="331" customWidth="1"/>
    <col min="14860" max="14862" width="16" style="331" customWidth="1"/>
    <col min="14863" max="14863" width="14.83203125" style="331" customWidth="1"/>
    <col min="14864" max="14864" width="17.33203125" style="331" customWidth="1"/>
    <col min="14865" max="14865" width="14.83203125" style="331" customWidth="1"/>
    <col min="14866" max="14874" width="9" style="331" customWidth="1"/>
    <col min="14875" max="14875" width="7.1640625" style="331" bestFit="1" customWidth="1"/>
    <col min="14876" max="14877" width="9" style="331" customWidth="1"/>
    <col min="14878" max="14882" width="10.33203125" style="331" customWidth="1"/>
    <col min="14883" max="15104" width="9" style="331" customWidth="1"/>
    <col min="15105" max="15105" width="60.33203125" style="331" customWidth="1"/>
    <col min="15106" max="15106" width="2.83203125" style="331" customWidth="1"/>
    <col min="15107" max="15107" width="14.83203125" style="331" customWidth="1"/>
    <col min="15108" max="15108" width="13.83203125" style="331" bestFit="1" customWidth="1"/>
    <col min="15109" max="15109" width="15.33203125" style="331" customWidth="1"/>
    <col min="15110" max="15110" width="14.1640625" style="331" customWidth="1"/>
    <col min="15111" max="15111" width="15.1640625" style="331" customWidth="1"/>
    <col min="15112" max="15112" width="13.33203125" style="331" customWidth="1"/>
    <col min="15113" max="15113" width="17.33203125" style="331" customWidth="1"/>
    <col min="15114" max="15114" width="15.1640625" style="331" customWidth="1"/>
    <col min="15115" max="15115" width="19.6640625" style="331" customWidth="1"/>
    <col min="15116" max="15118" width="16" style="331" customWidth="1"/>
    <col min="15119" max="15119" width="14.83203125" style="331" customWidth="1"/>
    <col min="15120" max="15120" width="17.33203125" style="331" customWidth="1"/>
    <col min="15121" max="15121" width="14.83203125" style="331" customWidth="1"/>
    <col min="15122" max="15130" width="9" style="331" customWidth="1"/>
    <col min="15131" max="15131" width="7.1640625" style="331" bestFit="1" customWidth="1"/>
    <col min="15132" max="15133" width="9" style="331" customWidth="1"/>
    <col min="15134" max="15138" width="10.33203125" style="331" customWidth="1"/>
    <col min="15139" max="15360" width="9" style="331" customWidth="1"/>
    <col min="15361" max="15361" width="60.33203125" style="331" customWidth="1"/>
    <col min="15362" max="15362" width="2.83203125" style="331" customWidth="1"/>
    <col min="15363" max="15363" width="14.83203125" style="331" customWidth="1"/>
    <col min="15364" max="15364" width="13.83203125" style="331" bestFit="1" customWidth="1"/>
    <col min="15365" max="15365" width="15.33203125" style="331" customWidth="1"/>
    <col min="15366" max="15366" width="14.1640625" style="331" customWidth="1"/>
    <col min="15367" max="15367" width="15.1640625" style="331" customWidth="1"/>
    <col min="15368" max="15368" width="13.33203125" style="331" customWidth="1"/>
    <col min="15369" max="15369" width="17.33203125" style="331" customWidth="1"/>
    <col min="15370" max="15370" width="15.1640625" style="331" customWidth="1"/>
    <col min="15371" max="15371" width="19.6640625" style="331" customWidth="1"/>
    <col min="15372" max="15374" width="16" style="331" customWidth="1"/>
    <col min="15375" max="15375" width="14.83203125" style="331" customWidth="1"/>
    <col min="15376" max="15376" width="17.33203125" style="331" customWidth="1"/>
    <col min="15377" max="15377" width="14.83203125" style="331" customWidth="1"/>
    <col min="15378" max="15386" width="9" style="331" customWidth="1"/>
    <col min="15387" max="15387" width="7.1640625" style="331" bestFit="1" customWidth="1"/>
    <col min="15388" max="15389" width="9" style="331" customWidth="1"/>
    <col min="15390" max="15394" width="10.33203125" style="331" customWidth="1"/>
    <col min="15395" max="15616" width="9" style="331" customWidth="1"/>
    <col min="15617" max="15617" width="60.33203125" style="331" customWidth="1"/>
    <col min="15618" max="15618" width="2.83203125" style="331" customWidth="1"/>
    <col min="15619" max="15619" width="14.83203125" style="331" customWidth="1"/>
    <col min="15620" max="15620" width="13.83203125" style="331" bestFit="1" customWidth="1"/>
    <col min="15621" max="15621" width="15.33203125" style="331" customWidth="1"/>
    <col min="15622" max="15622" width="14.1640625" style="331" customWidth="1"/>
    <col min="15623" max="15623" width="15.1640625" style="331" customWidth="1"/>
    <col min="15624" max="15624" width="13.33203125" style="331" customWidth="1"/>
    <col min="15625" max="15625" width="17.33203125" style="331" customWidth="1"/>
    <col min="15626" max="15626" width="15.1640625" style="331" customWidth="1"/>
    <col min="15627" max="15627" width="19.6640625" style="331" customWidth="1"/>
    <col min="15628" max="15630" width="16" style="331" customWidth="1"/>
    <col min="15631" max="15631" width="14.83203125" style="331" customWidth="1"/>
    <col min="15632" max="15632" width="17.33203125" style="331" customWidth="1"/>
    <col min="15633" max="15633" width="14.83203125" style="331" customWidth="1"/>
    <col min="15634" max="15642" width="9" style="331" customWidth="1"/>
    <col min="15643" max="15643" width="7.1640625" style="331" bestFit="1" customWidth="1"/>
    <col min="15644" max="15645" width="9" style="331" customWidth="1"/>
    <col min="15646" max="15650" width="10.33203125" style="331" customWidth="1"/>
    <col min="15651" max="15872" width="9" style="331" customWidth="1"/>
    <col min="15873" max="15873" width="60.33203125" style="331" customWidth="1"/>
    <col min="15874" max="15874" width="2.83203125" style="331" customWidth="1"/>
    <col min="15875" max="15875" width="14.83203125" style="331" customWidth="1"/>
    <col min="15876" max="15876" width="13.83203125" style="331" bestFit="1" customWidth="1"/>
    <col min="15877" max="15877" width="15.33203125" style="331" customWidth="1"/>
    <col min="15878" max="15878" width="14.1640625" style="331" customWidth="1"/>
    <col min="15879" max="15879" width="15.1640625" style="331" customWidth="1"/>
    <col min="15880" max="15880" width="13.33203125" style="331" customWidth="1"/>
    <col min="15881" max="15881" width="17.33203125" style="331" customWidth="1"/>
    <col min="15882" max="15882" width="15.1640625" style="331" customWidth="1"/>
    <col min="15883" max="15883" width="19.6640625" style="331" customWidth="1"/>
    <col min="15884" max="15886" width="16" style="331" customWidth="1"/>
    <col min="15887" max="15887" width="14.83203125" style="331" customWidth="1"/>
    <col min="15888" max="15888" width="17.33203125" style="331" customWidth="1"/>
    <col min="15889" max="15889" width="14.83203125" style="331" customWidth="1"/>
    <col min="15890" max="15898" width="9" style="331" customWidth="1"/>
    <col min="15899" max="15899" width="7.1640625" style="331" bestFit="1" customWidth="1"/>
    <col min="15900" max="15901" width="9" style="331" customWidth="1"/>
    <col min="15902" max="15906" width="10.33203125" style="331" customWidth="1"/>
    <col min="15907" max="16128" width="9" style="331" customWidth="1"/>
    <col min="16129" max="16129" width="60.33203125" style="331" customWidth="1"/>
    <col min="16130" max="16130" width="2.83203125" style="331" customWidth="1"/>
    <col min="16131" max="16131" width="14.83203125" style="331" customWidth="1"/>
    <col min="16132" max="16132" width="13.83203125" style="331" bestFit="1" customWidth="1"/>
    <col min="16133" max="16133" width="15.33203125" style="331" customWidth="1"/>
    <col min="16134" max="16134" width="14.1640625" style="331" customWidth="1"/>
    <col min="16135" max="16135" width="15.1640625" style="331" customWidth="1"/>
    <col min="16136" max="16136" width="13.33203125" style="331" customWidth="1"/>
    <col min="16137" max="16137" width="17.33203125" style="331" customWidth="1"/>
    <col min="16138" max="16138" width="15.1640625" style="331" customWidth="1"/>
    <col min="16139" max="16139" width="19.6640625" style="331" customWidth="1"/>
    <col min="16140" max="16142" width="16" style="331" customWidth="1"/>
    <col min="16143" max="16143" width="14.83203125" style="331" customWidth="1"/>
    <col min="16144" max="16144" width="17.33203125" style="331" customWidth="1"/>
    <col min="16145" max="16145" width="14.83203125" style="331" customWidth="1"/>
    <col min="16146" max="16154" width="9" style="331" customWidth="1"/>
    <col min="16155" max="16155" width="7.1640625" style="331" bestFit="1" customWidth="1"/>
    <col min="16156" max="16157" width="9" style="331" customWidth="1"/>
    <col min="16158" max="16162" width="10.33203125" style="331" customWidth="1"/>
    <col min="16163" max="16384" width="9" style="331" customWidth="1"/>
  </cols>
  <sheetData>
    <row r="1" spans="1:27" x14ac:dyDescent="0.2">
      <c r="A1" s="330" t="s">
        <v>0</v>
      </c>
      <c r="B1" s="845" t="str">
        <f>'Cover Page'!D1</f>
        <v>ASU Preparatory Academy - South Phoenix Primary</v>
      </c>
      <c r="C1" s="845"/>
      <c r="D1" s="845"/>
      <c r="E1" s="845"/>
      <c r="G1" s="330" t="s">
        <v>1</v>
      </c>
      <c r="H1" s="845" t="str">
        <f>'Cover Page'!M1</f>
        <v>Maricopa</v>
      </c>
      <c r="I1" s="845"/>
      <c r="K1" s="330" t="s">
        <v>2</v>
      </c>
      <c r="L1" s="333" t="str">
        <f>'Cover Page'!R1</f>
        <v>078267000</v>
      </c>
      <c r="M1" s="334"/>
      <c r="N1" s="334"/>
      <c r="O1" s="335"/>
      <c r="P1" s="336"/>
    </row>
    <row r="2" spans="1:27" x14ac:dyDescent="0.2">
      <c r="A2" s="330"/>
      <c r="B2" s="330"/>
      <c r="C2" s="340"/>
      <c r="D2" s="334"/>
      <c r="E2" s="341"/>
      <c r="F2" s="341"/>
      <c r="G2" s="341"/>
      <c r="H2" s="330"/>
      <c r="I2" s="334"/>
      <c r="J2" s="334"/>
      <c r="K2" s="334"/>
      <c r="L2" s="341"/>
      <c r="M2" s="334"/>
      <c r="N2" s="334"/>
      <c r="O2" s="335"/>
      <c r="P2" s="335"/>
      <c r="Q2" s="342"/>
    </row>
    <row r="3" spans="1:27" x14ac:dyDescent="0.2">
      <c r="B3" s="607"/>
      <c r="C3" s="607" t="s">
        <v>427</v>
      </c>
      <c r="D3" s="607"/>
      <c r="E3" s="607"/>
      <c r="F3" s="607"/>
      <c r="G3" s="607"/>
      <c r="H3" s="607"/>
      <c r="I3" s="607"/>
      <c r="J3" s="607"/>
      <c r="K3" s="607"/>
      <c r="L3" s="607"/>
      <c r="M3" s="607"/>
      <c r="N3" s="335"/>
    </row>
    <row r="4" spans="1:27" ht="24" customHeight="1" x14ac:dyDescent="0.2">
      <c r="L4" s="335"/>
      <c r="M4" s="607"/>
      <c r="N4" s="607"/>
    </row>
    <row r="5" spans="1:27" x14ac:dyDescent="0.2">
      <c r="A5" s="832"/>
      <c r="B5" s="30"/>
      <c r="C5" s="343"/>
      <c r="D5" s="834" t="s">
        <v>360</v>
      </c>
      <c r="E5" s="835"/>
      <c r="F5" s="835"/>
      <c r="G5" s="835"/>
      <c r="H5" s="835"/>
      <c r="I5" s="835"/>
      <c r="J5" s="835"/>
      <c r="K5" s="835"/>
      <c r="L5" s="836"/>
      <c r="M5" s="344" t="s">
        <v>428</v>
      </c>
      <c r="N5" s="837" t="s">
        <v>292</v>
      </c>
    </row>
    <row r="6" spans="1:27" x14ac:dyDescent="0.2">
      <c r="A6" s="833"/>
      <c r="D6" s="345"/>
      <c r="E6" s="346"/>
      <c r="F6" s="346" t="s">
        <v>153</v>
      </c>
      <c r="G6" s="346"/>
      <c r="H6" s="346"/>
      <c r="I6" s="346"/>
      <c r="J6" s="346"/>
      <c r="K6" s="346" t="s">
        <v>97</v>
      </c>
      <c r="L6" s="347"/>
      <c r="N6" s="838"/>
    </row>
    <row r="7" spans="1:27" x14ac:dyDescent="0.2">
      <c r="D7" s="348"/>
      <c r="E7" s="349" t="s">
        <v>88</v>
      </c>
      <c r="F7" s="349" t="s">
        <v>95</v>
      </c>
      <c r="G7" s="349"/>
      <c r="H7" s="349" t="s">
        <v>361</v>
      </c>
      <c r="I7" s="349" t="s">
        <v>429</v>
      </c>
      <c r="J7" s="349"/>
      <c r="K7" s="350" t="s">
        <v>362</v>
      </c>
      <c r="L7" s="351"/>
      <c r="M7" s="352" t="s">
        <v>430</v>
      </c>
      <c r="N7" s="838"/>
    </row>
    <row r="8" spans="1:27" ht="12" customHeight="1" x14ac:dyDescent="0.2">
      <c r="A8" s="840" t="s">
        <v>431</v>
      </c>
      <c r="B8" s="840"/>
      <c r="C8" s="841"/>
      <c r="D8" s="349" t="s">
        <v>93</v>
      </c>
      <c r="E8" s="353" t="s">
        <v>94</v>
      </c>
      <c r="F8" s="353" t="s">
        <v>363</v>
      </c>
      <c r="G8" s="353" t="s">
        <v>96</v>
      </c>
      <c r="H8" s="353" t="s">
        <v>364</v>
      </c>
      <c r="I8" s="353" t="s">
        <v>432</v>
      </c>
      <c r="J8" s="353" t="s">
        <v>365</v>
      </c>
      <c r="K8" s="350" t="s">
        <v>433</v>
      </c>
      <c r="L8" s="354" t="s">
        <v>367</v>
      </c>
      <c r="M8" s="352" t="s">
        <v>434</v>
      </c>
      <c r="N8" s="838"/>
    </row>
    <row r="9" spans="1:27" x14ac:dyDescent="0.2">
      <c r="A9" s="842"/>
      <c r="B9" s="842"/>
      <c r="C9" s="843"/>
      <c r="D9" s="355">
        <v>6100</v>
      </c>
      <c r="E9" s="355">
        <v>6200</v>
      </c>
      <c r="F9" s="355">
        <v>6500</v>
      </c>
      <c r="G9" s="355">
        <v>6600</v>
      </c>
      <c r="H9" s="355">
        <v>6810</v>
      </c>
      <c r="I9" s="355">
        <v>6820</v>
      </c>
      <c r="J9" s="355">
        <v>6890</v>
      </c>
      <c r="K9" s="355" t="s">
        <v>435</v>
      </c>
      <c r="L9" s="354" t="s">
        <v>370</v>
      </c>
      <c r="M9" s="356" t="s">
        <v>436</v>
      </c>
      <c r="N9" s="839"/>
    </row>
    <row r="10" spans="1:27" ht="12.75" customHeight="1" x14ac:dyDescent="0.2">
      <c r="A10" s="357" t="s">
        <v>206</v>
      </c>
      <c r="B10" s="358"/>
      <c r="C10" s="359" t="s">
        <v>24</v>
      </c>
      <c r="D10" s="360">
        <f t="array" ref="D10">SUM(SUMIFS('Accounting data'!G2:G65536,'Accounting data'!H2:H65536,"1310-1399-C*",'Accounting data'!I2:I65536,{"1*","2*","3*","4*","5*","6*"},'Accounting data'!J2:J65536,"1*",'Accounting data'!K2:K65536,"61*"))+SUM(SUMIFS('Accounting data'!G2:G65536,'Accounting data'!H2:H65536,"1227*",'Accounting data'!I2:I65536,{"1*","2*","3*","4*","5*","6*"},'Accounting data'!J2:J65536,"1*",'Accounting data'!K2:K65536,"61*"))+SUM(SUMIFS('Accounting data'!G2:G65536,'Accounting data'!H2:H65536,"1228*",'Accounting data'!I2:I65536,{"1*","2*","3*","4*","5*","6*"},'Accounting data'!J2:J65536,"1*",'Accounting data'!K2:K65536,"61*"))</f>
        <v>246219</v>
      </c>
      <c r="E10" s="360">
        <f t="array" ref="E10">SUM(SUMIFS('Accounting data'!G2:G65536,'Accounting data'!H2:H65536,"1310-1399-C*",'Accounting data'!I2:I65536,{"1*","2*","3*","4*","5*","6*"},'Accounting data'!J2:J65536,"1*",'Accounting data'!K2:K65536,"62*"))+SUM(SUMIFS('Accounting data'!G2:G65536,'Accounting data'!H2:H65536,"1227*",'Accounting data'!I2:I65536,{"1*","2*","3*","4*","5*","6*"},'Accounting data'!J2:J65536,"1*",'Accounting data'!K2:K65536,"62*"))+SUM(SUMIFS('Accounting data'!G2:G65536,'Accounting data'!H2:H65536,"1228*",'Accounting data'!I2:I65536,{"1*","2*","3*","4*","5*","6*"},'Accounting data'!J2:J65536,"1*",'Accounting data'!K2:K65536,"62*"))</f>
        <v>74848</v>
      </c>
      <c r="F10" s="360">
        <f t="array" ref="F10">SUM(SUMIFS('Accounting data'!G2:G65536,'Accounting data'!H2:H65536,"1310-1399-C*",'Accounting data'!I2:I65536,{"1*","2*","3*","4*","5*","6*"},'Accounting data'!J2:J65536,"1*",'Accounting data'!K2:K65536,"63*"))+SUM(SUMIFS('Accounting data'!G2:G65536,'Accounting data'!H2:H65536,"1227*",'Accounting data'!I2:I65536,{"1*","2*","3*","4*","5*","6*"},'Accounting data'!J2:J65536,"1*",'Accounting data'!K2:K65536,"63*"))+SUM(SUMIFS('Accounting data'!G2:G65536,'Accounting data'!H2:H65536,"1228*",'Accounting data'!I2:I65536,{"1*","2*","3*","4*","5*","6*"},'Accounting data'!J2:J65536,"1*",'Accounting data'!K2:K65536,"63*"))</f>
        <v>21688</v>
      </c>
      <c r="G10" s="360">
        <f t="array" ref="G10">SUM(SUMIFS('Accounting data'!G2:G65536,'Accounting data'!H2:H65536,"1310-1399-C*",'Accounting data'!I2:I65536,{"1*","2*","3*","4*","5*","6*"},'Accounting data'!J2:J65536,"1*",'Accounting data'!K2:K65536,"66*"))+SUM(SUMIFS('Accounting data'!G2:G65536,'Accounting data'!H2:H65536,"1227*",'Accounting data'!I2:I65536,{"1*","2*","3*","4*","5*","6*"},'Accounting data'!J2:J65536,"1*",'Accounting data'!K2:K65536,"66*"))+SUM(SUMIFS('Accounting data'!G2:G65536,'Accounting data'!H2:H65536,"1228*",'Accounting data'!I2:I65536,{"1*","2*","3*","4*","5*","6*"},'Accounting data'!J2:J65536,"1*",'Accounting data'!K2:K65536,"66*"))</f>
        <v>20803</v>
      </c>
      <c r="H10" s="360">
        <f t="array" ref="H10">SUM(SUMIFS('Accounting data'!G2:G65536,'Accounting data'!H2:H65536,"1310-1399-C*",'Accounting data'!I2:I65536,{"1*","2*","3*","4*","5*","6*"},'Accounting data'!J2:J65536,"1*",'Accounting data'!K2:K65536,"681*"))+SUM(SUMIFS('Accounting data'!G2:G65536,'Accounting data'!H2:H65536,"1227*",'Accounting data'!I2:I65536,{"1*","2*","3*","4*","5*","6*"},'Accounting data'!J2:J65536,"1*",'Accounting data'!K2:K65536,"681*"))+SUM(SUMIFS('Accounting data'!G2:G65536,'Accounting data'!H2:H65536,"1228*",'Accounting data'!I2:I65536,{"1*","2*","3*","4*","5*","6*"},'Accounting data'!J2:J65536,"1*",'Accounting data'!K2:K65536,"681*"))</f>
        <v>0</v>
      </c>
      <c r="I10" s="361"/>
      <c r="J10" s="360">
        <f t="array" ref="J10">SUM(SUMIFS('Accounting data'!G2:G65536,'Accounting data'!H2:H65536,"1310-1399-C*",'Accounting data'!I2:I65536,{"1*","2*","3*","4*","5*","6*"},'Accounting data'!J2:J65536,"1*",'Accounting data'!K2:K65536,"689*"))+SUM(SUMIFS('Accounting data'!G2:G65536,'Accounting data'!H2:H65536,"1227*",'Accounting data'!I2:I65536,{"1*","2*","3*","4*","5*","6*"},'Accounting data'!J2:J65536,"1*",'Accounting data'!K2:K65536,"689*"))+SUM(SUMIFS('Accounting data'!G2:G65536,'Accounting data'!H2:H65536,"1228*",'Accounting data'!I2:I65536,{"1*","2*","3*","4*","5*","6*"},'Accounting data'!J2:J65536,"1*",'Accounting data'!K2:K65536,"689*"))</f>
        <v>0</v>
      </c>
      <c r="K10" s="360">
        <f t="array" ref="K10">SUM(SUMIFS('Accounting data'!G2:G65536,'Accounting data'!H2:H65536,"1310-1399-C*",'Accounting data'!I2:I65536,{"1*","2*","3*","4*","5*","6*"},'Accounting data'!J2:J65536,"1*",'Accounting data'!K2:K65536,"683*"))+SUM(SUMIFS('Accounting data'!G2:G65536,'Accounting data'!H2:H65536,"1227*",'Accounting data'!I2:I65536,{"1*","2*","3*","4*","5*","6*"},'Accounting data'!J2:J65536,"1*",'Accounting data'!K2:K65536,"683*"))+SUM(SUMIFS('Accounting data'!G2:G65536,'Accounting data'!H2:H65536,"1228*",'Accounting data'!I2:I65536,{"1*","2*","3*","4*","5*","6*"},'Accounting data'!J2:J65536,"1*",'Accounting data'!K2:K65536,"683*"))</f>
        <v>0</v>
      </c>
      <c r="L10" s="31">
        <v>0</v>
      </c>
      <c r="M10" s="360">
        <f t="array" ref="M10">SUM(SUMIFS('Accounting data'!G2:G65536,'Accounting data'!H2:H65536,"1310-1399-C*",'Accounting data'!I2:I65536,{"7*","8*","9*"},'Accounting data'!J2:J65536,"1*",'Accounting data'!K2:K65536,"6*"))-SUM(SUMIFS('Accounting data'!G2:G65536,'Accounting data'!H2:H65536,"1310-1399-C*",'Accounting data'!I2:I65536,{"7*","8*","9*"},'Accounting data'!J2:J65536,"1*",'Accounting data'!K2:K65536,"69*"))+SUM(SUMIFS('Accounting data'!G2:G65536,'Accounting data'!H2:H65536,"1227*",'Accounting data'!I2:I65536,{"7*","8*","9*"},'Accounting data'!J2:J65536,"1*",'Accounting data'!K2:K65536,"6*"))-SUM(SUMIFS('Accounting data'!G2:G65536,'Accounting data'!H2:H65536,"1227*",'Accounting data'!I2:I65536,{"7*","8*","9*"},'Accounting data'!J2:J65536,"1*",'Accounting data'!K2:K65536,"69*"))+SUM(SUMIFS('Accounting data'!G2:G65536,'Accounting data'!H2:H65536,"1228*",'Accounting data'!I2:I65536,{"7*","8*","9*"},'Accounting data'!J2:J65536,"1*",'Accounting data'!K2:K65536,"6*"))-SUM(SUMIFS('Accounting data'!G2:G65536,'Accounting data'!H2:H65536,"1228*",'Accounting data'!I2:I65536,{"7*","8*","9*"},'Accounting data'!J2:J65536,"1*",'Accounting data'!K2:K65536,"69*"))</f>
        <v>0</v>
      </c>
      <c r="N10" s="362">
        <f t="shared" ref="N10:N19" si="0">ROUND(SUM(D10:M10),0)</f>
        <v>363558</v>
      </c>
      <c r="O10" s="363"/>
    </row>
    <row r="11" spans="1:27" x14ac:dyDescent="0.2">
      <c r="A11" s="364" t="s">
        <v>437</v>
      </c>
      <c r="B11" s="634"/>
      <c r="C11" s="365" t="s">
        <v>26</v>
      </c>
      <c r="D11" s="360">
        <f t="array" ref="D11">SUM(SUMIFS('Accounting data'!G2:G65536,'Accounting data'!H2:H65536,"1310-1399-C*",'Accounting data'!I2:I65536,{"1*","2*","3*","4*","5*","6*"},'Accounting data'!J2:J65536,"21*",'Accounting data'!K2:K65536,"61*"))+SUM(SUMIFS('Accounting data'!G2:G65536,'Accounting data'!H2:H65536,"1310-1399-C*",'Accounting data'!I2:I65536,{"1*","2*","3*","4*","5*","6*"},'Accounting data'!J2:J65536,"22*",'Accounting data'!K2:K65536,"61*"))+SUM(SUMIFS('Accounting data'!G2:G65536,'Accounting data'!H2:H65536,"1227*",'Accounting data'!I2:I65536,{"1*","2*","3*","4*","5*","6*"},'Accounting data'!J2:J65536,"21*",'Accounting data'!K2:K65536,"61*"))+SUM(SUMIFS('Accounting data'!G2:G65536,'Accounting data'!H2:H65536,"1227*",'Accounting data'!I2:I65536,{"1*","2*","3*","4*","5*","6*"},'Accounting data'!J2:J65536,"22*",'Accounting data'!K2:K65536,"61*"))+SUM(SUMIFS('Accounting data'!G2:G65536,'Accounting data'!H2:H65536,"1228*",'Accounting data'!I2:I65536,{"1*","2*","3*","4*","5*","6*"},'Accounting data'!J2:J65536,"21*",'Accounting data'!K2:K65536,"61*"))+SUM(SUMIFS('Accounting data'!G2:G65536,'Accounting data'!H2:H65536,"1228*",'Accounting data'!I2:I65536,{"1*","2*","3*","4*","5*","6*"},'Accounting data'!J2:J65536,"22*",'Accounting data'!K2:K65536,"61*"))</f>
        <v>99010</v>
      </c>
      <c r="E11" s="360">
        <f t="array" ref="E11">SUM(SUMIFS('Accounting data'!G2:G65536,'Accounting data'!H2:H65536,"1310-1399-C*",'Accounting data'!I2:I65536,{"1*","2*","3*","4*","5*","6*"},'Accounting data'!J2:J65536,"21*",'Accounting data'!K2:K65536,"62*"))+SUM(SUMIFS('Accounting data'!G2:G65536,'Accounting data'!H2:H65536,"1310-1399-C*",'Accounting data'!I2:I65536,{"1*","2*","3*","4*","5*","6*"},'Accounting data'!J2:J65536,"22*",'Accounting data'!K2:K65536,"62*"))+SUM(SUMIFS('Accounting data'!G2:G65536,'Accounting data'!H2:H65536,"1227*",'Accounting data'!I2:I65536,{"1*","2*","3*","4*","5*","6*"},'Accounting data'!J2:J65536,"21*",'Accounting data'!K2:K65536,"62*"))+SUM(SUMIFS('Accounting data'!G2:G65536,'Accounting data'!H2:H65536,"1227*",'Accounting data'!I2:I65536,{"1*","2*","3*","4*","5*","6*"},'Accounting data'!J2:J65536,"22*",'Accounting data'!K2:K65536,"62*"))+SUM(SUMIFS('Accounting data'!G2:G65536,'Accounting data'!H2:H65536,"1228*",'Accounting data'!I2:I65536,{"1*","2*","3*","4*","5*","6*"},'Accounting data'!J2:J65536,"21*",'Accounting data'!K2:K65536,"62*"))+SUM(SUMIFS('Accounting data'!G2:G65536,'Accounting data'!H2:H65536,"1228*",'Accounting data'!I2:I65536,{"1*","2*","3*","4*","5*","6*"},'Accounting data'!J2:J65536,"22*",'Accounting data'!K2:K65536,"62*"))</f>
        <v>27232</v>
      </c>
      <c r="F11" s="360">
        <f t="array" ref="F11">SUM(SUMIFS('Accounting data'!G2:G65536,'Accounting data'!H2:H65536,"1310-1399-C*",'Accounting data'!I2:I65536,{"1*","2*","3*","4*","5*","6*"},'Accounting data'!J2:J65536,"21*",'Accounting data'!K2:K65536,"63*"))+SUM(SUMIFS('Accounting data'!G2:G65536,'Accounting data'!H2:H65536,"1310-1399-C*",'Accounting data'!I2:I65536,{"1*","2*","3*","4*","5*","6*"},'Accounting data'!J2:J65536,"22*",'Accounting data'!K2:K65536,"63*"))+SUM(SUMIFS('Accounting data'!G2:G65536,'Accounting data'!H2:H65536,"1227*",'Accounting data'!I2:I65536,{"1*","2*","3*","4*","5*","6*"},'Accounting data'!J2:J65536,"21*",'Accounting data'!K2:K65536,"63*"))+SUM(SUMIFS('Accounting data'!G2:G65536,'Accounting data'!H2:H65536,"1227*",'Accounting data'!I2:I65536,{"1*","2*","3*","4*","5*","6*"},'Accounting data'!J2:J65536,"22*",'Accounting data'!K2:K65536,"63*"))+SUM(SUMIFS('Accounting data'!G2:G65536,'Accounting data'!H2:H65536,"1228*",'Accounting data'!I2:I65536,{"1*","2*","3*","4*","5*","6*"},'Accounting data'!J2:J65536,"21*",'Accounting data'!K2:K65536,"63*"))+SUM(SUMIFS('Accounting data'!G2:G65536,'Accounting data'!H2:H65536,"1228*",'Accounting data'!I2:I65536,{"1*","2*","3*","4*","5*","6*"},'Accounting data'!J2:J65536,"22*",'Accounting data'!K2:K65536,"63*"))</f>
        <v>0</v>
      </c>
      <c r="G11" s="360">
        <f t="array" ref="G11">SUM(SUMIFS('Accounting data'!G2:G65536,'Accounting data'!H2:H65536,"1310-1399-C*",'Accounting data'!I2:I65536,{"1*","2*","3*","4*","5*","6*"},'Accounting data'!J2:J65536,"21*",'Accounting data'!K2:K65536,"66*"))+SUM(SUMIFS('Accounting data'!G2:G65536,'Accounting data'!H2:H65536,"1310-1399-C*",'Accounting data'!I2:I65536,{"1*","2*","3*","4*","5*","6*"},'Accounting data'!J2:J65536,"22*",'Accounting data'!K2:K65536,"66*"))+SUM(SUMIFS('Accounting data'!G2:G65536,'Accounting data'!H2:H65536,"1227*",'Accounting data'!I2:I65536,{"1*","2*","3*","4*","5*","6*"},'Accounting data'!J2:J65536,"21*",'Accounting data'!K2:K65536,"66*"))+SUM(SUMIFS('Accounting data'!G2:G65536,'Accounting data'!H2:H65536,"1227*",'Accounting data'!I2:I65536,{"1*","2*","3*","4*","5*","6*"},'Accounting data'!J2:J65536,"22*",'Accounting data'!K2:K65536,"66*"))+SUM(SUMIFS('Accounting data'!G2:G65536,'Accounting data'!H2:H65536,"1228*",'Accounting data'!I2:I65536,{"1*","2*","3*","4*","5*","6*"},'Accounting data'!J2:J65536,"21*",'Accounting data'!K2:K65536,"66*"))+SUM(SUMIFS('Accounting data'!G2:G65536,'Accounting data'!H2:H65536,"1228*",'Accounting data'!I2:I65536,{"1*","2*","3*","4*","5*","6*"},'Accounting data'!J2:J65536,"22*",'Accounting data'!K2:K65536,"66*"))</f>
        <v>41203</v>
      </c>
      <c r="H11" s="360">
        <f t="array" ref="H11">SUM(SUMIFS('Accounting data'!G2:G65536,'Accounting data'!H2:H65536,"1310-1399-C*",'Accounting data'!I2:I65536,{"1*","2*","3*","4*","5*","6*"},'Accounting data'!J2:J65536,"21*",'Accounting data'!K2:K65536,"681*"))+SUM(SUMIFS('Accounting data'!G2:G65536,'Accounting data'!H2:H65536,"1310-1399-C*",'Accounting data'!I2:I65536,{"1*","2*","3*","4*","5*","6*"},'Accounting data'!J2:J65536,"22*",'Accounting data'!K2:K65536,"681*"))+SUM(SUMIFS('Accounting data'!G2:G65536,'Accounting data'!H2:H65536,"1227*",'Accounting data'!I2:I65536,{"1*","2*","3*","4*","5*","6*"},'Accounting data'!J2:J65536,"21*",'Accounting data'!K2:K65536,"681*"))+SUM(SUMIFS('Accounting data'!G2:G65536,'Accounting data'!H2:H65536,"1227*",'Accounting data'!I2:I65536,{"1*","2*","3*","4*","5*","6*"},'Accounting data'!J2:J65536,"22*",'Accounting data'!K2:K65536,"681*"))+SUM(SUMIFS('Accounting data'!G2:G65536,'Accounting data'!H2:H65536,"1228*",'Accounting data'!I2:I65536,{"1*","2*","3*","4*","5*","6*"},'Accounting data'!J2:J65536,"21*",'Accounting data'!K2:K65536,"681*"))+SUM(SUMIFS('Accounting data'!G2:G65536,'Accounting data'!H2:H65536,"1228*",'Accounting data'!I2:I65536,{"1*","2*","3*","4*","5*","6*"},'Accounting data'!J2:J65536,"22*",'Accounting data'!K2:K65536,"681*"))</f>
        <v>0</v>
      </c>
      <c r="I11" s="361"/>
      <c r="J11" s="360">
        <f t="array" ref="J11">SUM(SUMIFS('Accounting data'!G2:G65536,'Accounting data'!H2:H65536,"1310-1399-C*",'Accounting data'!I2:I65536,{"1*","2*","3*","4*","5*","6*"},'Accounting data'!J2:J65536,"21*",'Accounting data'!K2:K65536,"689*"))+SUM(SUMIFS('Accounting data'!G2:G65536,'Accounting data'!H2:H65536,"1310-1399-C*",'Accounting data'!I2:I65536,{"1*","2*","3*","4*","5*","6*"},'Accounting data'!J2:J65536,"22*",'Accounting data'!K2:K65536,"689*"))+SUM(SUMIFS('Accounting data'!G2:G65536,'Accounting data'!H2:H65536,"1227*",'Accounting data'!I2:I65536,{"1*","2*","3*","4*","5*","6*"},'Accounting data'!J2:J65536,"21*",'Accounting data'!K2:K65536,"689*"))+SUM(SUMIFS('Accounting data'!G2:G65536,'Accounting data'!H2:H65536,"1227*",'Accounting data'!I2:I65536,{"1*","2*","3*","4*","5*","6*"},'Accounting data'!J2:J65536,"22*",'Accounting data'!K2:K65536,"689*"))+SUM(SUMIFS('Accounting data'!G2:G65536,'Accounting data'!H2:H65536,"1228*",'Accounting data'!I2:I65536,{"1*","2*","3*","4*","5*","6*"},'Accounting data'!J2:J65536,"21*",'Accounting data'!K2:K65536,"689*"))+SUM(SUMIFS('Accounting data'!G2:G65536,'Accounting data'!H2:H65536,"1228*",'Accounting data'!I2:I65536,{"1*","2*","3*","4*","5*","6*"},'Accounting data'!J2:J65536,"22*",'Accounting data'!K2:K65536,"689*"))</f>
        <v>0</v>
      </c>
      <c r="K11" s="360">
        <f t="array" ref="K11">SUM(SUMIFS('Accounting data'!G2:G65536,'Accounting data'!H2:H65536,"1310-1399-C*",'Accounting data'!I2:I65536,{"1*","2*","3*","4*","5*","6*"},'Accounting data'!J2:J65536,"21*",'Accounting data'!K2:K65536,"683*"))+SUM(SUMIFS('Accounting data'!G2:G65536,'Accounting data'!H2:H65536,"1310-1399-C*",'Accounting data'!I2:I65536,{"1*","2*","3*","4*","5*","6*"},'Accounting data'!J2:J65536,"22*",'Accounting data'!K2:K65536,"683*"))+SUM(SUMIFS('Accounting data'!G2:G65536,'Accounting data'!H2:H65536,"1227*",'Accounting data'!I2:I65536,{"1*","2*","3*","4*","5*","6*"},'Accounting data'!J2:J65536,"21*",'Accounting data'!K2:K65536,"683*"))+SUM(SUMIFS('Accounting data'!G2:G65536,'Accounting data'!H2:H65536,"1227*",'Accounting data'!I2:I65536,{"1*","2*","3*","4*","5*","6*"},'Accounting data'!J2:J65536,"22*",'Accounting data'!K2:K65536,"683*"))+SUM(SUMIFS('Accounting data'!G2:G65536,'Accounting data'!H2:H65536,"1228*",'Accounting data'!I2:I65536,{"1*","2*","3*","4*","5*","6*"},'Accounting data'!J2:J65536,"21*",'Accounting data'!K2:K65536,"683*"))+SUM(SUMIFS('Accounting data'!G2:G65536,'Accounting data'!H2:H65536,"1228*",'Accounting data'!I2:I65536,{"1*","2*","3*","4*","5*","6*"},'Accounting data'!J2:J65536,"22*",'Accounting data'!K2:K65536,"683*"))</f>
        <v>0</v>
      </c>
      <c r="L11" s="31">
        <v>0</v>
      </c>
      <c r="M11" s="360">
        <f t="array" ref="M11">(SUM(SUMIFS('Accounting data'!G2:G65536,'Accounting data'!H2:H65536,"1310-1399-C*",'Accounting data'!I2:I65536,{"7*","8*","9*"},'Accounting data'!J2:J65536,"21*",'Accounting data'!K2:K65536,"6*"))+SUM(SUMIFS('Accounting data'!G2:G65536,'Accounting data'!H2:H65536,"1310-1399-C*",'Accounting data'!I2:I65536,{"7*","8*","9*"},'Accounting data'!J2:J65536,"22*",'Accounting data'!K2:K65536,"6*")))-(SUM(SUMIFS('Accounting data'!G2:G65536,'Accounting data'!H2:H65536,"1310-1399-C*",'Accounting data'!I2:I65536,{"7*","8*","9*"},'Accounting data'!J2:J65536,"21*",'Accounting data'!K2:K65536,"69*"))+SUM(SUMIFS('Accounting data'!G2:G65536,'Accounting data'!H2:H65536,"1310-1399-C*",'Accounting data'!I2:I65536,{"7*","8*","9*"},'Accounting data'!J2:J65536,"22*",'Accounting data'!K2:K65536,"69*")))+(SUM(SUMIFS('Accounting data'!G2:G65536,'Accounting data'!H2:H65536,"1227*",'Accounting data'!I2:I65536,{"7*","8*","9*"},'Accounting data'!J2:J65536,"21*",'Accounting data'!K2:K65536,"6*"))+SUM(SUMIFS('Accounting data'!G2:G65536,'Accounting data'!H2:H65536,"1227*",'Accounting data'!I2:I65536,{"7*","8*","9*"},'Accounting data'!J2:J65536,"22*",'Accounting data'!K2:K65536,"6*")))-(SUM(SUMIFS('Accounting data'!G2:G65536,'Accounting data'!H2:H65536,"1227*",'Accounting data'!I2:I65536,{"7*","8*","9*"},'Accounting data'!J2:J65536,"21*",'Accounting data'!K2:K65536,"69*"))+SUM(SUMIFS('Accounting data'!G2:G65536,'Accounting data'!H2:H65536,"1227*",'Accounting data'!I2:I65536,{"7*","8*","9*"},'Accounting data'!J2:J65536,"22*",'Accounting data'!K2:K65536,"69*")))+(SUM(SUMIFS('Accounting data'!G2:G65536,'Accounting data'!H2:H65536,"1228*",'Accounting data'!I2:I65536,{"7*","8*","9*"},'Accounting data'!J2:J65536,"21*",'Accounting data'!K2:K65536,"6*"))+SUM(SUMIFS('Accounting data'!G2:G65536,'Accounting data'!H2:H65536,"1228*",'Accounting data'!I2:I65536,{"7*","8*","9*"},'Accounting data'!J2:J65536,"22*",'Accounting data'!K2:K65536,"6*")))-(SUM(SUMIFS('Accounting data'!G2:G65536,'Accounting data'!H2:H65536,"1228*",'Accounting data'!I2:I65536,{"7*","8*","9*"},'Accounting data'!J2:J65536,"21*",'Accounting data'!K2:K65536,"69*"))+SUM(SUMIFS('Accounting data'!G2:G65536,'Accounting data'!H2:H65536,"1228*",'Accounting data'!I2:I65536,{"7*","8*","9*"},'Accounting data'!J2:J65536,"22*",'Accounting data'!K2:K65536,"69*")))</f>
        <v>0</v>
      </c>
      <c r="N11" s="362">
        <f t="shared" si="0"/>
        <v>167445</v>
      </c>
      <c r="O11" s="363"/>
    </row>
    <row r="12" spans="1:27" x14ac:dyDescent="0.2">
      <c r="A12" s="364" t="s">
        <v>438</v>
      </c>
      <c r="B12" s="634"/>
      <c r="C12" s="365" t="s">
        <v>28</v>
      </c>
      <c r="D12" s="360">
        <f t="array" ref="D12">SUM(SUMIFS('Accounting data'!G2:G65536,'Accounting data'!H2:H65536,"1310-1399-C*",'Accounting data'!I2:I65536,{"1*","2*","3*","4*","5*","6*"},'Accounting data'!J2:J65536,"23*",'Accounting data'!K2:K65536,"61*"))+SUM(SUMIFS('Accounting data'!G2:G65536,'Accounting data'!H2:H65536,"1310-1399-C*",'Accounting data'!I2:I65536,{"1*","2*","3*","4*","5*","6*"},'Accounting data'!J2:J65536,"25*",'Accounting data'!K2:K65536,"61*"))+SUM(SUMIFS('Accounting data'!G2:G65536,'Accounting data'!H2:H65536,"1310-1399-C*",'Accounting data'!I2:I65536,{"1*","2*","3*","4*","5*","6*"},'Accounting data'!J2:J65536,"29*",'Accounting data'!K2:K65536,"61*"))+SUM(SUMIFS('Accounting data'!G2:G65536,'Accounting data'!H2:H65536,"1227*",'Accounting data'!I2:I65536,{"1*","2*","3*","4*","5*","6*"},'Accounting data'!J2:J65536,"23*",'Accounting data'!K2:K65536,"61*"))+SUM(SUMIFS('Accounting data'!G2:G65536,'Accounting data'!H2:H65536,"1227*",'Accounting data'!I2:I65536,{"1*","2*","3*","4*","5*","6*"},'Accounting data'!J2:J65536,"25*",'Accounting data'!K2:K65536,"61*"))+SUM(SUMIFS('Accounting data'!G2:G65536,'Accounting data'!H2:H65536,"1227*",'Accounting data'!I2:I65536,{"1*","2*","3*","4*","5*","6*"},'Accounting data'!J2:J65536,"29*",'Accounting data'!K2:K65536,"61*"))+SUM(SUMIFS('Accounting data'!G2:G65536,'Accounting data'!H2:H65536,"1228*",'Accounting data'!I2:I65536,{"1*","2*","3*","4*","5*","6*"},'Accounting data'!J2:J65536,"23*",'Accounting data'!K2:K65536,"61*"))+SUM(SUMIFS('Accounting data'!G2:G65536,'Accounting data'!H2:H65536,"1228*",'Accounting data'!I2:I65536,{"1*","2*","3*","4*","5*","6*"},'Accounting data'!J2:J65536,"25*",'Accounting data'!K2:K65536,"61*"))+SUM(SUMIFS('Accounting data'!G2:G65536,'Accounting data'!H2:H65536,"1228*",'Accounting data'!I2:I65536,{"1*","2*","3*","4*","5*","6*"},'Accounting data'!J2:J65536,"29*",'Accounting data'!K2:K65536,"61*"))</f>
        <v>0</v>
      </c>
      <c r="E12" s="360">
        <f t="array" ref="E12">SUM(SUMIFS('Accounting data'!G2:G65536,'Accounting data'!H2:H65536,"1310-1399-C*",'Accounting data'!I2:I65536,{"1*","2*","3*","4*","5*","6*"},'Accounting data'!J2:J65536,"23*",'Accounting data'!K2:K65536,"62*"))+SUM(SUMIFS('Accounting data'!G2:G65536,'Accounting data'!H2:H65536,"1310-1399-C*",'Accounting data'!I2:I65536,{"1*","2*","3*","4*","5*","6*"},'Accounting data'!J2:J65536,"25*",'Accounting data'!K2:K65536,"62*"))+SUM(SUMIFS('Accounting data'!G2:G65536,'Accounting data'!H2:H65536,"1310-1399-C*",'Accounting data'!I2:I65536,{"1*","2*","3*","4*","5*","6*"},'Accounting data'!J2:J65536,"29*",'Accounting data'!K2:K65536,"62*"))+SUM(SUMIFS('Accounting data'!G2:G65536,'Accounting data'!H2:H65536,"1227*",'Accounting data'!I2:I65536,{"1*","2*","3*","4*","5*","6*"},'Accounting data'!J2:J65536,"23*",'Accounting data'!K2:K65536,"62*"))+SUM(SUMIFS('Accounting data'!G2:G65536,'Accounting data'!H2:H65536,"1227*",'Accounting data'!I2:I65536,{"1*","2*","3*","4*","5*","6*"},'Accounting data'!J2:J65536,"25*",'Accounting data'!K2:K65536,"62*"))+SUM(SUMIFS('Accounting data'!G2:G65536,'Accounting data'!H2:H65536,"1227*",'Accounting data'!I2:I65536,{"1*","2*","3*","4*","5*","6*"},'Accounting data'!J2:J65536,"29*",'Accounting data'!K2:K65536,"62*"))+SUM(SUMIFS('Accounting data'!G2:G65536,'Accounting data'!H2:H65536,"1228*",'Accounting data'!I2:I65536,{"1*","2*","3*","4*","5*","6*"},'Accounting data'!J2:J65536,"23*",'Accounting data'!K2:K65536,"62*"))+SUM(SUMIFS('Accounting data'!G2:G65536,'Accounting data'!H2:H65536,"1228*",'Accounting data'!I2:I65536,{"1*","2*","3*","4*","5*","6*"},'Accounting data'!J2:J65536,"25*",'Accounting data'!K2:K65536,"62*"))+SUM(SUMIFS('Accounting data'!G2:G65536,'Accounting data'!H2:H65536,"1228*",'Accounting data'!I2:I65536,{"1*","2*","3*","4*","5*","6*"},'Accounting data'!J2:J65536,"29*",'Accounting data'!K2:K65536,"62*"))</f>
        <v>0</v>
      </c>
      <c r="F12" s="360">
        <f t="array" ref="F12">SUM(SUMIFS('Accounting data'!G2:G65536,'Accounting data'!H2:H65536,"1310-1399-C*",'Accounting data'!I2:I65536,{"1*","2*","3*","4*","5*","6*"},'Accounting data'!J2:J65536,"23*",'Accounting data'!K2:K65536,"63*"))+SUM(SUMIFS('Accounting data'!G2:G65536,'Accounting data'!H2:H65536,"1310-1399-C*",'Accounting data'!I2:I65536,{"1*","2*","3*","4*","5*","6*"},'Accounting data'!J2:J65536,"25*",'Accounting data'!K2:K65536,"63*"))+SUM(SUMIFS('Accounting data'!G2:G65536,'Accounting data'!H2:H65536,"1310-1399-C*",'Accounting data'!I2:I65536,{"1*","2*","3*","4*","5*","6*"},'Accounting data'!J2:J65536,"29*",'Accounting data'!K2:K65536,"63*"))+SUM(SUMIFS('Accounting data'!G2:G65536,'Accounting data'!H2:H65536,"1227*",'Accounting data'!I2:I65536,{"1*","2*","3*","4*","5*","6*"},'Accounting data'!J2:J65536,"23*",'Accounting data'!K2:K65536,"63*"))+SUM(SUMIFS('Accounting data'!G2:G65536,'Accounting data'!H2:H65536,"1227*",'Accounting data'!I2:I65536,{"1*","2*","3*","4*","5*","6*"},'Accounting data'!J2:J65536,"25*",'Accounting data'!K2:K65536,"63*"))+SUM(SUMIFS('Accounting data'!G2:G65536,'Accounting data'!H2:H65536,"1227*",'Accounting data'!I2:I65536,{"1*","2*","3*","4*","5*","6*"},'Accounting data'!J2:J65536,"29*",'Accounting data'!K2:K65536,"63*"))+SUM(SUMIFS('Accounting data'!G2:G65536,'Accounting data'!H2:H65536,"1228*",'Accounting data'!I2:I65536,{"1*","2*","3*","4*","5*","6*"},'Accounting data'!J2:J65536,"23*",'Accounting data'!K2:K65536,"63*"))+SUM(SUMIFS('Accounting data'!G2:G65536,'Accounting data'!H2:H65536,"1228*",'Accounting data'!I2:I65536,{"1*","2*","3*","4*","5*","6*"},'Accounting data'!J2:J65536,"25*",'Accounting data'!K2:K65536,"63*"))+SUM(SUMIFS('Accounting data'!G2:G65536,'Accounting data'!H2:H65536,"1228*",'Accounting data'!I2:I65536,{"1*","2*","3*","4*","5*","6*"},'Accounting data'!J2:J65536,"29*",'Accounting data'!K2:K65536,"63*"))</f>
        <v>0</v>
      </c>
      <c r="G12" s="360">
        <f t="array" ref="G12">SUM(SUMIFS('Accounting data'!G2:G65536,'Accounting data'!H2:H65536,"1310-1399-C*",'Accounting data'!I2:I65536,{"1*","2*","3*","4*","5*","6*"},'Accounting data'!J2:J65536,"23*",'Accounting data'!K2:K65536,"66*"))+SUM(SUMIFS('Accounting data'!G2:G65536,'Accounting data'!H2:H65536,"1310-1399-C*",'Accounting data'!I2:I65536,{"1*","2*","3*","4*","5*","6*"},'Accounting data'!J2:J65536,"25*",'Accounting data'!K2:K65536,"66*"))+SUM(SUMIFS('Accounting data'!G2:G65536,'Accounting data'!H2:H65536,"1310-1399-C*",'Accounting data'!I2:I65536,{"1*","2*","3*","4*","5*","6*"},'Accounting data'!J2:J65536,"29*",'Accounting data'!K2:K65536,"66*"))+SUM(SUMIFS('Accounting data'!G2:G65536,'Accounting data'!H2:H65536,"1227*",'Accounting data'!I2:I65536,{"1*","2*","3*","4*","5*","6*"},'Accounting data'!J2:J65536,"23*",'Accounting data'!K2:K65536,"66*"))+SUM(SUMIFS('Accounting data'!G2:G65536,'Accounting data'!H2:H65536,"1227*",'Accounting data'!I2:I65536,{"1*","2*","3*","4*","5*","6*"},'Accounting data'!J2:J65536,"25*",'Accounting data'!K2:K65536,"66*"))+SUM(SUMIFS('Accounting data'!G2:G65536,'Accounting data'!H2:H65536,"1227*",'Accounting data'!I2:I65536,{"1*","2*","3*","4*","5*","6*"},'Accounting data'!J2:J65536,"29*",'Accounting data'!K2:K65536,"66*"))+SUM(SUMIFS('Accounting data'!G2:G65536,'Accounting data'!H2:H65536,"1228*",'Accounting data'!I2:I65536,{"1*","2*","3*","4*","5*","6*"},'Accounting data'!J2:J65536,"23*",'Accounting data'!K2:K65536,"66*"))+SUM(SUMIFS('Accounting data'!G2:G65536,'Accounting data'!H2:H65536,"1228*",'Accounting data'!I2:I65536,{"1*","2*","3*","4*","5*","6*"},'Accounting data'!J2:J65536,"25*",'Accounting data'!K2:K65536,"66*"))+SUM(SUMIFS('Accounting data'!G2:G65536,'Accounting data'!H2:H65536,"1228*",'Accounting data'!I2:I65536,{"1*","2*","3*","4*","5*","6*"},'Accounting data'!J2:J65536,"29*",'Accounting data'!K2:K65536,"66*"))</f>
        <v>0</v>
      </c>
      <c r="H12" s="360">
        <f t="array" ref="H12">SUM(SUMIFS('Accounting data'!G2:G65536,'Accounting data'!H2:H65536,"1310-1399-C*",'Accounting data'!I2:I65536,{"1*","2*","3*","4*","5*","6*"},'Accounting data'!J2:J65536,"23*",'Accounting data'!K2:K65536,"681*"))+SUM(SUMIFS('Accounting data'!G2:G65536,'Accounting data'!H2:H65536,"1310-1399-C*",'Accounting data'!I2:I65536,{"1*","2*","3*","4*","5*","6*"},'Accounting data'!J2:J65536,"25*",'Accounting data'!K2:K65536,"681*"))+SUM(SUMIFS('Accounting data'!G2:G65536,'Accounting data'!H2:H65536,"1310-1399-C*",'Accounting data'!I2:I65536,{"1*","2*","3*","4*","5*","6*"},'Accounting data'!J2:J65536,"29*",'Accounting data'!K2:K65536,"681*"))+SUM(SUMIFS('Accounting data'!G2:G65536,'Accounting data'!H2:H65536,"1227*",'Accounting data'!I2:I65536,{"1*","2*","3*","4*","5*","6*"},'Accounting data'!J2:J65536,"23*",'Accounting data'!K2:K65536,"681*"))+SUM(SUMIFS('Accounting data'!G2:G65536,'Accounting data'!H2:H65536,"1227*",'Accounting data'!I2:I65536,{"1*","2*","3*","4*","5*","6*"},'Accounting data'!J2:J65536,"25*",'Accounting data'!K2:K65536,"681*"))+SUM(SUMIFS('Accounting data'!G2:G65536,'Accounting data'!H2:H65536,"1227*",'Accounting data'!I2:I65536,{"1*","2*","3*","4*","5*","6*"},'Accounting data'!J2:J65536,"29*",'Accounting data'!K2:K65536,"681*"))+SUM(SUMIFS('Accounting data'!G2:G65536,'Accounting data'!H2:H65536,"1228*",'Accounting data'!I2:I65536,{"1*","2*","3*","4*","5*","6*"},'Accounting data'!J2:J65536,"23*",'Accounting data'!K2:K65536,"681*"))+SUM(SUMIFS('Accounting data'!G2:G65536,'Accounting data'!H2:H65536,"1228*",'Accounting data'!I2:I65536,{"1*","2*","3*","4*","5*","6*"},'Accounting data'!J2:J65536,"25*",'Accounting data'!K2:K65536,"681*"))+SUM(SUMIFS('Accounting data'!G2:G65536,'Accounting data'!H2:H65536,"1228*",'Accounting data'!I2:I65536,{"1*","2*","3*","4*","5*","6*"},'Accounting data'!J2:J65536,"29*",'Accounting data'!K2:K65536,"681*"))</f>
        <v>0</v>
      </c>
      <c r="I12" s="360">
        <f t="array" ref="I12">SUM(SUMIFS('Accounting data'!G2:G65536,'Accounting data'!H2:H65536,"1310-1399-C*",'Accounting data'!I2:I65536,{"1*","2*","3*","4*","5*","6*"},'Accounting data'!J2:J65536,"23*",'Accounting data'!K2:K65536,"682*"))+SUM(SUMIFS('Accounting data'!G2:G65536,'Accounting data'!H2:H65536,"1310-1399-C*",'Accounting data'!I2:I65536,{"1*","2*","3*","4*","5*","6*"},'Accounting data'!J2:J65536,"25*",'Accounting data'!K2:K65536,"682*"))+SUM(SUMIFS('Accounting data'!G2:G65536,'Accounting data'!H2:H65536,"1310-1399-C*",'Accounting data'!I2:I65536,{"1*","2*","3*","4*","5*","6*"},'Accounting data'!J2:J65536,"29*",'Accounting data'!K2:K65536,"682*"))+SUM(SUMIFS('Accounting data'!G2:G65536,'Accounting data'!H2:H65536,"1227*",'Accounting data'!I2:I65536,{"1*","2*","3*","4*","5*","6*"},'Accounting data'!J2:J65536,"23*",'Accounting data'!K2:K65536,"682*"))+SUM(SUMIFS('Accounting data'!G2:G65536,'Accounting data'!H2:H65536,"1227*",'Accounting data'!I2:I65536,{"1*","2*","3*","4*","5*","6*"},'Accounting data'!J2:J65536,"25*",'Accounting data'!K2:K65536,"682*"))+SUM(SUMIFS('Accounting data'!G2:G65536,'Accounting data'!H2:H65536,"1227*",'Accounting data'!I2:I65536,{"1*","2*","3*","4*","5*","6*"},'Accounting data'!J2:J65536,"29*",'Accounting data'!K2:K65536,"682*"))+SUM(SUMIFS('Accounting data'!G2:G65536,'Accounting data'!H2:H65536,"1228*",'Accounting data'!I2:I65536,{"1*","2*","3*","4*","5*","6*"},'Accounting data'!J2:J65536,"23*",'Accounting data'!K2:K65536,"682*"))+SUM(SUMIFS('Accounting data'!G2:G65536,'Accounting data'!H2:H65536,"1228*",'Accounting data'!I2:I65536,{"1*","2*","3*","4*","5*","6*"},'Accounting data'!J2:J65536,"25*",'Accounting data'!K2:K65536,"682*"))+SUM(SUMIFS('Accounting data'!G2:G65536,'Accounting data'!H2:H65536,"1228*",'Accounting data'!I2:I65536,{"1*","2*","3*","4*","5*","6*"},'Accounting data'!J2:J65536,"29*",'Accounting data'!K2:K65536,"682*"))</f>
        <v>0</v>
      </c>
      <c r="J12" s="360">
        <f t="array" ref="J12">SUM(SUMIFS('Accounting data'!G2:G65536,'Accounting data'!H2:H65536,"1310-1399-C*",'Accounting data'!I2:I65536,{"1*","2*","3*","4*","5*","6*"},'Accounting data'!J2:J65536,"23*",'Accounting data'!K2:K65536,"689*"))+SUM(SUMIFS('Accounting data'!G2:G65536,'Accounting data'!H2:H65536,"1310-1399-C*",'Accounting data'!I2:I65536,{"1*","2*","3*","4*","5*","6*"},'Accounting data'!J2:J65536,"25*",'Accounting data'!K2:K65536,"689*"))+SUM(SUMIFS('Accounting data'!G2:G65536,'Accounting data'!H2:H65536,"1310-1399-C*",'Accounting data'!I2:I65536,{"1*","2*","3*","4*","5*","6*"},'Accounting data'!J2:J65536,"29*",'Accounting data'!K2:K65536,"689*"))+SUM(SUMIFS('Accounting data'!G2:G65536,'Accounting data'!H2:H65536,"1227*",'Accounting data'!I2:I65536,{"1*","2*","3*","4*","5*","6*"},'Accounting data'!J2:J65536,"23*",'Accounting data'!K2:K65536,"689*"))+SUM(SUMIFS('Accounting data'!G2:G65536,'Accounting data'!H2:H65536,"1227*",'Accounting data'!I2:I65536,{"1*","2*","3*","4*","5*","6*"},'Accounting data'!J2:J65536,"25*",'Accounting data'!K2:K65536,"689*"))+SUM(SUMIFS('Accounting data'!G2:G65536,'Accounting data'!H2:H65536,"1227*",'Accounting data'!I2:I65536,{"1*","2*","3*","4*","5*","6*"},'Accounting data'!J2:J65536,"29*",'Accounting data'!K2:K65536,"689*"))+SUM(SUMIFS('Accounting data'!G2:G65536,'Accounting data'!H2:H65536,"1228*",'Accounting data'!I2:I65536,{"1*","2*","3*","4*","5*","6*"},'Accounting data'!J2:J65536,"23*",'Accounting data'!K2:K65536,"689*"))+SUM(SUMIFS('Accounting data'!G2:G65536,'Accounting data'!H2:H65536,"1228*",'Accounting data'!I2:I65536,{"1*","2*","3*","4*","5*","6*"},'Accounting data'!J2:J65536,"25*",'Accounting data'!K2:K65536,"689*"))+SUM(SUMIFS('Accounting data'!G2:G65536,'Accounting data'!H2:H65536,"1228*",'Accounting data'!I2:I65536,{"1*","2*","3*","4*","5*","6*"},'Accounting data'!J2:J65536,"29*",'Accounting data'!K2:K65536,"689*"))</f>
        <v>0</v>
      </c>
      <c r="K12" s="360">
        <f t="array" ref="K12">SUM(SUMIFS('Accounting data'!G2:G65536,'Accounting data'!H2:H65536,"1310-1399-C*",'Accounting data'!I2:I65536,{"1*","2*","3*","4*","5*","6*"},'Accounting data'!J2:J65536,"23*",'Accounting data'!K2:K65536,"683*"))+SUM(SUMIFS('Accounting data'!G2:G65536,'Accounting data'!H2:H65536,"1310-1399-C*",'Accounting data'!I2:I65536,{"1*","2*","3*","4*","5*","6*"},'Accounting data'!J2:J65536,"25*",'Accounting data'!K2:K65536,"683*"))+SUM(SUMIFS('Accounting data'!G2:G65536,'Accounting data'!H2:H65536,"1310-1399-C*",'Accounting data'!I2:I65536,{"1*","2*","3*","4*","5*","6*"},'Accounting data'!J2:J65536,"29*",'Accounting data'!K2:K65536,"683*"))+SUM(SUMIFS('Accounting data'!G2:G65536,'Accounting data'!H2:H65536,"1227*",'Accounting data'!I2:I65536,{"1*","2*","3*","4*","5*","6*"},'Accounting data'!J2:J65536,"23*",'Accounting data'!K2:K65536,"683*"))+SUM(SUMIFS('Accounting data'!G2:G65536,'Accounting data'!H2:H65536,"1227*",'Accounting data'!I2:I65536,{"1*","2*","3*","4*","5*","6*"},'Accounting data'!J2:J65536,"25*",'Accounting data'!K2:K65536,"683*"))+SUM(SUMIFS('Accounting data'!G2:G65536,'Accounting data'!H2:H65536,"1227*",'Accounting data'!I2:I65536,{"1*","2*","3*","4*","5*","6*"},'Accounting data'!J2:J65536,"29*",'Accounting data'!K2:K65536,"683*"))+SUM(SUMIFS('Accounting data'!G2:G65536,'Accounting data'!H2:H65536,"1228*",'Accounting data'!I2:I65536,{"1*","2*","3*","4*","5*","6*"},'Accounting data'!J2:J65536,"23*",'Accounting data'!K2:K65536,"683*"))+SUM(SUMIFS('Accounting data'!G2:G65536,'Accounting data'!H2:H65536,"1228*",'Accounting data'!I2:I65536,{"1*","2*","3*","4*","5*","6*"},'Accounting data'!J2:J65536,"25*",'Accounting data'!K2:K65536,"683*"))+SUM(SUMIFS('Accounting data'!G2:G65536,'Accounting data'!H2:H65536,"1228*",'Accounting data'!I2:I65536,{"1*","2*","3*","4*","5*","6*"},'Accounting data'!J2:J65536,"29*",'Accounting data'!K2:K65536,"683*"))</f>
        <v>0</v>
      </c>
      <c r="L12" s="31">
        <v>0</v>
      </c>
      <c r="M12" s="366">
        <f t="array" ref="M12">(SUM(SUMIFS('Accounting data'!G2:G65536,'Accounting data'!H2:H65536,"1310-1399-C*",'Accounting data'!I2:I65536,{"7*","8*","9*"},'Accounting data'!J2:J65536,"23*",'Accounting data'!K2:K65536,"6*"))+SUM(SUMIFS('Accounting data'!G2:G65536,'Accounting data'!H2:H65536,"1310-1399-C*",'Accounting data'!I2:I65536,{"7*","8*","9*"},'Accounting data'!J2:J65536,"25*",'Accounting data'!K2:K65536,"6*"))+SUM(SUMIFS('Accounting data'!G2:G65536,'Accounting data'!H2:H65536,"1310-1399-C*",'Accounting data'!I2:I65536,{"7*","8*","9*"},'Accounting data'!J2:J65536,"29*",'Accounting data'!K2:K65536,"6*")))-(SUM(SUMIFS('Accounting data'!G2:G65536,'Accounting data'!H2:H65536,"1310-1399-C*",'Accounting data'!I2:I65536,{"7*","8*","9*"},'Accounting data'!J2:J65536,"23*",'Accounting data'!K2:K65536,"69*"))+SUM(SUMIFS('Accounting data'!G2:G65536,'Accounting data'!H2:H65536,"1310-1399-C*",'Accounting data'!I2:I65536,{"7*","8*","9*"},'Accounting data'!J2:J65536,"25*",'Accounting data'!K2:K65536,"69*"))+SUM(SUMIFS('Accounting data'!G2:G65536,'Accounting data'!H2:H65536,"1310-1399-C*",'Accounting data'!I2:I65536,{"7*","8*","9*"},'Accounting data'!J2:J65536,"29*",'Accounting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data'!K2:K65536,"69*")))+AA12</f>
        <v>0</v>
      </c>
      <c r="N12" s="362">
        <f t="shared" si="0"/>
        <v>0</v>
      </c>
      <c r="O12" s="363"/>
      <c r="AA12" s="367">
        <f t="array" ref="AA12">(SUM(SUMIFS('Accounting data'!G2:G65536,'Accounting data'!H2:H65536,"1228*",'Accounting data'!I2:I65536,{"7*","8*","9*"},'Accounting data'!J2:J65536,"23*",'Accounting data'!K2:K65536,"6*"))+SUM(SUMIFS('Accounting data'!G2:G65536,'Accounting data'!H2:H65536,"1228*",'Accounting data'!I2:I65536,{"7*","8*","9*"},'Accounting data'!J2:J65536,"25*",'Accounting data'!K2:K65536,"6*"))+SUM(SUMIFS('Accounting data'!G2:G65536,'Accounting data'!H2:H65536,"1228*",'Accounting data'!I2:I65536,{"7*","8*","9*"},'Accounting data'!J2:J65536,"29*",'Accounting data'!K2:K65536,"6*")))-(SUM(SUMIFS('Accounting data'!G2:G65536,'Accounting data'!H2:H65536,"1228*",'Accounting data'!I2:I65536,{"7*","8*","9*"},'Accounting data'!J2:J65536,"23*",'Accounting data'!K2:K65536,"69*"))+SUM(SUMIFS('Accounting data'!G2:G65536,'Accounting data'!H2:H65536,"1228*",'Accounting data'!I2:I65536,{"7*","8*","9*"},'Accounting data'!J2:J65536,"25*",'Accounting data'!K2:K65536,"69*"))+SUM(SUMIFS('Accounting data'!G2:G65536,'Accounting data'!H2:H65536,"1228*",'Accounting data'!I2:I65536,{"7*","8*","9*"},'Accounting data'!J2:J65536,"29*",'Accounting data'!K2:K65536,"69*")))</f>
        <v>0</v>
      </c>
    </row>
    <row r="13" spans="1:27" x14ac:dyDescent="0.2">
      <c r="A13" s="368" t="s">
        <v>211</v>
      </c>
      <c r="B13" s="369"/>
      <c r="C13" s="370" t="s">
        <v>31</v>
      </c>
      <c r="D13" s="360">
        <f t="array" ref="D13">SUM(SUMIFS('Accounting data'!G2:G65536,'Accounting data'!H2:H65536,"1310-1399-C*",'Accounting data'!I2:I65536,{"1*","2*","3*","4*","5*","6*"},'Accounting data'!J2:J65536,"24*",'Accounting data'!K2:K65536,"61*"))+SUM(SUMIFS('Accounting data'!G2:G65536,'Accounting data'!H2:H65536,"1227*",'Accounting data'!I2:I65536,{"1*","2*","3*","4*","5*","6*"},'Accounting data'!J2:J65536,"24*",'Accounting data'!K2:K65536,"61*"))+SUM(SUMIFS('Accounting data'!G2:G65536,'Accounting data'!H2:H65536,"1228*",'Accounting data'!I2:I65536,{"1*","2*","3*","4*","5*","6*"},'Accounting data'!J2:J65536,"24*",'Accounting data'!K2:K65536,"61*"))</f>
        <v>16027</v>
      </c>
      <c r="E13" s="360">
        <f t="array" ref="E13">SUM(SUMIFS('Accounting data'!G2:G65536,'Accounting data'!H2:H65536,"1310-1399-C*",'Accounting data'!I2:I65536,{"1*","2*","3*","4*","5*","6*"},'Accounting data'!J2:J65536,"24*",'Accounting data'!K2:K65536,"62*"))+SUM(SUMIFS('Accounting data'!G2:G65536,'Accounting data'!H2:H65536,"1227*",'Accounting data'!I2:I65536,{"1*","2*","3*","4*","5*","6*"},'Accounting data'!J2:J65536,"24*",'Accounting data'!K2:K65536,"62*"))+SUM(SUMIFS('Accounting data'!G2:G65536,'Accounting data'!H2:H65536,"1228*",'Accounting data'!I2:I65536,{"1*","2*","3*","4*","5*","6*"},'Accounting data'!J2:J65536,"24*",'Accounting data'!K2:K65536,"62*"))</f>
        <v>4487</v>
      </c>
      <c r="F13" s="360">
        <f t="array" ref="F13">SUM(SUMIFS('Accounting data'!G2:G65536,'Accounting data'!H2:H65536,"1310-1399-C*",'Accounting data'!I2:I65536,{"1*","2*","3*","4*","5*","6*"},'Accounting data'!J2:J65536,"24*",'Accounting data'!K2:K65536,"63*"))+SUM(SUMIFS('Accounting data'!G2:G65536,'Accounting data'!H2:H65536,"1227*",'Accounting data'!I2:I65536,{"1*","2*","3*","4*","5*","6*"},'Accounting data'!J2:J65536,"24*",'Accounting data'!K2:K65536,"63*"))+SUM(SUMIFS('Accounting data'!G2:G65536,'Accounting data'!H2:H65536,"1228*",'Accounting data'!I2:I65536,{"1*","2*","3*","4*","5*","6*"},'Accounting data'!J2:J65536,"24*",'Accounting data'!K2:K65536,"63*"))</f>
        <v>0</v>
      </c>
      <c r="G13" s="360">
        <f t="array" ref="G13">SUM(SUMIFS('Accounting data'!G2:G65536,'Accounting data'!H2:H65536,"1310-1399-C*",'Accounting data'!I2:I65536,{"1*","2*","3*","4*","5*","6*"},'Accounting data'!J2:J65536,"24*",'Accounting data'!K2:K65536,"66*"))+SUM(SUMIFS('Accounting data'!G2:G65536,'Accounting data'!H2:H65536,"1227*",'Accounting data'!I2:I65536,{"1*","2*","3*","4*","5*","6*"},'Accounting data'!J2:J65536,"24*",'Accounting data'!K2:K65536,"66*"))+SUM(SUMIFS('Accounting data'!G2:G65536,'Accounting data'!H2:H65536,"1228*",'Accounting data'!I2:I65536,{"1*","2*","3*","4*","5*","6*"},'Accounting data'!J2:J65536,"24*",'Accounting data'!K2:K65536,"66*"))</f>
        <v>0</v>
      </c>
      <c r="H13" s="360">
        <f t="array" ref="H13">SUM(SUMIFS('Accounting data'!G2:G65536,'Accounting data'!H2:H65536,"1310-1399-C*",'Accounting data'!I2:I65536,{"1*","2*","3*","4*","5*","6*"},'Accounting data'!J2:J65536,"24*",'Accounting data'!K2:K65536,"681*"))+SUM(SUMIFS('Accounting data'!G2:G65536,'Accounting data'!H2:H65536,"1227*",'Accounting data'!I2:I65536,{"1*","2*","3*","4*","5*","6*"},'Accounting data'!J2:J65536,"24*",'Accounting data'!K2:K65536,"681*"))+SUM(SUMIFS('Accounting data'!G2:G65536,'Accounting data'!H2:H65536,"1228*",'Accounting data'!I2:I65536,{"1*","2*","3*","4*","5*","6*"},'Accounting data'!J2:J65536,"24*",'Accounting data'!K2:K65536,"681*"))</f>
        <v>0</v>
      </c>
      <c r="I13" s="361"/>
      <c r="J13" s="360">
        <f t="array" ref="J13">SUM(SUMIFS('Accounting data'!G2:G65536,'Accounting data'!H2:H65536,"1310-1399-C*",'Accounting data'!I2:I65536,{"1*","2*","3*","4*","5*","6*"},'Accounting data'!J2:J65536,"24*",'Accounting data'!K2:K65536,"689*"))+SUM(SUMIFS('Accounting data'!G2:G65536,'Accounting data'!H2:H65536,"1227*",'Accounting data'!I2:I65536,{"1*","2*","3*","4*","5*","6*"},'Accounting data'!J2:J65536,"24*",'Accounting data'!K2:K65536,"689*"))+SUM(SUMIFS('Accounting data'!G2:G65536,'Accounting data'!H2:H65536,"1228*",'Accounting data'!I2:I65536,{"1*","2*","3*","4*","5*","6*"},'Accounting data'!J2:J65536,"24*",'Accounting data'!K2:K65536,"689*"))</f>
        <v>0</v>
      </c>
      <c r="K13" s="360">
        <f t="array" ref="K13">SUM(SUMIFS('Accounting data'!G2:G65536,'Accounting data'!H2:H65536,"1310-1399-C*",'Accounting data'!I2:I65536,{"1*","2*","3*","4*","5*","6*"},'Accounting data'!J2:J65536,"24*",'Accounting data'!K2:K65536,"683*"))+SUM(SUMIFS('Accounting data'!G2:G65536,'Accounting data'!H2:H65536,"1227*",'Accounting data'!I2:I65536,{"1*","2*","3*","4*","5*","6*"},'Accounting data'!J2:J65536,"24*",'Accounting data'!K2:K65536,"683*"))+SUM(SUMIFS('Accounting data'!G2:G65536,'Accounting data'!H2:H65536,"1228*",'Accounting data'!I2:I65536,{"1*","2*","3*","4*","5*","6*"},'Accounting data'!J2:J65536,"24*",'Accounting data'!K2:K65536,"683*"))</f>
        <v>0</v>
      </c>
      <c r="L13" s="31">
        <v>0</v>
      </c>
      <c r="M13" s="360">
        <f t="array" ref="M13">SUM(SUMIFS('Accounting data'!G2:G65536,'Accounting data'!H2:H65536,"1310-1399-C*",'Accounting data'!I2:I65536,{"7*","8*","9*"},'Accounting data'!J2:J65536,"24*",'Accounting data'!K2:K65536,"6*"))-SUM(SUMIFS('Accounting data'!G2:G65536,'Accounting data'!H2:H65536,"1310-1399-C*",'Accounting data'!I2:I65536,{"7*","8*","9*"},'Accounting data'!J2:J65536,"24*",'Accounting data'!K2:K65536,"69*"))+SUM(SUMIFS('Accounting data'!G2:G65536,'Accounting data'!H2:H65536,"1227*",'Accounting data'!I2:I65536,{"7*","8*","9*"},'Accounting data'!J2:J65536,"24*",'Accounting data'!K2:K65536,"6*"))-SUM(SUMIFS('Accounting data'!G2:G65536,'Accounting data'!H2:H65536,"1227*",'Accounting data'!I2:I65536,{"7*","8*","9*"},'Accounting data'!J2:J65536,"24*",'Accounting data'!K2:K65536,"69*"))+SUM(SUMIFS('Accounting data'!G2:G65536,'Accounting data'!H2:H65536,"1228*",'Accounting data'!I2:I65536,{"7*","8*","9*"},'Accounting data'!J2:J65536,"24*",'Accounting data'!K2:K65536,"6*"))-SUM(SUMIFS('Accounting data'!G2:G65536,'Accounting data'!H2:H65536,"1228*",'Accounting data'!I2:I65536,{"7*","8*","9*"},'Accounting data'!J2:J65536,"24*",'Accounting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f>
        <v>0</v>
      </c>
      <c r="N13" s="362">
        <f t="shared" si="0"/>
        <v>20514</v>
      </c>
      <c r="O13" s="371"/>
    </row>
    <row r="14" spans="1:27" x14ac:dyDescent="0.2">
      <c r="A14" s="364" t="s">
        <v>439</v>
      </c>
      <c r="B14" s="634"/>
      <c r="C14" s="370" t="s">
        <v>33</v>
      </c>
      <c r="D14" s="360">
        <f t="array" ref="D14">SUM(SUMIFS('Accounting data'!G2:G65536,'Accounting data'!H2:H65536,"1310-1399-C*",'Accounting data'!I2:I65536,{"1*","2*","3*","4*","5*","6*"},'Accounting data'!J2:J65536,"26*",'Accounting data'!K2:K65536,"61*"))+SUM(SUMIFS('Accounting data'!G2:G65536,'Accounting data'!H2:H65536,"1227*",'Accounting data'!I2:I65536,{"1*","2*","3*","4*","5*","6*"},'Accounting data'!J2:J65536,"26*",'Accounting data'!K2:K65536,"61*"))+SUM(SUMIFS('Accounting data'!G2:G65536,'Accounting data'!H2:H65536,"1228*",'Accounting data'!I2:I65536,{"1*","2*","3*","4*","5*","6*"},'Accounting data'!J2:J65536,"26*",'Accounting data'!K2:K65536,"61*"))</f>
        <v>0</v>
      </c>
      <c r="E14" s="360">
        <f t="array" ref="E14">SUM(SUMIFS('Accounting data'!G2:G65536,'Accounting data'!H2:H65536,"1310-1399-C*",'Accounting data'!I2:I65536,{"1*","2*","3*","4*","5*","6*"},'Accounting data'!J2:J65536,"26*",'Accounting data'!K2:K65536,"62*"))+SUM(SUMIFS('Accounting data'!G2:G65536,'Accounting data'!H2:H65536,"1227*",'Accounting data'!I2:I65536,{"1*","2*","3*","4*","5*","6*"},'Accounting data'!J2:J65536,"26*",'Accounting data'!K2:K65536,"62*"))+SUM(SUMIFS('Accounting data'!G2:G65536,'Accounting data'!H2:H65536,"1228*",'Accounting data'!I2:I65536,{"1*","2*","3*","4*","5*","6*"},'Accounting data'!J2:J65536,"26*",'Accounting data'!K2:K65536,"62*"))</f>
        <v>0</v>
      </c>
      <c r="F14" s="360">
        <f t="array" ref="F14">SUM(SUMIFS('Accounting data'!G2:G65536,'Accounting data'!H2:H65536,"1310-1399-C*",'Accounting data'!I2:I65536,{"1*","2*","3*","4*","5*","6*"},'Accounting data'!J2:J65536,"26*",'Accounting data'!K2:K65536,"63*"))+SUM(SUMIFS('Accounting data'!G2:G65536,'Accounting data'!H2:H65536,"1227*",'Accounting data'!I2:I65536,{"1*","2*","3*","4*","5*","6*"},'Accounting data'!J2:J65536,"26*",'Accounting data'!K2:K65536,"63*"))+SUM(SUMIFS('Accounting data'!G2:G65536,'Accounting data'!H2:H65536,"1228*",'Accounting data'!I2:I65536,{"1*","2*","3*","4*","5*","6*"},'Accounting data'!J2:J65536,"26*",'Accounting data'!K2:K65536,"63*"))</f>
        <v>0</v>
      </c>
      <c r="G14" s="360">
        <f t="array" ref="G14">SUM(SUMIFS('Accounting data'!G2:G65536,'Accounting data'!H2:H65536,"1310-1399-C*",'Accounting data'!I2:I65536,{"1*","2*","3*","4*","5*","6*"},'Accounting data'!J2:J65536,"26*",'Accounting data'!K2:K65536,"66*"))+SUM(SUMIFS('Accounting data'!G2:G65536,'Accounting data'!H2:H65536,"1227*",'Accounting data'!I2:I65536,{"1*","2*","3*","4*","5*","6*"},'Accounting data'!J2:J65536,"26*",'Accounting data'!K2:K65536,"66*"))+SUM(SUMIFS('Accounting data'!G2:G65536,'Accounting data'!H2:H65536,"1228*",'Accounting data'!I2:I65536,{"1*","2*","3*","4*","5*","6*"},'Accounting data'!J2:J65536,"26*",'Accounting data'!K2:K65536,"66*"))</f>
        <v>0</v>
      </c>
      <c r="H14" s="360">
        <f t="array" ref="H14">SUM(SUMIFS('Accounting data'!G2:G65536,'Accounting data'!H2:H65536,"1310-1399-C*",'Accounting data'!I2:I65536,{"1*","2*","3*","4*","5*","6*"},'Accounting data'!J2:J65536,"26*",'Accounting data'!K2:K65536,"681*"))+SUM(SUMIFS('Accounting data'!G2:G65536,'Accounting data'!H2:H65536,"1227*",'Accounting data'!I2:I65536,{"1*","2*","3*","4*","5*","6*"},'Accounting data'!J2:J65536,"26*",'Accounting data'!K2:K65536,"681*"))+SUM(SUMIFS('Accounting data'!G2:G65536,'Accounting data'!H2:H65536,"1228*",'Accounting data'!I2:I65536,{"1*","2*","3*","4*","5*","6*"},'Accounting data'!J2:J65536,"26*",'Accounting data'!K2:K65536,"681*"))</f>
        <v>0</v>
      </c>
      <c r="I14" s="361"/>
      <c r="J14" s="360">
        <f t="array" ref="J14">SUM(SUMIFS('Accounting data'!G2:G65536,'Accounting data'!H2:H65536,"1310-1399-C*",'Accounting data'!I2:I65536,{"1*","2*","3*","4*","5*","6*"},'Accounting data'!J2:J65536,"26*",'Accounting data'!K2:K65536,"689*"))+SUM(SUMIFS('Accounting data'!G2:G65536,'Accounting data'!H2:H65536,"1227*",'Accounting data'!I2:I65536,{"1*","2*","3*","4*","5*","6*"},'Accounting data'!J2:J65536,"26*",'Accounting data'!K2:K65536,"689*"))+SUM(SUMIFS('Accounting data'!G2:G65536,'Accounting data'!H2:H65536,"1228*",'Accounting data'!I2:I65536,{"1*","2*","3*","4*","5*","6*"},'Accounting data'!J2:J65536,"26*",'Accounting data'!K2:K65536,"689*"))</f>
        <v>0</v>
      </c>
      <c r="K14" s="360">
        <f t="array" ref="K14">SUM(SUMIFS('Accounting data'!G2:G65536,'Accounting data'!H2:H65536,"1310-1399-C*",'Accounting data'!I2:I65536,{"1*","2*","3*","4*","5*","6*"},'Accounting data'!J2:J65536,"26*",'Accounting data'!K2:K65536,"683*"))+SUM(SUMIFS('Accounting data'!G2:G65536,'Accounting data'!H2:H65536,"1227*",'Accounting data'!I2:I65536,{"1*","2*","3*","4*","5*","6*"},'Accounting data'!J2:J65536,"26*",'Accounting data'!K2:K65536,"683*"))+SUM(SUMIFS('Accounting data'!G2:G65536,'Accounting data'!H2:H65536,"1228*",'Accounting data'!I2:I65536,{"1*","2*","3*","4*","5*","6*"},'Accounting data'!J2:J65536,"26*",'Accounting data'!K2:K65536,"683*"))</f>
        <v>0</v>
      </c>
      <c r="L14" s="31">
        <v>0</v>
      </c>
      <c r="M14" s="360">
        <f t="array" ref="M14">SUM(SUMIFS('Accounting data'!G2:G65536,'Accounting data'!H2:H65536,"1310-1399-C*",'Accounting data'!I2:I65536,{"7*","8*","9*"},'Accounting data'!J2:J65536,"26*",'Accounting data'!K2:K65536,"6*"))-SUM(SUMIFS('Accounting data'!G2:G65536,'Accounting data'!H2:H65536,"1310-1399-C*",'Accounting data'!I2:I65536,{"7*","8*","9*"},'Accounting data'!J2:J65536,"26*",'Accounting data'!K2:K65536,"69*"))+SUM(SUMIFS('Accounting data'!G2:G65536,'Accounting data'!H2:H65536,"1227*",'Accounting data'!I2:I65536,{"7*","8*","9*"},'Accounting data'!J2:J65536,"26*",'Accounting data'!K2:K65536,"6*"))-SUM(SUMIFS('Accounting data'!G2:G65536,'Accounting data'!H2:H65536,"1227*",'Accounting data'!I2:I65536,{"7*","8*","9*"},'Accounting data'!J2:J65536,"26*",'Accounting data'!K2:K65536,"69*"))+SUM(SUMIFS('Accounting data'!G2:G65536,'Accounting data'!H2:H65536,"1228*",'Accounting data'!I2:I65536,{"7*","8*","9*"},'Accounting data'!J2:J65536,"26*",'Accounting data'!K2:K65536,"6*"))-SUM(SUMIFS('Accounting data'!G2:G65536,'Accounting data'!H2:H65536,"1228*",'Accounting data'!I2:I65536,{"7*","8*","9*"},'Accounting data'!J2:J65536,"26*",'Accounting data'!K2:K65536,"69*"))</f>
        <v>0</v>
      </c>
      <c r="N14" s="362">
        <f t="shared" si="0"/>
        <v>0</v>
      </c>
      <c r="O14" s="371"/>
    </row>
    <row r="15" spans="1:27" x14ac:dyDescent="0.2">
      <c r="A15" s="372" t="s">
        <v>217</v>
      </c>
      <c r="B15" s="373"/>
      <c r="C15" s="370" t="s">
        <v>35</v>
      </c>
      <c r="D15" s="360">
        <f t="array" ref="D15">SUM(SUMIFS('Accounting data'!G2:G65536,'Accounting data'!H2:H65536,"1310-1399-C*",'Accounting data'!I2:I65536,{"1*","2*","3*","4*","5*","6*"},'Accounting data'!J2:J65536,"27*",'Accounting data'!K2:K65536,"61*"))+SUM(SUMIFS('Accounting data'!G2:G65536,'Accounting data'!H2:H65536,"1227*",'Accounting data'!I2:I65536,{"1*","2*","3*","4*","5*","6*"},'Accounting data'!J2:J65536,"27*",'Accounting data'!K2:K65536,"61*"))+SUM(SUMIFS('Accounting data'!G2:G65536,'Accounting data'!H2:H65536,"1228*",'Accounting data'!I2:I65536,{"1*","2*","3*","4*","5*","6*"},'Accounting data'!J2:J65536,"27*",'Accounting data'!K2:K65536,"61*"))</f>
        <v>0</v>
      </c>
      <c r="E15" s="360">
        <f t="array" ref="E15">SUM(SUMIFS('Accounting data'!G2:G65536,'Accounting data'!H2:H65536,"1310-1399-C*",'Accounting data'!I2:I65536,{"1*","2*","3*","4*","5*","6*"},'Accounting data'!J2:J65536,"27*",'Accounting data'!K2:K65536,"62*"))+SUM(SUMIFS('Accounting data'!G2:G65536,'Accounting data'!H2:H65536,"1227*",'Accounting data'!I2:I65536,{"1*","2*","3*","4*","5*","6*"},'Accounting data'!J2:J65536,"27*",'Accounting data'!K2:K65536,"62*"))+SUM(SUMIFS('Accounting data'!G2:G65536,'Accounting data'!H2:H65536,"1228*",'Accounting data'!I2:I65536,{"1*","2*","3*","4*","5*","6*"},'Accounting data'!J2:J65536,"27*",'Accounting data'!K2:K65536,"62*"))</f>
        <v>0</v>
      </c>
      <c r="F15" s="360">
        <f t="array" ref="F15">SUM(SUMIFS('Accounting data'!G2:G65536,'Accounting data'!H2:H65536,"1310-1399-C*",'Accounting data'!I2:I65536,{"1*","2*","3*","4*","5*","6*"},'Accounting data'!J2:J65536,"27*",'Accounting data'!K2:K65536,"63*"))+SUM(SUMIFS('Accounting data'!G2:G65536,'Accounting data'!H2:H65536,"1227*",'Accounting data'!I2:I65536,{"1*","2*","3*","4*","5*","6*"},'Accounting data'!J2:J65536,"27*",'Accounting data'!K2:K65536,"63*"))+SUM(SUMIFS('Accounting data'!G2:G65536,'Accounting data'!H2:H65536,"1228*",'Accounting data'!I2:I65536,{"1*","2*","3*","4*","5*","6*"},'Accounting data'!J2:J65536,"27*",'Accounting data'!K2:K65536,"63*"))</f>
        <v>0</v>
      </c>
      <c r="G15" s="360">
        <f t="array" ref="G15">SUM(SUMIFS('Accounting data'!G2:G65536,'Accounting data'!H2:H65536,"1310-1399-C*",'Accounting data'!I2:I65536,{"1*","2*","3*","4*","5*","6*"},'Accounting data'!J2:J65536,"27*",'Accounting data'!K2:K65536,"66*"))+SUM(SUMIFS('Accounting data'!G2:G65536,'Accounting data'!H2:H65536,"1227*",'Accounting data'!I2:I65536,{"1*","2*","3*","4*","5*","6*"},'Accounting data'!J2:J65536,"27*",'Accounting data'!K2:K65536,"66*"))+SUM(SUMIFS('Accounting data'!G2:G65536,'Accounting data'!H2:H65536,"1228*",'Accounting data'!I2:I65536,{"1*","2*","3*","4*","5*","6*"},'Accounting data'!J2:J65536,"27*",'Accounting data'!K2:K65536,"66*"))</f>
        <v>0</v>
      </c>
      <c r="H15" s="360">
        <f t="array" ref="H15">SUM(SUMIFS('Accounting data'!G2:G65536,'Accounting data'!H2:H65536,"1310-1399-C*",'Accounting data'!I2:I65536,{"1*","2*","3*","4*","5*","6*"},'Accounting data'!J2:J65536,"27*",'Accounting data'!K2:K65536,"681*"))+SUM(SUMIFS('Accounting data'!G2:G65536,'Accounting data'!H2:H65536,"1227*",'Accounting data'!I2:I65536,{"1*","2*","3*","4*","5*","6*"},'Accounting data'!J2:J65536,"27*",'Accounting data'!K2:K65536,"681*"))+SUM(SUMIFS('Accounting data'!G2:G65536,'Accounting data'!H2:H65536,"1228*",'Accounting data'!I2:I65536,{"1*","2*","3*","4*","5*","6*"},'Accounting data'!J2:J65536,"27*",'Accounting data'!K2:K65536,"681*"))</f>
        <v>0</v>
      </c>
      <c r="I15" s="361"/>
      <c r="J15" s="360">
        <f t="array" ref="J15">SUM(SUMIFS('Accounting data'!G2:G65536,'Accounting data'!H2:H65536,"1310-1399-C*",'Accounting data'!I2:I65536,{"1*","2*","3*","4*","5*","6*"},'Accounting data'!J2:J65536,"27*",'Accounting data'!K2:K65536,"689*"))+SUM(SUMIFS('Accounting data'!G2:G65536,'Accounting data'!H2:H65536,"1227*",'Accounting data'!I2:I65536,{"1*","2*","3*","4*","5*","6*"},'Accounting data'!J2:J65536,"27*",'Accounting data'!K2:K65536,"689*"))+SUM(SUMIFS('Accounting data'!G2:G65536,'Accounting data'!H2:H65536,"1228*",'Accounting data'!I2:I65536,{"1*","2*","3*","4*","5*","6*"},'Accounting data'!J2:J65536,"27*",'Accounting data'!K2:K65536,"689*"))</f>
        <v>0</v>
      </c>
      <c r="K15" s="360">
        <f t="array" ref="K15">SUM(SUMIFS('Accounting data'!G2:G65536,'Accounting data'!H2:H65536,"1310-1399-C*",'Accounting data'!I2:I65536,{"1*","2*","3*","4*","5*","6*"},'Accounting data'!J2:J65536,"27*",'Accounting data'!K2:K65536,"683*"))+SUM(SUMIFS('Accounting data'!G2:G65536,'Accounting data'!H2:H65536,"1227*",'Accounting data'!I2:I65536,{"1*","2*","3*","4*","5*","6*"},'Accounting data'!J2:J65536,"27*",'Accounting data'!K2:K65536,"683*"))+SUM(SUMIFS('Accounting data'!G2:G65536,'Accounting data'!H2:H65536,"1228*",'Accounting data'!I2:I65536,{"1*","2*","3*","4*","5*","6*"},'Accounting data'!J2:J65536,"27*",'Accounting data'!K2:K65536,"683*"))</f>
        <v>0</v>
      </c>
      <c r="L15" s="31">
        <v>0</v>
      </c>
      <c r="M15" s="360">
        <f t="array" ref="M15">SUM(SUMIFS('Accounting data'!G2:G65536,'Accounting data'!H2:H65536,"1310-1399-C*",'Accounting data'!I2:I65536,{"7*","8*","9*"},'Accounting data'!J2:J65536,"27*",'Accounting data'!K2:K65536,"6*"))-SUM(SUMIFS('Accounting data'!G2:G65536,'Accounting data'!H2:H65536,"1310-1399-C*",'Accounting data'!I2:I65536,{"7*","8*","9*"},'Accounting data'!J2:J65536,"27*",'Accounting data'!K2:K65536,"69*"))+SUM(SUMIFS('Accounting data'!G2:G65536,'Accounting data'!H2:H65536,"1227*",'Accounting data'!I2:I65536,{"7*","8*","9*"},'Accounting data'!J2:J65536,"27*",'Accounting data'!K2:K65536,"6*"))-SUM(SUMIFS('Accounting data'!G2:G65536,'Accounting data'!H2:H65536,"1227*",'Accounting data'!I2:I65536,{"7*","8*","9*"},'Accounting data'!J2:J65536,"27*",'Accounting data'!K2:K65536,"69*"))+SUM(SUMIFS('Accounting data'!G2:G65536,'Accounting data'!H2:H65536,"1228*",'Accounting data'!I2:I65536,{"7*","8*","9*"},'Accounting data'!J2:J65536,"27*",'Accounting data'!K2:K65536,"6*"))-SUM(SUMIFS('Accounting data'!G2:G65536,'Accounting data'!H2:H65536,"1228*",'Accounting data'!I2:I65536,{"7*","8*","9*"},'Accounting data'!J2:J65536,"27*",'Accounting data'!K2:K65536,"69*"))</f>
        <v>0</v>
      </c>
      <c r="N15" s="362">
        <f t="shared" si="0"/>
        <v>0</v>
      </c>
      <c r="O15" s="371"/>
    </row>
    <row r="16" spans="1:27" x14ac:dyDescent="0.2">
      <c r="A16" s="372" t="s">
        <v>440</v>
      </c>
      <c r="B16" s="373"/>
      <c r="C16" s="370" t="s">
        <v>37</v>
      </c>
      <c r="D16" s="360">
        <f t="array" ref="D16">SUM(SUMIFS('Accounting data'!G2:G65536,'Accounting data'!H2:H65536,"1310-1399-C*",'Accounting data'!I2:I65536,{"1*","2*","3*","4*","5*","6*"},'Accounting data'!J2:J65536,"31*",'Accounting data'!K2:K65536,"61*"))+SUM(SUMIFS('Accounting data'!G2:G65536,'Accounting data'!H2:H65536,"1227*",'Accounting data'!I2:I65536,{"1*","2*","3*","4*","5*","6*"},'Accounting data'!J2:J65536,"31*",'Accounting data'!K2:K65536,"61*"))+SUM(SUMIFS('Accounting data'!G2:G65536,'Accounting data'!H2:H65536,"1228*",'Accounting data'!I2:I65536,{"1*","2*","3*","4*","5*","6*"},'Accounting data'!J2:J65536,"31*",'Accounting data'!K2:K65536,"61*"))</f>
        <v>0</v>
      </c>
      <c r="E16" s="360">
        <f t="array" ref="E16">SUM(SUMIFS('Accounting data'!G2:G65536,'Accounting data'!H2:H65536,"1310-1399-C*",'Accounting data'!I2:I65536,{"1*","2*","3*","4*","5*","6*"},'Accounting data'!J2:J65536,"31*",'Accounting data'!K2:K65536,"62*"))+SUM(SUMIFS('Accounting data'!G2:G65536,'Accounting data'!H2:H65536,"1227*",'Accounting data'!I2:I65536,{"1*","2*","3*","4*","5*","6*"},'Accounting data'!J2:J65536,"31*",'Accounting data'!K2:K65536,"62*"))+SUM(SUMIFS('Accounting data'!G2:G65536,'Accounting data'!H2:H65536,"1228*",'Accounting data'!I2:I65536,{"1*","2*","3*","4*","5*","6*"},'Accounting data'!J2:J65536,"31*",'Accounting data'!K2:K65536,"62*"))</f>
        <v>0</v>
      </c>
      <c r="F16" s="360">
        <f t="array" ref="F16">SUM(SUMIFS('Accounting data'!G2:G65536,'Accounting data'!H2:H65536,"1310-1399-C*",'Accounting data'!I2:I65536,{"1*","2*","3*","4*","5*","6*"},'Accounting data'!J2:J65536,"31*",'Accounting data'!K2:K65536,"63*"))+SUM(SUMIFS('Accounting data'!G2:G65536,'Accounting data'!H2:H65536,"1227*",'Accounting data'!I2:I65536,{"1*","2*","3*","4*","5*","6*"},'Accounting data'!J2:J65536,"31*",'Accounting data'!K2:K65536,"63*"))+SUM(SUMIFS('Accounting data'!G2:G65536,'Accounting data'!H2:H65536,"1228*",'Accounting data'!I2:I65536,{"1*","2*","3*","4*","5*","6*"},'Accounting data'!J2:J65536,"31*",'Accounting data'!K2:K65536,"63*"))</f>
        <v>0</v>
      </c>
      <c r="G16" s="360">
        <f t="array" ref="G16">SUM(SUMIFS('Accounting data'!G2:G65536,'Accounting data'!H2:H65536,"1310-1399-C*",'Accounting data'!I2:I65536,{"1*","2*","3*","4*","5*","6*"},'Accounting data'!J2:J65536,"31*",'Accounting data'!K2:K65536,"66*"))+SUM(SUMIFS('Accounting data'!G2:G65536,'Accounting data'!H2:H65536,"1227*",'Accounting data'!I2:I65536,{"1*","2*","3*","4*","5*","6*"},'Accounting data'!J2:J65536,"31*",'Accounting data'!K2:K65536,"66*"))+SUM(SUMIFS('Accounting data'!G2:G65536,'Accounting data'!H2:H65536,"1228*",'Accounting data'!I2:I65536,{"1*","2*","3*","4*","5*","6*"},'Accounting data'!J2:J65536,"31*",'Accounting data'!K2:K65536,"66*"))</f>
        <v>0</v>
      </c>
      <c r="H16" s="360">
        <f t="array" ref="H16">SUM(SUMIFS('Accounting data'!G2:G65536,'Accounting data'!H2:H65536,"1310-1399-C*",'Accounting data'!I2:I65536,{"1*","2*","3*","4*","5*","6*"},'Accounting data'!J2:J65536,"31*",'Accounting data'!K2:K65536,"681*"))+SUM(SUMIFS('Accounting data'!G2:G65536,'Accounting data'!H2:H65536,"1227*",'Accounting data'!I2:I65536,{"1*","2*","3*","4*","5*","6*"},'Accounting data'!J2:J65536,"31*",'Accounting data'!K2:K65536,"681*"))+SUM(SUMIFS('Accounting data'!G2:G65536,'Accounting data'!H2:H65536,"1228*",'Accounting data'!I2:I65536,{"1*","2*","3*","4*","5*","6*"},'Accounting data'!J2:J65536,"31*",'Accounting data'!K2:K65536,"681*"))</f>
        <v>0</v>
      </c>
      <c r="I16" s="361"/>
      <c r="J16" s="360">
        <f t="array" ref="J16">SUM(SUMIFS('Accounting data'!G2:G65536,'Accounting data'!H2:H65536,"1310-1399-C*",'Accounting data'!I2:I65536,{"1*","2*","3*","4*","5*","6*"},'Accounting data'!J2:J65536,"31*",'Accounting data'!K2:K65536,"689*"))+SUM(SUMIFS('Accounting data'!G2:G65536,'Accounting data'!H2:H65536,"1227*",'Accounting data'!I2:I65536,{"1*","2*","3*","4*","5*","6*"},'Accounting data'!J2:J65536,"31*",'Accounting data'!K2:K65536,"689*"))+SUM(SUMIFS('Accounting data'!G2:G65536,'Accounting data'!H2:H65536,"1228*",'Accounting data'!I2:I65536,{"1*","2*","3*","4*","5*","6*"},'Accounting data'!J2:J65536,"31*",'Accounting data'!K2:K65536,"689*"))</f>
        <v>0</v>
      </c>
      <c r="K16" s="360">
        <f t="array" ref="K16">SUM(SUMIFS('Accounting data'!G2:G65536,'Accounting data'!H2:H65536,"1310-1399-C*",'Accounting data'!I2:I65536,{"1*","2*","3*","4*","5*","6*"},'Accounting data'!J2:J65536,"31*",'Accounting data'!K2:K65536,"683*"))+SUM(SUMIFS('Accounting data'!G2:G65536,'Accounting data'!H2:H65536,"1227*",'Accounting data'!I2:I65536,{"1*","2*","3*","4*","5*","6*"},'Accounting data'!J2:J65536,"31*",'Accounting data'!K2:K65536,"683*"))+SUM(SUMIFS('Accounting data'!G2:G65536,'Accounting data'!H2:H65536,"1228*",'Accounting data'!I2:I65536,{"1*","2*","3*","4*","5*","6*"},'Accounting data'!J2:J65536,"31*",'Accounting data'!K2:K65536,"683*"))</f>
        <v>0</v>
      </c>
      <c r="L16" s="31">
        <v>0</v>
      </c>
      <c r="M16" s="360">
        <f t="array" ref="M16">SUM(SUMIFS('Accounting data'!G2:G65536,'Accounting data'!H2:H65536,"1310-1399-C*",'Accounting data'!I2:I65536,{"7*","8*","9*"},'Accounting data'!J2:J65536,"31*",'Accounting data'!K2:K65536,"6*"))-SUM(SUMIFS('Accounting data'!G2:G65536,'Accounting data'!H2:H65536,"1310-1399-C*",'Accounting data'!I2:I65536,{"7*","8*","9*"},'Accounting data'!J2:J65536,"31*",'Accounting data'!K2:K65536,"69*"))+SUM(SUMIFS('Accounting data'!G2:G65536,'Accounting data'!H2:H65536,"1227*",'Accounting data'!I2:I65536,{"7*","8*","9*"},'Accounting data'!J2:J65536,"31*",'Accounting data'!K2:K65536,"6*"))-SUM(SUMIFS('Accounting data'!G2:G65536,'Accounting data'!H2:H65536,"1227*",'Accounting data'!I2:I65536,{"7*","8*","9*"},'Accounting data'!J2:J65536,"31*",'Accounting data'!K2:K65536,"69*"))+SUM(SUMIFS('Accounting data'!G2:G65536,'Accounting data'!H2:H65536,"1228*",'Accounting data'!I2:I65536,{"7*","8*","9*"},'Accounting data'!J2:J65536,"31*",'Accounting data'!K2:K65536,"6*"))-SUM(SUMIFS('Accounting data'!G2:G65536,'Accounting data'!H2:H65536,"1228*",'Accounting data'!I2:I65536,{"7*","8*","9*"},'Accounting data'!J2:J65536,"31*",'Accounting data'!K2:K65536,"69*"))</f>
        <v>0</v>
      </c>
      <c r="N16" s="362">
        <f t="shared" si="0"/>
        <v>0</v>
      </c>
      <c r="O16" s="371"/>
    </row>
    <row r="17" spans="1:16" x14ac:dyDescent="0.2">
      <c r="A17" s="372" t="s">
        <v>441</v>
      </c>
      <c r="B17" s="373"/>
      <c r="C17" s="370" t="s">
        <v>39</v>
      </c>
      <c r="D17" s="360">
        <f t="array" ref="D17">SUM(SUMIFS('Accounting data'!G2:G65536,'Accounting data'!H2:H65536,"1310-1399-C*",'Accounting data'!I2:I65536,{"1*","2*","3*","4*","5*","6*"},'Accounting data'!J2:J65536,"34*",'Accounting data'!K2:K65536,"61*"))+SUM(SUMIFS('Accounting data'!G2:G65536,'Accounting data'!H2:H65536,"1227*",'Accounting data'!I2:I65536,{"1*","2*","3*","4*","5*","6*"},'Accounting data'!J2:J65536,"34*",'Accounting data'!K2:K65536,"61*"))+SUM(SUMIFS('Accounting data'!G2:G65536,'Accounting data'!H2:H65536,"1228*",'Accounting data'!I2:I65536,{"1*","2*","3*","4*","5*","6*"},'Accounting data'!J2:J65536,"34*",'Accounting data'!K2:K65536,"61*"))</f>
        <v>0</v>
      </c>
      <c r="E17" s="360">
        <f t="array" ref="E17">SUM(SUMIFS('Accounting data'!G2:G65536,'Accounting data'!H2:H65536,"1310-1399-C*",'Accounting data'!I2:I65536,{"1*","2*","3*","4*","5*","6*"},'Accounting data'!J2:J65536,"34*",'Accounting data'!K2:K65536,"62*"))+SUM(SUMIFS('Accounting data'!G2:G65536,'Accounting data'!H2:H65536,"1227*",'Accounting data'!I2:I65536,{"1*","2*","3*","4*","5*","6*"},'Accounting data'!J2:J65536,"34*",'Accounting data'!K2:K65536,"62*"))+SUM(SUMIFS('Accounting data'!G2:G65536,'Accounting data'!H2:H65536,"1228*",'Accounting data'!I2:I65536,{"1*","2*","3*","4*","5*","6*"},'Accounting data'!J2:J65536,"34*",'Accounting data'!K2:K65536,"62*"))</f>
        <v>0</v>
      </c>
      <c r="F17" s="360">
        <f t="array" ref="F17">SUM(SUMIFS('Accounting data'!G2:G65536,'Accounting data'!H2:H65536,"1310-1399-C*",'Accounting data'!I2:I65536,{"1*","2*","3*","4*","5*","6*"},'Accounting data'!J2:J65536,"34*",'Accounting data'!K2:K65536,"63*"))+SUM(SUMIFS('Accounting data'!G2:G65536,'Accounting data'!H2:H65536,"1227*",'Accounting data'!I2:I65536,{"1*","2*","3*","4*","5*","6*"},'Accounting data'!J2:J65536,"34*",'Accounting data'!K2:K65536,"63*"))+SUM(SUMIFS('Accounting data'!G2:G65536,'Accounting data'!H2:H65536,"1228*",'Accounting data'!I2:I65536,{"1*","2*","3*","4*","5*","6*"},'Accounting data'!J2:J65536,"34*",'Accounting data'!K2:K65536,"63*"))</f>
        <v>0</v>
      </c>
      <c r="G17" s="360">
        <f t="array" ref="G17">SUM(SUMIFS('Accounting data'!G2:G65536,'Accounting data'!H2:H65536,"1310-1399-C*",'Accounting data'!I2:I65536,{"1*","2*","3*","4*","5*","6*"},'Accounting data'!J2:J65536,"34*",'Accounting data'!K2:K65536,"66*"))+SUM(SUMIFS('Accounting data'!G2:G65536,'Accounting data'!H2:H65536,"1227*",'Accounting data'!I2:I65536,{"1*","2*","3*","4*","5*","6*"},'Accounting data'!J2:J65536,"34*",'Accounting data'!K2:K65536,"66*"))+SUM(SUMIFS('Accounting data'!G2:G65536,'Accounting data'!H2:H65536,"1228*",'Accounting data'!I2:I65536,{"1*","2*","3*","4*","5*","6*"},'Accounting data'!J2:J65536,"34*",'Accounting data'!K2:K65536,"66*"))</f>
        <v>0</v>
      </c>
      <c r="H17" s="360">
        <f t="array" ref="H17">SUM(SUMIFS('Accounting data'!G2:G65536,'Accounting data'!H2:H65536,"1310-1399-C*",'Accounting data'!I2:I65536,{"1*","2*","3*","4*","5*","6*"},'Accounting data'!J2:J65536,"34*",'Accounting data'!K2:K65536,"681*"))+SUM(SUMIFS('Accounting data'!G2:G65536,'Accounting data'!H2:H65536,"1227*",'Accounting data'!I2:I65536,{"1*","2*","3*","4*","5*","6*"},'Accounting data'!J2:J65536,"34*",'Accounting data'!K2:K65536,"681*"))+SUM(SUMIFS('Accounting data'!G2:G65536,'Accounting data'!H2:H65536,"1228*",'Accounting data'!I2:I65536,{"1*","2*","3*","4*","5*","6*"},'Accounting data'!J2:J65536,"34*",'Accounting data'!K2:K65536,"681*"))</f>
        <v>0</v>
      </c>
      <c r="I17" s="361"/>
      <c r="J17" s="360">
        <f t="array" ref="J17">SUM(SUMIFS('Accounting data'!G2:G65536,'Accounting data'!H2:H65536,"1310-1399-C*",'Accounting data'!I2:I65536,{"1*","2*","3*","4*","5*","6*"},'Accounting data'!J2:J65536,"34*",'Accounting data'!K2:K65536,"689*"))+SUM(SUMIFS('Accounting data'!G2:G65536,'Accounting data'!H2:H65536,"1227*",'Accounting data'!I2:I65536,{"1*","2*","3*","4*","5*","6*"},'Accounting data'!J2:J65536,"34*",'Accounting data'!K2:K65536,"689*"))+SUM(SUMIFS('Accounting data'!G2:G65536,'Accounting data'!H2:H65536,"1228*",'Accounting data'!I2:I65536,{"1*","2*","3*","4*","5*","6*"},'Accounting data'!J2:J65536,"34*",'Accounting data'!K2:K65536,"689*"))</f>
        <v>0</v>
      </c>
      <c r="K17" s="360">
        <f t="array" ref="K17">SUM(SUMIFS('Accounting data'!G2:G65536,'Accounting data'!H2:H65536,"1310-1399-C*",'Accounting data'!I2:I65536,{"1*","2*","3*","4*","5*","6*"},'Accounting data'!J2:J65536,"34*",'Accounting data'!K2:K65536,"683*"))+SUM(SUMIFS('Accounting data'!G2:G65536,'Accounting data'!H2:H65536,"1227*",'Accounting data'!I2:I65536,{"1*","2*","3*","4*","5*","6*"},'Accounting data'!J2:J65536,"34*",'Accounting data'!K2:K65536,"683*"))+SUM(SUMIFS('Accounting data'!G2:G65536,'Accounting data'!H2:H65536,"1228*",'Accounting data'!I2:I65536,{"1*","2*","3*","4*","5*","6*"},'Accounting data'!J2:J65536,"34*",'Accounting data'!K2:K65536,"683*"))</f>
        <v>0</v>
      </c>
      <c r="L17" s="31">
        <v>0</v>
      </c>
      <c r="M17" s="360">
        <f t="array" ref="M17">SUM(SUMIFS('Accounting data'!G2:G65536,'Accounting data'!H2:H65536,"1310-1399-C*",'Accounting data'!I2:I65536,{"7*","8*","9*"},'Accounting data'!J2:J65536,"34*",'Accounting data'!K2:K65536,"6*"))-SUM(SUMIFS('Accounting data'!G2:G65536,'Accounting data'!H2:H65536,"1310-1399-C*",'Accounting data'!I2:I65536,{"7*","8*","9*"},'Accounting data'!J2:J65536,"34*",'Accounting data'!K2:K65536,"69*"))+SUM(SUMIFS('Accounting data'!G2:G65536,'Accounting data'!H2:H65536,"1227*",'Accounting data'!I2:I65536,{"7*","8*","9*"},'Accounting data'!J2:J65536,"34*",'Accounting data'!K2:K65536,"6*"))-SUM(SUMIFS('Accounting data'!G2:G65536,'Accounting data'!H2:H65536,"1227*",'Accounting data'!I2:I65536,{"7*","8*","9*"},'Accounting data'!J2:J65536,"34*",'Accounting data'!K2:K65536,"69*"))+SUM(SUMIFS('Accounting data'!G2:G65536,'Accounting data'!H2:H65536,"1228*",'Accounting data'!I2:I65536,{"7*","8*","9*"},'Accounting data'!J2:J65536,"34*",'Accounting data'!K2:K65536,"6*"))-SUM(SUMIFS('Accounting data'!G2:G65536,'Accounting data'!H2:H65536,"1228*",'Accounting data'!I2:I65536,{"7*","8*","9*"},'Accounting data'!J2:J65536,"34*",'Accounting data'!K2:K65536,"69*"))</f>
        <v>0</v>
      </c>
      <c r="N17" s="362">
        <f t="shared" si="0"/>
        <v>0</v>
      </c>
      <c r="O17" s="371"/>
    </row>
    <row r="18" spans="1:16" x14ac:dyDescent="0.2">
      <c r="A18" s="374" t="s">
        <v>97</v>
      </c>
      <c r="B18" s="375"/>
      <c r="C18" s="376" t="s">
        <v>41</v>
      </c>
      <c r="D18" s="360">
        <f t="array" ref="D18">SUM(SUMIFS('Accounting data'!G2:G65536,'Accounting data'!H2:H65536,"1310-1399-C*",'Accounting data'!I2:I65536,{"1*","2*","3*","4*","5*","6*"},'Accounting data'!K2:K65536,"61*"))+SUM(SUMIFS('Accounting data'!G2:G65536,'Accounting data'!H2:H65536,"1227*",'Accounting data'!I2:I65536,{"1*","2*","3*","4*","5*","6*"},'Accounting data'!K2:K65536,"61*"))+SUM(SUMIFS('Accounting data'!G2:G65536,'Accounting data'!H2:H65536,"1228*",'Accounting data'!I2:I65536,{"1*","2*","3*","4*","5*","6*"},'Accounting data'!K2:K65536,"61*"))-SUM(D10:D17)</f>
        <v>0</v>
      </c>
      <c r="E18" s="360">
        <f t="array" ref="E18">SUM(SUMIFS('Accounting data'!G2:G65536,'Accounting data'!H2:H65536,"1310-1399-C*",'Accounting data'!I2:I65536,{"1*","2*","3*","4*","5*","6*"},'Accounting data'!K2:K65536,"62*"))+SUM(SUMIFS('Accounting data'!G2:G65536,'Accounting data'!H2:H65536,"1227*",'Accounting data'!I2:I65536,{"1*","2*","3*","4*","5*","6*"},'Accounting data'!K2:K65536,"62*"))+SUM(SUMIFS('Accounting data'!G2:G65536,'Accounting data'!H2:H65536,"1228*",'Accounting data'!I2:I65536,{"1*","2*","3*","4*","5*","6*"},'Accounting data'!K2:K65536,"62*"))-SUM(E10:E17)</f>
        <v>0</v>
      </c>
      <c r="F18" s="360">
        <f t="array" ref="F18">SUM(SUMIFS('Accounting data'!G2:G65536,'Accounting data'!H2:H65536,"1310-1399-C*",'Accounting data'!I2:I65536,{"1*","2*","3*","4*","5*","6*"},'Accounting data'!K2:K65536,"63*"))+SUM(SUMIFS('Accounting data'!G2:G65536,'Accounting data'!H2:H65536,"1227*",'Accounting data'!I2:I65536,{"1*","2*","3*","4*","5*","6*"},'Accounting data'!K2:K65536,"63*"))+SUM(SUMIFS('Accounting data'!G2:G65536,'Accounting data'!H2:H65536,"1228*",'Accounting data'!I2:I65536,{"1*","2*","3*","4*","5*","6*"},'Accounting data'!K2:K65536,"63*"))-SUM(F10:F17)</f>
        <v>0</v>
      </c>
      <c r="G18" s="360">
        <f t="array" ref="G18">SUM(SUMIFS('Accounting data'!G2:G65536,'Accounting data'!H2:H65536,"1310-1399-C*",'Accounting data'!I2:I65536,{"1*","2*","3*","4*","5*","6*"},'Accounting data'!K2:K65536,"66*"))+SUM(SUMIFS('Accounting data'!G2:G65536,'Accounting data'!H2:H65536,"1227*",'Accounting data'!I2:I65536,{"1*","2*","3*","4*","5*","6*"},'Accounting data'!K2:K65536,"66*"))+SUM(SUMIFS('Accounting data'!G2:G65536,'Accounting data'!H2:H65536,"1228*",'Accounting data'!I2:I65536,{"1*","2*","3*","4*","5*","6*"},'Accounting data'!K2:K65536,"66*"))-SUM(G10:G17)</f>
        <v>0</v>
      </c>
      <c r="H18" s="360">
        <f t="array" ref="H18">SUM(SUMIFS('Accounting data'!G2:G65536,'Accounting data'!H2:H65536,"1310-1399-C*",'Accounting data'!I2:I65536,{"1*","2*","3*","4*","5*","6*"},'Accounting data'!K2:K65536,"681*"))+SUM(SUMIFS('Accounting data'!G2:G65536,'Accounting data'!H2:H65536,"1227*",'Accounting data'!I2:I65536,{"1*","2*","3*","4*","5*","6*"},'Accounting data'!K2:K65536,"681*"))+SUM(SUMIFS('Accounting data'!G2:G65536,'Accounting data'!H2:H65536,"1228*",'Accounting data'!I2:I65536,{"1*","2*","3*","4*","5*","6*"},'Accounting data'!K2:K65536,"681*"))-SUM(H10:H17)</f>
        <v>0</v>
      </c>
      <c r="I18" s="361"/>
      <c r="J18" s="360">
        <f t="array" ref="J18">SUM(SUMIFS('Accounting data'!G2:G65536,'Accounting data'!H2:H65536,"1310-1399-C*",'Accounting data'!I2:I65536,{"1*","2*","3*","4*","5*","6*"},'Accounting data'!K2:K65536,"689*"))+SUM(SUMIFS('Accounting data'!G2:G65536,'Accounting data'!H2:H65536,"1227*",'Accounting data'!I2:I65536,{"1*","2*","3*","4*","5*","6*"},'Accounting data'!K2:K65536,"689*"))+SUM(SUMIFS('Accounting data'!G2:G65536,'Accounting data'!H2:H65536,"1228*",'Accounting data'!I2:I65536,{"1*","2*","3*","4*","5*","6*"},'Accounting data'!K2:K65536,"689*"))-SUM(J10:J17)</f>
        <v>0</v>
      </c>
      <c r="K18" s="360">
        <f t="array" ref="K18">SUM(SUMIFS('Accounting data'!G2:G65536,'Accounting data'!H2:H65536,"1310-1399-C*",'Accounting data'!I2:I65536,{"1*","2*","3*","4*","5*","6*"},'Accounting data'!K2:K65536,"683*"))+SUM(SUMIFS('Accounting data'!G2:G65536,'Accounting data'!H2:H65536,"1227*",'Accounting data'!I2:I65536,{"1*","2*","3*","4*","5*","6*"},'Accounting data'!K2:K65536,"683*"))+SUM(SUMIFS('Accounting data'!G2:G65536,'Accounting data'!H2:H65536,"1228*",'Accounting data'!I2:I65536,{"1*","2*","3*","4*","5*","6*"},'Accounting data'!K2:K65536,"683*"))-SUM(K10:K17)</f>
        <v>0</v>
      </c>
      <c r="L18" s="31">
        <v>0</v>
      </c>
      <c r="M18" s="360">
        <f t="array" ref="M18">SUM(SUMIFS('Accounting data'!G2:G65536,'Accounting data'!H2:H65536,"1310-1399-C*",'Accounting data'!I2:I65536,{"7*","8*","9*"},'Accounting data'!K2:K65536,"6*"))-SUM(SUMIFS('Accounting data'!G2:G65536,'Accounting data'!H2:H65536,"1310-1399-C*",'Accounting data'!I2:I65536,{"7*","8*","9*"},'Accounting data'!K2:K65536,"69*"))+SUM(SUMIFS('Accounting data'!G2:G65536,'Accounting data'!H2:H65536,"1227*",'Accounting data'!I2:I65536,{"7*","8*","9*"},'Accounting data'!K2:K65536,"6*"))-SUM(SUMIFS('Accounting data'!G2:G65536,'Accounting data'!H2:H65536,"1227*",'Accounting data'!I2:I65536,{"7*","8*","9*"},'Accounting data'!K2:K65536,"69*"))+SUM(SUMIFS('Accounting data'!G2:G65536,'Accounting data'!H2:H65536,"1228*",'Accounting data'!I2:I65536,{"7*","8*","9*"},'Accounting data'!K2:K65536,"6*"))-SUM(SUMIFS('Accounting data'!G2:G65536,'Accounting data'!H2:H65536,"1228*",'Accounting data'!I2:I65536,{"7*","8*","9*"},'Accounting data'!K2:K65536,"69*"))-SUM(M10:M17)</f>
        <v>0</v>
      </c>
      <c r="N18" s="362">
        <f t="shared" si="0"/>
        <v>0</v>
      </c>
      <c r="O18" s="371"/>
    </row>
    <row r="19" spans="1:16" x14ac:dyDescent="0.2">
      <c r="A19" s="377" t="s">
        <v>442</v>
      </c>
      <c r="B19" s="378"/>
      <c r="C19" s="379" t="s">
        <v>43</v>
      </c>
      <c r="D19" s="380">
        <f>SUM(D10:D18)</f>
        <v>361256</v>
      </c>
      <c r="E19" s="380">
        <f t="shared" ref="E19:M19" si="1">SUM(E10:E18)</f>
        <v>106567</v>
      </c>
      <c r="F19" s="380">
        <f t="shared" si="1"/>
        <v>21688</v>
      </c>
      <c r="G19" s="380">
        <f t="shared" si="1"/>
        <v>62006</v>
      </c>
      <c r="H19" s="380">
        <f t="shared" si="1"/>
        <v>0</v>
      </c>
      <c r="I19" s="380">
        <f t="shared" si="1"/>
        <v>0</v>
      </c>
      <c r="J19" s="380">
        <f t="shared" si="1"/>
        <v>0</v>
      </c>
      <c r="K19" s="380">
        <f t="shared" si="1"/>
        <v>0</v>
      </c>
      <c r="L19" s="380">
        <f t="shared" si="1"/>
        <v>0</v>
      </c>
      <c r="M19" s="380">
        <f t="shared" si="1"/>
        <v>0</v>
      </c>
      <c r="N19" s="362">
        <f t="shared" si="0"/>
        <v>551517</v>
      </c>
      <c r="O19" s="371"/>
    </row>
    <row r="20" spans="1:16" x14ac:dyDescent="0.2">
      <c r="H20" s="331"/>
      <c r="I20" s="331"/>
      <c r="J20" s="331"/>
      <c r="K20" s="331"/>
      <c r="L20" s="381"/>
    </row>
    <row r="21" spans="1:16" ht="34.5" customHeight="1" x14ac:dyDescent="0.2">
      <c r="A21" s="816" t="s">
        <v>443</v>
      </c>
      <c r="B21" s="817"/>
      <c r="C21" s="818"/>
      <c r="D21" s="684" t="s">
        <v>444</v>
      </c>
      <c r="E21" s="32" t="s">
        <v>445</v>
      </c>
      <c r="G21" s="382" t="s">
        <v>446</v>
      </c>
      <c r="H21" s="383"/>
      <c r="I21" s="383"/>
      <c r="J21" s="384"/>
      <c r="L21" s="385" t="s">
        <v>447</v>
      </c>
      <c r="M21" s="386"/>
      <c r="N21" s="386"/>
      <c r="O21" s="387"/>
    </row>
    <row r="22" spans="1:16" x14ac:dyDescent="0.2">
      <c r="A22" s="388" t="s">
        <v>448</v>
      </c>
      <c r="B22" s="389"/>
      <c r="C22" s="390"/>
      <c r="D22" s="33">
        <v>0</v>
      </c>
      <c r="E22" s="34">
        <v>0</v>
      </c>
      <c r="G22" s="391" t="s">
        <v>449</v>
      </c>
      <c r="H22" s="392"/>
      <c r="I22" s="393"/>
      <c r="J22" s="33">
        <v>0</v>
      </c>
      <c r="L22" s="391" t="s">
        <v>450</v>
      </c>
      <c r="M22" s="392"/>
      <c r="N22" s="393"/>
      <c r="O22" s="35">
        <f>ROUND(SUM(SUMIFS('Accounting data'!G2:G65536,'Accounting data'!H2:H65536,"1310-1399-C*",'Accounting data'!K2:K65536,"69*")),0)+ROUND(SUM(SUMIFS('Accounting data'!G2:G65536,'Accounting data'!H2:H65536,"1227*",'Accounting data'!K2:K65536,"69*")),0)+ROUND(SUM(SUMIFS('Accounting data'!G2:G65536,'Accounting data'!H2:H65536,"1228*",'Accounting data'!K2:K65536,"69*")),0)</f>
        <v>82757</v>
      </c>
    </row>
    <row r="23" spans="1:16" x14ac:dyDescent="0.2">
      <c r="A23" s="391" t="s">
        <v>451</v>
      </c>
      <c r="B23" s="392"/>
      <c r="C23" s="393"/>
      <c r="D23" s="33">
        <v>0</v>
      </c>
      <c r="E23" s="44">
        <v>0</v>
      </c>
      <c r="G23" s="394" t="s">
        <v>452</v>
      </c>
      <c r="H23" s="395"/>
      <c r="I23" s="393"/>
      <c r="J23" s="33">
        <v>0</v>
      </c>
    </row>
    <row r="24" spans="1:16" x14ac:dyDescent="0.2">
      <c r="A24" s="391" t="s">
        <v>453</v>
      </c>
      <c r="B24" s="392"/>
      <c r="C24" s="396"/>
      <c r="D24" s="33">
        <v>0</v>
      </c>
      <c r="E24" s="591">
        <v>0</v>
      </c>
      <c r="G24" s="632" t="s">
        <v>454</v>
      </c>
      <c r="H24" s="633"/>
      <c r="I24" s="393"/>
      <c r="J24" s="33">
        <v>0</v>
      </c>
      <c r="L24" s="382" t="s">
        <v>455</v>
      </c>
      <c r="M24" s="383"/>
      <c r="N24" s="383"/>
      <c r="O24" s="384"/>
    </row>
    <row r="25" spans="1:16" x14ac:dyDescent="0.2">
      <c r="A25" s="391" t="s">
        <v>456</v>
      </c>
      <c r="B25" s="392"/>
      <c r="C25" s="396"/>
      <c r="D25" s="33">
        <v>0</v>
      </c>
      <c r="E25" s="591">
        <v>0</v>
      </c>
      <c r="G25" s="632" t="s">
        <v>457</v>
      </c>
      <c r="H25" s="633"/>
      <c r="I25" s="393"/>
      <c r="J25" s="33">
        <v>0</v>
      </c>
      <c r="L25" s="398" t="s">
        <v>458</v>
      </c>
      <c r="M25" s="399"/>
      <c r="N25" s="396"/>
      <c r="O25" s="33">
        <v>0</v>
      </c>
    </row>
    <row r="26" spans="1:16" x14ac:dyDescent="0.2">
      <c r="A26" s="391" t="s">
        <v>459</v>
      </c>
      <c r="B26" s="392"/>
      <c r="C26" s="396"/>
      <c r="D26" s="33">
        <v>38172</v>
      </c>
      <c r="E26" s="591">
        <v>0</v>
      </c>
      <c r="G26" s="632" t="s">
        <v>460</v>
      </c>
      <c r="H26" s="633"/>
      <c r="I26" s="393"/>
      <c r="J26" s="33">
        <v>0</v>
      </c>
      <c r="L26" s="398" t="s">
        <v>461</v>
      </c>
      <c r="M26" s="399"/>
      <c r="N26" s="396"/>
      <c r="O26" s="33">
        <v>0</v>
      </c>
    </row>
    <row r="27" spans="1:16" x14ac:dyDescent="0.2">
      <c r="A27" s="400" t="s">
        <v>462</v>
      </c>
      <c r="B27" s="401"/>
      <c r="C27" s="402"/>
      <c r="D27" s="33">
        <v>0</v>
      </c>
      <c r="E27" s="34">
        <v>0</v>
      </c>
      <c r="L27" s="398" t="s">
        <v>463</v>
      </c>
      <c r="M27" s="399"/>
      <c r="N27" s="396"/>
      <c r="O27" s="33">
        <v>0</v>
      </c>
    </row>
    <row r="28" spans="1:16" x14ac:dyDescent="0.2">
      <c r="A28" s="403" t="s">
        <v>464</v>
      </c>
      <c r="B28" s="404"/>
      <c r="C28" s="405"/>
      <c r="D28" s="36">
        <v>0</v>
      </c>
      <c r="E28" s="397">
        <f>D28</f>
        <v>0</v>
      </c>
      <c r="L28" s="332"/>
      <c r="M28" s="332"/>
      <c r="N28" s="332"/>
      <c r="O28" s="37"/>
    </row>
    <row r="29" spans="1:16" x14ac:dyDescent="0.2">
      <c r="A29" s="819"/>
      <c r="B29" s="819"/>
      <c r="C29" s="819"/>
      <c r="D29" s="406"/>
    </row>
    <row r="30" spans="1:16" ht="15" customHeight="1" x14ac:dyDescent="0.2">
      <c r="A30" s="341"/>
      <c r="B30" s="341"/>
      <c r="C30" s="341"/>
      <c r="D30" s="341"/>
      <c r="G30" s="382" t="s">
        <v>465</v>
      </c>
      <c r="H30" s="383"/>
      <c r="I30" s="383"/>
      <c r="J30" s="384"/>
      <c r="L30" s="844" t="str">
        <f>IF(OR(D19&lt;0,E19&lt;0,F19&lt;0,G19&lt;0,H19&lt;0,J19&lt;0,K19&lt;0,L19&lt;0,M19&lt;0,N19&lt;0),"Line 9 in the current expenses table should not contain negative amounts. Click the instruction link in cell A18 for more information.","")</f>
        <v/>
      </c>
      <c r="M30" s="844" t="str">
        <f t="shared" ref="M30:P32" si="2">IF(OR(E19&lt;0,F19&lt;0,G19&lt;0,H19&lt;0,I19&lt;0,K19&lt;0,L19&lt;0,M19&lt;0,N19&lt;0,O19&lt;0),"Table A, line 9 should not contain negative amounts. Click the the instruction link in cell A18 for more information.","")</f>
        <v/>
      </c>
      <c r="N30" s="844" t="str">
        <f t="shared" si="2"/>
        <v/>
      </c>
      <c r="O30" s="844" t="str">
        <f t="shared" si="2"/>
        <v/>
      </c>
      <c r="P30" s="844" t="str">
        <f t="shared" si="2"/>
        <v/>
      </c>
    </row>
    <row r="31" spans="1:16" ht="15" customHeight="1" x14ac:dyDescent="0.2">
      <c r="E31" s="407"/>
      <c r="G31" s="408" t="s">
        <v>466</v>
      </c>
      <c r="H31" s="392"/>
      <c r="I31" s="392"/>
      <c r="J31" s="409">
        <f>ROUND(SUMIFS('Accounting data'!G2:G65536,'Accounting data'!H2:H65536,"1310-1399-C*",'Accounting data'!K2:K65536,"685*"),0)</f>
        <v>0</v>
      </c>
      <c r="L31" s="844" t="str">
        <f>IF(OR(D20&lt;0,E20&lt;0,F20&lt;0,G20&lt;0,H20&lt;0,J20&lt;0,K20&lt;0,L20&lt;0,M20&lt;0,N20&lt;0),"Table A, line 9 should not contain negative amounts. Click the the instruction link in cell A18 for more information.","")</f>
        <v/>
      </c>
      <c r="M31" s="844" t="str">
        <f t="shared" si="2"/>
        <v/>
      </c>
      <c r="N31" s="844" t="str">
        <f t="shared" si="2"/>
        <v/>
      </c>
      <c r="O31" s="844" t="str">
        <f t="shared" si="2"/>
        <v/>
      </c>
      <c r="P31" s="844" t="str">
        <f t="shared" si="2"/>
        <v/>
      </c>
    </row>
    <row r="32" spans="1:16" ht="15" customHeight="1" x14ac:dyDescent="0.2">
      <c r="E32" s="363"/>
      <c r="G32" s="408" t="s">
        <v>467</v>
      </c>
      <c r="H32" s="392"/>
      <c r="I32" s="392"/>
      <c r="J32" s="33">
        <v>0</v>
      </c>
      <c r="L32" s="844" t="str">
        <f>IF(OR(D21&lt;0,E21&lt;0,F21&lt;0,G21&lt;0,H21&lt;0,J21&lt;0,K21&lt;0,L21&lt;0,M21&lt;0,N21&lt;0),"Table A, line 9 should not contain negative amounts. Click the the instruction link in cell A18 for more information.","")</f>
        <v/>
      </c>
      <c r="M32" s="844" t="str">
        <f t="shared" si="2"/>
        <v/>
      </c>
      <c r="N32" s="844" t="str">
        <f t="shared" si="2"/>
        <v/>
      </c>
      <c r="O32" s="844" t="str">
        <f t="shared" si="2"/>
        <v/>
      </c>
      <c r="P32" s="844" t="str">
        <f t="shared" si="2"/>
        <v/>
      </c>
    </row>
    <row r="33" spans="1:49" ht="12.75" customHeight="1" x14ac:dyDescent="0.2">
      <c r="E33" s="410"/>
      <c r="K33" s="411"/>
      <c r="L33" s="38"/>
      <c r="M33" s="38"/>
      <c r="N33" s="39"/>
      <c r="O33" s="38"/>
      <c r="AB33" s="338" t="s">
        <v>468</v>
      </c>
    </row>
    <row r="34" spans="1:49" ht="11.25" customHeight="1" x14ac:dyDescent="0.2">
      <c r="E34" s="412"/>
      <c r="G34" s="332"/>
      <c r="M34" s="413"/>
      <c r="N34" s="414"/>
      <c r="O34" s="414"/>
    </row>
    <row r="35" spans="1:49" ht="37.5" customHeight="1" x14ac:dyDescent="0.2">
      <c r="A35" s="823" t="s">
        <v>469</v>
      </c>
      <c r="B35" s="824"/>
      <c r="C35" s="825"/>
      <c r="D35" s="846" t="s">
        <v>470</v>
      </c>
      <c r="E35" s="846" t="s">
        <v>1196</v>
      </c>
      <c r="F35" s="846" t="s">
        <v>1197</v>
      </c>
      <c r="G35" s="846" t="s">
        <v>471</v>
      </c>
      <c r="J35" s="382" t="s">
        <v>472</v>
      </c>
      <c r="K35" s="55"/>
      <c r="L35" s="55"/>
      <c r="M35" s="55"/>
      <c r="N35" s="56"/>
      <c r="R35" s="331"/>
      <c r="V35" s="337"/>
      <c r="AD35" s="338"/>
      <c r="AJ35" s="339"/>
      <c r="AW35" s="337"/>
    </row>
    <row r="36" spans="1:49" ht="25.5" customHeight="1" x14ac:dyDescent="0.2">
      <c r="A36" s="826"/>
      <c r="B36" s="827"/>
      <c r="C36" s="828"/>
      <c r="D36" s="847"/>
      <c r="E36" s="847"/>
      <c r="F36" s="847"/>
      <c r="G36" s="847"/>
      <c r="J36" s="829" t="s">
        <v>473</v>
      </c>
      <c r="K36" s="830"/>
      <c r="L36" s="830"/>
      <c r="M36" s="831"/>
      <c r="N36" s="419">
        <v>0</v>
      </c>
      <c r="Q36" s="40"/>
      <c r="R36" s="41"/>
      <c r="V36" s="337"/>
      <c r="AD36" s="338"/>
      <c r="AJ36" s="339"/>
      <c r="AW36" s="337"/>
    </row>
    <row r="37" spans="1:49" ht="12.75" customHeight="1" x14ac:dyDescent="0.2">
      <c r="A37" s="42" t="s">
        <v>474</v>
      </c>
      <c r="B37" s="43"/>
      <c r="C37" s="43"/>
      <c r="D37" s="44">
        <v>74924</v>
      </c>
      <c r="E37" s="44">
        <v>74924</v>
      </c>
      <c r="F37" s="361"/>
      <c r="G37" s="361"/>
      <c r="J37" s="829" t="s">
        <v>475</v>
      </c>
      <c r="K37" s="830"/>
      <c r="L37" s="830"/>
      <c r="M37" s="831"/>
      <c r="N37" s="419">
        <v>0</v>
      </c>
      <c r="R37" s="331"/>
      <c r="V37" s="337"/>
      <c r="AD37" s="338"/>
      <c r="AJ37" s="339"/>
      <c r="AW37" s="337"/>
    </row>
    <row r="38" spans="1:49" ht="12.75" customHeight="1" x14ac:dyDescent="0.2">
      <c r="A38" s="42" t="s">
        <v>476</v>
      </c>
      <c r="B38" s="43"/>
      <c r="C38" s="43"/>
      <c r="D38" s="44">
        <v>300429</v>
      </c>
      <c r="E38" s="44">
        <v>232159</v>
      </c>
      <c r="F38" s="44">
        <v>68270</v>
      </c>
      <c r="G38" s="380">
        <f>ROUND(D38-E38-F38,0)</f>
        <v>0</v>
      </c>
      <c r="J38" s="829" t="s">
        <v>477</v>
      </c>
      <c r="K38" s="830"/>
      <c r="L38" s="830"/>
      <c r="M38" s="831"/>
      <c r="N38" s="419">
        <v>0</v>
      </c>
      <c r="R38" s="331"/>
      <c r="V38" s="337"/>
      <c r="AD38" s="338"/>
      <c r="AJ38" s="339"/>
      <c r="AW38" s="337"/>
    </row>
    <row r="39" spans="1:49" ht="12.75" customHeight="1" x14ac:dyDescent="0.2">
      <c r="A39" s="42" t="s">
        <v>478</v>
      </c>
      <c r="B39" s="43"/>
      <c r="C39" s="43"/>
      <c r="D39" s="44">
        <v>698148</v>
      </c>
      <c r="E39" s="44">
        <v>134016</v>
      </c>
      <c r="F39" s="44">
        <v>564132</v>
      </c>
      <c r="G39" s="380">
        <f>ROUND(D39-E39-F39,0)</f>
        <v>0</v>
      </c>
      <c r="J39" s="820" t="s">
        <v>479</v>
      </c>
      <c r="K39" s="821"/>
      <c r="L39" s="821"/>
      <c r="M39" s="822"/>
      <c r="N39" s="420">
        <v>0</v>
      </c>
      <c r="R39" s="331"/>
      <c r="V39" s="337"/>
      <c r="AD39" s="338"/>
      <c r="AJ39" s="339"/>
      <c r="AW39" s="337"/>
    </row>
    <row r="40" spans="1:49" ht="12.75" customHeight="1" x14ac:dyDescent="0.2">
      <c r="A40" s="42" t="s">
        <v>480</v>
      </c>
      <c r="B40" s="43"/>
      <c r="C40" s="43"/>
      <c r="D40" s="44">
        <v>51430</v>
      </c>
      <c r="E40" s="44">
        <v>51430</v>
      </c>
      <c r="F40" s="44">
        <v>0</v>
      </c>
      <c r="G40" s="380">
        <f>ROUND(D40-E40-F40,0)</f>
        <v>0</v>
      </c>
      <c r="J40" s="820" t="s">
        <v>481</v>
      </c>
      <c r="K40" s="821"/>
      <c r="L40" s="821"/>
      <c r="M40" s="822"/>
      <c r="N40" s="421">
        <f>ROUND(N36-N37-N39,0)</f>
        <v>0</v>
      </c>
      <c r="R40" s="331"/>
      <c r="V40" s="337"/>
      <c r="AD40" s="338"/>
      <c r="AJ40" s="339"/>
      <c r="AW40" s="337"/>
    </row>
    <row r="41" spans="1:49" ht="12.75" customHeight="1" x14ac:dyDescent="0.2">
      <c r="A41" s="42" t="s">
        <v>482</v>
      </c>
      <c r="B41" s="43"/>
      <c r="C41" s="43"/>
      <c r="D41" s="44">
        <v>37977</v>
      </c>
      <c r="E41" s="44">
        <v>37977</v>
      </c>
      <c r="F41" s="44">
        <v>0</v>
      </c>
      <c r="G41" s="380">
        <f>ROUND(D41-E41-F41,0)</f>
        <v>0</v>
      </c>
    </row>
    <row r="42" spans="1:49" ht="12.75" customHeight="1" x14ac:dyDescent="0.2">
      <c r="A42" s="45" t="s">
        <v>483</v>
      </c>
      <c r="B42" s="43"/>
      <c r="C42" s="43"/>
      <c r="D42" s="44">
        <f>13532+18089+736+1136</f>
        <v>33493</v>
      </c>
      <c r="E42" s="44">
        <v>31621</v>
      </c>
      <c r="F42" s="44">
        <f>735+1137</f>
        <v>1872</v>
      </c>
      <c r="G42" s="380">
        <f>ROUND(D42-E42-F42,0)</f>
        <v>0</v>
      </c>
    </row>
    <row r="43" spans="1:49" ht="12.75" customHeight="1" x14ac:dyDescent="0.2">
      <c r="A43" s="811" t="s">
        <v>484</v>
      </c>
      <c r="B43" s="812"/>
      <c r="C43" s="813"/>
      <c r="D43" s="415">
        <f>ROUND(SUM(D37:D42),0)</f>
        <v>1196401</v>
      </c>
      <c r="E43" s="415">
        <f>ROUND(SUM(E37:E42),0)</f>
        <v>562127</v>
      </c>
      <c r="F43" s="415">
        <f>ROUND(SUM(F37:F42),0)</f>
        <v>634274</v>
      </c>
      <c r="G43" s="415">
        <f>ROUND(SUM(G37:G42),0)</f>
        <v>0</v>
      </c>
    </row>
    <row r="44" spans="1:49" x14ac:dyDescent="0.2">
      <c r="F44" s="416"/>
    </row>
    <row r="45" spans="1:49" x14ac:dyDescent="0.2">
      <c r="E45" s="683" t="s">
        <v>1195</v>
      </c>
      <c r="F45" s="46">
        <f>ROUND(N19+O22+O25+O26+O27+J31+J32,0)</f>
        <v>634274</v>
      </c>
      <c r="H45" s="814" t="str">
        <f>IF(OR(G37&lt;0,G38&lt;0,G39&lt;0,G40&lt;0,G41&lt;0,G42&lt;0,G43&lt;0),"Column G should not contain negative amounts. Click the instruction link in cell G36 for more information.","")</f>
        <v/>
      </c>
      <c r="I45" s="815"/>
      <c r="J45" s="815"/>
      <c r="K45" s="815"/>
    </row>
    <row r="46" spans="1:49" ht="12.75" customHeight="1" x14ac:dyDescent="0.2">
      <c r="A46" s="417"/>
      <c r="B46" s="417"/>
      <c r="C46" s="418"/>
      <c r="F46" s="814" t="str">
        <f>IF(F45&lt;&gt;F43,"Total in cell F43 should agree to amount in cell F45","")</f>
        <v/>
      </c>
      <c r="G46" s="814"/>
      <c r="H46" s="815"/>
      <c r="I46" s="815"/>
      <c r="J46" s="815"/>
      <c r="K46" s="815"/>
    </row>
    <row r="47" spans="1:49" ht="12.75" customHeight="1" x14ac:dyDescent="0.2">
      <c r="A47" s="417"/>
      <c r="B47" s="417"/>
      <c r="C47" s="418"/>
      <c r="F47" s="814"/>
      <c r="G47" s="814"/>
      <c r="H47" s="815"/>
      <c r="I47" s="815"/>
      <c r="J47" s="815"/>
      <c r="K47" s="815"/>
    </row>
    <row r="48" spans="1:49" ht="12.75" customHeight="1" x14ac:dyDescent="0.2">
      <c r="A48" s="418"/>
      <c r="B48" s="418"/>
      <c r="C48" s="418"/>
      <c r="F48" s="814"/>
      <c r="G48" s="814"/>
      <c r="H48" s="815"/>
      <c r="I48" s="815"/>
      <c r="J48" s="815"/>
      <c r="K48" s="815"/>
    </row>
    <row r="49" spans="1:7" ht="12.75" customHeight="1" x14ac:dyDescent="0.2">
      <c r="A49" s="418"/>
      <c r="B49" s="418"/>
      <c r="C49" s="418"/>
      <c r="F49" s="814"/>
      <c r="G49" s="814"/>
    </row>
  </sheetData>
  <mergeCells count="22">
    <mergeCell ref="B1:E1"/>
    <mergeCell ref="H1:I1"/>
    <mergeCell ref="D35:D36"/>
    <mergeCell ref="E35:E36"/>
    <mergeCell ref="F35:F36"/>
    <mergeCell ref="G35:G36"/>
    <mergeCell ref="A5:A6"/>
    <mergeCell ref="D5:L5"/>
    <mergeCell ref="N5:N9"/>
    <mergeCell ref="A8:C9"/>
    <mergeCell ref="L30:P32"/>
    <mergeCell ref="A43:C43"/>
    <mergeCell ref="H45:K48"/>
    <mergeCell ref="F46:G49"/>
    <mergeCell ref="A21:C21"/>
    <mergeCell ref="A29:C29"/>
    <mergeCell ref="J40:M40"/>
    <mergeCell ref="A35:C36"/>
    <mergeCell ref="J36:M36"/>
    <mergeCell ref="J37:M37"/>
    <mergeCell ref="J38:M38"/>
    <mergeCell ref="J39:M39"/>
  </mergeCells>
  <conditionalFormatting sqref="B1:E1">
    <cfRule type="expression" dxfId="35" priority="42" stopIfTrue="1">
      <formula>B1=""</formula>
    </cfRule>
  </conditionalFormatting>
  <conditionalFormatting sqref="D22:D28">
    <cfRule type="expression" dxfId="34" priority="24" stopIfTrue="1">
      <formula>D22=""</formula>
    </cfRule>
  </conditionalFormatting>
  <conditionalFormatting sqref="D37:E42 F38:F42">
    <cfRule type="expression" dxfId="33" priority="5" stopIfTrue="1">
      <formula>D37=""</formula>
    </cfRule>
  </conditionalFormatting>
  <conditionalFormatting sqref="E22:E27">
    <cfRule type="expression" dxfId="32" priority="18" stopIfTrue="1">
      <formula>E22=""</formula>
    </cfRule>
  </conditionalFormatting>
  <conditionalFormatting sqref="G38:G42">
    <cfRule type="cellIs" dxfId="31" priority="8" stopIfTrue="1" operator="lessThan">
      <formula>0</formula>
    </cfRule>
  </conditionalFormatting>
  <conditionalFormatting sqref="H1:I1">
    <cfRule type="expression" dxfId="30" priority="41" stopIfTrue="1">
      <formula>H1=""</formula>
    </cfRule>
  </conditionalFormatting>
  <conditionalFormatting sqref="J22:J26">
    <cfRule type="expression" dxfId="29" priority="13" stopIfTrue="1">
      <formula>J22=""</formula>
    </cfRule>
  </conditionalFormatting>
  <conditionalFormatting sqref="J32">
    <cfRule type="expression" dxfId="28" priority="12" stopIfTrue="1">
      <formula>J32=""</formula>
    </cfRule>
  </conditionalFormatting>
  <conditionalFormatting sqref="L1">
    <cfRule type="expression" dxfId="27" priority="40" stopIfTrue="1">
      <formula>L1=""</formula>
    </cfRule>
  </conditionalFormatting>
  <conditionalFormatting sqref="L10:L18">
    <cfRule type="expression" dxfId="26" priority="31" stopIfTrue="1">
      <formula>L10=""</formula>
    </cfRule>
  </conditionalFormatting>
  <conditionalFormatting sqref="N36:N39">
    <cfRule type="expression" dxfId="25" priority="1" stopIfTrue="1">
      <formula>N36=""</formula>
    </cfRule>
  </conditionalFormatting>
  <conditionalFormatting sqref="O25:O27">
    <cfRule type="expression" dxfId="24" priority="9" stopIfTrue="1">
      <formula>O25=""</formula>
    </cfRule>
  </conditionalFormatting>
  <dataValidations count="148">
    <dataValidation type="whole" allowBlank="1" showInputMessage="1" showErrorMessage="1" errorTitle="Input error" error="The amount entered should be rounded to the nearest dollar and should not exceed the remaining Other funds balance (column D minus columns E and F)." sqref="JC42 SY42 ACU42 AMQ42 AWM42 BGI42 BQE42 CAA42 CJW42 CTS42 DDO42 DNK42 DXG42 EHC42 EQY42 FAU42 FKQ42 FUM42 GEI42 GOE42 GYA42 HHW42 HRS42 IBO42 ILK42 IVG42 JFC42 JOY42 JYU42 KIQ42 KSM42 LCI42 LME42 LWA42 MFW42 MPS42 MZO42 NJK42 NTG42 ODC42 OMY42 OWU42 PGQ42 PQM42 QAI42 QKE42 QUA42 RDW42 RNS42 RXO42 SHK42 SRG42 TBC42 TKY42 TUU42 UEQ42 UOM42 UYI42 VIE42 VSA42 WBW42 WLS42 WVO42 G65578 JC65578 SY65578 ACU65578 AMQ65578 AWM65578 BGI65578 BQE65578 CAA65578 CJW65578 CTS65578 DDO65578 DNK65578 DXG65578 EHC65578 EQY65578 FAU65578 FKQ65578 FUM65578 GEI65578 GOE65578 GYA65578 HHW65578 HRS65578 IBO65578 ILK65578 IVG65578 JFC65578 JOY65578 JYU65578 KIQ65578 KSM65578 LCI65578 LME65578 LWA65578 MFW65578" xr:uid="{00000000-0002-0000-0A00-000000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MPS65578 MZO65578 NJK65578 NTG65578 ODC65578 OMY65578 OWU65578 PGQ65578 PQM65578 QAI65578 QKE65578 QUA65578 RDW65578 RNS65578 RXO65578 SHK65578 SRG65578 TBC65578 TKY65578 TUU65578 UEQ65578 UOM65578 UYI65578 VIE65578 VSA65578 WBW65578 WLS65578 WVO65578 G131114 JC131114 SY131114 ACU131114 AMQ131114 AWM131114 BGI131114 BQE131114 CAA131114 CJW131114 CTS131114 DDO131114 DNK131114 DXG131114 EHC131114 EQY131114 FAU131114 FKQ131114 FUM131114 GEI131114 GOE131114 GYA131114 HHW131114 HRS131114 IBO131114 ILK131114 IVG131114 JFC131114 JOY131114 JYU131114 KIQ131114 KSM131114 LCI131114 LME131114 LWA131114 MFW131114 MPS131114 MZO131114 NJK131114 NTG131114 ODC131114 OMY131114 OWU131114 PGQ131114 PQM131114 QAI131114 QKE131114 QUA131114 RDW131114 RNS131114 RXO131114 SHK131114 SRG131114 TBC131114 TKY131114 TUU131114 UEQ131114 UOM131114 UYI131114 VIE131114 VSA131114 WBW131114 WLS131114 WVO131114 G196650 JC196650 SY196650 ACU196650 AMQ196650 AWM196650 BGI196650 BQE196650" xr:uid="{00000000-0002-0000-0A00-000001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CAA196650 CJW196650 CTS196650 DDO196650 DNK196650 DXG196650 EHC196650 EQY196650 FAU196650 FKQ196650 FUM196650 GEI196650 GOE196650 GYA196650 HHW196650 HRS196650 IBO196650 ILK196650 IVG196650 JFC196650 JOY196650 JYU196650 KIQ196650 KSM196650 LCI196650 LME196650 LWA196650 MFW196650 MPS196650 MZO196650 NJK196650 NTG196650 ODC196650 OMY196650 OWU196650 PGQ196650 PQM196650 QAI196650 QKE196650 QUA196650 RDW196650 RNS196650 RXO196650 SHK196650 SRG196650 TBC196650 TKY196650 TUU196650 UEQ196650 UOM196650 UYI196650 VIE196650 VSA196650 WBW196650 WLS196650 WVO196650 G262186 JC262186 SY262186 ACU262186 AMQ262186 AWM262186 BGI262186 BQE262186 CAA262186 CJW262186 CTS262186 DDO262186 DNK262186 DXG262186 EHC262186 EQY262186 FAU262186 FKQ262186 FUM262186 GEI262186 GOE262186 GYA262186 HHW262186 HRS262186 IBO262186 ILK262186 IVG262186 JFC262186 JOY262186 JYU262186 KIQ262186 KSM262186 LCI262186 LME262186 LWA262186 MFW262186 MPS262186 MZO262186 NJK262186 NTG262186 ODC262186 OMY262186 OWU262186 PGQ262186" xr:uid="{00000000-0002-0000-0A00-000002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PQM262186 QAI262186 QKE262186 QUA262186 RDW262186 RNS262186 RXO262186 SHK262186 SRG262186 TBC262186 TKY262186 TUU262186 UEQ262186 UOM262186 UYI262186 VIE262186 VSA262186 WBW262186 WLS262186 WVO262186 G327722 JC327722 SY327722 ACU327722 AMQ327722 AWM327722 BGI327722 BQE327722 CAA327722 CJW327722 CTS327722 DDO327722 DNK327722 DXG327722 EHC327722 EQY327722 FAU327722 FKQ327722 FUM327722 GEI327722 GOE327722 GYA327722 HHW327722 HRS327722 IBO327722 ILK327722 IVG327722 JFC327722 JOY327722 JYU327722 KIQ327722 KSM327722 LCI327722 LME327722 LWA327722 MFW327722 MPS327722 MZO327722 NJK327722 NTG327722 ODC327722 OMY327722 OWU327722 PGQ327722 PQM327722 QAI327722 QKE327722 QUA327722 RDW327722 RNS327722 RXO327722 SHK327722 SRG327722 TBC327722 TKY327722 TUU327722 UEQ327722 UOM327722 UYI327722 VIE327722 VSA327722 WBW327722 WLS327722 WVO327722 G393258 JC393258 SY393258 ACU393258 AMQ393258 AWM393258 BGI393258 BQE393258 CAA393258 CJW393258 CTS393258 DDO393258 DNK393258 DXG393258 EHC393258 EQY393258" xr:uid="{00000000-0002-0000-0A00-000003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FAU393258 FKQ393258 FUM393258 GEI393258 GOE393258 GYA393258 HHW393258 HRS393258 IBO393258 ILK393258 IVG393258 JFC393258 JOY393258 JYU393258 KIQ393258 KSM393258 LCI393258 LME393258 LWA393258 MFW393258 MPS393258 MZO393258 NJK393258 NTG393258 ODC393258 OMY393258 OWU393258 PGQ393258 PQM393258 QAI393258 QKE393258 QUA393258 RDW393258 RNS393258 RXO393258 SHK393258 SRG393258 TBC393258 TKY393258 TUU393258 UEQ393258 UOM393258 UYI393258 VIE393258 VSA393258 WBW393258 WLS393258 WVO393258 G458794 JC458794 SY458794 ACU458794 AMQ458794 AWM458794 BGI458794 BQE458794 CAA458794 CJW458794 CTS458794 DDO458794 DNK458794 DXG458794 EHC458794 EQY458794 FAU458794 FKQ458794 FUM458794 GEI458794 GOE458794 GYA458794 HHW458794 HRS458794 IBO458794 ILK458794 IVG458794 JFC458794 JOY458794 JYU458794 KIQ458794 KSM458794 LCI458794 LME458794 LWA458794 MFW458794 MPS458794 MZO458794 NJK458794 NTG458794 ODC458794 OMY458794 OWU458794 PGQ458794 PQM458794 QAI458794 QKE458794 QUA458794 RDW458794 RNS458794 RXO458794 SHK458794" xr:uid="{00000000-0002-0000-0A00-000004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SRG458794 TBC458794 TKY458794 TUU458794 UEQ458794 UOM458794 UYI458794 VIE458794 VSA458794 WBW458794 WLS458794 WVO458794 G524330 JC524330 SY524330 ACU524330 AMQ524330 AWM524330 BGI524330 BQE524330 CAA524330 CJW524330 CTS524330 DDO524330 DNK524330 DXG524330 EHC524330 EQY524330 FAU524330 FKQ524330 FUM524330 GEI524330 GOE524330 GYA524330 HHW524330 HRS524330 IBO524330 ILK524330 IVG524330 JFC524330 JOY524330 JYU524330 KIQ524330 KSM524330 LCI524330 LME524330 LWA524330 MFW524330 MPS524330 MZO524330 NJK524330 NTG524330 ODC524330 OMY524330 OWU524330 PGQ524330 PQM524330 QAI524330 QKE524330 QUA524330 RDW524330 RNS524330 RXO524330 SHK524330 SRG524330 TBC524330 TKY524330 TUU524330 UEQ524330 UOM524330 UYI524330 VIE524330 VSA524330 WBW524330 WLS524330 WVO524330 G589866 JC589866 SY589866 ACU589866 AMQ589866 AWM589866 BGI589866 BQE589866 CAA589866 CJW589866 CTS589866 DDO589866 DNK589866 DXG589866 EHC589866 EQY589866 FAU589866 FKQ589866 FUM589866 GEI589866 GOE589866 GYA589866 HHW589866 HRS589866" xr:uid="{00000000-0002-0000-0A00-000005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IBO589866 ILK589866 IVG589866 JFC589866 JOY589866 JYU589866 KIQ589866 KSM589866 LCI589866 LME589866 LWA589866 MFW589866 MPS589866 MZO589866 NJK589866 NTG589866 ODC589866 OMY589866 OWU589866 PGQ589866 PQM589866 QAI589866 QKE589866 QUA589866 RDW589866 RNS589866 RXO589866 SHK589866 SRG589866 TBC589866 TKY589866 TUU589866 UEQ589866 UOM589866 UYI589866 VIE589866 VSA589866 WBW589866 WLS589866 WVO589866 G655402 JC655402 SY655402 ACU655402 AMQ655402 AWM655402 BGI655402 BQE655402 CAA655402 CJW655402 CTS655402 DDO655402 DNK655402 DXG655402 EHC655402 EQY655402 FAU655402 FKQ655402 FUM655402 GEI655402 GOE655402 GYA655402 HHW655402 HRS655402 IBO655402 ILK655402 IVG655402 JFC655402 JOY655402 JYU655402 KIQ655402 KSM655402 LCI655402 LME655402 LWA655402 MFW655402 MPS655402 MZO655402 NJK655402 NTG655402 ODC655402 OMY655402 OWU655402 PGQ655402 PQM655402 QAI655402 QKE655402 QUA655402 RDW655402 RNS655402 RXO655402 SHK655402 SRG655402 TBC655402 TKY655402 TUU655402 UEQ655402 UOM655402 UYI655402 VIE655402" xr:uid="{00000000-0002-0000-0A00-000006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VSA655402 WBW655402 WLS655402 WVO655402 G720938 JC720938 SY720938 ACU720938 AMQ720938 AWM720938 BGI720938 BQE720938 CAA720938 CJW720938 CTS720938 DDO720938 DNK720938 DXG720938 EHC720938 EQY720938 FAU720938 FKQ720938 FUM720938 GEI720938 GOE720938 GYA720938 HHW720938 HRS720938 IBO720938 ILK720938 IVG720938 JFC720938 JOY720938 JYU720938 KIQ720938 KSM720938 LCI720938 LME720938 LWA720938 MFW720938 MPS720938 MZO720938 NJK720938 NTG720938 ODC720938 OMY720938 OWU720938 PGQ720938 PQM720938 QAI720938 QKE720938 QUA720938 RDW720938 RNS720938 RXO720938 SHK720938 SRG720938 TBC720938 TKY720938 TUU720938 UEQ720938 UOM720938 UYI720938 VIE720938 VSA720938 WBW720938 WLS720938 WVO720938 G786474 JC786474 SY786474 ACU786474 AMQ786474 AWM786474 BGI786474 BQE786474 CAA786474 CJW786474 CTS786474 DDO786474 DNK786474 DXG786474 EHC786474 EQY786474 FAU786474 FKQ786474 FUM786474 GEI786474 GOE786474 GYA786474 HHW786474 HRS786474 IBO786474 ILK786474 IVG786474 JFC786474 JOY786474 JYU786474 KIQ786474 KSM786474" xr:uid="{00000000-0002-0000-0A00-000007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LCI786474 LME786474 LWA786474 MFW786474 MPS786474 MZO786474 NJK786474 NTG786474 ODC786474 OMY786474 OWU786474 PGQ786474 PQM786474 QAI786474 QKE786474 QUA786474 RDW786474 RNS786474 RXO786474 SHK786474 SRG786474 TBC786474 TKY786474 TUU786474 UEQ786474 UOM786474 UYI786474 VIE786474 VSA786474 WBW786474 WLS786474 WVO786474 G852010 JC852010 SY852010 ACU852010 AMQ852010 AWM852010 BGI852010 BQE852010 CAA852010 CJW852010 CTS852010 DDO852010 DNK852010 DXG852010 EHC852010 EQY852010 FAU852010 FKQ852010 FUM852010 GEI852010 GOE852010 GYA852010 HHW852010 HRS852010 IBO852010 ILK852010 IVG852010 JFC852010 JOY852010 JYU852010 KIQ852010 KSM852010 LCI852010 LME852010 LWA852010 MFW852010 MPS852010 MZO852010 NJK852010 NTG852010 ODC852010 OMY852010 OWU852010 PGQ852010 PQM852010 QAI852010 QKE852010 QUA852010 RDW852010 RNS852010 RXO852010 SHK852010 SRG852010 TBC852010 TKY852010 TUU852010 UEQ852010 UOM852010 UYI852010 VIE852010 VSA852010 WBW852010 WLS852010 WVO852010 G917546 JC917546 SY917546 ACU917546" xr:uid="{00000000-0002-0000-0A00-000008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AMQ917546 AWM917546 BGI917546 BQE917546 CAA917546 CJW917546 CTS917546 DDO917546 DNK917546 DXG917546 EHC917546 EQY917546 FAU917546 FKQ917546 FUM917546 GEI917546 GOE917546 GYA917546 HHW917546 HRS917546 IBO917546 ILK917546 IVG917546 JFC917546 JOY917546 JYU917546 KIQ917546 KSM917546 LCI917546 LME917546 LWA917546 MFW917546 MPS917546 MZO917546 NJK917546 NTG917546 ODC917546 OMY917546 OWU917546 PGQ917546 PQM917546 QAI917546 QKE917546 QUA917546 RDW917546 RNS917546 RXO917546 SHK917546 SRG917546 TBC917546 TKY917546 TUU917546 UEQ917546 UOM917546 UYI917546 VIE917546 VSA917546 WBW917546 WLS917546 WVO917546 G983082 JC983082 SY983082 ACU983082 AMQ983082 AWM983082 BGI983082 BQE983082 CAA983082 CJW983082 CTS983082 DDO983082 DNK983082 DXG983082 EHC983082 EQY983082 FAU983082 FKQ983082 FUM983082 GEI983082 GOE983082 GYA983082 HHW983082 HRS983082 IBO983082 ILK983082 IVG983082 JFC983082 JOY983082 JYU983082 KIQ983082 KSM983082 LCI983082 LME983082 LWA983082 MFW983082 MPS983082 MZO983082 NJK983082 NTG983082" xr:uid="{00000000-0002-0000-0A00-000009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OMY983082 OWU983082 PGQ983082 PQM983082 QAI983082 QKE983082 QUA983082 RDW983082 RNS983082 RXO983082 SHK983082 SRG983082 TBC983082 TKY983082 TUU983082 UEQ983082 UOM983082 UYI983082 VIE983082 VSA983082 WBW983082 WLS983082 WVO983082" xr:uid="{00000000-0002-0000-0A00-00000A000000}">
      <formula1>0</formula1>
      <formula2>IZ42-JA42-JB42</formula2>
    </dataValidation>
    <dataValidation type="whole" allowBlank="1" showInputMessage="1" showErrorMessage="1" errorTitle="Input error" error="The amount entered should be rounded to the nearest dollar and should not exceed the remaining ESSER I fund balance (column D minus columns E and F)." sqref="JD37 SZ37 ACV37 AMR37 AWN37 BGJ37 BQF37 CAB37 CJX37 CTT37 DDP37 DNL37 DXH37 EHD37 EQZ37 FAV37 FKR37 FUN37 GEJ37 GOF37 GYB37 HHX37 HRT37 IBP37 ILL37 IVH37 JFD37 JOZ37 JYV37 KIR37 KSN37 LCJ37 LMF37 LWB37 MFX37 MPT37 MZP37 NJL37 NTH37 ODD37 OMZ37 OWV37 PGR37 PQN37 QAJ37 QKF37 QUB37 RDX37 RNT37 RXP37 SHL37 SRH37 TBD37 TKZ37 TUV37 UER37 UON37 UYJ37 VIF37 VSB37 WBX37 WLT37 WVP37 G65573 JC65573 SY65573 ACU65573 AMQ65573 AWM65573 BGI65573 BQE65573 CAA65573 CJW65573 CTS65573 DDO65573 DNK65573 DXG65573 EHC65573 EQY65573 FAU65573 FKQ65573 FUM65573 GEI65573 GOE65573 GYA65573 HHW65573 HRS65573 IBO65573 ILK65573 IVG65573 JFC65573 JOY65573 JYU65573 KIQ65573 KSM65573 LCI65573 LME65573 LWA65573 MFW65573" xr:uid="{00000000-0002-0000-0A00-00000B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MPS65573 MZO65573 NJK65573 NTG65573 ODC65573 OMY65573 OWU65573 PGQ65573 PQM65573 QAI65573 QKE65573 QUA65573 RDW65573 RNS65573 RXO65573 SHK65573 SRG65573 TBC65573 TKY65573 TUU65573 UEQ65573 UOM65573 UYI65573 VIE65573 VSA65573 WBW65573 WLS65573 WVO65573 G131109 JC131109 SY131109 ACU131109 AMQ131109 AWM131109 BGI131109 BQE131109 CAA131109 CJW131109 CTS131109 DDO131109 DNK131109 DXG131109 EHC131109 EQY131109 FAU131109 FKQ131109 FUM131109 GEI131109 GOE131109 GYA131109 HHW131109 HRS131109 IBO131109 ILK131109 IVG131109 JFC131109 JOY131109 JYU131109 KIQ131109 KSM131109 LCI131109 LME131109 LWA131109 MFW131109 MPS131109 MZO131109 NJK131109 NTG131109 ODC131109 OMY131109 OWU131109 PGQ131109 PQM131109 QAI131109 QKE131109 QUA131109 RDW131109 RNS131109 RXO131109 SHK131109 SRG131109 TBC131109 TKY131109 TUU131109 UEQ131109 UOM131109 UYI131109 VIE131109 VSA131109 WBW131109 WLS131109 WVO131109 G196645 JC196645 SY196645 ACU196645 AMQ196645 AWM196645 BGI196645 BQE196645" xr:uid="{00000000-0002-0000-0A00-00000C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CAA196645 CJW196645 CTS196645 DDO196645 DNK196645 DXG196645 EHC196645 EQY196645 FAU196645 FKQ196645 FUM196645 GEI196645 GOE196645 GYA196645 HHW196645 HRS196645 IBO196645 ILK196645 IVG196645 JFC196645 JOY196645 JYU196645 KIQ196645 KSM196645 LCI196645 LME196645 LWA196645 MFW196645 MPS196645 MZO196645 NJK196645 NTG196645 ODC196645 OMY196645 OWU196645 PGQ196645 PQM196645 QAI196645 QKE196645 QUA196645 RDW196645 RNS196645 RXO196645 SHK196645 SRG196645 TBC196645 TKY196645 TUU196645 UEQ196645 UOM196645 UYI196645 VIE196645 VSA196645 WBW196645 WLS196645 WVO196645 G262181 JC262181 SY262181 ACU262181 AMQ262181 AWM262181 BGI262181 BQE262181 CAA262181 CJW262181 CTS262181 DDO262181 DNK262181 DXG262181 EHC262181 EQY262181 FAU262181 FKQ262181 FUM262181 GEI262181 GOE262181 GYA262181 HHW262181 HRS262181 IBO262181 ILK262181 IVG262181 JFC262181 JOY262181 JYU262181 KIQ262181 KSM262181 LCI262181 LME262181 LWA262181 MFW262181 MPS262181 MZO262181 NJK262181 NTG262181 ODC262181 OMY262181 OWU262181 PGQ262181" xr:uid="{00000000-0002-0000-0A00-00000D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PQM262181 QAI262181 QKE262181 QUA262181 RDW262181 RNS262181 RXO262181 SHK262181 SRG262181 TBC262181 TKY262181 TUU262181 UEQ262181 UOM262181 UYI262181 VIE262181 VSA262181 WBW262181 WLS262181 WVO262181 G327717 JC327717 SY327717 ACU327717 AMQ327717 AWM327717 BGI327717 BQE327717 CAA327717 CJW327717 CTS327717 DDO327717 DNK327717 DXG327717 EHC327717 EQY327717 FAU327717 FKQ327717 FUM327717 GEI327717 GOE327717 GYA327717 HHW327717 HRS327717 IBO327717 ILK327717 IVG327717 JFC327717 JOY327717 JYU327717 KIQ327717 KSM327717 LCI327717 LME327717 LWA327717 MFW327717 MPS327717 MZO327717 NJK327717 NTG327717 ODC327717 OMY327717 OWU327717 PGQ327717 PQM327717 QAI327717 QKE327717 QUA327717 RDW327717 RNS327717 RXO327717 SHK327717 SRG327717 TBC327717 TKY327717 TUU327717 UEQ327717 UOM327717 UYI327717 VIE327717 VSA327717 WBW327717 WLS327717 WVO327717 G393253 JC393253 SY393253 ACU393253 AMQ393253 AWM393253 BGI393253 BQE393253 CAA393253 CJW393253 CTS393253 DDO393253 DNK393253 DXG393253 EHC393253 EQY393253" xr:uid="{00000000-0002-0000-0A00-00000E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FAU393253 FKQ393253 FUM393253 GEI393253 GOE393253 GYA393253 HHW393253 HRS393253 IBO393253 ILK393253 IVG393253 JFC393253 JOY393253 JYU393253 KIQ393253 KSM393253 LCI393253 LME393253 LWA393253 MFW393253 MPS393253 MZO393253 NJK393253 NTG393253 ODC393253 OMY393253 OWU393253 PGQ393253 PQM393253 QAI393253 QKE393253 QUA393253 RDW393253 RNS393253 RXO393253 SHK393253 SRG393253 TBC393253 TKY393253 TUU393253 UEQ393253 UOM393253 UYI393253 VIE393253 VSA393253 WBW393253 WLS393253 WVO393253 G458789 JC458789 SY458789 ACU458789 AMQ458789 AWM458789 BGI458789 BQE458789 CAA458789 CJW458789 CTS458789 DDO458789 DNK458789 DXG458789 EHC458789 EQY458789 FAU458789 FKQ458789 FUM458789 GEI458789 GOE458789 GYA458789 HHW458789 HRS458789 IBO458789 ILK458789 IVG458789 JFC458789 JOY458789 JYU458789 KIQ458789 KSM458789 LCI458789 LME458789 LWA458789 MFW458789 MPS458789 MZO458789 NJK458789 NTG458789 ODC458789 OMY458789 OWU458789 PGQ458789 PQM458789 QAI458789 QKE458789 QUA458789 RDW458789 RNS458789 RXO458789 SHK458789" xr:uid="{00000000-0002-0000-0A00-00000F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SRG458789 TBC458789 TKY458789 TUU458789 UEQ458789 UOM458789 UYI458789 VIE458789 VSA458789 WBW458789 WLS458789 WVO458789 G524325 JC524325 SY524325 ACU524325 AMQ524325 AWM524325 BGI524325 BQE524325 CAA524325 CJW524325 CTS524325 DDO524325 DNK524325 DXG524325 EHC524325 EQY524325 FAU524325 FKQ524325 FUM524325 GEI524325 GOE524325 GYA524325 HHW524325 HRS524325 IBO524325 ILK524325 IVG524325 JFC524325 JOY524325 JYU524325 KIQ524325 KSM524325 LCI524325 LME524325 LWA524325 MFW524325 MPS524325 MZO524325 NJK524325 NTG524325 ODC524325 OMY524325 OWU524325 PGQ524325 PQM524325 QAI524325 QKE524325 QUA524325 RDW524325 RNS524325 RXO524325 SHK524325 SRG524325 TBC524325 TKY524325 TUU524325 UEQ524325 UOM524325 UYI524325 VIE524325 VSA524325 WBW524325 WLS524325 WVO524325 G589861 JC589861 SY589861 ACU589861 AMQ589861 AWM589861 BGI589861 BQE589861 CAA589861 CJW589861 CTS589861 DDO589861 DNK589861 DXG589861 EHC589861 EQY589861 FAU589861 FKQ589861 FUM589861 GEI589861 GOE589861 GYA589861 HHW589861 HRS589861" xr:uid="{00000000-0002-0000-0A00-000010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IBO589861 ILK589861 IVG589861 JFC589861 JOY589861 JYU589861 KIQ589861 KSM589861 LCI589861 LME589861 LWA589861 MFW589861 MPS589861 MZO589861 NJK589861 NTG589861 ODC589861 OMY589861 OWU589861 PGQ589861 PQM589861 QAI589861 QKE589861 QUA589861 RDW589861 RNS589861 RXO589861 SHK589861 SRG589861 TBC589861 TKY589861 TUU589861 UEQ589861 UOM589861 UYI589861 VIE589861 VSA589861 WBW589861 WLS589861 WVO589861 G655397 JC655397 SY655397 ACU655397 AMQ655397 AWM655397 BGI655397 BQE655397 CAA655397 CJW655397 CTS655397 DDO655397 DNK655397 DXG655397 EHC655397 EQY655397 FAU655397 FKQ655397 FUM655397 GEI655397 GOE655397 GYA655397 HHW655397 HRS655397 IBO655397 ILK655397 IVG655397 JFC655397 JOY655397 JYU655397 KIQ655397 KSM655397 LCI655397 LME655397 LWA655397 MFW655397 MPS655397 MZO655397 NJK655397 NTG655397 ODC655397 OMY655397 OWU655397 PGQ655397 PQM655397 QAI655397 QKE655397 QUA655397 RDW655397 RNS655397 RXO655397 SHK655397 SRG655397 TBC655397 TKY655397 TUU655397 UEQ655397 UOM655397 UYI655397 VIE655397" xr:uid="{00000000-0002-0000-0A00-000011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VSA655397 WBW655397 WLS655397 WVO655397 G720933 JC720933 SY720933 ACU720933 AMQ720933 AWM720933 BGI720933 BQE720933 CAA720933 CJW720933 CTS720933 DDO720933 DNK720933 DXG720933 EHC720933 EQY720933 FAU720933 FKQ720933 FUM720933 GEI720933 GOE720933 GYA720933 HHW720933 HRS720933 IBO720933 ILK720933 IVG720933 JFC720933 JOY720933 JYU720933 KIQ720933 KSM720933 LCI720933 LME720933 LWA720933 MFW720933 MPS720933 MZO720933 NJK720933 NTG720933 ODC720933 OMY720933 OWU720933 PGQ720933 PQM720933 QAI720933 QKE720933 QUA720933 RDW720933 RNS720933 RXO720933 SHK720933 SRG720933 TBC720933 TKY720933 TUU720933 UEQ720933 UOM720933 UYI720933 VIE720933 VSA720933 WBW720933 WLS720933 WVO720933 G786469 JC786469 SY786469 ACU786469 AMQ786469 AWM786469 BGI786469 BQE786469 CAA786469 CJW786469 CTS786469 DDO786469 DNK786469 DXG786469 EHC786469 EQY786469 FAU786469 FKQ786469 FUM786469 GEI786469 GOE786469 GYA786469 HHW786469 HRS786469 IBO786469 ILK786469 IVG786469 JFC786469 JOY786469 JYU786469 KIQ786469 KSM786469" xr:uid="{00000000-0002-0000-0A00-000012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LCI786469 LME786469 LWA786469 MFW786469 MPS786469 MZO786469 NJK786469 NTG786469 ODC786469 OMY786469 OWU786469 PGQ786469 PQM786469 QAI786469 QKE786469 QUA786469 RDW786469 RNS786469 RXO786469 SHK786469 SRG786469 TBC786469 TKY786469 TUU786469 UEQ786469 UOM786469 UYI786469 VIE786469 VSA786469 WBW786469 WLS786469 WVO786469 G852005 JC852005 SY852005 ACU852005 AMQ852005 AWM852005 BGI852005 BQE852005 CAA852005 CJW852005 CTS852005 DDO852005 DNK852005 DXG852005 EHC852005 EQY852005 FAU852005 FKQ852005 FUM852005 GEI852005 GOE852005 GYA852005 HHW852005 HRS852005 IBO852005 ILK852005 IVG852005 JFC852005 JOY852005 JYU852005 KIQ852005 KSM852005 LCI852005 LME852005 LWA852005 MFW852005 MPS852005 MZO852005 NJK852005 NTG852005 ODC852005 OMY852005 OWU852005 PGQ852005 PQM852005 QAI852005 QKE852005 QUA852005 RDW852005 RNS852005 RXO852005 SHK852005 SRG852005 TBC852005 TKY852005 TUU852005 UEQ852005 UOM852005 UYI852005 VIE852005 VSA852005 WBW852005 WLS852005 WVO852005 G917541 JC917541 SY917541 ACU917541" xr:uid="{00000000-0002-0000-0A00-000013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AMQ917541 AWM917541 BGI917541 BQE917541 CAA917541 CJW917541 CTS917541 DDO917541 DNK917541 DXG917541 EHC917541 EQY917541 FAU917541 FKQ917541 FUM917541 GEI917541 GOE917541 GYA917541 HHW917541 HRS917541 IBO917541 ILK917541 IVG917541 JFC917541 JOY917541 JYU917541 KIQ917541 KSM917541 LCI917541 LME917541 LWA917541 MFW917541 MPS917541 MZO917541 NJK917541 NTG917541 ODC917541 OMY917541 OWU917541 PGQ917541 PQM917541 QAI917541 QKE917541 QUA917541 RDW917541 RNS917541 RXO917541 SHK917541 SRG917541 TBC917541 TKY917541 TUU917541 UEQ917541 UOM917541 UYI917541 VIE917541 VSA917541 WBW917541 WLS917541 WVO917541 G983077 JC983077 SY983077 ACU983077 AMQ983077 AWM983077 BGI983077 BQE983077 CAA983077 CJW983077 CTS983077 DDO983077 DNK983077 DXG983077 EHC983077 EQY983077 FAU983077 FKQ983077 FUM983077 GEI983077 GOE983077 GYA983077 HHW983077 HRS983077 IBO983077 ILK983077 IVG983077 JFC983077 JOY983077 JYU983077 KIQ983077 KSM983077 LCI983077 LME983077 LWA983077 MFW983077 MPS983077 MZO983077 NJK983077 NTG983077" xr:uid="{00000000-0002-0000-0A00-000014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OMY983077 OWU983077 PGQ983077 PQM983077 QAI983077 QKE983077 QUA983077 RDW983077 RNS983077 RXO983077 SHK983077 SRG983077 TBC983077 TKY983077 TUU983077 UEQ983077 UOM983077 UYI983077 VIE983077 VSA983077 WBW983077 WLS983077 WVO983077" xr:uid="{00000000-0002-0000-0A00-000015000000}">
      <formula1>0</formula1>
      <formula2>IZ37-JA37-JB37</formula2>
    </dataValidation>
    <dataValidation type="whole" allowBlank="1" showInputMessage="1" showErrorMessage="1" errorTitle="Input error" error="The amount entered should be rounded to the nearest dollar and should not exceed the remaining ESSER II fund balance (column D minus columns E and F)." sqref="JD38 SZ38 ACV38 AMR38 AWN38 BGJ38 BQF38 CAB38 CJX38 CTT38 DDP38 DNL38 DXH38 EHD38 EQZ38 FAV38 FKR38 FUN38 GEJ38 GOF38 GYB38 HHX38 HRT38 IBP38 ILL38 IVH38 JFD38 JOZ38 JYV38 KIR38 KSN38 LCJ38 LMF38 LWB38 MFX38 MPT38 MZP38 NJL38 NTH38 ODD38 OMZ38 OWV38 PGR38 PQN38 QAJ38 QKF38 QUB38 RDX38 RNT38 RXP38 SHL38 SRH38 TBD38 TKZ38 TUV38 UER38 UON38 UYJ38 VIF38 VSB38 WBX38 WLT38 WVP38 G65574 JC65574 SY65574 ACU65574 AMQ65574 AWM65574 BGI65574 BQE65574 CAA65574 CJW65574 CTS65574 DDO65574 DNK65574 DXG65574 EHC65574 EQY65574 FAU65574 FKQ65574 FUM65574 GEI65574 GOE65574 GYA65574 HHW65574 HRS65574 IBO65574 ILK65574 IVG65574 JFC65574 JOY65574 JYU65574 KIQ65574 KSM65574 LCI65574 LME65574 LWA65574 MFW65574" xr:uid="{00000000-0002-0000-0A00-000016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MPS65574 MZO65574 NJK65574 NTG65574 ODC65574 OMY65574 OWU65574 PGQ65574 PQM65574 QAI65574 QKE65574 QUA65574 RDW65574 RNS65574 RXO65574 SHK65574 SRG65574 TBC65574 TKY65574 TUU65574 UEQ65574 UOM65574 UYI65574 VIE65574 VSA65574 WBW65574 WLS65574 WVO65574 G131110 JC131110 SY131110 ACU131110 AMQ131110 AWM131110 BGI131110 BQE131110 CAA131110 CJW131110 CTS131110 DDO131110 DNK131110 DXG131110 EHC131110 EQY131110 FAU131110 FKQ131110 FUM131110 GEI131110 GOE131110 GYA131110 HHW131110 HRS131110 IBO131110 ILK131110 IVG131110 JFC131110 JOY131110 JYU131110 KIQ131110 KSM131110 LCI131110 LME131110 LWA131110 MFW131110 MPS131110 MZO131110 NJK131110 NTG131110 ODC131110 OMY131110 OWU131110 PGQ131110 PQM131110 QAI131110 QKE131110 QUA131110 RDW131110 RNS131110 RXO131110 SHK131110 SRG131110 TBC131110 TKY131110 TUU131110 UEQ131110 UOM131110 UYI131110 VIE131110 VSA131110 WBW131110 WLS131110 WVO131110 G196646 JC196646 SY196646 ACU196646 AMQ196646 AWM196646 BGI196646 BQE196646" xr:uid="{00000000-0002-0000-0A00-000017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CAA196646 CJW196646 CTS196646 DDO196646 DNK196646 DXG196646 EHC196646 EQY196646 FAU196646 FKQ196646 FUM196646 GEI196646 GOE196646 GYA196646 HHW196646 HRS196646 IBO196646 ILK196646 IVG196646 JFC196646 JOY196646 JYU196646 KIQ196646 KSM196646 LCI196646 LME196646 LWA196646 MFW196646 MPS196646 MZO196646 NJK196646 NTG196646 ODC196646 OMY196646 OWU196646 PGQ196646 PQM196646 QAI196646 QKE196646 QUA196646 RDW196646 RNS196646 RXO196646 SHK196646 SRG196646 TBC196646 TKY196646 TUU196646 UEQ196646 UOM196646 UYI196646 VIE196646 VSA196646 WBW196646 WLS196646 WVO196646 G262182 JC262182 SY262182 ACU262182 AMQ262182 AWM262182 BGI262182 BQE262182 CAA262182 CJW262182 CTS262182 DDO262182 DNK262182 DXG262182 EHC262182 EQY262182 FAU262182 FKQ262182 FUM262182 GEI262182 GOE262182 GYA262182 HHW262182 HRS262182 IBO262182 ILK262182 IVG262182 JFC262182 JOY262182 JYU262182 KIQ262182 KSM262182 LCI262182 LME262182 LWA262182 MFW262182 MPS262182 MZO262182 NJK262182 NTG262182 ODC262182 OMY262182 OWU262182 PGQ262182" xr:uid="{00000000-0002-0000-0A00-000018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PQM262182 QAI262182 QKE262182 QUA262182 RDW262182 RNS262182 RXO262182 SHK262182 SRG262182 TBC262182 TKY262182 TUU262182 UEQ262182 UOM262182 UYI262182 VIE262182 VSA262182 WBW262182 WLS262182 WVO262182 G327718 JC327718 SY327718 ACU327718 AMQ327718 AWM327718 BGI327718 BQE327718 CAA327718 CJW327718 CTS327718 DDO327718 DNK327718 DXG327718 EHC327718 EQY327718 FAU327718 FKQ327718 FUM327718 GEI327718 GOE327718 GYA327718 HHW327718 HRS327718 IBO327718 ILK327718 IVG327718 JFC327718 JOY327718 JYU327718 KIQ327718 KSM327718 LCI327718 LME327718 LWA327718 MFW327718 MPS327718 MZO327718 NJK327718 NTG327718 ODC327718 OMY327718 OWU327718 PGQ327718 PQM327718 QAI327718 QKE327718 QUA327718 RDW327718 RNS327718 RXO327718 SHK327718 SRG327718 TBC327718 TKY327718 TUU327718 UEQ327718 UOM327718 UYI327718 VIE327718 VSA327718 WBW327718 WLS327718 WVO327718 G393254 JC393254 SY393254 ACU393254 AMQ393254 AWM393254 BGI393254 BQE393254 CAA393254 CJW393254 CTS393254 DDO393254 DNK393254 DXG393254 EHC393254 EQY393254" xr:uid="{00000000-0002-0000-0A00-000019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FAU393254 FKQ393254 FUM393254 GEI393254 GOE393254 GYA393254 HHW393254 HRS393254 IBO393254 ILK393254 IVG393254 JFC393254 JOY393254 JYU393254 KIQ393254 KSM393254 LCI393254 LME393254 LWA393254 MFW393254 MPS393254 MZO393254 NJK393254 NTG393254 ODC393254 OMY393254 OWU393254 PGQ393254 PQM393254 QAI393254 QKE393254 QUA393254 RDW393254 RNS393254 RXO393254 SHK393254 SRG393254 TBC393254 TKY393254 TUU393254 UEQ393254 UOM393254 UYI393254 VIE393254 VSA393254 WBW393254 WLS393254 WVO393254 G458790 JC458790 SY458790 ACU458790 AMQ458790 AWM458790 BGI458790 BQE458790 CAA458790 CJW458790 CTS458790 DDO458790 DNK458790 DXG458790 EHC458790 EQY458790 FAU458790 FKQ458790 FUM458790 GEI458790 GOE458790 GYA458790 HHW458790 HRS458790 IBO458790 ILK458790 IVG458790 JFC458790 JOY458790 JYU458790 KIQ458790 KSM458790 LCI458790 LME458790 LWA458790 MFW458790 MPS458790 MZO458790 NJK458790 NTG458790 ODC458790 OMY458790 OWU458790 PGQ458790 PQM458790 QAI458790 QKE458790 QUA458790 RDW458790 RNS458790 RXO458790 SHK458790" xr:uid="{00000000-0002-0000-0A00-00001A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SRG458790 TBC458790 TKY458790 TUU458790 UEQ458790 UOM458790 UYI458790 VIE458790 VSA458790 WBW458790 WLS458790 WVO458790 G524326 JC524326 SY524326 ACU524326 AMQ524326 AWM524326 BGI524326 BQE524326 CAA524326 CJW524326 CTS524326 DDO524326 DNK524326 DXG524326 EHC524326 EQY524326 FAU524326 FKQ524326 FUM524326 GEI524326 GOE524326 GYA524326 HHW524326 HRS524326 IBO524326 ILK524326 IVG524326 JFC524326 JOY524326 JYU524326 KIQ524326 KSM524326 LCI524326 LME524326 LWA524326 MFW524326 MPS524326 MZO524326 NJK524326 NTG524326 ODC524326 OMY524326 OWU524326 PGQ524326 PQM524326 QAI524326 QKE524326 QUA524326 RDW524326 RNS524326 RXO524326 SHK524326 SRG524326 TBC524326 TKY524326 TUU524326 UEQ524326 UOM524326 UYI524326 VIE524326 VSA524326 WBW524326 WLS524326 WVO524326 G589862 JC589862 SY589862 ACU589862 AMQ589862 AWM589862 BGI589862 BQE589862 CAA589862 CJW589862 CTS589862 DDO589862 DNK589862 DXG589862 EHC589862 EQY589862 FAU589862 FKQ589862 FUM589862 GEI589862 GOE589862 GYA589862 HHW589862 HRS589862" xr:uid="{00000000-0002-0000-0A00-00001B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IBO589862 ILK589862 IVG589862 JFC589862 JOY589862 JYU589862 KIQ589862 KSM589862 LCI589862 LME589862 LWA589862 MFW589862 MPS589862 MZO589862 NJK589862 NTG589862 ODC589862 OMY589862 OWU589862 PGQ589862 PQM589862 QAI589862 QKE589862 QUA589862 RDW589862 RNS589862 RXO589862 SHK589862 SRG589862 TBC589862 TKY589862 TUU589862 UEQ589862 UOM589862 UYI589862 VIE589862 VSA589862 WBW589862 WLS589862 WVO589862 G655398 JC655398 SY655398 ACU655398 AMQ655398 AWM655398 BGI655398 BQE655398 CAA655398 CJW655398 CTS655398 DDO655398 DNK655398 DXG655398 EHC655398 EQY655398 FAU655398 FKQ655398 FUM655398 GEI655398 GOE655398 GYA655398 HHW655398 HRS655398 IBO655398 ILK655398 IVG655398 JFC655398 JOY655398 JYU655398 KIQ655398 KSM655398 LCI655398 LME655398 LWA655398 MFW655398 MPS655398 MZO655398 NJK655398 NTG655398 ODC655398 OMY655398 OWU655398 PGQ655398 PQM655398 QAI655398 QKE655398 QUA655398 RDW655398 RNS655398 RXO655398 SHK655398 SRG655398 TBC655398 TKY655398 TUU655398 UEQ655398 UOM655398 UYI655398 VIE655398" xr:uid="{00000000-0002-0000-0A00-00001C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VSA655398 WBW655398 WLS655398 WVO655398 G720934 JC720934 SY720934 ACU720934 AMQ720934 AWM720934 BGI720934 BQE720934 CAA720934 CJW720934 CTS720934 DDO720934 DNK720934 DXG720934 EHC720934 EQY720934 FAU720934 FKQ720934 FUM720934 GEI720934 GOE720934 GYA720934 HHW720934 HRS720934 IBO720934 ILK720934 IVG720934 JFC720934 JOY720934 JYU720934 KIQ720934 KSM720934 LCI720934 LME720934 LWA720934 MFW720934 MPS720934 MZO720934 NJK720934 NTG720934 ODC720934 OMY720934 OWU720934 PGQ720934 PQM720934 QAI720934 QKE720934 QUA720934 RDW720934 RNS720934 RXO720934 SHK720934 SRG720934 TBC720934 TKY720934 TUU720934 UEQ720934 UOM720934 UYI720934 VIE720934 VSA720934 WBW720934 WLS720934 WVO720934 G786470 JC786470 SY786470 ACU786470 AMQ786470 AWM786470 BGI786470 BQE786470 CAA786470 CJW786470 CTS786470 DDO786470 DNK786470 DXG786470 EHC786470 EQY786470 FAU786470 FKQ786470 FUM786470 GEI786470 GOE786470 GYA786470 HHW786470 HRS786470 IBO786470 ILK786470 IVG786470 JFC786470 JOY786470 JYU786470 KIQ786470 KSM786470" xr:uid="{00000000-0002-0000-0A00-00001D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LCI786470 LME786470 LWA786470 MFW786470 MPS786470 MZO786470 NJK786470 NTG786470 ODC786470 OMY786470 OWU786470 PGQ786470 PQM786470 QAI786470 QKE786470 QUA786470 RDW786470 RNS786470 RXO786470 SHK786470 SRG786470 TBC786470 TKY786470 TUU786470 UEQ786470 UOM786470 UYI786470 VIE786470 VSA786470 WBW786470 WLS786470 WVO786470 G852006 JC852006 SY852006 ACU852006 AMQ852006 AWM852006 BGI852006 BQE852006 CAA852006 CJW852006 CTS852006 DDO852006 DNK852006 DXG852006 EHC852006 EQY852006 FAU852006 FKQ852006 FUM852006 GEI852006 GOE852006 GYA852006 HHW852006 HRS852006 IBO852006 ILK852006 IVG852006 JFC852006 JOY852006 JYU852006 KIQ852006 KSM852006 LCI852006 LME852006 LWA852006 MFW852006 MPS852006 MZO852006 NJK852006 NTG852006 ODC852006 OMY852006 OWU852006 PGQ852006 PQM852006 QAI852006 QKE852006 QUA852006 RDW852006 RNS852006 RXO852006 SHK852006 SRG852006 TBC852006 TKY852006 TUU852006 UEQ852006 UOM852006 UYI852006 VIE852006 VSA852006 WBW852006 WLS852006 WVO852006 G917542 JC917542 SY917542 ACU917542" xr:uid="{00000000-0002-0000-0A00-00001E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AMQ917542 AWM917542 BGI917542 BQE917542 CAA917542 CJW917542 CTS917542 DDO917542 DNK917542 DXG917542 EHC917542 EQY917542 FAU917542 FKQ917542 FUM917542 GEI917542 GOE917542 GYA917542 HHW917542 HRS917542 IBO917542 ILK917542 IVG917542 JFC917542 JOY917542 JYU917542 KIQ917542 KSM917542 LCI917542 LME917542 LWA917542 MFW917542 MPS917542 MZO917542 NJK917542 NTG917542 ODC917542 OMY917542 OWU917542 PGQ917542 PQM917542 QAI917542 QKE917542 QUA917542 RDW917542 RNS917542 RXO917542 SHK917542 SRG917542 TBC917542 TKY917542 TUU917542 UEQ917542 UOM917542 UYI917542 VIE917542 VSA917542 WBW917542 WLS917542 WVO917542 G983078 JC983078 SY983078 ACU983078 AMQ983078 AWM983078 BGI983078 BQE983078 CAA983078 CJW983078 CTS983078 DDO983078 DNK983078 DXG983078 EHC983078 EQY983078 FAU983078 FKQ983078 FUM983078 GEI983078 GOE983078 GYA983078 HHW983078 HRS983078 IBO983078 ILK983078 IVG983078 JFC983078 JOY983078 JYU983078 KIQ983078 KSM983078 LCI983078 LME983078 LWA983078 MFW983078 MPS983078 MZO983078 NJK983078 NTG983078" xr:uid="{00000000-0002-0000-0A00-00001F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MY983078 OWU983078 PGQ983078 PQM983078 QAI983078 QKE983078 QUA983078 RDW983078 RNS983078 RXO983078 SHK983078 SRG983078 TBC983078 TKY983078 TUU983078 UEQ983078 UOM983078 UYI983078 VIE983078 VSA983078 WBW983078 WLS983078 WVO983078" xr:uid="{00000000-0002-0000-0A00-000020000000}">
      <formula1>0</formula1>
      <formula2>IZ38-JA38-JB38</formula2>
    </dataValidation>
    <dataValidation type="whole" allowBlank="1" showInputMessage="1" showErrorMessage="1" errorTitle="Input error" error="The amount entered should be rounded to the nearest dollar and should not exceed the remaining ESG Fund balance (column D minus columns E and F)." sqref="JC41 SY41 ACU41 AMQ41 AWM41 BGI41 BQE41 CAA41 CJW41 CTS41 DDO41 DNK41 DXG41 EHC41 EQY41 FAU41 FKQ41 FUM41 GEI41 GOE41 GYA41 HHW41 HRS41 IBO41 ILK41 IVG41 JFC41 JOY41 JYU41 KIQ41 KSM41 LCI41 LME41 LWA41 MFW41 MPS41 MZO41 NJK41 NTG41 ODC41 OMY41 OWU41 PGQ41 PQM41 QAI41 QKE41 QUA41 RDW41 RNS41 RXO41 SHK41 SRG41 TBC41 TKY41 TUU41 UEQ41 UOM41 UYI41 VIE41 VSA41 WBW41 WLS41 WVO41 G65577 JC65577 SY65577 ACU65577 AMQ65577 AWM65577 BGI65577 BQE65577 CAA65577 CJW65577 CTS65577 DDO65577 DNK65577 DXG65577 EHC65577 EQY65577 FAU65577 FKQ65577 FUM65577 GEI65577 GOE65577 GYA65577 HHW65577 HRS65577 IBO65577 ILK65577 IVG65577 JFC65577 JOY65577 JYU65577 KIQ65577 KSM65577 LCI65577 LME65577 LWA65577 MFW65577" xr:uid="{00000000-0002-0000-0A00-000021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MPS65577 MZO65577 NJK65577 NTG65577 ODC65577 OMY65577 OWU65577 PGQ65577 PQM65577 QAI65577 QKE65577 QUA65577 RDW65577 RNS65577 RXO65577 SHK65577 SRG65577 TBC65577 TKY65577 TUU65577 UEQ65577 UOM65577 UYI65577 VIE65577 VSA65577 WBW65577 WLS65577 WVO65577 G131113 JC131113 SY131113 ACU131113 AMQ131113 AWM131113 BGI131113 BQE131113 CAA131113 CJW131113 CTS131113 DDO131113 DNK131113 DXG131113 EHC131113 EQY131113 FAU131113 FKQ131113 FUM131113 GEI131113 GOE131113 GYA131113 HHW131113 HRS131113 IBO131113 ILK131113 IVG131113 JFC131113 JOY131113 JYU131113 KIQ131113 KSM131113 LCI131113 LME131113 LWA131113 MFW131113 MPS131113 MZO131113 NJK131113 NTG131113 ODC131113 OMY131113 OWU131113 PGQ131113 PQM131113 QAI131113 QKE131113 QUA131113 RDW131113 RNS131113 RXO131113 SHK131113 SRG131113 TBC131113 TKY131113 TUU131113 UEQ131113 UOM131113 UYI131113 VIE131113 VSA131113 WBW131113 WLS131113 WVO131113 G196649 JC196649 SY196649 ACU196649 AMQ196649 AWM196649 BGI196649 BQE196649" xr:uid="{00000000-0002-0000-0A00-000022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CAA196649 CJW196649 CTS196649 DDO196649 DNK196649 DXG196649 EHC196649 EQY196649 FAU196649 FKQ196649 FUM196649 GEI196649 GOE196649 GYA196649 HHW196649 HRS196649 IBO196649 ILK196649 IVG196649 JFC196649 JOY196649 JYU196649 KIQ196649 KSM196649 LCI196649 LME196649 LWA196649 MFW196649 MPS196649 MZO196649 NJK196649 NTG196649 ODC196649 OMY196649 OWU196649 PGQ196649 PQM196649 QAI196649 QKE196649 QUA196649 RDW196649 RNS196649 RXO196649 SHK196649 SRG196649 TBC196649 TKY196649 TUU196649 UEQ196649 UOM196649 UYI196649 VIE196649 VSA196649 WBW196649 WLS196649 WVO196649 G262185 JC262185 SY262185 ACU262185 AMQ262185 AWM262185 BGI262185 BQE262185 CAA262185 CJW262185 CTS262185 DDO262185 DNK262185 DXG262185 EHC262185 EQY262185 FAU262185 FKQ262185 FUM262185 GEI262185 GOE262185 GYA262185 HHW262185 HRS262185 IBO262185 ILK262185 IVG262185 JFC262185 JOY262185 JYU262185 KIQ262185 KSM262185 LCI262185 LME262185 LWA262185 MFW262185 MPS262185 MZO262185 NJK262185 NTG262185 ODC262185 OMY262185 OWU262185 PGQ262185" xr:uid="{00000000-0002-0000-0A00-000023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PQM262185 QAI262185 QKE262185 QUA262185 RDW262185 RNS262185 RXO262185 SHK262185 SRG262185 TBC262185 TKY262185 TUU262185 UEQ262185 UOM262185 UYI262185 VIE262185 VSA262185 WBW262185 WLS262185 WVO262185 G327721 JC327721 SY327721 ACU327721 AMQ327721 AWM327721 BGI327721 BQE327721 CAA327721 CJW327721 CTS327721 DDO327721 DNK327721 DXG327721 EHC327721 EQY327721 FAU327721 FKQ327721 FUM327721 GEI327721 GOE327721 GYA327721 HHW327721 HRS327721 IBO327721 ILK327721 IVG327721 JFC327721 JOY327721 JYU327721 KIQ327721 KSM327721 LCI327721 LME327721 LWA327721 MFW327721 MPS327721 MZO327721 NJK327721 NTG327721 ODC327721 OMY327721 OWU327721 PGQ327721 PQM327721 QAI327721 QKE327721 QUA327721 RDW327721 RNS327721 RXO327721 SHK327721 SRG327721 TBC327721 TKY327721 TUU327721 UEQ327721 UOM327721 UYI327721 VIE327721 VSA327721 WBW327721 WLS327721 WVO327721 G393257 JC393257 SY393257 ACU393257 AMQ393257 AWM393257 BGI393257 BQE393257 CAA393257 CJW393257 CTS393257 DDO393257 DNK393257 DXG393257 EHC393257 EQY393257" xr:uid="{00000000-0002-0000-0A00-000024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FAU393257 FKQ393257 FUM393257 GEI393257 GOE393257 GYA393257 HHW393257 HRS393257 IBO393257 ILK393257 IVG393257 JFC393257 JOY393257 JYU393257 KIQ393257 KSM393257 LCI393257 LME393257 LWA393257 MFW393257 MPS393257 MZO393257 NJK393257 NTG393257 ODC393257 OMY393257 OWU393257 PGQ393257 PQM393257 QAI393257 QKE393257 QUA393257 RDW393257 RNS393257 RXO393257 SHK393257 SRG393257 TBC393257 TKY393257 TUU393257 UEQ393257 UOM393257 UYI393257 VIE393257 VSA393257 WBW393257 WLS393257 WVO393257 G458793 JC458793 SY458793 ACU458793 AMQ458793 AWM458793 BGI458793 BQE458793 CAA458793 CJW458793 CTS458793 DDO458793 DNK458793 DXG458793 EHC458793 EQY458793 FAU458793 FKQ458793 FUM458793 GEI458793 GOE458793 GYA458793 HHW458793 HRS458793 IBO458793 ILK458793 IVG458793 JFC458793 JOY458793 JYU458793 KIQ458793 KSM458793 LCI458793 LME458793 LWA458793 MFW458793 MPS458793 MZO458793 NJK458793 NTG458793 ODC458793 OMY458793 OWU458793 PGQ458793 PQM458793 QAI458793 QKE458793 QUA458793 RDW458793 RNS458793 RXO458793 SHK458793" xr:uid="{00000000-0002-0000-0A00-000025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SRG458793 TBC458793 TKY458793 TUU458793 UEQ458793 UOM458793 UYI458793 VIE458793 VSA458793 WBW458793 WLS458793 WVO458793 G524329 JC524329 SY524329 ACU524329 AMQ524329 AWM524329 BGI524329 BQE524329 CAA524329 CJW524329 CTS524329 DDO524329 DNK524329 DXG524329 EHC524329 EQY524329 FAU524329 FKQ524329 FUM524329 GEI524329 GOE524329 GYA524329 HHW524329 HRS524329 IBO524329 ILK524329 IVG524329 JFC524329 JOY524329 JYU524329 KIQ524329 KSM524329 LCI524329 LME524329 LWA524329 MFW524329 MPS524329 MZO524329 NJK524329 NTG524329 ODC524329 OMY524329 OWU524329 PGQ524329 PQM524329 QAI524329 QKE524329 QUA524329 RDW524329 RNS524329 RXO524329 SHK524329 SRG524329 TBC524329 TKY524329 TUU524329 UEQ524329 UOM524329 UYI524329 VIE524329 VSA524329 WBW524329 WLS524329 WVO524329 G589865 JC589865 SY589865 ACU589865 AMQ589865 AWM589865 BGI589865 BQE589865 CAA589865 CJW589865 CTS589865 DDO589865 DNK589865 DXG589865 EHC589865 EQY589865 FAU589865 FKQ589865 FUM589865 GEI589865 GOE589865 GYA589865 HHW589865 HRS589865" xr:uid="{00000000-0002-0000-0A00-000026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IBO589865 ILK589865 IVG589865 JFC589865 JOY589865 JYU589865 KIQ589865 KSM589865 LCI589865 LME589865 LWA589865 MFW589865 MPS589865 MZO589865 NJK589865 NTG589865 ODC589865 OMY589865 OWU589865 PGQ589865 PQM589865 QAI589865 QKE589865 QUA589865 RDW589865 RNS589865 RXO589865 SHK589865 SRG589865 TBC589865 TKY589865 TUU589865 UEQ589865 UOM589865 UYI589865 VIE589865 VSA589865 WBW589865 WLS589865 WVO589865 G655401 JC655401 SY655401 ACU655401 AMQ655401 AWM655401 BGI655401 BQE655401 CAA655401 CJW655401 CTS655401 DDO655401 DNK655401 DXG655401 EHC655401 EQY655401 FAU655401 FKQ655401 FUM655401 GEI655401 GOE655401 GYA655401 HHW655401 HRS655401 IBO655401 ILK655401 IVG655401 JFC655401 JOY655401 JYU655401 KIQ655401 KSM655401 LCI655401 LME655401 LWA655401 MFW655401 MPS655401 MZO655401 NJK655401 NTG655401 ODC655401 OMY655401 OWU655401 PGQ655401 PQM655401 QAI655401 QKE655401 QUA655401 RDW655401 RNS655401 RXO655401 SHK655401 SRG655401 TBC655401 TKY655401 TUU655401 UEQ655401 UOM655401 UYI655401 VIE655401" xr:uid="{00000000-0002-0000-0A00-000027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VSA655401 WBW655401 WLS655401 WVO655401 G720937 JC720937 SY720937 ACU720937 AMQ720937 AWM720937 BGI720937 BQE720937 CAA720937 CJW720937 CTS720937 DDO720937 DNK720937 DXG720937 EHC720937 EQY720937 FAU720937 FKQ720937 FUM720937 GEI720937 GOE720937 GYA720937 HHW720937 HRS720937 IBO720937 ILK720937 IVG720937 JFC720937 JOY720937 JYU720937 KIQ720937 KSM720937 LCI720937 LME720937 LWA720937 MFW720937 MPS720937 MZO720937 NJK720937 NTG720937 ODC720937 OMY720937 OWU720937 PGQ720937 PQM720937 QAI720937 QKE720937 QUA720937 RDW720937 RNS720937 RXO720937 SHK720937 SRG720937 TBC720937 TKY720937 TUU720937 UEQ720937 UOM720937 UYI720937 VIE720937 VSA720937 WBW720937 WLS720937 WVO720937 G786473 JC786473 SY786473 ACU786473 AMQ786473 AWM786473 BGI786473 BQE786473 CAA786473 CJW786473 CTS786473 DDO786473 DNK786473 DXG786473 EHC786473 EQY786473 FAU786473 FKQ786473 FUM786473 GEI786473 GOE786473 GYA786473 HHW786473 HRS786473 IBO786473 ILK786473 IVG786473 JFC786473 JOY786473 JYU786473 KIQ786473 KSM786473" xr:uid="{00000000-0002-0000-0A00-000028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LCI786473 LME786473 LWA786473 MFW786473 MPS786473 MZO786473 NJK786473 NTG786473 ODC786473 OMY786473 OWU786473 PGQ786473 PQM786473 QAI786473 QKE786473 QUA786473 RDW786473 RNS786473 RXO786473 SHK786473 SRG786473 TBC786473 TKY786473 TUU786473 UEQ786473 UOM786473 UYI786473 VIE786473 VSA786473 WBW786473 WLS786473 WVO786473 G852009 JC852009 SY852009 ACU852009 AMQ852009 AWM852009 BGI852009 BQE852009 CAA852009 CJW852009 CTS852009 DDO852009 DNK852009 DXG852009 EHC852009 EQY852009 FAU852009 FKQ852009 FUM852009 GEI852009 GOE852009 GYA852009 HHW852009 HRS852009 IBO852009 ILK852009 IVG852009 JFC852009 JOY852009 JYU852009 KIQ852009 KSM852009 LCI852009 LME852009 LWA852009 MFW852009 MPS852009 MZO852009 NJK852009 NTG852009 ODC852009 OMY852009 OWU852009 PGQ852009 PQM852009 QAI852009 QKE852009 QUA852009 RDW852009 RNS852009 RXO852009 SHK852009 SRG852009 TBC852009 TKY852009 TUU852009 UEQ852009 UOM852009 UYI852009 VIE852009 VSA852009 WBW852009 WLS852009 WVO852009 G917545 JC917545 SY917545 ACU917545" xr:uid="{00000000-0002-0000-0A00-000029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AMQ917545 AWM917545 BGI917545 BQE917545 CAA917545 CJW917545 CTS917545 DDO917545 DNK917545 DXG917545 EHC917545 EQY917545 FAU917545 FKQ917545 FUM917545 GEI917545 GOE917545 GYA917545 HHW917545 HRS917545 IBO917545 ILK917545 IVG917545 JFC917545 JOY917545 JYU917545 KIQ917545 KSM917545 LCI917545 LME917545 LWA917545 MFW917545 MPS917545 MZO917545 NJK917545 NTG917545 ODC917545 OMY917545 OWU917545 PGQ917545 PQM917545 QAI917545 QKE917545 QUA917545 RDW917545 RNS917545 RXO917545 SHK917545 SRG917545 TBC917545 TKY917545 TUU917545 UEQ917545 UOM917545 UYI917545 VIE917545 VSA917545 WBW917545 WLS917545 WVO917545 G983081 JC983081 SY983081 ACU983081 AMQ983081 AWM983081 BGI983081 BQE983081 CAA983081 CJW983081 CTS983081 DDO983081 DNK983081 DXG983081 EHC983081 EQY983081 FAU983081 FKQ983081 FUM983081 GEI983081 GOE983081 GYA983081 HHW983081 HRS983081 IBO983081 ILK983081 IVG983081 JFC983081 JOY983081 JYU983081 KIQ983081 KSM983081 LCI983081 LME983081 LWA983081 MFW983081 MPS983081 MZO983081 NJK983081 NTG983081" xr:uid="{00000000-0002-0000-0A00-00002A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OMY983081 OWU983081 PGQ983081 PQM983081 QAI983081 QKE983081 QUA983081 RDW983081 RNS983081 RXO983081 SHK983081 SRG983081 TBC983081 TKY983081 TUU983081 UEQ983081 UOM983081 UYI983081 VIE983081 VSA983081 WBW983081 WLS983081 WVO983081" xr:uid="{00000000-0002-0000-0A00-00002B000000}">
      <formula1>0</formula1>
      <formula2>IZ41-JA41-JB41</formula2>
    </dataValidation>
    <dataValidation type="whole" allowBlank="1" showInputMessage="1" showErrorMessage="1" errorTitle="Input error" error="The amount entered should be rounded to the nearest dollar and should not exceed the remaining GEER fund balance (column D minus columns E and F)." sqref="JD40 SZ40 ACV40 AMR40 AWN40 BGJ40 BQF40 CAB40 CJX40 CTT40 DDP40 DNL40 DXH40 EHD40 EQZ40 FAV40 FKR40 FUN40 GEJ40 GOF40 GYB40 HHX40 HRT40 IBP40 ILL40 IVH40 JFD40 JOZ40 JYV40 KIR40 KSN40 LCJ40 LMF40 LWB40 MFX40 MPT40 MZP40 NJL40 NTH40 ODD40 OMZ40 OWV40 PGR40 PQN40 QAJ40 QKF40 QUB40 RDX40 RNT40 RXP40 SHL40 SRH40 TBD40 TKZ40 TUV40 UER40 UON40 UYJ40 VIF40 VSB40 WBX40 WLT40 WVP40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xr:uid="{00000000-0002-0000-0A00-00002C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xr:uid="{00000000-0002-0000-0A00-00002D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xr:uid="{00000000-0002-0000-0A00-00002E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xr:uid="{00000000-0002-0000-0A00-00002F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xr:uid="{00000000-0002-0000-0A00-000030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xr:uid="{00000000-0002-0000-0A00-000031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xr:uid="{00000000-0002-0000-0A00-000032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xr:uid="{00000000-0002-0000-0A00-000033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xr:uid="{00000000-0002-0000-0A00-000034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xr:uid="{00000000-0002-0000-0A00-000035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OMY983080 OWU983080 PGQ983080 PQM983080 QAI983080 QKE983080 QUA983080 RDW983080 RNS983080 RXO983080 SHK983080 SRG983080 TBC983080 TKY983080 TUU983080 UEQ983080 UOM983080 UYI983080 VIE983080 VSA983080 WBW983080 WLS983080 WVO983080" xr:uid="{00000000-0002-0000-0A00-000036000000}">
      <formula1>0</formula1>
      <formula2>IZ40-JA40-JB40</formula2>
    </dataValidation>
    <dataValidation type="whole" allowBlank="1" showInputMessage="1" showErrorMessage="1" errorTitle="Input error" error="The amount entered should be rounded to the nearest dollar and should not exceed the remaining ESSER III fund balance (column D minus columns E and F)." sqref="JD39 SZ39 ACV39 AMR39 AWN39 BGJ39 BQF39 CAB39 CJX39 CTT39 DDP39 DNL39 DXH39 EHD39 EQZ39 FAV39 FKR39 FUN39 GEJ39 GOF39 GYB39 HHX39 HRT39 IBP39 ILL39 IVH39 JFD39 JOZ39 JYV39 KIR39 KSN39 LCJ39 LMF39 LWB39 MFX39 MPT39 MZP39 NJL39 NTH39 ODD39 OMZ39 OWV39 PGR39 PQN39 QAJ39 QKF39 QUB39 RDX39 RNT39 RXP39 SHL39 SRH39 TBD39 TKZ39 TUV39 UER39 UON39 UYJ39 VIF39 VSB39 WBX39 WLT39 WVP39 G65575 JC65575 SY65575 ACU65575 AMQ65575 AWM65575 BGI65575 BQE65575 CAA65575 CJW65575 CTS65575 DDO65575 DNK65575 DXG65575 EHC65575 EQY65575 FAU65575 FKQ65575 FUM65575 GEI65575 GOE65575 GYA65575 HHW65575 HRS65575 IBO65575 ILK65575 IVG65575 JFC65575 JOY65575 JYU65575 KIQ65575 KSM65575 LCI65575 LME65575 LWA65575 MFW65575" xr:uid="{00000000-0002-0000-0A00-000037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MPS65575 MZO65575 NJK65575 NTG65575 ODC65575 OMY65575 OWU65575 PGQ65575 PQM65575 QAI65575 QKE65575 QUA65575 RDW65575 RNS65575 RXO65575 SHK65575 SRG65575 TBC65575 TKY65575 TUU65575 UEQ65575 UOM65575 UYI65575 VIE65575 VSA65575 WBW65575 WLS65575 WVO65575 G131111 JC131111 SY131111 ACU131111 AMQ131111 AWM131111 BGI131111 BQE131111 CAA131111 CJW131111 CTS131111 DDO131111 DNK131111 DXG131111 EHC131111 EQY131111 FAU131111 FKQ131111 FUM131111 GEI131111 GOE131111 GYA131111 HHW131111 HRS131111 IBO131111 ILK131111 IVG131111 JFC131111 JOY131111 JYU131111 KIQ131111 KSM131111 LCI131111 LME131111 LWA131111 MFW131111 MPS131111 MZO131111 NJK131111 NTG131111 ODC131111 OMY131111 OWU131111 PGQ131111 PQM131111 QAI131111 QKE131111 QUA131111 RDW131111 RNS131111 RXO131111 SHK131111 SRG131111 TBC131111 TKY131111 TUU131111 UEQ131111 UOM131111 UYI131111 VIE131111 VSA131111 WBW131111 WLS131111 WVO131111 G196647 JC196647 SY196647 ACU196647 AMQ196647 AWM196647 BGI196647 BQE196647" xr:uid="{00000000-0002-0000-0A00-000038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CAA196647 CJW196647 CTS196647 DDO196647 DNK196647 DXG196647 EHC196647 EQY196647 FAU196647 FKQ196647 FUM196647 GEI196647 GOE196647 GYA196647 HHW196647 HRS196647 IBO196647 ILK196647 IVG196647 JFC196647 JOY196647 JYU196647 KIQ196647 KSM196647 LCI196647 LME196647 LWA196647 MFW196647 MPS196647 MZO196647 NJK196647 NTG196647 ODC196647 OMY196647 OWU196647 PGQ196647 PQM196647 QAI196647 QKE196647 QUA196647 RDW196647 RNS196647 RXO196647 SHK196647 SRG196647 TBC196647 TKY196647 TUU196647 UEQ196647 UOM196647 UYI196647 VIE196647 VSA196647 WBW196647 WLS196647 WVO196647 G262183 JC262183 SY262183 ACU262183 AMQ262183 AWM262183 BGI262183 BQE262183 CAA262183 CJW262183 CTS262183 DDO262183 DNK262183 DXG262183 EHC262183 EQY262183 FAU262183 FKQ262183 FUM262183 GEI262183 GOE262183 GYA262183 HHW262183 HRS262183 IBO262183 ILK262183 IVG262183 JFC262183 JOY262183 JYU262183 KIQ262183 KSM262183 LCI262183 LME262183 LWA262183 MFW262183 MPS262183 MZO262183 NJK262183 NTG262183 ODC262183 OMY262183 OWU262183 PGQ262183" xr:uid="{00000000-0002-0000-0A00-000039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PQM262183 QAI262183 QKE262183 QUA262183 RDW262183 RNS262183 RXO262183 SHK262183 SRG262183 TBC262183 TKY262183 TUU262183 UEQ262183 UOM262183 UYI262183 VIE262183 VSA262183 WBW262183 WLS262183 WVO262183 G327719 JC327719 SY327719 ACU327719 AMQ327719 AWM327719 BGI327719 BQE327719 CAA327719 CJW327719 CTS327719 DDO327719 DNK327719 DXG327719 EHC327719 EQY327719 FAU327719 FKQ327719 FUM327719 GEI327719 GOE327719 GYA327719 HHW327719 HRS327719 IBO327719 ILK327719 IVG327719 JFC327719 JOY327719 JYU327719 KIQ327719 KSM327719 LCI327719 LME327719 LWA327719 MFW327719 MPS327719 MZO327719 NJK327719 NTG327719 ODC327719 OMY327719 OWU327719 PGQ327719 PQM327719 QAI327719 QKE327719 QUA327719 RDW327719 RNS327719 RXO327719 SHK327719 SRG327719 TBC327719 TKY327719 TUU327719 UEQ327719 UOM327719 UYI327719 VIE327719 VSA327719 WBW327719 WLS327719 WVO327719 G393255 JC393255 SY393255 ACU393255 AMQ393255 AWM393255 BGI393255 BQE393255 CAA393255 CJW393255 CTS393255 DDO393255 DNK393255 DXG393255 EHC393255 EQY393255" xr:uid="{00000000-0002-0000-0A00-00003A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FAU393255 FKQ393255 FUM393255 GEI393255 GOE393255 GYA393255 HHW393255 HRS393255 IBO393255 ILK393255 IVG393255 JFC393255 JOY393255 JYU393255 KIQ393255 KSM393255 LCI393255 LME393255 LWA393255 MFW393255 MPS393255 MZO393255 NJK393255 NTG393255 ODC393255 OMY393255 OWU393255 PGQ393255 PQM393255 QAI393255 QKE393255 QUA393255 RDW393255 RNS393255 RXO393255 SHK393255 SRG393255 TBC393255 TKY393255 TUU393255 UEQ393255 UOM393255 UYI393255 VIE393255 VSA393255 WBW393255 WLS393255 WVO393255 G458791 JC458791 SY458791 ACU458791 AMQ458791 AWM458791 BGI458791 BQE458791 CAA458791 CJW458791 CTS458791 DDO458791 DNK458791 DXG458791 EHC458791 EQY458791 FAU458791 FKQ458791 FUM458791 GEI458791 GOE458791 GYA458791 HHW458791 HRS458791 IBO458791 ILK458791 IVG458791 JFC458791 JOY458791 JYU458791 KIQ458791 KSM458791 LCI458791 LME458791 LWA458791 MFW458791 MPS458791 MZO458791 NJK458791 NTG458791 ODC458791 OMY458791 OWU458791 PGQ458791 PQM458791 QAI458791 QKE458791 QUA458791 RDW458791 RNS458791 RXO458791 SHK458791" xr:uid="{00000000-0002-0000-0A00-00003B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SRG458791 TBC458791 TKY458791 TUU458791 UEQ458791 UOM458791 UYI458791 VIE458791 VSA458791 WBW458791 WLS458791 WVO458791 G524327 JC524327 SY524327 ACU524327 AMQ524327 AWM524327 BGI524327 BQE524327 CAA524327 CJW524327 CTS524327 DDO524327 DNK524327 DXG524327 EHC524327 EQY524327 FAU524327 FKQ524327 FUM524327 GEI524327 GOE524327 GYA524327 HHW524327 HRS524327 IBO524327 ILK524327 IVG524327 JFC524327 JOY524327 JYU524327 KIQ524327 KSM524327 LCI524327 LME524327 LWA524327 MFW524327 MPS524327 MZO524327 NJK524327 NTG524327 ODC524327 OMY524327 OWU524327 PGQ524327 PQM524327 QAI524327 QKE524327 QUA524327 RDW524327 RNS524327 RXO524327 SHK524327 SRG524327 TBC524327 TKY524327 TUU524327 UEQ524327 UOM524327 UYI524327 VIE524327 VSA524327 WBW524327 WLS524327 WVO524327 G589863 JC589863 SY589863 ACU589863 AMQ589863 AWM589863 BGI589863 BQE589863 CAA589863 CJW589863 CTS589863 DDO589863 DNK589863 DXG589863 EHC589863 EQY589863 FAU589863 FKQ589863 FUM589863 GEI589863 GOE589863 GYA589863 HHW589863 HRS589863" xr:uid="{00000000-0002-0000-0A00-00003C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IBO589863 ILK589863 IVG589863 JFC589863 JOY589863 JYU589863 KIQ589863 KSM589863 LCI589863 LME589863 LWA589863 MFW589863 MPS589863 MZO589863 NJK589863 NTG589863 ODC589863 OMY589863 OWU589863 PGQ589863 PQM589863 QAI589863 QKE589863 QUA589863 RDW589863 RNS589863 RXO589863 SHK589863 SRG589863 TBC589863 TKY589863 TUU589863 UEQ589863 UOM589863 UYI589863 VIE589863 VSA589863 WBW589863 WLS589863 WVO589863 G655399 JC655399 SY655399 ACU655399 AMQ655399 AWM655399 BGI655399 BQE655399 CAA655399 CJW655399 CTS655399 DDO655399 DNK655399 DXG655399 EHC655399 EQY655399 FAU655399 FKQ655399 FUM655399 GEI655399 GOE655399 GYA655399 HHW655399 HRS655399 IBO655399 ILK655399 IVG655399 JFC655399 JOY655399 JYU655399 KIQ655399 KSM655399 LCI655399 LME655399 LWA655399 MFW655399 MPS655399 MZO655399 NJK655399 NTG655399 ODC655399 OMY655399 OWU655399 PGQ655399 PQM655399 QAI655399 QKE655399 QUA655399 RDW655399 RNS655399 RXO655399 SHK655399 SRG655399 TBC655399 TKY655399 TUU655399 UEQ655399 UOM655399 UYI655399 VIE655399" xr:uid="{00000000-0002-0000-0A00-00003D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VSA655399 WBW655399 WLS655399 WVO655399 G720935 JC720935 SY720935 ACU720935 AMQ720935 AWM720935 BGI720935 BQE720935 CAA720935 CJW720935 CTS720935 DDO720935 DNK720935 DXG720935 EHC720935 EQY720935 FAU720935 FKQ720935 FUM720935 GEI720935 GOE720935 GYA720935 HHW720935 HRS720935 IBO720935 ILK720935 IVG720935 JFC720935 JOY720935 JYU720935 KIQ720935 KSM720935 LCI720935 LME720935 LWA720935 MFW720935 MPS720935 MZO720935 NJK720935 NTG720935 ODC720935 OMY720935 OWU720935 PGQ720935 PQM720935 QAI720935 QKE720935 QUA720935 RDW720935 RNS720935 RXO720935 SHK720935 SRG720935 TBC720935 TKY720935 TUU720935 UEQ720935 UOM720935 UYI720935 VIE720935 VSA720935 WBW720935 WLS720935 WVO720935 G786471 JC786471 SY786471 ACU786471 AMQ786471 AWM786471 BGI786471 BQE786471 CAA786471 CJW786471 CTS786471 DDO786471 DNK786471 DXG786471 EHC786471 EQY786471 FAU786471 FKQ786471 FUM786471 GEI786471 GOE786471 GYA786471 HHW786471 HRS786471 IBO786471 ILK786471 IVG786471 JFC786471 JOY786471 JYU786471 KIQ786471 KSM786471" xr:uid="{00000000-0002-0000-0A00-00003E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LCI786471 LME786471 LWA786471 MFW786471 MPS786471 MZO786471 NJK786471 NTG786471 ODC786471 OMY786471 OWU786471 PGQ786471 PQM786471 QAI786471 QKE786471 QUA786471 RDW786471 RNS786471 RXO786471 SHK786471 SRG786471 TBC786471 TKY786471 TUU786471 UEQ786471 UOM786471 UYI786471 VIE786471 VSA786471 WBW786471 WLS786471 WVO786471 G852007 JC852007 SY852007 ACU852007 AMQ852007 AWM852007 BGI852007 BQE852007 CAA852007 CJW852007 CTS852007 DDO852007 DNK852007 DXG852007 EHC852007 EQY852007 FAU852007 FKQ852007 FUM852007 GEI852007 GOE852007 GYA852007 HHW852007 HRS852007 IBO852007 ILK852007 IVG852007 JFC852007 JOY852007 JYU852007 KIQ852007 KSM852007 LCI852007 LME852007 LWA852007 MFW852007 MPS852007 MZO852007 NJK852007 NTG852007 ODC852007 OMY852007 OWU852007 PGQ852007 PQM852007 QAI852007 QKE852007 QUA852007 RDW852007 RNS852007 RXO852007 SHK852007 SRG852007 TBC852007 TKY852007 TUU852007 UEQ852007 UOM852007 UYI852007 VIE852007 VSA852007 WBW852007 WLS852007 WVO852007 G917543 JC917543 SY917543 ACU917543" xr:uid="{00000000-0002-0000-0A00-00003F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AMQ917543 AWM917543 BGI917543 BQE917543 CAA917543 CJW917543 CTS917543 DDO917543 DNK917543 DXG917543 EHC917543 EQY917543 FAU917543 FKQ917543 FUM917543 GEI917543 GOE917543 GYA917543 HHW917543 HRS917543 IBO917543 ILK917543 IVG917543 JFC917543 JOY917543 JYU917543 KIQ917543 KSM917543 LCI917543 LME917543 LWA917543 MFW917543 MPS917543 MZO917543 NJK917543 NTG917543 ODC917543 OMY917543 OWU917543 PGQ917543 PQM917543 QAI917543 QKE917543 QUA917543 RDW917543 RNS917543 RXO917543 SHK917543 SRG917543 TBC917543 TKY917543 TUU917543 UEQ917543 UOM917543 UYI917543 VIE917543 VSA917543 WBW917543 WLS917543 WVO917543 G983079 JC983079 SY983079 ACU983079 AMQ983079 AWM983079 BGI983079 BQE983079 CAA983079 CJW983079 CTS983079 DDO983079 DNK983079 DXG983079 EHC983079 EQY983079 FAU983079 FKQ983079 FUM983079 GEI983079 GOE983079 GYA983079 HHW983079 HRS983079 IBO983079 ILK983079 IVG983079 JFC983079 JOY983079 JYU983079 KIQ983079 KSM983079 LCI983079 LME983079 LWA983079 MFW983079 MPS983079 MZO983079 NJK983079 NTG983079" xr:uid="{00000000-0002-0000-0A00-000040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MY983079 OWU983079 PGQ983079 PQM983079 QAI983079 QKE983079 QUA983079 RDW983079 RNS983079 RXO983079 SHK983079 SRG983079 TBC983079 TKY983079 TUU983079 UEQ983079 UOM983079 UYI983079 VIE983079 VSA983079 WBW983079 WLS983079 WVO983079" xr:uid="{00000000-0002-0000-0A00-000041000000}">
      <formula1>0</formula1>
      <formula2>IZ39-JA39-JB39</formula2>
    </dataValidation>
    <dataValidation type="whole" allowBlank="1" showInputMessage="1" showErrorMessage="1" errorTitle="Input error" error="The amount entered should be rounded to the nearest dollar and should not exceed the remaining ESSER III fund balance (column D minus column E)." sqref="MFV65575 JC39 SY39 ACU39 AMQ39 AWM39 BGI39 BQE39 CAA39 CJW39 CTS39 DDO39 DNK39 DXG39 EHC39 EQY39 FAU39 FKQ39 FUM39 GEI39 GOE39 GYA39 HHW39 HRS39 IBO39 ILK39 IVG39 JFC39 JOY39 JYU39 KIQ39 KSM39 LCI39 LME39 LWA39 MFW39 MPS39 MZO39 NJK39 NTG39 ODC39 OMY39 OWU39 PGQ39 PQM39 QAI39 QKE39 QUA39 RDW39 RNS39 RXO39 SHK39 SRG39 TBC39 TKY39 TUU39 UEQ39 UOM39 UYI39 VIE39 VSA39 WBW39 WLS39 WVO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xr:uid="{00000000-0002-0000-0A00-000042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xr:uid="{00000000-0002-0000-0A00-000043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xr:uid="{00000000-0002-0000-0A00-000044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xr:uid="{00000000-0002-0000-0A00-000045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xr:uid="{00000000-0002-0000-0A00-000046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xr:uid="{00000000-0002-0000-0A00-000047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xr:uid="{00000000-0002-0000-0A00-000048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xr:uid="{00000000-0002-0000-0A00-000049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xr:uid="{00000000-0002-0000-0A00-00004A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xr:uid="{00000000-0002-0000-0A00-00004B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ODB983079 OMX983079 OWT983079 PGP983079 PQL983079 QAH983079 QKD983079 QTZ983079 RDV983079 RNR983079 RXN983079 SHJ983079 SRF983079 TBB983079 TKX983079 TUT983079 UEP983079 UOL983079 UYH983079 VID983079 VRZ983079 WBV983079 WLR983079 WVN983079" xr:uid="{00000000-0002-0000-0A00-00004C000000}">
      <formula1>0</formula1>
      <formula2>D39-E39</formula2>
    </dataValidation>
    <dataValidation type="whole" allowBlank="1" showInputMessage="1" showErrorMessage="1" errorTitle="Input error" error="The amount entered should be rounded to the nearest dollar and should not exceed the remaining GEER fund balance (column D minus column E)." sqref="MFV65576 JC40 SY40 ACU40 AMQ40 AWM40 BGI40 BQE40 CAA40 CJW40 CTS40 DDO40 DNK40 DXG40 EHC40 EQY40 FAU40 FKQ40 FUM40 GEI40 GOE40 GYA40 HHW40 HRS40 IBO40 ILK40 IVG40 JFC40 JOY40 JYU40 KIQ40 KSM40 LCI40 LME40 LWA40 MFW40 MPS40 MZO40 NJK40 NTG40 ODC40 OMY40 OWU40 PGQ40 PQM40 QAI40 QKE40 QUA40 RDW40 RNS40 RXO40 SHK40 SRG40 TBC40 TKY40 TUU40 UEQ40 UOM40 UYI40 VIE40 VSA40 WBW40 WLS40 WVO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xr:uid="{00000000-0002-0000-0A00-00004D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xr:uid="{00000000-0002-0000-0A00-00004E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xr:uid="{00000000-0002-0000-0A00-00004F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xr:uid="{00000000-0002-0000-0A00-000050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xr:uid="{00000000-0002-0000-0A00-000051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xr:uid="{00000000-0002-0000-0A00-000052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xr:uid="{00000000-0002-0000-0A00-000053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xr:uid="{00000000-0002-0000-0A00-000054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xr:uid="{00000000-0002-0000-0A00-000055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xr:uid="{00000000-0002-0000-0A00-000056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ODB983080 OMX983080 OWT983080 PGP983080 PQL983080 QAH983080 QKD983080 QTZ983080 RDV983080 RNR983080 RXN983080 SHJ983080 SRF983080 TBB983080 TKX983080 TUT983080 UEP983080 UOL983080 UYH983080 VID983080 VRZ983080 WBV983080 WLR983080 WVN983080" xr:uid="{00000000-0002-0000-0A00-000057000000}">
      <formula1>0</formula1>
      <formula2>D40-E40</formula2>
    </dataValidation>
    <dataValidation type="whole" allowBlank="1" showInputMessage="1" showErrorMessage="1" errorTitle="Input error" error="The amount entered should be rounded to the nearest dollar and should not exceed the remaining ESG Fund balance (column D minus column E)." sqref="MFV65577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xr:uid="{00000000-0002-0000-0A00-000058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xr:uid="{00000000-0002-0000-0A00-00005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xr:uid="{00000000-0002-0000-0A00-00005A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xr:uid="{00000000-0002-0000-0A00-00005B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xr:uid="{00000000-0002-0000-0A00-00005C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xr:uid="{00000000-0002-0000-0A00-00005D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xr:uid="{00000000-0002-0000-0A00-00005E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xr:uid="{00000000-0002-0000-0A00-00005F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xr:uid="{00000000-0002-0000-0A00-000060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xr:uid="{00000000-0002-0000-0A00-000061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ODB983081 OMX983081 OWT983081 PGP983081 PQL983081 QAH983081 QKD983081 QTZ983081 RDV983081 RNR983081 RXN983081 SHJ983081 SRF983081 TBB983081 TKX983081 TUT983081 UEP983081 UOL983081 UYH983081 VID983081 VRZ983081 WBV983081 WLR983081 WVN983081" xr:uid="{00000000-0002-0000-0A00-000062000000}">
      <formula1>0</formula1>
      <formula2>D41-E41</formula2>
    </dataValidation>
    <dataValidation type="whole" allowBlank="1" showInputMessage="1" showErrorMessage="1" errorTitle="Input error" error="The amount entered should be rounded to the nearest dollar and should not exceed the remaining ESSER II fund balance (column D minus column E)." sqref="MFV65574 JC38 SY38 ACU38 AMQ38 AWM38 BGI38 BQE38 CAA38 CJW38 CTS38 DDO38 DNK38 DXG38 EHC38 EQY38 FAU38 FKQ38 FUM38 GEI38 GOE38 GYA38 HHW38 HRS38 IBO38 ILK38 IVG38 JFC38 JOY38 JYU38 KIQ38 KSM38 LCI38 LME38 LWA38 MFW38 MPS38 MZO38 NJK38 NTG38 ODC38 OMY38 OWU38 PGQ38 PQM38 QAI38 QKE38 QUA38 RDW38 RNS38 RXO38 SHK38 SRG38 TBC38 TKY38 TUU38 UEQ38 UOM38 UYI38 VIE38 VSA38 WBW38 WLS38 WVO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xr:uid="{00000000-0002-0000-0A00-000063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xr:uid="{00000000-0002-0000-0A00-000064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xr:uid="{00000000-0002-0000-0A00-000065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xr:uid="{00000000-0002-0000-0A00-000066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xr:uid="{00000000-0002-0000-0A00-00006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xr:uid="{00000000-0002-0000-0A00-000068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xr:uid="{00000000-0002-0000-0A00-000069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xr:uid="{00000000-0002-0000-0A00-00006A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xr:uid="{00000000-0002-0000-0A00-00006B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xr:uid="{00000000-0002-0000-0A00-00006C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ODB983078 OMX983078 OWT983078 PGP983078 PQL983078 QAH983078 QKD983078 QTZ983078 RDV983078 RNR983078 RXN983078 SHJ983078 SRF983078 TBB983078 TKX983078 TUT983078 UEP983078 UOL983078 UYH983078 VID983078 VRZ983078 WBV983078 WLR983078 WVN983078" xr:uid="{00000000-0002-0000-0A00-00006D000000}">
      <formula1>0</formula1>
      <formula2>D38-E38</formula2>
    </dataValidation>
    <dataValidation type="whole" allowBlank="1" showInputMessage="1" showErrorMessage="1" errorTitle="Input error" error="The amount entered should be rounded to the nearest dollar and should not exceed the remaining ESSER I fund balance (column D minus column E)." sqref="MFV65573 JC37 SY37 ACU37 AMQ37 AWM37 BGI37 BQE37 CAA37 CJW37 CTS37 DDO37 DNK37 DXG37 EHC37 EQY37 FAU37 FKQ37 FUM37 GEI37 GOE37 GYA37 HHW37 HRS37 IBO37 ILK37 IVG37 JFC37 JOY37 JYU37 KIQ37 KSM37 LCI37 LME37 LWA37 MFW37 MPS37 MZO37 NJK37 NTG37 ODC37 OMY37 OWU37 PGQ37 PQM37 QAI37 QKE37 QUA37 RDW37 RNS37 RXO37 SHK37 SRG37 TBC37 TKY37 TUU37 UEQ37 UOM37 UYI37 VIE37 VSA37 WBW37 WLS37 WVO37 F65573 JB65573 SX65573 ACT65573 AMP65573 AWL65573 BGH65573 BQD65573 BZZ65573 CJV65573 CTR65573 DDN65573 DNJ65573 DXF65573 EHB65573 EQX65573 FAT65573 FKP65573 FUL65573 GEH65573 GOD65573 GXZ65573 HHV65573 HRR65573 IBN65573 ILJ65573 IVF65573 JFB65573 JOX65573 JYT65573 KIP65573 KSL65573 LCH65573 LMD65573 LVZ65573" xr:uid="{00000000-0002-0000-0A00-00006E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MPR65573 MZN65573 NJJ65573 NTF65573 ODB65573 OMX65573 OWT65573 PGP65573 PQL65573 QAH65573 QKD65573 QTZ65573 RDV65573 RNR65573 RXN65573 SHJ65573 SRF65573 TBB65573 TKX65573 TUT65573 UEP65573 UOL65573 UYH65573 VID65573 VRZ65573 WBV65573 WLR65573 WVN65573 F131109 JB131109 SX131109 ACT131109 AMP131109 AWL131109 BGH131109 BQD131109 BZZ131109 CJV131109 CTR131109 DDN131109 DNJ131109 DXF131109 EHB131109 EQX131109 FAT131109 FKP131109 FUL131109 GEH131109 GOD131109 GXZ131109 HHV131109 HRR131109 IBN131109 ILJ131109 IVF131109 JFB131109 JOX131109 JYT131109 KIP131109 KSL131109 LCH131109 LMD131109 LVZ131109 MFV131109 MPR131109 MZN131109 NJJ131109 NTF131109 ODB131109 OMX131109 OWT131109 PGP131109 PQL131109 QAH131109 QKD131109 QTZ131109 RDV131109 RNR131109 RXN131109 SHJ131109 SRF131109 TBB131109 TKX131109 TUT131109 UEP131109 UOL131109 UYH131109 VID131109 VRZ131109 WBV131109 WLR131109 WVN131109 F196645 JB196645 SX196645 ACT196645 AMP196645 AWL196645 BGH196645 BQD196645" xr:uid="{00000000-0002-0000-0A00-00006F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BZZ196645 CJV196645 CTR196645 DDN196645 DNJ196645 DXF196645 EHB196645 EQX196645 FAT196645 FKP196645 FUL196645 GEH196645 GOD196645 GXZ196645 HHV196645 HRR196645 IBN196645 ILJ196645 IVF196645 JFB196645 JOX196645 JYT196645 KIP196645 KSL196645 LCH196645 LMD196645 LVZ196645 MFV196645 MPR196645 MZN196645 NJJ196645 NTF196645 ODB196645 OMX196645 OWT196645 PGP196645 PQL196645 QAH196645 QKD196645 QTZ196645 RDV196645 RNR196645 RXN196645 SHJ196645 SRF196645 TBB196645 TKX196645 TUT196645 UEP196645 UOL196645 UYH196645 VID196645 VRZ196645 WBV196645 WLR196645 WVN196645 F262181 JB262181 SX262181 ACT262181 AMP262181 AWL262181 BGH262181 BQD262181 BZZ262181 CJV262181 CTR262181 DDN262181 DNJ262181 DXF262181 EHB262181 EQX262181 FAT262181 FKP262181 FUL262181 GEH262181 GOD262181 GXZ262181 HHV262181 HRR262181 IBN262181 ILJ262181 IVF262181 JFB262181 JOX262181 JYT262181 KIP262181 KSL262181 LCH262181 LMD262181 LVZ262181 MFV262181 MPR262181 MZN262181 NJJ262181 NTF262181 ODB262181 OMX262181 OWT262181 PGP262181" xr:uid="{00000000-0002-0000-0A00-000070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PQL262181 QAH262181 QKD262181 QTZ262181 RDV262181 RNR262181 RXN262181 SHJ262181 SRF262181 TBB262181 TKX262181 TUT262181 UEP262181 UOL262181 UYH262181 VID262181 VRZ262181 WBV262181 WLR262181 WVN262181 F327717 JB327717 SX327717 ACT327717 AMP327717 AWL327717 BGH327717 BQD327717 BZZ327717 CJV327717 CTR327717 DDN327717 DNJ327717 DXF327717 EHB327717 EQX327717 FAT327717 FKP327717 FUL327717 GEH327717 GOD327717 GXZ327717 HHV327717 HRR327717 IBN327717 ILJ327717 IVF327717 JFB327717 JOX327717 JYT327717 KIP327717 KSL327717 LCH327717 LMD327717 LVZ327717 MFV327717 MPR327717 MZN327717 NJJ327717 NTF327717 ODB327717 OMX327717 OWT327717 PGP327717 PQL327717 QAH327717 QKD327717 QTZ327717 RDV327717 RNR327717 RXN327717 SHJ327717 SRF327717 TBB327717 TKX327717 TUT327717 UEP327717 UOL327717 UYH327717 VID327717 VRZ327717 WBV327717 WLR327717 WVN327717 F393253 JB393253 SX393253 ACT393253 AMP393253 AWL393253 BGH393253 BQD393253 BZZ393253 CJV393253 CTR393253 DDN393253 DNJ393253 DXF393253 EHB393253 EQX393253" xr:uid="{00000000-0002-0000-0A00-000071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FAT393253 FKP393253 FUL393253 GEH393253 GOD393253 GXZ393253 HHV393253 HRR393253 IBN393253 ILJ393253 IVF393253 JFB393253 JOX393253 JYT393253 KIP393253 KSL393253 LCH393253 LMD393253 LVZ393253 MFV393253 MPR393253 MZN393253 NJJ393253 NTF393253 ODB393253 OMX393253 OWT393253 PGP393253 PQL393253 QAH393253 QKD393253 QTZ393253 RDV393253 RNR393253 RXN393253 SHJ393253 SRF393253 TBB393253 TKX393253 TUT393253 UEP393253 UOL393253 UYH393253 VID393253 VRZ393253 WBV393253 WLR393253 WVN393253 F458789 JB458789 SX458789 ACT458789 AMP458789 AWL458789 BGH458789 BQD458789 BZZ458789 CJV458789 CTR458789 DDN458789 DNJ458789 DXF458789 EHB458789 EQX458789 FAT458789 FKP458789 FUL458789 GEH458789 GOD458789 GXZ458789 HHV458789 HRR458789 IBN458789 ILJ458789 IVF458789 JFB458789 JOX458789 JYT458789 KIP458789 KSL458789 LCH458789 LMD458789 LVZ458789 MFV458789 MPR458789 MZN458789 NJJ458789 NTF458789 ODB458789 OMX458789 OWT458789 PGP458789 PQL458789 QAH458789 QKD458789 QTZ458789 RDV458789 RNR458789 RXN458789 SHJ458789" xr:uid="{00000000-0002-0000-0A00-000072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SRF458789 TBB458789 TKX458789 TUT458789 UEP458789 UOL458789 UYH458789 VID458789 VRZ458789 WBV458789 WLR458789 WVN458789 F524325 JB524325 SX524325 ACT524325 AMP524325 AWL524325 BGH524325 BQD524325 BZZ524325 CJV524325 CTR524325 DDN524325 DNJ524325 DXF524325 EHB524325 EQX524325 FAT524325 FKP524325 FUL524325 GEH524325 GOD524325 GXZ524325 HHV524325 HRR524325 IBN524325 ILJ524325 IVF524325 JFB524325 JOX524325 JYT524325 KIP524325 KSL524325 LCH524325 LMD524325 LVZ524325 MFV524325 MPR524325 MZN524325 NJJ524325 NTF524325 ODB524325 OMX524325 OWT524325 PGP524325 PQL524325 QAH524325 QKD524325 QTZ524325 RDV524325 RNR524325 RXN524325 SHJ524325 SRF524325 TBB524325 TKX524325 TUT524325 UEP524325 UOL524325 UYH524325 VID524325 VRZ524325 WBV524325 WLR524325 WVN524325 F589861 JB589861 SX589861 ACT589861 AMP589861 AWL589861 BGH589861 BQD589861 BZZ589861 CJV589861 CTR589861 DDN589861 DNJ589861 DXF589861 EHB589861 EQX589861 FAT589861 FKP589861 FUL589861 GEH589861 GOD589861 GXZ589861 HHV589861 HRR589861" xr:uid="{00000000-0002-0000-0A00-000073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IBN589861 ILJ589861 IVF589861 JFB589861 JOX589861 JYT589861 KIP589861 KSL589861 LCH589861 LMD589861 LVZ589861 MFV589861 MPR589861 MZN589861 NJJ589861 NTF589861 ODB589861 OMX589861 OWT589861 PGP589861 PQL589861 QAH589861 QKD589861 QTZ589861 RDV589861 RNR589861 RXN589861 SHJ589861 SRF589861 TBB589861 TKX589861 TUT589861 UEP589861 UOL589861 UYH589861 VID589861 VRZ589861 WBV589861 WLR589861 WVN589861 F655397 JB655397 SX655397 ACT655397 AMP655397 AWL655397 BGH655397 BQD655397 BZZ655397 CJV655397 CTR655397 DDN655397 DNJ655397 DXF655397 EHB655397 EQX655397 FAT655397 FKP655397 FUL655397 GEH655397 GOD655397 GXZ655397 HHV655397 HRR655397 IBN655397 ILJ655397 IVF655397 JFB655397 JOX655397 JYT655397 KIP655397 KSL655397 LCH655397 LMD655397 LVZ655397 MFV655397 MPR655397 MZN655397 NJJ655397 NTF655397 ODB655397 OMX655397 OWT655397 PGP655397 PQL655397 QAH655397 QKD655397 QTZ655397 RDV655397 RNR655397 RXN655397 SHJ655397 SRF655397 TBB655397 TKX655397 TUT655397 UEP655397 UOL655397 UYH655397 VID655397" xr:uid="{00000000-0002-0000-0A00-000074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VRZ655397 WBV655397 WLR655397 WVN655397 F720933 JB720933 SX720933 ACT720933 AMP720933 AWL720933 BGH720933 BQD720933 BZZ720933 CJV720933 CTR720933 DDN720933 DNJ720933 DXF720933 EHB720933 EQX720933 FAT720933 FKP720933 FUL720933 GEH720933 GOD720933 GXZ720933 HHV720933 HRR720933 IBN720933 ILJ720933 IVF720933 JFB720933 JOX720933 JYT720933 KIP720933 KSL720933 LCH720933 LMD720933 LVZ720933 MFV720933 MPR720933 MZN720933 NJJ720933 NTF720933 ODB720933 OMX720933 OWT720933 PGP720933 PQL720933 QAH720933 QKD720933 QTZ720933 RDV720933 RNR720933 RXN720933 SHJ720933 SRF720933 TBB720933 TKX720933 TUT720933 UEP720933 UOL720933 UYH720933 VID720933 VRZ720933 WBV720933 WLR720933 WVN720933 F786469 JB786469 SX786469 ACT786469 AMP786469 AWL786469 BGH786469 BQD786469 BZZ786469 CJV786469 CTR786469 DDN786469 DNJ786469 DXF786469 EHB786469 EQX786469 FAT786469 FKP786469 FUL786469 GEH786469 GOD786469 GXZ786469 HHV786469 HRR786469 IBN786469 ILJ786469 IVF786469 JFB786469 JOX786469 JYT786469 KIP786469 KSL786469" xr:uid="{00000000-0002-0000-0A00-000075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LCH786469 LMD786469 LVZ786469 MFV786469 MPR786469 MZN786469 NJJ786469 NTF786469 ODB786469 OMX786469 OWT786469 PGP786469 PQL786469 QAH786469 QKD786469 QTZ786469 RDV786469 RNR786469 RXN786469 SHJ786469 SRF786469 TBB786469 TKX786469 TUT786469 UEP786469 UOL786469 UYH786469 VID786469 VRZ786469 WBV786469 WLR786469 WVN786469 F852005 JB852005 SX852005 ACT852005 AMP852005 AWL852005 BGH852005 BQD852005 BZZ852005 CJV852005 CTR852005 DDN852005 DNJ852005 DXF852005 EHB852005 EQX852005 FAT852005 FKP852005 FUL852005 GEH852005 GOD852005 GXZ852005 HHV852005 HRR852005 IBN852005 ILJ852005 IVF852005 JFB852005 JOX852005 JYT852005 KIP852005 KSL852005 LCH852005 LMD852005 LVZ852005 MFV852005 MPR852005 MZN852005 NJJ852005 NTF852005 ODB852005 OMX852005 OWT852005 PGP852005 PQL852005 QAH852005 QKD852005 QTZ852005 RDV852005 RNR852005 RXN852005 SHJ852005 SRF852005 TBB852005 TKX852005 TUT852005 UEP852005 UOL852005 UYH852005 VID852005 VRZ852005 WBV852005 WLR852005 WVN852005 F917541 JB917541 SX917541 ACT917541" xr:uid="{00000000-0002-0000-0A00-000076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AMP917541 AWL917541 BGH917541 BQD917541 BZZ917541 CJV917541 CTR917541 DDN917541 DNJ917541 DXF917541 EHB917541 EQX917541 FAT917541 FKP917541 FUL917541 GEH917541 GOD917541 GXZ917541 HHV917541 HRR917541 IBN917541 ILJ917541 IVF917541 JFB917541 JOX917541 JYT917541 KIP917541 KSL917541 LCH917541 LMD917541 LVZ917541 MFV917541 MPR917541 MZN917541 NJJ917541 NTF917541 ODB917541 OMX917541 OWT917541 PGP917541 PQL917541 QAH917541 QKD917541 QTZ917541 RDV917541 RNR917541 RXN917541 SHJ917541 SRF917541 TBB917541 TKX917541 TUT917541 UEP917541 UOL917541 UYH917541 VID917541 VRZ917541 WBV917541 WLR917541 WVN917541 F983077 JB983077 SX983077 ACT983077 AMP983077 AWL983077 BGH983077 BQD983077 BZZ983077 CJV983077 CTR983077 DDN983077 DNJ983077 DXF983077 EHB983077 EQX983077 FAT983077 FKP983077 FUL983077 GEH983077 GOD983077 GXZ983077 HHV983077 HRR983077 IBN983077 ILJ983077 IVF983077 JFB983077 JOX983077 JYT983077 KIP983077 KSL983077 LCH983077 LMD983077 LVZ983077 MFV983077 MPR983077 MZN983077 NJJ983077 NTF983077" xr:uid="{00000000-0002-0000-0A00-000077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ODB983077 OMX983077 OWT983077 PGP983077 PQL983077 QAH983077 QKD983077 QTZ983077 RDV983077 RNR983077 RXN983077 SHJ983077 SRF983077 TBB983077 TKX983077 TUT983077 UEP983077 UOL983077 UYH983077 VID983077 VRZ983077 WBV983077 WLR983077 WVN983077" xr:uid="{00000000-0002-0000-0A00-000078000000}">
      <formula1>0</formula1>
      <formula2>D37-E37</formula2>
    </dataValidation>
    <dataValidation type="whole" allowBlank="1" showInputMessage="1" showErrorMessage="1" errorTitle="Input error" error="The amount entered should be rounded to the nearest dollar and should not exceed the remaining Other funds balance (column D minus column E)." sqref="MFV65578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F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xr:uid="{00000000-0002-0000-0A00-000079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MPR65578 MZN65578 NJJ65578 NTF65578 ODB65578 OMX65578 OWT65578 PGP65578 PQL65578 QAH65578 QKD65578 QTZ65578 RDV65578 RNR65578 RXN65578 SHJ65578 SRF65578 TBB65578 TKX65578 TUT65578 UEP65578 UOL65578 UYH65578 VID65578 VRZ65578 WBV65578 WLR65578 WVN65578 F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F196650 JB196650 SX196650 ACT196650 AMP196650 AWL196650 BGH196650 BQD196650" xr:uid="{00000000-0002-0000-0A00-00007A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F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xr:uid="{00000000-0002-0000-0A00-00007B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PQL262186 QAH262186 QKD262186 QTZ262186 RDV262186 RNR262186 RXN262186 SHJ262186 SRF262186 TBB262186 TKX262186 TUT262186 UEP262186 UOL262186 UYH262186 VID262186 VRZ262186 WBV262186 WLR262186 WVN262186 F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F393258 JB393258 SX393258 ACT393258 AMP393258 AWL393258 BGH393258 BQD393258 BZZ393258 CJV393258 CTR393258 DDN393258 DNJ393258 DXF393258 EHB393258 EQX393258" xr:uid="{00000000-0002-0000-0A00-00007C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F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xr:uid="{00000000-0002-0000-0A00-00007D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SRF458794 TBB458794 TKX458794 TUT458794 UEP458794 UOL458794 UYH458794 VID458794 VRZ458794 WBV458794 WLR458794 WVN458794 F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F589866 JB589866 SX589866 ACT589866 AMP589866 AWL589866 BGH589866 BQD589866 BZZ589866 CJV589866 CTR589866 DDN589866 DNJ589866 DXF589866 EHB589866 EQX589866 FAT589866 FKP589866 FUL589866 GEH589866 GOD589866 GXZ589866 HHV589866 HRR589866" xr:uid="{00000000-0002-0000-0A00-00007E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F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xr:uid="{00000000-0002-0000-0A00-00007F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VRZ655402 WBV655402 WLR655402 WVN655402 F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F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xr:uid="{00000000-0002-0000-0A00-000080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F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F917546 JB917546 SX917546 ACT917546" xr:uid="{00000000-0002-0000-0A00-000081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F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xr:uid="{00000000-0002-0000-0A00-000082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ODB983082 OMX983082 OWT983082 PGP983082 PQL983082 QAH983082 QKD983082 QTZ983082 RDV983082 RNR983082 RXN983082 SHJ983082 SRF983082 TBB983082 TKX983082 TUT983082 UEP983082 UOL983082 UYH983082 VID983082 VRZ983082 WBV983082 WLR983082 WVN983082" xr:uid="{00000000-0002-0000-0A00-000083000000}">
      <formula1>0</formula1>
      <formula2>D42-E42</formula2>
    </dataValidation>
    <dataValidation type="whole" operator="greaterThanOrEqual" allowBlank="1" showInputMessage="1" showErrorMessage="1" errorTitle="Input error" error="The amount entered should be rounded to the nearest dollar and be greater than or equal to zero." sqref="J24:J26 JF24:JF26 TB24:TB26 ACX24:ACX26 AMT24:AMT26 AWP24:AWP26 BGL24:BGL26 BQH24:BQH26 CAD24:CAD26 CJZ24:CJZ26 CTV24:CTV26 DDR24:DDR26 DNN24:DNN26 DXJ24:DXJ26 EHF24:EHF26 ERB24:ERB26 FAX24:FAX26 FKT24:FKT26 FUP24:FUP26 GEL24:GEL26 GOH24:GOH26 GYD24:GYD26 HHZ24:HHZ26 HRV24:HRV26 IBR24:IBR26 ILN24:ILN26 IVJ24:IVJ26 JFF24:JFF26 JPB24:JPB26 JYX24:JYX26 KIT24:KIT26 KSP24:KSP26 LCL24:LCL26 LMH24:LMH26 LWD24:LWD26 MFZ24:MFZ26 MPV24:MPV26 MZR24:MZR26 NJN24:NJN26 NTJ24:NTJ26 ODF24:ODF26 ONB24:ONB26 OWX24:OWX26 PGT24:PGT26 PQP24:PQP26 QAL24:QAL26 QKH24:QKH26 QUD24:QUD26 RDZ24:RDZ26 RNV24:RNV26 RXR24:RXR26 SHN24:SHN26 SRJ24:SRJ26 TBF24:TBF26 TLB24:TLB26 TUX24:TUX26 UET24:UET26 UOP24:UOP26 UYL24:UYL26 VIH24:VIH26 VSD24:VSD26 WBZ24:WBZ26 WLV24:WLV26 WVR24:WVR26 J65560:J65562 JF65560:JF65562 TB65560:TB65562 ACX65560:ACX65562 AMT65560:AMT65562 AWP65560:AWP65562 BGL65560:BGL65562 BQH65560:BQH65562 CAD65560:CAD65562 CJZ65560:CJZ65562 CTV65560:CTV65562 DDR65560:DDR65562 DNN65560:DNN65562 DXJ65560:DXJ65562 EHF65560:EHF65562 ERB65560:ERB65562 FAX65560:FAX65562 FKT65560:FKT65562 FUP65560:FUP65562 GEL65560:GEL65562 GOH65560:GOH65562 GYD65560:GYD65562 HHZ65560:HHZ65562 HRV65560:HRV65562 IBR65560:IBR65562 ILN65560:ILN65562 IVJ65560:IVJ65562 JFF65560:JFF65562 JPB65560:JPB65562 JYX65560:JYX65562 KIT65560:KIT65562 KSP65560:KSP65562 LCL65560:LCL65562 LMH65560:LMH65562 LWD65560:LWD65562 MFZ65560:MFZ65562 JPD983050:JPD983058 JYZ983050:JYZ983058 KIV983050:KIV983058 KSR983050:KSR983058 LCN983050:LCN983058 LMJ983050:LMJ983058 LWF983050:LWF983058 MGB983050:MGB983058 MPX983050:MPX983058 MZT983050:MZT983058 NJP983050:NJP983058 NTL983050:NTL983058 ODH983050:ODH983058 OND983050:OND983058 OWZ983050:OWZ983058 PGV983050:PGV983058 PQR983050:PQR983058 QAN983050:QAN983058 QKJ983050:QKJ983058 QUF983050:QUF983058 REB983050:REB983058 RNX983050:RNX983058 RXT983050:RXT983058 SHP983050:SHP983058 SRL983050:SRL983058 TBH983050:TBH983058 TLD983050:TLD983058 TUZ983050:TUZ983058 UEV983050:UEV983058 UOR983050:UOR983058 UYN983050:UYN983058 VIJ983050:VIJ983058 VSF983050:VSF983058 WCB983050:WCB983058 WLX983050:WLX983058 WVT983050:WVT983058 IBT851978:IBT851986 ILP851978:ILP851986 IVL851978:IVL851986 JFH851978:JFH851986 JPD851978:JPD851986 JYZ851978:JYZ851986 KIV851978:KIV851986 KSR851978:KSR851986 LCN851978:LCN851986 LMJ851978:LMJ851986 LWF851978:LWF851986 MGB851978:MGB851986 MPX851978:MPX851986 MZT851978:MZT851986 NJP851978:NJP851986 NTL851978:NTL851986 ODH851978:ODH851986 OND851978:OND851986 OWZ851978:OWZ851986 PGV851978:PGV851986 PQR851978:PQR851986 QAN851978:QAN851986 QKJ851978:QKJ851986 QUF851978:QUF851986 REB851978:REB851986 RNX851978:RNX851986 RXT851978:RXT851986 SHP851978:SHP851986 SRL851978:SRL851986 TBH851978:TBH851986 TLD851978:TLD851986 TUZ851978:TUZ851986 IBT917514:IBT917522 ILP917514:ILP917522 IVL917514:IVL917522 JFH917514:JFH917522 JPD917514:JPD917522 JYZ917514:JYZ917522 KIV917514:KIV917522 KSR917514:KSR917522 LCN917514:LCN917522 LMJ917514:LMJ917522 LWF917514:LWF917522 MGB917514:MGB917522 MPX917514:MPX917522 MZT917514:MZT917522 NJP917514:NJP917522 NTL917514:NTL917522 ODH917514:ODH917522 OND917514:OND917522 OWZ917514:OWZ917522 PGV917514:PGV917522 PQR917514:PQR917522 QAN917514:QAN917522 QKJ917514:QKJ917522 QUF917514:QUF917522 REB917514:REB917522 RNX917514:RNX917522 RXT917514:RXT917522 SHP917514:SHP917522 SRL917514:SRL917522 TBH917514:TBH917522 TLD917514:TLD917522 TUZ917514:TUZ917522 UEV917514:UEV917522 UOR917514:UOR917522 UYN917514:UYN917522 VIJ917514:VIJ917522 SRL720906:SRL720914 TBH720906:TBH720914 TLD720906:TLD720914 TUZ720906:TUZ720914 UEV720906:UEV720914 UOR720906:UOR720914 UYN720906:UYN720914 VIJ720906:VIJ720914 VSF720906:VSF720914 WCB720906:WCB720914 WLX720906:WLX720914 WVT720906:WVT720914 L786442:L786450 JH786442:JH786450 TD786442:TD786450 ACZ786442:ACZ786450 AMV786442:AMV786450 AWR786442:AWR786450 BGN786442:BGN786450 BQJ786442:BQJ786450 CAF786442:CAF786450 CKB786442:CKB786450 CTX786442:CTX786450 DDT786442:DDT786450 DNP786442:DNP786450 DXL786442:DXL786450 EHH786442:EHH786450 ERD786442:ERD786450 FAZ786442:FAZ786450 FKV786442:FKV786450 FUR786442:FUR786450 GEN786442:GEN786450 VSF917514:VSF917522 WCB917514:WCB917522 WLX917514:WLX917522 WVT917514:WVT917522 L983050:L983058 JH983050:JH983058 TD983050:TD983058 ACZ983050:ACZ983058 AMV983050:AMV983058 AWR983050:AWR983058 BGN983050:BGN983058 BQJ983050:BQJ983058 CAF983050:CAF983058 CKB983050:CKB983058 CTX983050:CTX983058 DDT983050:DDT983058 DNP983050:DNP983058 DXL983050:DXL983058 EHH983050:EHH983058 ERD983050:ERD983058 FAZ983050:FAZ983058 FKV983050:FKV983058 FUR983050:FUR983058 GEN983050:GEN983058 GOJ983050:GOJ983058 GYF983050:GYF983058 HIB983050:HIB983058 HRX983050:HRX983058 IBT983050:IBT983058 ILP983050:ILP983058 IVL983050:IVL983058 JFH983050:JFH983058 SRL786442:SRL786450 TBH786442:TBH786450 TLD786442:TLD786450 TUZ786442:TUZ786450 UEV786442:UEV786450 UOR786442:UOR786450 UYN786442:UYN786450 VIJ786442:VIJ786450 VSF786442:VSF786450 WCB786442:WCB786450 WLX786442:WLX786450 WVT786442:WVT786450 L851978:L851986 JH851978:JH851986 TD851978:TD851986 ACZ851978:ACZ851986 AMV851978:AMV851986 AWR851978:AWR851986 BGN851978:BGN851986 BQJ851978:BQJ851986 CAF851978:CAF851986 CKB851978:CKB851986 CTX851978:CTX851986 DDT851978:DDT851986 DNP851978:DNP851986 DXL851978:DXL851986 EHH851978:EHH851986 ERD851978:ERD851986 FAZ851978:FAZ851986 FKV851978:FKV851986 FUR851978:FUR851986 GEN851978:GEN851986 GOJ851978:GOJ851986 GYF851978:GYF851986 HIB851978:HIB851986 HRX851978:HRX851986 FAZ655370:FAZ655378 FKV655370:FKV655378 FUR655370:FUR655378 GEN655370:GEN655378 GOJ655370:GOJ655378 GYF655370:GYF655378 HIB655370:HIB655378 HRX655370:HRX655378 IBT655370:IBT655378 ILP655370:ILP655378 IVL655370:IVL655378 JFH655370:JFH655378 JPD655370:JPD655378 JYZ655370:JYZ655378 KIV655370:KIV655378 KSR655370:KSR655378 LCN655370:LCN655378 LMJ655370:LMJ655378 LWF655370:LWF655378 MGB655370:MGB655378 MPX655370:MPX655378 MZT655370:MZT655378 NJP655370:NJP655378 NTL655370:NTL655378 ODH655370:ODH655378 OND655370:OND655378 OWZ655370:OWZ655378 PGV655370:PGV655378 PQR655370:PQR655378 QAN655370:QAN655378 QKJ655370:QKJ655378 QUF655370:QUF655378 UEV851978:UEV851986 UOR851978:UOR851986 UYN851978:UYN851986 VIJ851978:VIJ851986 VSF851978:VSF851986 WCB851978:WCB851986 WLX851978:WLX851986 WVT851978:WVT851986 L917514:L917522 JH917514:JH917522 TD917514:TD917522 ACZ917514:ACZ917522 AMV917514:AMV917522 AWR917514:AWR917522 BGN917514:BGN917522 BQJ917514:BQJ917522 CAF917514:CAF917522 CKB917514:CKB917522 CTX917514:CTX917522 DDT917514:DDT917522 DNP917514:DNP917522 DXL917514:DXL917522 EHH917514:EHH917522 ERD917514:ERD917522 FAZ917514:FAZ917522 FKV917514:FKV917522 FUR917514:FUR917522 GEN917514:GEN917522 GOJ917514:GOJ917522 GYF917514:GYF917522 HIB917514:HIB917522 HRX917514:HRX917522 FAZ720906:FAZ720914 FKV720906:FKV720914 FUR720906:FUR720914 GEN720906:GEN720914 GOJ720906:GOJ720914 GYF720906:GYF720914 HIB720906:HIB720914 HRX720906:HRX720914 IBT720906:IBT720914 ILP720906:ILP720914 IVL720906:IVL720914 JFH720906:JFH720914 JPD720906:JPD720914 JYZ720906:JYZ720914 KIV720906:KIV720914 KSR720906:KSR720914 LCN720906:LCN720914 LMJ720906:LMJ720914 LWF720906:LWF720914 MGB720906:MGB720914 MPX720906:MPX720914 MZT720906:MZT720914 NJP720906:NJP720914 NTL720906:NTL720914 ODH720906:ODH720914 OND720906:OND720914 OWZ720906:OWZ720914 PGV720906:PGV720914 PQR720906:PQR720914 QAN720906:QAN720914 QKJ720906:QKJ720914 QUF720906:QUF720914 REB720906:REB720914 RNX720906:RNX720914 RXT720906:RXT720914 SHP720906:SHP720914 PQR524298:PQR524306 QAN524298:QAN524306 QKJ524298:QKJ524306 QUF524298:QUF524306 REB524298:REB524306 RNX524298:RNX524306 RXT524298:RXT524306 SHP524298:SHP524306 SRL524298:SRL524306 TBH524298:TBH524306 TLD524298:TLD524306 TUZ524298:TUZ524306 UEV524298:UEV524306 UOR524298:UOR524306 UYN524298:UYN524306 VIJ524298:VIJ524306 VSF524298:VSF524306 WCB524298:WCB524306 WLX524298:WLX524306 WVT524298:WVT524306 L589834:L589842 JH589834:JH589842 TD589834:TD589842 ACZ589834:ACZ589842 AMV589834:AMV589842 AWR589834:AWR589842 BGN589834:BGN589842 BQJ589834:BQJ589842 CAF589834:CAF589842 CKB589834:CKB589842 CTX589834:CTX589842 DDT589834:DDT589842 GOJ786442:GOJ786450 GYF786442:GYF786450 HIB786442:HIB786450 HRX786442:HRX786450 IBT786442:IBT786450 ILP786442:ILP786450 IVL786442:IVL786450 JFH786442:JFH786450 JPD786442:JPD786450 JYZ786442:JYZ786450 KIV786442:KIV786450 KSR786442:KSR786450 LCN786442:LCN786450 LMJ786442:LMJ786450 LWF786442:LWF786450 MGB786442:MGB786450 MPX786442:MPX786450 MZT786442:MZT786450 NJP786442:NJP786450 NTL786442:NTL786450 ODH786442:ODH786450 OND786442:OND786450 OWZ786442:OWZ786450 PGV786442:PGV786450 PQR786442:PQR786450 QAN786442:QAN786450 QKJ786442:QKJ786450 QUF786442:QUF786450 REB786442:REB786450 RNX786442:RNX786450 RXT786442:RXT786450 SHP786442:SHP786450 PQR589834:PQR589842 QAN589834:QAN589842 QKJ589834:QKJ589842 QUF589834:QUF589842 REB589834:REB589842 RNX589834:RNX589842 RXT589834:RXT589842 SHP589834:SHP589842 SRL589834:SRL589842 TBH589834:TBH589842 TLD589834:TLD589842 TUZ589834:TUZ589842 UEV589834:UEV589842 UOR589834:UOR589842 UYN589834:UYN589842 VIJ589834:VIJ589842 VSF589834:VSF589842 WCB589834:WCB589842 WLX589834:WLX589842 WVT589834:WVT589842 L655370:L655378 JH655370:JH655378 TD655370:TD655378 ACZ655370:ACZ655378 AMV655370:AMV655378 AWR655370:AWR655378 BGN655370:BGN655378 BQJ655370:BQJ655378 CAF655370:CAF655378 CKB655370:CKB655378 CTX655370:CTX655378 DDT655370:DDT655378 DNP655370:DNP655378 DXL655370:DXL655378 EHH655370:EHH655378 ERD655370:ERD655378 CAF458762:CAF458770 CKB458762:CKB458770 CTX458762:CTX458770 DDT458762:DDT458770 DNP458762:DNP458770 DXL458762:DXL458770 EHH458762:EHH458770 ERD458762:ERD458770 FAZ458762:FAZ458770 FKV458762:FKV458770 FUR458762:FUR458770 GEN458762:GEN458770 GOJ458762:GOJ458770 GYF458762:GYF458770 HIB458762:HIB458770 HRX458762:HRX458770 IBT458762:IBT458770 ILP458762:ILP458770 IVL458762:IVL458770 JFH458762:JFH458770 JPD458762:JPD458770 JYZ458762:JYZ458770 KIV458762:KIV458770 KSR458762:KSR458770 LCN458762:LCN458770 LMJ458762:LMJ458770 LWF458762:LWF458770 MGB458762:MGB458770 MPX458762:MPX458770 MZT458762:MZT458770 NJP458762:NJP458770 NTL458762:NTL458770 REB655370:REB655378 RNX655370:RNX655378 RXT655370:RXT655378 SHP655370:SHP655378 SRL655370:SRL655378 TBH655370:TBH655378 TLD655370:TLD655378 TUZ655370:TUZ655378 UEV655370:UEV655378 UOR655370:UOR655378 UYN655370:UYN655378 VIJ655370:VIJ655378 VSF655370:VSF655378 WCB655370:WCB655378 WLX655370:WLX655378 WVT655370:WVT655378 L720906:L720914 JH720906:JH720914 TD720906:TD720914 ACZ720906:ACZ720914 AMV720906:AMV720914 AWR720906:AWR720914 BGN720906:BGN720914 BQJ720906:BQJ720914 CAF720906:CAF720914 CKB720906:CKB720914 CTX720906:CTX720914 DDT720906:DDT720914 DNP720906:DNP720914 DXL720906:DXL720914 EHH720906:EHH720914 ERD720906:ERD720914 CAF524298:CAF524306 CKB524298:CKB524306 CTX524298:CTX524306 DDT524298:DDT524306 DNP524298:DNP524306 DXL524298:DXL524306 EHH524298:EHH524306 ERD524298:ERD524306 FAZ524298:FAZ524306 FKV524298:FKV524306 FUR524298:FUR524306 GEN524298:GEN524306 GOJ524298:GOJ524306 GYF524298:GYF524306 HIB524298:HIB524306 HRX524298:HRX524306 IBT524298:IBT524306 ILP524298:ILP524306 IVL524298:IVL524306 JFH524298:JFH524306 JPD524298:JPD524306 JYZ524298:JYZ524306 KIV524298:KIV524306 KSR524298:KSR524306 LCN524298:LCN524306 LMJ524298:LMJ524306 LWF524298:LWF524306 MGB524298:MGB524306 MPX524298:MPX524306 MZT524298:MZT524306 NJP524298:NJP524306 NTL524298:NTL524306 ODH524298:ODH524306 OND524298:OND524306 OWZ524298:OWZ524306 PGV524298:PGV524306 MPX327690:MPX327698 MZT327690:MZT327698 NJP327690:NJP327698 NTL327690:NTL327698 ODH327690:ODH327698 OND327690:OND327698 OWZ327690:OWZ327698 PGV327690:PGV327698 PQR327690:PQR327698 QAN327690:QAN327698 QKJ327690:QKJ327698 QUF327690:QUF327698 REB327690:REB327698 RNX327690:RNX327698 RXT327690:RXT327698 SHP327690:SHP327698 SRL327690:SRL327698 TBH327690:TBH327698 TLD327690:TLD327698 TUZ327690:TUZ327698 UEV327690:UEV327698 UOR327690:UOR327698 UYN327690:UYN327698 VIJ327690:VIJ327698 VSF327690:VSF327698 WCB327690:WCB327698 WLX327690:WLX327698 WVT327690:WVT327698 L393226:L393234 JH393226:JH393234 TD393226:TD393234 ACZ393226:ACZ393234 DNP589834:DNP589842 DXL589834:DXL589842 EHH589834:EHH589842 ERD589834:ERD589842 FAZ589834:FAZ589842 FKV589834:FKV589842 FUR589834:FUR589842 GEN589834:GEN589842 GOJ589834:GOJ589842 GYF589834:GYF589842 HIB589834:HIB589842 HRX589834:HRX589842 IBT589834:IBT589842 ILP589834:ILP589842 IVL589834:IVL589842 JFH589834:JFH589842 JPD589834:JPD589842 JYZ589834:JYZ589842 KIV589834:KIV589842 KSR589834:KSR589842 LCN589834:LCN589842 LMJ589834:LMJ589842 LWF589834:LWF589842 MGB589834:MGB589842 MPX589834:MPX589842 MZT589834:MZT589842 NJP589834:NJP589842 NTL589834:NTL589842 ODH589834:ODH589842 OND589834:OND589842 OWZ589834:OWZ589842 PGV589834:PGV589842 MPX393226:MPX393234 MZT393226:MZT393234 NJP393226:NJP393234 NTL393226:NTL393234 ODH393226:ODH393234 OND393226:OND393234 OWZ393226:OWZ393234 PGV393226:PGV393234 PQR393226:PQR393234 QAN393226:QAN393234 QKJ393226:QKJ393234 QUF393226:QUF393234 REB393226:REB393234 RNX393226:RNX393234 RXT393226:RXT393234 SHP393226:SHP393234 SRL393226:SRL393234 TBH393226:TBH393234 TLD393226:TLD393234 TUZ393226:TUZ393234 UEV393226:UEV393234 UOR393226:UOR393234 UYN393226:UYN393234 VIJ393226:VIJ393234 VSF393226:VSF393234 WCB393226:WCB393234 WLX393226:WLX393234 WVT393226:WVT393234 L458762:L458770 JH458762:JH458770 TD458762:TD458770 ACZ458762:ACZ458770 AMV458762:AMV458770 AWR458762:AWR458770 BGN458762:BGN458770 BQJ458762:BQJ458770 L262154:L262162 JH262154:JH262162 TD262154:TD262162 ACZ262154:ACZ262162 AMV262154:AMV262162 AWR262154:AWR262162 BGN262154:BGN262162 BQJ262154:BQJ262162 CAF262154:CAF262162 CKB262154:CKB262162 CTX262154:CTX262162 DDT262154:DDT262162 DNP262154:DNP262162 DXL262154:DXL262162 EHH262154:EHH262162 ERD262154:ERD262162 FAZ262154:FAZ262162 FKV262154:FKV262162 FUR262154:FUR262162 GEN262154:GEN262162 GOJ262154:GOJ262162 GYF262154:GYF262162 HIB262154:HIB262162 HRX262154:HRX262162 IBT262154:IBT262162 ILP262154:ILP262162 IVL262154:IVL262162 JFH262154:JFH262162 JPD262154:JPD262162 JYZ262154:JYZ262162 KIV262154:KIV262162 KSR262154:KSR262162 ODH458762:ODH458770 OND458762:OND458770 OWZ458762:OWZ458770 PGV458762:PGV458770 PQR458762:PQR458770 QAN458762:QAN458770 QKJ458762:QKJ458770 QUF458762:QUF458770 REB458762:REB458770 RNX458762:RNX458770 RXT458762:RXT458770 SHP458762:SHP458770 SRL458762:SRL458770 TBH458762:TBH458770 TLD458762:TLD458770 TUZ458762:TUZ458770 UEV458762:UEV458770 UOR458762:UOR458770 UYN458762:UYN458770 VIJ458762:VIJ458770 VSF458762:VSF458770 WCB458762:WCB458770 WLX458762:WLX458770 WVT458762:WVT458770 L524298:L524306 JH524298:JH524306 TD524298:TD524306 ACZ524298:ACZ524306 AMV524298:AMV524306 AWR524298:AWR524306 BGN524298:BGN524306 BQJ524298:BQJ524306 L327690:L327698 JH327690:JH327698 TD327690:TD327698 ACZ327690:ACZ327698 AMV327690:AMV327698 AWR327690:AWR327698 BGN327690:BGN327698 BQJ327690:BQJ327698 CAF327690:CAF327698 CKB327690:CKB327698 CTX327690:CTX327698 DDT327690:DDT327698 DNP327690:DNP327698 DXL327690:DXL327698 EHH327690:EHH327698 ERD327690:ERD327698 FAZ327690:FAZ327698 FKV327690:FKV327698 FUR327690:FUR327698 GEN327690:GEN327698 GOJ327690:GOJ327698 GYF327690:GYF327698 HIB327690:HIB327698 HRX327690:HRX327698 IBT327690:IBT327698 ILP327690:ILP327698 IVL327690:IVL327698 JFH327690:JFH327698 JPD327690:JPD327698 JYZ327690:JYZ327698 KIV327690:KIV327698 KSR327690:KSR327698 LCN327690:LCN327698 LMJ327690:LMJ327698 LWF327690:LWF327698 MGB327690:MGB327698 JPD131082:JPD131090 JYZ131082:JYZ131090 KIV131082:KIV131090 KSR131082:KSR131090 LCN131082:LCN131090 LMJ131082:LMJ131090 LWF131082:LWF131090 MGB131082:MGB131090 MPX131082:MPX131090 MZT131082:MZT131090 NJP131082:NJP131090 NTL131082:NTL131090 ODH131082:ODH131090 OND131082:OND131090 OWZ131082:OWZ131090 PGV131082:PGV131090 PQR131082:PQR131090 QAN131082:QAN131090 QKJ131082:QKJ131090 QUF131082:QUF131090 REB131082:REB131090 RNX131082:RNX131090 RXT131082:RXT131090 SHP131082:SHP131090 SRL131082:SRL131090 TBH131082:TBH131090 TLD131082:TLD131090 TUZ131082:TUZ131090 UEV131082:UEV131090 UOR131082:UOR131090 UYN131082:UYN131090 VIJ131082:VIJ131090 AMV393226:AMV393234 AWR393226:AWR393234 BGN393226:BGN393234 BQJ393226:BQJ393234 CAF393226:CAF393234 CKB393226:CKB393234 CTX393226:CTX393234 DDT393226:DDT393234 DNP393226:DNP393234 DXL393226:DXL393234 EHH393226:EHH393234 ERD393226:ERD393234 FAZ393226:FAZ393234 FKV393226:FKV393234 FUR393226:FUR393234 GEN393226:GEN393234 GOJ393226:GOJ393234 GYF393226:GYF393234 HIB393226:HIB393234 HRX393226:HRX393234 IBT393226:IBT393234 ILP393226:ILP393234 IVL393226:IVL393234 JFH393226:JFH393234 JPD393226:JPD393234 JYZ393226:JYZ393234 KIV393226:KIV393234 KSR393226:KSR393234 LCN393226:LCN393234 LMJ393226:LMJ393234 LWF393226:LWF393234 MGB393226:MGB393234 JPD196618:JPD196626 JYZ196618:JYZ196626 KIV196618:KIV196626 KSR196618:KSR196626 LCN196618:LCN196626 LMJ196618:LMJ196626 LWF196618:LWF196626 MGB196618:MGB196626 MPX196618:MPX196626 MZT196618:MZT196626 NJP196618:NJP196626 NTL196618:NTL196626 ODH196618:ODH196626 OND196618:OND196626 OWZ196618:OWZ196626 PGV196618:PGV196626 PQR196618:PQR196626 QAN196618:QAN196626 QKJ196618:QKJ196626 QUF196618:QUF196626 REB196618:REB196626 RNX196618:RNX196626 RXT196618:RXT196626 SHP196618:SHP196626 SRL196618:SRL196626 TBH196618:TBH196626 TLD196618:TLD196626 TUZ196618:TUZ196626 UEV196618:UEV196626 UOR196618:UOR196626 UYN196618:UYN196626 VIJ196618:VIJ196626 VSF196618:VSF196626 WCB196618:WCB196626 WLX196618:WLX196626 WVT196618:WVT196626 UEV10:UEV18 UOR10:UOR18 UYN10:UYN18 VIJ10:VIJ18 VSF10:VSF18 WCB10:WCB18 WLX10:WLX18 WVT10:WVT18 L65546:L65554 JH65546:JH65554 TD65546:TD65554 ACZ65546:ACZ65554 AMV65546:AMV65554 AWR65546:AWR65554 BGN65546:BGN65554 BQJ65546:BQJ65554 CAF65546:CAF65554 CKB65546:CKB65554 CTX65546:CTX65554 DDT65546:DDT65554 DNP65546:DNP65554 DXL65546:DXL65554 EHH65546:EHH65554 ERD65546:ERD65554 FAZ65546:FAZ65554 FKV65546:FKV65554 FUR65546:FUR65554 GEN65546:GEN65554 GOJ65546:GOJ65554 GYF65546:GYF65554 HIB65546:HIB65554 HRX65546:HRX65554 LCN262154:LCN262162 LMJ262154:LMJ262162 LWF262154:LWF262162 MGB262154:MGB262162 MPX262154:MPX262162 MZT262154:MZT262162 NJP262154:NJP262162 NTL262154:NTL262162 ODH262154:ODH262162 OND262154:OND262162 OWZ262154:OWZ262162 PGV262154:PGV262162 PQR262154:PQR262162 QAN262154:QAN262162 QKJ262154:QKJ262162 QUF262154:QUF262162 REB262154:REB262162 RNX262154:RNX262162 RXT262154:RXT262162 SHP262154:SHP262162 SRL262154:SRL262162 TBH262154:TBH262162 TLD262154:TLD262162 TUZ262154:TUZ262162 UEV262154:UEV262162 UOR262154:UOR262162 UYN262154:UYN262162 VIJ262154:VIJ262162 VSF262154:VSF262162 WCB262154:WCB262162 WLX262154:WLX262162 WVT262154:WVT262162 UEV65546:UEV65554 UOR65546:UOR65554 UYN65546:UYN65554 VIJ65546:VIJ65554 VSF65546:VSF65554 WCB65546:WCB65554 WLX65546:WLX65554 WVT65546:WVT65554 L131082:L131090 JH131082:JH131090 TD131082:TD131090 ACZ131082:ACZ131090 AMV131082:AMV131090 AWR131082:AWR131090 BGN131082:BGN131090 BQJ131082:BQJ131090 CAF131082:CAF131090 CKB131082:CKB131090 CTX131082:CTX131090 DDT131082:DDT131090 DNP131082:DNP131090 DXL131082:DXL131090 EHH131082:EHH131090 ERD131082:ERD131090 FAZ131082:FAZ131090 FKV131082:FKV131090 FUR131082:FUR131090 GEN131082:GEN131090 GOJ131082:GOJ131090 GYF131082:GYF131090 HIB131082:HIB131090 HRX131082:HRX131090 IBT131082:IBT131090 ILP131082:ILP131090 IVL131082:IVL131090 JFH131082:JFH131090 GOH983062 GYD983062 HHZ983062 HRV983062 IBR983062 ILN983062 IVJ983062 JFF983062 JPB983062 JYX983062 KIT983062 KSP983062 LCL983062 LMH983062 LWD983062 MFZ983062 MPV983062 MZR983062 NJN983062 NTJ983062 ODF983062 ONB983062 OWX983062 PGT983062 PQP983062 QAL983062 QKH983062 QUD983062 RDZ983062 RNV983062 RXR983062 SHN983062 VSF131082:VSF131090 WCB131082:WCB131090 WLX131082:WLX131090 WVT131082:WVT131090 L196618:L196626 JH196618:JH196626 TD196618:TD196626 ACZ196618:ACZ196626 AMV196618:AMV196626 AWR196618:AWR196626 BGN196618:BGN196626 BQJ196618:BQJ196626 CAF196618:CAF196626 CKB196618:CKB196626 CTX196618:CTX196626 DDT196618:DDT196626 DNP196618:DNP196626 DXL196618:DXL196626 EHH196618:EHH196626 ERD196618:ERD196626 FAZ196618:FAZ196626 FKV196618:FKV196626 FUR196618:FUR196626 GEN196618:GEN196626 GOJ196618:GOJ196626 GYF196618:GYF196626 HIB196618:HIB196626 HRX196618:HRX196626 IBT196618:IBT196626 ILP196618:ILP196626 IVL196618:IVL196626 JFH196618:JFH196626 GOJ10:GOJ18 GYF10:GYF18 HIB10:HIB18 HRX10:HRX18 IBT10:IBT18 ILP10:ILP18 IVL10:IVL18 JFH10:JFH18 JPD10:JPD18 JYZ10:JYZ18 KIV10:KIV18 KSR10:KSR18 LCN10:LCN18 LMJ10:LMJ18 LWF10:LWF18 MGB10:MGB18 MPX10:MPX18 MZT10:MZT18 NJP10:NJP18 NTL10:NTL18 ODH10:ODH18 OND10:OND18 OWZ10:OWZ18 PGV10:PGV18 PQR10:PQR18 QAN10:QAN18 QKJ10:QKJ18 QUF10:QUF18 REB10:REB18 RNX10:RNX18 RXT10:RXT18 SHP10:SHP18 SRL10:SRL18 TBH10:TBH18 TLD10:TLD18 TUZ10:TUZ18 RDZ851990 RNV851990 RXR851990 SHN851990 SRJ851990 TBF851990 TLB851990 TUX851990 UET851990 UOP851990 UYL851990 VIH851990 VSD851990 WBZ851990 WLV851990 WVR851990 J917526 JF917526 TB917526 ACX917526 AMT917526 AWP917526 BGL917526 BQH917526 CAD917526 CJZ917526 CTV917526 DDR917526 DNN917526 DXJ917526 EHF917526 ERB917526 IBT65546:IBT65554 ILP65546:ILP65554 IVL65546:IVL65554 JFH65546:JFH65554 JPD65546:JPD65554 JYZ65546:JYZ65554 KIV65546:KIV65554 KSR65546:KSR65554 LCN65546:LCN65554 LMJ65546:LMJ65554 LWF65546:LWF65554 MGB65546:MGB65554 MPX65546:MPX65554 MZT65546:MZT65554 NJP65546:NJP65554 NTL65546:NTL65554 ODH65546:ODH65554 OND65546:OND65554 OWZ65546:OWZ65554 PGV65546:PGV65554 PQR65546:PQR65554 QAN65546:QAN65554 QKJ65546:QKJ65554 QUF65546:QUF65554 REB65546:REB65554 RNX65546:RNX65554 RXT65546:RXT65554 SHP65546:SHP65554 SRL65546:SRL65554 TBH65546:TBH65554 TLD65546:TLD65554 TUZ65546:TUZ65554 RDZ917526 RNV917526 RXR917526 SHN917526 SRJ917526 TBF917526 TLB917526 TUX917526 UET917526 UOP917526 UYL917526 VIH917526 VSD917526 WBZ917526 WLV917526 WVR917526 J983062 JF983062 TB983062 ACX983062 AMT983062 AWP983062 BGL983062 BQH983062 CAD983062 CJZ983062 CTV983062 DDR983062 DNN983062 DXJ983062 EHF983062 ERB983062 FAX983062 FKT983062 FUP983062 GEL983062 DNN786454 DXJ786454 EHF786454 ERB786454 FAX786454 FKT786454 FUP786454 GEL786454 GOH786454 GYD786454 HHZ786454 HRV786454 IBR786454 ILN786454 IVJ786454 JFF786454 JPB786454 JYX786454 KIT786454 KSP786454 LCL786454 LMH786454 LWD786454 MFZ786454 MPV786454 MZR786454 NJN786454 NTJ786454 ODF786454 ONB786454 OWX786454 PGT786454 SRJ983062 TBF983062 TLB983062 TUX983062 UET983062 UOP983062 UYL983062 VIH983062 VSD983062 WBZ983062 WLV983062 WVR983062 BQH262168:BQH262170 JH10:JH18 TD10:TD18 ACZ10:ACZ18 AMV10:AMV18 AWR10:AWR18 BGN10:BGN18 BQJ10:BQJ18 CAF10:CAF18 CKB10:CKB18 CTX10:CTX18 DDT10:DDT18 DNP10:DNP18 DXL10:DXL18 EHH10:EHH18 ERD10:ERD18 FAZ10:FAZ18 FKV10:FKV18 FUR10:FUR18 GEN10:GEN18 DNN851990 DXJ851990 EHF851990 ERB851990 FAX851990 FKT851990 FUP851990 GEL851990 GOH851990 GYD851990 HHZ851990 HRV851990 IBR851990 ILN851990 IVJ851990 JFF851990 JPB851990 JYX851990 KIT851990 KSP851990 LCL851990 LMH851990 LWD851990 MFZ851990 MPV851990 MZR851990 NJN851990 NTJ851990 ODF851990 ONB851990 OWX851990 PGT851990 PQP851990 QAL851990 QKH851990 QUD851990 ODF655382 ONB655382 OWX655382 PGT655382 PQP655382 QAL655382 QKH655382 QUD655382 RDZ655382 RNV655382 RXR655382 SHN655382 SRJ655382 TBF655382 TLB655382 TUX655382 UET655382 UOP655382 UYL655382 VIH655382 VSD655382 WBZ655382 WLV655382 WVR655382 J720918 JF720918 TB720918 ACX720918 AMT720918 AWP720918 BGL720918 BQH720918 FAX917526 FKT917526 FUP917526 GEL917526 GOH917526 GYD917526 HHZ917526 HRV917526 IBR917526 ILN917526 IVJ917526 JFF917526 JPB917526 JYX917526 KIT917526 KSP917526 LCL917526 LMH917526 LWD917526 MFZ917526 MPV917526 MZR917526 NJN917526 NTJ917526 ODF917526 ONB917526 OWX917526 PGT917526 PQP917526 QAL917526 QKH917526 QUD917526 ODF720918 ONB720918 OWX720918 PGT720918 PQP720918 QAL720918 QKH720918 QUD720918 RDZ720918 RNV720918 RXR720918 SHN720918 SRJ720918 TBF720918 TLB720918 TUX720918 UET720918 UOP720918 UYL720918 VIH720918 VSD720918 WBZ720918 WLV720918 WVR720918 J786454 JF786454 TB786454 ACX786454 AMT786454 AWP786454 BGL786454 BQH786454 CAD786454 CJZ786454 CTV786454 DDR786454 AMT589846 AWP589846 BGL589846 BQH589846 CAD589846 CJZ589846 CTV589846 DDR589846 DNN589846 DXJ589846 EHF589846 ERB589846 FAX589846 FKT589846 FUP589846 GEL589846 GOH589846 GYD589846 HHZ589846 HRV589846 IBR589846 ILN589846 IVJ589846 JFF589846 JPB589846 JYX589846 KIT589846 KSP589846 LCL589846 LMH589846 LWD589846 MFZ589846 PQP786454 QAL786454 QKH786454 QUD786454 RDZ786454 RNV786454 RXR786454 SHN786454 SRJ786454 TBF786454 TLB786454 TUX786454 UET786454 UOP786454 UYL786454 VIH786454 VSD786454 WBZ786454 WLV786454 WVR786454 J851990 JF851990 TB851990 ACX851990 AMT851990 AWP851990 BGL851990 BQH851990 CAD851990 CJZ851990 CTV851990 DDR851990 AMT655382 AWP655382 BGL655382 BQH655382 CAD655382 CJZ655382 CTV655382 DDR655382 DNN655382 DXJ655382 EHF655382 ERB655382 FAX655382 FKT655382 FUP655382 GEL655382 GOH655382 GYD655382 HHZ655382 HRV655382 IBR655382 ILN655382 IVJ655382 JFF655382 JPB655382 JYX655382 KIT655382 KSP655382 LCL655382 LMH655382 LWD655382 MFZ655382 MPV655382 MZR655382 NJN655382 NTJ655382 LCL458774 LMH458774 LWD458774 MFZ458774 MPV458774 MZR458774 NJN458774 NTJ458774 ODF458774 ONB458774 OWX458774 PGT458774 PQP458774 QAL458774 QKH458774 QUD458774 RDZ458774 RNV458774 RXR458774 SHN458774 SRJ458774 TBF458774 TLB458774 TUX458774 UET458774 UOP458774 UYL458774 VIH458774 VSD458774 WBZ458774 WLV458774 WVR458774 CAD720918 CJZ720918 CTV720918 DDR720918 DNN720918 DXJ720918 EHF720918 ERB720918 FAX720918 FKT720918 FUP720918 GEL720918 GOH720918 GYD720918 HHZ720918 HRV720918 IBR720918 ILN720918 IVJ720918 JFF720918 JPB720918 JYX720918 KIT720918 KSP720918 LCL720918 LMH720918 LWD720918 MFZ720918 MPV720918 MZR720918 NJN720918 NTJ720918 LCL524310 LMH524310 LWD524310 MFZ524310 MPV524310 MZR524310 NJN524310 NTJ524310 ODF524310 ONB524310 OWX524310 PGT524310 PQP524310 QAL524310 QKH524310 QUD524310 RDZ524310 RNV524310 RXR524310 SHN524310 SRJ524310 TBF524310 TLB524310 TUX524310 UET524310 UOP524310 UYL524310 VIH524310 VSD524310 WBZ524310 WLV524310 WVR524310 J589846 JF589846 TB589846 ACX589846 VSD327702 WBZ327702 WLV327702 WVR327702 J393238 JF393238 TB393238 ACX393238 AMT393238 AWP393238 BGL393238 BQH393238 CAD393238 CJZ393238 CTV393238 DDR393238 DNN393238 DXJ393238 EHF393238 ERB393238 FAX393238 FKT393238 FUP393238 GEL393238 GOH393238 GYD393238 HHZ393238 HRV393238 IBR393238 ILN393238 IVJ393238 JFF393238 MPV589846 MZR589846 NJN589846 NTJ589846 ODF589846 ONB589846 OWX589846 PGT589846 PQP589846 QAL589846 QKH589846 QUD589846 RDZ589846 RNV589846 RXR589846 SHN589846 SRJ589846 TBF589846 TLB589846 TUX589846 UET589846 UOP589846 UYL589846 VIH589846 VSD589846 WBZ589846 WLV589846 WVR589846 J655382 JF655382 TB655382 ACX655382 VSD393238 WBZ393238 WLV393238 WVR393238 J458774 JF458774 TB458774 ACX458774 AMT458774 AWP458774 BGL458774 BQH458774 CAD458774 CJZ458774 CTV458774 DDR458774 DNN458774 DXJ458774 EHF458774 ERB458774 FAX458774 FKT458774 FUP458774 GEL458774 GOH458774 GYD458774 HHZ458774 HRV458774 IBR458774 ILN458774 IVJ458774 JFF458774 JPB458774 JYX458774 KIT458774 KSP458774 IBR262166 ILN262166 IVJ262166 JFF262166 JPB262166 JYX262166 KIT262166 KSP262166 LCL262166 LMH262166 LWD262166 MFZ262166 MPV262166 MZR262166 NJN262166 NTJ262166 ODF262166 ONB262166 OWX262166 PGT262166 PQP262166 QAL262166 QKH262166 QUD262166 RDZ262166 RNV262166 RXR262166 SHN262166 SRJ262166 TBF262166 TLB262166 TUX262166 J524310 JF524310 TB524310 ACX524310 AMT524310 AWP524310 BGL524310 BQH524310 CAD524310 CJZ524310 CTV524310 DDR524310 DNN524310 DXJ524310 EHF524310 ERB524310 FAX524310 FKT524310 FUP524310 GEL524310 GOH524310 GYD524310 HHZ524310 HRV524310 IBR524310 ILN524310 IVJ524310 JFF524310 JPB524310 JYX524310 KIT524310 KSP524310 IBR327702 ILN327702 IVJ327702 JFF327702 JPB327702 JYX327702 KIT327702 KSP327702 LCL327702 LMH327702 LWD327702 MFZ327702 MPV327702 MZR327702 NJN327702 NTJ327702 ODF327702 ONB327702 OWX327702 PGT327702 PQP327702 QAL327702 QKH327702 QUD327702 RDZ327702 RNV327702 RXR327702 SHN327702 SRJ327702 TBF327702 TLB327702 TUX327702 UET327702 UOP327702 UYL327702 VIH327702 SRJ131094 TBF131094 TLB131094 TUX131094 UET131094 UOP131094 UYL131094 VIH131094 VSD131094 WBZ131094 WLV131094 WVR131094 J196630 JF196630 TB196630 ACX196630 AMT196630 AWP196630 BGL196630 BQH196630 CAD196630 CJZ196630 CTV196630 DDR196630 DNN196630 DXJ196630 EHF196630 ERB196630 FAX196630 FKT196630 FUP196630 GEL196630 JPB393238 JYX393238 KIT393238 KSP393238 LCL393238 LMH393238 LWD393238 MFZ393238 MPV393238 MZR393238 NJN393238 NTJ393238 ODF393238 ONB393238 OWX393238 PGT393238 PQP393238 QAL393238 QKH393238 QUD393238 RDZ393238 RNV393238 RXR393238 SHN393238 SRJ393238 TBF393238 TLB393238 TUX393238 UET393238 UOP393238 UYL393238 VIH393238 SRJ196630 TBF196630 TLB196630 TUX196630 UET196630 UOP196630 UYL196630 VIH196630 VSD196630 WBZ196630 WLV196630 WVR196630 J262166 JF262166 TB262166 ACX262166 AMT262166 AWP262166 BGL262166 BQH262166 CAD262166 CJZ262166 CTV262166 DDR262166 DNN262166 DXJ262166 EHF262166 ERB262166 FAX262166 FKT262166 FUP262166 GEL262166 GOH262166 GYD262166 HHZ262166 HRV262166 FAX65558 FKT65558 FUP65558 GEL65558 GOH65558 GYD65558 HHZ65558 HRV65558 IBR65558 ILN65558 IVJ65558 JFF65558 JPB65558 JYX65558 KIT65558 KSP65558 LCL65558 LMH65558 LWD65558 MFZ65558 MPV65558 MZR65558 NJN65558 NTJ65558 ODF65558 ONB65558 OWX65558 PGT65558 PQP65558 QAL65558 QKH65558 QUD65558 UET262166 UOP262166 UYL262166 VIH262166 VSD262166 WBZ262166 WLV262166 WVR262166 J327702 JF327702 TB327702 ACX327702 AMT327702 AWP327702 BGL327702 BQH327702 CAD327702 CJZ327702 CTV327702 DDR327702 DNN327702 DXJ327702 EHF327702 ERB327702 FAX327702 FKT327702 FUP327702 GEL327702 GOH327702 GYD327702 HHZ327702 HRV327702 FAX131094 FKT131094 FUP131094 GEL131094 GOH131094 GYD131094 HHZ131094 HRV131094 IBR131094 ILN131094 IVJ131094 JFF131094 JPB131094 JYX131094 KIT131094 KSP131094 LCL131094 LMH131094 LWD131094 MFZ131094 MPV131094 MZR131094 NJN131094 NTJ131094 ODF131094 ONB131094 OWX131094 PGT131094 PQP131094 QAL131094 QKH131094 QUD131094 RDZ131094 RNV131094 RXR131094 SHN131094 PQJ983066:PQJ983068 QAF983066:QAF983068 QKB983066:QKB983068 QTX983066:QTX983068 RDT983066:RDT983068 RNP983066:RNP983068 RXL983066:RXL983068 SHH983066:SHH983068 SRD983066:SRD983068 TAZ983066:TAZ983068 TKV983066:TKV983068 TUR983066:TUR983068 UEN983066:UEN983068 UOJ983066:UOJ983068 UYF983066:UYF983068 VIB983066:VIB983068 VRX983066:VRX983068 WBT983066:WBT983068 WLP983066:WLP983068 WVL983066:WVL983068 J22 JF22 TB22 ACX22 AMT22 AWP22 BGL22 BQH22 CAD22 CJZ22 CTV22 DDR22 GOH196630 GYD196630 HHZ196630 HRV196630 IBR196630 ILN196630 IVJ196630 JFF196630 JPB196630 JYX196630 KIT196630 KSP196630 LCL196630 LMH196630 LWD196630 MFZ196630 MPV196630 MZR196630 NJN196630 NTJ196630 ODF196630 ONB196630 OWX196630 PGT196630 PQP196630 QAL196630 QKH196630 QUD196630 RDZ196630 RNV196630 RXR196630 SHN196630 PQP22 QAL22 QKH22 QUD22 RDZ22 RNV22 RXR22 SHN22 SRJ22 TBF22 TLB22 TUX22 UET22 UOP22 UYL22 VIH22 VSD22 WBZ22 WLV22 WVR22 J65558 JF65558 TB65558 ACX65558 AMT65558 AWP65558 BGL65558 BQH65558 CAD65558 CJZ65558 CTV65558 DDR65558 DNN65558 DXJ65558 EHF65558 ERB65558 BZX917530:BZX917532 CJT917530:CJT917532 CTP917530:CTP917532 DDL917530:DDL917532 DNH917530:DNH917532 DXD917530:DXD917532 EGZ917530:EGZ917532 EQV917530:EQV917532 FAR917530:FAR917532 FKN917530:FKN917532 FUJ917530:FUJ917532 GEF917530:GEF917532 GOB917530:GOB917532 GXX917530:GXX917532 HHT917530:HHT917532 HRP917530:HRP917532 IBL917530:IBL917532 ILH917530:ILH917532 IVD917530:IVD917532 JEZ917530:JEZ917532 JOV917530:JOV917532 JYR917530:JYR917532 KIN917530:KIN917532 KSJ917530:KSJ917532 LCF917530:LCF917532 LMB917530:LMB917532 LVX917530:LVX917532 MFT917530:MFT917532 MPP917530:MPP917532 MZL917530:MZL917532 NJH917530:NJH917532 NTD917530:NTD917532 RDZ65558 RNV65558 RXR65558 SHN65558 SRJ65558 TBF65558 TLB65558 TUX65558 UET65558 UOP65558 UYL65558 VIH65558 VSD65558 WBZ65558 WLV65558 WVR65558 J131094 JF131094 TB131094 ACX131094 AMT131094 AWP131094 BGL131094 BQH131094 CAD131094 CJZ131094 CTV131094 DDR131094 DNN131094 DXJ131094 EHF131094 ERB131094 BZX983066:BZX983068 CJT983066:CJT983068 CTP983066:CTP983068 DDL983066:DDL983068 DNH983066:DNH983068 DXD983066:DXD983068 EGZ983066:EGZ983068 EQV983066:EQV983068 FAR983066:FAR983068 FKN983066:FKN983068 FUJ983066:FUJ983068 GEF983066:GEF983068 GOB983066:GOB983068 GXX983066:GXX983068 HHT983066:HHT983068 HRP983066:HRP983068 IBL983066:IBL983068 ILH983066:ILH983068 IVD983066:IVD983068 JEZ983066:JEZ983068 JOV983066:JOV983068 JYR983066:JYR983068 KIN983066:KIN983068 KSJ983066:KSJ983068 LCF983066:LCF983068 LMB983066:LMB983068 LVX983066:LVX983068 MFT983066:MFT983068 MPP983066:MPP983068 MZL983066:MZL983068 NJH983066:NJH983068 NTD983066:NTD983068 OCZ983066:OCZ983068 OMV983066:OMV983068 OWR983066:OWR983068 PGN983066:PGN983068 MPP786458:MPP786460 MZL786458:MZL786460 NJH786458:NJH786460 NTD786458:NTD786460 OCZ786458:OCZ786460 OMV786458:OMV786460 OWR786458:OWR786460 PGN786458:PGN786460 PQJ786458:PQJ786460 QAF786458:QAF786460 QKB786458:QKB786460 QTX786458:QTX786460 RDT786458:RDT786460 RNP786458:RNP786460 RXL786458:RXL786460 SHH786458:SHH786460 SRD786458:SRD786460 TAZ786458:TAZ786460 TKV786458:TKV786460 TUR786458:TUR786460 UEN786458:UEN786460 UOJ786458:UOJ786460 UYF786458:UYF786460 VIB786458:VIB786460 VRX786458:VRX786460 WBT786458:WBT786460 WLP786458:WLP786460 WVL786458:WVL786460 D851994:D851996 IZ851994:IZ851996 SV851994:SV851996 ACR851994:ACR851996 DNN22 DXJ22 EHF22 ERB22 FAX22 FKT22 FUP22 GEL22 GOH22 GYD22 HHZ22 HRV22 IBR22 ILN22 IVJ22 JFF22 JPB22 JYX22 KIT22 KSP22 LCL22 LMH22 LWD22 MFZ22 MPV22 MZR22 NJN22 NTJ22 ODF22 ONB22 OWX22 PGT22 MPP851994:MPP851996 MZL851994:MZL851996 NJH851994:NJH851996 NTD851994:NTD851996 OCZ851994:OCZ851996 OMV851994:OMV851996 OWR851994:OWR851996 PGN851994:PGN851996 PQJ851994:PQJ851996 QAF851994:QAF851996 QKB851994:QKB851996 QTX851994:QTX851996 RDT851994:RDT851996 RNP851994:RNP851996 RXL851994:RXL851996 SHH851994:SHH851996 SRD851994:SRD851996 TAZ851994:TAZ851996 TKV851994:TKV851996 TUR851994:TUR851996 UEN851994:UEN851996 UOJ851994:UOJ851996 UYF851994:UYF851996 VIB851994:VIB851996 VRX851994:VRX851996 WBT851994:WBT851996 WLP851994:WLP851996 WVL851994:WVL851996 D917530:D917532 IZ917530:IZ917532 SV917530:SV917532 ACR917530:ACR917532 AMN917530:AMN917532 AWJ917530:AWJ917532 BGF917530:BGF917532 BQB917530:BQB917532 D720922:D720924 IZ720922:IZ720924 SV720922:SV720924 ACR720922:ACR720924 AMN720922:AMN720924 AWJ720922:AWJ720924 BGF720922:BGF720924 BQB720922:BQB720924 BZX720922:BZX720924 CJT720922:CJT720924 CTP720922:CTP720924 DDL720922:DDL720924 DNH720922:DNH720924 DXD720922:DXD720924 EGZ720922:EGZ720924 EQV720922:EQV720924 FAR720922:FAR720924 FKN720922:FKN720924 FUJ720922:FUJ720924 GEF720922:GEF720924 GOB720922:GOB720924 GXX720922:GXX720924 HHT720922:HHT720924 HRP720922:HRP720924 IBL720922:IBL720924 ILH720922:ILH720924 IVD720922:IVD720924 JEZ720922:JEZ720924 JOV720922:JOV720924 JYR720922:JYR720924 KIN720922:KIN720924 KSJ720922:KSJ720924 OCZ917530:OCZ917532 OMV917530:OMV917532 OWR917530:OWR917532 PGN917530:PGN917532 PQJ917530:PQJ917532 QAF917530:QAF917532 QKB917530:QKB917532 QTX917530:QTX917532 RDT917530:RDT917532 RNP917530:RNP917532 RXL917530:RXL917532 SHH917530:SHH917532 SRD917530:SRD917532 TAZ917530:TAZ917532 TKV917530:TKV917532 TUR917530:TUR917532 UEN917530:UEN917532 UOJ917530:UOJ917532 UYF917530:UYF917532 VIB917530:VIB917532 VRX917530:VRX917532 WBT917530:WBT917532 WLP917530:WLP917532 WVL917530:WVL917532 D983066:D983068 IZ983066:IZ983068 SV983066:SV983068 ACR983066:ACR983068 AMN983066:AMN983068 AWJ983066:AWJ983068 BGF983066:BGF983068 BQB983066:BQB983068 D786458:D786460 IZ786458:IZ786460 SV786458:SV786460 ACR786458:ACR786460 AMN786458:AMN786460 AWJ786458:AWJ786460 BGF786458:BGF786460 BQB786458:BQB786460 BZX786458:BZX786460 CJT786458:CJT786460 CTP786458:CTP786460 DDL786458:DDL786460 DNH786458:DNH786460 DXD786458:DXD786460 EGZ786458:EGZ786460 EQV786458:EQV786460 FAR786458:FAR786460 FKN786458:FKN786460 FUJ786458:FUJ786460 GEF786458:GEF786460 GOB786458:GOB786460 GXX786458:GXX786460 HHT786458:HHT786460 HRP786458:HRP786460 IBL786458:IBL786460 ILH786458:ILH786460 IVD786458:IVD786460 JEZ786458:JEZ786460 JOV786458:JOV786460 JYR786458:JYR786460 KIN786458:KIN786460 KSJ786458:KSJ786460 LCF786458:LCF786460 LMB786458:LMB786460 LVX786458:LVX786460 MFT786458:MFT786460 JOV589850:JOV589852 JYR589850:JYR589852 KIN589850:KIN589852 KSJ589850:KSJ589852 LCF589850:LCF589852 LMB589850:LMB589852 LVX589850:LVX589852 MFT589850:MFT589852 MPP589850:MPP589852 MZL589850:MZL589852 NJH589850:NJH589852 NTD589850:NTD589852 OCZ589850:OCZ589852 OMV589850:OMV589852 OWR589850:OWR589852 PGN589850:PGN589852 PQJ589850:PQJ589852 QAF589850:QAF589852 QKB589850:QKB589852 QTX589850:QTX589852 RDT589850:RDT589852 RNP589850:RNP589852 RXL589850:RXL589852 SHH589850:SHH589852 SRD589850:SRD589852 TAZ589850:TAZ589852 TKV589850:TKV589852 TUR589850:TUR589852 UEN589850:UEN589852 UOJ589850:UOJ589852 UYF589850:UYF589852 VIB589850:VIB589852 AMN851994:AMN851996 AWJ851994:AWJ851996 BGF851994:BGF851996 BQB851994:BQB851996 BZX851994:BZX851996 CJT851994:CJT851996 CTP851994:CTP851996 DDL851994:DDL851996 DNH851994:DNH851996 DXD851994:DXD851996 EGZ851994:EGZ851996 EQV851994:EQV851996 FAR851994:FAR851996 FKN851994:FKN851996 FUJ851994:FUJ851996 GEF851994:GEF851996 GOB851994:GOB851996 GXX851994:GXX851996 HHT851994:HHT851996 HRP851994:HRP851996 IBL851994:IBL851996 ILH851994:ILH851996 IVD851994:IVD851996 JEZ851994:JEZ851996 JOV851994:JOV851996 JYR851994:JYR851996 KIN851994:KIN851996 KSJ851994:KSJ851996 LCF851994:LCF851996 LMB851994:LMB851996 LVX851994:LVX851996 MFT851994:MFT851996 JOV655386:JOV655388 JYR655386:JYR655388 KIN655386:KIN655388 KSJ655386:KSJ655388 LCF655386:LCF655388 LMB655386:LMB655388 LVX655386:LVX655388 MFT655386:MFT655388 MPP655386:MPP655388 MZL655386:MZL655388 NJH655386:NJH655388 NTD655386:NTD655388 OCZ655386:OCZ655388 OMV655386:OMV655388 OWR655386:OWR655388 PGN655386:PGN655388 PQJ655386:PQJ655388 QAF655386:QAF655388 QKB655386:QKB655388 QTX655386:QTX655388 RDT655386:RDT655388 RNP655386:RNP655388 RXL655386:RXL655388 SHH655386:SHH655388 SRD655386:SRD655388 TAZ655386:TAZ655388 TKV655386:TKV655388 TUR655386:TUR655388 UEN655386:UEN655388 UOJ655386:UOJ655388 UYF655386:UYF655388 VIB655386:VIB655388 VRX655386:VRX655388 WBT655386:WBT655388 WLP655386:WLP655388 WVL655386:WVL655388 UEN458778:UEN458780 UOJ458778:UOJ458780 UYF458778:UYF458780 VIB458778:VIB458780 VRX458778:VRX458780 WBT458778:WBT458780 WLP458778:WLP458780 WVL458778:WVL458780 D524314:D524316 IZ524314:IZ524316 SV524314:SV524316 ACR524314:ACR524316 AMN524314:AMN524316 AWJ524314:AWJ524316 BGF524314:BGF524316 BQB524314:BQB524316 BZX524314:BZX524316 CJT524314:CJT524316 CTP524314:CTP524316 DDL524314:DDL524316 DNH524314:DNH524316 DXD524314:DXD524316 EGZ524314:EGZ524316 EQV524314:EQV524316 FAR524314:FAR524316 FKN524314:FKN524316 FUJ524314:FUJ524316 GEF524314:GEF524316 GOB524314:GOB524316 GXX524314:GXX524316 HHT524314:HHT524316 HRP524314:HRP524316 LCF720922:LCF720924 LMB720922:LMB720924 LVX720922:LVX720924 MFT720922:MFT720924 MPP720922:MPP720924 MZL720922:MZL720924 NJH720922:NJH720924 NTD720922:NTD720924 OCZ720922:OCZ720924 OMV720922:OMV720924 OWR720922:OWR720924 PGN720922:PGN720924 PQJ720922:PQJ720924 QAF720922:QAF720924 QKB720922:QKB720924 QTX720922:QTX720924 RDT720922:RDT720924 RNP720922:RNP720924 RXL720922:RXL720924 SHH720922:SHH720924 SRD720922:SRD720924 TAZ720922:TAZ720924 TKV720922:TKV720924 TUR720922:TUR720924 UEN720922:UEN720924 UOJ720922:UOJ720924 UYF720922:UYF720924 VIB720922:VIB720924 VRX720922:VRX720924 WBT720922:WBT720924 WLP720922:WLP720924 WVL720922:WVL720924 UEN524314:UEN524316 UOJ524314:UOJ524316 UYF524314:UYF524316 VIB524314:VIB524316 VRX524314:VRX524316 WBT524314:WBT524316 WLP524314:WLP524316 WVL524314:WVL524316 D589850:D589852 IZ589850:IZ589852 SV589850:SV589852 ACR589850:ACR589852 AMN589850:AMN589852 AWJ589850:AWJ589852 BGF589850:BGF589852 BQB589850:BQB589852 BZX589850:BZX589852 CJT589850:CJT589852 CTP589850:CTP589852 DDL589850:DDL589852 DNH589850:DNH589852 DXD589850:DXD589852 EGZ589850:EGZ589852 EQV589850:EQV589852 FAR589850:FAR589852 FKN589850:FKN589852 FUJ589850:FUJ589852 GEF589850:GEF589852 GOB589850:GOB589852 GXX589850:GXX589852 HHT589850:HHT589852 HRP589850:HRP589852 IBL589850:IBL589852 ILH589850:ILH589852 IVD589850:IVD589852 JEZ589850:JEZ589852 GOB393242:GOB393244 GXX393242:GXX393244 HHT393242:HHT393244 HRP393242:HRP393244 IBL393242:IBL393244 ILH393242:ILH393244 IVD393242:IVD393244 JEZ393242:JEZ393244 JOV393242:JOV393244 JYR393242:JYR393244 KIN393242:KIN393244 KSJ393242:KSJ393244 LCF393242:LCF393244 LMB393242:LMB393244 LVX393242:LVX393244 MFT393242:MFT393244 MPP393242:MPP393244 MZL393242:MZL393244 NJH393242:NJH393244 NTD393242:NTD393244 OCZ393242:OCZ393244 OMV393242:OMV393244 OWR393242:OWR393244 PGN393242:PGN393244 PQJ393242:PQJ393244 QAF393242:QAF393244 QKB393242:QKB393244 QTX393242:QTX393244 RDT393242:RDT393244 RNP393242:RNP393244 RXL393242:RXL393244 SHH393242:SHH393244 VRX589850:VRX589852 WBT589850:WBT589852 WLP589850:WLP589852 WVL589850:WVL589852 D655386:D655388 IZ655386:IZ655388 SV655386:SV655388 ACR655386:ACR655388 AMN655386:AMN655388 AWJ655386:AWJ655388 BGF655386:BGF655388 BQB655386:BQB655388 BZX655386:BZX655388 CJT655386:CJT655388 CTP655386:CTP655388 DDL655386:DDL655388 DNH655386:DNH655388 DXD655386:DXD655388 EGZ655386:EGZ655388 EQV655386:EQV655388 FAR655386:FAR655388 FKN655386:FKN655388 FUJ655386:FUJ655388 GEF655386:GEF655388 GOB655386:GOB655388 GXX655386:GXX655388 HHT655386:HHT655388 HRP655386:HRP655388 IBL655386:IBL655388 ILH655386:ILH655388 IVD655386:IVD655388 JEZ655386:JEZ655388 GOB458778:GOB458780 GXX458778:GXX458780 HHT458778:HHT458780 HRP458778:HRP458780 IBL458778:IBL458780 ILH458778:ILH458780 IVD458778:IVD458780 JEZ458778:JEZ458780 JOV458778:JOV458780 JYR458778:JYR458780 KIN458778:KIN458780 KSJ458778:KSJ458780 LCF458778:LCF458780 LMB458778:LMB458780 LVX458778:LVX458780 MFT458778:MFT458780 MPP458778:MPP458780 MZL458778:MZL458780 NJH458778:NJH458780 NTD458778:NTD458780 OCZ458778:OCZ458780 OMV458778:OMV458780 OWR458778:OWR458780 PGN458778:PGN458780 PQJ458778:PQJ458780 QAF458778:QAF458780 QKB458778:QKB458780 QTX458778:QTX458780 RDT458778:RDT458780 RNP458778:RNP458780 RXL458778:RXL458780 SHH458778:SHH458780 SRD458778:SRD458780 TAZ458778:TAZ458780 TKV458778:TKV458780 TUR458778:TUR458780 RDT262170:RDT262172 RNP262170:RNP262172 RXL262170:RXL262172 SHH262170:SHH262172 SRD262170:SRD262172 TAZ262170:TAZ262172 TKV262170:TKV262172 TUR262170:TUR262172 UEN262170:UEN262172 UOJ262170:UOJ262172 UYF262170:UYF262172 VIB262170:VIB262172 VRX262170:VRX262172 WBT262170:WBT262172 WLP262170:WLP262172 WVL262170:WVL262172 D327706:D327708 IZ327706:IZ327708 SV327706:SV327708 ACR327706:ACR327708 AMN327706:AMN327708 AWJ327706:AWJ327708 BGF327706:BGF327708 BQB327706:BQB327708 BZX327706:BZX327708 CJT327706:CJT327708 CTP327706:CTP327708 DDL327706:DDL327708 DNH327706:DNH327708 DXD327706:DXD327708 EGZ327706:EGZ327708 EQV327706:EQV327708 IBL524314:IBL524316 ILH524314:ILH524316 IVD524314:IVD524316 JEZ524314:JEZ524316 JOV524314:JOV524316 JYR524314:JYR524316 KIN524314:KIN524316 KSJ524314:KSJ524316 LCF524314:LCF524316 LMB524314:LMB524316 LVX524314:LVX524316 MFT524314:MFT524316 MPP524314:MPP524316 MZL524314:MZL524316 NJH524314:NJH524316 NTD524314:NTD524316 OCZ524314:OCZ524316 OMV524314:OMV524316 OWR524314:OWR524316 PGN524314:PGN524316 PQJ524314:PQJ524316 QAF524314:QAF524316 QKB524314:QKB524316 QTX524314:QTX524316 RDT524314:RDT524316 RNP524314:RNP524316 RXL524314:RXL524316 SHH524314:SHH524316 SRD524314:SRD524316 TAZ524314:TAZ524316 TKV524314:TKV524316 TUR524314:TUR524316 RDT327706:RDT327708 RNP327706:RNP327708 RXL327706:RXL327708 SHH327706:SHH327708 SRD327706:SRD327708 TAZ327706:TAZ327708 TKV327706:TKV327708 TUR327706:TUR327708 UEN327706:UEN327708 UOJ327706:UOJ327708 UYF327706:UYF327708 VIB327706:VIB327708 VRX327706:VRX327708 WBT327706:WBT327708 WLP327706:WLP327708 WVL327706:WVL327708 D393242:D393244 IZ393242:IZ393244 SV393242:SV393244 ACR393242:ACR393244 AMN393242:AMN393244 AWJ393242:AWJ393244 BGF393242:BGF393244 BQB393242:BQB393244 BZX393242:BZX393244 CJT393242:CJT393244 CTP393242:CTP393244 DDL393242:DDL393244 DNH393242:DNH393244 DXD393242:DXD393244 EGZ393242:EGZ393244 EQV393242:EQV393244 FAR393242:FAR393244 FKN393242:FKN393244 FUJ393242:FUJ393244 GEF393242:GEF393244 DNH196634:DNH196636 DXD196634:DXD196636 EGZ196634:EGZ196636 EQV196634:EQV196636 FAR196634:FAR196636 FKN196634:FKN196636 FUJ196634:FUJ196636 GEF196634:GEF196636 GOB196634:GOB196636 GXX196634:GXX196636 HHT196634:HHT196636 HRP196634:HRP196636 IBL196634:IBL196636 ILH196634:ILH196636 IVD196634:IVD196636 JEZ196634:JEZ196636 JOV196634:JOV196636 JYR196634:JYR196636 KIN196634:KIN196636 KSJ196634:KSJ196636 LCF196634:LCF196636 LMB196634:LMB196636 LVX196634:LVX196636 MFT196634:MFT196636 MPP196634:MPP196636 MZL196634:MZL196636 NJH196634:NJH196636 NTD196634:NTD196636 OCZ196634:OCZ196636 OMV196634:OMV196636 OWR196634:OWR196636 PGN196634:PGN196636 SRD393242:SRD393244 TAZ393242:TAZ393244 TKV393242:TKV393244 TUR393242:TUR393244 UEN393242:UEN393244 UOJ393242:UOJ393244 UYF393242:UYF393244 VIB393242:VIB393244 VRX393242:VRX393244 WBT393242:WBT393244 WLP393242:WLP393244 WVL393242:WVL393244 D458778:D458780 IZ458778:IZ458780 SV458778:SV458780 ACR458778:ACR458780 AMN458778:AMN458780 AWJ458778:AWJ458780 BGF458778:BGF458780 BQB458778:BQB458780 BZX458778:BZX458780 CJT458778:CJT458780 CTP458778:CTP458780 DDL458778:DDL458780 DNH458778:DNH458780 DXD458778:DXD458780 EGZ458778:EGZ458780 EQV458778:EQV458780 FAR458778:FAR458780 FKN458778:FKN458780 FUJ458778:FUJ458780 GEF458778:GEF458780 DNH262170:DNH262172 DXD262170:DXD262172 EGZ262170:EGZ262172 EQV262170:EQV262172 FAR262170:FAR262172 FKN262170:FKN262172 FUJ262170:FUJ262172 GEF262170:GEF262172 GOB262170:GOB262172 GXX262170:GXX262172 HHT262170:HHT262172 HRP262170:HRP262172 IBL262170:IBL262172 ILH262170:ILH262172 IVD262170:IVD262172 JEZ262170:JEZ262172 JOV262170:JOV262172 JYR262170:JYR262172 KIN262170:KIN262172 KSJ262170:KSJ262172 LCF262170:LCF262172 LMB262170:LMB262172 LVX262170:LVX262172 MFT262170:MFT262172 MPP262170:MPP262172 MZL262170:MZL262172 NJH262170:NJH262172 NTD262170:NTD262172 OCZ262170:OCZ262172 OMV262170:OMV262172 OWR262170:OWR262172 PGN262170:PGN262172 PQJ262170:PQJ262172 QAF262170:QAF262172 QKB262170:QKB262172 QTX262170:QTX262172 OCZ65562:OCZ65564 OMV65562:OMV65564 OWR65562:OWR65564 PGN65562:PGN65564 PQJ65562:PQJ65564 QAF65562:QAF65564 QKB65562:QKB65564 QTX65562:QTX65564 RDT65562:RDT65564 RNP65562:RNP65564 RXL65562:RXL65564 SHH65562:SHH65564 SRD65562:SRD65564 TAZ65562:TAZ65564 TKV65562:TKV65564 TUR65562:TUR65564 UEN65562:UEN65564 UOJ65562:UOJ65564 UYF65562:UYF65564 VIB65562:VIB65564 VRX65562:VRX65564 WBT65562:WBT65564 WLP65562:WLP65564 WVL65562:WVL65564 D131098:D131100 IZ131098:IZ131100 SV131098:SV131100 ACR131098:ACR131100 AMN131098:AMN131100 AWJ131098:AWJ131100 BGF131098:BGF131100 BQB131098:BQB131100 FAR327706:FAR327708 FKN327706:FKN327708 FUJ327706:FUJ327708 GEF327706:GEF327708 GOB327706:GOB327708 GXX327706:GXX327708 HHT327706:HHT327708 HRP327706:HRP327708 IBL327706:IBL327708 ILH327706:ILH327708 IVD327706:IVD327708 JEZ327706:JEZ327708 JOV327706:JOV327708 JYR327706:JYR327708 KIN327706:KIN327708 KSJ327706:KSJ327708 LCF327706:LCF327708 LMB327706:LMB327708 LVX327706:LVX327708 MFT327706:MFT327708 MPP327706:MPP327708 MZL327706:MZL327708 NJH327706:NJH327708 NTD327706:NTD327708 OCZ327706:OCZ327708 OMV327706:OMV327708 OWR327706:OWR327708 PGN327706:PGN327708 PQJ327706:PQJ327708 QAF327706:QAF327708 QKB327706:QKB327708 QTX327706:QTX327708 OCZ131098:OCZ131100 OMV131098:OMV131100 OWR131098:OWR131100 PGN131098:PGN131100 PQJ131098:PQJ131100 QAF131098:QAF131100 QKB131098:QKB131100 QTX131098:QTX131100 RDT131098:RDT131100 RNP131098:RNP131100 RXL131098:RXL131100 SHH131098:SHH131100 SRD131098:SRD131100 TAZ131098:TAZ131100 TKV131098:TKV131100 TUR131098:TUR131100 UEN131098:UEN131100 UOJ131098:UOJ131100 UYF131098:UYF131100 VIB131098:VIB131100 VRX131098:VRX131100 WBT131098:WBT131100 WLP131098:WLP131100 WVL131098:WVL131100 D196634:D196636 IZ196634:IZ196636 SV196634:SV196636 ACR196634:ACR196636 AMN196634:AMN196636 AWJ196634:AWJ196636 BGF196634:BGF196636 BQB196634:BQB196636 BZX196634:BZX196636 CJT196634:CJT196636 CTP196634:CTP196636 DDL196634:DDL196636 AMN26:AMN28 AWJ26:AWJ28 BGF26:BGF28 BQB26:BQB28 BZX26:BZX28 CJT26:CJT28 CTP26:CTP28 DDL26:DDL28 DNH26:DNH28 DXD26:DXD28 EGZ26:EGZ28 EQV26:EQV28 FAR26:FAR28 FKN26:FKN28 FUJ26:FUJ28 GEF26:GEF28 GOB26:GOB28 GXX26:GXX28 HHT26:HHT28 HRP26:HRP28 IBL26:IBL28 ILH26:ILH28 IVD26:IVD28 JEZ26:JEZ28 JOV26:JOV28 JYR26:JYR28 KIN26:KIN28 KSJ26:KSJ28 LCF26:LCF28 LMB26:LMB28 LVX26:LVX28 MFT26:MFT28 PQJ196634:PQJ196636 QAF196634:QAF196636 QKB196634:QKB196636 QTX196634:QTX196636 RDT196634:RDT196636 RNP196634:RNP196636 RXL196634:RXL196636 SHH196634:SHH196636 SRD196634:SRD196636 TAZ196634:TAZ196636 TKV196634:TKV196636 TUR196634:TUR196636 UEN196634:UEN196636 UOJ196634:UOJ196636 UYF196634:UYF196636 VIB196634:VIB196636 VRX196634:VRX196636 WBT196634:WBT196636 WLP196634:WLP196636 WVL196634:WVL196636 D262170:D262172 IZ262170:IZ262172 SV262170:SV262172 ACR262170:ACR262172 AMN262170:AMN262172 AWJ262170:AWJ262172 BGF262170:BGF262172 BQB262170:BQB262172 BZX262170:BZX262172 CJT262170:CJT262172 CTP262170:CTP262172 DDL262170:DDL262172 AMN65562:AMN65564 AWJ65562:AWJ65564 BGF65562:BGF65564 BQB65562:BQB65564 BZX65562:BZX65564 CJT65562:CJT65564 CTP65562:CTP65564 DDL65562:DDL65564 DNH65562:DNH65564 DXD65562:DXD65564 EGZ65562:EGZ65564 EQV65562:EQV65564 FAR65562:FAR65564 FKN65562:FKN65564 FUJ65562:FUJ65564 GEF65562:GEF65564 GOB65562:GOB65564 GXX65562:GXX65564 HHT65562:HHT65564 HRP65562:HRP65564 IBL65562:IBL65564 ILH65562:ILH65564 IVD65562:IVD65564 JEZ65562:JEZ65564 JOV65562:JOV65564 JYR65562:JYR65564 KIN65562:KIN65564 KSJ65562:KSJ65564 LCF65562:LCF65564 LMB65562:LMB65564 LVX65562:LVX65564 MFT65562:MFT65564 MPP65562:MPP65564 MZL65562:MZL65564 NJH65562:NJH65564 NTD65562:NTD65564 LCG917530:LCG917531 LMC917530:LMC917531 LVY917530:LVY917531 MFU917530:MFU917531 MPQ917530:MPQ917531 MZM917530:MZM917531 NJI917530:NJI917531 NTE917530:NTE917531 ODA917530:ODA917531 OMW917530:OMW917531 OWS917530:OWS917531 PGO917530:PGO917531 PQK917530:PQK917531 QAG917530:QAG917531 QKC917530:QKC917531 QTY917530:QTY917531 RDU917530:RDU917531 RNQ917530:RNQ917531 RXM917530:RXM917531 SHI917530:SHI917531 SRE917530:SRE917531 TBA917530:TBA917531 TKW917530:TKW917531 TUS917530:TUS917531 UEO917530:UEO917531 UOK917530:UOK917531 UYG917530:UYG917531 VIC917530:VIC917531 VRY917530:VRY917531 WBU917530:WBU917531 WLQ917530:WLQ917531 WVM917530:WVM917531 BZX131098:BZX131100 CJT131098:CJT131100 CTP131098:CTP131100 DDL131098:DDL131100 DNH131098:DNH131100 DXD131098:DXD131100 EGZ131098:EGZ131100 EQV131098:EQV131100 FAR131098:FAR131100 FKN131098:FKN131100 FUJ131098:FUJ131100 GEF131098:GEF131100 GOB131098:GOB131100 GXX131098:GXX131100 HHT131098:HHT131100 HRP131098:HRP131100 IBL131098:IBL131100 ILH131098:ILH131100 IVD131098:IVD131100 JEZ131098:JEZ131100 JOV131098:JOV131100 JYR131098:JYR131100 KIN131098:KIN131100 KSJ131098:KSJ131100 LCF131098:LCF131100 LMB131098:LMB131100 LVX131098:LVX131100 MFT131098:MFT131100 MPP131098:MPP131100 MZL131098:MZL131100 NJH131098:NJH131100 NTD131098:NTD131100 LCG983066:LCG983067 LMC983066:LMC983067 LVY983066:LVY983067 MFU983066:MFU983067 MPQ983066:MPQ983067 MZM983066:MZM983067 NJI983066:NJI983067 NTE983066:NTE983067 ODA983066:ODA983067 OMW983066:OMW983067 OWS983066:OWS983067 PGO983066:PGO983067 PQK983066:PQK983067 QAG983066:QAG983067 QKC983066:QKC983067 QTY983066:QTY983067 RDU983066:RDU983067 RNQ983066:RNQ983067 RXM983066:RXM983067 SHI983066:SHI983067 SRE983066:SRE983067 TBA983066:TBA983067 TKW983066:TKW983067 TUS983066:TUS983067 UEO983066:UEO983067 UOK983066:UOK983067 UYG983066:UYG983067 VIC983066:VIC983067 VRY983066:VRY983067 WBU983066:WBU983067 WLQ983066:WLQ983067 WVM983066:WVM983067 D26:D28 IZ26:IZ28 SV26:SV28 ACR26:ACR28 VRY786458:VRY786459 WBU786458:WBU786459 WLQ786458:WLQ786459 WVM786458:WVM786459 E851994:E851995 JA851994:JA851995 SW851994:SW851995 ACS851994:ACS851995 AMO851994:AMO851995 AWK851994:AWK851995 BGG851994:BGG851995 BQC851994:BQC851995 BZY851994:BZY851995 CJU851994:CJU851995 CTQ851994:CTQ851995 DDM851994:DDM851995 DNI851994:DNI851995 DXE851994:DXE851995 EHA851994:EHA851995 EQW851994:EQW851995 FAS851994:FAS851995 FKO851994:FKO851995 FUK851994:FUK851995 GEG851994:GEG851995 GOC851994:GOC851995 GXY851994:GXY851995 HHU851994:HHU851995 HRQ851994:HRQ851995 IBM851994:IBM851995 ILI851994:ILI851995 IVE851994:IVE851995 JFA851994:JFA851995 MPP26:MPP28 MZL26:MZL28 NJH26:NJH28 NTD26:NTD28 OCZ26:OCZ28 OMV26:OMV28 OWR26:OWR28 PGN26:PGN28 PQJ26:PQJ28 QAF26:QAF28 QKB26:QKB28 QTX26:QTX28 RDT26:RDT28 RNP26:RNP28 RXL26:RXL28 SHH26:SHH28 SRD26:SRD28 TAZ26:TAZ28 TKV26:TKV28 TUR26:TUR28 UEN26:UEN28 UOJ26:UOJ28 UYF26:UYF28 VIB26:VIB28 VRX26:VRX28 WBT26:WBT28 WLP26:WLP28 WVL26:WVL28 D65562:D65564 IZ65562:IZ65564 SV65562:SV65564 ACR65562:ACR65564 VRY851994:VRY851995 WBU851994:WBU851995 WLQ851994:WLQ851995 WVM851994:WVM851995 E917530:E917531 JA917530:JA917531 SW917530:SW917531 ACS917530:ACS917531 AMO917530:AMO917531 AWK917530:AWK917531 BGG917530:BGG917531 BQC917530:BQC917531 BZY917530:BZY917531 CJU917530:CJU917531 CTQ917530:CTQ917531 DDM917530:DDM917531 DNI917530:DNI917531 DXE917530:DXE917531 EHA917530:EHA917531 EQW917530:EQW917531 FAS917530:FAS917531 FKO917530:FKO917531 FUK917530:FUK917531 GEG917530:GEG917531 GOC917530:GOC917531 GXY917530:GXY917531 HHU917530:HHU917531 HRQ917530:HRQ917531 IBM917530:IBM917531 ILI917530:ILI917531 IVE917530:IVE917531 JFA917530:JFA917531 JOW917530:JOW917531 JYS917530:JYS917531 KIO917530:KIO917531 KSK917530:KSK917531 IBM720922:IBM720923 ILI720922:ILI720923 IVE720922:IVE720923 JFA720922:JFA720923 JOW720922:JOW720923 JYS720922:JYS720923 KIO720922:KIO720923 KSK720922:KSK720923 LCG720922:LCG720923 LMC720922:LMC720923 LVY720922:LVY720923 MFU720922:MFU720923 MPQ720922:MPQ720923 MZM720922:MZM720923 NJI720922:NJI720923 NTE720922:NTE720923 ODA720922:ODA720923 OMW720922:OMW720923 OWS720922:OWS720923 PGO720922:PGO720923 PQK720922:PQK720923 QAG720922:QAG720923 QKC720922:QKC720923 QTY720922:QTY720923 RDU720922:RDU720923 RNQ720922:RNQ720923 RXM720922:RXM720923 SHI720922:SHI720923 SRE720922:SRE720923 TBA720922:TBA720923 TKW720922:TKW720923 TUS720922:TUS720923 E983066:E983067 JA983066:JA983067 SW983066:SW983067 ACS983066:ACS983067 AMO983066:AMO983067 AWK983066:AWK983067 BGG983066:BGG983067 BQC983066:BQC983067 BZY983066:BZY983067 CJU983066:CJU983067 CTQ983066:CTQ983067 DDM983066:DDM983067 DNI983066:DNI983067 DXE983066:DXE983067 EHA983066:EHA983067 EQW983066:EQW983067 FAS983066:FAS983067 FKO983066:FKO983067 FUK983066:FUK983067 GEG983066:GEG983067 GOC983066:GOC983067 GXY983066:GXY983067 HHU983066:HHU983067 HRQ983066:HRQ983067 IBM983066:IBM983067 ILI983066:ILI983067 IVE983066:IVE983067 JFA983066:JFA983067 JOW983066:JOW983067 JYS983066:JYS983067 KIO983066:KIO983067 KSK983066:KSK983067 IBM786458:IBM786459 ILI786458:ILI786459 IVE786458:IVE786459 JFA786458:JFA786459 JOW786458:JOW786459 JYS786458:JYS786459 KIO786458:KIO786459 KSK786458:KSK786459 LCG786458:LCG786459 LMC786458:LMC786459 LVY786458:LVY786459 MFU786458:MFU786459 MPQ786458:MPQ786459 MZM786458:MZM786459 NJI786458:NJI786459 NTE786458:NTE786459 ODA786458:ODA786459 OMW786458:OMW786459 OWS786458:OWS786459 PGO786458:PGO786459 PQK786458:PQK786459 QAG786458:QAG786459 QKC786458:QKC786459 QTY786458:QTY786459 RDU786458:RDU786459 RNQ786458:RNQ786459 RXM786458:RXM786459 SHI786458:SHI786459 SRE786458:SRE786459 TBA786458:TBA786459 TKW786458:TKW786459 TUS786458:TUS786459 UEO786458:UEO786459 UOK786458:UOK786459 UYG786458:UYG786459 VIC786458:VIC786459 SRE589850:SRE589851 TBA589850:TBA589851 TKW589850:TKW589851 TUS589850:TUS589851 UEO589850:UEO589851 UOK589850:UOK589851 UYG589850:UYG589851 VIC589850:VIC589851 VRY589850:VRY589851 WBU589850:WBU589851 WLQ589850:WLQ589851 WVM589850:WVM589851 E655386:E655387 JA655386:JA655387 SW655386:SW655387 ACS655386:ACS655387 AMO655386:AMO655387 AWK655386:AWK655387 BGG655386:BGG655387 BQC655386:BQC655387 BZY655386:BZY655387 CJU655386:CJU655387 CTQ655386:CTQ655387 DDM655386:DDM655387 DNI655386:DNI655387 DXE655386:DXE655387 EHA655386:EHA655387 EQW655386:EQW655387 FAS655386:FAS655387 FKO655386:FKO655387 FUK655386:FUK655387 GEG655386:GEG655387 JOW851994:JOW851995 JYS851994:JYS851995 KIO851994:KIO851995 KSK851994:KSK851995 LCG851994:LCG851995 LMC851994:LMC851995 LVY851994:LVY851995 MFU851994:MFU851995 MPQ851994:MPQ851995 MZM851994:MZM851995 NJI851994:NJI851995 NTE851994:NTE851995 ODA851994:ODA851995 OMW851994:OMW851995 OWS851994:OWS851995 PGO851994:PGO851995 PQK851994:PQK851995 QAG851994:QAG851995 QKC851994:QKC851995 QTY851994:QTY851995 RDU851994:RDU851995 RNQ851994:RNQ851995 RXM851994:RXM851995 SHI851994:SHI851995 SRE851994:SRE851995 TBA851994:TBA851995 TKW851994:TKW851995 TUS851994:TUS851995 UEO851994:UEO851995 UOK851994:UOK851995 UYG851994:UYG851995 VIC851994:VIC851995 SRE655386:SRE655387 TBA655386:TBA655387 TKW655386:TKW655387 TUS655386:TUS655387 UEO655386:UEO655387 UOK655386:UOK655387 UYG655386:UYG655387 VIC655386:VIC655387 VRY655386:VRY655387 WBU655386:WBU655387 WLQ655386:WLQ655387 WVM655386:WVM655387 E720922:E720923 JA720922:JA720923 SW720922:SW720923 ACS720922:ACS720923 AMO720922:AMO720923 AWK720922:AWK720923 BGG720922:BGG720923 BQC720922:BQC720923 BZY720922:BZY720923 CJU720922:CJU720923 CTQ720922:CTQ720923 DDM720922:DDM720923 DNI720922:DNI720923 DXE720922:DXE720923 EHA720922:EHA720923 EQW720922:EQW720923 FAS720922:FAS720923 FKO720922:FKO720923 FUK720922:FUK720923 GEG720922:GEG720923 GOC720922:GOC720923 GXY720922:GXY720923 HHU720922:HHU720923 HRQ720922:HRQ720923 FAS524314:FAS524315 FKO524314:FKO524315 FUK524314:FUK524315 GEG524314:GEG524315 GOC524314:GOC524315 GXY524314:GXY524315 HHU524314:HHU524315 HRQ524314:HRQ524315 IBM524314:IBM524315 ILI524314:ILI524315 IVE524314:IVE524315 JFA524314:JFA524315 JOW524314:JOW524315 JYS524314:JYS524315 KIO524314:KIO524315 KSK524314:KSK524315 LCG524314:LCG524315 LMC524314:LMC524315 LVY524314:LVY524315 MFU524314:MFU524315 MPQ524314:MPQ524315 MZM524314:MZM524315 NJI524314:NJI524315 NTE524314:NTE524315 ODA524314:ODA524315 OMW524314:OMW524315 OWS524314:OWS524315 PGO524314:PGO524315 PQK524314:PQK524315 QAG524314:QAG524315 QKC524314:QKC524315 QTY524314:QTY524315 UEO720922:UEO720923 UOK720922:UOK720923 UYG720922:UYG720923 VIC720922:VIC720923 VRY720922:VRY720923 WBU720922:WBU720923 WLQ720922:WLQ720923 WVM720922:WVM720923 E786458:E786459 JA786458:JA786459 SW786458:SW786459 ACS786458:ACS786459 AMO786458:AMO786459 AWK786458:AWK786459 BGG786458:BGG786459 BQC786458:BQC786459 BZY786458:BZY786459 CJU786458:CJU786459 CTQ786458:CTQ786459 DDM786458:DDM786459 DNI786458:DNI786459 DXE786458:DXE786459 EHA786458:EHA786459 EQW786458:EQW786459 FAS786458:FAS786459 FKO786458:FKO786459 FUK786458:FUK786459 GEG786458:GEG786459 GOC786458:GOC786459 GXY786458:GXY786459 HHU786458:HHU786459 HRQ786458:HRQ786459 FAS589850:FAS589851 FKO589850:FKO589851 FUK589850:FUK589851 GEG589850:GEG589851 GOC589850:GOC589851 GXY589850:GXY589851 HHU589850:HHU589851 HRQ589850:HRQ589851 IBM589850:IBM589851 ILI589850:ILI589851 IVE589850:IVE589851 JFA589850:JFA589851 JOW589850:JOW589851 JYS589850:JYS589851 KIO589850:KIO589851 KSK589850:KSK589851 LCG589850:LCG589851 LMC589850:LMC589851 LVY589850:LVY589851 MFU589850:MFU589851 MPQ589850:MPQ589851 MZM589850:MZM589851 NJI589850:NJI589851 NTE589850:NTE589851 ODA589850:ODA589851 OMW589850:OMW589851 OWS589850:OWS589851 PGO589850:PGO589851 PQK589850:PQK589851 QAG589850:QAG589851 QKC589850:QKC589851 QTY589850:QTY589851 RDU589850:RDU589851 RNQ589850:RNQ589851 RXM589850:RXM589851 SHI589850:SHI589851 PQK393242:PQK393243 QAG393242:QAG393243 QKC393242:QKC393243 QTY393242:QTY393243 RDU393242:RDU393243 RNQ393242:RNQ393243 RXM393242:RXM393243 SHI393242:SHI393243 SRE393242:SRE393243 TBA393242:TBA393243 TKW393242:TKW393243 TUS393242:TUS393243 UEO393242:UEO393243 UOK393242:UOK393243 UYG393242:UYG393243 VIC393242:VIC393243 VRY393242:VRY393243 WBU393242:WBU393243 WLQ393242:WLQ393243 WVM393242:WVM393243 E458778:E458779 JA458778:JA458779 SW458778:SW458779 ACS458778:ACS458779 AMO458778:AMO458779 AWK458778:AWK458779 BGG458778:BGG458779 BQC458778:BQC458779 BZY458778:BZY458779 CJU458778:CJU458779 CTQ458778:CTQ458779 DDM458778:DDM458779 GOC655386:GOC655387 GXY655386:GXY655387 HHU655386:HHU655387 HRQ655386:HRQ655387 IBM655386:IBM655387 ILI655386:ILI655387 IVE655386:IVE655387 JFA655386:JFA655387 JOW655386:JOW655387 JYS655386:JYS655387 KIO655386:KIO655387 KSK655386:KSK655387 LCG655386:LCG655387 LMC655386:LMC655387 LVY655386:LVY655387 MFU655386:MFU655387 MPQ655386:MPQ655387 MZM655386:MZM655387 NJI655386:NJI655387 NTE655386:NTE655387 ODA655386:ODA655387 OMW655386:OMW655387 OWS655386:OWS655387 PGO655386:PGO655387 PQK655386:PQK655387 QAG655386:QAG655387 QKC655386:QKC655387 QTY655386:QTY655387 RDU655386:RDU655387 RNQ655386:RNQ655387 RXM655386:RXM655387 SHI655386:SHI655387 PQK458778:PQK458779 QAG458778:QAG458779 QKC458778:QKC458779 QTY458778:QTY458779 RDU458778:RDU458779 RNQ458778:RNQ458779 RXM458778:RXM458779 SHI458778:SHI458779 SRE458778:SRE458779 TBA458778:TBA458779 TKW458778:TKW458779 TUS458778:TUS458779 UEO458778:UEO458779 UOK458778:UOK458779 UYG458778:UYG458779 VIC458778:VIC458779 VRY458778:VRY458779 WBU458778:WBU458779 WLQ458778:WLQ458779 WVM458778:WVM458779 E524314:E524315 JA524314:JA524315 SW524314:SW524315 ACS524314:ACS524315 AMO524314:AMO524315 AWK524314:AWK524315 BGG524314:BGG524315 BQC524314:BQC524315 BZY524314:BZY524315 CJU524314:CJU524315 CTQ524314:CTQ524315 DDM524314:DDM524315 DNI524314:DNI524315 DXE524314:DXE524315 EHA524314:EHA524315 EQW524314:EQW524315 BZY327706:BZY327707 CJU327706:CJU327707 CTQ327706:CTQ327707 DDM327706:DDM327707 DNI327706:DNI327707 DXE327706:DXE327707 EHA327706:EHA327707 EQW327706:EQW327707 FAS327706:FAS327707 FKO327706:FKO327707 FUK327706:FUK327707 GEG327706:GEG327707 GOC327706:GOC327707 GXY327706:GXY327707 HHU327706:HHU327707 HRQ327706:HRQ327707 IBM327706:IBM327707 ILI327706:ILI327707 IVE327706:IVE327707 JFA327706:JFA327707 JOW327706:JOW327707 JYS327706:JYS327707 KIO327706:KIO327707 KSK327706:KSK327707 LCG327706:LCG327707 LMC327706:LMC327707 LVY327706:LVY327707 MFU327706:MFU327707 MPQ327706:MPQ327707 MZM327706:MZM327707 NJI327706:NJI327707 NTE327706:NTE327707 RDU524314:RDU524315 RNQ524314:RNQ524315 RXM524314:RXM524315 SHI524314:SHI524315 SRE524314:SRE524315 TBA524314:TBA524315 TKW524314:TKW524315 TUS524314:TUS524315 UEO524314:UEO524315 UOK524314:UOK524315 UYG524314:UYG524315 VIC524314:VIC524315 VRY524314:VRY524315 WBU524314:WBU524315 WLQ524314:WLQ524315 WVM524314:WVM524315 E589850:E589851 JA589850:JA589851 SW589850:SW589851 ACS589850:ACS589851 AMO589850:AMO589851 AWK589850:AWK589851 BGG589850:BGG589851 BQC589850:BQC589851 BZY589850:BZY589851 CJU589850:CJU589851 CTQ589850:CTQ589851 DDM589850:DDM589851 DNI589850:DNI589851 DXE589850:DXE589851 EHA589850:EHA589851 EQW589850:EQW589851 BZY393242:BZY393243 CJU393242:CJU393243 CTQ393242:CTQ393243 DDM393242:DDM393243 DNI393242:DNI393243 DXE393242:DXE393243 EHA393242:EHA393243 EQW393242:EQW393243 FAS393242:FAS393243 FKO393242:FKO393243 FUK393242:FUK393243 GEG393242:GEG393243 GOC393242:GOC393243 GXY393242:GXY393243 HHU393242:HHU393243 HRQ393242:HRQ393243 IBM393242:IBM393243 ILI393242:ILI393243 IVE393242:IVE393243 JFA393242:JFA393243 JOW393242:JOW393243 JYS393242:JYS393243 KIO393242:KIO393243 KSK393242:KSK393243 LCG393242:LCG393243 LMC393242:LMC393243 LVY393242:LVY393243 MFU393242:MFU393243 MPQ393242:MPQ393243 MZM393242:MZM393243 NJI393242:NJI393243 NTE393242:NTE393243 ODA393242:ODA393243 OMW393242:OMW393243 OWS393242:OWS393243 PGO393242:PGO393243 MPQ196634:MPQ196635 MZM196634:MZM196635 NJI196634:NJI196635 NTE196634:NTE196635 ODA196634:ODA196635 OMW196634:OMW196635 OWS196634:OWS196635 PGO196634:PGO196635 PQK196634:PQK196635 QAG196634:QAG196635 QKC196634:QKC196635 QTY196634:QTY196635 RDU196634:RDU196635 RNQ196634:RNQ196635 RXM196634:RXM196635 SHI196634:SHI196635 SRE196634:SRE196635 TBA196634:TBA196635 TKW196634:TKW196635 TUS196634:TUS196635 UEO196634:UEO196635 UOK196634:UOK196635 UYG196634:UYG196635 VIC196634:VIC196635 VRY196634:VRY196635 WBU196634:WBU196635 WLQ196634:WLQ196635 WVM196634:WVM196635 E262170:E262171 JA262170:JA262171 SW262170:SW262171 ACS262170:ACS262171 DNI458778:DNI458779 DXE458778:DXE458779 EHA458778:EHA458779 EQW458778:EQW458779 FAS458778:FAS458779 FKO458778:FKO458779 FUK458778:FUK458779 GEG458778:GEG458779 GOC458778:GOC458779 GXY458778:GXY458779 HHU458778:HHU458779 HRQ458778:HRQ458779 IBM458778:IBM458779 ILI458778:ILI458779 IVE458778:IVE458779 JFA458778:JFA458779 JOW458778:JOW458779 JYS458778:JYS458779 KIO458778:KIO458779 KSK458778:KSK458779 LCG458778:LCG458779 LMC458778:LMC458779 LVY458778:LVY458779 MFU458778:MFU458779 MPQ458778:MPQ458779 MZM458778:MZM458779 NJI458778:NJI458779 NTE458778:NTE458779 ODA458778:ODA458779 OMW458778:OMW458779 OWS458778:OWS458779 PGO458778:PGO458779 MPQ262170:MPQ262171 MZM262170:MZM262171 NJI262170:NJI262171 NTE262170:NTE262171 ODA262170:ODA262171 OMW262170:OMW262171 OWS262170:OWS262171 PGO262170:PGO262171 PQK262170:PQK262171 QAG262170:QAG262171 QKC262170:QKC262171 QTY262170:QTY262171 RDU262170:RDU262171 RNQ262170:RNQ262171 RXM262170:RXM262171 SHI262170:SHI262171 SRE262170:SRE262171 TBA262170:TBA262171 TKW262170:TKW262171 TUS262170:TUS262171 UEO262170:UEO262171 UOK262170:UOK262171 UYG262170:UYG262171 VIC262170:VIC262171 VRY262170:VRY262171 WBU262170:WBU262171 WLQ262170:WLQ262171 WVM262170:WVM262171 E327706:E327707 JA327706:JA327707 SW327706:SW327707 ACS327706:ACS327707 AMO327706:AMO327707 AWK327706:AWK327707 BGG327706:BGG327707 BQC327706:BQC327707 E131098:E131099 JA131098:JA131099 SW131098:SW131099 ACS131098:ACS131099 AMO131098:AMO131099 AWK131098:AWK131099 BGG131098:BGG131099 BQC131098:BQC131099 BZY131098:BZY131099 CJU131098:CJU131099 CTQ131098:CTQ131099 DDM131098:DDM131099 DNI131098:DNI131099 DXE131098:DXE131099 EHA131098:EHA131099 EQW131098:EQW131099 FAS131098:FAS131099 FKO131098:FKO131099 FUK131098:FUK131099 GEG131098:GEG131099 GOC131098:GOC131099 GXY131098:GXY131099 HHU131098:HHU131099 HRQ131098:HRQ131099 IBM131098:IBM131099 ILI131098:ILI131099 IVE131098:IVE131099 JFA131098:JFA131099 JOW131098:JOW131099 JYS131098:JYS131099 KIO131098:KIO131099 KSK131098:KSK131099 ODA327706:ODA327707 OMW327706:OMW327707 OWS327706:OWS327707 PGO327706:PGO327707 PQK327706:PQK327707 QAG327706:QAG327707 QKC327706:QKC327707 QTY327706:QTY327707 RDU327706:RDU327707 RNQ327706:RNQ327707 RXM327706:RXM327707 SHI327706:SHI327707 SRE327706:SRE327707 TBA327706:TBA327707 TKW327706:TKW327707 TUS327706:TUS327707 UEO327706:UEO327707 UOK327706:UOK327707 UYG327706:UYG327707 VIC327706:VIC327707 VRY327706:VRY327707 WBU327706:WBU327707 WLQ327706:WLQ327707 WVM327706:WVM327707 E393242:E393243 JA393242:JA393243 SW393242:SW393243 ACS393242:ACS393243 AMO393242:AMO393243 AWK393242:AWK393243 BGG393242:BGG393243 BQC393242:BQC393243 E196634:E196635 JA196634:JA196635 SW196634:SW196635 ACS196634:ACS196635 AMO196634:AMO196635 AWK196634:AWK196635 BGG196634:BGG196635 BQC196634:BQC196635 BZY196634:BZY196635 CJU196634:CJU196635 CTQ196634:CTQ196635 DDM196634:DDM196635 DNI196634:DNI196635 DXE196634:DXE196635 EHA196634:EHA196635 EQW196634:EQW196635 FAS196634:FAS196635 FKO196634:FKO196635 FUK196634:FUK196635 GEG196634:GEG196635 GOC196634:GOC196635 GXY196634:GXY196635 HHU196634:HHU196635 HRQ196634:HRQ196635 IBM196634:IBM196635 ILI196634:ILI196635 IVE196634:IVE196635 JFA196634:JFA196635 JOW196634:JOW196635 JYS196634:JYS196635 KIO196634:KIO196635 KSK196634:KSK196635 LCG196634:LCG196635 LMC196634:LMC196635 LVY196634:LVY196635 MFU196634:MFU196635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AMO262170:AMO262171 AWK262170:AWK262171 BGG262170:BGG262171 BQC262170:BQC262171 BZY262170:BZY262171 CJU262170:CJU262171 CTQ262170:CTQ262171 DDM262170:DDM262171 DNI262170:DNI262171 DXE262170:DXE262171 EHA262170:EHA262171 EQW262170:EQW262171 FAS262170:FAS262171 FKO262170:FKO262171 FUK262170:FUK262171 GEG262170:GEG262171 GOC262170:GOC262171 GXY262170:GXY262171 HHU262170:HHU262171 HRQ262170:HRQ262171 IBM262170:IBM262171 ILI262170:ILI262171 IVE262170:IVE262171 JFA262170:JFA262171 JOW262170:JOW262171 JYS262170:JYS262171 KIO262170:KIO262171 KSK262170:KSK262171 LCG262170:LCG262171 LMC262170:LMC262171 LVY262170:LVY262171 MFU262170:MFU262171 JOW65562:JOW65563 JYS65562:JYS65563 KIO65562:KIO65563 KSK65562:KSK65563 LCG65562:LCG65563 LMC65562:LMC65563 LVY65562:LVY65563 MFU65562:MFU65563 MPQ65562:MPQ65563 MZM65562:MZM65563 NJI65562:NJI65563 NTE65562:NTE65563 ODA65562:ODA65563 OMW65562:OMW65563 OWS65562:OWS65563 PGO65562:PGO65563 PQK65562:PQK65563 QAG65562:QAG65563 QKC65562:QKC65563 QTY65562:QTY65563 RDU65562:RDU65563 RNQ65562:RNQ65563 RXM65562:RXM65563 SHI65562:SHI65563 SRE65562:SRE65563 TBA65562:TBA65563 TKW65562:TKW65563 TUS65562:TUS65563 UEO65562:UEO65563 UOK65562:UOK65563 UYG65562:UYG65563 VIC65562:VIC65563 VRY65562:VRY65563 WBU65562:WBU65563 WLQ65562:WLQ65563 WVM65562:WVM65563 UET917536 UOP917536 UYL917536 VIH917536 VSD917536 WBZ917536 WLV917536 WVR917536 J983072 JF983072 TB983072 ACX983072 AMT983072 AWP983072 BGL983072 BQH983072 CAD983072 CJZ983072 CTV983072 DDR983072 DNN983072 DXJ983072 EHF983072 ERB983072 FAX983072 FKT983072 FUP983072 GEL983072 GOH983072 GYD983072 HHZ983072 HRV983072 LCG131098:LCG131099 LMC131098:LMC131099 LVY131098:LVY131099 MFU131098:MFU131099 MPQ131098:MPQ131099 MZM131098:MZM131099 NJI131098:NJI131099 NTE131098:NTE131099 ODA131098:ODA131099 OMW131098:OMW131099 OWS131098:OWS131099 PGO131098:PGO131099 PQK131098:PQK131099 QAG131098:QAG131099 QKC131098:QKC131099 QTY131098:QTY131099 RDU131098:RDU131099 RNQ131098:RNQ131099 RXM131098:RXM131099 SHI131098:SHI131099 SRE131098:SRE131099 TBA131098:TBA131099 TKW131098:TKW131099 TUS131098:TUS131099 UEO131098:UEO131099 UOK131098:UOK131099 UYG131098:UYG131099 VIC131098:VIC131099 VRY131098:VRY131099 WBU131098:WBU131099 WLQ131098:WLQ131099 WVM131098:WVM131099 UET983072 UOP983072 UYL983072 VIH983072 VSD983072 WBZ983072 WLV983072 WVR983072 E26:E27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GOH852000 GYD852000 HHZ852000 HRV852000 IBR852000 ILN852000 IVJ852000 JFF852000 JPB852000 JYX852000 KIT852000 KSP852000 LCL852000 LMH852000 LWD852000 MFZ852000 MPV852000 MZR852000 NJN852000 NTJ852000 ODF852000 ONB852000 OWX852000 PGT852000 PQP852000 QAL852000 QKH852000 QUD852000 RDZ852000 RNV852000 RXR852000 SHN852000 VRY26:VRY27 WBU26:WBU27 WLQ26:WLQ27 WVM26:WVM27 E65562:E65563 JA65562:JA65563 SW65562:SW65563 ACS65562:ACS65563 AMO65562:AMO65563 AWK65562:AWK65563 BGG65562:BGG65563 BQC65562:BQC65563 BZY65562:BZY65563 CJU65562:CJU65563 CTQ65562:CTQ65563 DDM65562:DDM65563 DNI65562:DNI65563 DXE65562:DXE65563 EHA65562:EHA65563 EQW65562:EQW65563 FAS65562:FAS65563 FKO65562:FKO65563 FUK65562:FUK65563 GEG65562:GEG65563 GOC65562:GOC65563 GXY65562:GXY65563 HHU65562:HHU65563 HRQ65562:HRQ65563 IBM65562:IBM65563 ILI65562:ILI65563 IVE65562:IVE65563 JFA65562:JFA65563 GOH917536 GYD917536 HHZ917536 HRV917536 IBR917536 ILN917536 IVJ917536 JFF917536 JPB917536 JYX917536 KIT917536 KSP917536 LCL917536 LMH917536 LWD917536 MFZ917536 MPV917536 MZR917536 NJN917536 NTJ917536 ODF917536 ONB917536 OWX917536 PGT917536 PQP917536 QAL917536 QKH917536 QUD917536 RDZ917536 RNV917536 RXR917536 SHN917536 SRJ917536 TBF917536 TLB917536 TUX917536 RDZ720928 RNV720928 RXR720928 SHN720928 SRJ720928 TBF720928 TLB720928 TUX720928 UET720928 UOP720928 UYL720928 VIH720928 VSD720928 WBZ720928 WLV720928 WVR720928 J786464 JF786464 TB786464 ACX786464 AMT786464 AWP786464 BGL786464 BQH786464 CAD786464 CJZ786464 CTV786464 DDR786464 DNN786464 DXJ786464 EHF786464 ERB786464 IBR983072 ILN983072 IVJ983072 JFF983072 JPB983072 JYX983072 KIT983072 KSP983072 LCL983072 LMH983072 LWD983072 MFZ983072 MPV983072 MZR983072 NJN983072 NTJ983072 ODF983072 ONB983072 OWX983072 PGT983072 PQP983072 QAL983072 QKH983072 QUD983072 RDZ983072 RNV983072 RXR983072 SHN983072 SRJ983072 TBF983072 TLB983072 TUX983072 RDZ786464 RNV786464 RXR786464 SHN786464 SRJ786464 TBF786464 TLB786464 TUX786464 UET786464 UOP786464 UYL786464 VIH786464 VSD786464 WBZ786464 WLV786464 WVR786464 J852000 JF852000 TB852000 ACX852000 AMT852000 AWP852000 BGL852000 BQH852000 CAD852000 CJZ852000 CTV852000 DDR852000 DNN852000 DXJ852000 EHF852000 ERB852000 FAX852000 FKT852000 FUP852000 GEL852000 DNN655392 DXJ655392 EHF655392 ERB655392 FAX655392 FKT655392 FUP655392 GEL655392 GOH655392 GYD655392 HHZ655392 HRV655392 IBR655392 ILN655392 IVJ655392 JFF655392 JPB655392 JYX655392 KIT655392 KSP655392 LCL655392 LMH655392 LWD655392 MFZ655392 MPV655392 MZR655392 NJN655392 NTJ655392 ODF655392 ONB655392 OWX655392 PGT655392 SRJ852000 TBF852000 TLB852000 TUX852000 UET852000 UOP852000 UYL852000 VIH852000 VSD852000 WBZ852000 WLV852000 WVR852000 J917536 JF917536 TB917536 ACX917536 AMT917536 AWP917536 BGL917536 BQH917536 CAD917536 CJZ917536 CTV917536 DDR917536 DNN917536 DXJ917536 EHF917536 ERB917536 FAX917536 FKT917536 FUP917536 GEL917536 DNN720928 DXJ720928 EHF720928 ERB720928 FAX720928 FKT720928 FUP720928 GEL720928 GOH720928 GYD720928 HHZ720928 HRV720928 IBR720928 ILN720928 IVJ720928 JFF720928 JPB720928 JYX720928 KIT720928 KSP720928 LCL720928 LMH720928 LWD720928 MFZ720928 MPV720928 MZR720928 NJN720928 NTJ720928 ODF720928 ONB720928 OWX720928 PGT720928 PQP720928 QAL720928 QKH720928 QUD720928 ODF524320 ONB524320 OWX524320 PGT524320 PQP524320 QAL524320 QKH524320 QUD524320 RDZ524320 RNV524320 RXR524320 SHN524320 SRJ524320 TBF524320 TLB524320 TUX524320 UET524320 UOP524320 UYL524320 VIH524320 VSD524320 WBZ524320 WLV524320 WVR524320 J589856 JF589856 TB589856 ACX589856 AMT589856 AWP589856 BGL589856 BQH589856 FAX786464 FKT786464 FUP786464 GEL786464 GOH786464 GYD786464 HHZ786464 HRV786464 IBR786464 ILN786464 IVJ786464 JFF786464 JPB786464 JYX786464 KIT786464 KSP786464 LCL786464 LMH786464 LWD786464 MFZ786464 MPV786464 MZR786464 NJN786464 NTJ786464 ODF786464 ONB786464 OWX786464 PGT786464 PQP786464 QAL786464 QKH786464 QUD786464 ODF589856 ONB589856 OWX589856 PGT589856 PQP589856 QAL589856 QKH589856 QUD589856 RDZ589856 RNV589856 RXR589856 SHN589856 SRJ589856 TBF589856 TLB589856 TUX589856 UET589856 UOP589856 UYL589856 VIH589856 VSD589856 WBZ589856 WLV589856 WVR589856 J655392 JF655392 TB655392 ACX655392 AMT655392 AWP655392 BGL655392 BQH655392 CAD655392 CJZ655392 CTV655392 DDR655392 AMT458784 AWP458784 BGL458784 BQH458784 CAD458784 CJZ458784 CTV458784 DDR458784 DNN458784 DXJ458784 EHF458784 ERB458784 FAX458784 FKT458784 FUP458784 GEL458784 GOH458784 GYD458784 HHZ458784 HRV458784 IBR458784 ILN458784 IVJ458784 JFF458784 JPB458784 JYX458784 KIT458784 KSP458784 LCL458784 LMH458784 LWD458784 MFZ458784 PQP655392 QAL655392 QKH655392 QUD655392 RDZ655392 RNV655392 RXR655392 SHN655392 SRJ655392 TBF655392 TLB655392 TUX655392 UET655392 UOP655392 UYL655392 VIH655392 VSD655392 WBZ655392 WLV655392 WVR655392 J720928 JF720928 TB720928 ACX720928 AMT720928 AWP720928 BGL720928 BQH720928 CAD720928 CJZ720928 CTV720928 DDR720928 AMT524320 AWP524320 BGL524320 BQH524320 CAD524320 CJZ524320 CTV524320 DDR524320 DNN524320 DXJ524320 EHF524320 ERB524320 FAX524320 FKT524320 FUP524320 GEL524320 GOH524320 GYD524320 HHZ524320 HRV524320 IBR524320 ILN524320 IVJ524320 JFF524320 JPB524320 JYX524320 KIT524320 KSP524320 LCL524320 LMH524320 LWD524320 MFZ524320 MPV524320 MZR524320 NJN524320 NTJ524320 LCL327712 LMH327712 LWD327712 MFZ327712 MPV327712 MZR327712 NJN327712 NTJ327712 ODF327712 ONB327712 OWX327712 PGT327712 PQP327712 QAL327712 QKH327712 QUD327712 RDZ327712 RNV327712 RXR327712 SHN327712 SRJ327712 TBF327712 TLB327712 TUX327712 UET327712 UOP327712 UYL327712 VIH327712 VSD327712 WBZ327712 WLV327712 WVR327712 CAD589856 CJZ589856 CTV589856 DDR589856 DNN589856 DXJ589856 EHF589856 ERB589856 FAX589856 FKT589856 FUP589856 GEL589856 GOH589856 GYD589856 HHZ589856 HRV589856 IBR589856 ILN589856 IVJ589856 JFF589856 JPB589856 JYX589856 KIT589856 KSP589856 LCL589856 LMH589856 LWD589856 MFZ589856 MPV589856 MZR589856 NJN589856 NTJ589856 LCL393248 LMH393248 LWD393248 MFZ393248 MPV393248 MZR393248 NJN393248 NTJ393248 ODF393248 ONB393248 OWX393248 PGT393248 PQP393248 QAL393248 QKH393248 QUD393248 RDZ393248 RNV393248 RXR393248 SHN393248 SRJ393248 TBF393248 TLB393248 TUX393248 UET393248 UOP393248 UYL393248 VIH393248 VSD393248 WBZ393248 WLV393248 WVR393248 J458784 JF458784 TB458784 ACX458784 VSD196640 WBZ196640 WLV196640 WVR196640 J262176 JF262176 TB262176 ACX262176 AMT262176 AWP262176 BGL262176 BQH262176 CAD262176 CJZ262176 CTV262176 DDR262176 DNN262176 DXJ262176 EHF262176 ERB262176 FAX262176 FKT262176 FUP262176 GEL262176 GOH262176 GYD262176 HHZ262176 HRV262176 IBR262176 ILN262176 IVJ262176 JFF262176 MPV458784 MZR458784 NJN458784 NTJ458784 ODF458784 ONB458784 OWX458784 PGT458784 PQP458784 QAL458784 QKH458784 QUD458784 RDZ458784 RNV458784 RXR458784 SHN458784 SRJ458784 TBF458784 TLB458784 TUX458784 UET458784 UOP458784 UYL458784 VIH458784 VSD458784 WBZ458784 WLV458784 WVR458784 J524320 JF524320 TB524320 ACX524320 VSD262176 WBZ262176 WLV262176 WVR262176 J327712 JF327712 TB327712 ACX327712 AMT327712 AWP327712 BGL327712 BQH327712 CAD327712 CJZ327712 CTV327712 DDR327712 DNN327712 DXJ327712 EHF327712 ERB327712 FAX327712 FKT327712 FUP327712 GEL327712 GOH327712 GYD327712 HHZ327712 HRV327712 IBR327712 ILN327712 IVJ327712 JFF327712 JPB327712 JYX327712 KIT327712 KSP327712 IBR131104 ILN131104 IVJ131104 JFF131104 JPB131104 JYX131104 KIT131104 KSP131104 LCL131104 LMH131104 LWD131104 MFZ131104 MPV131104 MZR131104 NJN131104 NTJ131104 ODF131104 ONB131104 OWX131104 PGT131104 PQP131104 QAL131104 QKH131104 QUD131104 RDZ131104 RNV131104 RXR131104 SHN131104 SRJ131104 TBF131104 TLB131104 TUX131104 J393248 JF393248 TB393248 ACX393248 AMT393248 AWP393248 BGL393248 BQH393248 CAD393248 CJZ393248 CTV393248 DDR393248 DNN393248 DXJ393248 EHF393248 ERB393248 FAX393248 FKT393248 FUP393248 GEL393248 GOH393248 GYD393248 HHZ393248 HRV393248 IBR393248 ILN393248 IVJ393248 JFF393248 JPB393248 JYX393248 KIT393248 KSP393248 IBR196640 ILN196640 IVJ196640 JFF196640 JPB196640 JYX196640 KIT196640 KSP196640 LCL196640 LMH196640 LWD196640 MFZ196640 MPV196640 MZR196640 NJN196640 NTJ196640 ODF196640 ONB196640 OWX196640 PGT196640 PQP196640 QAL196640 QKH196640 QUD196640 RDZ196640 RNV196640 RXR196640 SHN196640 SRJ196640 TBF196640 TLB196640 TUX196640 UET196640 UOP196640 UYL196640 VIH196640 SRJ32 TBF32 TLB32 TUX32 UET32 UOP32 UYL32 VIH32 VSD32 WBZ32 WLV32 WVR32 J65568 JF65568 TB65568 ACX65568 AMT65568 AWP65568 BGL65568 BQH65568 CAD65568 CJZ65568 CTV65568 DDR65568 DNN65568 DXJ65568 EHF65568 ERB65568 FAX65568 FKT65568 FUP65568 GEL65568 JPB262176 JYX262176 KIT262176 KSP262176 LCL262176 LMH262176 LWD262176 MFZ262176 MPV262176 MZR262176 NJN262176 NTJ262176 ODF262176 ONB262176 OWX262176 PGT262176 PQP262176 QAL262176 QKH262176 QUD262176 RDZ262176 RNV262176 RXR262176 SHN262176 SRJ262176 TBF262176 TLB262176 TUX262176 UET262176 UOP262176 UYL262176 VIH262176 SRJ65568 TBF65568 TLB65568 TUX65568 UET65568 UOP65568 UYL65568 VIH65568 VSD65568 WBZ65568 WLV65568 WVR65568 J131104 JF131104 TB131104 ACX131104 AMT131104 AWP131104 BGL131104 BQH131104 CAD131104 CJZ131104 CTV131104 DDR131104 DNN131104 DXJ131104 EHF131104 ERB131104 FAX131104 FKT131104 FUP131104 GEL131104 GOH131104 GYD131104 HHZ131104 HRV131104 FBC983065:FBC983067 FKY983065:FKY983067 FUU983065:FUU983067 GEQ983065:GEQ983067 GOM983065:GOM983067 GYI983065:GYI983067 HIE983065:HIE983067 HSA983065:HSA983067 IBW983065:IBW983067 ILS983065:ILS983067 IVO983065:IVO983067 JFK983065:JFK983067 JPG983065:JPG983067 JZC983065:JZC983067 KIY983065:KIY983067 KSU983065:KSU983067 LCQ983065:LCQ983067 LMM983065:LMM983067 LWI983065:LWI983067 MGE983065:MGE983067 MQA983065:MQA983067 MZW983065:MZW983067 NJS983065:NJS983067 NTO983065:NTO983067 ODK983065:ODK983067 ONG983065:ONG983067 OXC983065:OXC983067 PGY983065:PGY983067 PQU983065:PQU983067 QAQ983065:QAQ983067 QKM983065:QKM983067 QUI983065:QUI983067 UET131104 UOP131104 UYL131104 VIH131104 VSD131104 WBZ131104 WLV131104 WVR131104 J196640 JF196640 TB196640 ACX196640 AMT196640 AWP196640 BGL196640 BQH196640 CAD196640 CJZ196640 CTV196640 DDR196640 DNN196640 DXJ196640 EHF196640 ERB196640 FAX196640 FKT196640 FUP196640 GEL196640 GOH196640 GYD196640 HHZ196640 HRV196640 FAX32 FKT32 FUP32 GEL32 GOH32 GYD32 HHZ32 HRV32 IBR32 ILN32 IVJ32 JFF32 JPB32 JYX32 KIT32 KSP32 LCL32 LMH32 LWD32 MFZ32 MPV32 MZR32 NJN32 NTJ32 ODF32 ONB32 OWX32 PGT32 PQP32 QAL32 QKH32 QUD32 RDZ32 RNV32 RXR32 SHN32 PQU851993:PQU851995 QAQ851993:QAQ851995 QKM851993:QKM851995 QUI851993:QUI851995 REE851993:REE851995 ROA851993:ROA851995 RXW851993:RXW851995 SHS851993:SHS851995 SRO851993:SRO851995 TBK851993:TBK851995 TLG851993:TLG851995 TVC851993:TVC851995 UEY851993:UEY851995 UOU851993:UOU851995 UYQ851993:UYQ851995 VIM851993:VIM851995 VSI851993:VSI851995 WCE851993:WCE851995 WMA851993:WMA851995 WVW851993:WVW851995 O917529:O917531 JK917529:JK917531 TG917529:TG917531 ADC917529:ADC917531 AMY917529:AMY917531 AWU917529:AWU917531 BGQ917529:BGQ917531 BQM917529:BQM917531 CAI917529:CAI917531 CKE917529:CKE917531 CUA917529:CUA917531 DDW917529:DDW917531 GOH65568 GYD65568 HHZ65568 HRV65568 IBR65568 ILN65568 IVJ65568 JFF65568 JPB65568 JYX65568 KIT65568 KSP65568 LCL65568 LMH65568 LWD65568 MFZ65568 MPV65568 MZR65568 NJN65568 NTJ65568 ODF65568 ONB65568 OWX65568 PGT65568 PQP65568 QAL65568 QKH65568 QUD65568 RDZ65568 RNV65568 RXR65568 SHN65568 PQU917529:PQU917531 QAQ917529:QAQ917531 QKM917529:QKM917531 QUI917529:QUI917531 REE917529:REE917531 ROA917529:ROA917531 RXW917529:RXW917531 SHS917529:SHS917531 SRO917529:SRO917531 TBK917529:TBK917531 TLG917529:TLG917531 TVC917529:TVC917531 UEY917529:UEY917531 UOU917529:UOU917531 UYQ917529:UYQ917531 VIM917529:VIM917531 VSI917529:VSI917531 WCE917529:WCE917531 WMA917529:WMA917531 WVW917529:WVW917531 O983065:O983067 JK983065:JK983067 TG983065:TG983067 ADC983065:ADC983067 AMY983065:AMY983067 AWU983065:AWU983067 BGQ983065:BGQ983067 BQM983065:BQM983067 CAI983065:CAI983067 CKE983065:CKE983067 CUA983065:CUA983067 DDW983065:DDW983067 DNS983065:DNS983067 DXO983065:DXO983067 EHK983065:EHK983067 ERG983065:ERG983067 CAI786457:CAI786459 CKE786457:CKE786459 CUA786457:CUA786459 DDW786457:DDW786459 DNS786457:DNS786459 DXO786457:DXO786459 EHK786457:EHK786459 ERG786457:ERG786459 FBC786457:FBC786459 FKY786457:FKY786459 FUU786457:FUU786459 GEQ786457:GEQ786459 GOM786457:GOM786459 GYI786457:GYI786459 HIE786457:HIE786459 HSA786457:HSA786459 IBW786457:IBW786459 ILS786457:ILS786459 IVO786457:IVO786459 JFK786457:JFK786459 JPG786457:JPG786459 JZC786457:JZC786459 KIY786457:KIY786459 KSU786457:KSU786459 LCQ786457:LCQ786459 LMM786457:LMM786459 LWI786457:LWI786459 MGE786457:MGE786459 MQA786457:MQA786459 MZW786457:MZW786459 NJS786457:NJS786459 NTO786457:NTO786459 REE983065:REE983067 ROA983065:ROA983067 RXW983065:RXW983067 SHS983065:SHS983067 SRO983065:SRO983067 TBK983065:TBK983067 TLG983065:TLG983067 TVC983065:TVC983067 UEY983065:UEY983067 UOU983065:UOU983067 UYQ983065:UYQ983067 VIM983065:VIM983067 VSI983065:VSI983067 WCE983065:WCE983067 WMA983065:WMA983067 WVW983065:WVW983067 J32 JF32 TB32 ACX32 AMT32 AWP32 BGL32 BQH32 CAD32 CJZ32 CTV32 DDR32 DNN32 DXJ32 EHF32 ERB32 CAI851993:CAI851995 CKE851993:CKE851995 CUA851993:CUA851995 DDW851993:DDW851995 DNS851993:DNS851995 DXO851993:DXO851995 EHK851993:EHK851995 ERG851993:ERG851995 FBC851993:FBC851995 FKY851993:FKY851995 FUU851993:FUU851995 GEQ851993:GEQ851995 GOM851993:GOM851995 GYI851993:GYI851995 HIE851993:HIE851995 HSA851993:HSA851995 IBW851993:IBW851995 ILS851993:ILS851995 IVO851993:IVO851995 JFK851993:JFK851995 JPG851993:JPG851995 JZC851993:JZC851995 KIY851993:KIY851995 KSU851993:KSU851995 LCQ851993:LCQ851995 LMM851993:LMM851995 LWI851993:LWI851995 MGE851993:MGE851995 MQA851993:MQA851995 MZW851993:MZW851995 NJS851993:NJS851995 NTO851993:NTO851995 ODK851993:ODK851995 ONG851993:ONG851995 OXC851993:OXC851995 PGY851993:PGY851995 MQA655385:MQA655387 MZW655385:MZW655387 NJS655385:NJS655387 NTO655385:NTO655387 ODK655385:ODK655387 ONG655385:ONG655387 OXC655385:OXC655387 PGY655385:PGY655387 PQU655385:PQU655387 QAQ655385:QAQ655387 QKM655385:QKM655387 QUI655385:QUI655387 REE655385:REE655387 ROA655385:ROA655387 RXW655385:RXW655387 SHS655385:SHS655387 SRO655385:SRO655387 TBK655385:TBK655387 TLG655385:TLG655387 TVC655385:TVC655387 UEY655385:UEY655387 UOU655385:UOU655387 UYQ655385:UYQ655387 VIM655385:VIM655387 VSI655385:VSI655387 WCE655385:WCE655387 WMA655385:WMA655387 WVW655385:WVW655387 O720921:O720923 JK720921:JK720923 TG720921:TG720923 ADC720921:ADC720923 DNS917529:DNS917531 DXO917529:DXO917531 EHK917529:EHK917531 ERG917529:ERG917531 FBC917529:FBC917531 FKY917529:FKY917531 FUU917529:FUU917531 GEQ917529:GEQ917531 GOM917529:GOM917531 GYI917529:GYI917531 HIE917529:HIE917531 HSA917529:HSA917531 IBW917529:IBW917531 ILS917529:ILS917531 IVO917529:IVO917531 JFK917529:JFK917531 JPG917529:JPG917531 JZC917529:JZC917531 KIY917529:KIY917531 KSU917529:KSU917531 LCQ917529:LCQ917531 LMM917529:LMM917531 LWI917529:LWI917531 MGE917529:MGE917531 MQA917529:MQA917531 MZW917529:MZW917531 NJS917529:NJS917531 NTO917529:NTO917531 ODK917529:ODK917531 ONG917529:ONG917531 OXC917529:OXC917531 PGY917529:PGY917531 MQA720921:MQA720923 MZW720921:MZW720923 NJS720921:NJS720923 NTO720921:NTO720923 ODK720921:ODK720923 ONG720921:ONG720923 OXC720921:OXC720923 PGY720921:PGY720923 PQU720921:PQU720923 QAQ720921:QAQ720923 QKM720921:QKM720923 QUI720921:QUI720923 REE720921:REE720923 ROA720921:ROA720923 RXW720921:RXW720923 SHS720921:SHS720923 SRO720921:SRO720923 TBK720921:TBK720923 TLG720921:TLG720923 TVC720921:TVC720923 UEY720921:UEY720923 UOU720921:UOU720923 UYQ720921:UYQ720923 VIM720921:VIM720923 VSI720921:VSI720923 WCE720921:WCE720923 WMA720921:WMA720923 WVW720921:WVW720923 O786457:O786459 JK786457:JK786459 TG786457:TG786459 ADC786457:ADC786459 AMY786457:AMY786459 AWU786457:AWU786459 BGQ786457:BGQ786459 BQM786457:BQM786459 O589849:O589851 JK589849:JK589851 TG589849:TG589851 ADC589849:ADC589851 AMY589849:AMY589851 AWU589849:AWU589851 BGQ589849:BGQ589851 BQM589849:BQM589851 CAI589849:CAI589851 CKE589849:CKE589851 CUA589849:CUA589851 DDW589849:DDW589851 DNS589849:DNS589851 DXO589849:DXO589851 EHK589849:EHK589851 ERG589849:ERG589851 FBC589849:FBC589851 FKY589849:FKY589851 FUU589849:FUU589851 GEQ589849:GEQ589851 GOM589849:GOM589851 GYI589849:GYI589851 HIE589849:HIE589851 HSA589849:HSA589851 IBW589849:IBW589851 ILS589849:ILS589851 IVO589849:IVO589851 JFK589849:JFK589851 JPG589849:JPG589851 JZC589849:JZC589851 KIY589849:KIY589851 KSU589849:KSU589851 ODK786457:ODK786459 ONG786457:ONG786459 OXC786457:OXC786459 PGY786457:PGY786459 PQU786457:PQU786459 QAQ786457:QAQ786459 QKM786457:QKM786459 QUI786457:QUI786459 REE786457:REE786459 ROA786457:ROA786459 RXW786457:RXW786459 SHS786457:SHS786459 SRO786457:SRO786459 TBK786457:TBK786459 TLG786457:TLG786459 TVC786457:TVC786459 UEY786457:UEY786459 UOU786457:UOU786459 UYQ786457:UYQ786459 VIM786457:VIM786459 VSI786457:VSI786459 WCE786457:WCE786459 WMA786457:WMA786459 WVW786457:WVW786459 O851993:O851995 JK851993:JK851995 TG851993:TG851995 ADC851993:ADC851995 AMY851993:AMY851995 AWU851993:AWU851995 BGQ851993:BGQ851995 BQM851993:BQM851995 O655385:O655387 JK655385:JK655387 TG655385:TG655387 ADC655385:ADC655387 AMY655385:AMY655387 AWU655385:AWU655387 BGQ655385:BGQ655387 BQM655385:BQM655387 CAI655385:CAI655387 CKE655385:CKE655387 CUA655385:CUA655387 DDW655385:DDW655387 DNS655385:DNS655387 DXO655385:DXO655387 EHK655385:EHK655387 ERG655385:ERG655387 FBC655385:FBC655387 FKY655385:FKY655387 FUU655385:FUU655387 GEQ655385:GEQ655387 GOM655385:GOM655387 GYI655385:GYI655387 HIE655385:HIE655387 HSA655385:HSA655387 IBW655385:IBW655387 ILS655385:ILS655387 IVO655385:IVO655387 JFK655385:JFK655387 JPG655385:JPG655387 JZC655385:JZC655387 KIY655385:KIY655387 KSU655385:KSU655387 LCQ655385:LCQ655387 LMM655385:LMM655387 LWI655385:LWI655387 MGE655385:MGE655387 JPG458777:JPG458779 JZC458777:JZC458779 KIY458777:KIY458779 KSU458777:KSU458779 LCQ458777:LCQ458779 LMM458777:LMM458779 LWI458777:LWI458779 MGE458777:MGE458779 MQA458777:MQA458779 MZW458777:MZW458779 NJS458777:NJS458779 NTO458777:NTO458779 ODK458777:ODK458779 ONG458777:ONG458779 OXC458777:OXC458779 PGY458777:PGY458779 PQU458777:PQU458779 QAQ458777:QAQ458779 QKM458777:QKM458779 QUI458777:QUI458779 REE458777:REE458779 ROA458777:ROA458779 RXW458777:RXW458779 SHS458777:SHS458779 SRO458777:SRO458779 TBK458777:TBK458779 TLG458777:TLG458779 TVC458777:TVC458779 UEY458777:UEY458779 UOU458777:UOU458779 UYQ458777:UYQ458779 VIM458777:VIM458779 AMY720921:AMY720923 AWU720921:AWU720923 BGQ720921:BGQ720923 BQM720921:BQM720923 CAI720921:CAI720923 CKE720921:CKE720923 CUA720921:CUA720923 DDW720921:DDW720923 DNS720921:DNS720923 DXO720921:DXO720923 EHK720921:EHK720923 ERG720921:ERG720923 FBC720921:FBC720923 FKY720921:FKY720923 FUU720921:FUU720923 GEQ720921:GEQ720923 GOM720921:GOM720923 GYI720921:GYI720923 HIE720921:HIE720923 HSA720921:HSA720923 IBW720921:IBW720923 ILS720921:ILS720923 IVO720921:IVO720923 JFK720921:JFK720923 JPG720921:JPG720923 JZC720921:JZC720923 KIY720921:KIY720923 KSU720921:KSU720923 LCQ720921:LCQ720923 LMM720921:LMM720923 LWI720921:LWI720923 MGE720921:MGE720923 JPG524313:JPG524315 JZC524313:JZC524315 KIY524313:KIY524315 KSU524313:KSU524315 LCQ524313:LCQ524315 LMM524313:LMM524315 LWI524313:LWI524315 MGE524313:MGE524315 MQA524313:MQA524315 MZW524313:MZW524315 NJS524313:NJS524315 NTO524313:NTO524315 ODK524313:ODK524315 ONG524313:ONG524315 OXC524313:OXC524315 PGY524313:PGY524315 PQU524313:PQU524315 QAQ524313:QAQ524315 QKM524313:QKM524315 QUI524313:QUI524315 REE524313:REE524315 ROA524313:ROA524315 RXW524313:RXW524315 SHS524313:SHS524315 SRO524313:SRO524315 TBK524313:TBK524315 TLG524313:TLG524315 TVC524313:TVC524315 UEY524313:UEY524315 UOU524313:UOU524315 UYQ524313:UYQ524315 VIM524313:VIM524315 VSI524313:VSI524315 WCE524313:WCE524315 WMA524313:WMA524315 WVW524313:WVW524315 UEY327705:UEY327707 UOU327705:UOU327707 UYQ327705:UYQ327707 VIM327705:VIM327707 VSI327705:VSI327707 WCE327705:WCE327707 WMA327705:WMA327707 WVW327705:WVW327707 O393241:O393243 JK393241:JK393243 TG393241:TG393243 ADC393241:ADC393243 AMY393241:AMY393243 AWU393241:AWU393243 BGQ393241:BGQ393243 BQM393241:BQM393243 CAI393241:CAI393243 CKE393241:CKE393243 CUA393241:CUA393243 DDW393241:DDW393243 DNS393241:DNS393243 DXO393241:DXO393243 EHK393241:EHK393243 ERG393241:ERG393243 FBC393241:FBC393243 FKY393241:FKY393243 FUU393241:FUU393243 GEQ393241:GEQ393243 GOM393241:GOM393243 GYI393241:GYI393243 HIE393241:HIE393243 HSA393241:HSA393243 LCQ589849:LCQ589851 LMM589849:LMM589851 LWI589849:LWI589851 MGE589849:MGE589851 MQA589849:MQA589851 MZW589849:MZW589851 NJS589849:NJS589851 NTO589849:NTO589851 ODK589849:ODK589851 ONG589849:ONG589851 OXC589849:OXC589851 PGY589849:PGY589851 PQU589849:PQU589851 QAQ589849:QAQ589851 QKM589849:QKM589851 QUI589849:QUI589851 REE589849:REE589851 ROA589849:ROA589851 RXW589849:RXW589851 SHS589849:SHS589851 SRO589849:SRO589851 TBK589849:TBK589851 TLG589849:TLG589851 TVC589849:TVC589851 UEY589849:UEY589851 UOU589849:UOU589851 UYQ589849:UYQ589851 VIM589849:VIM589851 VSI589849:VSI589851 WCE589849:WCE589851 WMA589849:WMA589851 WVW589849:WVW589851 UEY393241:UEY393243 UOU393241:UOU393243 UYQ393241:UYQ393243 VIM393241:VIM393243 VSI393241:VSI393243 WCE393241:WCE393243 WMA393241:WMA393243 WVW393241:WVW393243 O458777:O458779 JK458777:JK458779 TG458777:TG458779 ADC458777:ADC458779 AMY458777:AMY458779 AWU458777:AWU458779 BGQ458777:BGQ458779 BQM458777:BQM458779 CAI458777:CAI458779 CKE458777:CKE458779 CUA458777:CUA458779 DDW458777:DDW458779 DNS458777:DNS458779 DXO458777:DXO458779 EHK458777:EHK458779 ERG458777:ERG458779 FBC458777:FBC458779 FKY458777:FKY458779 FUU458777:FUU458779 GEQ458777:GEQ458779 GOM458777:GOM458779 GYI458777:GYI458779 HIE458777:HIE458779 HSA458777:HSA458779 IBW458777:IBW458779 ILS458777:ILS458779 IVO458777:IVO458779 JFK458777:JFK458779 GOM262169:GOM262171 GYI262169:GYI262171 HIE262169:HIE262171 HSA262169:HSA262171 IBW262169:IBW262171 ILS262169:ILS262171 IVO262169:IVO262171 JFK262169:JFK262171 JPG262169:JPG262171 JZC262169:JZC262171 KIY262169:KIY262171 KSU262169:KSU262171 LCQ262169:LCQ262171 LMM262169:LMM262171 LWI262169:LWI262171 MGE262169:MGE262171 MQA262169:MQA262171 MZW262169:MZW262171 NJS262169:NJS262171 NTO262169:NTO262171 ODK262169:ODK262171 ONG262169:ONG262171 OXC262169:OXC262171 PGY262169:PGY262171 PQU262169:PQU262171 QAQ262169:QAQ262171 QKM262169:QKM262171 QUI262169:QUI262171 REE262169:REE262171 ROA262169:ROA262171 RXW262169:RXW262171 SHS262169:SHS262171 VSI458777:VSI458779 WCE458777:WCE458779 WMA458777:WMA458779 WVW458777:WVW458779 O524313:O524315 JK524313:JK524315 TG524313:TG524315 ADC524313:ADC524315 AMY524313:AMY524315 AWU524313:AWU524315 BGQ524313:BGQ524315 BQM524313:BQM524315 CAI524313:CAI524315 CKE524313:CKE524315 CUA524313:CUA524315 DDW524313:DDW524315 DNS524313:DNS524315 DXO524313:DXO524315 EHK524313:EHK524315 ERG524313:ERG524315 FBC524313:FBC524315 FKY524313:FKY524315 FUU524313:FUU524315 GEQ524313:GEQ524315 GOM524313:GOM524315 GYI524313:GYI524315 HIE524313:HIE524315 HSA524313:HSA524315 IBW524313:IBW524315 ILS524313:ILS524315 IVO524313:IVO524315 JFK524313:JFK524315 GOM327705:GOM327707 GYI327705:GYI327707 HIE327705:HIE327707 HSA327705:HSA327707 IBW327705:IBW327707 ILS327705:ILS327707 IVO327705:IVO327707 JFK327705:JFK327707 JPG327705:JPG327707 JZC327705:JZC327707 KIY327705:KIY327707 KSU327705:KSU327707 LCQ327705:LCQ327707 LMM327705:LMM327707 LWI327705:LWI327707 MGE327705:MGE327707 MQA327705:MQA327707 MZW327705:MZW327707 NJS327705:NJS327707 NTO327705:NTO327707 ODK327705:ODK327707 ONG327705:ONG327707 OXC327705:OXC327707 PGY327705:PGY327707 PQU327705:PQU327707 QAQ327705:QAQ327707 QKM327705:QKM327707 QUI327705:QUI327707 REE327705:REE327707 ROA327705:ROA327707 RXW327705:RXW327707 SHS327705:SHS327707 SRO327705:SRO327707 TBK327705:TBK327707 TLG327705:TLG327707 TVC327705:TVC327707 REE131097:REE131099 ROA131097:ROA131099 RXW131097:RXW131099 SHS131097:SHS131099 SRO131097:SRO131099 TBK131097:TBK131099 TLG131097:TLG131099 TVC131097:TVC131099 UEY131097:UEY131099 UOU131097:UOU131099 UYQ131097:UYQ131099 VIM131097:VIM131099 VSI131097:VSI131099 WCE131097:WCE131099 WMA131097:WMA131099 WVW131097:WVW131099 O196633:O196635 JK196633:JK196635 TG196633:TG196635 ADC196633:ADC196635 AMY196633:AMY196635 AWU196633:AWU196635 BGQ196633:BGQ196635 BQM196633:BQM196635 CAI196633:CAI196635 CKE196633:CKE196635 CUA196633:CUA196635 DDW196633:DDW196635 DNS196633:DNS196635 DXO196633:DXO196635 EHK196633:EHK196635 ERG196633:ERG196635 IBW393241:IBW393243 ILS393241:ILS393243 IVO393241:IVO393243 JFK393241:JFK393243 JPG393241:JPG393243 JZC393241:JZC393243 KIY393241:KIY393243 KSU393241:KSU393243 LCQ393241:LCQ393243 LMM393241:LMM393243 LWI393241:LWI393243 MGE393241:MGE393243 MQA393241:MQA393243 MZW393241:MZW393243 NJS393241:NJS393243 NTO393241:NTO393243 ODK393241:ODK393243 ONG393241:ONG393243 OXC393241:OXC393243 PGY393241:PGY393243 PQU393241:PQU393243 QAQ393241:QAQ393243 QKM393241:QKM393243 QUI393241:QUI393243 REE393241:REE393243 ROA393241:ROA393243 RXW393241:RXW393243 SHS393241:SHS393243 SRO393241:SRO393243 TBK393241:TBK393243 TLG393241:TLG393243 TVC393241:TVC393243 REE196633:REE196635 ROA196633:ROA196635 RXW196633:RXW196635 SHS196633:SHS196635 SRO196633:SRO196635 TBK196633:TBK196635 TLG196633:TLG196635 TVC196633:TVC196635 UEY196633:UEY196635 UOU196633:UOU196635 UYQ196633:UYQ196635 VIM196633:VIM196635 VSI196633:VSI196635 WCE196633:WCE196635 WMA196633:WMA196635 WVW196633:WVW196635 O262169:O262171 JK262169:JK262171 TG262169:TG262171 ADC262169:ADC262171 AMY262169:AMY262171 AWU262169:AWU262171 BGQ262169:BGQ262171 BQM262169:BQM262171 CAI262169:CAI262171 CKE262169:CKE262171 CUA262169:CUA262171 DDW262169:DDW262171 DNS262169:DNS262171 DXO262169:DXO262171 EHK262169:EHK262171 ERG262169:ERG262171 FBC262169:FBC262171 FKY262169:FKY262171 FUU262169:FUU262171 GEQ262169:GEQ262171 DNS65561:DNS65563 DXO65561:DXO65563 EHK65561:EHK65563 ERG65561:ERG65563 FBC65561:FBC65563 FKY65561:FKY65563 FUU65561:FUU65563 GEQ65561:GEQ65563 GOM65561:GOM65563 GYI65561:GYI65563 HIE65561:HIE65563 HSA65561:HSA65563 IBW65561:IBW65563 ILS65561:ILS65563 IVO65561:IVO65563 JFK65561:JFK65563 JPG65561:JPG65563 JZC65561:JZC65563 KIY65561:KIY65563 KSU65561:KSU65563 LCQ65561:LCQ65563 LMM65561:LMM65563 LWI65561:LWI65563 MGE65561:MGE65563 MQA65561:MQA65563 MZW65561:MZW65563 NJS65561:NJS65563 NTO65561:NTO65563 ODK65561:ODK65563 ONG65561:ONG65563 OXC65561:OXC65563 PGY65561:PGY65563 SRO262169:SRO262171 TBK262169:TBK262171 TLG262169:TLG262171 TVC262169:TVC262171 UEY262169:UEY262171 UOU262169:UOU262171 UYQ262169:UYQ262171 VIM262169:VIM262171 VSI262169:VSI262171 WCE262169:WCE262171 WMA262169:WMA262171 WVW262169:WVW262171 O327705:O327707 JK327705:JK327707 TG327705:TG327707 ADC327705:ADC327707 AMY327705:AMY327707 AWU327705:AWU327707 BGQ327705:BGQ327707 BQM327705:BQM327707 CAI327705:CAI327707 CKE327705:CKE327707 CUA327705:CUA327707 DDW327705:DDW327707 DNS327705:DNS327707 DXO327705:DXO327707 EHK327705:EHK327707 ERG327705:ERG327707 FBC327705:FBC327707 FKY327705:FKY327707 FUU327705:FUU327707 GEQ327705:GEQ327707 DNS131097:DNS131099 DXO131097:DXO131099 EHK131097:EHK131099 ERG131097:ERG131099 FBC131097:FBC131099 FKY131097:FKY131099 FUU131097:FUU131099 GEQ131097:GEQ131099 GOM131097:GOM131099 GYI131097:GYI131099 HIE131097:HIE131099 HSA131097:HSA131099 IBW131097:IBW131099 ILS131097:ILS131099 IVO131097:IVO131099 JFK131097:JFK131099 JPG131097:JPG131099 JZC131097:JZC131099 KIY131097:KIY131099 KSU131097:KSU131099 LCQ131097:LCQ131099 LMM131097:LMM131099 LWI131097:LWI131099 MGE131097:MGE131099 MQA131097:MQA131099 MZW131097:MZW131099 NJS131097:NJS131099 NTO131097:NTO131099 ODK131097:ODK131099 ONG131097:ONG131099 OXC131097:OXC131099 PGY131097:PGY131099 PQU131097:PQU131099 QAQ131097:QAQ131099 QKM131097:QKM131099 QUI131097:QUI131099 ODF983064:ODF983066 ONB983064:ONB983066 OWX983064:OWX983066 PGT983064:PGT983066 PQP983064:PQP983066 QAL983064:QAL983066 QKH983064:QKH983066 QUD983064:QUD983066 RDZ983064:RDZ983066 RNV983064:RNV983066 RXR983064:RXR983066 SHN983064:SHN983066 SRJ983064:SRJ983066 TBF983064:TBF983066 TLB983064:TLB983066 TUX983064:TUX983066 UET983064:UET983066 UOP983064:UOP983066 UYL983064:UYL983066 VIH983064:VIH983066 VSD983064:VSD983066 WBZ983064:WBZ983066 WLV983064:WLV983066 WVR983064:WVR983066 O25:O27 JK25:JK27 TG25:TG27 ADC25:ADC27 AMY25:AMY27 AWU25:AWU27 BGQ25:BGQ27 BQM25:BQM27 FBC196633:FBC196635 FKY196633:FKY196635 FUU196633:FUU196635 GEQ196633:GEQ196635 GOM196633:GOM196635 GYI196633:GYI196635 HIE196633:HIE196635 HSA196633:HSA196635 IBW196633:IBW196635 ILS196633:ILS196635 IVO196633:IVO196635 JFK196633:JFK196635 JPG196633:JPG196635 JZC196633:JZC196635 KIY196633:KIY196635 KSU196633:KSU196635 LCQ196633:LCQ196635 LMM196633:LMM196635 LWI196633:LWI196635 MGE196633:MGE196635 MQA196633:MQA196635 MZW196633:MZW196635 NJS196633:NJS196635 NTO196633:NTO196635 ODK196633:ODK196635 ONG196633:ONG196635 OXC196633:OXC196635 PGY196633:PGY196635 PQU196633:PQU196635 QAQ196633:QAQ196635 QKM196633:QKM196635 QUI196633:QUI196635 ODK25:ODK27 ONG25:ONG27 OXC25:OXC27 PGY25:PGY27 PQU25:PQU27 QAQ25:QAQ27 QKM25:QKM27 QUI25:QUI27 REE25:REE27 ROA25:ROA27 RXW25:RXW27 SHS25:SHS27 SRO25:SRO27 TBK25:TBK27 TLG25:TLG27 TVC25:TVC27 UEY25:UEY27 UOU25:UOU27 UYQ25:UYQ27 VIM25:VIM27 VSI25:VSI27 WCE25:WCE27 WMA25:WMA27 WVW25:WVW27 O65561:O65563 JK65561:JK65563 TG65561:TG65563 ADC65561:ADC65563 AMY65561:AMY65563 AWU65561:AWU65563 BGQ65561:BGQ65563 BQM65561:BQM65563 CAI65561:CAI65563 CKE65561:CKE65563 CUA65561:CUA65563 DDW65561:DDW65563 AMT917528:AMT917530 AWP917528:AWP917530 BGL917528:BGL917530 BQH917528:BQH917530 CAD917528:CAD917530 CJZ917528:CJZ917530 CTV917528:CTV917530 DDR917528:DDR917530 DNN917528:DNN917530 DXJ917528:DXJ917530 EHF917528:EHF917530 ERB917528:ERB917530 FAX917528:FAX917530 FKT917528:FKT917530 FUP917528:FUP917530 GEL917528:GEL917530 GOH917528:GOH917530 GYD917528:GYD917530 HHZ917528:HHZ917530 HRV917528:HRV917530 IBR917528:IBR917530 ILN917528:ILN917530 IVJ917528:IVJ917530 JFF917528:JFF917530 JPB917528:JPB917530 JYX917528:JYX917530 KIT917528:KIT917530 KSP917528:KSP917530 LCL917528:LCL917530 LMH917528:LMH917530 LWD917528:LWD917530 MFZ917528:MFZ917530 PQU65561:PQU65563 QAQ65561:QAQ65563 QKM65561:QKM65563 QUI65561:QUI65563 REE65561:REE65563 ROA65561:ROA65563 RXW65561:RXW65563 SHS65561:SHS65563 SRO65561:SRO65563 TBK65561:TBK65563 TLG65561:TLG65563 TVC65561:TVC65563 UEY65561:UEY65563 UOU65561:UOU65563 UYQ65561:UYQ65563 VIM65561:VIM65563 VSI65561:VSI65563 WCE65561:WCE65563 WMA65561:WMA65563 WVW65561:WVW65563 O131097:O131099 JK131097:JK131099 TG131097:TG131099 ADC131097:ADC131099 AMY131097:AMY131099 AWU131097:AWU131099 BGQ131097:BGQ131099 BQM131097:BQM131099 CAI131097:CAI131099 CKE131097:CKE131099 CUA131097:CUA131099 DDW131097:DDW131099 AMT983064:AMT983066 AWP983064:AWP983066 BGL983064:BGL983066 BQH983064:BQH983066 CAD983064:CAD983066 CJZ983064:CJZ983066 CTV983064:CTV983066 DDR983064:DDR983066 DNN983064:DNN983066 DXJ983064:DXJ983066 EHF983064:EHF983066 ERB983064:ERB983066 FAX983064:FAX983066 FKT983064:FKT983066 FUP983064:FUP983066 GEL983064:GEL983066 GOH983064:GOH983066 GYD983064:GYD983066 HHZ983064:HHZ983066 HRV983064:HRV983066 IBR983064:IBR983066 ILN983064:ILN983066 IVJ983064:IVJ983066 JFF983064:JFF983066 JPB983064:JPB983066 JYX983064:JYX983066 KIT983064:KIT983066 KSP983064:KSP983066 LCL983064:LCL983066 LMH983064:LMH983066 LWD983064:LWD983066 MFZ983064:MFZ983066 MPV983064:MPV983066 MZR983064:MZR983066 NJN983064:NJN983066 NTJ983064:NTJ983066 LCL786456:LCL786458 LMH786456:LMH786458 LWD786456:LWD786458 MFZ786456:MFZ786458 MPV786456:MPV786458 MZR786456:MZR786458 NJN786456:NJN786458 NTJ786456:NTJ786458 ODF786456:ODF786458 ONB786456:ONB786458 OWX786456:OWX786458 PGT786456:PGT786458 PQP786456:PQP786458 QAL786456:QAL786458 QKH786456:QKH786458 QUD786456:QUD786458 RDZ786456:RDZ786458 RNV786456:RNV786458 RXR786456:RXR786458 SHN786456:SHN786458 SRJ786456:SRJ786458 TBF786456:TBF786458 TLB786456:TLB786458 TUX786456:TUX786458 UET786456:UET786458 UOP786456:UOP786458 UYL786456:UYL786458 VIH786456:VIH786458 VSD786456:VSD786458 WBZ786456:WBZ786458 WLV786456:WLV786458 WVR786456:WVR786458 CAI25:CAI27 CKE25:CKE27 CUA25:CUA27 DDW25:DDW27 DNS25:DNS27 DXO25:DXO27 EHK25:EHK27 ERG25:ERG27 FBC25:FBC27 FKY25:FKY27 FUU25:FUU27 GEQ25:GEQ27 GOM25:GOM27 GYI25:GYI27 HIE25:HIE27 HSA25:HSA27 IBW25:IBW27 ILS25:ILS27 IVO25:IVO27 JFK25:JFK27 JPG25:JPG27 JZC25:JZC27 KIY25:KIY27 KSU25:KSU27 LCQ25:LCQ27 LMM25:LMM27 LWI25:LWI27 MGE25:MGE27 MQA25:MQA27 MZW25:MZW27 NJS25:NJS27 NTO25:NTO27 LCL851992:LCL851994 LMH851992:LMH851994 LWD851992:LWD851994 MFZ851992:MFZ851994 MPV851992:MPV851994 MZR851992:MZR851994 NJN851992:NJN851994 NTJ851992:NTJ851994 ODF851992:ODF851994 ONB851992:ONB851994 OWX851992:OWX851994 PGT851992:PGT851994 PQP851992:PQP851994 QAL851992:QAL851994 QKH851992:QKH851994 QUD851992:QUD851994 RDZ851992:RDZ851994 RNV851992:RNV851994 RXR851992:RXR851994 SHN851992:SHN851994 SRJ851992:SRJ851994 TBF851992:TBF851994 TLB851992:TLB851994 TUX851992:TUX851994 UET851992:UET851994 UOP851992:UOP851994 UYL851992:UYL851994 VIH851992:VIH851994 VSD851992:VSD851994 WBZ851992:WBZ851994 WLV851992:WLV851994 WVR851992:WVR851994 J917528:J917530 JF917528:JF917530 TB917528:TB917530 ACX917528:ACX917530 VSD655384:VSD655386 WBZ655384:WBZ655386 WLV655384:WLV655386 WVR655384:WVR655386 J720920:J720922 JF720920:JF720922 TB720920:TB720922 ACX720920:ACX720922 AMT720920:AMT720922 AWP720920:AWP720922 BGL720920:BGL720922 BQH720920:BQH720922 CAD720920:CAD720922 CJZ720920:CJZ720922 CTV720920:CTV720922 DDR720920:DDR720922 DNN720920:DNN720922 DXJ720920:DXJ720922 EHF720920:EHF720922 ERB720920:ERB720922 FAX720920:FAX720922 FKT720920:FKT720922 FUP720920:FUP720922 GEL720920:GEL720922 GOH720920:GOH720922 GYD720920:GYD720922 HHZ720920:HHZ720922 HRV720920:HRV720922 IBR720920:IBR720922 ILN720920:ILN720922 IVJ720920:IVJ720922 JFF720920:JFF720922 MPV917528:MPV917530 MZR917528:MZR917530 NJN917528:NJN917530 NTJ917528:NTJ917530 ODF917528:ODF917530 ONB917528:ONB917530 OWX917528:OWX917530 PGT917528:PGT917530 PQP917528:PQP917530 QAL917528:QAL917530 QKH917528:QKH917530 QUD917528:QUD917530 RDZ917528:RDZ917530 RNV917528:RNV917530 RXR917528:RXR917530 SHN917528:SHN917530 SRJ917528:SRJ917530 TBF917528:TBF917530 TLB917528:TLB917530 TUX917528:TUX917530 UET917528:UET917530 UOP917528:UOP917530 UYL917528:UYL917530 VIH917528:VIH917530 VSD917528:VSD917530 WBZ917528:WBZ917530 WLV917528:WLV917530 WVR917528:WVR917530 J983064:J983066 JF983064:JF983066 TB983064:TB983066 ACX983064:ACX983066 VSD720920:VSD720922 WBZ720920:WBZ720922 WLV720920:WLV720922 WVR720920:WVR720922 J786456:J786458 JF786456:JF786458 TB786456:TB786458 ACX786456:ACX786458 AMT786456:AMT786458 AWP786456:AWP786458 BGL786456:BGL786458 BQH786456:BQH786458 CAD786456:CAD786458 CJZ786456:CJZ786458 CTV786456:CTV786458 DDR786456:DDR786458 DNN786456:DNN786458 DXJ786456:DXJ786458 EHF786456:EHF786458 ERB786456:ERB786458 FAX786456:FAX786458 FKT786456:FKT786458 FUP786456:FUP786458 GEL786456:GEL786458 GOH786456:GOH786458 GYD786456:GYD786458 HHZ786456:HHZ786458 HRV786456:HRV786458 IBR786456:IBR786458 ILN786456:ILN786458 IVJ786456:IVJ786458 JFF786456:JFF786458 JPB786456:JPB786458 JYX786456:JYX786458 KIT786456:KIT786458 KSP786456:KSP786458 IBR589848:IBR589850 ILN589848:ILN589850 IVJ589848:IVJ589850 JFF589848:JFF589850 JPB589848:JPB589850 JYX589848:JYX589850 KIT589848:KIT589850 KSP589848:KSP589850 LCL589848:LCL589850 LMH589848:LMH589850 LWD589848:LWD589850 MFZ589848:MFZ589850 MPV589848:MPV589850 MZR589848:MZR589850 NJN589848:NJN589850 NTJ589848:NTJ589850 ODF589848:ODF589850 ONB589848:ONB589850 OWX589848:OWX589850 PGT589848:PGT589850 PQP589848:PQP589850 QAL589848:QAL589850 QKH589848:QKH589850 QUD589848:QUD589850 RDZ589848:RDZ589850 RNV589848:RNV589850 RXR589848:RXR589850 SHN589848:SHN589850 SRJ589848:SRJ589850 TBF589848:TBF589850 TLB589848:TLB589850 TUX589848:TUX589850 J851992:J851994 JF851992:JF851994 TB851992:TB851994 ACX851992:ACX851994 AMT851992:AMT851994 AWP851992:AWP851994 BGL851992:BGL851994 BQH851992:BQH851994 CAD851992:CAD851994 CJZ851992:CJZ851994 CTV851992:CTV851994 DDR851992:DDR851994 DNN851992:DNN851994 DXJ851992:DXJ851994 EHF851992:EHF851994 ERB851992:ERB851994 FAX851992:FAX851994 FKT851992:FKT851994 FUP851992:FUP851994 GEL851992:GEL851994 GOH851992:GOH851994 GYD851992:GYD851994 HHZ851992:HHZ851994 HRV851992:HRV851994 IBR851992:IBR851994 ILN851992:ILN851994 IVJ851992:IVJ851994 JFF851992:JFF851994 JPB851992:JPB851994 JYX851992:JYX851994 KIT851992:KIT851994 KSP851992:KSP851994 IBR655384:IBR655386 ILN655384:ILN655386 IVJ655384:IVJ655386 JFF655384:JFF655386 JPB655384:JPB655386 JYX655384:JYX655386 KIT655384:KIT655386 KSP655384:KSP655386 LCL655384:LCL655386 LMH655384:LMH655386 LWD655384:LWD655386 MFZ655384:MFZ655386 MPV655384:MPV655386 MZR655384:MZR655386 NJN655384:NJN655386 NTJ655384:NTJ655386 ODF655384:ODF655386 ONB655384:ONB655386 OWX655384:OWX655386 PGT655384:PGT655386 PQP655384:PQP655386 QAL655384:QAL655386 QKH655384:QKH655386 QUD655384:QUD655386 RDZ655384:RDZ655386 RNV655384:RNV655386 RXR655384:RXR655386 SHN655384:SHN655386 SRJ655384:SRJ655386 TBF655384:TBF655386 TLB655384:TLB655386 TUX655384:TUX655386 UET655384:UET655386 UOP655384:UOP655386 UYL655384:UYL655386 VIH655384:VIH655386 SRJ458776:SRJ458778 TBF458776:TBF458778 TLB458776:TLB458778 TUX458776:TUX458778 UET458776:UET458778 UOP458776:UOP458778 UYL458776:UYL458778 VIH458776:VIH458778 VSD458776:VSD458778 WBZ458776:WBZ458778 WLV458776:WLV458778 WVR458776:WVR458778 J524312:J524314 JF524312:JF524314 TB524312:TB524314 ACX524312:ACX524314 AMT524312:AMT524314 AWP524312:AWP524314 BGL524312:BGL524314 BQH524312:BQH524314 CAD524312:CAD524314 CJZ524312:CJZ524314 CTV524312:CTV524314 DDR524312:DDR524314 DNN524312:DNN524314 DXJ524312:DXJ524314 EHF524312:EHF524314 ERB524312:ERB524314 FAX524312:FAX524314 FKT524312:FKT524314 FUP524312:FUP524314 GEL524312:GEL524314 JPB720920:JPB720922 JYX720920:JYX720922 KIT720920:KIT720922 KSP720920:KSP720922 LCL720920:LCL720922 LMH720920:LMH720922 LWD720920:LWD720922 MFZ720920:MFZ720922 MPV720920:MPV720922 MZR720920:MZR720922 NJN720920:NJN720922 NTJ720920:NTJ720922 ODF720920:ODF720922 ONB720920:ONB720922 OWX720920:OWX720922 PGT720920:PGT720922 PQP720920:PQP720922 QAL720920:QAL720922 QKH720920:QKH720922 QUD720920:QUD720922 RDZ720920:RDZ720922 RNV720920:RNV720922 RXR720920:RXR720922 SHN720920:SHN720922 SRJ720920:SRJ720922 TBF720920:TBF720922 TLB720920:TLB720922 TUX720920:TUX720922 UET720920:UET720922 UOP720920:UOP720922 UYL720920:UYL720922 VIH720920:VIH720922 SRJ524312:SRJ524314 TBF524312:TBF524314 TLB524312:TLB524314 TUX524312:TUX524314 UET524312:UET524314 UOP524312:UOP524314 UYL524312:UYL524314 VIH524312:VIH524314 VSD524312:VSD524314 WBZ524312:WBZ524314 WLV524312:WLV524314 WVR524312:WVR524314 J589848:J589850 JF589848:JF589850 TB589848:TB589850 ACX589848:ACX589850 AMT589848:AMT589850 AWP589848:AWP589850 BGL589848:BGL589850 BQH589848:BQH589850 CAD589848:CAD589850 CJZ589848:CJZ589850 CTV589848:CTV589850 DDR589848:DDR589850 DNN589848:DNN589850 DXJ589848:DXJ589850 EHF589848:EHF589850 ERB589848:ERB589850 FAX589848:FAX589850 FKT589848:FKT589850 FUP589848:FUP589850 GEL589848:GEL589850 GOH589848:GOH589850 GYD589848:GYD589850 HHZ589848:HHZ589850 HRV589848:HRV589850 FAX393240:FAX393242 FKT393240:FKT393242 FUP393240:FUP393242 GEL393240:GEL393242 GOH393240:GOH393242 GYD393240:GYD393242 HHZ393240:HHZ393242 HRV393240:HRV393242 IBR393240:IBR393242 ILN393240:ILN393242 IVJ393240:IVJ393242 JFF393240:JFF393242 JPB393240:JPB393242 JYX393240:JYX393242 KIT393240:KIT393242 KSP393240:KSP393242 LCL393240:LCL393242 LMH393240:LMH393242 LWD393240:LWD393242 MFZ393240:MFZ393242 MPV393240:MPV393242 MZR393240:MZR393242 NJN393240:NJN393242 NTJ393240:NTJ393242 ODF393240:ODF393242 ONB393240:ONB393242 OWX393240:OWX393242 PGT393240:PGT393242 PQP393240:PQP393242 QAL393240:QAL393242 QKH393240:QKH393242 QUD393240:QUD393242 UET589848:UET589850 UOP589848:UOP589850 UYL589848:UYL589850 VIH589848:VIH589850 VSD589848:VSD589850 WBZ589848:WBZ589850 WLV589848:WLV589850 WVR589848:WVR589850 J655384:J655386 JF655384:JF655386 TB655384:TB655386 ACX655384:ACX655386 AMT655384:AMT655386 AWP655384:AWP655386 BGL655384:BGL655386 BQH655384:BQH655386 CAD655384:CAD655386 CJZ655384:CJZ655386 CTV655384:CTV655386 DDR655384:DDR655386 DNN655384:DNN655386 DXJ655384:DXJ655386 EHF655384:EHF655386 ERB655384:ERB655386 FAX655384:FAX655386 FKT655384:FKT655386 FUP655384:FUP655386 GEL655384:GEL655386 GOH655384:GOH655386 GYD655384:GYD655386 HHZ655384:HHZ655386 HRV655384:HRV655386 FAX458776:FAX458778 FKT458776:FKT458778 FUP458776:FUP458778 GEL458776:GEL458778 GOH458776:GOH458778 GYD458776:GYD458778 HHZ458776:HHZ458778 HRV458776:HRV458778 IBR458776:IBR458778 ILN458776:ILN458778 IVJ458776:IVJ458778 JFF458776:JFF458778 JPB458776:JPB458778 JYX458776:JYX458778 KIT458776:KIT458778 KSP458776:KSP458778 LCL458776:LCL458778 LMH458776:LMH458778 LWD458776:LWD458778 MFZ458776:MFZ458778 MPV458776:MPV458778 MZR458776:MZR458778 NJN458776:NJN458778 NTJ458776:NTJ458778 ODF458776:ODF458778 ONB458776:ONB458778 OWX458776:OWX458778 PGT458776:PGT458778 PQP458776:PQP458778 QAL458776:QAL458778 QKH458776:QKH458778 QUD458776:QUD458778 RDZ458776:RDZ458778 RNV458776:RNV458778 RXR458776:RXR458778 SHN458776:SHN458778 PQP262168:PQP262170 QAL262168:QAL262170 QKH262168:QKH262170 QUD262168:QUD262170 RDZ262168:RDZ262170 RNV262168:RNV262170 RXR262168:RXR262170 SHN262168:SHN262170 SRJ262168:SRJ262170 TBF262168:TBF262170 TLB262168:TLB262170 TUX262168:TUX262170 UET262168:UET262170 UOP262168:UOP262170 UYL262168:UYL262170 VIH262168:VIH262170 VSD262168:VSD262170 WBZ262168:WBZ262170 WLV262168:WLV262170 WVR262168:WVR262170 J327704:J327706 JF327704:JF327706 TB327704:TB327706 ACX327704:ACX327706 AMT327704:AMT327706 AWP327704:AWP327706 BGL327704:BGL327706 BQH327704:BQH327706 CAD327704:CAD327706 CJZ327704:CJZ327706 CTV327704:CTV327706 DDR327704:DDR327706 GOH524312:GOH524314 GYD524312:GYD524314 HHZ524312:HHZ524314 HRV524312:HRV524314 IBR524312:IBR524314 ILN524312:ILN524314 IVJ524312:IVJ524314 JFF524312:JFF524314 JPB524312:JPB524314 JYX524312:JYX524314 KIT524312:KIT524314 KSP524312:KSP524314 LCL524312:LCL524314 LMH524312:LMH524314 LWD524312:LWD524314 MFZ524312:MFZ524314 MPV524312:MPV524314 MZR524312:MZR524314 NJN524312:NJN524314 NTJ524312:NTJ524314 ODF524312:ODF524314 ONB524312:ONB524314 OWX524312:OWX524314 PGT524312:PGT524314 PQP524312:PQP524314 QAL524312:QAL524314 QKH524312:QKH524314 QUD524312:QUD524314 RDZ524312:RDZ524314 RNV524312:RNV524314 RXR524312:RXR524314 SHN524312:SHN524314 PQP327704:PQP327706 QAL327704:QAL327706 QKH327704:QKH327706 QUD327704:QUD327706 RDZ327704:RDZ327706 RNV327704:RNV327706 RXR327704:RXR327706 SHN327704:SHN327706 SRJ327704:SRJ327706 TBF327704:TBF327706 TLB327704:TLB327706 TUX327704:TUX327706 UET327704:UET327706 UOP327704:UOP327706 UYL327704:UYL327706 VIH327704:VIH327706 VSD327704:VSD327706 WBZ327704:WBZ327706 WLV327704:WLV327706 WVR327704:WVR327706 J393240:J393242 JF393240:JF393242 TB393240:TB393242 ACX393240:ACX393242 AMT393240:AMT393242 AWP393240:AWP393242 BGL393240:BGL393242 BQH393240:BQH393242 CAD393240:CAD393242 CJZ393240:CJZ393242 CTV393240:CTV393242 DDR393240:DDR393242 DNN393240:DNN393242 DXJ393240:DXJ393242 EHF393240:EHF393242 ERB393240:ERB393242 CAD196632:CAD196634 CJZ196632:CJZ196634 CTV196632:CTV196634 DDR196632:DDR196634 DNN196632:DNN196634 DXJ196632:DXJ196634 EHF196632:EHF196634 ERB196632:ERB196634 FAX196632:FAX196634 FKT196632:FKT196634 FUP196632:FUP196634 GEL196632:GEL196634 GOH196632:GOH196634 GYD196632:GYD196634 HHZ196632:HHZ196634 HRV196632:HRV196634 IBR196632:IBR196634 ILN196632:ILN196634 IVJ196632:IVJ196634 JFF196632:JFF196634 JPB196632:JPB196634 JYX196632:JYX196634 KIT196632:KIT196634 KSP196632:KSP196634 LCL196632:LCL196634 LMH196632:LMH196634 LWD196632:LWD196634 MFZ196632:MFZ196634 MPV196632:MPV196634 MZR196632:MZR196634 NJN196632:NJN196634 NTJ196632:NTJ196634 RDZ393240:RDZ393242 RNV393240:RNV393242 RXR393240:RXR393242 SHN393240:SHN393242 SRJ393240:SRJ393242 TBF393240:TBF393242 TLB393240:TLB393242 TUX393240:TUX393242 UET393240:UET393242 UOP393240:UOP393242 UYL393240:UYL393242 VIH393240:VIH393242 VSD393240:VSD393242 WBZ393240:WBZ393242 WLV393240:WLV393242 WVR393240:WVR393242 J458776:J458778 JF458776:JF458778 TB458776:TB458778 ACX458776:ACX458778 AMT458776:AMT458778 AWP458776:AWP458778 BGL458776:BGL458778 BQH458776:BQH458778 CAD458776:CAD458778 CJZ458776:CJZ458778 CTV458776:CTV458778 DDR458776:DDR458778 DNN458776:DNN458778 DXJ458776:DXJ458778 EHF458776:EHF458778 ERB458776:ERB458778 CAD262168:CAD262170 CJZ262168:CJZ262170 CTV262168:CTV262170 DDR262168:DDR262170 DNN262168:DNN262170 DXJ262168:DXJ262170 EHF262168:EHF262170 ERB262168:ERB262170 FAX262168:FAX262170 FKT262168:FKT262170 FUP262168:FUP262170 GEL262168:GEL262170 GOH262168:GOH262170 GYD262168:GYD262170 HHZ262168:HHZ262170 HRV262168:HRV262170 IBR262168:IBR262170 ILN262168:ILN262170 IVJ262168:IVJ262170 JFF262168:JFF262170 JPB262168:JPB262170 JYX262168:JYX262170 KIT262168:KIT262170 KSP262168:KSP262170 LCL262168:LCL262170 LMH262168:LMH262170 LWD262168:LWD262170 MFZ262168:MFZ262170 MPV262168:MPV262170 MZR262168:MZR262170 NJN262168:NJN262170 NTJ262168:NTJ262170 ODF262168:ODF262170 ONB262168:ONB262170 OWX262168:OWX262170 PGT262168:PGT262170 MPV65560:MPV65562 MZR65560:MZR65562 NJN65560:NJN65562 NTJ65560:NTJ65562 ODF65560:ODF65562 ONB65560:ONB65562 OWX65560:OWX65562 PGT65560:PGT65562 PQP65560:PQP65562 QAL65560:QAL65562 QKH65560:QKH65562 QUD65560:QUD65562 RDZ65560:RDZ65562 RNV65560:RNV65562 RXR65560:RXR65562 SHN65560:SHN65562 SRJ65560:SRJ65562 TBF65560:TBF65562 TLB65560:TLB65562 TUX65560:TUX65562 UET65560:UET65562 UOP65560:UOP65562 UYL65560:UYL65562 VIH65560:VIH65562 VSD65560:VSD65562 WBZ65560:WBZ65562 WLV65560:WLV65562 WVR65560:WVR65562 J131096:J131098 JF131096:JF131098 TB131096:TB131098 ACX131096:ACX131098 DNN327704:DNN327706 DXJ327704:DXJ327706 EHF327704:EHF327706 ERB327704:ERB327706 FAX327704:FAX327706 FKT327704:FKT327706 FUP327704:FUP327706 GEL327704:GEL327706 GOH327704:GOH327706 GYD327704:GYD327706 HHZ327704:HHZ327706 HRV327704:HRV327706 IBR327704:IBR327706 ILN327704:ILN327706 IVJ327704:IVJ327706 JFF327704:JFF327706 JPB327704:JPB327706 JYX327704:JYX327706 KIT327704:KIT327706 KSP327704:KSP327706 LCL327704:LCL327706 LMH327704:LMH327706 LWD327704:LWD327706 MFZ327704:MFZ327706 MPV327704:MPV327706 MZR327704:MZR327706 NJN327704:NJN327706 NTJ327704:NTJ327706 ODF327704:ODF327706 ONB327704:ONB327706 OWX327704:OWX327706 PGT327704:PGT327706 AMT131096:AMT131098 AWP131096:AWP131098 BGL131096:BGL131098 BQH131096:BQH131098 CAD131096:CAD131098 CJZ131096:CJZ131098 CTV131096:CTV131098 DDR131096:DDR131098 DNN131096:DNN131098 DXJ131096:DXJ131098 EHF131096:EHF131098 ERB131096:ERB131098 FAX131096:FAX131098 FKT131096:FKT131098 FUP131096:FUP131098 GEL131096:GEL131098 GOH131096:GOH131098 GYD131096:GYD131098 HHZ131096:HHZ131098 HRV131096:HRV131098 IBR131096:IBR131098 ILN131096:ILN131098 IVJ131096:IVJ131098 JFF131096:JFF131098 JPB131096:JPB131098 JYX131096:JYX131098 KIT131096:KIT131098 KSP131096:KSP131098 LCL131096:LCL131098 LMH131096:LMH131098 LWD131096:LWD131098 MFZ131096:MFZ131098 MPV131096:MPV131098 MZR131096:MZR131098 NJN131096:NJN131098 NTJ131096:NTJ131098 ODF131096:ODF131098 ONB131096:ONB131098 OWX131096:OWX131098 PGT131096:PGT131098 PQP131096:PQP131098 QAL131096:QAL131098 QKH131096:QKH131098 QUD131096:QUD131098 RDZ131096:RDZ131098 RNV131096:RNV131098 RXR131096:RXR131098 SHN131096:SHN131098 SRJ131096:SRJ131098 TBF131096:TBF131098 TLB131096:TLB131098 TUX131096:TUX131098 UET131096:UET131098 UOP131096:UOP131098 UYL131096:UYL131098 VIH131096:VIH131098 VSD131096:VSD131098 WBZ131096:WBZ131098 WLV131096:WLV131098 WVR131096:WVR131098 J196632:J196634 JF196632:JF196634 TB196632:TB196634 ACX196632:ACX196634 AMT196632:AMT196634 AWP196632:AWP196634 BGL196632:BGL196634 BQH196632:BQH196634 ODF196632:ODF196634 ONB196632:ONB196634 OWX196632:OWX196634 PGT196632:PGT196634 PQP196632:PQP196634 QAL196632:QAL196634 QKH196632:QKH196634 QUD196632:QUD196634 RDZ196632:RDZ196634 RNV196632:RNV196634 RXR196632:RXR196634 SHN196632:SHN196634 SRJ196632:SRJ196634 TBF196632:TBF196634 TLB196632:TLB196634 TUX196632:TUX196634 UET196632:UET196634 UOP196632:UOP196634 UYL196632:UYL196634 VIH196632:VIH196634 VSD196632:VSD196634 WBZ196632:WBZ196634 WLV196632:WLV196634 WVR196632:WVR196634 J262168:J262170 JF262168:JF262170 TB262168:TB262170 ACX262168:ACX262170 AMT262168:AMT262170 AWP262168:AWP262170 BGL262168:BGL262170 L10:L18" xr:uid="{00000000-0002-0000-0A00-000084000000}">
      <formula1>0</formula1>
    </dataValidation>
    <dataValidation type="whole" operator="greaterThanOrEqual" allowBlank="1" showInputMessage="1" showErrorMessage="1" sqref="J23 JF23 TB23 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TLB917527 TUX917527 UET917527 UOP917527 UYL917527 VIH917527 VSD917527 WBZ917527 WLV917527 WVR917527 J983063 JF983063 TB983063 ACX983063 AMT983063 AWP983063 BGL983063 BQH983063 CAD983063 CJZ983063 CTV983063 DDR983063 DNN983063 DXJ983063 EHF983063 FUP851991 GEL851991 GOH851991 GYD851991 HHZ851991 HRV851991 IBR851991 ILN851991 IVJ851991 JFF851991 JPB851991 JYX851991 KIT851991 KSP851991 LCL851991 LMH851991 LWD851991 MFZ851991 MPV851991 MZR851991 NJN851991 NTJ851991 ODF851991 ONB851991 OWX851991 ODF983063 ONB983063 OWX983063 PGT983063 PQP983063 QAL983063 QKH983063 QUD983063 RDZ983063 RNV983063 RXR983063 SHN983063 SRJ983063 TBF983063 TLB983063 TUX983063 UET983063 UOP983063 UYL983063 VIH983063 VSD983063 WBZ983063 WLV983063 WVR983063 N36:N39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QKH720919 QUD720919 RDZ720919 RNV720919 RXR720919 SHN720919 SRJ720919 TBF720919 TLB720919 TUX720919 UET720919 UOP720919 UYL720919 VIH720919 VSD720919 WBZ720919 WLV720919 WVR720919 J786455 JF786455 TB786455 ACX786455 AMT786455 AWP786455 BGL786455 ERB983063 FAX983063 FKT983063 FUP983063 GEL983063 GOH983063 GYD983063 HHZ983063 HRV983063 IBR983063 ILN983063 IVJ983063 JFF983063 JPB983063 JYX983063 KIT983063 KSP983063 LCL983063 LMH983063 LWD983063 MFZ983063 MPV983063 MZR983063 NJN983063 NTJ983063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J851991 JF851991 TB851991 ACX851991 AMT851991 AWP851991 BGL851991 BQH851991 CAD851991 CJZ851991 CTV851991 DDR851991 DNN851991 DXJ851991 EHF851991 ERB851991 FAX851991 FKT851991 CTV655383 DDR655383 DNN655383 DXJ655383 EHF655383 ERB655383 FAX655383 FKT655383 FUP655383 GEL655383 GOH655383 GYD655383 HHZ655383 HRV655383 IBR655383 ILN655383 IVJ655383 JFF655383 JPB655383 JYX655383 KIT655383 KSP655383 LCL655383 LMH655383 LWD655383 PGT851991 PQP851991 QAL851991 QKH851991 QUD851991 RDZ851991 RNV851991 RXR851991 SHN851991 SRJ851991 TBF851991 TLB851991 TUX851991 UET851991 UOP851991 UYL851991 VIH851991 VSD851991 WBZ851991 WLV851991 WVR851991 J917527 JF917527 TB917527 ACX917527 VSD655383 WBZ655383 WLV655383 WVR655383 J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NJN524311 NTJ524311 ODF524311 ONB524311 OWX524311 PGT524311 PQP524311 QAL524311 QKH524311 QUD524311 RDZ524311 RNV524311 RXR524311 SHN524311 SRJ524311 TBF524311 TLB524311 TUX524311 UET524311 UOP524311 UYL524311 VIH524311 VSD524311 WBZ524311 WLV524311 BQH786455 CAD786455 CJZ786455 CTV786455 DDR786455 DNN786455 DXJ786455 EHF786455 ERB786455 FAX786455 FKT786455 FUP786455 GEL786455 GOH786455 GYD786455 HHZ786455 HRV786455 IBR786455 ILN786455 IVJ786455 JFF786455 JPB786455 JYX786455 KIT786455 KSP786455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J655383 JF655383 TB655383 ACX655383 AMT655383 AWP655383 BGL655383 BQH655383 CAD655383 CJZ655383 TB458775 ACX458775 AMT458775 AWP458775 BGL458775 BQH458775 CAD458775 CJZ458775 CTV458775 DDR458775 DNN458775 DXJ458775 EHF458775 ERB458775 FAX458775 FKT458775 FUP458775 GEL458775 GOH458775 GYD458775 HHZ458775 HRV458775 IBR458775 ILN458775 IVJ458775 MFZ655383 MPV655383 MZR655383 NJN655383 NTJ655383 ODF655383 ONB655383 OWX655383 PGT655383 PQP655383 QAL655383 QKH655383 QUD655383 RDZ655383 RNV655383 RXR655383 SHN655383 SRJ655383 TBF655383 TLB655383 TUX655383 UET655383 UOP655383 UYL655383 VIH655383 SRJ458775 TBF458775 TLB458775 TUX458775 UET458775 UOP458775 UYL458775 VIH458775 VSD458775 WBZ458775 WLV458775 WVR458775 J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KIT327703 KSP327703 LCL327703 LMH327703 LWD327703 MFZ327703 MPV327703 MZR327703 NJN327703 NTJ327703 ODF327703 ONB327703 OWX327703 PGT327703 PQP327703 QAL327703 QKH327703 QUD327703 RDZ327703 RNV327703 RXR327703 SHN327703 SRJ327703 TBF327703 TLB327703 WVR524311 J589847 JF589847 TB589847 ACX589847 AMT589847 AWP589847 BGL589847 BQH589847 CAD589847 CJZ589847 CTV589847 DDR589847 DNN589847 DXJ589847 EHF589847 ERB589847 FAX589847 FKT589847 FUP589847 GEL589847 GOH589847 GYD589847 HHZ589847 HRV589847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J458775 JF458775 UYL196631 VIH196631 VSD196631 WBZ196631 WLV196631 WVR196631 J262167 JF262167 TB262167 ACX262167 AMT262167 AWP262167 BGL262167 BQH262167 CAD262167 CJZ262167 CTV262167 DDR262167 DNN262167 DXJ262167 EHF262167 ERB262167 FAX262167 FKT262167 FUP262167 JFF458775 JPB458775 JYX458775 KIT458775 KSP458775 LCL458775 LMH458775 LWD458775 MFZ458775 MPV458775 MZR458775 NJN458775 NTJ458775 ODF458775 ONB458775 OWX458775 PGT458775 PQP458775 QAL458775 QKH458775 QUD458775 RDZ458775 RNV458775 RXR458775 SHN458775 PQP262167 QAL262167 QKH262167 QUD262167 RDZ262167 RNV262167 RXR262167 SHN262167 SRJ262167 TBF262167 TLB262167 TUX262167 UET262167 UOP262167 UYL262167 VIH262167 VSD262167 WBZ262167 WLV262167 WVR262167 J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HHZ131095 HRV131095 IBR131095 ILN131095 IVJ131095 JFF131095 JPB131095 JYX131095 KIT131095 KSP131095 LCL131095 LMH131095 LWD131095 MFZ131095 MPV131095 MZR131095 NJN131095 NTJ131095 ODF131095 ONB131095 OWX131095 PGT131095 PQP131095 QAL131095 QKH131095 TUX327703 UET327703 UOP327703 UYL327703 VIH327703 VSD327703 WBZ327703 WLV327703 WVR327703 J393239 JF393239 TB393239 ACX393239 AMT393239 AWP393239 BGL393239 BQH393239 CAD393239 CJZ393239 CTV393239 DDR393239 DNN393239 DXJ393239 EHF393239 ERB393239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QUD131095 RDZ131095 RNV131095 RXR131095 SHN131095 SRJ131095 TBF131095 TLB131095 TUX131095 UET131095 UOP131095 UYL131095 VIH131095 VSD131095 WBZ131095 WLV131095 WVR131095 J196631 JF196631 TB196631 ACX196631 AMT196631 AWP196631 BGL196631 BQH196631 GEL262167 GOH262167 GYD262167 HHZ262167 HRV262167 IBR262167 ILN262167 IVJ262167 JFF262167 JPB262167 JYX262167 KIT262167 KSP262167 LCL262167 LMH262167 LWD262167 MFZ262167 MPV262167 MZR262167 NJN262167 NTJ262167 ODF262167 ONB262167 OWX262167 PGT262167 MPV65559 MZR65559 NJN65559 NTJ65559 ODF65559 ONB65559 OWX65559 PGT65559 PQP65559 QAL65559 QKH65559 QUD65559 RDZ65559 RNV65559 RXR65559 SHN65559 SRJ65559 TBF65559 TLB65559 TUX65559 UET65559 UOP65559 UYL65559 VIH65559 VSD65559 WBZ65559 WLV65559 WVR65559 J131095 JF131095 TB131095 ACX131095 AMT131095 AWP131095 BGL131095 BQH131095 CAD131095 CJZ131095 CTV131095 DDR131095 DNN131095 DXJ131095 EHF131095 ERB131095 FAX131095 FKT131095 FUP131095 GEL131095 GOH131095 GYD131095" xr:uid="{00000000-0002-0000-0A00-0000CC000000}">
      <formula1>0</formula1>
    </dataValidation>
    <dataValidation type="textLength" operator="equal" allowBlank="1" showInputMessage="1" showErrorMessage="1" promptTitle="CTD Number" prompt="This cell will only accept a CTD number of exactly 9 digits.  Enter 000 at the end of the charter number to fill the places of a school number." sqref="WVT98304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65537 JH65537 TD65537 ACZ65537 AMV65537 AWR65537 BGN65537 BQJ65537 CAF65537 CKB65537 CTX65537 DDT65537 DNP65537 DXL65537 EHH65537 ERD65537 FAZ65537 FKV65537 FUR65537 GEN65537 GOJ65537 GYF65537 HIB65537 HRX65537 IBT65537 ILP65537 IVL65537 JFH65537 JPD65537 JYZ65537 KIV65537 KSR65537 LCN65537 LMJ65537 LWF65537 MGB65537 UYN917505 VIJ917505 VSF917505 WCB917505 WLX917505 WVT917505 L983041 JH983041 TD983041 ACZ983041 AMV983041 AWR983041 BGN983041 BQJ983041 CAF983041 CKB983041 CTX983041 DDT983041 DNP983041 DXL983041 EHH983041 ERD983041 FAZ983041 HIB851969 HRX851969 IBT851969 ILP851969 IVL851969 JFH851969 JPD851969 JYZ851969 KIV851969 KSR851969 LCN851969 LMJ851969 LWF851969 MGB851969 MPX851969 MZT851969 NJP851969 NTL851969 ODH851969 OND851969 OWZ851969 PGV851969 PQR851969 ODH983041 OND983041 OWZ983041 PGV983041 PQR983041 QAN983041 QKJ983041 QUF983041 REB983041 RNX983041 RXT983041 SHP983041 SRL983041 TBH983041 TLD983041 TUZ983041 UEV983041 UOR983041 UYN983041 VIJ983041 VSF983041 WCB983041 WLX983041 AMV917505 AWR917505 BGN917505 BQJ917505 CAF917505 CKB917505 CTX917505 DDT917505 DNP917505 DXL917505 EHH917505 ERD917505 FAZ917505 FKV917505 FUR917505 GEN917505 GOJ917505 GYF917505 HIB917505 HRX917505 IBT917505 ILP917505 IVL917505 JFH917505 JPD917505 JYZ917505 KIV917505 KSR917505 LCN917505 LMJ917505 LWF917505 MGB917505 MPX917505 MZT917505 NJP917505 NTL917505 ODH917505 OND917505 OWZ917505 PGV917505 PQR917505 QAN917505 QKJ917505 QUF917505 REB917505 RNX917505 RXT917505 SHP917505 SRL917505 TBH917505 TLD917505 TUZ917505 UEV917505 UOR917505 RXT720897 SHP720897 SRL720897 TBH720897 TLD720897 TUZ720897 UEV720897 UOR720897 UYN720897 VIJ720897 VSF720897 WCB720897 WLX720897 WVT720897 L786433 JH786433 TD786433 ACZ786433 AMV786433 AWR786433 BGN786433 BQJ786433 CAF786433 FKV983041 FUR983041 GEN983041 GOJ983041 GYF983041 HIB983041 HRX983041 IBT983041 ILP983041 IVL983041 JFH983041 JPD983041 JYZ983041 KIV983041 KSR983041 LCN983041 LMJ983041 LWF983041 MGB983041 MPX983041 MZT983041 NJP983041 NTL983041 LCN786433 LMJ786433 LWF786433 MGB786433 MPX786433 MZT786433 NJP786433 NTL786433 ODH786433 OND786433 OWZ786433 PGV786433 PQR786433 QAN786433 QKJ786433 QUF786433 REB786433 RNX786433 RXT786433 SHP786433 SRL786433 TBH786433 TLD786433 TUZ786433 UEV786433 UOR786433 UYN786433 VIJ786433 VSF786433 WCB786433 WLX786433 WVT786433 L851969 JH851969 TD851969 ACZ851969 AMV851969 AWR851969 BGN851969 BQJ851969 CAF851969 CKB851969 CTX851969 DDT851969 DNP851969 DXL851969 EHH851969 ERD851969 FAZ851969 FKV851969 FUR851969 GEN851969 GOJ851969 GYF851969 EHH655361 ERD655361 FAZ655361 FKV655361 FUR655361 GEN655361 GOJ655361 GYF655361 HIB655361 HRX655361 IBT655361 ILP655361 IVL655361 JFH655361 JPD655361 JYZ655361 KIV655361 KSR655361 LCN655361 LMJ655361 LWF655361 MGB655361 MPX655361 QAN851969 QKJ851969 QUF851969 REB851969 RNX851969 RXT851969 SHP851969 SRL851969 TBH851969 TLD851969 TUZ851969 UEV851969 UOR851969 UYN851969 VIJ851969 VSF851969 WCB851969 WLX851969 WVT851969 L917505 JH917505 TD917505 ACZ917505 VSF655361 WCB655361 WLX655361 WVT655361 L720897 JH720897 TD720897 ACZ720897 AMV720897 AWR720897 BGN720897 BQJ720897 CAF720897 CKB720897 CTX720897 DDT720897 DNP720897 DXL720897 EHH720897 ERD720897 FAZ720897 FKV720897 FUR720897 GEN720897 GOJ720897 GYF720897 HIB720897 HRX720897 IBT720897 ILP720897 IVL720897 JFH720897 JPD720897 JYZ720897 KIV720897 KSR720897 LCN720897 LMJ720897 LWF720897 MGB720897 MPX720897 MZT720897 NJP720897 NTL720897 ODH720897 OND720897 OWZ720897 PGV720897 PQR720897 QAN720897 QKJ720897 QUF720897 REB720897 RNX720897 OWZ524289 PGV524289 PQR524289 QAN524289 QKJ524289 QUF524289 REB524289 RNX524289 RXT524289 SHP524289 SRL524289 TBH524289 TLD524289 TUZ524289 UEV524289 UOR524289 UYN524289 VIJ524289 VSF524289 WCB524289 WLX524289 WVT524289 L589825 CKB786433 CTX786433 DDT786433 DNP786433 DXL786433 EHH786433 ERD786433 FAZ786433 FKV786433 FUR786433 GEN786433 GOJ786433 GYF786433 HIB786433 HRX786433 IBT786433 ILP786433 IVL786433 JFH786433 JPD786433 JYZ786433 KIV786433 KSR786433 IBT589825 ILP589825 IVL589825 JFH589825 JPD589825 JYZ589825 KIV589825 KSR589825 LCN589825 LMJ589825 LWF589825 MGB589825 MPX589825 MZT589825 NJP589825 NTL589825 ODH589825 OND589825 OWZ589825 PGV589825 PQR589825 QAN589825 QKJ589825 QUF589825 REB589825 RNX589825 RXT589825 SHP589825 SRL589825 TBH589825 TLD589825 TUZ589825 UEV589825 UOR589825 UYN589825 VIJ589825 VSF589825 WCB589825 WLX589825 WVT589825 L655361 JH655361 TD655361 ACZ655361 AMV655361 AWR655361 BGN655361 BQJ655361 CAF655361 CKB655361 CTX655361 DDT655361 DNP655361 DXL655361 BGN458753 BQJ458753 CAF458753 CKB458753 CTX458753 DDT458753 DNP458753 DXL458753 EHH458753 ERD458753 FAZ458753 FKV458753 FUR458753 GEN458753 GOJ458753 GYF458753 HIB458753 HRX458753 IBT458753 ILP458753 IVL458753 JFH458753 JPD458753 MZT655361 NJP655361 NTL655361 ODH655361 OND655361 OWZ655361 PGV655361 PQR655361 QAN655361 QKJ655361 QUF655361 REB655361 RNX655361 RXT655361 SHP655361 SRL655361 TBH655361 TLD655361 TUZ655361 UEV655361 UOR655361 UYN655361 VIJ655361 SRL458753 TBH458753 TLD458753 TUZ458753 UEV458753 UOR458753 UYN458753 VIJ458753 VSF458753 WCB458753 WLX458753 WVT458753 L524289 JH524289 TD524289 ACZ524289 AMV524289 AWR524289 BGN524289 BQJ524289 CAF524289 CKB524289 CTX524289 DDT524289 DNP524289 DXL524289 EHH524289 ERD524289 FAZ524289 FKV524289 FUR524289 GEN524289 GOJ524289 GYF524289 HIB524289 HRX524289 IBT524289 ILP524289 IVL524289 JFH524289 JPD524289 JYZ524289 KIV524289 KSR524289 LCN524289 LMJ524289 LWF524289 MGB524289 MPX524289 MZT524289 NJP524289 NTL524289 ODH524289 OND524289 LWF327681 MGB327681 MPX327681 MZT327681 NJP327681 NTL327681 ODH327681 OND327681 OWZ327681 PGV327681 PQR327681 QAN327681 QKJ327681 QUF327681 REB327681 RNX327681 RXT327681 SHP327681 SRL327681 TBH327681 TLD327681 TUZ327681 UEV327681 JH589825 TD589825 ACZ589825 AMV589825 AWR589825 BGN589825 BQJ589825 CAF589825 CKB589825 CTX589825 DDT589825 DNP589825 DXL589825 EHH589825 ERD589825 FAZ589825 FKV589825 FUR589825 GEN589825 GOJ589825 GYF589825 HIB589825 HRX589825 FAZ393217 FKV393217 FUR393217 GEN393217 GOJ393217 GYF393217 HIB393217 HRX393217 IBT393217 ILP393217 IVL393217 JFH393217 JPD393217 JYZ393217 KIV393217 KSR393217 LCN393217 LMJ393217 LWF393217 MGB393217 MPX393217 MZT393217 NJP393217 NTL393217 ODH393217 OND393217 OWZ393217 PGV393217 PQR393217 QAN393217 QKJ393217 QUF393217 REB393217 RNX393217 RXT393217 SHP393217 SRL393217 TBH393217 TLD393217 TUZ393217 UEV393217 UOR393217 UYN393217 VIJ393217 VSF393217 WCB393217 WLX393217 WVT393217 L458753 JH458753 TD458753 ACZ458753 AMV458753 AWR458753 WLX196609 WVT196609 L262145 JH262145 TD262145 ACZ262145 AMV262145 AWR262145 BGN262145 BQJ262145 CAF262145 CKB262145 CTX262145 DDT262145 DNP262145 DXL262145 EHH262145 ERD262145 FAZ262145 FKV262145 FUR262145 GEN262145 GOJ262145 JYZ458753 KIV458753 KSR458753 LCN458753 LMJ458753 LWF458753 MGB458753 MPX458753 MZT458753 NJP458753 NTL458753 ODH458753 OND458753 OWZ458753 PGV458753 PQR458753 QAN458753 QKJ458753 QUF458753 REB458753 RNX458753 RXT458753 SHP458753 PQR262145 QAN262145 QKJ262145 QUF262145 REB262145 RNX262145 RXT262145 SHP262145 SRL262145 TBH262145 TLD262145 TUZ262145 UEV262145 UOR262145 UYN262145 VIJ262145 VSF262145 WCB262145 WLX262145 WVT262145 L327681 JH327681 TD327681 ACZ327681 AMV327681 AWR327681 BGN327681 BQJ327681 CAF327681 CKB327681 CTX327681 DDT327681 DNP327681 DXL327681 EHH327681 ERD327681 FAZ327681 FKV327681 FUR327681 GEN327681 GOJ327681 GYF327681 HIB327681 HRX327681 IBT327681 ILP327681 IVL327681 JFH327681 JPD327681 JYZ327681 KIV327681 KSR327681 LCN327681 LMJ327681 IVL131073 JFH131073 JPD131073 JYZ131073 KIV131073 KSR131073 LCN131073 LMJ131073 LWF131073 MGB131073 MPX131073 MZT131073 NJP131073 NTL131073 ODH131073 OND131073 OWZ131073 PGV131073 PQR131073 QAN131073 QKJ131073 QUF131073 REB131073 UOR327681 UYN327681 VIJ327681 VSF327681 WCB327681 WLX327681 WVT327681 L393217 JH393217 TD393217 ACZ393217 AMV393217 AWR393217 BGN393217 BQJ393217 CAF393217 CKB393217 CTX393217 DDT393217 DNP393217 DXL393217 EHH393217 ERD393217 CAF196609 CKB196609 CTX196609 DDT196609 DNP196609 DXL196609 EHH196609 ERD196609 FAZ196609 FKV196609 FUR196609 GEN196609 GOJ196609 GYF196609 HIB196609 HRX196609 IBT196609 ILP196609 IVL196609 JFH196609 JPD196609 JYZ196609 KIV196609 KSR196609 LCN196609 LMJ196609 LWF196609 MGB196609 MPX196609 MZT196609 NJP196609 NTL196609 ODH196609 OND196609 OWZ196609 PGV196609 PQR196609 QAN196609 QKJ196609 QUF196609 REB196609 RNX196609 RXT196609 SHP196609 SRL196609 TBH196609 TLD196609 TUZ196609 UEV196609 UOR196609 UYN196609 VIJ196609 VSF196609 WCB196609 RNX131073 RXT131073 SHP131073 SRL131073 TBH131073 TLD131073 TUZ131073 UEV131073 UOR131073 UYN131073 VIJ131073 VSF131073 WCB131073 WLX131073 WVT131073 L196609 JH196609 TD196609 ACZ196609 AMV196609 AWR196609 BGN196609 BQJ196609 GYF262145 HIB262145 HRX262145 IBT262145 ILP262145 IVL262145 JFH262145 JPD262145 JYZ262145 KIV262145 KSR262145 LCN262145 LMJ262145 LWF262145 MGB262145 MPX262145 MZT262145 NJP262145 NTL262145 ODH262145 OND262145 OWZ262145 PGV262145 MPX65537 MZT65537 NJP65537 NTL65537 ODH65537 OND65537 OWZ65537 PGV65537 PQR65537 QAN65537 QKJ65537 QUF65537 REB65537 RNX65537 RXT65537 SHP65537 SRL65537 TBH65537 TLD65537 TUZ65537 UEV65537 UOR65537 UYN65537 VIJ65537 VSF65537 WCB65537 WLX65537 WVT65537 L131073 JH131073 TD131073 ACZ131073 AMV131073 AWR131073 BGN131073 BQJ131073 CAF131073 CKB131073 CTX131073 DDT131073 DNP131073 DXL131073 EHH131073 ERD131073 FAZ131073 FKV131073 FUR131073 GEN131073 GOJ131073 GYF131073 HIB131073 HRX131073 IBT131073 ILP131073" xr:uid="{00000000-0002-0000-0A00-0000D7000000}">
      <formula1>9</formula1>
    </dataValidation>
    <dataValidation operator="equal" allowBlank="1" showInputMessage="1" showErrorMessage="1" promptTitle="CTD Number" prompt="This cell will only accept a CTD number of exactly 9 digits.  Enter 000 at the end of the charter number to fill the places of a school number." sqref="L1" xr:uid="{00000000-0002-0000-0A00-0000E2000000}"/>
    <dataValidation type="whole" allowBlank="1" showInputMessage="1" showErrorMessage="1" errorTitle="Input error" error="The amount entered should be rounded to the nearest dollar and should not exceed the remaining Other funds balance (column D minus columns E and F)." sqref="F42" xr:uid="{00000000-0002-0000-0A00-0000E3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s E and F)." sqref="ODC983082" xr:uid="{00000000-0002-0000-0A00-0000E4000000}">
      <formula1>0</formula1>
      <formula2>D42-E42-#REF!</formula2>
    </dataValidation>
    <dataValidation type="whole" allowBlank="1" showInputMessage="1" showErrorMessage="1" errorTitle="Input error" error="The amount entered should be rounded to the nearest dollar and should not exceed the remaining ESSER I fund balance (column D minus columns E and F)." sqref="F37" xr:uid="{00000000-0002-0000-0A00-0000E5000000}">
      <formula1>0</formula1>
      <formula2>D37-E37-#REF!</formula2>
    </dataValidation>
    <dataValidation type="whole" allowBlank="1" showInputMessage="1" showErrorMessage="1" errorTitle="Input error" error="The amount entered should be rounded to the nearest dollar and should not exceed the remaining ESSER I fund balance (column D minus columns E and F)." sqref="ODC983077" xr:uid="{00000000-0002-0000-0A00-0000E6000000}">
      <formula1>0</formula1>
      <formula2>D37-E37-#REF!</formula2>
    </dataValidation>
    <dataValidation type="whole" allowBlank="1" showInputMessage="1" showErrorMessage="1" errorTitle="Input error" error="The amount entered should be rounded to the nearest dollar and should not exceed the remaining ESSER II fund balance (column D minus columns E and F)." sqref="F38" xr:uid="{00000000-0002-0000-0A00-0000E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DC983078" xr:uid="{00000000-0002-0000-0A00-0000E8000000}">
      <formula1>0</formula1>
      <formula2>D38-E38-#REF!</formula2>
    </dataValidation>
    <dataValidation type="whole" allowBlank="1" showInputMessage="1" showErrorMessage="1" errorTitle="Input error" error="The amount entered should be rounded to the nearest dollar and should not exceed the remaining ESG Fund balance (column D minus columns E and F)." sqref="F41" xr:uid="{00000000-0002-0000-0A00-0000E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s E and F)." sqref="ODC983081" xr:uid="{00000000-0002-0000-0A00-0000EA000000}">
      <formula1>0</formula1>
      <formula2>D41-E41-#REF!</formula2>
    </dataValidation>
    <dataValidation type="whole" allowBlank="1" showInputMessage="1" showErrorMessage="1" errorTitle="Input error" error="The amount entered should be rounded to the nearest dollar and should not exceed the remaining GEER fund balance (column D minus columns E and F)." sqref="F40" xr:uid="{00000000-0002-0000-0A00-0000EB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s E and F)." sqref="ODC983080" xr:uid="{00000000-0002-0000-0A00-0000EC000000}">
      <formula1>0</formula1>
      <formula2>D40-E40-#REF!</formula2>
    </dataValidation>
    <dataValidation type="whole" allowBlank="1" showInputMessage="1" showErrorMessage="1" errorTitle="Input error" error="The amount entered should be rounded to the nearest dollar and should not exceed the remaining ESSER III fund balance (column D minus columns E and F)." sqref="F39" xr:uid="{00000000-0002-0000-0A00-0000ED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DC983079" xr:uid="{00000000-0002-0000-0A00-0000EE000000}">
      <formula1>0</formula1>
      <formula2>D39-E39-#REF!</formula2>
    </dataValidation>
  </dataValidations>
  <hyperlinks>
    <hyperlink ref="A18" location="Page10OtherLine" display="Other" xr:uid="{00000000-0004-0000-0A00-000000000000}"/>
    <hyperlink ref="A21:C21" location="Page10TechDetail" display="Technology related expenses from COVID-19 federal relief projects" xr:uid="{00000000-0004-0000-0A00-000001000000}"/>
    <hyperlink ref="A28" location="Page10TechDetailLine7" display="7. 6641-43 Software reported in library books, textbooks, or instructional aids " xr:uid="{00000000-0004-0000-0A00-000002000000}"/>
    <hyperlink ref="L8:L9" location="Page10PropertyDisbursement" display="Property" xr:uid="{00000000-0004-0000-0A00-000003000000}"/>
    <hyperlink ref="L24" location="Page10PropertyDisbursementDetail" display="Property disbursements from COVID-19 federal relief projects" xr:uid="{00000000-0004-0000-0A00-000004000000}"/>
    <hyperlink ref="G21" location="Page10PropertyDisbursementDetail" display="Property disbursement detail for COVID-19 federal relief projects" xr:uid="{00000000-0004-0000-0A00-000005000000}"/>
    <hyperlink ref="G30" location="Page10DebtServiceDetail" display="Debt service detail for COVID-19 federal relief projects" xr:uid="{00000000-0004-0000-0A00-000006000000}"/>
    <hyperlink ref="A37" location="Page10ProjectsLine1" display="1. Elementary and Secondary School Emergency Relief Funds (ESSER I)" xr:uid="{00000000-0004-0000-0A00-000007000000}"/>
    <hyperlink ref="A38" location="Page10ProjectsLine2" display="2. Elementary and Secondary School Emergency Relief Funds (ESSER II)" xr:uid="{00000000-0004-0000-0A00-000008000000}"/>
    <hyperlink ref="A39" location="Page10ProjectsLine3" display="3. Elementary and Secondary School Emergency Relief Funds (ESSER III)" xr:uid="{00000000-0004-0000-0A00-000009000000}"/>
    <hyperlink ref="A40" location="Page10ProjectsLine4" display="4. Governor’s Emergency Education Relief Funds (GEER) - includes Acceleration Academies Program" xr:uid="{00000000-0004-0000-0A00-00000A000000}"/>
    <hyperlink ref="A41" location="Page10ProjectsLine5" display="5. Coronavirus Relief Fund (CRF)—Enrollment Stability Grant (ESG) Program" xr:uid="{00000000-0004-0000-0A00-00000B000000}"/>
    <hyperlink ref="A42" location="Page10ProjectsLine6" display="6. Other COVID-19 Federal Relief Funds" xr:uid="{00000000-0004-0000-0A00-00000C000000}"/>
    <hyperlink ref="D35:D36" location="Page10TotalAward" display="Page10TotalAward" xr:uid="{00000000-0004-0000-0A00-00000D000000}"/>
    <hyperlink ref="E35:E36" location="Page10FY20to23Exp" display="Page10FY20to23Exp" xr:uid="{00000000-0004-0000-0A00-00000E000000}"/>
    <hyperlink ref="F35:F36" location="Page10FY24Exp" display="Page10FY24Exp" xr:uid="{00000000-0004-0000-0A00-00000F000000}"/>
    <hyperlink ref="G35:G36" location="Page10Remaining" display="Page10Remaining" xr:uid="{00000000-0004-0000-0A00-000010000000}"/>
    <hyperlink ref="J35" location="Page10PPP" display="Paycheck Protection Program" xr:uid="{00000000-0004-0000-0A00-000011000000}"/>
    <hyperlink ref="A35:C36" location="Page10projects" display="COVID-19 federal relief projects" xr:uid="{00000000-0004-0000-0A00-000012000000}"/>
  </hyperlinks>
  <pageMargins left="0.75" right="0.25" top="0.25" bottom="0.25" header="0.5" footer="0.15"/>
  <pageSetup paperSize="5" scale="63" orientation="landscape" r:id="rId1"/>
  <headerFooter>
    <oddFooter>&amp;LRev. 8/24 Arizona Department of Education and Auditor General&amp;CFY 2024</oddFooter>
  </headerFooter>
  <colBreaks count="1" manualBreakCount="1">
    <brk id="15"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3B867-0CC5-4E99-81A6-5A4370B5E74C}">
  <sheetPr>
    <pageSetUpPr fitToPage="1"/>
  </sheetPr>
  <dimension ref="A1:R23"/>
  <sheetViews>
    <sheetView showGridLines="0" zoomScaleNormal="100" workbookViewId="0">
      <selection activeCell="C17" sqref="C17"/>
    </sheetView>
  </sheetViews>
  <sheetFormatPr defaultColWidth="9.33203125" defaultRowHeight="12.75" x14ac:dyDescent="0.2"/>
  <cols>
    <col min="1" max="1" width="38.1640625" style="423" customWidth="1"/>
    <col min="2" max="3" width="16.33203125" style="423" customWidth="1"/>
    <col min="4" max="4" width="15.1640625" style="423" customWidth="1"/>
    <col min="5" max="5" width="15.6640625" style="423" customWidth="1"/>
    <col min="6" max="6" width="15.1640625" style="423" customWidth="1"/>
    <col min="7" max="7" width="16.33203125" style="423" customWidth="1"/>
    <col min="8" max="8" width="19.33203125" style="423" customWidth="1"/>
    <col min="9" max="10" width="15.6640625" style="423" customWidth="1"/>
    <col min="11" max="11" width="17" style="423" customWidth="1"/>
    <col min="12" max="12" width="8.83203125" style="423" customWidth="1"/>
    <col min="13" max="13" width="5.33203125" style="423" customWidth="1"/>
    <col min="14" max="14" width="12.33203125" style="423" customWidth="1"/>
    <col min="15" max="255" width="8.83203125" style="423" customWidth="1"/>
    <col min="256" max="256" width="32.33203125" style="423" bestFit="1" customWidth="1"/>
    <col min="257" max="257" width="22.1640625" style="423" customWidth="1"/>
    <col min="258" max="258" width="14.33203125" style="423" customWidth="1"/>
    <col min="259" max="259" width="19" style="423" customWidth="1"/>
    <col min="260" max="260" width="8.83203125" style="423" customWidth="1"/>
    <col min="261" max="261" width="11.33203125" style="423" customWidth="1"/>
    <col min="262" max="262" width="8.83203125" style="423" customWidth="1"/>
    <col min="263" max="263" width="6.33203125" style="423" customWidth="1"/>
    <col min="264" max="264" width="14.33203125" style="423" customWidth="1"/>
    <col min="265" max="268" width="8.83203125" style="423" customWidth="1"/>
    <col min="269" max="269" width="17.83203125" style="423" customWidth="1"/>
    <col min="270" max="511" width="8.83203125" style="423" customWidth="1"/>
    <col min="512" max="512" width="32.33203125" style="423" bestFit="1" customWidth="1"/>
    <col min="513" max="513" width="22.1640625" style="423" customWidth="1"/>
    <col min="514" max="514" width="14.33203125" style="423" customWidth="1"/>
    <col min="515" max="515" width="19" style="423" customWidth="1"/>
    <col min="516" max="516" width="8.83203125" style="423" customWidth="1"/>
    <col min="517" max="517" width="11.33203125" style="423" customWidth="1"/>
    <col min="518" max="518" width="8.83203125" style="423" customWidth="1"/>
    <col min="519" max="519" width="6.33203125" style="423" customWidth="1"/>
    <col min="520" max="520" width="14.33203125" style="423" customWidth="1"/>
    <col min="521" max="524" width="8.83203125" style="423" customWidth="1"/>
    <col min="525" max="525" width="17.83203125" style="423" customWidth="1"/>
    <col min="526" max="767" width="8.83203125" style="423" customWidth="1"/>
    <col min="768" max="768" width="32.33203125" style="423" bestFit="1" customWidth="1"/>
    <col min="769" max="769" width="22.1640625" style="423" customWidth="1"/>
    <col min="770" max="770" width="14.33203125" style="423" customWidth="1"/>
    <col min="771" max="771" width="19" style="423" customWidth="1"/>
    <col min="772" max="772" width="8.83203125" style="423" customWidth="1"/>
    <col min="773" max="773" width="11.33203125" style="423" customWidth="1"/>
    <col min="774" max="774" width="8.83203125" style="423" customWidth="1"/>
    <col min="775" max="775" width="6.33203125" style="423" customWidth="1"/>
    <col min="776" max="776" width="14.33203125" style="423" customWidth="1"/>
    <col min="777" max="780" width="8.83203125" style="423" customWidth="1"/>
    <col min="781" max="781" width="17.83203125" style="423" customWidth="1"/>
    <col min="782" max="1023" width="8.83203125" style="423" customWidth="1"/>
    <col min="1024" max="1024" width="32.33203125" style="423" bestFit="1" customWidth="1"/>
    <col min="1025" max="1025" width="22.1640625" style="423" customWidth="1"/>
    <col min="1026" max="1026" width="14.33203125" style="423" customWidth="1"/>
    <col min="1027" max="1027" width="19" style="423" customWidth="1"/>
    <col min="1028" max="1028" width="8.83203125" style="423" customWidth="1"/>
    <col min="1029" max="1029" width="11.33203125" style="423" customWidth="1"/>
    <col min="1030" max="1030" width="8.83203125" style="423" customWidth="1"/>
    <col min="1031" max="1031" width="6.33203125" style="423" customWidth="1"/>
    <col min="1032" max="1032" width="14.33203125" style="423" customWidth="1"/>
    <col min="1033" max="1036" width="8.83203125" style="423" customWidth="1"/>
    <col min="1037" max="1037" width="17.83203125" style="423" customWidth="1"/>
    <col min="1038" max="1279" width="8.83203125" style="423" customWidth="1"/>
    <col min="1280" max="1280" width="32.33203125" style="423" bestFit="1" customWidth="1"/>
    <col min="1281" max="1281" width="22.1640625" style="423" customWidth="1"/>
    <col min="1282" max="1282" width="14.33203125" style="423" customWidth="1"/>
    <col min="1283" max="1283" width="19" style="423" customWidth="1"/>
    <col min="1284" max="1284" width="8.83203125" style="423" customWidth="1"/>
    <col min="1285" max="1285" width="11.33203125" style="423" customWidth="1"/>
    <col min="1286" max="1286" width="8.83203125" style="423" customWidth="1"/>
    <col min="1287" max="1287" width="6.33203125" style="423" customWidth="1"/>
    <col min="1288" max="1288" width="14.33203125" style="423" customWidth="1"/>
    <col min="1289" max="1292" width="8.83203125" style="423" customWidth="1"/>
    <col min="1293" max="1293" width="17.83203125" style="423" customWidth="1"/>
    <col min="1294" max="1535" width="8.83203125" style="423" customWidth="1"/>
    <col min="1536" max="1536" width="32.33203125" style="423" bestFit="1" customWidth="1"/>
    <col min="1537" max="1537" width="22.1640625" style="423" customWidth="1"/>
    <col min="1538" max="1538" width="14.33203125" style="423" customWidth="1"/>
    <col min="1539" max="1539" width="19" style="423" customWidth="1"/>
    <col min="1540" max="1540" width="8.83203125" style="423" customWidth="1"/>
    <col min="1541" max="1541" width="11.33203125" style="423" customWidth="1"/>
    <col min="1542" max="1542" width="8.83203125" style="423" customWidth="1"/>
    <col min="1543" max="1543" width="6.33203125" style="423" customWidth="1"/>
    <col min="1544" max="1544" width="14.33203125" style="423" customWidth="1"/>
    <col min="1545" max="1548" width="8.83203125" style="423" customWidth="1"/>
    <col min="1549" max="1549" width="17.83203125" style="423" customWidth="1"/>
    <col min="1550" max="1791" width="8.83203125" style="423" customWidth="1"/>
    <col min="1792" max="1792" width="32.33203125" style="423" bestFit="1" customWidth="1"/>
    <col min="1793" max="1793" width="22.1640625" style="423" customWidth="1"/>
    <col min="1794" max="1794" width="14.33203125" style="423" customWidth="1"/>
    <col min="1795" max="1795" width="19" style="423" customWidth="1"/>
    <col min="1796" max="1796" width="8.83203125" style="423" customWidth="1"/>
    <col min="1797" max="1797" width="11.33203125" style="423" customWidth="1"/>
    <col min="1798" max="1798" width="8.83203125" style="423" customWidth="1"/>
    <col min="1799" max="1799" width="6.33203125" style="423" customWidth="1"/>
    <col min="1800" max="1800" width="14.33203125" style="423" customWidth="1"/>
    <col min="1801" max="1804" width="8.83203125" style="423" customWidth="1"/>
    <col min="1805" max="1805" width="17.83203125" style="423" customWidth="1"/>
    <col min="1806" max="2047" width="8.83203125" style="423" customWidth="1"/>
    <col min="2048" max="2048" width="32.33203125" style="423" bestFit="1" customWidth="1"/>
    <col min="2049" max="2049" width="22.1640625" style="423" customWidth="1"/>
    <col min="2050" max="2050" width="14.33203125" style="423" customWidth="1"/>
    <col min="2051" max="2051" width="19" style="423" customWidth="1"/>
    <col min="2052" max="2052" width="8.83203125" style="423" customWidth="1"/>
    <col min="2053" max="2053" width="11.33203125" style="423" customWidth="1"/>
    <col min="2054" max="2054" width="8.83203125" style="423" customWidth="1"/>
    <col min="2055" max="2055" width="6.33203125" style="423" customWidth="1"/>
    <col min="2056" max="2056" width="14.33203125" style="423" customWidth="1"/>
    <col min="2057" max="2060" width="8.83203125" style="423" customWidth="1"/>
    <col min="2061" max="2061" width="17.83203125" style="423" customWidth="1"/>
    <col min="2062" max="2303" width="8.83203125" style="423" customWidth="1"/>
    <col min="2304" max="2304" width="32.33203125" style="423" bestFit="1" customWidth="1"/>
    <col min="2305" max="2305" width="22.1640625" style="423" customWidth="1"/>
    <col min="2306" max="2306" width="14.33203125" style="423" customWidth="1"/>
    <col min="2307" max="2307" width="19" style="423" customWidth="1"/>
    <col min="2308" max="2308" width="8.83203125" style="423" customWidth="1"/>
    <col min="2309" max="2309" width="11.33203125" style="423" customWidth="1"/>
    <col min="2310" max="2310" width="8.83203125" style="423" customWidth="1"/>
    <col min="2311" max="2311" width="6.33203125" style="423" customWidth="1"/>
    <col min="2312" max="2312" width="14.33203125" style="423" customWidth="1"/>
    <col min="2313" max="2316" width="8.83203125" style="423" customWidth="1"/>
    <col min="2317" max="2317" width="17.83203125" style="423" customWidth="1"/>
    <col min="2318" max="2559" width="8.83203125" style="423" customWidth="1"/>
    <col min="2560" max="2560" width="32.33203125" style="423" bestFit="1" customWidth="1"/>
    <col min="2561" max="2561" width="22.1640625" style="423" customWidth="1"/>
    <col min="2562" max="2562" width="14.33203125" style="423" customWidth="1"/>
    <col min="2563" max="2563" width="19" style="423" customWidth="1"/>
    <col min="2564" max="2564" width="8.83203125" style="423" customWidth="1"/>
    <col min="2565" max="2565" width="11.33203125" style="423" customWidth="1"/>
    <col min="2566" max="2566" width="8.83203125" style="423" customWidth="1"/>
    <col min="2567" max="2567" width="6.33203125" style="423" customWidth="1"/>
    <col min="2568" max="2568" width="14.33203125" style="423" customWidth="1"/>
    <col min="2569" max="2572" width="8.83203125" style="423" customWidth="1"/>
    <col min="2573" max="2573" width="17.83203125" style="423" customWidth="1"/>
    <col min="2574" max="2815" width="8.83203125" style="423" customWidth="1"/>
    <col min="2816" max="2816" width="32.33203125" style="423" bestFit="1" customWidth="1"/>
    <col min="2817" max="2817" width="22.1640625" style="423" customWidth="1"/>
    <col min="2818" max="2818" width="14.33203125" style="423" customWidth="1"/>
    <col min="2819" max="2819" width="19" style="423" customWidth="1"/>
    <col min="2820" max="2820" width="8.83203125" style="423" customWidth="1"/>
    <col min="2821" max="2821" width="11.33203125" style="423" customWidth="1"/>
    <col min="2822" max="2822" width="8.83203125" style="423" customWidth="1"/>
    <col min="2823" max="2823" width="6.33203125" style="423" customWidth="1"/>
    <col min="2824" max="2824" width="14.33203125" style="423" customWidth="1"/>
    <col min="2825" max="2828" width="8.83203125" style="423" customWidth="1"/>
    <col min="2829" max="2829" width="17.83203125" style="423" customWidth="1"/>
    <col min="2830" max="3071" width="8.83203125" style="423" customWidth="1"/>
    <col min="3072" max="3072" width="32.33203125" style="423" bestFit="1" customWidth="1"/>
    <col min="3073" max="3073" width="22.1640625" style="423" customWidth="1"/>
    <col min="3074" max="3074" width="14.33203125" style="423" customWidth="1"/>
    <col min="3075" max="3075" width="19" style="423" customWidth="1"/>
    <col min="3076" max="3076" width="8.83203125" style="423" customWidth="1"/>
    <col min="3077" max="3077" width="11.33203125" style="423" customWidth="1"/>
    <col min="3078" max="3078" width="8.83203125" style="423" customWidth="1"/>
    <col min="3079" max="3079" width="6.33203125" style="423" customWidth="1"/>
    <col min="3080" max="3080" width="14.33203125" style="423" customWidth="1"/>
    <col min="3081" max="3084" width="8.83203125" style="423" customWidth="1"/>
    <col min="3085" max="3085" width="17.83203125" style="423" customWidth="1"/>
    <col min="3086" max="3327" width="8.83203125" style="423" customWidth="1"/>
    <col min="3328" max="3328" width="32.33203125" style="423" bestFit="1" customWidth="1"/>
    <col min="3329" max="3329" width="22.1640625" style="423" customWidth="1"/>
    <col min="3330" max="3330" width="14.33203125" style="423" customWidth="1"/>
    <col min="3331" max="3331" width="19" style="423" customWidth="1"/>
    <col min="3332" max="3332" width="8.83203125" style="423" customWidth="1"/>
    <col min="3333" max="3333" width="11.33203125" style="423" customWidth="1"/>
    <col min="3334" max="3334" width="8.83203125" style="423" customWidth="1"/>
    <col min="3335" max="3335" width="6.33203125" style="423" customWidth="1"/>
    <col min="3336" max="3336" width="14.33203125" style="423" customWidth="1"/>
    <col min="3337" max="3340" width="8.83203125" style="423" customWidth="1"/>
    <col min="3341" max="3341" width="17.83203125" style="423" customWidth="1"/>
    <col min="3342" max="3583" width="8.83203125" style="423" customWidth="1"/>
    <col min="3584" max="3584" width="32.33203125" style="423" bestFit="1" customWidth="1"/>
    <col min="3585" max="3585" width="22.1640625" style="423" customWidth="1"/>
    <col min="3586" max="3586" width="14.33203125" style="423" customWidth="1"/>
    <col min="3587" max="3587" width="19" style="423" customWidth="1"/>
    <col min="3588" max="3588" width="8.83203125" style="423" customWidth="1"/>
    <col min="3589" max="3589" width="11.33203125" style="423" customWidth="1"/>
    <col min="3590" max="3590" width="8.83203125" style="423" customWidth="1"/>
    <col min="3591" max="3591" width="6.33203125" style="423" customWidth="1"/>
    <col min="3592" max="3592" width="14.33203125" style="423" customWidth="1"/>
    <col min="3593" max="3596" width="8.83203125" style="423" customWidth="1"/>
    <col min="3597" max="3597" width="17.83203125" style="423" customWidth="1"/>
    <col min="3598" max="3839" width="8.83203125" style="423" customWidth="1"/>
    <col min="3840" max="3840" width="32.33203125" style="423" bestFit="1" customWidth="1"/>
    <col min="3841" max="3841" width="22.1640625" style="423" customWidth="1"/>
    <col min="3842" max="3842" width="14.33203125" style="423" customWidth="1"/>
    <col min="3843" max="3843" width="19" style="423" customWidth="1"/>
    <col min="3844" max="3844" width="8.83203125" style="423" customWidth="1"/>
    <col min="3845" max="3845" width="11.33203125" style="423" customWidth="1"/>
    <col min="3846" max="3846" width="8.83203125" style="423" customWidth="1"/>
    <col min="3847" max="3847" width="6.33203125" style="423" customWidth="1"/>
    <col min="3848" max="3848" width="14.33203125" style="423" customWidth="1"/>
    <col min="3849" max="3852" width="8.83203125" style="423" customWidth="1"/>
    <col min="3853" max="3853" width="17.83203125" style="423" customWidth="1"/>
    <col min="3854" max="4095" width="8.83203125" style="423" customWidth="1"/>
    <col min="4096" max="4096" width="32.33203125" style="423" bestFit="1" customWidth="1"/>
    <col min="4097" max="4097" width="22.1640625" style="423" customWidth="1"/>
    <col min="4098" max="4098" width="14.33203125" style="423" customWidth="1"/>
    <col min="4099" max="4099" width="19" style="423" customWidth="1"/>
    <col min="4100" max="4100" width="8.83203125" style="423" customWidth="1"/>
    <col min="4101" max="4101" width="11.33203125" style="423" customWidth="1"/>
    <col min="4102" max="4102" width="8.83203125" style="423" customWidth="1"/>
    <col min="4103" max="4103" width="6.33203125" style="423" customWidth="1"/>
    <col min="4104" max="4104" width="14.33203125" style="423" customWidth="1"/>
    <col min="4105" max="4108" width="8.83203125" style="423" customWidth="1"/>
    <col min="4109" max="4109" width="17.83203125" style="423" customWidth="1"/>
    <col min="4110" max="4351" width="8.83203125" style="423" customWidth="1"/>
    <col min="4352" max="4352" width="32.33203125" style="423" bestFit="1" customWidth="1"/>
    <col min="4353" max="4353" width="22.1640625" style="423" customWidth="1"/>
    <col min="4354" max="4354" width="14.33203125" style="423" customWidth="1"/>
    <col min="4355" max="4355" width="19" style="423" customWidth="1"/>
    <col min="4356" max="4356" width="8.83203125" style="423" customWidth="1"/>
    <col min="4357" max="4357" width="11.33203125" style="423" customWidth="1"/>
    <col min="4358" max="4358" width="8.83203125" style="423" customWidth="1"/>
    <col min="4359" max="4359" width="6.33203125" style="423" customWidth="1"/>
    <col min="4360" max="4360" width="14.33203125" style="423" customWidth="1"/>
    <col min="4361" max="4364" width="8.83203125" style="423" customWidth="1"/>
    <col min="4365" max="4365" width="17.83203125" style="423" customWidth="1"/>
    <col min="4366" max="4607" width="8.83203125" style="423" customWidth="1"/>
    <col min="4608" max="4608" width="32.33203125" style="423" bestFit="1" customWidth="1"/>
    <col min="4609" max="4609" width="22.1640625" style="423" customWidth="1"/>
    <col min="4610" max="4610" width="14.33203125" style="423" customWidth="1"/>
    <col min="4611" max="4611" width="19" style="423" customWidth="1"/>
    <col min="4612" max="4612" width="8.83203125" style="423" customWidth="1"/>
    <col min="4613" max="4613" width="11.33203125" style="423" customWidth="1"/>
    <col min="4614" max="4614" width="8.83203125" style="423" customWidth="1"/>
    <col min="4615" max="4615" width="6.33203125" style="423" customWidth="1"/>
    <col min="4616" max="4616" width="14.33203125" style="423" customWidth="1"/>
    <col min="4617" max="4620" width="8.83203125" style="423" customWidth="1"/>
    <col min="4621" max="4621" width="17.83203125" style="423" customWidth="1"/>
    <col min="4622" max="4863" width="8.83203125" style="423" customWidth="1"/>
    <col min="4864" max="4864" width="32.33203125" style="423" bestFit="1" customWidth="1"/>
    <col min="4865" max="4865" width="22.1640625" style="423" customWidth="1"/>
    <col min="4866" max="4866" width="14.33203125" style="423" customWidth="1"/>
    <col min="4867" max="4867" width="19" style="423" customWidth="1"/>
    <col min="4868" max="4868" width="8.83203125" style="423" customWidth="1"/>
    <col min="4869" max="4869" width="11.33203125" style="423" customWidth="1"/>
    <col min="4870" max="4870" width="8.83203125" style="423" customWidth="1"/>
    <col min="4871" max="4871" width="6.33203125" style="423" customWidth="1"/>
    <col min="4872" max="4872" width="14.33203125" style="423" customWidth="1"/>
    <col min="4873" max="4876" width="8.83203125" style="423" customWidth="1"/>
    <col min="4877" max="4877" width="17.83203125" style="423" customWidth="1"/>
    <col min="4878" max="5119" width="8.83203125" style="423" customWidth="1"/>
    <col min="5120" max="5120" width="32.33203125" style="423" bestFit="1" customWidth="1"/>
    <col min="5121" max="5121" width="22.1640625" style="423" customWidth="1"/>
    <col min="5122" max="5122" width="14.33203125" style="423" customWidth="1"/>
    <col min="5123" max="5123" width="19" style="423" customWidth="1"/>
    <col min="5124" max="5124" width="8.83203125" style="423" customWidth="1"/>
    <col min="5125" max="5125" width="11.33203125" style="423" customWidth="1"/>
    <col min="5126" max="5126" width="8.83203125" style="423" customWidth="1"/>
    <col min="5127" max="5127" width="6.33203125" style="423" customWidth="1"/>
    <col min="5128" max="5128" width="14.33203125" style="423" customWidth="1"/>
    <col min="5129" max="5132" width="8.83203125" style="423" customWidth="1"/>
    <col min="5133" max="5133" width="17.83203125" style="423" customWidth="1"/>
    <col min="5134" max="5375" width="8.83203125" style="423" customWidth="1"/>
    <col min="5376" max="5376" width="32.33203125" style="423" bestFit="1" customWidth="1"/>
    <col min="5377" max="5377" width="22.1640625" style="423" customWidth="1"/>
    <col min="5378" max="5378" width="14.33203125" style="423" customWidth="1"/>
    <col min="5379" max="5379" width="19" style="423" customWidth="1"/>
    <col min="5380" max="5380" width="8.83203125" style="423" customWidth="1"/>
    <col min="5381" max="5381" width="11.33203125" style="423" customWidth="1"/>
    <col min="5382" max="5382" width="8.83203125" style="423" customWidth="1"/>
    <col min="5383" max="5383" width="6.33203125" style="423" customWidth="1"/>
    <col min="5384" max="5384" width="14.33203125" style="423" customWidth="1"/>
    <col min="5385" max="5388" width="8.83203125" style="423" customWidth="1"/>
    <col min="5389" max="5389" width="17.83203125" style="423" customWidth="1"/>
    <col min="5390" max="5631" width="8.83203125" style="423" customWidth="1"/>
    <col min="5632" max="5632" width="32.33203125" style="423" bestFit="1" customWidth="1"/>
    <col min="5633" max="5633" width="22.1640625" style="423" customWidth="1"/>
    <col min="5634" max="5634" width="14.33203125" style="423" customWidth="1"/>
    <col min="5635" max="5635" width="19" style="423" customWidth="1"/>
    <col min="5636" max="5636" width="8.83203125" style="423" customWidth="1"/>
    <col min="5637" max="5637" width="11.33203125" style="423" customWidth="1"/>
    <col min="5638" max="5638" width="8.83203125" style="423" customWidth="1"/>
    <col min="5639" max="5639" width="6.33203125" style="423" customWidth="1"/>
    <col min="5640" max="5640" width="14.33203125" style="423" customWidth="1"/>
    <col min="5641" max="5644" width="8.83203125" style="423" customWidth="1"/>
    <col min="5645" max="5645" width="17.83203125" style="423" customWidth="1"/>
    <col min="5646" max="5887" width="8.83203125" style="423" customWidth="1"/>
    <col min="5888" max="5888" width="32.33203125" style="423" bestFit="1" customWidth="1"/>
    <col min="5889" max="5889" width="22.1640625" style="423" customWidth="1"/>
    <col min="5890" max="5890" width="14.33203125" style="423" customWidth="1"/>
    <col min="5891" max="5891" width="19" style="423" customWidth="1"/>
    <col min="5892" max="5892" width="8.83203125" style="423" customWidth="1"/>
    <col min="5893" max="5893" width="11.33203125" style="423" customWidth="1"/>
    <col min="5894" max="5894" width="8.83203125" style="423" customWidth="1"/>
    <col min="5895" max="5895" width="6.33203125" style="423" customWidth="1"/>
    <col min="5896" max="5896" width="14.33203125" style="423" customWidth="1"/>
    <col min="5897" max="5900" width="8.83203125" style="423" customWidth="1"/>
    <col min="5901" max="5901" width="17.83203125" style="423" customWidth="1"/>
    <col min="5902" max="6143" width="8.83203125" style="423" customWidth="1"/>
    <col min="6144" max="6144" width="32.33203125" style="423" bestFit="1" customWidth="1"/>
    <col min="6145" max="6145" width="22.1640625" style="423" customWidth="1"/>
    <col min="6146" max="6146" width="14.33203125" style="423" customWidth="1"/>
    <col min="6147" max="6147" width="19" style="423" customWidth="1"/>
    <col min="6148" max="6148" width="8.83203125" style="423" customWidth="1"/>
    <col min="6149" max="6149" width="11.33203125" style="423" customWidth="1"/>
    <col min="6150" max="6150" width="8.83203125" style="423" customWidth="1"/>
    <col min="6151" max="6151" width="6.33203125" style="423" customWidth="1"/>
    <col min="6152" max="6152" width="14.33203125" style="423" customWidth="1"/>
    <col min="6153" max="6156" width="8.83203125" style="423" customWidth="1"/>
    <col min="6157" max="6157" width="17.83203125" style="423" customWidth="1"/>
    <col min="6158" max="6399" width="8.83203125" style="423" customWidth="1"/>
    <col min="6400" max="6400" width="32.33203125" style="423" bestFit="1" customWidth="1"/>
    <col min="6401" max="6401" width="22.1640625" style="423" customWidth="1"/>
    <col min="6402" max="6402" width="14.33203125" style="423" customWidth="1"/>
    <col min="6403" max="6403" width="19" style="423" customWidth="1"/>
    <col min="6404" max="6404" width="8.83203125" style="423" customWidth="1"/>
    <col min="6405" max="6405" width="11.33203125" style="423" customWidth="1"/>
    <col min="6406" max="6406" width="8.83203125" style="423" customWidth="1"/>
    <col min="6407" max="6407" width="6.33203125" style="423" customWidth="1"/>
    <col min="6408" max="6408" width="14.33203125" style="423" customWidth="1"/>
    <col min="6409" max="6412" width="8.83203125" style="423" customWidth="1"/>
    <col min="6413" max="6413" width="17.83203125" style="423" customWidth="1"/>
    <col min="6414" max="6655" width="8.83203125" style="423" customWidth="1"/>
    <col min="6656" max="6656" width="32.33203125" style="423" bestFit="1" customWidth="1"/>
    <col min="6657" max="6657" width="22.1640625" style="423" customWidth="1"/>
    <col min="6658" max="6658" width="14.33203125" style="423" customWidth="1"/>
    <col min="6659" max="6659" width="19" style="423" customWidth="1"/>
    <col min="6660" max="6660" width="8.83203125" style="423" customWidth="1"/>
    <col min="6661" max="6661" width="11.33203125" style="423" customWidth="1"/>
    <col min="6662" max="6662" width="8.83203125" style="423" customWidth="1"/>
    <col min="6663" max="6663" width="6.33203125" style="423" customWidth="1"/>
    <col min="6664" max="6664" width="14.33203125" style="423" customWidth="1"/>
    <col min="6665" max="6668" width="8.83203125" style="423" customWidth="1"/>
    <col min="6669" max="6669" width="17.83203125" style="423" customWidth="1"/>
    <col min="6670" max="6911" width="8.83203125" style="423" customWidth="1"/>
    <col min="6912" max="6912" width="32.33203125" style="423" bestFit="1" customWidth="1"/>
    <col min="6913" max="6913" width="22.1640625" style="423" customWidth="1"/>
    <col min="6914" max="6914" width="14.33203125" style="423" customWidth="1"/>
    <col min="6915" max="6915" width="19" style="423" customWidth="1"/>
    <col min="6916" max="6916" width="8.83203125" style="423" customWidth="1"/>
    <col min="6917" max="6917" width="11.33203125" style="423" customWidth="1"/>
    <col min="6918" max="6918" width="8.83203125" style="423" customWidth="1"/>
    <col min="6919" max="6919" width="6.33203125" style="423" customWidth="1"/>
    <col min="6920" max="6920" width="14.33203125" style="423" customWidth="1"/>
    <col min="6921" max="6924" width="8.83203125" style="423" customWidth="1"/>
    <col min="6925" max="6925" width="17.83203125" style="423" customWidth="1"/>
    <col min="6926" max="7167" width="8.83203125" style="423" customWidth="1"/>
    <col min="7168" max="7168" width="32.33203125" style="423" bestFit="1" customWidth="1"/>
    <col min="7169" max="7169" width="22.1640625" style="423" customWidth="1"/>
    <col min="7170" max="7170" width="14.33203125" style="423" customWidth="1"/>
    <col min="7171" max="7171" width="19" style="423" customWidth="1"/>
    <col min="7172" max="7172" width="8.83203125" style="423" customWidth="1"/>
    <col min="7173" max="7173" width="11.33203125" style="423" customWidth="1"/>
    <col min="7174" max="7174" width="8.83203125" style="423" customWidth="1"/>
    <col min="7175" max="7175" width="6.33203125" style="423" customWidth="1"/>
    <col min="7176" max="7176" width="14.33203125" style="423" customWidth="1"/>
    <col min="7177" max="7180" width="8.83203125" style="423" customWidth="1"/>
    <col min="7181" max="7181" width="17.83203125" style="423" customWidth="1"/>
    <col min="7182" max="7423" width="8.83203125" style="423" customWidth="1"/>
    <col min="7424" max="7424" width="32.33203125" style="423" bestFit="1" customWidth="1"/>
    <col min="7425" max="7425" width="22.1640625" style="423" customWidth="1"/>
    <col min="7426" max="7426" width="14.33203125" style="423" customWidth="1"/>
    <col min="7427" max="7427" width="19" style="423" customWidth="1"/>
    <col min="7428" max="7428" width="8.83203125" style="423" customWidth="1"/>
    <col min="7429" max="7429" width="11.33203125" style="423" customWidth="1"/>
    <col min="7430" max="7430" width="8.83203125" style="423" customWidth="1"/>
    <col min="7431" max="7431" width="6.33203125" style="423" customWidth="1"/>
    <col min="7432" max="7432" width="14.33203125" style="423" customWidth="1"/>
    <col min="7433" max="7436" width="8.83203125" style="423" customWidth="1"/>
    <col min="7437" max="7437" width="17.83203125" style="423" customWidth="1"/>
    <col min="7438" max="7679" width="8.83203125" style="423" customWidth="1"/>
    <col min="7680" max="7680" width="32.33203125" style="423" bestFit="1" customWidth="1"/>
    <col min="7681" max="7681" width="22.1640625" style="423" customWidth="1"/>
    <col min="7682" max="7682" width="14.33203125" style="423" customWidth="1"/>
    <col min="7683" max="7683" width="19" style="423" customWidth="1"/>
    <col min="7684" max="7684" width="8.83203125" style="423" customWidth="1"/>
    <col min="7685" max="7685" width="11.33203125" style="423" customWidth="1"/>
    <col min="7686" max="7686" width="8.83203125" style="423" customWidth="1"/>
    <col min="7687" max="7687" width="6.33203125" style="423" customWidth="1"/>
    <col min="7688" max="7688" width="14.33203125" style="423" customWidth="1"/>
    <col min="7689" max="7692" width="8.83203125" style="423" customWidth="1"/>
    <col min="7693" max="7693" width="17.83203125" style="423" customWidth="1"/>
    <col min="7694" max="7935" width="8.83203125" style="423" customWidth="1"/>
    <col min="7936" max="7936" width="32.33203125" style="423" bestFit="1" customWidth="1"/>
    <col min="7937" max="7937" width="22.1640625" style="423" customWidth="1"/>
    <col min="7938" max="7938" width="14.33203125" style="423" customWidth="1"/>
    <col min="7939" max="7939" width="19" style="423" customWidth="1"/>
    <col min="7940" max="7940" width="8.83203125" style="423" customWidth="1"/>
    <col min="7941" max="7941" width="11.33203125" style="423" customWidth="1"/>
    <col min="7942" max="7942" width="8.83203125" style="423" customWidth="1"/>
    <col min="7943" max="7943" width="6.33203125" style="423" customWidth="1"/>
    <col min="7944" max="7944" width="14.33203125" style="423" customWidth="1"/>
    <col min="7945" max="7948" width="8.83203125" style="423" customWidth="1"/>
    <col min="7949" max="7949" width="17.83203125" style="423" customWidth="1"/>
    <col min="7950" max="8191" width="8.83203125" style="423" customWidth="1"/>
    <col min="8192" max="8192" width="32.33203125" style="423" bestFit="1" customWidth="1"/>
    <col min="8193" max="8193" width="22.1640625" style="423" customWidth="1"/>
    <col min="8194" max="8194" width="14.33203125" style="423" customWidth="1"/>
    <col min="8195" max="8195" width="19" style="423" customWidth="1"/>
    <col min="8196" max="8196" width="8.83203125" style="423" customWidth="1"/>
    <col min="8197" max="8197" width="11.33203125" style="423" customWidth="1"/>
    <col min="8198" max="8198" width="8.83203125" style="423" customWidth="1"/>
    <col min="8199" max="8199" width="6.33203125" style="423" customWidth="1"/>
    <col min="8200" max="8200" width="14.33203125" style="423" customWidth="1"/>
    <col min="8201" max="8204" width="8.83203125" style="423" customWidth="1"/>
    <col min="8205" max="8205" width="17.83203125" style="423" customWidth="1"/>
    <col min="8206" max="8447" width="8.83203125" style="423" customWidth="1"/>
    <col min="8448" max="8448" width="32.33203125" style="423" bestFit="1" customWidth="1"/>
    <col min="8449" max="8449" width="22.1640625" style="423" customWidth="1"/>
    <col min="8450" max="8450" width="14.33203125" style="423" customWidth="1"/>
    <col min="8451" max="8451" width="19" style="423" customWidth="1"/>
    <col min="8452" max="8452" width="8.83203125" style="423" customWidth="1"/>
    <col min="8453" max="8453" width="11.33203125" style="423" customWidth="1"/>
    <col min="8454" max="8454" width="8.83203125" style="423" customWidth="1"/>
    <col min="8455" max="8455" width="6.33203125" style="423" customWidth="1"/>
    <col min="8456" max="8456" width="14.33203125" style="423" customWidth="1"/>
    <col min="8457" max="8460" width="8.83203125" style="423" customWidth="1"/>
    <col min="8461" max="8461" width="17.83203125" style="423" customWidth="1"/>
    <col min="8462" max="8703" width="8.83203125" style="423" customWidth="1"/>
    <col min="8704" max="8704" width="32.33203125" style="423" bestFit="1" customWidth="1"/>
    <col min="8705" max="8705" width="22.1640625" style="423" customWidth="1"/>
    <col min="8706" max="8706" width="14.33203125" style="423" customWidth="1"/>
    <col min="8707" max="8707" width="19" style="423" customWidth="1"/>
    <col min="8708" max="8708" width="8.83203125" style="423" customWidth="1"/>
    <col min="8709" max="8709" width="11.33203125" style="423" customWidth="1"/>
    <col min="8710" max="8710" width="8.83203125" style="423" customWidth="1"/>
    <col min="8711" max="8711" width="6.33203125" style="423" customWidth="1"/>
    <col min="8712" max="8712" width="14.33203125" style="423" customWidth="1"/>
    <col min="8713" max="8716" width="8.83203125" style="423" customWidth="1"/>
    <col min="8717" max="8717" width="17.83203125" style="423" customWidth="1"/>
    <col min="8718" max="8959" width="8.83203125" style="423" customWidth="1"/>
    <col min="8960" max="8960" width="32.33203125" style="423" bestFit="1" customWidth="1"/>
    <col min="8961" max="8961" width="22.1640625" style="423" customWidth="1"/>
    <col min="8962" max="8962" width="14.33203125" style="423" customWidth="1"/>
    <col min="8963" max="8963" width="19" style="423" customWidth="1"/>
    <col min="8964" max="8964" width="8.83203125" style="423" customWidth="1"/>
    <col min="8965" max="8965" width="11.33203125" style="423" customWidth="1"/>
    <col min="8966" max="8966" width="8.83203125" style="423" customWidth="1"/>
    <col min="8967" max="8967" width="6.33203125" style="423" customWidth="1"/>
    <col min="8968" max="8968" width="14.33203125" style="423" customWidth="1"/>
    <col min="8969" max="8972" width="8.83203125" style="423" customWidth="1"/>
    <col min="8973" max="8973" width="17.83203125" style="423" customWidth="1"/>
    <col min="8974" max="9215" width="8.83203125" style="423" customWidth="1"/>
    <col min="9216" max="9216" width="32.33203125" style="423" bestFit="1" customWidth="1"/>
    <col min="9217" max="9217" width="22.1640625" style="423" customWidth="1"/>
    <col min="9218" max="9218" width="14.33203125" style="423" customWidth="1"/>
    <col min="9219" max="9219" width="19" style="423" customWidth="1"/>
    <col min="9220" max="9220" width="8.83203125" style="423" customWidth="1"/>
    <col min="9221" max="9221" width="11.33203125" style="423" customWidth="1"/>
    <col min="9222" max="9222" width="8.83203125" style="423" customWidth="1"/>
    <col min="9223" max="9223" width="6.33203125" style="423" customWidth="1"/>
    <col min="9224" max="9224" width="14.33203125" style="423" customWidth="1"/>
    <col min="9225" max="9228" width="8.83203125" style="423" customWidth="1"/>
    <col min="9229" max="9229" width="17.83203125" style="423" customWidth="1"/>
    <col min="9230" max="9471" width="8.83203125" style="423" customWidth="1"/>
    <col min="9472" max="9472" width="32.33203125" style="423" bestFit="1" customWidth="1"/>
    <col min="9473" max="9473" width="22.1640625" style="423" customWidth="1"/>
    <col min="9474" max="9474" width="14.33203125" style="423" customWidth="1"/>
    <col min="9475" max="9475" width="19" style="423" customWidth="1"/>
    <col min="9476" max="9476" width="8.83203125" style="423" customWidth="1"/>
    <col min="9477" max="9477" width="11.33203125" style="423" customWidth="1"/>
    <col min="9478" max="9478" width="8.83203125" style="423" customWidth="1"/>
    <col min="9479" max="9479" width="6.33203125" style="423" customWidth="1"/>
    <col min="9480" max="9480" width="14.33203125" style="423" customWidth="1"/>
    <col min="9481" max="9484" width="8.83203125" style="423" customWidth="1"/>
    <col min="9485" max="9485" width="17.83203125" style="423" customWidth="1"/>
    <col min="9486" max="9727" width="8.83203125" style="423" customWidth="1"/>
    <col min="9728" max="9728" width="32.33203125" style="423" bestFit="1" customWidth="1"/>
    <col min="9729" max="9729" width="22.1640625" style="423" customWidth="1"/>
    <col min="9730" max="9730" width="14.33203125" style="423" customWidth="1"/>
    <col min="9731" max="9731" width="19" style="423" customWidth="1"/>
    <col min="9732" max="9732" width="8.83203125" style="423" customWidth="1"/>
    <col min="9733" max="9733" width="11.33203125" style="423" customWidth="1"/>
    <col min="9734" max="9734" width="8.83203125" style="423" customWidth="1"/>
    <col min="9735" max="9735" width="6.33203125" style="423" customWidth="1"/>
    <col min="9736" max="9736" width="14.33203125" style="423" customWidth="1"/>
    <col min="9737" max="9740" width="8.83203125" style="423" customWidth="1"/>
    <col min="9741" max="9741" width="17.83203125" style="423" customWidth="1"/>
    <col min="9742" max="9983" width="8.83203125" style="423" customWidth="1"/>
    <col min="9984" max="9984" width="32.33203125" style="423" bestFit="1" customWidth="1"/>
    <col min="9985" max="9985" width="22.1640625" style="423" customWidth="1"/>
    <col min="9986" max="9986" width="14.33203125" style="423" customWidth="1"/>
    <col min="9987" max="9987" width="19" style="423" customWidth="1"/>
    <col min="9988" max="9988" width="8.83203125" style="423" customWidth="1"/>
    <col min="9989" max="9989" width="11.33203125" style="423" customWidth="1"/>
    <col min="9990" max="9990" width="8.83203125" style="423" customWidth="1"/>
    <col min="9991" max="9991" width="6.33203125" style="423" customWidth="1"/>
    <col min="9992" max="9992" width="14.33203125" style="423" customWidth="1"/>
    <col min="9993" max="9996" width="8.83203125" style="423" customWidth="1"/>
    <col min="9997" max="9997" width="17.83203125" style="423" customWidth="1"/>
    <col min="9998" max="10239" width="8.83203125" style="423" customWidth="1"/>
    <col min="10240" max="10240" width="32.33203125" style="423" bestFit="1" customWidth="1"/>
    <col min="10241" max="10241" width="22.1640625" style="423" customWidth="1"/>
    <col min="10242" max="10242" width="14.33203125" style="423" customWidth="1"/>
    <col min="10243" max="10243" width="19" style="423" customWidth="1"/>
    <col min="10244" max="10244" width="8.83203125" style="423" customWidth="1"/>
    <col min="10245" max="10245" width="11.33203125" style="423" customWidth="1"/>
    <col min="10246" max="10246" width="8.83203125" style="423" customWidth="1"/>
    <col min="10247" max="10247" width="6.33203125" style="423" customWidth="1"/>
    <col min="10248" max="10248" width="14.33203125" style="423" customWidth="1"/>
    <col min="10249" max="10252" width="8.83203125" style="423" customWidth="1"/>
    <col min="10253" max="10253" width="17.83203125" style="423" customWidth="1"/>
    <col min="10254" max="10495" width="8.83203125" style="423" customWidth="1"/>
    <col min="10496" max="10496" width="32.33203125" style="423" bestFit="1" customWidth="1"/>
    <col min="10497" max="10497" width="22.1640625" style="423" customWidth="1"/>
    <col min="10498" max="10498" width="14.33203125" style="423" customWidth="1"/>
    <col min="10499" max="10499" width="19" style="423" customWidth="1"/>
    <col min="10500" max="10500" width="8.83203125" style="423" customWidth="1"/>
    <col min="10501" max="10501" width="11.33203125" style="423" customWidth="1"/>
    <col min="10502" max="10502" width="8.83203125" style="423" customWidth="1"/>
    <col min="10503" max="10503" width="6.33203125" style="423" customWidth="1"/>
    <col min="10504" max="10504" width="14.33203125" style="423" customWidth="1"/>
    <col min="10505" max="10508" width="8.83203125" style="423" customWidth="1"/>
    <col min="10509" max="10509" width="17.83203125" style="423" customWidth="1"/>
    <col min="10510" max="10751" width="8.83203125" style="423" customWidth="1"/>
    <col min="10752" max="10752" width="32.33203125" style="423" bestFit="1" customWidth="1"/>
    <col min="10753" max="10753" width="22.1640625" style="423" customWidth="1"/>
    <col min="10754" max="10754" width="14.33203125" style="423" customWidth="1"/>
    <col min="10755" max="10755" width="19" style="423" customWidth="1"/>
    <col min="10756" max="10756" width="8.83203125" style="423" customWidth="1"/>
    <col min="10757" max="10757" width="11.33203125" style="423" customWidth="1"/>
    <col min="10758" max="10758" width="8.83203125" style="423" customWidth="1"/>
    <col min="10759" max="10759" width="6.33203125" style="423" customWidth="1"/>
    <col min="10760" max="10760" width="14.33203125" style="423" customWidth="1"/>
    <col min="10761" max="10764" width="8.83203125" style="423" customWidth="1"/>
    <col min="10765" max="10765" width="17.83203125" style="423" customWidth="1"/>
    <col min="10766" max="11007" width="8.83203125" style="423" customWidth="1"/>
    <col min="11008" max="11008" width="32.33203125" style="423" bestFit="1" customWidth="1"/>
    <col min="11009" max="11009" width="22.1640625" style="423" customWidth="1"/>
    <col min="11010" max="11010" width="14.33203125" style="423" customWidth="1"/>
    <col min="11011" max="11011" width="19" style="423" customWidth="1"/>
    <col min="11012" max="11012" width="8.83203125" style="423" customWidth="1"/>
    <col min="11013" max="11013" width="11.33203125" style="423" customWidth="1"/>
    <col min="11014" max="11014" width="8.83203125" style="423" customWidth="1"/>
    <col min="11015" max="11015" width="6.33203125" style="423" customWidth="1"/>
    <col min="11016" max="11016" width="14.33203125" style="423" customWidth="1"/>
    <col min="11017" max="11020" width="8.83203125" style="423" customWidth="1"/>
    <col min="11021" max="11021" width="17.83203125" style="423" customWidth="1"/>
    <col min="11022" max="11263" width="8.83203125" style="423" customWidth="1"/>
    <col min="11264" max="11264" width="32.33203125" style="423" bestFit="1" customWidth="1"/>
    <col min="11265" max="11265" width="22.1640625" style="423" customWidth="1"/>
    <col min="11266" max="11266" width="14.33203125" style="423" customWidth="1"/>
    <col min="11267" max="11267" width="19" style="423" customWidth="1"/>
    <col min="11268" max="11268" width="8.83203125" style="423" customWidth="1"/>
    <col min="11269" max="11269" width="11.33203125" style="423" customWidth="1"/>
    <col min="11270" max="11270" width="8.83203125" style="423" customWidth="1"/>
    <col min="11271" max="11271" width="6.33203125" style="423" customWidth="1"/>
    <col min="11272" max="11272" width="14.33203125" style="423" customWidth="1"/>
    <col min="11273" max="11276" width="8.83203125" style="423" customWidth="1"/>
    <col min="11277" max="11277" width="17.83203125" style="423" customWidth="1"/>
    <col min="11278" max="11519" width="8.83203125" style="423" customWidth="1"/>
    <col min="11520" max="11520" width="32.33203125" style="423" bestFit="1" customWidth="1"/>
    <col min="11521" max="11521" width="22.1640625" style="423" customWidth="1"/>
    <col min="11522" max="11522" width="14.33203125" style="423" customWidth="1"/>
    <col min="11523" max="11523" width="19" style="423" customWidth="1"/>
    <col min="11524" max="11524" width="8.83203125" style="423" customWidth="1"/>
    <col min="11525" max="11525" width="11.33203125" style="423" customWidth="1"/>
    <col min="11526" max="11526" width="8.83203125" style="423" customWidth="1"/>
    <col min="11527" max="11527" width="6.33203125" style="423" customWidth="1"/>
    <col min="11528" max="11528" width="14.33203125" style="423" customWidth="1"/>
    <col min="11529" max="11532" width="8.83203125" style="423" customWidth="1"/>
    <col min="11533" max="11533" width="17.83203125" style="423" customWidth="1"/>
    <col min="11534" max="11775" width="8.83203125" style="423" customWidth="1"/>
    <col min="11776" max="11776" width="32.33203125" style="423" bestFit="1" customWidth="1"/>
    <col min="11777" max="11777" width="22.1640625" style="423" customWidth="1"/>
    <col min="11778" max="11778" width="14.33203125" style="423" customWidth="1"/>
    <col min="11779" max="11779" width="19" style="423" customWidth="1"/>
    <col min="11780" max="11780" width="8.83203125" style="423" customWidth="1"/>
    <col min="11781" max="11781" width="11.33203125" style="423" customWidth="1"/>
    <col min="11782" max="11782" width="8.83203125" style="423" customWidth="1"/>
    <col min="11783" max="11783" width="6.33203125" style="423" customWidth="1"/>
    <col min="11784" max="11784" width="14.33203125" style="423" customWidth="1"/>
    <col min="11785" max="11788" width="8.83203125" style="423" customWidth="1"/>
    <col min="11789" max="11789" width="17.83203125" style="423" customWidth="1"/>
    <col min="11790" max="12031" width="8.83203125" style="423" customWidth="1"/>
    <col min="12032" max="12032" width="32.33203125" style="423" bestFit="1" customWidth="1"/>
    <col min="12033" max="12033" width="22.1640625" style="423" customWidth="1"/>
    <col min="12034" max="12034" width="14.33203125" style="423" customWidth="1"/>
    <col min="12035" max="12035" width="19" style="423" customWidth="1"/>
    <col min="12036" max="12036" width="8.83203125" style="423" customWidth="1"/>
    <col min="12037" max="12037" width="11.33203125" style="423" customWidth="1"/>
    <col min="12038" max="12038" width="8.83203125" style="423" customWidth="1"/>
    <col min="12039" max="12039" width="6.33203125" style="423" customWidth="1"/>
    <col min="12040" max="12040" width="14.33203125" style="423" customWidth="1"/>
    <col min="12041" max="12044" width="8.83203125" style="423" customWidth="1"/>
    <col min="12045" max="12045" width="17.83203125" style="423" customWidth="1"/>
    <col min="12046" max="12287" width="8.83203125" style="423" customWidth="1"/>
    <col min="12288" max="12288" width="32.33203125" style="423" bestFit="1" customWidth="1"/>
    <col min="12289" max="12289" width="22.1640625" style="423" customWidth="1"/>
    <col min="12290" max="12290" width="14.33203125" style="423" customWidth="1"/>
    <col min="12291" max="12291" width="19" style="423" customWidth="1"/>
    <col min="12292" max="12292" width="8.83203125" style="423" customWidth="1"/>
    <col min="12293" max="12293" width="11.33203125" style="423" customWidth="1"/>
    <col min="12294" max="12294" width="8.83203125" style="423" customWidth="1"/>
    <col min="12295" max="12295" width="6.33203125" style="423" customWidth="1"/>
    <col min="12296" max="12296" width="14.33203125" style="423" customWidth="1"/>
    <col min="12297" max="12300" width="8.83203125" style="423" customWidth="1"/>
    <col min="12301" max="12301" width="17.83203125" style="423" customWidth="1"/>
    <col min="12302" max="12543" width="8.83203125" style="423" customWidth="1"/>
    <col min="12544" max="12544" width="32.33203125" style="423" bestFit="1" customWidth="1"/>
    <col min="12545" max="12545" width="22.1640625" style="423" customWidth="1"/>
    <col min="12546" max="12546" width="14.33203125" style="423" customWidth="1"/>
    <col min="12547" max="12547" width="19" style="423" customWidth="1"/>
    <col min="12548" max="12548" width="8.83203125" style="423" customWidth="1"/>
    <col min="12549" max="12549" width="11.33203125" style="423" customWidth="1"/>
    <col min="12550" max="12550" width="8.83203125" style="423" customWidth="1"/>
    <col min="12551" max="12551" width="6.33203125" style="423" customWidth="1"/>
    <col min="12552" max="12552" width="14.33203125" style="423" customWidth="1"/>
    <col min="12553" max="12556" width="8.83203125" style="423" customWidth="1"/>
    <col min="12557" max="12557" width="17.83203125" style="423" customWidth="1"/>
    <col min="12558" max="12799" width="8.83203125" style="423" customWidth="1"/>
    <col min="12800" max="12800" width="32.33203125" style="423" bestFit="1" customWidth="1"/>
    <col min="12801" max="12801" width="22.1640625" style="423" customWidth="1"/>
    <col min="12802" max="12802" width="14.33203125" style="423" customWidth="1"/>
    <col min="12803" max="12803" width="19" style="423" customWidth="1"/>
    <col min="12804" max="12804" width="8.83203125" style="423" customWidth="1"/>
    <col min="12805" max="12805" width="11.33203125" style="423" customWidth="1"/>
    <col min="12806" max="12806" width="8.83203125" style="423" customWidth="1"/>
    <col min="12807" max="12807" width="6.33203125" style="423" customWidth="1"/>
    <col min="12808" max="12808" width="14.33203125" style="423" customWidth="1"/>
    <col min="12809" max="12812" width="8.83203125" style="423" customWidth="1"/>
    <col min="12813" max="12813" width="17.83203125" style="423" customWidth="1"/>
    <col min="12814" max="13055" width="8.83203125" style="423" customWidth="1"/>
    <col min="13056" max="13056" width="32.33203125" style="423" bestFit="1" customWidth="1"/>
    <col min="13057" max="13057" width="22.1640625" style="423" customWidth="1"/>
    <col min="13058" max="13058" width="14.33203125" style="423" customWidth="1"/>
    <col min="13059" max="13059" width="19" style="423" customWidth="1"/>
    <col min="13060" max="13060" width="8.83203125" style="423" customWidth="1"/>
    <col min="13061" max="13061" width="11.33203125" style="423" customWidth="1"/>
    <col min="13062" max="13062" width="8.83203125" style="423" customWidth="1"/>
    <col min="13063" max="13063" width="6.33203125" style="423" customWidth="1"/>
    <col min="13064" max="13064" width="14.33203125" style="423" customWidth="1"/>
    <col min="13065" max="13068" width="8.83203125" style="423" customWidth="1"/>
    <col min="13069" max="13069" width="17.83203125" style="423" customWidth="1"/>
    <col min="13070" max="13311" width="8.83203125" style="423" customWidth="1"/>
    <col min="13312" max="13312" width="32.33203125" style="423" bestFit="1" customWidth="1"/>
    <col min="13313" max="13313" width="22.1640625" style="423" customWidth="1"/>
    <col min="13314" max="13314" width="14.33203125" style="423" customWidth="1"/>
    <col min="13315" max="13315" width="19" style="423" customWidth="1"/>
    <col min="13316" max="13316" width="8.83203125" style="423" customWidth="1"/>
    <col min="13317" max="13317" width="11.33203125" style="423" customWidth="1"/>
    <col min="13318" max="13318" width="8.83203125" style="423" customWidth="1"/>
    <col min="13319" max="13319" width="6.33203125" style="423" customWidth="1"/>
    <col min="13320" max="13320" width="14.33203125" style="423" customWidth="1"/>
    <col min="13321" max="13324" width="8.83203125" style="423" customWidth="1"/>
    <col min="13325" max="13325" width="17.83203125" style="423" customWidth="1"/>
    <col min="13326" max="13567" width="8.83203125" style="423" customWidth="1"/>
    <col min="13568" max="13568" width="32.33203125" style="423" bestFit="1" customWidth="1"/>
    <col min="13569" max="13569" width="22.1640625" style="423" customWidth="1"/>
    <col min="13570" max="13570" width="14.33203125" style="423" customWidth="1"/>
    <col min="13571" max="13571" width="19" style="423" customWidth="1"/>
    <col min="13572" max="13572" width="8.83203125" style="423" customWidth="1"/>
    <col min="13573" max="13573" width="11.33203125" style="423" customWidth="1"/>
    <col min="13574" max="13574" width="8.83203125" style="423" customWidth="1"/>
    <col min="13575" max="13575" width="6.33203125" style="423" customWidth="1"/>
    <col min="13576" max="13576" width="14.33203125" style="423" customWidth="1"/>
    <col min="13577" max="13580" width="8.83203125" style="423" customWidth="1"/>
    <col min="13581" max="13581" width="17.83203125" style="423" customWidth="1"/>
    <col min="13582" max="13823" width="8.83203125" style="423" customWidth="1"/>
    <col min="13824" max="13824" width="32.33203125" style="423" bestFit="1" customWidth="1"/>
    <col min="13825" max="13825" width="22.1640625" style="423" customWidth="1"/>
    <col min="13826" max="13826" width="14.33203125" style="423" customWidth="1"/>
    <col min="13827" max="13827" width="19" style="423" customWidth="1"/>
    <col min="13828" max="13828" width="8.83203125" style="423" customWidth="1"/>
    <col min="13829" max="13829" width="11.33203125" style="423" customWidth="1"/>
    <col min="13830" max="13830" width="8.83203125" style="423" customWidth="1"/>
    <col min="13831" max="13831" width="6.33203125" style="423" customWidth="1"/>
    <col min="13832" max="13832" width="14.33203125" style="423" customWidth="1"/>
    <col min="13833" max="13836" width="8.83203125" style="423" customWidth="1"/>
    <col min="13837" max="13837" width="17.83203125" style="423" customWidth="1"/>
    <col min="13838" max="14079" width="8.83203125" style="423" customWidth="1"/>
    <col min="14080" max="14080" width="32.33203125" style="423" bestFit="1" customWidth="1"/>
    <col min="14081" max="14081" width="22.1640625" style="423" customWidth="1"/>
    <col min="14082" max="14082" width="14.33203125" style="423" customWidth="1"/>
    <col min="14083" max="14083" width="19" style="423" customWidth="1"/>
    <col min="14084" max="14084" width="8.83203125" style="423" customWidth="1"/>
    <col min="14085" max="14085" width="11.33203125" style="423" customWidth="1"/>
    <col min="14086" max="14086" width="8.83203125" style="423" customWidth="1"/>
    <col min="14087" max="14087" width="6.33203125" style="423" customWidth="1"/>
    <col min="14088" max="14088" width="14.33203125" style="423" customWidth="1"/>
    <col min="14089" max="14092" width="8.83203125" style="423" customWidth="1"/>
    <col min="14093" max="14093" width="17.83203125" style="423" customWidth="1"/>
    <col min="14094" max="14335" width="8.83203125" style="423" customWidth="1"/>
    <col min="14336" max="14336" width="32.33203125" style="423" bestFit="1" customWidth="1"/>
    <col min="14337" max="14337" width="22.1640625" style="423" customWidth="1"/>
    <col min="14338" max="14338" width="14.33203125" style="423" customWidth="1"/>
    <col min="14339" max="14339" width="19" style="423" customWidth="1"/>
    <col min="14340" max="14340" width="8.83203125" style="423" customWidth="1"/>
    <col min="14341" max="14341" width="11.33203125" style="423" customWidth="1"/>
    <col min="14342" max="14342" width="8.83203125" style="423" customWidth="1"/>
    <col min="14343" max="14343" width="6.33203125" style="423" customWidth="1"/>
    <col min="14344" max="14344" width="14.33203125" style="423" customWidth="1"/>
    <col min="14345" max="14348" width="8.83203125" style="423" customWidth="1"/>
    <col min="14349" max="14349" width="17.83203125" style="423" customWidth="1"/>
    <col min="14350" max="14591" width="8.83203125" style="423" customWidth="1"/>
    <col min="14592" max="14592" width="32.33203125" style="423" bestFit="1" customWidth="1"/>
    <col min="14593" max="14593" width="22.1640625" style="423" customWidth="1"/>
    <col min="14594" max="14594" width="14.33203125" style="423" customWidth="1"/>
    <col min="14595" max="14595" width="19" style="423" customWidth="1"/>
    <col min="14596" max="14596" width="8.83203125" style="423" customWidth="1"/>
    <col min="14597" max="14597" width="11.33203125" style="423" customWidth="1"/>
    <col min="14598" max="14598" width="8.83203125" style="423" customWidth="1"/>
    <col min="14599" max="14599" width="6.33203125" style="423" customWidth="1"/>
    <col min="14600" max="14600" width="14.33203125" style="423" customWidth="1"/>
    <col min="14601" max="14604" width="8.83203125" style="423" customWidth="1"/>
    <col min="14605" max="14605" width="17.83203125" style="423" customWidth="1"/>
    <col min="14606" max="14847" width="8.83203125" style="423" customWidth="1"/>
    <col min="14848" max="14848" width="32.33203125" style="423" bestFit="1" customWidth="1"/>
    <col min="14849" max="14849" width="22.1640625" style="423" customWidth="1"/>
    <col min="14850" max="14850" width="14.33203125" style="423" customWidth="1"/>
    <col min="14851" max="14851" width="19" style="423" customWidth="1"/>
    <col min="14852" max="14852" width="8.83203125" style="423" customWidth="1"/>
    <col min="14853" max="14853" width="11.33203125" style="423" customWidth="1"/>
    <col min="14854" max="14854" width="8.83203125" style="423" customWidth="1"/>
    <col min="14855" max="14855" width="6.33203125" style="423" customWidth="1"/>
    <col min="14856" max="14856" width="14.33203125" style="423" customWidth="1"/>
    <col min="14857" max="14860" width="8.83203125" style="423" customWidth="1"/>
    <col min="14861" max="14861" width="17.83203125" style="423" customWidth="1"/>
    <col min="14862" max="15103" width="8.83203125" style="423" customWidth="1"/>
    <col min="15104" max="15104" width="32.33203125" style="423" bestFit="1" customWidth="1"/>
    <col min="15105" max="15105" width="22.1640625" style="423" customWidth="1"/>
    <col min="15106" max="15106" width="14.33203125" style="423" customWidth="1"/>
    <col min="15107" max="15107" width="19" style="423" customWidth="1"/>
    <col min="15108" max="15108" width="8.83203125" style="423" customWidth="1"/>
    <col min="15109" max="15109" width="11.33203125" style="423" customWidth="1"/>
    <col min="15110" max="15110" width="8.83203125" style="423" customWidth="1"/>
    <col min="15111" max="15111" width="6.33203125" style="423" customWidth="1"/>
    <col min="15112" max="15112" width="14.33203125" style="423" customWidth="1"/>
    <col min="15113" max="15116" width="8.83203125" style="423" customWidth="1"/>
    <col min="15117" max="15117" width="17.83203125" style="423" customWidth="1"/>
    <col min="15118" max="15359" width="8.83203125" style="423" customWidth="1"/>
    <col min="15360" max="15360" width="32.33203125" style="423" bestFit="1" customWidth="1"/>
    <col min="15361" max="15361" width="22.1640625" style="423" customWidth="1"/>
    <col min="15362" max="15362" width="14.33203125" style="423" customWidth="1"/>
    <col min="15363" max="15363" width="19" style="423" customWidth="1"/>
    <col min="15364" max="15364" width="8.83203125" style="423" customWidth="1"/>
    <col min="15365" max="15365" width="11.33203125" style="423" customWidth="1"/>
    <col min="15366" max="15366" width="8.83203125" style="423" customWidth="1"/>
    <col min="15367" max="15367" width="6.33203125" style="423" customWidth="1"/>
    <col min="15368" max="15368" width="14.33203125" style="423" customWidth="1"/>
    <col min="15369" max="15372" width="8.83203125" style="423" customWidth="1"/>
    <col min="15373" max="15373" width="17.83203125" style="423" customWidth="1"/>
    <col min="15374" max="15615" width="8.83203125" style="423" customWidth="1"/>
    <col min="15616" max="15616" width="32.33203125" style="423" bestFit="1" customWidth="1"/>
    <col min="15617" max="15617" width="22.1640625" style="423" customWidth="1"/>
    <col min="15618" max="15618" width="14.33203125" style="423" customWidth="1"/>
    <col min="15619" max="15619" width="19" style="423" customWidth="1"/>
    <col min="15620" max="15620" width="8.83203125" style="423" customWidth="1"/>
    <col min="15621" max="15621" width="11.33203125" style="423" customWidth="1"/>
    <col min="15622" max="15622" width="8.83203125" style="423" customWidth="1"/>
    <col min="15623" max="15623" width="6.33203125" style="423" customWidth="1"/>
    <col min="15624" max="15624" width="14.33203125" style="423" customWidth="1"/>
    <col min="15625" max="15628" width="8.83203125" style="423" customWidth="1"/>
    <col min="15629" max="15629" width="17.83203125" style="423" customWidth="1"/>
    <col min="15630" max="15871" width="8.83203125" style="423" customWidth="1"/>
    <col min="15872" max="15872" width="32.33203125" style="423" bestFit="1" customWidth="1"/>
    <col min="15873" max="15873" width="22.1640625" style="423" customWidth="1"/>
    <col min="15874" max="15874" width="14.33203125" style="423" customWidth="1"/>
    <col min="15875" max="15875" width="19" style="423" customWidth="1"/>
    <col min="15876" max="15876" width="8.83203125" style="423" customWidth="1"/>
    <col min="15877" max="15877" width="11.33203125" style="423" customWidth="1"/>
    <col min="15878" max="15878" width="8.83203125" style="423" customWidth="1"/>
    <col min="15879" max="15879" width="6.33203125" style="423" customWidth="1"/>
    <col min="15880" max="15880" width="14.33203125" style="423" customWidth="1"/>
    <col min="15881" max="15884" width="8.83203125" style="423" customWidth="1"/>
    <col min="15885" max="15885" width="17.83203125" style="423" customWidth="1"/>
    <col min="15886" max="16127" width="8.83203125" style="423" customWidth="1"/>
    <col min="16128" max="16128" width="32.33203125" style="423" bestFit="1" customWidth="1"/>
    <col min="16129" max="16129" width="22.1640625" style="423" customWidth="1"/>
    <col min="16130" max="16130" width="14.33203125" style="423" customWidth="1"/>
    <col min="16131" max="16131" width="19" style="423" customWidth="1"/>
    <col min="16132" max="16132" width="8.83203125" style="423" customWidth="1"/>
    <col min="16133" max="16133" width="11.33203125" style="423" customWidth="1"/>
    <col min="16134" max="16134" width="8.83203125" style="423" customWidth="1"/>
    <col min="16135" max="16135" width="6.33203125" style="423" customWidth="1"/>
    <col min="16136" max="16136" width="14.33203125" style="423" customWidth="1"/>
    <col min="16137" max="16140" width="8.83203125" style="423" customWidth="1"/>
    <col min="16141" max="16141" width="17.83203125" style="423" customWidth="1"/>
    <col min="16142" max="16384" width="8.83203125" style="423" customWidth="1"/>
  </cols>
  <sheetData>
    <row r="1" spans="1:14" x14ac:dyDescent="0.2">
      <c r="A1" s="422" t="s">
        <v>0</v>
      </c>
      <c r="B1" s="851" t="str">
        <f>'Cover Page'!D1</f>
        <v>ASU Preparatory Academy - South Phoenix Primary</v>
      </c>
      <c r="C1" s="851"/>
      <c r="E1" s="422" t="s">
        <v>1</v>
      </c>
      <c r="F1" s="636" t="str">
        <f>'Cover Page'!M1</f>
        <v>Maricopa</v>
      </c>
      <c r="G1" s="424"/>
      <c r="H1" s="422" t="s">
        <v>2</v>
      </c>
      <c r="I1" s="588" t="str">
        <f>'Cover Page'!R1</f>
        <v>078267000</v>
      </c>
      <c r="J1" s="636"/>
      <c r="K1" s="636"/>
    </row>
    <row r="4" spans="1:14" x14ac:dyDescent="0.2">
      <c r="H4" s="425" t="s">
        <v>485</v>
      </c>
      <c r="I4" s="679" t="s">
        <v>1198</v>
      </c>
      <c r="J4" s="679" t="s">
        <v>1199</v>
      </c>
    </row>
    <row r="5" spans="1:14" x14ac:dyDescent="0.2">
      <c r="H5" s="3" t="s">
        <v>486</v>
      </c>
      <c r="I5" s="557">
        <f>[4]Summary!$J$5</f>
        <v>47.5929</v>
      </c>
      <c r="J5" s="557">
        <v>57.405000000000001</v>
      </c>
    </row>
    <row r="6" spans="1:14" x14ac:dyDescent="0.2">
      <c r="A6" s="426"/>
      <c r="B6" s="427" t="s">
        <v>487</v>
      </c>
    </row>
    <row r="8" spans="1:14" ht="15" customHeight="1" x14ac:dyDescent="0.2">
      <c r="A8" s="428"/>
      <c r="B8" s="429"/>
      <c r="C8" s="430" t="s">
        <v>488</v>
      </c>
      <c r="D8" s="852" t="s">
        <v>489</v>
      </c>
      <c r="E8" s="431"/>
      <c r="F8" s="432"/>
      <c r="G8" s="848" t="s">
        <v>490</v>
      </c>
      <c r="H8" s="850" t="s">
        <v>491</v>
      </c>
      <c r="I8" s="432"/>
      <c r="J8" s="432"/>
      <c r="K8" s="433"/>
    </row>
    <row r="9" spans="1:14" x14ac:dyDescent="0.2">
      <c r="A9" s="434"/>
      <c r="B9" s="435" t="s">
        <v>193</v>
      </c>
      <c r="C9" s="436" t="s">
        <v>193</v>
      </c>
      <c r="D9" s="853"/>
      <c r="E9" s="437"/>
      <c r="F9" s="438"/>
      <c r="G9" s="849"/>
      <c r="H9" s="849"/>
      <c r="I9" s="438" t="s">
        <v>320</v>
      </c>
      <c r="J9" s="438" t="s">
        <v>492</v>
      </c>
      <c r="K9" s="439" t="s">
        <v>196</v>
      </c>
    </row>
    <row r="10" spans="1:14" x14ac:dyDescent="0.2">
      <c r="A10" s="440" t="s">
        <v>493</v>
      </c>
      <c r="B10" s="441" t="s">
        <v>494</v>
      </c>
      <c r="C10" s="442" t="s">
        <v>494</v>
      </c>
      <c r="D10" s="854"/>
      <c r="E10" s="443" t="s">
        <v>495</v>
      </c>
      <c r="F10" s="444" t="s">
        <v>322</v>
      </c>
      <c r="G10" s="849"/>
      <c r="H10" s="849"/>
      <c r="I10" s="444" t="s">
        <v>324</v>
      </c>
      <c r="J10" s="444" t="s">
        <v>496</v>
      </c>
      <c r="K10" s="445" t="s">
        <v>494</v>
      </c>
      <c r="M10" s="422" t="s">
        <v>497</v>
      </c>
    </row>
    <row r="11" spans="1:14" x14ac:dyDescent="0.2">
      <c r="A11" s="446" t="s">
        <v>498</v>
      </c>
      <c r="B11" s="447"/>
      <c r="C11" s="448"/>
      <c r="D11" s="448"/>
      <c r="E11" s="449"/>
      <c r="F11" s="450"/>
      <c r="G11" s="451">
        <f>'Page 2'!I23</f>
        <v>1003544</v>
      </c>
      <c r="H11" s="452">
        <f>'Page 2'!J23</f>
        <v>1051374</v>
      </c>
      <c r="I11" s="453"/>
      <c r="J11" s="450"/>
      <c r="K11" s="447"/>
      <c r="M11" s="422" t="s">
        <v>1164</v>
      </c>
    </row>
    <row r="12" spans="1:14" x14ac:dyDescent="0.2">
      <c r="A12" s="446" t="s">
        <v>499</v>
      </c>
      <c r="B12" s="447"/>
      <c r="C12" s="447"/>
      <c r="D12" s="447"/>
      <c r="E12" s="454"/>
      <c r="F12" s="450"/>
      <c r="G12" s="451">
        <f>'Page 2'!I37</f>
        <v>50104</v>
      </c>
      <c r="H12" s="455">
        <f>'Page 2'!J37</f>
        <v>105198</v>
      </c>
      <c r="I12" s="453"/>
      <c r="J12" s="450"/>
      <c r="K12" s="447"/>
      <c r="M12" s="456">
        <v>-1</v>
      </c>
      <c r="N12" s="423" t="str">
        <f>"The Charter "&amp;IF('Project balance reserves'!F26="Yes","has","does not have")&amp;" an adopted policy establishing a reserve balance for FY 2024."</f>
        <v>The Charter does not have an adopted policy establishing a reserve balance for FY 2024.</v>
      </c>
    </row>
    <row r="13" spans="1:14" x14ac:dyDescent="0.2">
      <c r="A13" s="446" t="s">
        <v>500</v>
      </c>
      <c r="B13" s="447"/>
      <c r="C13" s="447"/>
      <c r="D13" s="447"/>
      <c r="E13" s="454"/>
      <c r="F13" s="450"/>
      <c r="G13" s="457">
        <f>'Page 2'!I38</f>
        <v>16071</v>
      </c>
      <c r="H13" s="455">
        <f>'Page 2'!J38</f>
        <v>34942</v>
      </c>
      <c r="I13" s="453"/>
      <c r="J13" s="450"/>
      <c r="K13" s="447"/>
    </row>
    <row r="14" spans="1:14" x14ac:dyDescent="0.2">
      <c r="A14" s="446" t="s">
        <v>501</v>
      </c>
      <c r="B14" s="447"/>
      <c r="C14" s="447"/>
      <c r="D14" s="447"/>
      <c r="E14" s="454"/>
      <c r="F14" s="450"/>
      <c r="G14" s="457">
        <f>'Page 2'!I39</f>
        <v>0</v>
      </c>
      <c r="H14" s="455">
        <f>'Page 2'!J39</f>
        <v>0</v>
      </c>
      <c r="I14" s="453"/>
      <c r="J14" s="450"/>
      <c r="K14" s="447"/>
      <c r="M14" s="456">
        <v>-2</v>
      </c>
      <c r="N14" s="423" t="s">
        <v>1200</v>
      </c>
    </row>
    <row r="15" spans="1:14" x14ac:dyDescent="0.2">
      <c r="A15" s="458" t="s">
        <v>502</v>
      </c>
      <c r="B15" s="459"/>
      <c r="C15" s="459"/>
      <c r="D15" s="459"/>
      <c r="E15" s="460"/>
      <c r="F15" s="450"/>
      <c r="G15" s="461">
        <f>'Page 2'!I40</f>
        <v>0</v>
      </c>
      <c r="H15" s="462">
        <f>'Page 2'!J40</f>
        <v>0</v>
      </c>
      <c r="I15" s="453"/>
      <c r="J15" s="450"/>
      <c r="K15" s="447"/>
      <c r="N15" s="463">
        <f>'Project balance reserves'!D39</f>
        <v>0</v>
      </c>
    </row>
    <row r="16" spans="1:14" x14ac:dyDescent="0.2">
      <c r="A16" s="464" t="s">
        <v>503</v>
      </c>
      <c r="B16" s="459"/>
      <c r="C16" s="447"/>
      <c r="D16" s="447"/>
      <c r="E16" s="454"/>
      <c r="F16" s="465"/>
      <c r="G16" s="466">
        <f>'Page 2'!I41</f>
        <v>9826</v>
      </c>
      <c r="H16" s="467">
        <f>'Page 2'!J41</f>
        <v>9094</v>
      </c>
      <c r="I16" s="465"/>
      <c r="J16" s="450"/>
      <c r="K16" s="468"/>
    </row>
    <row r="17" spans="1:18" x14ac:dyDescent="0.2">
      <c r="A17" s="469" t="s">
        <v>504</v>
      </c>
      <c r="B17" s="676">
        <f>[4]Summary!$K$17</f>
        <v>-2757593</v>
      </c>
      <c r="C17" s="476">
        <v>146480</v>
      </c>
      <c r="D17" s="470">
        <f>'Page 1'!H40-SUM(D18:D23)</f>
        <v>633831</v>
      </c>
      <c r="E17" s="454"/>
      <c r="F17" s="476">
        <v>0</v>
      </c>
      <c r="G17" s="555">
        <f>[5]!SP1000Total</f>
        <v>1079545</v>
      </c>
      <c r="H17" s="556">
        <f>TotExpSchoolwide</f>
        <v>1200608</v>
      </c>
      <c r="I17" s="476">
        <v>0</v>
      </c>
      <c r="J17" s="476">
        <v>0</v>
      </c>
      <c r="K17" s="471">
        <f>IF(C17="",B17,C17)+D17-E17-F17-I17-H17-J17</f>
        <v>-420297</v>
      </c>
      <c r="M17" s="456"/>
    </row>
    <row r="18" spans="1:18" x14ac:dyDescent="0.2">
      <c r="A18" s="469" t="s">
        <v>505</v>
      </c>
      <c r="B18" s="470">
        <f>'Page 3'!F24</f>
        <v>0</v>
      </c>
      <c r="C18" s="553">
        <v>0</v>
      </c>
      <c r="D18" s="471">
        <f>'Page 3'!F27</f>
        <v>50388</v>
      </c>
      <c r="E18" s="454"/>
      <c r="F18" s="476">
        <v>0</v>
      </c>
      <c r="G18" s="472">
        <f>'Page 3'!J13+'Page 3'!F18</f>
        <v>41789</v>
      </c>
      <c r="H18" s="669">
        <f>'Page 3'!G18+'Page 3'!K13</f>
        <v>50389</v>
      </c>
      <c r="I18" s="470">
        <f>'Page 3'!G17</f>
        <v>0</v>
      </c>
      <c r="J18" s="470">
        <f>'Page 3'!G19</f>
        <v>0</v>
      </c>
      <c r="K18" s="471">
        <f>IF(C18="",B18,C18)+D18-E18-F18-I18-H18-J18</f>
        <v>-1</v>
      </c>
      <c r="N18" s="675"/>
    </row>
    <row r="19" spans="1:18" x14ac:dyDescent="0.2">
      <c r="A19" s="469" t="s">
        <v>506</v>
      </c>
      <c r="B19" s="470">
        <f>'Page 4'!F15</f>
        <v>0</v>
      </c>
      <c r="C19" s="553">
        <v>0</v>
      </c>
      <c r="D19" s="471">
        <f>'Page 4'!F16</f>
        <v>4181</v>
      </c>
      <c r="E19" s="454"/>
      <c r="F19" s="476">
        <v>0</v>
      </c>
      <c r="G19" s="554">
        <f>'Page 4'!H11</f>
        <v>2200</v>
      </c>
      <c r="H19" s="471">
        <f>'Page 4'!I11</f>
        <v>4181</v>
      </c>
      <c r="I19" s="453"/>
      <c r="J19" s="453"/>
      <c r="K19" s="471">
        <f t="shared" ref="K19:K23" si="0">IF(C19="",B19,C19)+D19-E19-F19-I19-H19-J19</f>
        <v>0</v>
      </c>
    </row>
    <row r="20" spans="1:18" x14ac:dyDescent="0.2">
      <c r="A20" s="469" t="s">
        <v>507</v>
      </c>
      <c r="B20" s="470">
        <f>'Page 5'!F26</f>
        <v>0</v>
      </c>
      <c r="C20" s="553">
        <v>0</v>
      </c>
      <c r="D20" s="471">
        <f>'Page 5'!G26</f>
        <v>0</v>
      </c>
      <c r="E20" s="454"/>
      <c r="F20" s="476">
        <v>0</v>
      </c>
      <c r="G20" s="554">
        <f>'Page 5'!M26</f>
        <v>0</v>
      </c>
      <c r="H20" s="471">
        <f>'Page 5'!N26</f>
        <v>0</v>
      </c>
      <c r="I20" s="453"/>
      <c r="J20" s="453"/>
      <c r="K20" s="471">
        <f t="shared" si="0"/>
        <v>0</v>
      </c>
      <c r="M20" s="456"/>
      <c r="N20" s="673"/>
      <c r="P20" s="475"/>
    </row>
    <row r="21" spans="1:18" x14ac:dyDescent="0.2">
      <c r="A21" s="469" t="s">
        <v>508</v>
      </c>
      <c r="B21" s="470">
        <f>'Page 5'!F48</f>
        <v>0</v>
      </c>
      <c r="C21" s="553">
        <v>0</v>
      </c>
      <c r="D21" s="471">
        <f>'Page 5'!G48</f>
        <v>0</v>
      </c>
      <c r="E21" s="454"/>
      <c r="F21" s="476">
        <v>0</v>
      </c>
      <c r="G21" s="554">
        <f>'Page 5'!M48</f>
        <v>0</v>
      </c>
      <c r="H21" s="471">
        <f>'Page 5'!N48</f>
        <v>0</v>
      </c>
      <c r="I21" s="453"/>
      <c r="J21" s="453"/>
      <c r="K21" s="471">
        <f t="shared" si="0"/>
        <v>0</v>
      </c>
      <c r="Q21" s="475"/>
      <c r="R21" s="475"/>
    </row>
    <row r="22" spans="1:18" x14ac:dyDescent="0.2">
      <c r="A22" s="469" t="s">
        <v>509</v>
      </c>
      <c r="B22" s="471">
        <f>'Page 8'!E23</f>
        <v>76094</v>
      </c>
      <c r="C22" s="471">
        <f>'Page 8'!F23</f>
        <v>-186</v>
      </c>
      <c r="D22" s="471">
        <f>'Page 8'!G23</f>
        <v>759091</v>
      </c>
      <c r="E22" s="587">
        <f>'Page 8'!H23</f>
        <v>92400</v>
      </c>
      <c r="F22" s="470">
        <f>'Page 8'!I23</f>
        <v>0</v>
      </c>
      <c r="G22" s="554">
        <f>'Page 8'!J23</f>
        <v>561882</v>
      </c>
      <c r="H22" s="471">
        <f>'Page 8'!K23</f>
        <v>666505</v>
      </c>
      <c r="I22" s="472">
        <f>'Page 8'!M23</f>
        <v>0</v>
      </c>
      <c r="J22" s="470">
        <f>'Page 8'!L23</f>
        <v>0</v>
      </c>
      <c r="K22" s="471">
        <f t="shared" si="0"/>
        <v>0</v>
      </c>
      <c r="N22" s="475"/>
      <c r="O22" s="475"/>
      <c r="P22" s="475"/>
      <c r="Q22" s="475"/>
      <c r="R22" s="475"/>
    </row>
    <row r="23" spans="1:18" x14ac:dyDescent="0.2">
      <c r="A23" s="469" t="s">
        <v>510</v>
      </c>
      <c r="B23" s="471">
        <f>'Page 8'!E40</f>
        <v>0</v>
      </c>
      <c r="C23" s="471">
        <f>'Page 8'!F40</f>
        <v>1</v>
      </c>
      <c r="D23" s="471">
        <f>'Page 8'!G40</f>
        <v>70814</v>
      </c>
      <c r="E23" s="454"/>
      <c r="F23" s="470">
        <f>'Page 8'!I40</f>
        <v>0</v>
      </c>
      <c r="G23" s="474">
        <f>'Page 8'!J40</f>
        <v>0</v>
      </c>
      <c r="H23" s="473">
        <f>'Page 8'!K40</f>
        <v>70815</v>
      </c>
      <c r="I23" s="470">
        <f>'Page 8'!M40</f>
        <v>0</v>
      </c>
      <c r="J23" s="470">
        <f>'Page 8'!L40</f>
        <v>0</v>
      </c>
      <c r="K23" s="471">
        <f t="shared" si="0"/>
        <v>0</v>
      </c>
    </row>
  </sheetData>
  <mergeCells count="4">
    <mergeCell ref="G8:G10"/>
    <mergeCell ref="H8:H10"/>
    <mergeCell ref="B1:C1"/>
    <mergeCell ref="D8:D10"/>
  </mergeCells>
  <conditionalFormatting sqref="B17">
    <cfRule type="containsBlanks" dxfId="23" priority="6">
      <formula>LEN(TRIM(B17))=0</formula>
    </cfRule>
  </conditionalFormatting>
  <conditionalFormatting sqref="C17:C21">
    <cfRule type="containsBlanks" dxfId="22" priority="7">
      <formula>LEN(TRIM(C17))=0</formula>
    </cfRule>
  </conditionalFormatting>
  <conditionalFormatting sqref="F17:F21">
    <cfRule type="containsBlanks" dxfId="21" priority="5">
      <formula>LEN(TRIM(F17))=0</formula>
    </cfRule>
  </conditionalFormatting>
  <conditionalFormatting sqref="G17:J17">
    <cfRule type="containsBlanks" dxfId="20" priority="1">
      <formula>LEN(TRIM(G17))=0</formula>
    </cfRule>
  </conditionalFormatting>
  <conditionalFormatting sqref="I5">
    <cfRule type="containsBlanks" priority="11">
      <formula>LEN(TRIM(I5))=0</formula>
    </cfRule>
  </conditionalFormatting>
  <conditionalFormatting sqref="I5:J5">
    <cfRule type="containsBlanks" dxfId="19" priority="8">
      <formula>LEN(TRIM(I5))=0</formula>
    </cfRule>
  </conditionalFormatting>
  <dataValidations count="1">
    <dataValidation allowBlank="1" showInputMessage="1" showErrorMessage="1" promptTitle="Reversions" prompt="Enter as a positive amount." sqref="F17:F21" xr:uid="{00000000-0002-0000-0B00-000000000000}"/>
  </dataValidations>
  <hyperlinks>
    <hyperlink ref="B9:B10" r:id="rId1" display="Beginning" xr:uid="{00000000-0004-0000-0B00-000000000000}"/>
    <hyperlink ref="B10" location="BegProjectBalances" display="Project Balance" xr:uid="{00000000-0004-0000-0B00-000001000000}"/>
    <hyperlink ref="B9" location="BegProjectBalances" display="Beginning" xr:uid="{00000000-0004-0000-0B00-000002000000}"/>
    <hyperlink ref="C8:C10" location="AdjustedBeginningProjectBalance" display="Adjusted " xr:uid="{00000000-0004-0000-0B00-000003000000}"/>
    <hyperlink ref="H4" location="SumADM" display="Avg. Daily Membership" xr:uid="{00000000-0004-0000-0B00-000004000000}"/>
  </hyperlinks>
  <pageMargins left="0.75" right="0.25" top="0.25" bottom="0.25" header="0.5" footer="0.15"/>
  <pageSetup paperSize="5" scale="62" orientation="landscape" r:id="rId2"/>
  <headerFooter>
    <oddFooter>&amp;LRev. 8/24 Arizona Department of Education and Auditor General&amp;CFY 2024</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C7A9E-0716-4938-BAFE-B2FAD027D935}">
  <sheetPr>
    <pageSetUpPr fitToPage="1"/>
  </sheetPr>
  <dimension ref="A1:BO46"/>
  <sheetViews>
    <sheetView showGridLines="0" zoomScaleNormal="100" workbookViewId="0">
      <selection activeCell="F8" sqref="F8"/>
    </sheetView>
  </sheetViews>
  <sheetFormatPr defaultColWidth="8.83203125" defaultRowHeight="12.75" x14ac:dyDescent="0.2"/>
  <cols>
    <col min="1" max="1" width="4.6640625" customWidth="1"/>
    <col min="2" max="2" width="50.1640625" customWidth="1"/>
    <col min="3" max="3" width="24" customWidth="1"/>
    <col min="4" max="4" width="24.1640625" customWidth="1"/>
    <col min="5" max="5" width="26.6640625" customWidth="1"/>
    <col min="6" max="6" width="25.83203125" customWidth="1"/>
    <col min="7" max="7" width="27.6640625" customWidth="1"/>
    <col min="8" max="8" width="19.33203125" customWidth="1"/>
    <col min="9" max="9" width="11.1640625" customWidth="1"/>
    <col min="10" max="10" width="8.83203125" customWidth="1"/>
  </cols>
  <sheetData>
    <row r="1" spans="1:67" s="331" customFormat="1" x14ac:dyDescent="0.2">
      <c r="B1" s="330" t="s">
        <v>0</v>
      </c>
      <c r="C1" s="635" t="str">
        <f>'Cover Page'!D1</f>
        <v>ASU Preparatory Academy - South Phoenix Primary</v>
      </c>
      <c r="D1" s="635"/>
      <c r="E1" s="635"/>
      <c r="G1" s="330" t="s">
        <v>1</v>
      </c>
      <c r="H1" s="845" t="str">
        <f>'Cover Page'!M1</f>
        <v>Maricopa</v>
      </c>
      <c r="I1" s="845"/>
      <c r="J1" s="332"/>
      <c r="K1" s="330" t="s">
        <v>2</v>
      </c>
      <c r="L1" s="333" t="str">
        <f>'Cover Page'!R1</f>
        <v>078267000</v>
      </c>
      <c r="M1" s="334"/>
      <c r="N1" s="334"/>
      <c r="O1" s="335"/>
      <c r="P1" s="336"/>
      <c r="R1" s="337"/>
      <c r="S1" s="337"/>
      <c r="T1" s="337"/>
      <c r="U1" s="337"/>
      <c r="V1" s="338"/>
      <c r="W1" s="338"/>
      <c r="X1" s="338"/>
      <c r="Y1" s="338"/>
      <c r="Z1" s="338"/>
      <c r="AA1" s="338"/>
      <c r="AB1" s="338"/>
      <c r="AC1" s="338"/>
      <c r="AD1" s="339"/>
      <c r="AE1" s="339"/>
      <c r="AF1" s="339"/>
      <c r="AG1" s="339"/>
      <c r="AH1" s="339"/>
      <c r="AI1" s="339"/>
      <c r="AJ1" s="337"/>
      <c r="AK1" s="337"/>
      <c r="AL1" s="337"/>
      <c r="AM1" s="337"/>
      <c r="AN1" s="337"/>
      <c r="AO1" s="337"/>
      <c r="AP1" s="337"/>
      <c r="AQ1" s="337"/>
      <c r="AR1" s="337"/>
      <c r="AS1" s="337"/>
      <c r="AT1" s="337"/>
      <c r="AU1" s="337"/>
      <c r="AV1" s="337"/>
    </row>
    <row r="2" spans="1:67" s="331" customFormat="1" x14ac:dyDescent="0.2">
      <c r="B2" s="330"/>
      <c r="C2" s="334"/>
      <c r="D2" s="334"/>
      <c r="E2" s="334"/>
      <c r="G2" s="330"/>
      <c r="H2" s="334"/>
      <c r="I2" s="334"/>
      <c r="J2" s="332"/>
      <c r="K2" s="330"/>
      <c r="L2" s="477"/>
      <c r="M2" s="334"/>
      <c r="N2" s="334"/>
      <c r="O2" s="335"/>
      <c r="P2" s="336"/>
      <c r="R2" s="337"/>
      <c r="S2" s="337"/>
      <c r="T2" s="337"/>
      <c r="U2" s="337"/>
      <c r="V2" s="338"/>
      <c r="W2" s="338"/>
      <c r="X2" s="338"/>
      <c r="Y2" s="338"/>
      <c r="Z2" s="338"/>
      <c r="AA2" s="338"/>
      <c r="AB2" s="338"/>
      <c r="AC2" s="338"/>
      <c r="AD2" s="339"/>
      <c r="AE2" s="339"/>
      <c r="AF2" s="339"/>
      <c r="AG2" s="339"/>
      <c r="AH2" s="339"/>
      <c r="AI2" s="339"/>
      <c r="AJ2" s="337"/>
      <c r="AK2" s="337"/>
      <c r="AL2" s="337"/>
      <c r="AM2" s="337"/>
      <c r="AN2" s="337"/>
      <c r="AO2" s="337"/>
      <c r="AP2" s="337"/>
      <c r="AQ2" s="337"/>
      <c r="AR2" s="337"/>
      <c r="AS2" s="337"/>
      <c r="AT2" s="337"/>
      <c r="AU2" s="337"/>
      <c r="AV2" s="337"/>
    </row>
    <row r="3" spans="1:67" s="478" customFormat="1" ht="24.75" customHeight="1" x14ac:dyDescent="0.2">
      <c r="A3" s="870" t="s">
        <v>1148</v>
      </c>
      <c r="B3" s="870"/>
      <c r="C3" s="870"/>
      <c r="D3" s="870"/>
      <c r="E3" s="870"/>
      <c r="F3" s="870"/>
      <c r="G3" s="870"/>
      <c r="H3" s="870"/>
      <c r="J3" s="479"/>
      <c r="K3" s="480"/>
      <c r="L3" s="481"/>
      <c r="Q3" s="482"/>
      <c r="R3" s="483"/>
      <c r="S3" s="483"/>
      <c r="T3" s="483"/>
      <c r="U3" s="483"/>
      <c r="V3" s="483"/>
      <c r="W3" s="483"/>
      <c r="X3" s="483"/>
      <c r="Y3" s="483"/>
      <c r="Z3" s="483"/>
      <c r="AA3" s="483"/>
      <c r="AB3" s="483"/>
      <c r="AC3" s="483"/>
      <c r="AD3" s="483"/>
      <c r="AE3" s="483"/>
      <c r="AF3" s="483"/>
      <c r="AG3" s="484"/>
      <c r="AH3" s="483"/>
      <c r="AI3" s="483"/>
      <c r="AJ3" s="483"/>
      <c r="AK3" s="483"/>
      <c r="AL3" s="483"/>
      <c r="AM3" s="483"/>
      <c r="AN3" s="483"/>
      <c r="AO3" s="483"/>
      <c r="AP3" s="483"/>
      <c r="AQ3" s="483"/>
      <c r="AR3" s="483"/>
      <c r="AS3" s="483"/>
      <c r="AT3" s="483"/>
      <c r="AU3" s="483"/>
      <c r="AV3" s="483"/>
      <c r="AW3" s="483"/>
      <c r="AX3" s="483"/>
      <c r="AY3" s="483"/>
      <c r="AZ3" s="483"/>
      <c r="BA3" s="483"/>
      <c r="BB3" s="483"/>
      <c r="BC3" s="483"/>
      <c r="BD3" s="483"/>
      <c r="BE3" s="483"/>
      <c r="BF3" s="483"/>
      <c r="BG3" s="483"/>
      <c r="BH3" s="483"/>
      <c r="BI3" s="483"/>
      <c r="BJ3" s="483"/>
      <c r="BK3" s="483"/>
      <c r="BL3" s="483"/>
      <c r="BM3" s="483"/>
      <c r="BN3" s="483"/>
      <c r="BO3" s="483"/>
    </row>
    <row r="4" spans="1:67" s="478" customFormat="1" ht="16.5" customHeight="1" x14ac:dyDescent="0.2">
      <c r="A4" s="485"/>
      <c r="B4" s="485"/>
      <c r="C4" s="485"/>
      <c r="D4" s="485"/>
      <c r="E4" s="485"/>
      <c r="F4" s="485"/>
      <c r="G4" s="485"/>
      <c r="H4" s="485"/>
      <c r="J4" s="479"/>
      <c r="K4" s="480"/>
      <c r="L4" s="481"/>
      <c r="Q4" s="482"/>
      <c r="R4" s="483"/>
      <c r="S4" s="483"/>
      <c r="T4" s="483"/>
      <c r="U4" s="483"/>
      <c r="V4" s="483"/>
      <c r="W4" s="483"/>
      <c r="X4" s="483"/>
      <c r="Y4" s="483"/>
      <c r="Z4" s="483"/>
      <c r="AA4" s="483"/>
      <c r="AB4" s="483"/>
      <c r="AC4" s="483"/>
      <c r="AD4" s="483"/>
      <c r="AE4" s="483"/>
      <c r="AF4" s="483"/>
      <c r="AG4" s="484"/>
      <c r="AH4" s="483"/>
      <c r="AI4" s="483"/>
      <c r="AJ4" s="483"/>
      <c r="AK4" s="483"/>
      <c r="AL4" s="483"/>
      <c r="AM4" s="483"/>
      <c r="AN4" s="483"/>
      <c r="AO4" s="483"/>
      <c r="AP4" s="483"/>
      <c r="AQ4" s="483"/>
      <c r="AR4" s="483"/>
      <c r="AS4" s="483"/>
      <c r="AT4" s="483"/>
      <c r="AU4" s="483"/>
      <c r="AV4" s="483"/>
      <c r="AW4" s="483"/>
      <c r="AX4" s="483"/>
      <c r="AY4" s="483"/>
      <c r="AZ4" s="483"/>
      <c r="BA4" s="483"/>
      <c r="BB4" s="483"/>
      <c r="BC4" s="483"/>
      <c r="BD4" s="483"/>
      <c r="BE4" s="483"/>
      <c r="BF4" s="483"/>
      <c r="BG4" s="483"/>
      <c r="BH4" s="483"/>
      <c r="BI4" s="483"/>
      <c r="BJ4" s="483"/>
      <c r="BK4" s="483"/>
      <c r="BL4" s="483"/>
      <c r="BM4" s="483"/>
      <c r="BN4" s="483"/>
      <c r="BO4" s="483"/>
    </row>
    <row r="5" spans="1:67" x14ac:dyDescent="0.2">
      <c r="A5" s="867" t="s">
        <v>1144</v>
      </c>
      <c r="B5" s="867"/>
    </row>
    <row r="7" spans="1:67" x14ac:dyDescent="0.2">
      <c r="C7" s="486" t="s">
        <v>511</v>
      </c>
      <c r="R7" s="47" t="s">
        <v>512</v>
      </c>
    </row>
    <row r="8" spans="1:67" x14ac:dyDescent="0.2">
      <c r="A8" s="487" t="s">
        <v>1149</v>
      </c>
      <c r="C8" s="488"/>
    </row>
    <row r="9" spans="1:67" x14ac:dyDescent="0.2">
      <c r="A9" s="489" t="s">
        <v>24</v>
      </c>
      <c r="B9" s="490" t="s">
        <v>1201</v>
      </c>
      <c r="C9" s="471">
        <f>SUMIF(Summary!C17:C23,"",Summary!B17:B23)+SUMIF(Summary!C17:C23,"&lt;&gt;",Summary!C17:C23)</f>
        <v>146295</v>
      </c>
    </row>
    <row r="10" spans="1:67" x14ac:dyDescent="0.2">
      <c r="A10" s="491" t="s">
        <v>1150</v>
      </c>
      <c r="C10" s="488"/>
    </row>
    <row r="11" spans="1:67" x14ac:dyDescent="0.2">
      <c r="A11" s="489" t="s">
        <v>26</v>
      </c>
      <c r="B11" s="490" t="s">
        <v>1202</v>
      </c>
      <c r="C11" s="471">
        <f>SUM(Summary!K17:K23)</f>
        <v>-420298</v>
      </c>
    </row>
    <row r="12" spans="1:67" x14ac:dyDescent="0.2">
      <c r="A12" s="867" t="s">
        <v>1207</v>
      </c>
      <c r="B12" s="867"/>
    </row>
    <row r="13" spans="1:67" x14ac:dyDescent="0.2">
      <c r="A13" s="489" t="s">
        <v>513</v>
      </c>
      <c r="B13" s="490" t="s">
        <v>514</v>
      </c>
      <c r="C13" s="102">
        <f>C11</f>
        <v>-420298</v>
      </c>
    </row>
    <row r="14" spans="1:67" x14ac:dyDescent="0.2">
      <c r="A14" s="489" t="s">
        <v>515</v>
      </c>
      <c r="B14" s="685" t="s">
        <v>1203</v>
      </c>
      <c r="C14" s="102">
        <v>0</v>
      </c>
    </row>
    <row r="15" spans="1:67" x14ac:dyDescent="0.2">
      <c r="A15" s="489" t="s">
        <v>516</v>
      </c>
      <c r="B15" t="s">
        <v>1204</v>
      </c>
      <c r="C15" s="102">
        <v>0</v>
      </c>
    </row>
    <row r="16" spans="1:67" x14ac:dyDescent="0.2">
      <c r="A16" s="489" t="s">
        <v>517</v>
      </c>
      <c r="B16" t="s">
        <v>1205</v>
      </c>
      <c r="C16" s="102">
        <v>0</v>
      </c>
    </row>
    <row r="17" spans="1:27" x14ac:dyDescent="0.2">
      <c r="A17" s="489" t="s">
        <v>518</v>
      </c>
      <c r="B17" t="s">
        <v>1206</v>
      </c>
      <c r="C17" s="102">
        <v>0</v>
      </c>
    </row>
    <row r="18" spans="1:27" x14ac:dyDescent="0.2">
      <c r="A18" s="489" t="s">
        <v>519</v>
      </c>
      <c r="B18" t="s">
        <v>520</v>
      </c>
      <c r="C18" s="102">
        <v>0</v>
      </c>
    </row>
    <row r="19" spans="1:27" x14ac:dyDescent="0.2">
      <c r="A19" s="489" t="s">
        <v>521</v>
      </c>
      <c r="B19" s="492" t="s">
        <v>522</v>
      </c>
      <c r="C19" s="102">
        <v>0</v>
      </c>
    </row>
    <row r="20" spans="1:27" x14ac:dyDescent="0.2">
      <c r="A20" s="3" t="s">
        <v>523</v>
      </c>
      <c r="B20" s="492" t="s">
        <v>522</v>
      </c>
      <c r="C20" s="102">
        <v>0</v>
      </c>
    </row>
    <row r="21" spans="1:27" x14ac:dyDescent="0.2">
      <c r="A21" s="3" t="s">
        <v>524</v>
      </c>
      <c r="B21" t="s">
        <v>1145</v>
      </c>
      <c r="C21" s="554">
        <f>IF(ROUND(SUM(C13:C20),0)=ROUND(C11,0),SUM(C13:C20),"Must equal line 2")</f>
        <v>-420298</v>
      </c>
    </row>
    <row r="22" spans="1:27" x14ac:dyDescent="0.2">
      <c r="A22" s="494"/>
    </row>
    <row r="23" spans="1:27" x14ac:dyDescent="0.2">
      <c r="A23" s="494"/>
    </row>
    <row r="24" spans="1:27" x14ac:dyDescent="0.2">
      <c r="A24" s="618"/>
      <c r="B24" s="618"/>
      <c r="D24" s="618"/>
      <c r="E24" s="618"/>
      <c r="F24" s="618"/>
      <c r="G24" s="618"/>
      <c r="H24" s="618"/>
    </row>
    <row r="25" spans="1:27" ht="39" customHeight="1" x14ac:dyDescent="0.2">
      <c r="A25" s="872" t="s">
        <v>1139</v>
      </c>
      <c r="B25" s="872"/>
      <c r="F25" s="663"/>
      <c r="G25" s="664" t="s">
        <v>1232</v>
      </c>
      <c r="H25" s="495"/>
      <c r="AA25" s="47" t="s">
        <v>525</v>
      </c>
    </row>
    <row r="26" spans="1:27" ht="28.5" customHeight="1" x14ac:dyDescent="0.2">
      <c r="A26" s="871" t="s">
        <v>24</v>
      </c>
      <c r="B26" s="874" t="s">
        <v>1229</v>
      </c>
      <c r="C26" s="874"/>
      <c r="D26" s="874"/>
      <c r="E26" s="875"/>
      <c r="F26" s="502" t="s">
        <v>526</v>
      </c>
      <c r="G26" s="670" t="s">
        <v>1347</v>
      </c>
      <c r="AA26" s="47" t="s">
        <v>526</v>
      </c>
    </row>
    <row r="27" spans="1:27" x14ac:dyDescent="0.2">
      <c r="A27" s="871"/>
      <c r="B27" s="666"/>
      <c r="C27" s="666"/>
      <c r="D27" s="666"/>
      <c r="E27" s="666"/>
      <c r="AA27" s="47" t="s">
        <v>526</v>
      </c>
    </row>
    <row r="28" spans="1:27" ht="44.25" customHeight="1" x14ac:dyDescent="0.2">
      <c r="A28" s="873" t="s">
        <v>1233</v>
      </c>
      <c r="B28" s="873"/>
      <c r="C28" s="873"/>
      <c r="D28" s="873"/>
      <c r="E28" s="873"/>
      <c r="F28" s="873"/>
    </row>
    <row r="29" spans="1:27" ht="20.25" customHeight="1" x14ac:dyDescent="0.2">
      <c r="A29" s="608" t="s">
        <v>26</v>
      </c>
      <c r="B29" s="868" t="s">
        <v>1140</v>
      </c>
      <c r="C29" s="868"/>
      <c r="D29" s="868"/>
      <c r="E29" s="869"/>
      <c r="F29" s="502" t="s">
        <v>525</v>
      </c>
      <c r="H29" s="495"/>
    </row>
    <row r="30" spans="1:27" ht="29.25" customHeight="1" x14ac:dyDescent="0.2">
      <c r="A30" s="608" t="s">
        <v>527</v>
      </c>
      <c r="B30" s="868" t="s">
        <v>1141</v>
      </c>
      <c r="C30" s="868"/>
      <c r="D30" s="868"/>
      <c r="E30" s="869"/>
      <c r="F30" s="502" t="s">
        <v>525</v>
      </c>
      <c r="G30" s="3"/>
      <c r="H30" s="671"/>
      <c r="AA30" s="47"/>
    </row>
    <row r="31" spans="1:27" ht="12" customHeight="1" x14ac:dyDescent="0.2">
      <c r="A31" s="496"/>
      <c r="B31" s="637"/>
      <c r="C31" s="637"/>
      <c r="D31" s="637"/>
      <c r="E31" s="637"/>
      <c r="F31" s="3"/>
      <c r="G31" s="3"/>
      <c r="H31" s="1"/>
      <c r="AA31" s="47"/>
    </row>
    <row r="32" spans="1:27" ht="15.75" customHeight="1" x14ac:dyDescent="0.2">
      <c r="A32" s="665" t="s">
        <v>1146</v>
      </c>
      <c r="B32" s="610"/>
      <c r="C32" s="610"/>
      <c r="D32" s="610"/>
      <c r="E32" s="610"/>
      <c r="F32" s="610"/>
      <c r="G32" s="497"/>
      <c r="H32" s="498"/>
    </row>
    <row r="33" spans="1:27" ht="11.25" customHeight="1" x14ac:dyDescent="0.2">
      <c r="A33" s="638"/>
      <c r="B33" s="592"/>
      <c r="C33" s="592"/>
      <c r="D33" s="592"/>
      <c r="E33" s="592"/>
      <c r="F33" s="592"/>
      <c r="G33" s="497"/>
      <c r="H33" s="498"/>
    </row>
    <row r="34" spans="1:27" ht="28.5" customHeight="1" x14ac:dyDescent="0.2">
      <c r="A34" s="609" t="s">
        <v>31</v>
      </c>
      <c r="B34" s="611" t="s">
        <v>528</v>
      </c>
      <c r="C34" s="611" t="s">
        <v>1151</v>
      </c>
      <c r="D34" s="611" t="s">
        <v>1152</v>
      </c>
      <c r="E34" s="861" t="s">
        <v>529</v>
      </c>
      <c r="F34" s="862"/>
      <c r="G34" s="862"/>
      <c r="H34" s="862"/>
      <c r="I34" s="862"/>
      <c r="J34" s="863"/>
    </row>
    <row r="35" spans="1:27" ht="39.75" customHeight="1" x14ac:dyDescent="0.2">
      <c r="A35" s="609"/>
      <c r="B35" s="677"/>
      <c r="C35" s="674"/>
      <c r="D35" s="102"/>
      <c r="E35" s="864"/>
      <c r="F35" s="865"/>
      <c r="G35" s="865"/>
      <c r="H35" s="865"/>
      <c r="I35" s="865"/>
      <c r="J35" s="866"/>
      <c r="AA35" s="47"/>
    </row>
    <row r="36" spans="1:27" ht="39.75" customHeight="1" x14ac:dyDescent="0.2">
      <c r="A36" s="609"/>
      <c r="B36" s="677"/>
      <c r="C36" s="674"/>
      <c r="D36" s="102"/>
      <c r="E36" s="864"/>
      <c r="F36" s="865"/>
      <c r="G36" s="865"/>
      <c r="H36" s="865"/>
      <c r="I36" s="865"/>
      <c r="J36" s="866"/>
    </row>
    <row r="37" spans="1:27" ht="39.75" customHeight="1" x14ac:dyDescent="0.2">
      <c r="A37" s="609"/>
      <c r="B37" s="677"/>
      <c r="C37" s="674"/>
      <c r="D37" s="102"/>
      <c r="E37" s="864"/>
      <c r="F37" s="865"/>
      <c r="G37" s="865"/>
      <c r="H37" s="865"/>
      <c r="I37" s="865"/>
      <c r="J37" s="866"/>
      <c r="AA37" s="47"/>
    </row>
    <row r="38" spans="1:27" ht="39.75" customHeight="1" x14ac:dyDescent="0.2">
      <c r="A38" s="609"/>
      <c r="B38" s="677"/>
      <c r="C38" s="674"/>
      <c r="D38" s="102"/>
      <c r="E38" s="864"/>
      <c r="F38" s="865"/>
      <c r="G38" s="865"/>
      <c r="H38" s="865"/>
      <c r="I38" s="865"/>
      <c r="J38" s="866"/>
      <c r="K38" s="499"/>
      <c r="L38" s="499"/>
      <c r="M38" s="499"/>
      <c r="N38" s="499"/>
      <c r="O38" s="499"/>
      <c r="P38" s="499"/>
    </row>
    <row r="39" spans="1:27" ht="16.5" customHeight="1" x14ac:dyDescent="0.2">
      <c r="A39" s="638"/>
      <c r="B39" s="612" t="s">
        <v>530</v>
      </c>
      <c r="C39" s="493">
        <f>SUM(C35:C38)</f>
        <v>0</v>
      </c>
      <c r="D39" s="597">
        <f>SUM(D35:D38)</f>
        <v>0</v>
      </c>
      <c r="E39" s="500"/>
      <c r="F39" s="490"/>
      <c r="G39" s="490"/>
      <c r="H39" s="490"/>
      <c r="I39" s="490"/>
      <c r="K39" s="499"/>
      <c r="L39" s="499"/>
      <c r="M39" s="499"/>
      <c r="N39" s="499"/>
      <c r="O39" s="499"/>
      <c r="P39" s="499"/>
    </row>
    <row r="40" spans="1:27" ht="16.5" customHeight="1" x14ac:dyDescent="0.2">
      <c r="A40" s="638"/>
      <c r="B40" s="637"/>
      <c r="C40" s="637"/>
      <c r="D40" s="500"/>
      <c r="E40" s="500"/>
      <c r="F40" s="490"/>
      <c r="G40" s="490"/>
      <c r="H40" s="490"/>
      <c r="I40" s="490"/>
      <c r="K40" s="499"/>
      <c r="L40" s="499"/>
      <c r="M40" s="499"/>
      <c r="N40" s="499"/>
      <c r="O40" s="499"/>
      <c r="P40" s="499"/>
    </row>
    <row r="41" spans="1:27" ht="19.5" customHeight="1" x14ac:dyDescent="0.2">
      <c r="A41" s="609" t="s">
        <v>33</v>
      </c>
      <c r="B41" s="178" t="s">
        <v>1147</v>
      </c>
      <c r="C41" s="178"/>
      <c r="D41" s="178"/>
      <c r="E41" s="178"/>
      <c r="F41" s="178"/>
      <c r="G41" s="178"/>
      <c r="H41" s="178"/>
      <c r="I41" s="178"/>
      <c r="K41" s="499"/>
      <c r="L41" s="499"/>
      <c r="M41" s="499"/>
      <c r="N41" s="499"/>
      <c r="O41" s="499"/>
      <c r="P41" s="499"/>
    </row>
    <row r="42" spans="1:27" x14ac:dyDescent="0.2">
      <c r="A42" s="501"/>
      <c r="B42" s="855" t="s">
        <v>1348</v>
      </c>
      <c r="C42" s="856"/>
      <c r="D42" s="856"/>
      <c r="E42" s="856"/>
      <c r="F42" s="856"/>
      <c r="G42" s="856"/>
      <c r="H42" s="856"/>
      <c r="I42" s="856"/>
    </row>
    <row r="43" spans="1:27" x14ac:dyDescent="0.2">
      <c r="A43" s="613"/>
      <c r="B43" s="857"/>
      <c r="C43" s="858"/>
      <c r="D43" s="858"/>
      <c r="E43" s="858"/>
      <c r="F43" s="858"/>
      <c r="G43" s="858"/>
      <c r="H43" s="858"/>
      <c r="I43" s="858"/>
    </row>
    <row r="44" spans="1:27" ht="12.75" customHeight="1" x14ac:dyDescent="0.2">
      <c r="A44" s="613"/>
      <c r="B44" s="857"/>
      <c r="C44" s="858"/>
      <c r="D44" s="858"/>
      <c r="E44" s="858"/>
      <c r="F44" s="858"/>
      <c r="G44" s="858"/>
      <c r="H44" s="858"/>
      <c r="I44" s="858"/>
      <c r="AA44" s="47"/>
    </row>
    <row r="45" spans="1:27" x14ac:dyDescent="0.2">
      <c r="A45" s="613"/>
      <c r="B45" s="857"/>
      <c r="C45" s="858"/>
      <c r="D45" s="858"/>
      <c r="E45" s="858"/>
      <c r="F45" s="858"/>
      <c r="G45" s="858"/>
      <c r="H45" s="858"/>
      <c r="I45" s="858"/>
    </row>
    <row r="46" spans="1:27" x14ac:dyDescent="0.2">
      <c r="A46" s="613"/>
      <c r="B46" s="859"/>
      <c r="C46" s="860"/>
      <c r="D46" s="860"/>
      <c r="E46" s="860"/>
      <c r="F46" s="860"/>
      <c r="G46" s="860"/>
      <c r="H46" s="860"/>
      <c r="I46" s="860"/>
    </row>
  </sheetData>
  <mergeCells count="16">
    <mergeCell ref="H1:I1"/>
    <mergeCell ref="A5:B5"/>
    <mergeCell ref="B30:E30"/>
    <mergeCell ref="A3:H3"/>
    <mergeCell ref="A12:B12"/>
    <mergeCell ref="A26:A27"/>
    <mergeCell ref="A25:B25"/>
    <mergeCell ref="A28:F28"/>
    <mergeCell ref="B29:E29"/>
    <mergeCell ref="B26:E26"/>
    <mergeCell ref="B42:I46"/>
    <mergeCell ref="E34:J34"/>
    <mergeCell ref="E35:J35"/>
    <mergeCell ref="E36:J36"/>
    <mergeCell ref="E37:J37"/>
    <mergeCell ref="E38:J38"/>
  </mergeCells>
  <conditionalFormatting sqref="B42">
    <cfRule type="expression" dxfId="18" priority="7">
      <formula>$F$30="No"</formula>
    </cfRule>
    <cfRule type="containsBlanks" dxfId="17" priority="8">
      <formula>LEN(TRIM(B42))=0</formula>
    </cfRule>
  </conditionalFormatting>
  <conditionalFormatting sqref="B35:E38">
    <cfRule type="containsBlanks" dxfId="16" priority="10">
      <formula>LEN(TRIM(B35))=0</formula>
    </cfRule>
  </conditionalFormatting>
  <conditionalFormatting sqref="C13:C20 F26:G26">
    <cfRule type="containsBlanks" dxfId="15" priority="35">
      <formula>LEN(TRIM(C13))=0</formula>
    </cfRule>
  </conditionalFormatting>
  <conditionalFormatting sqref="C39:D39">
    <cfRule type="containsBlanks" dxfId="14" priority="4">
      <formula>LEN(TRIM(C39))=0</formula>
    </cfRule>
  </conditionalFormatting>
  <conditionalFormatting sqref="F29:F30">
    <cfRule type="containsBlanks" dxfId="13" priority="9">
      <formula>LEN(TRIM(F29))=0</formula>
    </cfRule>
  </conditionalFormatting>
  <conditionalFormatting sqref="G26 F29:F30 B35:J38">
    <cfRule type="expression" dxfId="12" priority="1">
      <formula>$F$26="No"</formula>
    </cfRule>
  </conditionalFormatting>
  <dataValidations count="5">
    <dataValidation type="list" allowBlank="1" showInputMessage="1" showErrorMessage="1" sqref="F31" xr:uid="{00000000-0002-0000-0C00-000000000000}">
      <formula1>$AA$25:$AA$27</formula1>
    </dataValidation>
    <dataValidation operator="equal" allowBlank="1" showInputMessage="1" showErrorMessage="1" promptTitle="CTD Number" prompt="This cell will only accept a CTD number of exactly 9 digits.  Enter 000 at the end of the charter number to fill the places of a school number." sqref="L1:L2" xr:uid="{00000000-0002-0000-0C00-000001000000}"/>
    <dataValidation type="textLength" operator="equal" allowBlank="1" showInputMessage="1" showErrorMessage="1" promptTitle="CTD Number" prompt="This cell will only accept a CTD number of exactly 9 digits.  Enter 000 at the end of the charter number to fill the places of a school number." sqref="TD1:TD2 ACZ1:ACZ2 AMV1:AMV2 AWR1:AWR2 BGN1:BGN2 BQJ1:BQJ2 CAF1:CAF2 CKB1:CKB2 CTX1:CTX2 DDT1:DDT2 DNP1:DNP2 DXL1:DXL2 EHH1:EHH2 ERD1:ERD2 FAZ1:FAZ2 FKV1:FKV2 FUR1:FUR2 GEN1:GEN2 GOJ1:GOJ2 GYF1:GYF2 HIB1:HIB2 HRX1:HRX2 IBT1:IBT2 ILP1:ILP2 IVL1:IVL2 JFH1:JFH2 JPD1:JPD2 JYZ1:JYZ2 KIV1:KIV2 KSR1:KSR2 LCN1:LCN2 LMJ1:LMJ2 LWF1:LWF2 MGB1:MGB2 MPX1:MPX2 MZT1:MZT2 NJP1:NJP2 NTL1:NTL2 ODH1:ODH2 OND1:OND2 OWZ1:OWZ2 PGV1:PGV2 PQR1:PQR2 QAN1:QAN2 QKJ1:QKJ2 QUF1:QUF2 REB1:REB2 RNX1:RNX2 RXT1:RXT2 SHP1:SHP2 SRL1:SRL2 TBH1:TBH2 TLD1:TLD2 TUZ1:TUZ2 UEV1:UEV2 UOR1:UOR2 UYN1:UYN2 VIJ1:VIJ2 VSF1:VSF2 WCB1:WCB2 WLX1:WLX2 WVT1:WVT2 JH1:JH2" xr:uid="{00000000-0002-0000-0C00-000002000000}">
      <formula1>9</formula1>
    </dataValidation>
    <dataValidation type="textLength" operator="equal" allowBlank="1" showInputMessage="1" showErrorMessage="1" promptTitle="CTD Number" prompt="This cell will only accept a CTD number of exactly 9 digits.  Enter 000 at the end of the district number to fill the places of a school number." sqref="JH3:JH4 TD3:TD4 ACZ3:ACZ4 AMV3:AMV4 AWR3:AWR4 BGN3:BGN4 BQJ3:BQJ4 CAF3:CAF4 CKB3:CKB4 CTX3:CTX4 DDT3:DDT4 DNP3:DNP4 DXL3:DXL4 EHH3:EHH4 ERD3:ERD4 FAZ3:FAZ4 FKV3:FKV4 FUR3:FUR4 GEN3:GEN4 GOJ3:GOJ4 GYF3:GYF4 HIB3:HIB4 HRX3:HRX4 IBT3:IBT4 ILP3:ILP4 IVL3:IVL4 JFH3:JFH4 JPD3:JPD4 JYZ3:JYZ4 KIV3:KIV4 KSR3:KSR4 LCN3:LCN4 LMJ3:LMJ4 LWF3:LWF4 MGB3:MGB4 MPX3:MPX4 MZT3:MZT4 NJP3:NJP4 NTL3:NTL4 ODH3:ODH4 OND3:OND4 OWZ3:OWZ4 PGV3:PGV4 PQR3:PQR4 QAN3:QAN4 QKJ3:QKJ4 QUF3:QUF4 REB3:REB4 RNX3:RNX4 RXT3:RXT4 SHP3:SHP4 SRL3:SRL4 TBH3:TBH4 TLD3:TLD4 TUZ3:TUZ4 UEV3:UEV4 UOR3:UOR4 UYN3:UYN4 VIJ3:VIJ4 VSF3:VSF4 WCB3:WCB4 WLX3:WLX4 WVT3:WVT4" xr:uid="{00000000-0002-0000-0C00-000003000000}">
      <formula1>9</formula1>
    </dataValidation>
    <dataValidation type="list" allowBlank="1" showInputMessage="1" showErrorMessage="1" sqref="F26 F29:F30" xr:uid="{00000000-0002-0000-0C00-000004000000}">
      <formula1>$AA$25:$AA$26</formula1>
    </dataValidation>
  </dataValidations>
  <hyperlinks>
    <hyperlink ref="A12" location="ReserveBalSecAl3" display="FY 2023 ending reserve details:" xr:uid="{00000000-0004-0000-0C00-000000000000}"/>
    <hyperlink ref="A18" location="ReserveBalSecAl3f" display="3.f" xr:uid="{00000000-0004-0000-0C00-000001000000}"/>
    <hyperlink ref="A19" location="ReserveBalSecAl3g" display="3.g" xr:uid="{00000000-0004-0000-0C00-000002000000}"/>
    <hyperlink ref="A13" location="ReserveBalSecAl3a" display="3.a" xr:uid="{00000000-0004-0000-0C00-000003000000}"/>
    <hyperlink ref="A16" location="ReserveBalSecAl3d" display="3.d" xr:uid="{00000000-0004-0000-0C00-000004000000}"/>
    <hyperlink ref="A15" location="ReserveBalSecAl3c" display="3.c" xr:uid="{00000000-0004-0000-0C00-000005000000}"/>
    <hyperlink ref="A14" location="ReserveBalSecAl3b" display="3.b" xr:uid="{00000000-0004-0000-0C00-000006000000}"/>
    <hyperlink ref="A11" location="ReserveBalSecAl2" display="2." xr:uid="{00000000-0004-0000-0C00-000007000000}"/>
    <hyperlink ref="A9" location="ReserveBalSecAl1" display="1." xr:uid="{00000000-0004-0000-0C00-000008000000}"/>
    <hyperlink ref="A5" location="ReserveBalSecA" display="A. FY 2023 change in reserve amounts and planned allocations" xr:uid="{00000000-0004-0000-0C00-000009000000}"/>
    <hyperlink ref="A17" location="ReserveBalSecAl3e" display="3.e" xr:uid="{00000000-0004-0000-0C00-00000A000000}"/>
  </hyperlinks>
  <pageMargins left="0.75" right="0.25" top="0.25" bottom="0.25" header="0.5" footer="0.15"/>
  <pageSetup paperSize="5" scale="69" orientation="landscape" r:id="rId1"/>
  <headerFooter>
    <oddFooter>&amp;LRev. 8/24 Arizona Department of Education and Auditor General&amp;CFY 2024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293F4-B000-4C4C-9537-728E81288F93}">
  <sheetPr>
    <pageSetUpPr fitToPage="1"/>
  </sheetPr>
  <dimension ref="A1:L99"/>
  <sheetViews>
    <sheetView showGridLines="0" zoomScaleNormal="100" workbookViewId="0">
      <selection activeCell="F11" sqref="F11"/>
    </sheetView>
  </sheetViews>
  <sheetFormatPr defaultColWidth="9.6640625" defaultRowHeight="15" x14ac:dyDescent="0.25"/>
  <cols>
    <col min="1" max="1" width="25.6640625" style="508" customWidth="1"/>
    <col min="2" max="2" width="76.6640625" style="508" customWidth="1"/>
    <col min="3" max="4" width="23.6640625" style="508" customWidth="1"/>
    <col min="5" max="6" width="26.83203125" style="508" customWidth="1"/>
    <col min="7" max="7" width="45.83203125" style="508" customWidth="1"/>
    <col min="8" max="11" width="9.6640625" style="508" customWidth="1"/>
    <col min="12" max="12" width="8.83203125" style="508" hidden="1" customWidth="1"/>
    <col min="13" max="16" width="9.6640625" style="508" customWidth="1"/>
    <col min="17" max="16384" width="9.6640625" style="508"/>
  </cols>
  <sheetData>
    <row r="1" spans="1:12" x14ac:dyDescent="0.25">
      <c r="A1" s="506" t="s">
        <v>4</v>
      </c>
      <c r="B1" s="507" t="str">
        <f>'Cover Page'!D1</f>
        <v>ASU Preparatory Academy - South Phoenix Primary</v>
      </c>
    </row>
    <row r="2" spans="1:12" x14ac:dyDescent="0.25">
      <c r="A2" s="509" t="s">
        <v>2</v>
      </c>
      <c r="B2" s="510" t="str">
        <f>'Cover Page'!R1</f>
        <v>078267000</v>
      </c>
    </row>
    <row r="3" spans="1:12" x14ac:dyDescent="0.25">
      <c r="A3" s="509" t="s">
        <v>1</v>
      </c>
      <c r="B3" s="507" t="str">
        <f>'Cover Page'!M1</f>
        <v>Maricopa</v>
      </c>
    </row>
    <row r="4" spans="1:12" x14ac:dyDescent="0.25">
      <c r="D4" s="876" t="s">
        <v>541</v>
      </c>
      <c r="E4" s="877"/>
      <c r="F4" s="877"/>
      <c r="G4" s="878"/>
    </row>
    <row r="6" spans="1:12" ht="43.5" x14ac:dyDescent="0.25">
      <c r="A6" s="511" t="s">
        <v>542</v>
      </c>
      <c r="B6" s="512" t="s">
        <v>543</v>
      </c>
      <c r="C6" s="511" t="s">
        <v>544</v>
      </c>
      <c r="D6" s="513" t="s">
        <v>545</v>
      </c>
      <c r="E6" s="511" t="s">
        <v>546</v>
      </c>
      <c r="F6" s="511" t="s">
        <v>547</v>
      </c>
      <c r="G6" s="511" t="s">
        <v>548</v>
      </c>
    </row>
    <row r="7" spans="1:12" x14ac:dyDescent="0.25">
      <c r="A7" s="514" t="s">
        <v>549</v>
      </c>
      <c r="B7" s="515" t="s">
        <v>549</v>
      </c>
      <c r="C7" s="516" t="str">
        <f>B2</f>
        <v>078267000</v>
      </c>
      <c r="D7" s="7">
        <f>Summary!J5</f>
        <v>57.405000000000001</v>
      </c>
      <c r="E7" s="5"/>
      <c r="F7" s="8"/>
      <c r="G7" s="9"/>
      <c r="L7" s="508" t="s">
        <v>550</v>
      </c>
    </row>
    <row r="8" spans="1:12" ht="13.5" customHeight="1" x14ac:dyDescent="0.25">
      <c r="A8" s="520" t="s">
        <v>551</v>
      </c>
      <c r="B8" s="521"/>
      <c r="C8" s="521"/>
      <c r="D8" s="521"/>
      <c r="E8" s="5"/>
      <c r="F8" s="8"/>
      <c r="G8" s="5"/>
      <c r="L8" s="508" t="s">
        <v>552</v>
      </c>
    </row>
    <row r="9" spans="1:12" x14ac:dyDescent="0.25">
      <c r="A9" s="514" t="s">
        <v>553</v>
      </c>
      <c r="B9" s="521"/>
      <c r="C9" s="521"/>
      <c r="D9" s="521"/>
      <c r="E9" s="521"/>
      <c r="F9" s="8"/>
      <c r="G9" s="521"/>
      <c r="L9" s="508" t="s">
        <v>554</v>
      </c>
    </row>
    <row r="10" spans="1:12" x14ac:dyDescent="0.25">
      <c r="A10" s="514" t="s">
        <v>555</v>
      </c>
      <c r="B10" s="5" t="s">
        <v>1244</v>
      </c>
      <c r="C10" s="6" t="s">
        <v>1246</v>
      </c>
      <c r="D10" s="7">
        <v>57.405000000000001</v>
      </c>
      <c r="E10" s="5">
        <v>106</v>
      </c>
      <c r="F10" s="8">
        <v>300</v>
      </c>
      <c r="G10" s="9"/>
      <c r="L10" s="508" t="s">
        <v>556</v>
      </c>
    </row>
    <row r="11" spans="1:12" x14ac:dyDescent="0.25">
      <c r="A11" s="514" t="s">
        <v>557</v>
      </c>
      <c r="B11" s="5"/>
      <c r="C11" s="6"/>
      <c r="D11" s="7"/>
      <c r="E11" s="5"/>
      <c r="F11" s="8"/>
      <c r="G11" s="9"/>
      <c r="L11" s="508" t="s">
        <v>558</v>
      </c>
    </row>
    <row r="12" spans="1:12" x14ac:dyDescent="0.25">
      <c r="A12" s="514" t="s">
        <v>559</v>
      </c>
      <c r="B12" s="5"/>
      <c r="C12" s="6"/>
      <c r="D12" s="7"/>
      <c r="E12" s="5"/>
      <c r="F12" s="8"/>
      <c r="G12" s="9"/>
      <c r="L12" s="508" t="s">
        <v>560</v>
      </c>
    </row>
    <row r="13" spans="1:12" x14ac:dyDescent="0.25">
      <c r="A13" s="514" t="s">
        <v>561</v>
      </c>
      <c r="B13" s="5"/>
      <c r="C13" s="6"/>
      <c r="D13" s="7"/>
      <c r="E13" s="5"/>
      <c r="F13" s="8"/>
      <c r="G13" s="9"/>
      <c r="L13" s="508" t="s">
        <v>562</v>
      </c>
    </row>
    <row r="14" spans="1:12" x14ac:dyDescent="0.25">
      <c r="A14" s="514" t="s">
        <v>563</v>
      </c>
      <c r="B14" s="5"/>
      <c r="C14" s="6"/>
      <c r="D14" s="7"/>
      <c r="E14" s="5"/>
      <c r="F14" s="8"/>
      <c r="G14" s="9"/>
      <c r="L14" s="508" t="s">
        <v>564</v>
      </c>
    </row>
    <row r="15" spans="1:12" x14ac:dyDescent="0.25">
      <c r="A15" s="514" t="s">
        <v>565</v>
      </c>
      <c r="B15" s="5"/>
      <c r="C15" s="6"/>
      <c r="D15" s="7"/>
      <c r="E15" s="5"/>
      <c r="F15" s="8"/>
      <c r="G15" s="9"/>
      <c r="L15" s="508" t="s">
        <v>566</v>
      </c>
    </row>
    <row r="16" spans="1:12" x14ac:dyDescent="0.25">
      <c r="A16" s="514" t="s">
        <v>567</v>
      </c>
      <c r="B16" s="5"/>
      <c r="C16" s="6"/>
      <c r="D16" s="7"/>
      <c r="E16" s="5"/>
      <c r="F16" s="8"/>
      <c r="G16" s="9"/>
      <c r="L16" s="508" t="s">
        <v>568</v>
      </c>
    </row>
    <row r="17" spans="1:12" x14ac:dyDescent="0.25">
      <c r="A17" s="514" t="s">
        <v>569</v>
      </c>
      <c r="B17" s="5"/>
      <c r="C17" s="6"/>
      <c r="D17" s="7"/>
      <c r="E17" s="5"/>
      <c r="F17" s="8"/>
      <c r="G17" s="9"/>
      <c r="L17" s="508" t="s">
        <v>570</v>
      </c>
    </row>
    <row r="18" spans="1:12" x14ac:dyDescent="0.25">
      <c r="A18" s="514" t="s">
        <v>571</v>
      </c>
      <c r="B18" s="5"/>
      <c r="C18" s="6"/>
      <c r="D18" s="7"/>
      <c r="E18" s="5"/>
      <c r="F18" s="8"/>
      <c r="G18" s="9"/>
      <c r="L18" s="508" t="s">
        <v>572</v>
      </c>
    </row>
    <row r="19" spans="1:12" x14ac:dyDescent="0.25">
      <c r="A19" s="514" t="s">
        <v>573</v>
      </c>
      <c r="B19" s="5"/>
      <c r="C19" s="6"/>
      <c r="D19" s="7"/>
      <c r="E19" s="5"/>
      <c r="F19" s="8"/>
      <c r="G19" s="9"/>
      <c r="L19" s="508" t="s">
        <v>574</v>
      </c>
    </row>
    <row r="20" spans="1:12" x14ac:dyDescent="0.25">
      <c r="A20" s="514" t="s">
        <v>575</v>
      </c>
      <c r="B20" s="5"/>
      <c r="C20" s="6"/>
      <c r="D20" s="7"/>
      <c r="E20" s="5"/>
      <c r="F20" s="8"/>
      <c r="G20" s="9"/>
      <c r="L20" s="508" t="s">
        <v>576</v>
      </c>
    </row>
    <row r="21" spans="1:12" x14ac:dyDescent="0.25">
      <c r="A21" s="514" t="s">
        <v>577</v>
      </c>
      <c r="B21" s="5"/>
      <c r="C21" s="6"/>
      <c r="D21" s="7"/>
      <c r="E21" s="5"/>
      <c r="F21" s="8"/>
      <c r="G21" s="9"/>
      <c r="L21" s="508" t="s">
        <v>578</v>
      </c>
    </row>
    <row r="22" spans="1:12" x14ac:dyDescent="0.25">
      <c r="A22" s="514" t="s">
        <v>579</v>
      </c>
      <c r="B22" s="5"/>
      <c r="C22" s="6"/>
      <c r="D22" s="7"/>
      <c r="E22" s="5"/>
      <c r="F22" s="8"/>
      <c r="G22" s="9"/>
      <c r="L22" s="508" t="s">
        <v>580</v>
      </c>
    </row>
    <row r="23" spans="1:12" x14ac:dyDescent="0.25">
      <c r="A23" s="514" t="s">
        <v>581</v>
      </c>
      <c r="B23" s="5"/>
      <c r="C23" s="6"/>
      <c r="D23" s="7"/>
      <c r="E23" s="5"/>
      <c r="F23" s="8"/>
      <c r="G23" s="9"/>
      <c r="L23" s="508" t="s">
        <v>582</v>
      </c>
    </row>
    <row r="24" spans="1:12" x14ac:dyDescent="0.25">
      <c r="A24" s="514" t="s">
        <v>583</v>
      </c>
      <c r="B24" s="5"/>
      <c r="C24" s="6"/>
      <c r="D24" s="7"/>
      <c r="E24" s="5"/>
      <c r="F24" s="8"/>
      <c r="G24" s="9"/>
      <c r="L24" s="508" t="s">
        <v>584</v>
      </c>
    </row>
    <row r="25" spans="1:12" hidden="1" x14ac:dyDescent="0.25">
      <c r="A25" s="514" t="s">
        <v>585</v>
      </c>
      <c r="B25" s="514"/>
      <c r="C25" s="516"/>
      <c r="D25" s="517"/>
      <c r="E25" s="514"/>
      <c r="F25" s="518"/>
      <c r="G25" s="519"/>
      <c r="L25" s="508" t="s">
        <v>586</v>
      </c>
    </row>
    <row r="26" spans="1:12" hidden="1" x14ac:dyDescent="0.25">
      <c r="A26" s="514" t="s">
        <v>587</v>
      </c>
      <c r="B26" s="514"/>
      <c r="C26" s="516"/>
      <c r="D26" s="517"/>
      <c r="E26" s="514"/>
      <c r="F26" s="518"/>
      <c r="G26" s="519"/>
      <c r="L26" s="508" t="s">
        <v>588</v>
      </c>
    </row>
    <row r="27" spans="1:12" hidden="1" x14ac:dyDescent="0.25">
      <c r="A27" s="514" t="s">
        <v>589</v>
      </c>
      <c r="B27" s="514"/>
      <c r="C27" s="516"/>
      <c r="D27" s="517"/>
      <c r="E27" s="514"/>
      <c r="F27" s="518"/>
      <c r="G27" s="519"/>
      <c r="L27" s="508" t="s">
        <v>590</v>
      </c>
    </row>
    <row r="28" spans="1:12" hidden="1" x14ac:dyDescent="0.25">
      <c r="A28" s="514" t="s">
        <v>591</v>
      </c>
      <c r="B28" s="514"/>
      <c r="C28" s="516"/>
      <c r="D28" s="517"/>
      <c r="E28" s="514"/>
      <c r="F28" s="518"/>
      <c r="G28" s="519"/>
      <c r="L28" s="508" t="s">
        <v>592</v>
      </c>
    </row>
    <row r="29" spans="1:12" hidden="1" x14ac:dyDescent="0.25">
      <c r="A29" s="514" t="s">
        <v>593</v>
      </c>
      <c r="B29" s="514"/>
      <c r="C29" s="516"/>
      <c r="D29" s="517"/>
      <c r="E29" s="514"/>
      <c r="F29" s="518"/>
      <c r="G29" s="519"/>
      <c r="L29" s="508" t="s">
        <v>594</v>
      </c>
    </row>
    <row r="30" spans="1:12" hidden="1" x14ac:dyDescent="0.25">
      <c r="A30" s="514" t="s">
        <v>595</v>
      </c>
      <c r="B30" s="514"/>
      <c r="C30" s="516"/>
      <c r="D30" s="517"/>
      <c r="E30" s="514"/>
      <c r="F30" s="518"/>
      <c r="G30" s="519"/>
      <c r="L30" s="508" t="s">
        <v>596</v>
      </c>
    </row>
    <row r="31" spans="1:12" hidden="1" x14ac:dyDescent="0.25">
      <c r="A31" s="514" t="s">
        <v>597</v>
      </c>
      <c r="B31" s="514"/>
      <c r="C31" s="516"/>
      <c r="D31" s="517"/>
      <c r="E31" s="514"/>
      <c r="F31" s="518"/>
      <c r="G31" s="519"/>
      <c r="L31" s="508" t="s">
        <v>598</v>
      </c>
    </row>
    <row r="32" spans="1:12" hidden="1" x14ac:dyDescent="0.25">
      <c r="A32" s="514" t="s">
        <v>599</v>
      </c>
      <c r="B32" s="514"/>
      <c r="C32" s="516"/>
      <c r="D32" s="517"/>
      <c r="E32" s="514"/>
      <c r="F32" s="518"/>
      <c r="G32" s="519"/>
      <c r="L32" s="508" t="s">
        <v>600</v>
      </c>
    </row>
    <row r="33" spans="1:12" hidden="1" x14ac:dyDescent="0.25">
      <c r="A33" s="514" t="s">
        <v>601</v>
      </c>
      <c r="B33" s="514"/>
      <c r="C33" s="516"/>
      <c r="D33" s="517"/>
      <c r="E33" s="514"/>
      <c r="F33" s="518"/>
      <c r="G33" s="519"/>
      <c r="L33" s="508" t="s">
        <v>602</v>
      </c>
    </row>
    <row r="34" spans="1:12" hidden="1" x14ac:dyDescent="0.25">
      <c r="A34" s="514" t="s">
        <v>603</v>
      </c>
      <c r="B34" s="514"/>
      <c r="C34" s="516"/>
      <c r="D34" s="517"/>
      <c r="E34" s="514"/>
      <c r="F34" s="518"/>
      <c r="G34" s="519"/>
      <c r="L34" s="508" t="s">
        <v>604</v>
      </c>
    </row>
    <row r="35" spans="1:12" hidden="1" x14ac:dyDescent="0.25">
      <c r="A35" s="514" t="s">
        <v>605</v>
      </c>
      <c r="B35" s="514"/>
      <c r="C35" s="516"/>
      <c r="D35" s="517"/>
      <c r="E35" s="514"/>
      <c r="F35" s="518"/>
      <c r="G35" s="519"/>
      <c r="L35" s="508" t="s">
        <v>606</v>
      </c>
    </row>
    <row r="36" spans="1:12" hidden="1" x14ac:dyDescent="0.25">
      <c r="A36" s="514" t="s">
        <v>607</v>
      </c>
      <c r="B36" s="514"/>
      <c r="C36" s="516"/>
      <c r="D36" s="517"/>
      <c r="E36" s="514"/>
      <c r="F36" s="518"/>
      <c r="G36" s="519"/>
      <c r="L36" s="508" t="s">
        <v>608</v>
      </c>
    </row>
    <row r="37" spans="1:12" hidden="1" x14ac:dyDescent="0.25">
      <c r="A37" s="514" t="s">
        <v>609</v>
      </c>
      <c r="B37" s="514"/>
      <c r="C37" s="516"/>
      <c r="D37" s="517"/>
      <c r="E37" s="514"/>
      <c r="F37" s="518"/>
      <c r="G37" s="519"/>
      <c r="L37" s="508" t="s">
        <v>610</v>
      </c>
    </row>
    <row r="38" spans="1:12" hidden="1" x14ac:dyDescent="0.25">
      <c r="A38" s="514" t="s">
        <v>611</v>
      </c>
      <c r="B38" s="514"/>
      <c r="C38" s="516"/>
      <c r="D38" s="517"/>
      <c r="E38" s="514"/>
      <c r="F38" s="518"/>
      <c r="G38" s="519"/>
      <c r="L38" s="508" t="s">
        <v>612</v>
      </c>
    </row>
    <row r="39" spans="1:12" hidden="1" x14ac:dyDescent="0.25">
      <c r="A39" s="514" t="s">
        <v>613</v>
      </c>
      <c r="B39" s="514"/>
      <c r="C39" s="516"/>
      <c r="D39" s="517"/>
      <c r="E39" s="514"/>
      <c r="F39" s="518"/>
      <c r="G39" s="519"/>
      <c r="L39" s="508" t="s">
        <v>614</v>
      </c>
    </row>
    <row r="40" spans="1:12" hidden="1" x14ac:dyDescent="0.25">
      <c r="A40" s="514" t="s">
        <v>615</v>
      </c>
      <c r="B40" s="514"/>
      <c r="C40" s="516"/>
      <c r="D40" s="517"/>
      <c r="E40" s="514"/>
      <c r="F40" s="518"/>
      <c r="G40" s="519"/>
      <c r="L40" s="508" t="s">
        <v>616</v>
      </c>
    </row>
    <row r="41" spans="1:12" hidden="1" x14ac:dyDescent="0.25">
      <c r="A41" s="514" t="s">
        <v>617</v>
      </c>
      <c r="B41" s="514"/>
      <c r="C41" s="516"/>
      <c r="D41" s="517"/>
      <c r="E41" s="514"/>
      <c r="F41" s="518"/>
      <c r="G41" s="519"/>
      <c r="L41" s="508" t="s">
        <v>618</v>
      </c>
    </row>
    <row r="42" spans="1:12" hidden="1" x14ac:dyDescent="0.25">
      <c r="A42" s="514" t="s">
        <v>619</v>
      </c>
      <c r="B42" s="514"/>
      <c r="C42" s="516"/>
      <c r="D42" s="517"/>
      <c r="E42" s="514"/>
      <c r="F42" s="518"/>
      <c r="G42" s="519"/>
      <c r="L42" s="508" t="s">
        <v>620</v>
      </c>
    </row>
    <row r="43" spans="1:12" hidden="1" x14ac:dyDescent="0.25">
      <c r="A43" s="514" t="s">
        <v>621</v>
      </c>
      <c r="B43" s="514"/>
      <c r="C43" s="516"/>
      <c r="D43" s="517"/>
      <c r="E43" s="514"/>
      <c r="F43" s="518"/>
      <c r="G43" s="519"/>
      <c r="L43" s="508" t="s">
        <v>622</v>
      </c>
    </row>
    <row r="44" spans="1:12" hidden="1" x14ac:dyDescent="0.25">
      <c r="A44" s="514" t="s">
        <v>623</v>
      </c>
      <c r="B44" s="514"/>
      <c r="C44" s="516"/>
      <c r="D44" s="517"/>
      <c r="E44" s="514"/>
      <c r="F44" s="518"/>
      <c r="G44" s="519"/>
      <c r="L44" s="508" t="s">
        <v>624</v>
      </c>
    </row>
    <row r="45" spans="1:12" hidden="1" x14ac:dyDescent="0.25">
      <c r="A45" s="514" t="s">
        <v>625</v>
      </c>
      <c r="B45" s="514"/>
      <c r="C45" s="516"/>
      <c r="D45" s="517"/>
      <c r="E45" s="514"/>
      <c r="F45" s="518"/>
      <c r="G45" s="519"/>
      <c r="L45" s="508" t="s">
        <v>626</v>
      </c>
    </row>
    <row r="46" spans="1:12" hidden="1" x14ac:dyDescent="0.25">
      <c r="A46" s="514" t="s">
        <v>627</v>
      </c>
      <c r="B46" s="514"/>
      <c r="C46" s="516"/>
      <c r="D46" s="517"/>
      <c r="E46" s="514"/>
      <c r="F46" s="518"/>
      <c r="G46" s="519"/>
      <c r="L46" s="508" t="s">
        <v>628</v>
      </c>
    </row>
    <row r="47" spans="1:12" hidden="1" x14ac:dyDescent="0.25">
      <c r="A47" s="514" t="s">
        <v>629</v>
      </c>
      <c r="B47" s="514"/>
      <c r="C47" s="516"/>
      <c r="D47" s="517"/>
      <c r="E47" s="514"/>
      <c r="F47" s="518"/>
      <c r="G47" s="519"/>
      <c r="L47" s="508" t="s">
        <v>630</v>
      </c>
    </row>
    <row r="48" spans="1:12" hidden="1" x14ac:dyDescent="0.25">
      <c r="A48" s="514" t="s">
        <v>631</v>
      </c>
      <c r="B48" s="514"/>
      <c r="C48" s="516"/>
      <c r="D48" s="517"/>
      <c r="E48" s="514"/>
      <c r="F48" s="518"/>
      <c r="G48" s="519"/>
      <c r="L48" s="508" t="s">
        <v>632</v>
      </c>
    </row>
    <row r="49" spans="1:12" hidden="1" x14ac:dyDescent="0.25">
      <c r="A49" s="514" t="s">
        <v>633</v>
      </c>
      <c r="B49" s="514"/>
      <c r="C49" s="516"/>
      <c r="D49" s="517"/>
      <c r="E49" s="514"/>
      <c r="F49" s="518"/>
      <c r="G49" s="519"/>
      <c r="L49" s="508" t="s">
        <v>634</v>
      </c>
    </row>
    <row r="50" spans="1:12" hidden="1" x14ac:dyDescent="0.25">
      <c r="A50" s="514" t="s">
        <v>635</v>
      </c>
      <c r="B50" s="514"/>
      <c r="C50" s="516"/>
      <c r="D50" s="517"/>
      <c r="E50" s="514"/>
      <c r="F50" s="518"/>
      <c r="G50" s="519"/>
      <c r="L50" s="508" t="s">
        <v>636</v>
      </c>
    </row>
    <row r="51" spans="1:12" hidden="1" x14ac:dyDescent="0.25">
      <c r="A51" s="514" t="s">
        <v>637</v>
      </c>
      <c r="B51" s="514"/>
      <c r="C51" s="516"/>
      <c r="D51" s="517"/>
      <c r="E51" s="514"/>
      <c r="F51" s="518"/>
      <c r="G51" s="519"/>
      <c r="L51" s="508" t="s">
        <v>638</v>
      </c>
    </row>
    <row r="52" spans="1:12" hidden="1" x14ac:dyDescent="0.25">
      <c r="A52" s="514" t="s">
        <v>639</v>
      </c>
      <c r="B52" s="514"/>
      <c r="C52" s="516"/>
      <c r="D52" s="517"/>
      <c r="E52" s="514"/>
      <c r="F52" s="518"/>
      <c r="G52" s="519"/>
      <c r="L52" s="508" t="s">
        <v>640</v>
      </c>
    </row>
    <row r="53" spans="1:12" hidden="1" x14ac:dyDescent="0.25">
      <c r="A53" s="514" t="s">
        <v>641</v>
      </c>
      <c r="B53" s="514"/>
      <c r="C53" s="516"/>
      <c r="D53" s="517"/>
      <c r="E53" s="514"/>
      <c r="F53" s="518"/>
      <c r="G53" s="519"/>
      <c r="L53" s="508" t="s">
        <v>642</v>
      </c>
    </row>
    <row r="54" spans="1:12" hidden="1" x14ac:dyDescent="0.25">
      <c r="A54" s="514" t="s">
        <v>643</v>
      </c>
      <c r="B54" s="514"/>
      <c r="C54" s="516"/>
      <c r="D54" s="517"/>
      <c r="E54" s="514"/>
      <c r="F54" s="518"/>
      <c r="G54" s="519"/>
      <c r="L54" s="508" t="s">
        <v>644</v>
      </c>
    </row>
    <row r="55" spans="1:12" hidden="1" x14ac:dyDescent="0.25">
      <c r="A55" s="514" t="s">
        <v>645</v>
      </c>
      <c r="B55" s="514"/>
      <c r="C55" s="516"/>
      <c r="D55" s="517"/>
      <c r="E55" s="514"/>
      <c r="F55" s="518"/>
      <c r="G55" s="519"/>
      <c r="L55" s="508" t="s">
        <v>646</v>
      </c>
    </row>
    <row r="56" spans="1:12" hidden="1" x14ac:dyDescent="0.25">
      <c r="A56" s="514" t="s">
        <v>647</v>
      </c>
      <c r="B56" s="514"/>
      <c r="C56" s="516"/>
      <c r="D56" s="517"/>
      <c r="E56" s="514"/>
      <c r="F56" s="518"/>
      <c r="G56" s="519"/>
      <c r="L56" s="508" t="s">
        <v>648</v>
      </c>
    </row>
    <row r="57" spans="1:12" hidden="1" x14ac:dyDescent="0.25">
      <c r="A57" s="514" t="s">
        <v>649</v>
      </c>
      <c r="B57" s="514"/>
      <c r="C57" s="516"/>
      <c r="D57" s="517"/>
      <c r="E57" s="514"/>
      <c r="F57" s="518"/>
      <c r="G57" s="519"/>
      <c r="L57" s="508" t="s">
        <v>650</v>
      </c>
    </row>
    <row r="58" spans="1:12" hidden="1" x14ac:dyDescent="0.25">
      <c r="A58" s="514" t="s">
        <v>651</v>
      </c>
      <c r="B58" s="514"/>
      <c r="C58" s="516"/>
      <c r="D58" s="517"/>
      <c r="E58" s="514"/>
      <c r="F58" s="518"/>
      <c r="G58" s="519"/>
      <c r="L58" s="508" t="s">
        <v>652</v>
      </c>
    </row>
    <row r="59" spans="1:12" hidden="1" x14ac:dyDescent="0.25">
      <c r="A59" s="514" t="s">
        <v>653</v>
      </c>
      <c r="B59" s="514"/>
      <c r="C59" s="516"/>
      <c r="D59" s="517"/>
      <c r="E59" s="514"/>
      <c r="F59" s="518"/>
      <c r="G59" s="519"/>
      <c r="L59" s="508" t="s">
        <v>654</v>
      </c>
    </row>
    <row r="60" spans="1:12" hidden="1" x14ac:dyDescent="0.25">
      <c r="A60" s="514" t="s">
        <v>655</v>
      </c>
      <c r="B60" s="514"/>
      <c r="C60" s="516"/>
      <c r="D60" s="517"/>
      <c r="E60" s="514"/>
      <c r="F60" s="518"/>
      <c r="G60" s="519"/>
      <c r="L60" s="508" t="s">
        <v>656</v>
      </c>
    </row>
    <row r="61" spans="1:12" hidden="1" x14ac:dyDescent="0.25">
      <c r="A61" s="514" t="s">
        <v>657</v>
      </c>
      <c r="B61" s="514"/>
      <c r="C61" s="516"/>
      <c r="D61" s="517"/>
      <c r="E61" s="514"/>
      <c r="F61" s="518"/>
      <c r="G61" s="519"/>
      <c r="L61" s="508" t="s">
        <v>658</v>
      </c>
    </row>
    <row r="62" spans="1:12" hidden="1" x14ac:dyDescent="0.25">
      <c r="A62" s="514" t="s">
        <v>659</v>
      </c>
      <c r="B62" s="514"/>
      <c r="C62" s="516"/>
      <c r="D62" s="517"/>
      <c r="E62" s="514"/>
      <c r="F62" s="518"/>
      <c r="G62" s="519"/>
      <c r="L62" s="508" t="s">
        <v>660</v>
      </c>
    </row>
    <row r="63" spans="1:12" hidden="1" x14ac:dyDescent="0.25">
      <c r="A63" s="514" t="s">
        <v>661</v>
      </c>
      <c r="B63" s="514"/>
      <c r="C63" s="516"/>
      <c r="D63" s="517"/>
      <c r="E63" s="514"/>
      <c r="F63" s="518"/>
      <c r="G63" s="519"/>
      <c r="L63" s="508" t="s">
        <v>662</v>
      </c>
    </row>
    <row r="64" spans="1:12" hidden="1" x14ac:dyDescent="0.25">
      <c r="A64" s="514" t="s">
        <v>663</v>
      </c>
      <c r="B64" s="514"/>
      <c r="C64" s="516"/>
      <c r="D64" s="517"/>
      <c r="E64" s="514"/>
      <c r="F64" s="518"/>
      <c r="G64" s="519"/>
      <c r="L64" s="508" t="s">
        <v>664</v>
      </c>
    </row>
    <row r="65" spans="1:12" hidden="1" x14ac:dyDescent="0.25">
      <c r="A65" s="514" t="s">
        <v>665</v>
      </c>
      <c r="B65" s="514"/>
      <c r="C65" s="516"/>
      <c r="D65" s="517"/>
      <c r="E65" s="514"/>
      <c r="F65" s="518"/>
      <c r="G65" s="519"/>
      <c r="L65" s="508" t="s">
        <v>666</v>
      </c>
    </row>
    <row r="66" spans="1:12" hidden="1" x14ac:dyDescent="0.25">
      <c r="A66" s="514" t="s">
        <v>667</v>
      </c>
      <c r="B66" s="514"/>
      <c r="C66" s="516"/>
      <c r="D66" s="517"/>
      <c r="E66" s="514"/>
      <c r="F66" s="518"/>
      <c r="G66" s="519"/>
      <c r="L66" s="508" t="s">
        <v>668</v>
      </c>
    </row>
    <row r="67" spans="1:12" hidden="1" x14ac:dyDescent="0.25">
      <c r="A67" s="514" t="s">
        <v>669</v>
      </c>
      <c r="B67" s="514"/>
      <c r="C67" s="516"/>
      <c r="D67" s="517"/>
      <c r="E67" s="514"/>
      <c r="F67" s="518"/>
      <c r="G67" s="519"/>
      <c r="L67" s="508" t="s">
        <v>670</v>
      </c>
    </row>
    <row r="68" spans="1:12" hidden="1" x14ac:dyDescent="0.25">
      <c r="A68" s="514" t="s">
        <v>671</v>
      </c>
      <c r="B68" s="514"/>
      <c r="C68" s="516"/>
      <c r="D68" s="517"/>
      <c r="E68" s="514"/>
      <c r="F68" s="518"/>
      <c r="G68" s="519"/>
      <c r="L68" s="508" t="s">
        <v>672</v>
      </c>
    </row>
    <row r="69" spans="1:12" hidden="1" x14ac:dyDescent="0.25">
      <c r="A69" s="514" t="s">
        <v>673</v>
      </c>
      <c r="B69" s="514"/>
      <c r="C69" s="516"/>
      <c r="D69" s="517"/>
      <c r="E69" s="514"/>
      <c r="F69" s="518"/>
      <c r="G69" s="519"/>
      <c r="L69" s="508" t="s">
        <v>674</v>
      </c>
    </row>
    <row r="70" spans="1:12" hidden="1" x14ac:dyDescent="0.25">
      <c r="A70" s="514" t="s">
        <v>675</v>
      </c>
      <c r="B70" s="514"/>
      <c r="C70" s="516"/>
      <c r="D70" s="517"/>
      <c r="E70" s="514"/>
      <c r="F70" s="518"/>
      <c r="G70" s="519"/>
      <c r="L70" s="508" t="s">
        <v>676</v>
      </c>
    </row>
    <row r="71" spans="1:12" hidden="1" x14ac:dyDescent="0.25">
      <c r="A71" s="514" t="s">
        <v>677</v>
      </c>
      <c r="B71" s="514"/>
      <c r="C71" s="516"/>
      <c r="D71" s="517"/>
      <c r="E71" s="514"/>
      <c r="F71" s="518"/>
      <c r="G71" s="519"/>
      <c r="L71" s="508" t="s">
        <v>678</v>
      </c>
    </row>
    <row r="72" spans="1:12" hidden="1" x14ac:dyDescent="0.25">
      <c r="A72" s="514" t="s">
        <v>679</v>
      </c>
      <c r="B72" s="514"/>
      <c r="C72" s="516"/>
      <c r="D72" s="517"/>
      <c r="E72" s="514"/>
      <c r="F72" s="518"/>
      <c r="G72" s="519"/>
      <c r="L72" s="508" t="s">
        <v>680</v>
      </c>
    </row>
    <row r="73" spans="1:12" hidden="1" x14ac:dyDescent="0.25">
      <c r="A73" s="514" t="s">
        <v>681</v>
      </c>
      <c r="B73" s="514"/>
      <c r="C73" s="516"/>
      <c r="D73" s="517"/>
      <c r="E73" s="514"/>
      <c r="F73" s="518"/>
      <c r="G73" s="519"/>
      <c r="L73" s="508" t="s">
        <v>682</v>
      </c>
    </row>
    <row r="74" spans="1:12" hidden="1" x14ac:dyDescent="0.25">
      <c r="A74" s="514" t="s">
        <v>683</v>
      </c>
      <c r="B74" s="514"/>
      <c r="C74" s="516"/>
      <c r="D74" s="517"/>
      <c r="E74" s="514"/>
      <c r="F74" s="518"/>
      <c r="G74" s="519"/>
      <c r="L74" s="508" t="s">
        <v>684</v>
      </c>
    </row>
    <row r="75" spans="1:12" hidden="1" x14ac:dyDescent="0.25">
      <c r="A75" s="514" t="s">
        <v>685</v>
      </c>
      <c r="B75" s="514"/>
      <c r="C75" s="516"/>
      <c r="D75" s="517"/>
      <c r="E75" s="514"/>
      <c r="F75" s="518"/>
      <c r="G75" s="519"/>
      <c r="L75" s="508" t="s">
        <v>686</v>
      </c>
    </row>
    <row r="76" spans="1:12" hidden="1" x14ac:dyDescent="0.25">
      <c r="A76" s="514" t="s">
        <v>687</v>
      </c>
      <c r="B76" s="514"/>
      <c r="C76" s="516"/>
      <c r="D76" s="517"/>
      <c r="E76" s="514"/>
      <c r="F76" s="518"/>
      <c r="G76" s="519"/>
      <c r="L76" s="508" t="s">
        <v>688</v>
      </c>
    </row>
    <row r="77" spans="1:12" hidden="1" x14ac:dyDescent="0.25">
      <c r="A77" s="514" t="s">
        <v>689</v>
      </c>
      <c r="B77" s="514"/>
      <c r="C77" s="516"/>
      <c r="D77" s="517"/>
      <c r="E77" s="514"/>
      <c r="F77" s="518"/>
      <c r="G77" s="519"/>
      <c r="L77" s="508" t="s">
        <v>690</v>
      </c>
    </row>
    <row r="78" spans="1:12" hidden="1" x14ac:dyDescent="0.25">
      <c r="A78" s="514" t="s">
        <v>691</v>
      </c>
      <c r="B78" s="514"/>
      <c r="C78" s="516"/>
      <c r="D78" s="517"/>
      <c r="E78" s="514"/>
      <c r="F78" s="518"/>
      <c r="G78" s="519"/>
      <c r="L78" s="508" t="s">
        <v>692</v>
      </c>
    </row>
    <row r="79" spans="1:12" hidden="1" x14ac:dyDescent="0.25">
      <c r="A79" s="514" t="s">
        <v>693</v>
      </c>
      <c r="B79" s="514"/>
      <c r="C79" s="516"/>
      <c r="D79" s="517"/>
      <c r="E79" s="514"/>
      <c r="F79" s="518"/>
      <c r="G79" s="519"/>
      <c r="L79" s="508" t="s">
        <v>694</v>
      </c>
    </row>
    <row r="80" spans="1:12" hidden="1" x14ac:dyDescent="0.25">
      <c r="A80" s="514" t="s">
        <v>695</v>
      </c>
      <c r="B80" s="514"/>
      <c r="C80" s="516"/>
      <c r="D80" s="517"/>
      <c r="E80" s="514"/>
      <c r="F80" s="518"/>
      <c r="G80" s="519"/>
      <c r="L80" s="508" t="s">
        <v>696</v>
      </c>
    </row>
    <row r="81" spans="1:12" hidden="1" x14ac:dyDescent="0.25">
      <c r="A81" s="514" t="s">
        <v>697</v>
      </c>
      <c r="B81" s="514"/>
      <c r="C81" s="516"/>
      <c r="D81" s="517"/>
      <c r="E81" s="514"/>
      <c r="F81" s="518"/>
      <c r="G81" s="519"/>
      <c r="L81" s="508" t="s">
        <v>698</v>
      </c>
    </row>
    <row r="82" spans="1:12" hidden="1" x14ac:dyDescent="0.25">
      <c r="A82" s="514" t="s">
        <v>699</v>
      </c>
      <c r="B82" s="514"/>
      <c r="C82" s="516"/>
      <c r="D82" s="517"/>
      <c r="E82" s="514"/>
      <c r="F82" s="518"/>
      <c r="G82" s="519"/>
      <c r="L82" s="508" t="s">
        <v>700</v>
      </c>
    </row>
    <row r="83" spans="1:12" hidden="1" x14ac:dyDescent="0.25">
      <c r="A83" s="514" t="s">
        <v>701</v>
      </c>
      <c r="B83" s="514"/>
      <c r="C83" s="516"/>
      <c r="D83" s="517"/>
      <c r="E83" s="514"/>
      <c r="F83" s="518"/>
      <c r="G83" s="519"/>
      <c r="L83" s="508" t="s">
        <v>702</v>
      </c>
    </row>
    <row r="84" spans="1:12" hidden="1" x14ac:dyDescent="0.25">
      <c r="A84" s="514" t="s">
        <v>703</v>
      </c>
      <c r="B84" s="514"/>
      <c r="C84" s="516"/>
      <c r="D84" s="517"/>
      <c r="E84" s="514"/>
      <c r="F84" s="518"/>
      <c r="G84" s="519"/>
      <c r="L84" s="508" t="s">
        <v>704</v>
      </c>
    </row>
    <row r="85" spans="1:12" hidden="1" x14ac:dyDescent="0.25">
      <c r="A85" s="514" t="s">
        <v>705</v>
      </c>
      <c r="B85" s="514"/>
      <c r="C85" s="516"/>
      <c r="D85" s="517"/>
      <c r="E85" s="514"/>
      <c r="F85" s="518"/>
      <c r="G85" s="519"/>
      <c r="L85" s="508" t="s">
        <v>706</v>
      </c>
    </row>
    <row r="86" spans="1:12" hidden="1" x14ac:dyDescent="0.25">
      <c r="A86" s="514" t="s">
        <v>707</v>
      </c>
      <c r="B86" s="514"/>
      <c r="C86" s="516"/>
      <c r="D86" s="517"/>
      <c r="E86" s="514"/>
      <c r="F86" s="518"/>
      <c r="G86" s="519"/>
      <c r="L86" s="508" t="s">
        <v>708</v>
      </c>
    </row>
    <row r="87" spans="1:12" hidden="1" x14ac:dyDescent="0.25">
      <c r="A87" s="514" t="s">
        <v>709</v>
      </c>
      <c r="B87" s="514"/>
      <c r="C87" s="516"/>
      <c r="D87" s="517"/>
      <c r="E87" s="514"/>
      <c r="F87" s="518"/>
      <c r="G87" s="519"/>
      <c r="L87" s="508" t="s">
        <v>710</v>
      </c>
    </row>
    <row r="88" spans="1:12" hidden="1" x14ac:dyDescent="0.25">
      <c r="A88" s="514" t="s">
        <v>711</v>
      </c>
      <c r="B88" s="514"/>
      <c r="C88" s="516"/>
      <c r="D88" s="517"/>
      <c r="E88" s="514"/>
      <c r="F88" s="518"/>
      <c r="G88" s="519"/>
      <c r="L88" s="508" t="s">
        <v>712</v>
      </c>
    </row>
    <row r="89" spans="1:12" hidden="1" x14ac:dyDescent="0.25">
      <c r="A89" s="514" t="s">
        <v>713</v>
      </c>
      <c r="B89" s="514"/>
      <c r="C89" s="516"/>
      <c r="D89" s="517"/>
      <c r="E89" s="514"/>
      <c r="F89" s="518"/>
      <c r="G89" s="519"/>
      <c r="L89" s="508" t="s">
        <v>714</v>
      </c>
    </row>
    <row r="90" spans="1:12" hidden="1" x14ac:dyDescent="0.25">
      <c r="A90" s="514" t="s">
        <v>715</v>
      </c>
      <c r="B90" s="514"/>
      <c r="C90" s="516"/>
      <c r="D90" s="517"/>
      <c r="E90" s="514"/>
      <c r="F90" s="518"/>
      <c r="G90" s="519"/>
      <c r="L90" s="508" t="s">
        <v>716</v>
      </c>
    </row>
    <row r="91" spans="1:12" hidden="1" x14ac:dyDescent="0.25">
      <c r="A91" s="514" t="s">
        <v>717</v>
      </c>
      <c r="B91" s="514"/>
      <c r="C91" s="516"/>
      <c r="D91" s="517"/>
      <c r="E91" s="514"/>
      <c r="F91" s="518"/>
      <c r="G91" s="519"/>
      <c r="L91" s="508" t="s">
        <v>718</v>
      </c>
    </row>
    <row r="92" spans="1:12" hidden="1" x14ac:dyDescent="0.25">
      <c r="A92" s="514" t="s">
        <v>719</v>
      </c>
      <c r="B92" s="514"/>
      <c r="C92" s="516"/>
      <c r="D92" s="517"/>
      <c r="E92" s="514"/>
      <c r="F92" s="518"/>
      <c r="G92" s="519"/>
      <c r="L92" s="508" t="s">
        <v>720</v>
      </c>
    </row>
    <row r="93" spans="1:12" hidden="1" x14ac:dyDescent="0.25">
      <c r="A93" s="514" t="s">
        <v>721</v>
      </c>
      <c r="B93" s="514"/>
      <c r="C93" s="516"/>
      <c r="D93" s="517"/>
      <c r="E93" s="514"/>
      <c r="F93" s="518"/>
      <c r="G93" s="519"/>
      <c r="L93" s="508" t="s">
        <v>722</v>
      </c>
    </row>
    <row r="94" spans="1:12" hidden="1" x14ac:dyDescent="0.25">
      <c r="A94" s="514" t="s">
        <v>723</v>
      </c>
      <c r="B94" s="514"/>
      <c r="C94" s="516"/>
      <c r="D94" s="517"/>
      <c r="E94" s="514"/>
      <c r="F94" s="518"/>
      <c r="G94" s="519"/>
      <c r="L94" s="508" t="s">
        <v>724</v>
      </c>
    </row>
    <row r="95" spans="1:12" hidden="1" x14ac:dyDescent="0.25">
      <c r="A95" s="514" t="s">
        <v>725</v>
      </c>
      <c r="B95" s="514"/>
      <c r="C95" s="516"/>
      <c r="D95" s="517"/>
      <c r="E95" s="514"/>
      <c r="F95" s="518"/>
      <c r="G95" s="519"/>
      <c r="L95" s="508" t="s">
        <v>726</v>
      </c>
    </row>
    <row r="96" spans="1:12" hidden="1" x14ac:dyDescent="0.25">
      <c r="A96" s="514" t="s">
        <v>727</v>
      </c>
      <c r="B96" s="514"/>
      <c r="C96" s="516"/>
      <c r="D96" s="517"/>
      <c r="E96" s="514"/>
      <c r="F96" s="518"/>
      <c r="G96" s="519"/>
      <c r="L96" s="508" t="s">
        <v>728</v>
      </c>
    </row>
    <row r="97" spans="1:12" hidden="1" x14ac:dyDescent="0.25">
      <c r="A97" s="514" t="s">
        <v>729</v>
      </c>
      <c r="B97" s="514"/>
      <c r="C97" s="516"/>
      <c r="D97" s="517"/>
      <c r="E97" s="514"/>
      <c r="F97" s="518"/>
      <c r="G97" s="519"/>
      <c r="L97" s="508" t="s">
        <v>730</v>
      </c>
    </row>
    <row r="98" spans="1:12" hidden="1" x14ac:dyDescent="0.25">
      <c r="A98" s="514" t="s">
        <v>731</v>
      </c>
      <c r="B98" s="514"/>
      <c r="C98" s="516"/>
      <c r="D98" s="517"/>
      <c r="E98" s="514"/>
      <c r="F98" s="518"/>
      <c r="G98" s="519"/>
      <c r="L98" s="508" t="s">
        <v>732</v>
      </c>
    </row>
    <row r="99" spans="1:12" hidden="1" x14ac:dyDescent="0.25">
      <c r="A99" s="514" t="s">
        <v>733</v>
      </c>
      <c r="B99" s="514"/>
      <c r="C99" s="516"/>
      <c r="D99" s="517"/>
      <c r="E99" s="514"/>
      <c r="F99" s="518"/>
      <c r="G99" s="519"/>
      <c r="L99" s="508" t="s">
        <v>734</v>
      </c>
    </row>
  </sheetData>
  <mergeCells count="1">
    <mergeCell ref="D4:G4"/>
  </mergeCells>
  <conditionalFormatting sqref="F10:F24">
    <cfRule type="expression" dxfId="11" priority="2" stopIfTrue="1">
      <formula>AND($B10&lt;&gt;"",$F10="")</formula>
    </cfRule>
  </conditionalFormatting>
  <dataValidations count="9">
    <dataValidation allowBlank="1" showInputMessage="1" showErrorMessage="1" prompt="Enter the primary unit code for Charterwide, Private School, and each school. Only 1 unit code should be entered for each, and a primary unit code can only be used once. Please refer to the USFRCS, page III-E-4 for guidance." sqref="F7" xr:uid="{00000000-0002-0000-0D00-000000000000}"/>
    <dataValidation allowBlank="1" showInputMessage="1" showErrorMessage="1" prompt="Enter the applicable unit code(s) used to code Charterwide, Private Schools, and school expenses. If more than one unit code was used for each, separate each unit code with a comma. For example (100, 101, 102)." sqref="E7:E24" xr:uid="{00000000-0002-0000-0D00-000001000000}"/>
    <dataValidation allowBlank="1" showInputMessage="1" showErrorMessage="1" prompt="Click on this line for detailed instructions." sqref="A1" xr:uid="{00000000-0002-0000-0D00-000002000000}"/>
    <dataValidation allowBlank="1" showInputMessage="1" showErrorMessage="1" prompt="Enter the 100th (or 200th) day student count." sqref="D10:D99" xr:uid="{00000000-0002-0000-0D00-000003000000}"/>
    <dataValidation type="textLength" operator="equal" allowBlank="1" showInputMessage="1" showErrorMessage="1" error="This cell will only accept entries equal to 9 digits." prompt="This cell will only accept entries equal to 9 digits. This number should not contain any slashes, dashes, etc." sqref="C10:C99" xr:uid="{00000000-0002-0000-0D00-000004000000}">
      <formula1>9</formula1>
    </dataValidation>
    <dataValidation allowBlank="1" showInputMessage="1" showErrorMessage="1" prompt="Enter the primary unit code for Districtwide, Private School, CTED (Member Districts) and each school. Only 1 unit code should be entered for each, and a primary unit code can only be used once." sqref="F25:F99" xr:uid="{00000000-0002-0000-0D00-000005000000}"/>
    <dataValidation allowBlank="1" showInputMessage="1" showErrorMessage="1" prompt="Enter the applicable unit code(s) used to code Districtwide, Private Schools, CTED (Member Districts) and school expenditures. If more than one unit code was used for each, separate each unit code with a comma. For example (100, 101, 102)." sqref="E25:E99" xr:uid="{00000000-0002-0000-0D00-000006000000}"/>
    <dataValidation operator="equal" allowBlank="1" showInputMessage="1" showErrorMessage="1" error="This cell will only accept entries equal to 9 digits." sqref="B2 C7" xr:uid="{00000000-0002-0000-0D00-000007000000}"/>
    <dataValidation type="whole" allowBlank="1" showInputMessage="1" showErrorMessage="1" errorTitle="Invalid primary unit code" error="Primary unit code should be a 3 digit number" prompt="Enter the primary unit code for Charterwide, Private School, and each school. Only 1 unit code should be entered for each, and a primary unit code can only be used once. Please refer to the USFRCS, page III-E-4 for guidance." sqref="F8:F24" xr:uid="{00000000-0002-0000-0D00-000008000000}">
      <formula1>100</formula1>
      <formula2>999</formula2>
    </dataValidation>
  </dataValidations>
  <hyperlinks>
    <hyperlink ref="A1" location="School_Listing_Tab" display="Charter name" xr:uid="{00000000-0004-0000-0D00-000000000000}"/>
  </hyperlinks>
  <pageMargins left="0.75" right="0.25" top="0.25" bottom="0.25" header="0.5" footer="0.15"/>
  <pageSetup paperSize="5" scale="74" orientation="landscape" r:id="rId1"/>
  <headerFooter>
    <oddFooter>&amp;LRev. 8/24 Arizona Department of Education and Auditor General&amp;CFY 2024</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A252-750E-456B-B819-59FA95A19E5D}">
  <sheetPr>
    <pageSetUpPr fitToPage="1"/>
  </sheetPr>
  <dimension ref="A1:C18"/>
  <sheetViews>
    <sheetView showGridLines="0" workbookViewId="0"/>
  </sheetViews>
  <sheetFormatPr defaultColWidth="9.33203125" defaultRowHeight="63" customHeight="1" x14ac:dyDescent="0.2"/>
  <cols>
    <col min="1" max="1" width="132" customWidth="1"/>
    <col min="2" max="2" width="18.33203125" customWidth="1"/>
    <col min="3" max="3" width="71" hidden="1" customWidth="1"/>
  </cols>
  <sheetData>
    <row r="1" spans="1:3" ht="30" customHeight="1" x14ac:dyDescent="0.2">
      <c r="A1" s="503" t="str">
        <f>IF('Page 2'!J48=0,"",IF(OR(,Alerts!A3&lt;&gt;"",Alerts!A4&lt;&gt;"",Alerts!A5&lt;&gt;"",Alerts!A6&lt;&gt;"",Alerts!A7&lt;&gt;"",Alerts!A8&lt;&gt;"",Alerts!A9&lt;&gt;"",Alerts!A10&lt;&gt;"",Alerts!A11&lt;&gt;"",Alerts!A12&lt;&gt;"",Alerts!A13&lt;&gt;"",Alerts!A14&lt;&gt;"",Alerts!A15&lt;&gt;"",Alerts!A16&lt;&gt;""),"ALERT: The following items need to be addressed before the AFR is submitted",""))</f>
        <v/>
      </c>
    </row>
    <row r="2" spans="1:3" s="4" customFormat="1" ht="93" customHeight="1" x14ac:dyDescent="0.2">
      <c r="A2" s="637"/>
      <c r="B2" s="637"/>
      <c r="C2" s="497"/>
    </row>
    <row r="3" spans="1:3" s="4" customFormat="1" ht="112.5" customHeight="1" x14ac:dyDescent="0.2">
      <c r="A3" s="637" t="str">
        <f>IF('Page 2'!J48=0,"",IF(SUM('Page 3'!F25)+SUM('Page 4'!F16)+SUM('Page 5'!G8)+SUM('Page 5'!G30)&gt;'Page 1'!H27,C3,""))</f>
        <v/>
      </c>
      <c r="B3" s="637" t="str">
        <f>IF(A3="","","Restricted revenues-3200 on page 1 are not complete.")</f>
        <v/>
      </c>
      <c r="C3" s="504" t="s">
        <v>1165</v>
      </c>
    </row>
    <row r="4" spans="1:3" s="4" customFormat="1" ht="63" customHeight="1" x14ac:dyDescent="0.2">
      <c r="A4" s="637" t="str">
        <f>IF('Page 2'!J48=0,"",IF('Page 3'!F27&lt;=0,C4,""))</f>
        <v/>
      </c>
      <c r="B4" s="637" t="str">
        <f>IF(A4="","","Classroom Site Project revenue information on page 3 is not complete.")</f>
        <v/>
      </c>
      <c r="C4" s="504" t="s">
        <v>531</v>
      </c>
    </row>
    <row r="5" spans="1:3" s="4" customFormat="1" ht="78.75" customHeight="1" x14ac:dyDescent="0.2">
      <c r="A5" s="637" t="str">
        <f>IF('Page 2'!J48=0,"",IF('Page 4'!F16&lt;=0,C5,""))</f>
        <v/>
      </c>
      <c r="B5" s="637" t="str">
        <f>IF(A5="","","Instructional Improvement Project revenue on page 4 is not complete.")</f>
        <v/>
      </c>
      <c r="C5" s="504" t="s">
        <v>532</v>
      </c>
    </row>
    <row r="6" spans="1:3" s="4" customFormat="1" ht="55.5" customHeight="1" x14ac:dyDescent="0.2">
      <c r="A6" s="637" t="str">
        <f>IF('Page 2'!J48=0,"",IF(OR('Page 6'!G15="",'Page 6'!G16="",'Page 6'!G17="",'Page 6'!G18="",'Page 6'!G19=""),C6,""))</f>
        <v/>
      </c>
      <c r="B6" s="637" t="str">
        <f>IF(A6="","","Capital acquisition information on page 6, section C is not complete.")</f>
        <v/>
      </c>
      <c r="C6" s="504" t="s">
        <v>1166</v>
      </c>
    </row>
    <row r="7" spans="1:3" s="4" customFormat="1" ht="48.75" customHeight="1" x14ac:dyDescent="0.2">
      <c r="A7" s="637" t="str">
        <f>IF('Page 2'!J48=0,"",IF(OR('Page 6'!G33&lt;=0,'Page 6'!G35&lt;=0,'Page 6'!G34&lt;=0,'Page 6'!G38&lt;=0),C7,""))</f>
        <v/>
      </c>
      <c r="B7" s="637" t="str">
        <f>IF(A7="","","Current expenses on page 6, section E are not complete.")</f>
        <v/>
      </c>
      <c r="C7" s="504" t="s">
        <v>1167</v>
      </c>
    </row>
    <row r="8" spans="1:3" s="4" customFormat="1" ht="70.5" customHeight="1" x14ac:dyDescent="0.2">
      <c r="A8" s="637" t="str">
        <f>IF('Page 2'!J48=0,"",IF((SUM('Page 2'!J11,'Page 2'!J12,'Page 2'!J13,'Page 2'!J15,'Page 2'!J29,'Page 2'!J30,'Page 2'!J31,'Page 2'!J33))&gt;('Page 6'!G35),C8,""))</f>
        <v/>
      </c>
      <c r="B8" s="637" t="str">
        <f>IF(A8="","","Current administration expense on page 6, section E is not complete.")</f>
        <v/>
      </c>
      <c r="C8" s="504" t="s">
        <v>533</v>
      </c>
    </row>
    <row r="9" spans="1:3" s="4" customFormat="1" ht="39.75" customHeight="1" x14ac:dyDescent="0.2">
      <c r="A9" s="637" t="str">
        <f>IF('Page 2'!J48=0,"",IF(SUM('Page 6'!T6:T8)&lt;=0,C9,""))</f>
        <v/>
      </c>
      <c r="B9" s="637" t="str">
        <f>IF(A9="","","Page 6, section F, lines 1-3 are not complete.")</f>
        <v/>
      </c>
      <c r="C9" s="504" t="s">
        <v>534</v>
      </c>
    </row>
    <row r="10" spans="1:3" s="4" customFormat="1" ht="55.5" customHeight="1" x14ac:dyDescent="0.2">
      <c r="A10" s="637" t="str">
        <f>IF('Page 2'!J48=0,"",IF(SUM('Page 6'!M19:T23)&lt;=0,C10,""))</f>
        <v/>
      </c>
      <c r="B10" s="637" t="str">
        <f>IF(A10="","","Teacher salary information on page 6, section G is not complete.")</f>
        <v/>
      </c>
      <c r="C10" s="504" t="s">
        <v>535</v>
      </c>
    </row>
    <row r="11" spans="1:3" s="4" customFormat="1" ht="50.25" customHeight="1" x14ac:dyDescent="0.2">
      <c r="A11" s="637" t="str">
        <f>IF(SUM('Page 6'!T6:T8)=0,"",IF(AND(((SUM('Page 6'!M19:Q24,'Page 6'!T19:T24)/SUM('Page 6'!T6:T8))&gt;10000),(SUM('Page 6'!M19:Q24,'Page 6'!T19:T24)/SUM('Page 6'!T6:T8))&lt;80000),"",C11))</f>
        <v/>
      </c>
      <c r="B11" s="637" t="str">
        <f>IF(A11="","","Teacher FTE and salary information on page 6, sections F and G is not appropriate.")</f>
        <v/>
      </c>
      <c r="C11" s="504" t="s">
        <v>536</v>
      </c>
    </row>
    <row r="12" spans="1:3" s="4" customFormat="1" ht="57" customHeight="1" x14ac:dyDescent="0.2">
      <c r="A12" s="637" t="str">
        <f>IF('Page 2'!J48=0,"",IF(OR('Page 6'!T29="",'Page 6'!T29&lt;10000),C12,""))</f>
        <v/>
      </c>
      <c r="B12" s="637" t="str">
        <f>IF(A12="","","Average teacher salary information on page 6, section H is not complete.")</f>
        <v/>
      </c>
      <c r="C12" s="504" t="s">
        <v>1160</v>
      </c>
    </row>
    <row r="13" spans="1:3" s="4" customFormat="1" ht="84.75" customHeight="1" x14ac:dyDescent="0.2">
      <c r="A13" s="637" t="str">
        <f>IF('Page 2'!J48=0,"",IF(AND('Page 2'!J37&gt;0,'Page 7'!T23&lt;'Page 2'!J37),C13,""))</f>
        <v/>
      </c>
      <c r="B13" s="637" t="str">
        <f>IF(A13="","","Special education program information on page 7 is not complete.")</f>
        <v/>
      </c>
      <c r="C13" s="504" t="s">
        <v>537</v>
      </c>
    </row>
    <row r="14" spans="1:3" s="4" customFormat="1" ht="84.75" customHeight="1" x14ac:dyDescent="0.2">
      <c r="A14" s="637" t="str">
        <f>IF('Page 2'!J48=0,"",IF(OR('Page 9'!E41="",'Page 9'!E42="",'Page 9'!E43="",'Page 9'!E44="",('Page 9'!K23+'Page 9'!K26+SUM('Page 9'!E33:E36))&lt;&gt;(SUM('Page 9'!E41:E44))),C14,""))</f>
        <v/>
      </c>
      <c r="B14" s="637" t="str">
        <f>IF(A14="","","Property disbursement information on page 9 is not complete.")</f>
        <v/>
      </c>
      <c r="C14" s="504" t="s">
        <v>538</v>
      </c>
    </row>
    <row r="15" spans="1:3" s="4" customFormat="1" ht="90" customHeight="1" x14ac:dyDescent="0.2">
      <c r="A15" s="637" t="str">
        <f>IF('Page 2'!J48=0,"",IF((SUM('Page 2'!J48))&gt;(SUM('Page 9'!D23:J23)+SUM('Page 9'!D26:J26)+SUM('Page 9'!D33:D36)+'Page 9'!E48+'Page 9'!E50),C15,""))</f>
        <v/>
      </c>
      <c r="B15" s="637" t="str">
        <f>IF(A15="","","NPEFS information on page 9 is not complete.")</f>
        <v/>
      </c>
      <c r="C15" s="504" t="s">
        <v>539</v>
      </c>
    </row>
    <row r="16" spans="1:3" s="4" customFormat="1" ht="41.25" customHeight="1" x14ac:dyDescent="0.2">
      <c r="A16" s="637" t="str">
        <f>IF('Page 2'!J48=0,"",IF(OR('Page 8'!G25="",'Page 8'!H25="",'Page 8'!I25="",'Page 8'!K25="",'Page 8'!M25=""),C16,""))</f>
        <v/>
      </c>
      <c r="B16" s="637" t="str">
        <f>IF(A16="","","COVID-19 information on page 8, line 19 is not complete.")</f>
        <v/>
      </c>
      <c r="C16" s="504" t="s">
        <v>540</v>
      </c>
    </row>
    <row r="17" spans="1:3" ht="43.5" customHeight="1" x14ac:dyDescent="0.2">
      <c r="A17" s="505"/>
      <c r="B17" s="4"/>
      <c r="C17" s="4"/>
    </row>
    <row r="18" spans="1:3" ht="63" customHeight="1" x14ac:dyDescent="0.2">
      <c r="A18" s="637"/>
    </row>
  </sheetData>
  <sheetProtection formatCells="0" formatColumns="0" formatRows="0"/>
  <pageMargins left="0.75" right="0.25" top="0.25" bottom="0.25" header="0.5" footer="0.15"/>
  <pageSetup paperSize="5" scale="53" orientation="landscape" r:id="rId1"/>
  <headerFooter>
    <oddFooter>&amp;LRev. 8/24 Arizona Department of Education and Auditor General&amp;CFY 2024</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75EF4-8459-440D-AC21-22BDF4A2DA81}">
  <sheetPr>
    <pageSetUpPr fitToPage="1"/>
  </sheetPr>
  <dimension ref="A1:O105"/>
  <sheetViews>
    <sheetView showGridLines="0" topLeftCell="A4" zoomScaleNormal="100" workbookViewId="0">
      <selection activeCell="C4" sqref="C4"/>
    </sheetView>
  </sheetViews>
  <sheetFormatPr defaultColWidth="9.33203125" defaultRowHeight="12.75" x14ac:dyDescent="0.2"/>
  <cols>
    <col min="1" max="1" width="11.83203125" style="154" customWidth="1"/>
    <col min="2" max="2" width="25" style="154" customWidth="1"/>
    <col min="3" max="3" width="112.1640625" style="154" customWidth="1"/>
    <col min="4" max="4" width="32.6640625" style="552" customWidth="1"/>
    <col min="5" max="5" width="9.33203125" style="154" customWidth="1"/>
    <col min="6" max="6" width="17.6640625" style="154" customWidth="1"/>
    <col min="7" max="10" width="9.33203125" style="154" customWidth="1"/>
    <col min="11" max="16384" width="9.33203125" style="154"/>
  </cols>
  <sheetData>
    <row r="1" spans="1:7" ht="24.75" customHeight="1" x14ac:dyDescent="0.2">
      <c r="A1" s="522" t="s">
        <v>735</v>
      </c>
      <c r="B1" s="522" t="s">
        <v>736</v>
      </c>
      <c r="C1" s="522" t="s">
        <v>737</v>
      </c>
      <c r="D1" s="522" t="s">
        <v>738</v>
      </c>
    </row>
    <row r="2" spans="1:7" ht="65.25" customHeight="1" x14ac:dyDescent="0.2">
      <c r="A2" s="879" t="s">
        <v>739</v>
      </c>
      <c r="B2" s="880"/>
      <c r="C2" s="523" t="s">
        <v>740</v>
      </c>
      <c r="D2" s="524"/>
    </row>
    <row r="3" spans="1:7" ht="68.25" customHeight="1" x14ac:dyDescent="0.2">
      <c r="A3" s="881"/>
      <c r="B3" s="882"/>
      <c r="C3" s="525" t="s">
        <v>741</v>
      </c>
      <c r="D3" s="524"/>
      <c r="F3" s="526"/>
      <c r="G3" s="157"/>
    </row>
    <row r="4" spans="1:7" ht="73.5" customHeight="1" x14ac:dyDescent="0.2">
      <c r="A4" s="881"/>
      <c r="B4" s="882"/>
      <c r="C4" s="527" t="s">
        <v>1138</v>
      </c>
      <c r="D4" s="524"/>
    </row>
    <row r="5" spans="1:7" ht="216.75" customHeight="1" x14ac:dyDescent="0.2">
      <c r="A5" s="881"/>
      <c r="B5" s="882"/>
      <c r="C5" s="523" t="s">
        <v>1209</v>
      </c>
      <c r="D5" s="524"/>
    </row>
    <row r="6" spans="1:7" ht="85.5" customHeight="1" x14ac:dyDescent="0.2">
      <c r="A6" s="883"/>
      <c r="B6" s="884"/>
      <c r="C6" s="527" t="s">
        <v>742</v>
      </c>
      <c r="D6" s="524"/>
    </row>
    <row r="7" spans="1:7" ht="54.75" customHeight="1" x14ac:dyDescent="0.2">
      <c r="A7" s="528" t="s">
        <v>743</v>
      </c>
      <c r="B7" s="529" t="s">
        <v>744</v>
      </c>
      <c r="C7" s="527" t="s">
        <v>745</v>
      </c>
      <c r="D7" s="524"/>
    </row>
    <row r="8" spans="1:7" ht="187.5" customHeight="1" x14ac:dyDescent="0.2">
      <c r="A8" s="530" t="s">
        <v>746</v>
      </c>
      <c r="B8" s="529" t="s">
        <v>744</v>
      </c>
      <c r="C8" s="523" t="s">
        <v>747</v>
      </c>
      <c r="D8" s="524"/>
    </row>
    <row r="9" spans="1:7" ht="215.25" customHeight="1" x14ac:dyDescent="0.2">
      <c r="A9" s="885" t="s">
        <v>748</v>
      </c>
      <c r="B9" s="887" t="s">
        <v>739</v>
      </c>
      <c r="C9" s="525" t="s">
        <v>749</v>
      </c>
      <c r="D9" s="524"/>
    </row>
    <row r="10" spans="1:7" ht="217.5" customHeight="1" x14ac:dyDescent="0.2">
      <c r="A10" s="886"/>
      <c r="B10" s="888"/>
      <c r="C10" s="531" t="s">
        <v>750</v>
      </c>
      <c r="D10" s="524"/>
    </row>
    <row r="11" spans="1:7" ht="21" customHeight="1" x14ac:dyDescent="0.2">
      <c r="A11" s="532">
        <v>1</v>
      </c>
      <c r="B11" s="533" t="s">
        <v>739</v>
      </c>
      <c r="C11" s="527" t="s">
        <v>751</v>
      </c>
      <c r="D11" s="524"/>
    </row>
    <row r="12" spans="1:7" ht="54" customHeight="1" x14ac:dyDescent="0.2">
      <c r="A12" s="534">
        <v>1</v>
      </c>
      <c r="B12" s="533" t="s">
        <v>752</v>
      </c>
      <c r="C12" s="535" t="s">
        <v>753</v>
      </c>
      <c r="D12" s="524"/>
    </row>
    <row r="13" spans="1:7" ht="122.25" customHeight="1" x14ac:dyDescent="0.2">
      <c r="A13" s="534">
        <v>1</v>
      </c>
      <c r="B13" s="536" t="s">
        <v>754</v>
      </c>
      <c r="C13" s="537" t="s">
        <v>755</v>
      </c>
      <c r="D13" s="524"/>
    </row>
    <row r="14" spans="1:7" ht="69.75" customHeight="1" x14ac:dyDescent="0.2">
      <c r="A14" s="534">
        <v>1</v>
      </c>
      <c r="B14" s="536" t="s">
        <v>756</v>
      </c>
      <c r="C14" s="537" t="s">
        <v>757</v>
      </c>
      <c r="D14" s="524"/>
    </row>
    <row r="15" spans="1:7" ht="69.75" customHeight="1" x14ac:dyDescent="0.2">
      <c r="A15" s="534">
        <v>1</v>
      </c>
      <c r="B15" s="536" t="s">
        <v>758</v>
      </c>
      <c r="C15" s="537" t="s">
        <v>759</v>
      </c>
      <c r="D15" s="524"/>
    </row>
    <row r="16" spans="1:7" ht="129" customHeight="1" x14ac:dyDescent="0.2">
      <c r="A16" s="532">
        <v>2</v>
      </c>
      <c r="B16" s="536" t="s">
        <v>760</v>
      </c>
      <c r="C16" s="537" t="s">
        <v>761</v>
      </c>
      <c r="D16" s="527"/>
    </row>
    <row r="17" spans="1:4" ht="54.75" customHeight="1" x14ac:dyDescent="0.2">
      <c r="A17" s="532">
        <v>2</v>
      </c>
      <c r="B17" s="536" t="s">
        <v>762</v>
      </c>
      <c r="C17" s="527" t="s">
        <v>1162</v>
      </c>
      <c r="D17" s="524"/>
    </row>
    <row r="18" spans="1:4" ht="84" customHeight="1" x14ac:dyDescent="0.2">
      <c r="A18" s="657">
        <v>3</v>
      </c>
      <c r="B18" s="536" t="s">
        <v>165</v>
      </c>
      <c r="C18" s="535" t="s">
        <v>763</v>
      </c>
      <c r="D18" s="538"/>
    </row>
    <row r="19" spans="1:4" ht="54" customHeight="1" x14ac:dyDescent="0.2">
      <c r="A19" s="657">
        <v>3</v>
      </c>
      <c r="B19" s="536" t="s">
        <v>764</v>
      </c>
      <c r="C19" s="535" t="s">
        <v>765</v>
      </c>
      <c r="D19" s="493"/>
    </row>
    <row r="20" spans="1:4" ht="42.75" customHeight="1" x14ac:dyDescent="0.2">
      <c r="A20" s="658">
        <v>3</v>
      </c>
      <c r="B20" s="536" t="s">
        <v>766</v>
      </c>
      <c r="C20" s="535" t="s">
        <v>767</v>
      </c>
      <c r="D20" s="493"/>
    </row>
    <row r="21" spans="1:4" ht="69.75" customHeight="1" x14ac:dyDescent="0.2">
      <c r="A21" s="657">
        <v>3</v>
      </c>
      <c r="B21" s="536" t="s">
        <v>768</v>
      </c>
      <c r="C21" s="535" t="s">
        <v>1163</v>
      </c>
      <c r="D21" s="538"/>
    </row>
    <row r="22" spans="1:4" ht="124.5" customHeight="1" x14ac:dyDescent="0.2">
      <c r="A22" s="657">
        <v>4</v>
      </c>
      <c r="B22" s="536" t="s">
        <v>769</v>
      </c>
      <c r="C22" s="537" t="s">
        <v>770</v>
      </c>
      <c r="D22" s="539"/>
    </row>
    <row r="23" spans="1:4" ht="99.75" customHeight="1" x14ac:dyDescent="0.2">
      <c r="A23" s="657">
        <v>6</v>
      </c>
      <c r="B23" s="536" t="s">
        <v>771</v>
      </c>
      <c r="C23" s="537" t="s">
        <v>1210</v>
      </c>
      <c r="D23" s="524"/>
    </row>
    <row r="24" spans="1:4" ht="93.75" customHeight="1" x14ac:dyDescent="0.2">
      <c r="A24" s="657">
        <v>6</v>
      </c>
      <c r="B24" s="536" t="s">
        <v>772</v>
      </c>
      <c r="C24" s="537" t="s">
        <v>1211</v>
      </c>
      <c r="D24" s="524"/>
    </row>
    <row r="25" spans="1:4" ht="45.75" customHeight="1" x14ac:dyDescent="0.2">
      <c r="A25" s="657">
        <v>6</v>
      </c>
      <c r="B25" s="536" t="s">
        <v>773</v>
      </c>
      <c r="C25" s="537" t="s">
        <v>1212</v>
      </c>
      <c r="D25" s="524"/>
    </row>
    <row r="26" spans="1:4" ht="111" customHeight="1" x14ac:dyDescent="0.2">
      <c r="A26" s="657">
        <v>6</v>
      </c>
      <c r="B26" s="536" t="s">
        <v>774</v>
      </c>
      <c r="C26" s="537" t="s">
        <v>1213</v>
      </c>
      <c r="D26" s="524"/>
    </row>
    <row r="27" spans="1:4" ht="51" x14ac:dyDescent="0.2">
      <c r="A27" s="657">
        <v>6</v>
      </c>
      <c r="B27" s="536" t="s">
        <v>775</v>
      </c>
      <c r="C27" s="537" t="s">
        <v>1214</v>
      </c>
      <c r="D27" s="524"/>
    </row>
    <row r="28" spans="1:4" ht="173.25" customHeight="1" x14ac:dyDescent="0.2">
      <c r="A28" s="657">
        <v>6</v>
      </c>
      <c r="B28" s="536" t="s">
        <v>776</v>
      </c>
      <c r="C28" s="537" t="s">
        <v>777</v>
      </c>
      <c r="D28" s="524"/>
    </row>
    <row r="29" spans="1:4" ht="69.75" customHeight="1" x14ac:dyDescent="0.2">
      <c r="A29" s="657">
        <v>6</v>
      </c>
      <c r="B29" s="639" t="s">
        <v>778</v>
      </c>
      <c r="C29" s="537" t="s">
        <v>779</v>
      </c>
      <c r="D29" s="524"/>
    </row>
    <row r="30" spans="1:4" ht="53.25" customHeight="1" x14ac:dyDescent="0.2">
      <c r="A30" s="657">
        <v>6</v>
      </c>
      <c r="B30" s="639" t="s">
        <v>780</v>
      </c>
      <c r="C30" s="537" t="s">
        <v>781</v>
      </c>
      <c r="D30" s="524"/>
    </row>
    <row r="31" spans="1:4" ht="77.25" customHeight="1" x14ac:dyDescent="0.2">
      <c r="A31" s="657">
        <v>6</v>
      </c>
      <c r="B31" s="536" t="s">
        <v>782</v>
      </c>
      <c r="C31" s="523" t="s">
        <v>783</v>
      </c>
      <c r="D31" s="524"/>
    </row>
    <row r="32" spans="1:4" ht="45.75" customHeight="1" x14ac:dyDescent="0.2">
      <c r="A32" s="657">
        <v>6</v>
      </c>
      <c r="B32" s="536" t="s">
        <v>784</v>
      </c>
      <c r="C32" s="537" t="s">
        <v>785</v>
      </c>
      <c r="D32" s="524"/>
    </row>
    <row r="33" spans="1:15" ht="47.25" customHeight="1" x14ac:dyDescent="0.2">
      <c r="A33" s="657">
        <v>6</v>
      </c>
      <c r="B33" s="536" t="s">
        <v>786</v>
      </c>
      <c r="C33" s="537" t="s">
        <v>787</v>
      </c>
      <c r="D33" s="524"/>
    </row>
    <row r="34" spans="1:15" ht="38.25" x14ac:dyDescent="0.2">
      <c r="A34" s="657">
        <v>6</v>
      </c>
      <c r="B34" s="536" t="s">
        <v>788</v>
      </c>
      <c r="C34" s="537" t="s">
        <v>789</v>
      </c>
      <c r="D34" s="524"/>
    </row>
    <row r="35" spans="1:15" ht="38.25" x14ac:dyDescent="0.2">
      <c r="A35" s="657">
        <v>6</v>
      </c>
      <c r="B35" s="536" t="s">
        <v>790</v>
      </c>
      <c r="C35" s="537" t="s">
        <v>791</v>
      </c>
      <c r="D35" s="524"/>
    </row>
    <row r="36" spans="1:15" s="157" customFormat="1" ht="38.25" x14ac:dyDescent="0.2">
      <c r="A36" s="657">
        <v>6</v>
      </c>
      <c r="B36" s="639" t="s">
        <v>792</v>
      </c>
      <c r="C36" s="537" t="s">
        <v>793</v>
      </c>
      <c r="D36" s="493"/>
    </row>
    <row r="37" spans="1:15" s="157" customFormat="1" ht="57.75" customHeight="1" x14ac:dyDescent="0.2">
      <c r="A37" s="657">
        <v>6</v>
      </c>
      <c r="B37" s="639" t="s">
        <v>794</v>
      </c>
      <c r="C37" s="537" t="s">
        <v>1215</v>
      </c>
      <c r="D37" s="540"/>
    </row>
    <row r="38" spans="1:15" s="157" customFormat="1" ht="30.75" customHeight="1" x14ac:dyDescent="0.2">
      <c r="A38" s="657">
        <v>7</v>
      </c>
      <c r="B38" s="536" t="s">
        <v>795</v>
      </c>
      <c r="C38" s="537" t="s">
        <v>796</v>
      </c>
      <c r="D38" s="493"/>
      <c r="E38" s="595"/>
      <c r="F38" s="595"/>
      <c r="G38" s="595"/>
      <c r="H38" s="595"/>
      <c r="I38" s="595"/>
      <c r="J38" s="595"/>
      <c r="K38" s="595"/>
      <c r="L38" s="595"/>
      <c r="M38" s="595"/>
      <c r="N38" s="595"/>
      <c r="O38" s="595"/>
    </row>
    <row r="39" spans="1:15" ht="114.75" customHeight="1" x14ac:dyDescent="0.2">
      <c r="A39" s="657">
        <v>7</v>
      </c>
      <c r="B39" s="536" t="s">
        <v>797</v>
      </c>
      <c r="C39" s="523" t="s">
        <v>798</v>
      </c>
      <c r="D39" s="524"/>
    </row>
    <row r="40" spans="1:15" ht="42" customHeight="1" x14ac:dyDescent="0.2">
      <c r="A40" s="657">
        <v>7</v>
      </c>
      <c r="B40" s="536" t="s">
        <v>799</v>
      </c>
      <c r="C40" s="527" t="s">
        <v>800</v>
      </c>
      <c r="D40" s="524"/>
    </row>
    <row r="41" spans="1:15" ht="39.75" customHeight="1" x14ac:dyDescent="0.2">
      <c r="A41" s="657">
        <v>7</v>
      </c>
      <c r="B41" s="536" t="s">
        <v>801</v>
      </c>
      <c r="C41" s="537" t="s">
        <v>802</v>
      </c>
      <c r="D41" s="524"/>
    </row>
    <row r="42" spans="1:15" ht="54" customHeight="1" x14ac:dyDescent="0.2">
      <c r="A42" s="657">
        <v>8</v>
      </c>
      <c r="B42" s="536" t="s">
        <v>857</v>
      </c>
      <c r="C42" s="689" t="s">
        <v>1224</v>
      </c>
      <c r="D42" s="524"/>
    </row>
    <row r="43" spans="1:15" ht="114" customHeight="1" x14ac:dyDescent="0.2">
      <c r="A43" s="657">
        <v>8</v>
      </c>
      <c r="B43" s="536" t="s">
        <v>316</v>
      </c>
      <c r="C43" s="691" t="s">
        <v>1226</v>
      </c>
      <c r="D43" s="691" t="s">
        <v>1227</v>
      </c>
    </row>
    <row r="44" spans="1:15" ht="114.75" customHeight="1" x14ac:dyDescent="0.2">
      <c r="A44" s="657">
        <v>8</v>
      </c>
      <c r="B44" s="536" t="s">
        <v>803</v>
      </c>
      <c r="C44" s="537" t="s">
        <v>804</v>
      </c>
      <c r="D44" s="541"/>
    </row>
    <row r="45" spans="1:15" ht="30" customHeight="1" x14ac:dyDescent="0.2">
      <c r="A45" s="657">
        <v>8</v>
      </c>
      <c r="B45" s="536" t="s">
        <v>1161</v>
      </c>
      <c r="C45" s="527" t="s">
        <v>805</v>
      </c>
      <c r="D45" s="524"/>
    </row>
    <row r="46" spans="1:15" ht="265.5" customHeight="1" x14ac:dyDescent="0.2">
      <c r="A46" s="657">
        <v>9</v>
      </c>
      <c r="B46" s="536" t="s">
        <v>739</v>
      </c>
      <c r="C46" s="688" t="s">
        <v>1223</v>
      </c>
      <c r="D46" s="524"/>
    </row>
    <row r="47" spans="1:15" ht="69" customHeight="1" x14ac:dyDescent="0.2">
      <c r="A47" s="657">
        <v>9</v>
      </c>
      <c r="B47" s="536" t="s">
        <v>162</v>
      </c>
      <c r="C47" s="527" t="s">
        <v>1168</v>
      </c>
      <c r="D47" s="524"/>
    </row>
    <row r="48" spans="1:15" ht="69.75" customHeight="1" x14ac:dyDescent="0.2">
      <c r="A48" s="657">
        <v>9</v>
      </c>
      <c r="B48" s="639" t="s">
        <v>398</v>
      </c>
      <c r="C48" s="523" t="s">
        <v>1169</v>
      </c>
      <c r="D48" s="524"/>
    </row>
    <row r="49" spans="1:9" ht="53.25" customHeight="1" x14ac:dyDescent="0.2">
      <c r="A49" s="657">
        <v>9</v>
      </c>
      <c r="B49" s="536" t="s">
        <v>407</v>
      </c>
      <c r="C49" s="542" t="s">
        <v>1170</v>
      </c>
      <c r="D49" s="524"/>
    </row>
    <row r="50" spans="1:9" ht="107.25" customHeight="1" x14ac:dyDescent="0.2">
      <c r="A50" s="655">
        <v>9</v>
      </c>
      <c r="B50" s="639" t="s">
        <v>806</v>
      </c>
      <c r="C50" s="543" t="s">
        <v>807</v>
      </c>
      <c r="D50" s="524"/>
    </row>
    <row r="51" spans="1:9" ht="18" customHeight="1" x14ac:dyDescent="0.2">
      <c r="A51" s="659"/>
      <c r="B51" s="544"/>
      <c r="C51" s="545" t="s">
        <v>808</v>
      </c>
      <c r="D51" s="524"/>
    </row>
    <row r="52" spans="1:9" ht="53.25" customHeight="1" x14ac:dyDescent="0.2">
      <c r="A52" s="659"/>
      <c r="B52" s="544"/>
      <c r="C52" s="543" t="s">
        <v>809</v>
      </c>
      <c r="D52" s="524"/>
    </row>
    <row r="53" spans="1:9" ht="21.75" customHeight="1" x14ac:dyDescent="0.2">
      <c r="A53" s="659"/>
      <c r="B53" s="544"/>
      <c r="C53" s="545" t="s">
        <v>810</v>
      </c>
      <c r="D53" s="524"/>
    </row>
    <row r="54" spans="1:9" ht="52.5" customHeight="1" x14ac:dyDescent="0.2">
      <c r="A54" s="659"/>
      <c r="B54" s="544"/>
      <c r="C54" s="543" t="s">
        <v>811</v>
      </c>
      <c r="D54" s="524"/>
    </row>
    <row r="55" spans="1:9" ht="19.5" customHeight="1" x14ac:dyDescent="0.2">
      <c r="A55" s="660"/>
      <c r="B55" s="544"/>
      <c r="C55" s="545" t="s">
        <v>812</v>
      </c>
      <c r="D55" s="524"/>
    </row>
    <row r="56" spans="1:9" ht="51" customHeight="1" x14ac:dyDescent="0.2">
      <c r="A56" s="660"/>
      <c r="B56" s="544"/>
      <c r="C56" s="543" t="s">
        <v>813</v>
      </c>
      <c r="D56" s="524"/>
    </row>
    <row r="57" spans="1:9" ht="19.5" customHeight="1" x14ac:dyDescent="0.2">
      <c r="A57" s="660"/>
      <c r="B57" s="544"/>
      <c r="C57" s="545" t="s">
        <v>814</v>
      </c>
      <c r="D57" s="524"/>
    </row>
    <row r="58" spans="1:9" ht="29.25" customHeight="1" x14ac:dyDescent="0.2">
      <c r="A58" s="660"/>
      <c r="B58" s="544"/>
      <c r="C58" s="543" t="s">
        <v>815</v>
      </c>
      <c r="D58" s="524"/>
    </row>
    <row r="59" spans="1:9" ht="19.5" customHeight="1" x14ac:dyDescent="0.2">
      <c r="A59" s="661"/>
      <c r="B59" s="544"/>
      <c r="C59" s="545" t="s">
        <v>816</v>
      </c>
      <c r="D59" s="524"/>
    </row>
    <row r="60" spans="1:9" ht="138.75" customHeight="1" x14ac:dyDescent="0.2">
      <c r="A60" s="657">
        <v>9</v>
      </c>
      <c r="B60" s="536" t="s">
        <v>817</v>
      </c>
      <c r="C60" s="523" t="s">
        <v>818</v>
      </c>
      <c r="D60" s="524"/>
    </row>
    <row r="61" spans="1:9" ht="171" customHeight="1" x14ac:dyDescent="0.2">
      <c r="A61" s="657">
        <v>9</v>
      </c>
      <c r="B61" s="529" t="s">
        <v>396</v>
      </c>
      <c r="C61" s="523" t="s">
        <v>819</v>
      </c>
      <c r="D61" s="524"/>
    </row>
    <row r="62" spans="1:9" ht="57" customHeight="1" x14ac:dyDescent="0.2">
      <c r="A62" s="657">
        <v>9</v>
      </c>
      <c r="B62" s="529" t="s">
        <v>820</v>
      </c>
      <c r="C62" s="523" t="s">
        <v>821</v>
      </c>
      <c r="D62" s="524"/>
    </row>
    <row r="63" spans="1:9" ht="213" customHeight="1" x14ac:dyDescent="0.2">
      <c r="A63" s="657">
        <v>9</v>
      </c>
      <c r="B63" s="536" t="s">
        <v>822</v>
      </c>
      <c r="C63" s="537" t="s">
        <v>823</v>
      </c>
      <c r="D63" s="546"/>
      <c r="I63" s="157"/>
    </row>
    <row r="64" spans="1:9" ht="60" customHeight="1" x14ac:dyDescent="0.2">
      <c r="A64" s="657">
        <v>9</v>
      </c>
      <c r="B64" s="536" t="s">
        <v>424</v>
      </c>
      <c r="C64" s="547" t="s">
        <v>824</v>
      </c>
      <c r="D64" s="548"/>
    </row>
    <row r="65" spans="1:4" ht="57.75" customHeight="1" x14ac:dyDescent="0.2">
      <c r="A65" s="655">
        <v>10</v>
      </c>
      <c r="B65" s="536" t="s">
        <v>739</v>
      </c>
      <c r="C65" s="640" t="s">
        <v>825</v>
      </c>
      <c r="D65" s="641"/>
    </row>
    <row r="66" spans="1:4" ht="60" customHeight="1" x14ac:dyDescent="0.2">
      <c r="A66" s="655">
        <v>10</v>
      </c>
      <c r="B66" s="536" t="s">
        <v>431</v>
      </c>
      <c r="C66" s="547" t="s">
        <v>826</v>
      </c>
      <c r="D66" s="641"/>
    </row>
    <row r="67" spans="1:4" ht="60" customHeight="1" x14ac:dyDescent="0.2">
      <c r="A67" s="655">
        <v>10</v>
      </c>
      <c r="B67" s="536" t="s">
        <v>827</v>
      </c>
      <c r="C67" s="535" t="s">
        <v>828</v>
      </c>
      <c r="D67" s="548"/>
    </row>
    <row r="68" spans="1:4" ht="60" customHeight="1" x14ac:dyDescent="0.2">
      <c r="A68" s="655">
        <v>10</v>
      </c>
      <c r="B68" s="536" t="s">
        <v>829</v>
      </c>
      <c r="C68" s="535" t="s">
        <v>830</v>
      </c>
      <c r="D68" s="548"/>
    </row>
    <row r="69" spans="1:4" ht="67.5" customHeight="1" x14ac:dyDescent="0.2">
      <c r="A69" s="655">
        <v>10</v>
      </c>
      <c r="B69" s="536" t="s">
        <v>162</v>
      </c>
      <c r="C69" s="535" t="s">
        <v>831</v>
      </c>
      <c r="D69" s="548"/>
    </row>
    <row r="70" spans="1:4" ht="81.75" customHeight="1" x14ac:dyDescent="0.2">
      <c r="A70" s="655">
        <v>10</v>
      </c>
      <c r="B70" s="536" t="s">
        <v>832</v>
      </c>
      <c r="C70" s="535" t="s">
        <v>833</v>
      </c>
      <c r="D70" s="548"/>
    </row>
    <row r="71" spans="1:4" ht="60" customHeight="1" x14ac:dyDescent="0.2">
      <c r="A71" s="655">
        <v>10</v>
      </c>
      <c r="B71" s="536" t="s">
        <v>834</v>
      </c>
      <c r="C71" s="535" t="s">
        <v>835</v>
      </c>
      <c r="D71" s="548"/>
    </row>
    <row r="72" spans="1:4" ht="60" customHeight="1" x14ac:dyDescent="0.2">
      <c r="A72" s="889">
        <v>10</v>
      </c>
      <c r="B72" s="891" t="s">
        <v>469</v>
      </c>
      <c r="C72" s="642" t="s">
        <v>1172</v>
      </c>
      <c r="D72" s="643"/>
    </row>
    <row r="73" spans="1:4" ht="19.5" customHeight="1" x14ac:dyDescent="0.2">
      <c r="A73" s="890"/>
      <c r="B73" s="892"/>
      <c r="C73" s="686" t="s">
        <v>836</v>
      </c>
      <c r="D73" s="493"/>
    </row>
    <row r="74" spans="1:4" ht="44.25" customHeight="1" x14ac:dyDescent="0.2">
      <c r="A74" s="655">
        <v>10</v>
      </c>
      <c r="B74" s="536" t="s">
        <v>837</v>
      </c>
      <c r="C74" s="644" t="s">
        <v>838</v>
      </c>
      <c r="D74" s="645"/>
    </row>
    <row r="75" spans="1:4" ht="45.75" customHeight="1" x14ac:dyDescent="0.2">
      <c r="A75" s="655">
        <v>10</v>
      </c>
      <c r="B75" s="536" t="s">
        <v>839</v>
      </c>
      <c r="C75" s="535" t="s">
        <v>840</v>
      </c>
      <c r="D75" s="548"/>
    </row>
    <row r="76" spans="1:4" ht="46.5" customHeight="1" x14ac:dyDescent="0.2">
      <c r="A76" s="655">
        <v>10</v>
      </c>
      <c r="B76" s="536" t="s">
        <v>841</v>
      </c>
      <c r="C76" s="535" t="s">
        <v>842</v>
      </c>
      <c r="D76" s="548"/>
    </row>
    <row r="77" spans="1:4" ht="86.25" customHeight="1" x14ac:dyDescent="0.2">
      <c r="A77" s="655">
        <v>10</v>
      </c>
      <c r="B77" s="536" t="s">
        <v>843</v>
      </c>
      <c r="C77" s="535" t="s">
        <v>844</v>
      </c>
      <c r="D77" s="548"/>
    </row>
    <row r="78" spans="1:4" ht="25.5" x14ac:dyDescent="0.2">
      <c r="A78" s="655">
        <v>10</v>
      </c>
      <c r="B78" s="536" t="s">
        <v>845</v>
      </c>
      <c r="C78" s="535" t="s">
        <v>846</v>
      </c>
      <c r="D78" s="548"/>
    </row>
    <row r="79" spans="1:4" ht="342" customHeight="1" x14ac:dyDescent="0.2">
      <c r="A79" s="655">
        <v>10</v>
      </c>
      <c r="B79" s="536" t="s">
        <v>847</v>
      </c>
      <c r="C79" s="537" t="s">
        <v>848</v>
      </c>
      <c r="D79" s="548"/>
    </row>
    <row r="80" spans="1:4" ht="125.25" customHeight="1" x14ac:dyDescent="0.2">
      <c r="A80" s="655">
        <v>10</v>
      </c>
      <c r="B80" s="536" t="s">
        <v>849</v>
      </c>
      <c r="C80" s="537" t="s">
        <v>1216</v>
      </c>
      <c r="D80" s="548"/>
    </row>
    <row r="81" spans="1:10" ht="72" customHeight="1" x14ac:dyDescent="0.2">
      <c r="A81" s="655">
        <v>10</v>
      </c>
      <c r="B81" s="536" t="s">
        <v>1217</v>
      </c>
      <c r="C81" s="535" t="s">
        <v>1218</v>
      </c>
      <c r="D81" s="548"/>
    </row>
    <row r="82" spans="1:10" ht="69" customHeight="1" x14ac:dyDescent="0.2">
      <c r="A82" s="655">
        <v>10</v>
      </c>
      <c r="B82" s="536" t="s">
        <v>1219</v>
      </c>
      <c r="C82" s="537" t="s">
        <v>1220</v>
      </c>
      <c r="D82" s="548"/>
    </row>
    <row r="83" spans="1:10" ht="108.75" customHeight="1" x14ac:dyDescent="0.2">
      <c r="A83" s="655">
        <v>10</v>
      </c>
      <c r="B83" s="536" t="s">
        <v>850</v>
      </c>
      <c r="C83" s="537" t="s">
        <v>1171</v>
      </c>
      <c r="D83" s="548"/>
    </row>
    <row r="84" spans="1:10" ht="130.5" customHeight="1" x14ac:dyDescent="0.2">
      <c r="A84" s="655">
        <v>10</v>
      </c>
      <c r="B84" s="536" t="s">
        <v>851</v>
      </c>
      <c r="C84" s="537" t="s">
        <v>852</v>
      </c>
      <c r="D84" s="548"/>
    </row>
    <row r="85" spans="1:10" ht="81.75" customHeight="1" x14ac:dyDescent="0.2">
      <c r="A85" s="655" t="s">
        <v>853</v>
      </c>
      <c r="B85" s="646" t="s">
        <v>739</v>
      </c>
      <c r="C85" s="647" t="s">
        <v>854</v>
      </c>
      <c r="D85" s="641"/>
    </row>
    <row r="86" spans="1:10" s="4" customFormat="1" ht="29.25" customHeight="1" x14ac:dyDescent="0.2">
      <c r="A86" s="655" t="s">
        <v>853</v>
      </c>
      <c r="B86" s="646" t="s">
        <v>855</v>
      </c>
      <c r="C86" s="648" t="s">
        <v>1221</v>
      </c>
      <c r="D86" s="493"/>
    </row>
    <row r="87" spans="1:10" ht="81" customHeight="1" x14ac:dyDescent="0.2">
      <c r="A87" s="655" t="s">
        <v>853</v>
      </c>
      <c r="B87" s="536" t="s">
        <v>856</v>
      </c>
      <c r="C87" s="547" t="s">
        <v>1222</v>
      </c>
      <c r="D87" s="641"/>
    </row>
    <row r="88" spans="1:10" ht="69" customHeight="1" x14ac:dyDescent="0.2">
      <c r="A88" s="655" t="s">
        <v>853</v>
      </c>
      <c r="B88" s="536" t="s">
        <v>857</v>
      </c>
      <c r="C88" s="689" t="s">
        <v>1228</v>
      </c>
      <c r="D88" s="548"/>
    </row>
    <row r="89" spans="1:10" ht="79.5" customHeight="1" x14ac:dyDescent="0.2">
      <c r="A89" s="656" t="s">
        <v>1234</v>
      </c>
      <c r="B89" s="646" t="s">
        <v>858</v>
      </c>
      <c r="C89" s="690" t="s">
        <v>1208</v>
      </c>
      <c r="D89" s="649"/>
    </row>
    <row r="90" spans="1:10" ht="51" x14ac:dyDescent="0.2">
      <c r="A90" s="656" t="s">
        <v>1234</v>
      </c>
      <c r="B90" s="646" t="s">
        <v>859</v>
      </c>
      <c r="C90" s="690" t="s">
        <v>1153</v>
      </c>
      <c r="D90" s="649"/>
      <c r="E90" s="549"/>
      <c r="F90" s="549"/>
      <c r="G90" s="549"/>
      <c r="H90" s="549"/>
      <c r="I90" s="549"/>
      <c r="J90" s="549"/>
    </row>
    <row r="91" spans="1:10" ht="42.6" customHeight="1" x14ac:dyDescent="0.2">
      <c r="A91" s="656" t="s">
        <v>1234</v>
      </c>
      <c r="B91" s="646" t="s">
        <v>860</v>
      </c>
      <c r="C91" s="547" t="s">
        <v>1225</v>
      </c>
      <c r="D91" s="649"/>
      <c r="E91" s="549"/>
      <c r="F91" s="549"/>
      <c r="G91" s="549"/>
      <c r="H91" s="549"/>
      <c r="I91" s="549"/>
      <c r="J91" s="549"/>
    </row>
    <row r="92" spans="1:10" ht="55.5" customHeight="1" x14ac:dyDescent="0.2">
      <c r="A92" s="656" t="s">
        <v>1234</v>
      </c>
      <c r="B92" s="646" t="s">
        <v>861</v>
      </c>
      <c r="C92" s="547" t="s">
        <v>862</v>
      </c>
      <c r="D92" s="649"/>
      <c r="E92" s="549"/>
      <c r="F92" s="549"/>
      <c r="G92" s="549"/>
      <c r="H92" s="549"/>
      <c r="I92" s="549"/>
      <c r="J92" s="549"/>
    </row>
    <row r="93" spans="1:10" ht="51" x14ac:dyDescent="0.2">
      <c r="A93" s="656" t="s">
        <v>1234</v>
      </c>
      <c r="B93" s="646" t="s">
        <v>863</v>
      </c>
      <c r="C93" s="547" t="s">
        <v>1230</v>
      </c>
      <c r="D93" s="649"/>
      <c r="E93" s="549"/>
      <c r="F93" s="549"/>
      <c r="G93" s="549"/>
      <c r="H93" s="549"/>
      <c r="I93" s="549"/>
      <c r="J93" s="549"/>
    </row>
    <row r="94" spans="1:10" ht="51" x14ac:dyDescent="0.2">
      <c r="A94" s="656" t="s">
        <v>1234</v>
      </c>
      <c r="B94" s="646" t="s">
        <v>864</v>
      </c>
      <c r="C94" s="690" t="s">
        <v>1154</v>
      </c>
      <c r="D94" s="649"/>
      <c r="E94" s="549"/>
      <c r="F94" s="549"/>
      <c r="G94" s="549"/>
      <c r="H94" s="549"/>
      <c r="I94" s="549"/>
      <c r="J94" s="549"/>
    </row>
    <row r="95" spans="1:10" ht="54" customHeight="1" x14ac:dyDescent="0.2">
      <c r="A95" s="656" t="s">
        <v>1234</v>
      </c>
      <c r="B95" s="536" t="s">
        <v>1155</v>
      </c>
      <c r="C95" s="690" t="s">
        <v>1156</v>
      </c>
      <c r="D95" s="649"/>
      <c r="E95" s="549"/>
      <c r="F95" s="549"/>
      <c r="G95" s="549"/>
      <c r="H95" s="549"/>
      <c r="I95" s="549"/>
      <c r="J95" s="549"/>
    </row>
    <row r="96" spans="1:10" ht="51" x14ac:dyDescent="0.3">
      <c r="A96" s="656" t="s">
        <v>1234</v>
      </c>
      <c r="B96" s="646" t="s">
        <v>865</v>
      </c>
      <c r="C96" s="648" t="s">
        <v>866</v>
      </c>
      <c r="D96" s="650"/>
    </row>
    <row r="97" spans="1:4" ht="51" x14ac:dyDescent="0.3">
      <c r="A97" s="656" t="s">
        <v>1234</v>
      </c>
      <c r="B97" s="646" t="s">
        <v>867</v>
      </c>
      <c r="C97" s="648" t="s">
        <v>868</v>
      </c>
      <c r="D97" s="650"/>
    </row>
    <row r="98" spans="1:4" ht="51" x14ac:dyDescent="0.3">
      <c r="A98" s="656" t="s">
        <v>1234</v>
      </c>
      <c r="B98" s="646" t="s">
        <v>869</v>
      </c>
      <c r="C98" s="648" t="s">
        <v>870</v>
      </c>
      <c r="D98" s="650"/>
    </row>
    <row r="99" spans="1:4" ht="56.25" customHeight="1" x14ac:dyDescent="0.3">
      <c r="A99" s="656" t="s">
        <v>1234</v>
      </c>
      <c r="B99" s="651" t="s">
        <v>871</v>
      </c>
      <c r="C99" s="648" t="s">
        <v>872</v>
      </c>
      <c r="D99" s="652"/>
    </row>
    <row r="100" spans="1:4" ht="51" x14ac:dyDescent="0.2">
      <c r="A100" s="656" t="s">
        <v>1234</v>
      </c>
      <c r="B100" s="536" t="s">
        <v>873</v>
      </c>
      <c r="C100" s="547" t="s">
        <v>1157</v>
      </c>
      <c r="D100" s="653"/>
    </row>
    <row r="101" spans="1:4" ht="95.1" customHeight="1" x14ac:dyDescent="0.2">
      <c r="A101" s="656" t="s">
        <v>1234</v>
      </c>
      <c r="B101" s="536" t="s">
        <v>874</v>
      </c>
      <c r="C101" s="672" t="s">
        <v>1231</v>
      </c>
      <c r="D101" s="654"/>
    </row>
    <row r="102" spans="1:4" ht="89.25" x14ac:dyDescent="0.2">
      <c r="A102" s="656" t="s">
        <v>1234</v>
      </c>
      <c r="B102" s="536" t="s">
        <v>875</v>
      </c>
      <c r="C102" s="672" t="s">
        <v>1158</v>
      </c>
      <c r="D102" s="654"/>
    </row>
    <row r="103" spans="1:4" x14ac:dyDescent="0.2">
      <c r="A103" s="550"/>
      <c r="C103" s="627"/>
      <c r="D103" s="551"/>
    </row>
    <row r="104" spans="1:4" x14ac:dyDescent="0.2">
      <c r="C104" s="627"/>
      <c r="D104" s="551"/>
    </row>
    <row r="105" spans="1:4" x14ac:dyDescent="0.2">
      <c r="C105" s="627"/>
      <c r="D105" s="551"/>
    </row>
  </sheetData>
  <sheetProtection formatCells="0" formatColumns="0" formatRows="0" sort="0" autoFilter="0"/>
  <autoFilter ref="A1:D102" xr:uid="{00000000-0009-0000-0000-00000F000000}"/>
  <mergeCells count="5">
    <mergeCell ref="A2:B6"/>
    <mergeCell ref="A9:A10"/>
    <mergeCell ref="B9:B10"/>
    <mergeCell ref="A72:A73"/>
    <mergeCell ref="B72:B73"/>
  </mergeCells>
  <hyperlinks>
    <hyperlink ref="A11" location="'Page 1'!A1" display="'Page 1'!A1" xr:uid="{00000000-0004-0000-0F00-000000000000}"/>
    <hyperlink ref="A16" location="'Page 2'!A1" display="'Page 2'!A1" xr:uid="{00000000-0004-0000-0F00-000001000000}"/>
    <hyperlink ref="A17" location="'Page 2'!A1" display="'Page 2'!A1" xr:uid="{00000000-0004-0000-0F00-000002000000}"/>
    <hyperlink ref="A2:B2" location="'Cover Page'!A1" display="General" xr:uid="{00000000-0004-0000-0F00-000003000000}"/>
    <hyperlink ref="A7" location="'Cover Page'!A1" display="Cover" xr:uid="{00000000-0004-0000-0F00-000004000000}"/>
    <hyperlink ref="A13" location="'Page 1'!A1" display="'Page 1'!A1" xr:uid="{00000000-0004-0000-0F00-000005000000}"/>
    <hyperlink ref="A14" location="'Page 1'!A1" display="'Page 1'!A1" xr:uid="{00000000-0004-0000-0F00-000006000000}"/>
    <hyperlink ref="A12" location="'Page 1'!A1" display="'Page 1'!A1" xr:uid="{00000000-0004-0000-0F00-000007000000}"/>
    <hyperlink ref="A15" location="'Page 1'!A1" display="'Page 1'!A1" xr:uid="{00000000-0004-0000-0F00-000008000000}"/>
    <hyperlink ref="A9" location="'Accounting Data'!A1" display="Accounting data tab" xr:uid="{00000000-0004-0000-0F00-000009000000}"/>
    <hyperlink ref="A8" location="'School listing'!A1" display="School listing tab" xr:uid="{00000000-0004-0000-0F00-00000A000000}"/>
    <hyperlink ref="C51" r:id="rId1" xr:uid="{00000000-0004-0000-0F00-00000B000000}"/>
    <hyperlink ref="C53" r:id="rId2" xr:uid="{00000000-0004-0000-0F00-00000C000000}"/>
    <hyperlink ref="C55" r:id="rId3" display="https://www.azed.gov/titlei/sample-page/rural-low-income-schools-rlis/" xr:uid="{00000000-0004-0000-0F00-00000D000000}"/>
    <hyperlink ref="C57" r:id="rId4" xr:uid="{00000000-0004-0000-0F00-00000E000000}"/>
    <hyperlink ref="C59" r:id="rId5" xr:uid="{00000000-0004-0000-0F00-00000F000000}"/>
    <hyperlink ref="A18" location="'Page 3'!A1" display="'Page 3'!A1" xr:uid="{00000000-0004-0000-0F00-000010000000}"/>
    <hyperlink ref="A20" location="'Page 3'!A1" display="'Page 3'!A1" xr:uid="{00000000-0004-0000-0F00-000011000000}"/>
    <hyperlink ref="A19" location="'Page 3'!A1" display="'Page 3'!A1" xr:uid="{00000000-0004-0000-0F00-000012000000}"/>
    <hyperlink ref="A22" location="'Page 4'!A1" display="'Page 4'!A1" xr:uid="{00000000-0004-0000-0F00-000013000000}"/>
    <hyperlink ref="A23" location="'Page 6'!A1" display="'Page 6'!A1" xr:uid="{00000000-0004-0000-0F00-000014000000}"/>
    <hyperlink ref="A24" location="'Page 6'!A1" display="'Page 6'!A1" xr:uid="{00000000-0004-0000-0F00-000015000000}"/>
    <hyperlink ref="A25" location="'Page 6'!A1" display="'Page 6'!A1" xr:uid="{00000000-0004-0000-0F00-000016000000}"/>
    <hyperlink ref="A26" location="'Page 6'!A1" display="'Page 6'!A1" xr:uid="{00000000-0004-0000-0F00-000017000000}"/>
    <hyperlink ref="A27" location="'Page 6'!A1" display="'Page 6'!A1" xr:uid="{00000000-0004-0000-0F00-000018000000}"/>
    <hyperlink ref="A28" location="'Page 6'!A1" display="'Page 6'!A1" xr:uid="{00000000-0004-0000-0F00-000019000000}"/>
    <hyperlink ref="A29" location="'Page 6'!A1" display="'Page 6'!A1" xr:uid="{00000000-0004-0000-0F00-00001A000000}"/>
    <hyperlink ref="A30" location="'Page 6'!A1" display="'Page 6'!A1" xr:uid="{00000000-0004-0000-0F00-00001B000000}"/>
    <hyperlink ref="A31" location="'Page 6'!A1" display="'Page 6'!A1" xr:uid="{00000000-0004-0000-0F00-00001C000000}"/>
    <hyperlink ref="A32" location="'Page 6'!A1" display="'Page 6'!A1" xr:uid="{00000000-0004-0000-0F00-00001D000000}"/>
    <hyperlink ref="A33" location="'Page 6'!A1" display="'Page 6'!A1" xr:uid="{00000000-0004-0000-0F00-00001E000000}"/>
    <hyperlink ref="A34" location="'Page 6'!A1" display="'Page 6'!A1" xr:uid="{00000000-0004-0000-0F00-00001F000000}"/>
    <hyperlink ref="A35" location="'Page 6'!A1" display="'Page 6'!A1" xr:uid="{00000000-0004-0000-0F00-000020000000}"/>
    <hyperlink ref="A36" location="'Page 6'!A1" display="'Page 6'!A1" xr:uid="{00000000-0004-0000-0F00-000021000000}"/>
    <hyperlink ref="A37" location="'Page 6'!A1" display="'Page 6'!A1" xr:uid="{00000000-0004-0000-0F00-000022000000}"/>
    <hyperlink ref="A38" location="'Page 7'!A1" display="'Page 7'!A1" xr:uid="{00000000-0004-0000-0F00-000023000000}"/>
    <hyperlink ref="A39" location="'Page 7'!A1" display="'Page 7'!A1" xr:uid="{00000000-0004-0000-0F00-000024000000}"/>
    <hyperlink ref="A40" location="'Page 7'!A1" display="'Page 7'!A1" xr:uid="{00000000-0004-0000-0F00-000025000000}"/>
    <hyperlink ref="A41" location="'Page 7'!A1" display="'Page 7'!A1" xr:uid="{00000000-0004-0000-0F00-000026000000}"/>
    <hyperlink ref="A43" location="'Page 8'!A1" display="'Page 8'!A1" xr:uid="{00000000-0004-0000-0F00-000027000000}"/>
    <hyperlink ref="A44" location="'Page 8'!A1" display="'Page 8'!A1" xr:uid="{00000000-0004-0000-0F00-000028000000}"/>
    <hyperlink ref="A45" location="'Page 8'!A1" display="'Page 8'!A1" xr:uid="{00000000-0004-0000-0F00-000029000000}"/>
    <hyperlink ref="A46" location="'Page 9'!A1" display="'Page 9'!A1" xr:uid="{00000000-0004-0000-0F00-00002A000000}"/>
    <hyperlink ref="A47" location="'Page 9'!A1" display="'Page 9'!A1" xr:uid="{00000000-0004-0000-0F00-00002B000000}"/>
    <hyperlink ref="A48" location="'Page 9'!A1" display="'Page 9'!A1" xr:uid="{00000000-0004-0000-0F00-00002C000000}"/>
    <hyperlink ref="A49" location="'Page 9'!A1" display="'Page 9'!A1" xr:uid="{00000000-0004-0000-0F00-00002D000000}"/>
    <hyperlink ref="A50" location="'Page 9'!A1" display="'Page 9'!A1" xr:uid="{00000000-0004-0000-0F00-00002E000000}"/>
    <hyperlink ref="A60" location="'Page 9'!A1" display="'Page 9'!A1" xr:uid="{00000000-0004-0000-0F00-00002F000000}"/>
    <hyperlink ref="A61" location="'Page 9'!A1" display="'Page 9'!A1" xr:uid="{00000000-0004-0000-0F00-000030000000}"/>
    <hyperlink ref="A62" location="'Page 9'!A1" display="'Page 9'!A1" xr:uid="{00000000-0004-0000-0F00-000031000000}"/>
    <hyperlink ref="A63" location="'Page 9'!A1" display="'Page 9'!A1" xr:uid="{00000000-0004-0000-0F00-000032000000}"/>
    <hyperlink ref="A64" location="'Page 9'!A1" display="'Page 9'!A1" xr:uid="{00000000-0004-0000-0F00-000033000000}"/>
    <hyperlink ref="A21" location="'Page 3'!A1" display="'Page 3'!A1" xr:uid="{00000000-0004-0000-0F00-000034000000}"/>
    <hyperlink ref="A66" location="'Page 10'!A1" display="'Page 10'!A1" xr:uid="{00000000-0004-0000-0F00-000035000000}"/>
    <hyperlink ref="A89" location="'Project balance reserves'!A1" display="Project balance reserves tab" xr:uid="{00000000-0004-0000-0F00-000036000000}"/>
    <hyperlink ref="A65" location="'Page 10'!A1" display="'Page 10'!A1" xr:uid="{00000000-0004-0000-0F00-00003A000000}"/>
    <hyperlink ref="A67" location="'Page 10'!A1" display="'Page 10'!A1" xr:uid="{00000000-0004-0000-0F00-00003B000000}"/>
    <hyperlink ref="C73" r:id="rId6" display="https://www.azauditor.gov/District_charter_ADE_COVID-19_spending_special_report_FY_2022" xr:uid="{00000000-0004-0000-0F00-00003C000000}"/>
    <hyperlink ref="A68" location="'Page 10'!A1" display="'Page 10'!A1" xr:uid="{00000000-0004-0000-0F00-00003D000000}"/>
    <hyperlink ref="A84" location="'Page 10'!A1" display="'Page 10'!A1" xr:uid="{00000000-0004-0000-0F00-00003E000000}"/>
    <hyperlink ref="A69" location="'Page 10'!A1" display="'Page 10'!A1" xr:uid="{00000000-0004-0000-0F00-00003F000000}"/>
    <hyperlink ref="A70" location="'Page 10'!A1" display="'Page 10'!A1" xr:uid="{00000000-0004-0000-0F00-000040000000}"/>
    <hyperlink ref="A71" location="'Page 10'!A1" display="'Page 10'!A1" xr:uid="{00000000-0004-0000-0F00-000041000000}"/>
    <hyperlink ref="A74" location="'Page 10'!A1" display="'Page 10'!A1" xr:uid="{00000000-0004-0000-0F00-000042000000}"/>
    <hyperlink ref="A75" location="'Page 10'!A1" display="'Page 10'!A1" xr:uid="{00000000-0004-0000-0F00-000043000000}"/>
    <hyperlink ref="A76" location="'Page 10'!A1" display="'Page 10'!A1" xr:uid="{00000000-0004-0000-0F00-000044000000}"/>
    <hyperlink ref="A77" location="'Page 10'!A1" display="'Page 10'!A1" xr:uid="{00000000-0004-0000-0F00-000045000000}"/>
    <hyperlink ref="A78" location="'Page 10'!A1" display="'Page 10'!A1" xr:uid="{00000000-0004-0000-0F00-000046000000}"/>
    <hyperlink ref="A79" location="'Page 10'!A1" display="'Page 10'!A1" xr:uid="{00000000-0004-0000-0F00-000047000000}"/>
    <hyperlink ref="A80" location="'Page 10'!A1" display="'Page 10'!A1" xr:uid="{00000000-0004-0000-0F00-000048000000}"/>
    <hyperlink ref="A81" location="'Page 10'!A1" display="'Page 10'!A1" xr:uid="{00000000-0004-0000-0F00-000049000000}"/>
    <hyperlink ref="A82" location="'Page 10'!A1" display="'Page 10'!A1" xr:uid="{00000000-0004-0000-0F00-00004A000000}"/>
    <hyperlink ref="A83" location="'Page 10'!A1" display="'Page 10'!A1" xr:uid="{00000000-0004-0000-0F00-00004B000000}"/>
    <hyperlink ref="A85" location="Summary!A1" display="Summary" xr:uid="{00000000-0004-0000-0F00-00004C000000}"/>
    <hyperlink ref="A86" location="Summary!A1" display="Summary" xr:uid="{00000000-0004-0000-0F00-00004D000000}"/>
    <hyperlink ref="A87" location="Summary!A1" display="Summary" xr:uid="{00000000-0004-0000-0F00-00004E000000}"/>
    <hyperlink ref="A88" location="Summary!A1" display="Summary" xr:uid="{00000000-0004-0000-0F00-00004F000000}"/>
    <hyperlink ref="A42" location="'Page 8'!A1" display="'Page 8'!A1" xr:uid="{00000000-0004-0000-0F00-000050000000}"/>
    <hyperlink ref="A72:A73" location="'Page 10'!A1" display="'Page 10'!A1" xr:uid="{00000000-0004-0000-0F00-000051000000}"/>
    <hyperlink ref="A90:A102" location="'Project balance reserves'!A1" display="Project balance reserves tab" xr:uid="{21B37408-9740-4DEC-8355-D71854851F90}"/>
  </hyperlinks>
  <pageMargins left="0.75" right="0.25" top="0.25" bottom="0.25" header="0.5" footer="0.15"/>
  <pageSetup paperSize="5" scale="11" orientation="landscape" r:id="rId7"/>
  <headerFooter>
    <oddFooter>&amp;LRev. 8/24 Arizona Department of Education and Auditor General&amp;CFY 2024</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C2CBE-2C82-46A1-A9FD-F3420802E110}">
  <sheetPr filterMode="1">
    <pageSetUpPr fitToPage="1"/>
  </sheetPr>
  <dimension ref="A1:Y37000"/>
  <sheetViews>
    <sheetView workbookViewId="0">
      <selection activeCell="F262" sqref="F262"/>
    </sheetView>
  </sheetViews>
  <sheetFormatPr defaultColWidth="9.6640625" defaultRowHeight="15" x14ac:dyDescent="0.25"/>
  <cols>
    <col min="1" max="1" width="13.5" style="11" bestFit="1" customWidth="1"/>
    <col min="2" max="2" width="10.6640625" style="11" bestFit="1" customWidth="1"/>
    <col min="3" max="3" width="13.83203125" style="11" bestFit="1" customWidth="1"/>
    <col min="4" max="4" width="14.1640625" style="11" bestFit="1" customWidth="1"/>
    <col min="5" max="5" width="11.1640625" style="11" customWidth="1"/>
    <col min="6" max="6" width="43" style="11" customWidth="1"/>
    <col min="7" max="7" width="17.33203125" style="17" customWidth="1"/>
    <col min="8" max="8" width="24.6640625" style="11" bestFit="1" customWidth="1"/>
    <col min="9" max="9" width="22.33203125" style="11" bestFit="1" customWidth="1"/>
    <col min="10" max="10" width="16.33203125" style="11" bestFit="1" customWidth="1"/>
    <col min="11" max="11" width="90.1640625" style="11" bestFit="1" customWidth="1"/>
    <col min="12" max="12" width="11" style="11" bestFit="1" customWidth="1"/>
    <col min="13" max="13" width="62.1640625" style="13" bestFit="1" customWidth="1"/>
    <col min="14" max="14" width="61.5" style="13" bestFit="1" customWidth="1"/>
    <col min="15" max="15" width="50.33203125" style="13" bestFit="1" customWidth="1"/>
    <col min="16" max="16" width="100.1640625" style="13" bestFit="1" customWidth="1"/>
    <col min="17" max="24" width="9.6640625" style="11" customWidth="1"/>
    <col min="25" max="25" width="21.33203125" style="11" hidden="1" customWidth="1"/>
    <col min="26" max="29" width="9.6640625" style="11" customWidth="1"/>
    <col min="30" max="16384" width="9.6640625" style="11"/>
  </cols>
  <sheetData>
    <row r="1" spans="1:25" ht="48" customHeight="1" x14ac:dyDescent="0.25">
      <c r="A1" s="10" t="s">
        <v>1242</v>
      </c>
      <c r="B1" s="10" t="s">
        <v>1243</v>
      </c>
      <c r="C1" s="10" t="s">
        <v>880</v>
      </c>
      <c r="D1" s="10" t="s">
        <v>881</v>
      </c>
      <c r="E1" s="10" t="s">
        <v>876</v>
      </c>
      <c r="F1" s="10" t="s">
        <v>877</v>
      </c>
      <c r="G1" s="15" t="s">
        <v>878</v>
      </c>
      <c r="H1" s="10" t="s">
        <v>879</v>
      </c>
      <c r="I1" s="10" t="s">
        <v>880</v>
      </c>
      <c r="J1" s="10" t="s">
        <v>881</v>
      </c>
      <c r="K1" s="10" t="s">
        <v>882</v>
      </c>
      <c r="L1" s="10" t="s">
        <v>883</v>
      </c>
      <c r="M1" s="18" t="s">
        <v>884</v>
      </c>
      <c r="N1" s="18" t="s">
        <v>885</v>
      </c>
      <c r="O1" s="18" t="s">
        <v>886</v>
      </c>
      <c r="P1" s="18" t="s">
        <v>887</v>
      </c>
    </row>
    <row r="2" spans="1:25" ht="14.25" hidden="1" customHeight="1" x14ac:dyDescent="0.25">
      <c r="A2" s="694">
        <v>41510</v>
      </c>
      <c r="B2" s="558">
        <v>1000</v>
      </c>
      <c r="C2" s="693">
        <v>100</v>
      </c>
      <c r="D2" s="558">
        <v>1000</v>
      </c>
      <c r="E2" s="12"/>
      <c r="F2" s="693" t="s">
        <v>1251</v>
      </c>
      <c r="G2" s="696">
        <v>-1871</v>
      </c>
      <c r="H2" s="12" t="s">
        <v>889</v>
      </c>
      <c r="I2" s="12" t="s">
        <v>893</v>
      </c>
      <c r="J2" s="12" t="s">
        <v>894</v>
      </c>
      <c r="K2" s="12" t="s">
        <v>951</v>
      </c>
      <c r="L2" s="12"/>
      <c r="M2" s="11"/>
      <c r="N2" s="11"/>
      <c r="O2" s="11"/>
      <c r="P2" s="11"/>
      <c r="Y2" s="11" t="s">
        <v>888</v>
      </c>
    </row>
    <row r="3" spans="1:25" ht="14.25" hidden="1" customHeight="1" x14ac:dyDescent="0.25">
      <c r="A3" s="695">
        <v>41610</v>
      </c>
      <c r="B3" s="558">
        <v>1591</v>
      </c>
      <c r="C3" s="693">
        <v>0</v>
      </c>
      <c r="D3" s="558">
        <v>0</v>
      </c>
      <c r="E3" s="12"/>
      <c r="F3" s="693" t="s">
        <v>1252</v>
      </c>
      <c r="G3" s="696">
        <v>-2142</v>
      </c>
      <c r="H3" s="12" t="s">
        <v>997</v>
      </c>
      <c r="I3" s="12" t="s">
        <v>21</v>
      </c>
      <c r="J3" s="12" t="s">
        <v>21</v>
      </c>
      <c r="K3" s="12" t="s">
        <v>955</v>
      </c>
      <c r="L3" s="12"/>
      <c r="M3" s="14" t="s">
        <v>889</v>
      </c>
      <c r="N3" s="19" t="s">
        <v>888</v>
      </c>
      <c r="O3" s="19" t="s">
        <v>888</v>
      </c>
      <c r="P3" s="19" t="s">
        <v>888</v>
      </c>
      <c r="Y3" s="11" t="s">
        <v>21</v>
      </c>
    </row>
    <row r="4" spans="1:25" ht="14.25" hidden="1" customHeight="1" x14ac:dyDescent="0.25">
      <c r="A4" s="694">
        <v>41610</v>
      </c>
      <c r="B4" s="558">
        <v>1591</v>
      </c>
      <c r="C4" s="693">
        <v>100</v>
      </c>
      <c r="D4" s="558">
        <v>1000</v>
      </c>
      <c r="E4" s="12"/>
      <c r="F4" s="693" t="s">
        <v>1252</v>
      </c>
      <c r="G4" s="696">
        <v>-539</v>
      </c>
      <c r="H4" s="12" t="s">
        <v>997</v>
      </c>
      <c r="I4" s="12" t="s">
        <v>893</v>
      </c>
      <c r="J4" s="12" t="s">
        <v>894</v>
      </c>
      <c r="K4" s="12" t="s">
        <v>955</v>
      </c>
      <c r="L4" s="12"/>
      <c r="M4" s="19" t="s">
        <v>890</v>
      </c>
      <c r="N4" s="19" t="s">
        <v>21</v>
      </c>
      <c r="O4" s="19" t="s">
        <v>21</v>
      </c>
      <c r="P4" s="19" t="s">
        <v>891</v>
      </c>
      <c r="Y4" s="11">
        <f>'School listing'!F7</f>
        <v>0</v>
      </c>
    </row>
    <row r="5" spans="1:25" ht="14.25" hidden="1" customHeight="1" x14ac:dyDescent="0.25">
      <c r="A5" s="694">
        <v>41701</v>
      </c>
      <c r="B5" s="558">
        <v>1000</v>
      </c>
      <c r="C5" s="693">
        <v>100</v>
      </c>
      <c r="D5" s="558">
        <v>1000</v>
      </c>
      <c r="E5" s="22"/>
      <c r="F5" s="693" t="s">
        <v>1253</v>
      </c>
      <c r="G5" s="696">
        <v>-42</v>
      </c>
      <c r="H5" s="22" t="s">
        <v>889</v>
      </c>
      <c r="I5" s="22" t="s">
        <v>893</v>
      </c>
      <c r="J5" s="22" t="s">
        <v>894</v>
      </c>
      <c r="K5" s="22" t="s">
        <v>959</v>
      </c>
      <c r="L5" s="22"/>
      <c r="M5" s="19" t="s">
        <v>892</v>
      </c>
      <c r="N5" s="19" t="s">
        <v>893</v>
      </c>
      <c r="O5" s="19" t="s">
        <v>894</v>
      </c>
      <c r="P5" s="19" t="s">
        <v>895</v>
      </c>
      <c r="Y5" s="11">
        <f>'School listing'!F8</f>
        <v>0</v>
      </c>
    </row>
    <row r="6" spans="1:25" ht="14.25" hidden="1" customHeight="1" x14ac:dyDescent="0.25">
      <c r="A6" s="695">
        <v>41791</v>
      </c>
      <c r="B6" s="558">
        <v>1601</v>
      </c>
      <c r="C6" s="693">
        <v>100</v>
      </c>
      <c r="D6" s="558">
        <v>0</v>
      </c>
      <c r="E6" s="12"/>
      <c r="F6" s="693" t="s">
        <v>1254</v>
      </c>
      <c r="G6" s="696">
        <v>0</v>
      </c>
      <c r="H6" s="12" t="s">
        <v>997</v>
      </c>
      <c r="I6" s="12" t="s">
        <v>893</v>
      </c>
      <c r="J6" s="12" t="s">
        <v>21</v>
      </c>
      <c r="K6" s="12" t="s">
        <v>963</v>
      </c>
      <c r="L6" s="12"/>
      <c r="M6" s="19" t="s">
        <v>896</v>
      </c>
      <c r="N6" s="19" t="s">
        <v>897</v>
      </c>
      <c r="O6" s="19" t="s">
        <v>898</v>
      </c>
      <c r="P6" s="19" t="s">
        <v>899</v>
      </c>
      <c r="Y6" s="11">
        <f>'School listing'!F9</f>
        <v>0</v>
      </c>
    </row>
    <row r="7" spans="1:25" ht="14.25" hidden="1" customHeight="1" x14ac:dyDescent="0.25">
      <c r="A7" s="694">
        <v>41791</v>
      </c>
      <c r="B7" s="558">
        <v>1601</v>
      </c>
      <c r="C7" s="693">
        <v>610</v>
      </c>
      <c r="D7" s="558">
        <v>0</v>
      </c>
      <c r="E7" s="12"/>
      <c r="F7" s="693" t="s">
        <v>1254</v>
      </c>
      <c r="G7" s="696">
        <v>-26</v>
      </c>
      <c r="H7" s="12" t="s">
        <v>997</v>
      </c>
      <c r="I7" s="12" t="s">
        <v>937</v>
      </c>
      <c r="J7" s="12" t="s">
        <v>21</v>
      </c>
      <c r="K7" s="12" t="s">
        <v>963</v>
      </c>
      <c r="L7" s="12"/>
      <c r="M7" s="19" t="s">
        <v>900</v>
      </c>
      <c r="N7" s="20" t="s">
        <v>901</v>
      </c>
      <c r="O7" s="19" t="s">
        <v>902</v>
      </c>
      <c r="P7" s="19" t="s">
        <v>903</v>
      </c>
      <c r="Y7" s="11">
        <f>'School listing'!F10</f>
        <v>300</v>
      </c>
    </row>
    <row r="8" spans="1:25" ht="14.25" hidden="1" customHeight="1" x14ac:dyDescent="0.25">
      <c r="A8" s="695">
        <v>41792</v>
      </c>
      <c r="B8" s="558">
        <v>1601</v>
      </c>
      <c r="C8" s="693">
        <v>612</v>
      </c>
      <c r="D8" s="558">
        <v>1000</v>
      </c>
      <c r="E8" s="12"/>
      <c r="F8" s="693" t="s">
        <v>1255</v>
      </c>
      <c r="G8" s="696">
        <v>-20</v>
      </c>
      <c r="H8" s="12" t="s">
        <v>997</v>
      </c>
      <c r="I8" s="12" t="s">
        <v>937</v>
      </c>
      <c r="J8" s="12" t="s">
        <v>894</v>
      </c>
      <c r="K8" s="12" t="s">
        <v>963</v>
      </c>
      <c r="L8" s="12"/>
      <c r="M8" s="19" t="s">
        <v>904</v>
      </c>
      <c r="N8" s="20" t="s">
        <v>905</v>
      </c>
      <c r="O8" s="19" t="s">
        <v>906</v>
      </c>
      <c r="P8" s="19" t="s">
        <v>907</v>
      </c>
      <c r="Y8" s="11">
        <f>'School listing'!F11</f>
        <v>0</v>
      </c>
    </row>
    <row r="9" spans="1:25" ht="14.25" hidden="1" customHeight="1" x14ac:dyDescent="0.25">
      <c r="A9" s="695">
        <v>41792</v>
      </c>
      <c r="B9" s="558">
        <v>1601</v>
      </c>
      <c r="C9" s="693">
        <v>615</v>
      </c>
      <c r="D9" s="558">
        <v>1000</v>
      </c>
      <c r="E9" s="12"/>
      <c r="F9" s="693" t="s">
        <v>1255</v>
      </c>
      <c r="G9" s="696">
        <v>-800</v>
      </c>
      <c r="H9" s="12" t="s">
        <v>997</v>
      </c>
      <c r="I9" s="12" t="s">
        <v>937</v>
      </c>
      <c r="J9" s="12" t="s">
        <v>894</v>
      </c>
      <c r="K9" s="12" t="s">
        <v>963</v>
      </c>
      <c r="L9" s="12"/>
      <c r="M9" s="19" t="s">
        <v>908</v>
      </c>
      <c r="N9" s="20" t="s">
        <v>909</v>
      </c>
      <c r="O9" s="19" t="s">
        <v>910</v>
      </c>
      <c r="P9" s="19" t="s">
        <v>911</v>
      </c>
      <c r="Y9" s="11">
        <f>'School listing'!F12</f>
        <v>0</v>
      </c>
    </row>
    <row r="10" spans="1:25" hidden="1" x14ac:dyDescent="0.25">
      <c r="A10" s="695">
        <v>41792</v>
      </c>
      <c r="B10" s="558">
        <v>1776</v>
      </c>
      <c r="C10" s="693">
        <v>620</v>
      </c>
      <c r="D10" s="558">
        <v>0</v>
      </c>
      <c r="F10" s="693" t="s">
        <v>1255</v>
      </c>
      <c r="G10" s="696">
        <v>-200</v>
      </c>
      <c r="H10" s="12" t="s">
        <v>997</v>
      </c>
      <c r="I10" s="12" t="s">
        <v>941</v>
      </c>
      <c r="J10" s="12" t="s">
        <v>21</v>
      </c>
      <c r="K10" s="12" t="s">
        <v>963</v>
      </c>
      <c r="L10" s="12"/>
      <c r="M10" s="19" t="s">
        <v>912</v>
      </c>
      <c r="N10" s="19" t="s">
        <v>913</v>
      </c>
      <c r="O10" s="19" t="s">
        <v>914</v>
      </c>
      <c r="P10" s="19" t="s">
        <v>915</v>
      </c>
      <c r="Y10" s="11">
        <f>'School listing'!F13</f>
        <v>0</v>
      </c>
    </row>
    <row r="11" spans="1:25" hidden="1" x14ac:dyDescent="0.25">
      <c r="A11" s="694">
        <v>41792</v>
      </c>
      <c r="B11" s="558">
        <v>1776</v>
      </c>
      <c r="C11" s="693">
        <v>620</v>
      </c>
      <c r="D11" s="558">
        <v>1000</v>
      </c>
      <c r="F11" s="693" t="s">
        <v>1255</v>
      </c>
      <c r="G11" s="696">
        <v>200</v>
      </c>
      <c r="H11" s="12" t="s">
        <v>997</v>
      </c>
      <c r="I11" s="12" t="s">
        <v>941</v>
      </c>
      <c r="J11" s="12" t="s">
        <v>894</v>
      </c>
      <c r="K11" s="12" t="s">
        <v>963</v>
      </c>
      <c r="L11" s="12"/>
      <c r="M11" s="19" t="s">
        <v>916</v>
      </c>
      <c r="N11" s="20" t="s">
        <v>917</v>
      </c>
      <c r="O11" s="19" t="s">
        <v>918</v>
      </c>
      <c r="P11" s="19" t="s">
        <v>919</v>
      </c>
      <c r="Y11" s="11">
        <f>'School listing'!F14</f>
        <v>0</v>
      </c>
    </row>
    <row r="12" spans="1:25" hidden="1" x14ac:dyDescent="0.25">
      <c r="A12" s="695">
        <v>41920</v>
      </c>
      <c r="B12" s="558">
        <v>1000</v>
      </c>
      <c r="C12" s="693">
        <v>0</v>
      </c>
      <c r="D12" s="558">
        <v>0</v>
      </c>
      <c r="F12" s="693" t="s">
        <v>1256</v>
      </c>
      <c r="G12" s="696">
        <v>-4500</v>
      </c>
      <c r="H12" s="12" t="s">
        <v>889</v>
      </c>
      <c r="I12" s="12" t="s">
        <v>21</v>
      </c>
      <c r="J12" s="12" t="s">
        <v>21</v>
      </c>
      <c r="K12" s="12" t="s">
        <v>969</v>
      </c>
      <c r="L12" s="12"/>
      <c r="M12" s="19" t="s">
        <v>920</v>
      </c>
      <c r="N12" s="20" t="s">
        <v>921</v>
      </c>
      <c r="O12" s="19" t="s">
        <v>922</v>
      </c>
      <c r="P12" s="19" t="s">
        <v>923</v>
      </c>
      <c r="Y12" s="11">
        <f>'School listing'!F15</f>
        <v>0</v>
      </c>
    </row>
    <row r="13" spans="1:25" hidden="1" x14ac:dyDescent="0.25">
      <c r="A13" s="694">
        <v>41920</v>
      </c>
      <c r="B13" s="558">
        <v>1000</v>
      </c>
      <c r="C13" s="693">
        <v>100</v>
      </c>
      <c r="D13" s="558">
        <v>1000</v>
      </c>
      <c r="F13" s="693" t="s">
        <v>1256</v>
      </c>
      <c r="G13" s="696">
        <v>-3243</v>
      </c>
      <c r="H13" s="12" t="s">
        <v>889</v>
      </c>
      <c r="I13" s="12" t="s">
        <v>893</v>
      </c>
      <c r="J13" s="12" t="s">
        <v>894</v>
      </c>
      <c r="K13" s="12" t="s">
        <v>969</v>
      </c>
      <c r="L13" s="12"/>
      <c r="M13" s="19" t="s">
        <v>924</v>
      </c>
      <c r="N13" s="19" t="s">
        <v>925</v>
      </c>
      <c r="O13" s="19" t="s">
        <v>926</v>
      </c>
      <c r="P13" s="19" t="s">
        <v>927</v>
      </c>
      <c r="Y13" s="11">
        <f>'School listing'!F16</f>
        <v>0</v>
      </c>
    </row>
    <row r="14" spans="1:25" hidden="1" x14ac:dyDescent="0.25">
      <c r="A14" s="695">
        <v>41922</v>
      </c>
      <c r="B14" s="558">
        <v>1000</v>
      </c>
      <c r="C14" s="693">
        <v>100</v>
      </c>
      <c r="D14" s="558">
        <v>1000</v>
      </c>
      <c r="F14" s="693" t="s">
        <v>1257</v>
      </c>
      <c r="G14" s="696">
        <v>-458</v>
      </c>
      <c r="H14" s="12" t="s">
        <v>889</v>
      </c>
      <c r="I14" s="12" t="s">
        <v>893</v>
      </c>
      <c r="J14" s="12" t="s">
        <v>894</v>
      </c>
      <c r="K14" s="12" t="s">
        <v>969</v>
      </c>
      <c r="L14" s="12"/>
      <c r="M14" s="19" t="s">
        <v>928</v>
      </c>
      <c r="N14" s="19" t="s">
        <v>929</v>
      </c>
      <c r="O14" s="19" t="s">
        <v>930</v>
      </c>
      <c r="P14" s="19" t="s">
        <v>931</v>
      </c>
      <c r="Y14" s="11">
        <f>'School listing'!F17</f>
        <v>0</v>
      </c>
    </row>
    <row r="15" spans="1:25" hidden="1" x14ac:dyDescent="0.25">
      <c r="A15" s="695">
        <v>41922</v>
      </c>
      <c r="B15" s="558">
        <v>1534</v>
      </c>
      <c r="C15" s="693">
        <v>100</v>
      </c>
      <c r="D15" s="558">
        <v>1000</v>
      </c>
      <c r="F15" s="693" t="s">
        <v>1257</v>
      </c>
      <c r="G15" s="696">
        <v>-6948</v>
      </c>
      <c r="H15" s="12" t="s">
        <v>997</v>
      </c>
      <c r="I15" s="12" t="s">
        <v>893</v>
      </c>
      <c r="J15" s="12" t="s">
        <v>894</v>
      </c>
      <c r="K15" s="12" t="s">
        <v>969</v>
      </c>
      <c r="L15" s="12"/>
      <c r="M15" s="19" t="s">
        <v>932</v>
      </c>
      <c r="N15" s="19" t="s">
        <v>933</v>
      </c>
      <c r="O15" s="19" t="s">
        <v>934</v>
      </c>
      <c r="P15" s="21" t="s">
        <v>935</v>
      </c>
      <c r="Y15" s="11">
        <f>'School listing'!F18</f>
        <v>0</v>
      </c>
    </row>
    <row r="16" spans="1:25" hidden="1" x14ac:dyDescent="0.25">
      <c r="A16" s="694">
        <v>41922</v>
      </c>
      <c r="B16" s="558">
        <v>1710</v>
      </c>
      <c r="C16" s="693">
        <v>100</v>
      </c>
      <c r="D16" s="558">
        <v>1000</v>
      </c>
      <c r="F16" s="693" t="s">
        <v>1257</v>
      </c>
      <c r="G16" s="696">
        <v>-200</v>
      </c>
      <c r="H16" s="12" t="s">
        <v>997</v>
      </c>
      <c r="I16" s="12" t="s">
        <v>893</v>
      </c>
      <c r="J16" s="12" t="s">
        <v>894</v>
      </c>
      <c r="K16" s="12" t="s">
        <v>969</v>
      </c>
      <c r="L16" s="12"/>
      <c r="M16" s="19" t="s">
        <v>936</v>
      </c>
      <c r="N16" s="19" t="s">
        <v>937</v>
      </c>
      <c r="O16" s="19" t="s">
        <v>938</v>
      </c>
      <c r="P16" s="21" t="s">
        <v>939</v>
      </c>
      <c r="Y16" s="11">
        <f>'School listing'!F19</f>
        <v>0</v>
      </c>
    </row>
    <row r="17" spans="1:25" hidden="1" x14ac:dyDescent="0.25">
      <c r="A17" s="695">
        <v>41949</v>
      </c>
      <c r="B17" s="558">
        <v>1000</v>
      </c>
      <c r="C17" s="693">
        <v>100</v>
      </c>
      <c r="D17" s="558">
        <v>0</v>
      </c>
      <c r="F17" s="693" t="s">
        <v>1258</v>
      </c>
      <c r="G17" s="696">
        <v>0</v>
      </c>
      <c r="H17" s="12" t="s">
        <v>889</v>
      </c>
      <c r="I17" s="12" t="s">
        <v>893</v>
      </c>
      <c r="J17" s="12" t="s">
        <v>21</v>
      </c>
      <c r="K17" s="12" t="s">
        <v>969</v>
      </c>
      <c r="L17" s="12"/>
      <c r="M17" s="19" t="s">
        <v>940</v>
      </c>
      <c r="N17" s="19" t="s">
        <v>941</v>
      </c>
      <c r="O17" s="19" t="s">
        <v>942</v>
      </c>
      <c r="P17" s="21" t="s">
        <v>943</v>
      </c>
      <c r="Y17" s="11">
        <f>'School listing'!F20</f>
        <v>0</v>
      </c>
    </row>
    <row r="18" spans="1:25" hidden="1" x14ac:dyDescent="0.25">
      <c r="A18" s="694">
        <v>41949</v>
      </c>
      <c r="B18" s="558">
        <v>1000</v>
      </c>
      <c r="C18" s="693">
        <v>100</v>
      </c>
      <c r="D18" s="558">
        <v>1000</v>
      </c>
      <c r="F18" s="693" t="s">
        <v>1258</v>
      </c>
      <c r="G18" s="696">
        <v>-494</v>
      </c>
      <c r="H18" s="12" t="s">
        <v>889</v>
      </c>
      <c r="I18" s="12" t="s">
        <v>893</v>
      </c>
      <c r="J18" s="12" t="s">
        <v>894</v>
      </c>
      <c r="K18" s="12" t="s">
        <v>969</v>
      </c>
      <c r="L18" s="12"/>
      <c r="M18" s="19" t="s">
        <v>944</v>
      </c>
      <c r="N18" s="19" t="s">
        <v>945</v>
      </c>
      <c r="O18" s="19" t="s">
        <v>946</v>
      </c>
      <c r="P18" s="21" t="s">
        <v>947</v>
      </c>
      <c r="Y18" s="11">
        <f>'School listing'!F21</f>
        <v>0</v>
      </c>
    </row>
    <row r="19" spans="1:25" hidden="1" x14ac:dyDescent="0.25">
      <c r="A19" s="694">
        <v>41971</v>
      </c>
      <c r="B19" s="558">
        <v>1000</v>
      </c>
      <c r="C19" s="693">
        <v>100</v>
      </c>
      <c r="D19" s="558">
        <v>1000</v>
      </c>
      <c r="F19" s="693" t="s">
        <v>1259</v>
      </c>
      <c r="G19" s="696">
        <v>-2</v>
      </c>
      <c r="H19" s="12" t="s">
        <v>889</v>
      </c>
      <c r="I19" s="12" t="s">
        <v>893</v>
      </c>
      <c r="J19" s="12" t="s">
        <v>894</v>
      </c>
      <c r="K19" s="12" t="s">
        <v>969</v>
      </c>
      <c r="L19" s="12"/>
      <c r="M19" s="19" t="s">
        <v>948</v>
      </c>
      <c r="N19" s="19" t="s">
        <v>949</v>
      </c>
      <c r="O19" s="19" t="s">
        <v>950</v>
      </c>
      <c r="P19" s="21" t="s">
        <v>951</v>
      </c>
      <c r="Y19" s="11">
        <f>'School listing'!F22</f>
        <v>0</v>
      </c>
    </row>
    <row r="20" spans="1:25" hidden="1" x14ac:dyDescent="0.25">
      <c r="A20" s="694">
        <v>41980</v>
      </c>
      <c r="B20" s="558">
        <v>1000</v>
      </c>
      <c r="C20" s="693">
        <v>100</v>
      </c>
      <c r="D20" s="558">
        <v>1000</v>
      </c>
      <c r="F20" s="693" t="s">
        <v>1260</v>
      </c>
      <c r="G20" s="696">
        <v>-483</v>
      </c>
      <c r="H20" s="12" t="s">
        <v>889</v>
      </c>
      <c r="I20" s="12" t="s">
        <v>893</v>
      </c>
      <c r="J20" s="12" t="s">
        <v>894</v>
      </c>
      <c r="K20" s="12" t="s">
        <v>969</v>
      </c>
      <c r="L20" s="12"/>
      <c r="M20" s="19" t="s">
        <v>952</v>
      </c>
      <c r="N20" s="19" t="s">
        <v>953</v>
      </c>
      <c r="O20" s="19" t="s">
        <v>954</v>
      </c>
      <c r="P20" s="21" t="s">
        <v>955</v>
      </c>
      <c r="Y20" s="11">
        <f>'School listing'!F23</f>
        <v>0</v>
      </c>
    </row>
    <row r="21" spans="1:25" hidden="1" x14ac:dyDescent="0.25">
      <c r="A21" s="694">
        <v>41990</v>
      </c>
      <c r="B21" s="558">
        <v>1000</v>
      </c>
      <c r="C21" s="693">
        <v>100</v>
      </c>
      <c r="D21" s="558">
        <v>1000</v>
      </c>
      <c r="F21" s="693" t="s">
        <v>365</v>
      </c>
      <c r="G21" s="696">
        <v>-13739</v>
      </c>
      <c r="H21" s="12" t="s">
        <v>889</v>
      </c>
      <c r="I21" s="12" t="s">
        <v>893</v>
      </c>
      <c r="J21" s="12" t="s">
        <v>894</v>
      </c>
      <c r="K21" s="12" t="s">
        <v>969</v>
      </c>
      <c r="L21" s="12"/>
      <c r="M21" s="19" t="s">
        <v>956</v>
      </c>
      <c r="N21" s="19" t="s">
        <v>957</v>
      </c>
      <c r="O21" s="19" t="s">
        <v>958</v>
      </c>
      <c r="P21" s="21" t="s">
        <v>959</v>
      </c>
      <c r="Y21" s="11">
        <f>'School listing'!F24</f>
        <v>0</v>
      </c>
    </row>
    <row r="22" spans="1:25" hidden="1" x14ac:dyDescent="0.25">
      <c r="A22" s="695">
        <v>43110</v>
      </c>
      <c r="B22" s="558">
        <v>1000</v>
      </c>
      <c r="C22" s="693">
        <v>100</v>
      </c>
      <c r="D22" s="558">
        <v>0</v>
      </c>
      <c r="F22" s="693" t="s">
        <v>1261</v>
      </c>
      <c r="G22" s="696">
        <v>-466849</v>
      </c>
      <c r="H22" s="12" t="s">
        <v>889</v>
      </c>
      <c r="I22" s="12" t="s">
        <v>893</v>
      </c>
      <c r="J22" s="12" t="s">
        <v>21</v>
      </c>
      <c r="K22" s="12" t="s">
        <v>979</v>
      </c>
      <c r="L22" s="12"/>
      <c r="M22" s="19" t="s">
        <v>960</v>
      </c>
      <c r="N22" s="11"/>
      <c r="P22" s="21" t="s">
        <v>961</v>
      </c>
    </row>
    <row r="23" spans="1:25" hidden="1" x14ac:dyDescent="0.25">
      <c r="A23" s="695">
        <v>43110</v>
      </c>
      <c r="B23" s="558">
        <v>1000</v>
      </c>
      <c r="C23" s="693">
        <v>100</v>
      </c>
      <c r="D23" s="558">
        <v>1000</v>
      </c>
      <c r="F23" s="693" t="s">
        <v>1261</v>
      </c>
      <c r="G23" s="696">
        <v>-50026</v>
      </c>
      <c r="H23" s="12" t="s">
        <v>889</v>
      </c>
      <c r="I23" s="12" t="s">
        <v>893</v>
      </c>
      <c r="J23" s="12" t="s">
        <v>894</v>
      </c>
      <c r="K23" s="12" t="s">
        <v>979</v>
      </c>
      <c r="L23" s="12"/>
      <c r="M23" s="19" t="s">
        <v>962</v>
      </c>
      <c r="N23" s="11"/>
      <c r="P23" s="21" t="s">
        <v>963</v>
      </c>
    </row>
    <row r="24" spans="1:25" hidden="1" x14ac:dyDescent="0.25">
      <c r="A24" s="694">
        <v>43110</v>
      </c>
      <c r="B24" s="558">
        <v>1000</v>
      </c>
      <c r="C24" s="693">
        <v>550</v>
      </c>
      <c r="D24" s="558">
        <v>0</v>
      </c>
      <c r="F24" s="693" t="s">
        <v>1261</v>
      </c>
      <c r="G24" s="696">
        <v>-9094</v>
      </c>
      <c r="H24" s="12" t="s">
        <v>889</v>
      </c>
      <c r="I24" s="12" t="s">
        <v>933</v>
      </c>
      <c r="J24" s="12" t="s">
        <v>21</v>
      </c>
      <c r="K24" s="12" t="s">
        <v>979</v>
      </c>
      <c r="L24" s="12"/>
      <c r="M24" s="19" t="s">
        <v>964</v>
      </c>
      <c r="N24" s="11"/>
      <c r="O24" s="11"/>
      <c r="P24" s="21" t="s">
        <v>965</v>
      </c>
    </row>
    <row r="25" spans="1:25" hidden="1" x14ac:dyDescent="0.25">
      <c r="A25" s="695">
        <v>43111</v>
      </c>
      <c r="B25" s="558">
        <v>1000</v>
      </c>
      <c r="C25" s="693">
        <v>100</v>
      </c>
      <c r="D25" s="558">
        <v>0</v>
      </c>
      <c r="F25" s="693" t="s">
        <v>1262</v>
      </c>
      <c r="G25" s="696">
        <v>-1885</v>
      </c>
      <c r="H25" s="12" t="s">
        <v>889</v>
      </c>
      <c r="I25" s="12" t="s">
        <v>893</v>
      </c>
      <c r="J25" s="12" t="s">
        <v>21</v>
      </c>
      <c r="K25" s="12" t="s">
        <v>979</v>
      </c>
      <c r="L25" s="12"/>
      <c r="M25" s="19" t="s">
        <v>966</v>
      </c>
      <c r="N25" s="11"/>
      <c r="O25" s="11"/>
      <c r="P25" s="21" t="s">
        <v>967</v>
      </c>
    </row>
    <row r="26" spans="1:25" hidden="1" x14ac:dyDescent="0.25">
      <c r="A26" s="694">
        <v>43111</v>
      </c>
      <c r="B26" s="558">
        <v>1000</v>
      </c>
      <c r="C26" s="693">
        <v>100</v>
      </c>
      <c r="D26" s="558">
        <v>1000</v>
      </c>
      <c r="F26" s="693" t="s">
        <v>1262</v>
      </c>
      <c r="G26" s="696">
        <v>-1861</v>
      </c>
      <c r="H26" s="12" t="s">
        <v>889</v>
      </c>
      <c r="I26" s="12" t="s">
        <v>893</v>
      </c>
      <c r="J26" s="12" t="s">
        <v>894</v>
      </c>
      <c r="K26" s="12" t="s">
        <v>979</v>
      </c>
      <c r="L26" s="12"/>
      <c r="M26" s="19" t="s">
        <v>968</v>
      </c>
      <c r="N26" s="11"/>
      <c r="O26" s="11"/>
      <c r="P26" s="21" t="s">
        <v>969</v>
      </c>
    </row>
    <row r="27" spans="1:25" hidden="1" x14ac:dyDescent="0.25">
      <c r="A27" s="695">
        <v>43201</v>
      </c>
      <c r="B27" s="558">
        <v>1012</v>
      </c>
      <c r="C27" s="693">
        <v>0</v>
      </c>
      <c r="D27" s="558">
        <v>0</v>
      </c>
      <c r="F27" s="693" t="s">
        <v>1263</v>
      </c>
      <c r="G27" s="696">
        <v>-37791</v>
      </c>
      <c r="H27" s="12" t="s">
        <v>890</v>
      </c>
      <c r="I27" s="12" t="s">
        <v>21</v>
      </c>
      <c r="J27" s="12" t="s">
        <v>21</v>
      </c>
      <c r="K27" s="12" t="s">
        <v>983</v>
      </c>
      <c r="L27" s="12"/>
      <c r="M27" s="19" t="s">
        <v>970</v>
      </c>
      <c r="N27" s="11"/>
      <c r="O27" s="11"/>
      <c r="P27" s="21" t="s">
        <v>971</v>
      </c>
    </row>
    <row r="28" spans="1:25" hidden="1" x14ac:dyDescent="0.25">
      <c r="A28" s="694">
        <v>43201</v>
      </c>
      <c r="B28" s="558">
        <v>1012</v>
      </c>
      <c r="C28" s="693">
        <v>100</v>
      </c>
      <c r="D28" s="558">
        <v>1000</v>
      </c>
      <c r="F28" s="693" t="s">
        <v>1263</v>
      </c>
      <c r="G28" s="696">
        <v>-12597</v>
      </c>
      <c r="H28" s="12" t="s">
        <v>890</v>
      </c>
      <c r="I28" s="12" t="s">
        <v>893</v>
      </c>
      <c r="J28" s="12" t="s">
        <v>894</v>
      </c>
      <c r="K28" s="12" t="s">
        <v>983</v>
      </c>
      <c r="L28" s="12"/>
      <c r="M28" s="19" t="s">
        <v>972</v>
      </c>
      <c r="N28" s="11"/>
      <c r="O28" s="11"/>
      <c r="P28" s="21" t="s">
        <v>973</v>
      </c>
    </row>
    <row r="29" spans="1:25" hidden="1" x14ac:dyDescent="0.25">
      <c r="A29" s="695">
        <v>43202</v>
      </c>
      <c r="B29" s="558">
        <v>1020</v>
      </c>
      <c r="C29" s="693">
        <v>0</v>
      </c>
      <c r="D29" s="558">
        <v>0</v>
      </c>
      <c r="F29" s="693" t="s">
        <v>506</v>
      </c>
      <c r="G29" s="696">
        <v>-2244</v>
      </c>
      <c r="H29" s="12" t="s">
        <v>892</v>
      </c>
      <c r="I29" s="12" t="s">
        <v>21</v>
      </c>
      <c r="J29" s="12" t="s">
        <v>21</v>
      </c>
      <c r="K29" s="12" t="s">
        <v>983</v>
      </c>
      <c r="L29" s="12"/>
      <c r="M29" s="19" t="s">
        <v>974</v>
      </c>
      <c r="N29" s="11"/>
      <c r="O29" s="11"/>
      <c r="P29" s="21" t="s">
        <v>975</v>
      </c>
    </row>
    <row r="30" spans="1:25" hidden="1" x14ac:dyDescent="0.25">
      <c r="A30" s="694">
        <v>43202</v>
      </c>
      <c r="B30" s="558">
        <v>1020</v>
      </c>
      <c r="C30" s="693">
        <v>100</v>
      </c>
      <c r="D30" s="558">
        <v>1000</v>
      </c>
      <c r="F30" s="693" t="s">
        <v>506</v>
      </c>
      <c r="G30" s="696">
        <v>-1937</v>
      </c>
      <c r="H30" s="12" t="s">
        <v>892</v>
      </c>
      <c r="I30" s="12" t="s">
        <v>893</v>
      </c>
      <c r="J30" s="12" t="s">
        <v>894</v>
      </c>
      <c r="K30" s="12" t="s">
        <v>983</v>
      </c>
      <c r="L30" s="12"/>
      <c r="M30" s="19" t="s">
        <v>976</v>
      </c>
      <c r="N30" s="11"/>
      <c r="O30" s="11"/>
      <c r="P30" s="21" t="s">
        <v>977</v>
      </c>
    </row>
    <row r="31" spans="1:25" hidden="1" x14ac:dyDescent="0.25">
      <c r="A31" s="695">
        <v>43206</v>
      </c>
      <c r="B31" s="558">
        <v>1487</v>
      </c>
      <c r="C31" s="693">
        <v>100</v>
      </c>
      <c r="D31" s="558">
        <v>0</v>
      </c>
      <c r="F31" s="693" t="s">
        <v>1264</v>
      </c>
      <c r="G31" s="696">
        <v>-52822</v>
      </c>
      <c r="H31" s="12" t="s">
        <v>995</v>
      </c>
      <c r="I31" s="12" t="s">
        <v>893</v>
      </c>
      <c r="J31" s="12" t="s">
        <v>21</v>
      </c>
      <c r="K31" s="12" t="s">
        <v>983</v>
      </c>
      <c r="L31" s="12"/>
      <c r="M31" s="19" t="s">
        <v>978</v>
      </c>
      <c r="N31" s="11"/>
      <c r="O31" s="11"/>
      <c r="P31" s="21" t="s">
        <v>979</v>
      </c>
    </row>
    <row r="32" spans="1:25" hidden="1" x14ac:dyDescent="0.25">
      <c r="A32" s="694">
        <v>43206</v>
      </c>
      <c r="B32" s="558">
        <v>1487</v>
      </c>
      <c r="C32" s="693">
        <v>100</v>
      </c>
      <c r="D32" s="558">
        <v>1000</v>
      </c>
      <c r="F32" s="693" t="s">
        <v>1264</v>
      </c>
      <c r="G32" s="696">
        <v>-14904</v>
      </c>
      <c r="H32" s="12" t="s">
        <v>995</v>
      </c>
      <c r="I32" s="12" t="s">
        <v>893</v>
      </c>
      <c r="J32" s="12" t="s">
        <v>894</v>
      </c>
      <c r="K32" s="12" t="s">
        <v>983</v>
      </c>
      <c r="L32" s="12"/>
      <c r="M32" s="19" t="s">
        <v>980</v>
      </c>
      <c r="N32" s="11"/>
      <c r="O32" s="11"/>
      <c r="P32" s="21" t="s">
        <v>981</v>
      </c>
    </row>
    <row r="33" spans="1:16" hidden="1" x14ac:dyDescent="0.25">
      <c r="A33" s="694">
        <v>43209</v>
      </c>
      <c r="B33" s="558">
        <v>1435</v>
      </c>
      <c r="C33" s="693">
        <v>100</v>
      </c>
      <c r="D33" s="558">
        <v>1000</v>
      </c>
      <c r="F33" s="693" t="s">
        <v>1265</v>
      </c>
      <c r="G33" s="696">
        <v>-3088</v>
      </c>
      <c r="H33" s="12" t="s">
        <v>982</v>
      </c>
      <c r="I33" s="12" t="s">
        <v>893</v>
      </c>
      <c r="J33" s="12" t="s">
        <v>894</v>
      </c>
      <c r="K33" s="12" t="s">
        <v>983</v>
      </c>
      <c r="L33" s="12"/>
      <c r="M33" s="19" t="s">
        <v>982</v>
      </c>
      <c r="N33" s="11"/>
      <c r="O33" s="11"/>
      <c r="P33" s="21" t="s">
        <v>983</v>
      </c>
    </row>
    <row r="34" spans="1:16" hidden="1" x14ac:dyDescent="0.25">
      <c r="A34" s="695">
        <v>44501</v>
      </c>
      <c r="B34" s="558" t="s">
        <v>1247</v>
      </c>
      <c r="C34" s="693">
        <v>0</v>
      </c>
      <c r="D34" s="558">
        <v>0</v>
      </c>
      <c r="F34" s="693" t="s">
        <v>1266</v>
      </c>
      <c r="G34" s="696">
        <v>-17510</v>
      </c>
      <c r="H34" s="12" t="s">
        <v>904</v>
      </c>
      <c r="I34" s="12" t="s">
        <v>21</v>
      </c>
      <c r="J34" s="12" t="s">
        <v>21</v>
      </c>
      <c r="K34" s="12" t="s">
        <v>990</v>
      </c>
      <c r="L34" s="12"/>
      <c r="M34" s="19" t="s">
        <v>984</v>
      </c>
      <c r="N34" s="11"/>
      <c r="O34" s="11"/>
      <c r="P34" s="21" t="s">
        <v>985</v>
      </c>
    </row>
    <row r="35" spans="1:16" hidden="1" x14ac:dyDescent="0.25">
      <c r="A35" s="695">
        <v>44501</v>
      </c>
      <c r="B35" s="558" t="s">
        <v>1247</v>
      </c>
      <c r="C35" s="693">
        <v>100</v>
      </c>
      <c r="D35" s="558">
        <v>0</v>
      </c>
      <c r="F35" s="693" t="s">
        <v>1266</v>
      </c>
      <c r="G35" s="696">
        <v>0</v>
      </c>
      <c r="H35" s="12" t="s">
        <v>904</v>
      </c>
      <c r="I35" s="12" t="s">
        <v>893</v>
      </c>
      <c r="J35" s="12" t="s">
        <v>21</v>
      </c>
      <c r="K35" s="12" t="s">
        <v>990</v>
      </c>
      <c r="L35" s="12"/>
      <c r="M35" s="19" t="s">
        <v>986</v>
      </c>
      <c r="N35" s="11"/>
      <c r="O35" s="11"/>
      <c r="P35" s="21" t="s">
        <v>987</v>
      </c>
    </row>
    <row r="36" spans="1:16" hidden="1" x14ac:dyDescent="0.25">
      <c r="A36" s="695">
        <v>44501</v>
      </c>
      <c r="B36" s="558" t="s">
        <v>1248</v>
      </c>
      <c r="C36" s="693">
        <v>100</v>
      </c>
      <c r="D36" s="558">
        <v>0</v>
      </c>
      <c r="F36" s="693" t="s">
        <v>1266</v>
      </c>
      <c r="G36" s="696">
        <v>-60178</v>
      </c>
      <c r="H36" s="12" t="s">
        <v>904</v>
      </c>
      <c r="I36" s="12" t="s">
        <v>893</v>
      </c>
      <c r="J36" s="12" t="s">
        <v>21</v>
      </c>
      <c r="K36" s="12" t="s">
        <v>990</v>
      </c>
      <c r="L36" s="12"/>
      <c r="M36" s="19" t="s">
        <v>989</v>
      </c>
      <c r="N36" s="11"/>
      <c r="O36" s="11"/>
      <c r="P36" s="21" t="s">
        <v>988</v>
      </c>
    </row>
    <row r="37" spans="1:16" hidden="1" x14ac:dyDescent="0.25">
      <c r="A37" s="694">
        <v>44501</v>
      </c>
      <c r="B37" s="558" t="s">
        <v>1248</v>
      </c>
      <c r="C37" s="693">
        <v>100</v>
      </c>
      <c r="D37" s="558">
        <v>1000</v>
      </c>
      <c r="F37" s="693" t="s">
        <v>1266</v>
      </c>
      <c r="G37" s="696">
        <v>-34915</v>
      </c>
      <c r="H37" s="12" t="s">
        <v>904</v>
      </c>
      <c r="I37" s="12" t="s">
        <v>893</v>
      </c>
      <c r="J37" s="12" t="s">
        <v>894</v>
      </c>
      <c r="K37" s="12" t="s">
        <v>990</v>
      </c>
      <c r="L37" s="12"/>
      <c r="M37" s="19" t="s">
        <v>991</v>
      </c>
      <c r="N37" s="11"/>
      <c r="O37" s="11"/>
      <c r="P37" s="21" t="s">
        <v>990</v>
      </c>
    </row>
    <row r="38" spans="1:16" hidden="1" x14ac:dyDescent="0.25">
      <c r="A38" s="695">
        <v>44511</v>
      </c>
      <c r="B38" s="558">
        <v>1190</v>
      </c>
      <c r="C38" s="693">
        <v>100</v>
      </c>
      <c r="D38" s="558">
        <v>0</v>
      </c>
      <c r="F38" s="693" t="s">
        <v>1267</v>
      </c>
      <c r="G38" s="696">
        <v>-16293</v>
      </c>
      <c r="H38" s="12" t="s">
        <v>920</v>
      </c>
      <c r="I38" s="12" t="s">
        <v>893</v>
      </c>
      <c r="J38" s="12" t="s">
        <v>21</v>
      </c>
      <c r="K38" s="12" t="s">
        <v>990</v>
      </c>
      <c r="L38" s="12"/>
      <c r="M38" s="19" t="s">
        <v>993</v>
      </c>
      <c r="N38" s="11"/>
      <c r="O38" s="11"/>
      <c r="P38" s="21" t="s">
        <v>992</v>
      </c>
    </row>
    <row r="39" spans="1:16" hidden="1" x14ac:dyDescent="0.25">
      <c r="A39" s="694">
        <v>44511</v>
      </c>
      <c r="B39" s="558">
        <v>1190</v>
      </c>
      <c r="C39" s="693">
        <v>100</v>
      </c>
      <c r="D39" s="558">
        <v>1000</v>
      </c>
      <c r="F39" s="693" t="s">
        <v>1267</v>
      </c>
      <c r="G39" s="696">
        <v>13772</v>
      </c>
      <c r="H39" s="12" t="s">
        <v>920</v>
      </c>
      <c r="I39" s="12" t="s">
        <v>893</v>
      </c>
      <c r="J39" s="12" t="s">
        <v>894</v>
      </c>
      <c r="K39" s="12" t="s">
        <v>990</v>
      </c>
      <c r="L39" s="12"/>
      <c r="M39" s="19" t="s">
        <v>995</v>
      </c>
      <c r="N39" s="11"/>
      <c r="O39" s="11"/>
      <c r="P39" s="21" t="s">
        <v>994</v>
      </c>
    </row>
    <row r="40" spans="1:16" hidden="1" x14ac:dyDescent="0.25">
      <c r="A40" s="695">
        <v>44526</v>
      </c>
      <c r="B40" s="558">
        <v>1220</v>
      </c>
      <c r="C40" s="693">
        <v>200</v>
      </c>
      <c r="D40" s="558">
        <v>0</v>
      </c>
      <c r="F40" s="693" t="s">
        <v>1268</v>
      </c>
      <c r="G40" s="696">
        <v>-8035</v>
      </c>
      <c r="H40" s="12" t="s">
        <v>932</v>
      </c>
      <c r="I40" s="12" t="s">
        <v>897</v>
      </c>
      <c r="J40" s="12" t="s">
        <v>21</v>
      </c>
      <c r="K40" s="12" t="s">
        <v>990</v>
      </c>
      <c r="L40" s="12"/>
      <c r="M40" s="19" t="s">
        <v>997</v>
      </c>
      <c r="N40" s="11"/>
      <c r="O40" s="11"/>
      <c r="P40" s="21" t="s">
        <v>996</v>
      </c>
    </row>
    <row r="41" spans="1:16" hidden="1" x14ac:dyDescent="0.25">
      <c r="A41" s="695">
        <v>44526</v>
      </c>
      <c r="B41" s="558">
        <v>1220</v>
      </c>
      <c r="C41" s="693">
        <v>200</v>
      </c>
      <c r="D41" s="558">
        <v>1000</v>
      </c>
      <c r="F41" s="693" t="s">
        <v>1268</v>
      </c>
      <c r="G41" s="696">
        <v>-1655</v>
      </c>
      <c r="H41" s="12" t="s">
        <v>932</v>
      </c>
      <c r="I41" s="12" t="s">
        <v>897</v>
      </c>
      <c r="J41" s="12" t="s">
        <v>894</v>
      </c>
      <c r="K41" s="12" t="s">
        <v>990</v>
      </c>
      <c r="L41" s="12"/>
      <c r="M41" s="19" t="s">
        <v>999</v>
      </c>
      <c r="N41" s="11"/>
      <c r="O41" s="11"/>
      <c r="P41" s="21" t="s">
        <v>998</v>
      </c>
    </row>
    <row r="42" spans="1:16" hidden="1" x14ac:dyDescent="0.25">
      <c r="A42" s="694">
        <v>44526</v>
      </c>
      <c r="B42" s="558">
        <v>1227</v>
      </c>
      <c r="C42" s="693">
        <v>100</v>
      </c>
      <c r="D42" s="558">
        <v>1000</v>
      </c>
      <c r="F42" s="693" t="s">
        <v>1268</v>
      </c>
      <c r="G42" s="696">
        <v>-736</v>
      </c>
      <c r="H42" s="12" t="s">
        <v>936</v>
      </c>
      <c r="I42" s="12" t="s">
        <v>893</v>
      </c>
      <c r="J42" s="12" t="s">
        <v>894</v>
      </c>
      <c r="K42" s="12" t="s">
        <v>990</v>
      </c>
      <c r="L42" s="12"/>
      <c r="N42" s="11"/>
      <c r="O42" s="11"/>
    </row>
    <row r="43" spans="1:16" hidden="1" x14ac:dyDescent="0.25">
      <c r="A43" s="694">
        <v>44535</v>
      </c>
      <c r="B43" s="558">
        <v>1327</v>
      </c>
      <c r="C43" s="693">
        <v>100</v>
      </c>
      <c r="D43" s="558">
        <v>1000</v>
      </c>
      <c r="F43" s="693" t="s">
        <v>1269</v>
      </c>
      <c r="G43" s="696">
        <v>-1138</v>
      </c>
      <c r="H43" s="12" t="s">
        <v>968</v>
      </c>
      <c r="I43" s="12" t="s">
        <v>893</v>
      </c>
      <c r="J43" s="12" t="s">
        <v>894</v>
      </c>
      <c r="K43" s="12" t="s">
        <v>990</v>
      </c>
      <c r="L43" s="12"/>
      <c r="M43" s="11"/>
      <c r="N43" s="11"/>
      <c r="O43" s="11"/>
    </row>
    <row r="44" spans="1:16" hidden="1" x14ac:dyDescent="0.25">
      <c r="A44" s="695">
        <v>44536</v>
      </c>
      <c r="B44" s="558">
        <v>1319</v>
      </c>
      <c r="C44" s="693">
        <v>100</v>
      </c>
      <c r="D44" s="558">
        <v>0</v>
      </c>
      <c r="F44" s="693" t="s">
        <v>1270</v>
      </c>
      <c r="G44" s="696">
        <v>-68270</v>
      </c>
      <c r="H44" s="12" t="s">
        <v>968</v>
      </c>
      <c r="I44" s="12" t="s">
        <v>893</v>
      </c>
      <c r="J44" s="12" t="s">
        <v>21</v>
      </c>
      <c r="K44" s="12" t="s">
        <v>990</v>
      </c>
      <c r="L44" s="12"/>
      <c r="M44" s="11"/>
      <c r="N44" s="11"/>
      <c r="O44" s="11"/>
    </row>
    <row r="45" spans="1:16" hidden="1" x14ac:dyDescent="0.25">
      <c r="A45" s="695">
        <v>44536</v>
      </c>
      <c r="B45" s="558">
        <v>1321</v>
      </c>
      <c r="C45" s="693">
        <v>100</v>
      </c>
      <c r="D45" s="558">
        <v>0</v>
      </c>
      <c r="F45" s="693" t="s">
        <v>1270</v>
      </c>
      <c r="G45" s="696">
        <v>-323781</v>
      </c>
      <c r="H45" s="12" t="s">
        <v>968</v>
      </c>
      <c r="I45" s="12" t="s">
        <v>893</v>
      </c>
      <c r="J45" s="12" t="s">
        <v>21</v>
      </c>
      <c r="K45" s="12" t="s">
        <v>990</v>
      </c>
      <c r="L45" s="12"/>
      <c r="M45" s="11"/>
      <c r="N45" s="11"/>
      <c r="O45" s="11"/>
      <c r="P45" s="11"/>
    </row>
    <row r="46" spans="1:16" hidden="1" x14ac:dyDescent="0.25">
      <c r="A46" s="694">
        <v>44536</v>
      </c>
      <c r="B46" s="558">
        <v>1321</v>
      </c>
      <c r="C46" s="693">
        <v>100</v>
      </c>
      <c r="D46" s="558">
        <v>1000</v>
      </c>
      <c r="F46" s="693" t="s">
        <v>1270</v>
      </c>
      <c r="G46" s="696">
        <v>-240352</v>
      </c>
      <c r="H46" s="12" t="s">
        <v>968</v>
      </c>
      <c r="I46" s="12" t="s">
        <v>893</v>
      </c>
      <c r="J46" s="12" t="s">
        <v>894</v>
      </c>
      <c r="K46" s="12" t="s">
        <v>990</v>
      </c>
      <c r="L46" s="12"/>
      <c r="M46" s="11"/>
      <c r="N46" s="11"/>
      <c r="O46" s="11"/>
      <c r="P46" s="11"/>
    </row>
    <row r="47" spans="1:16" hidden="1" x14ac:dyDescent="0.25">
      <c r="A47" s="695">
        <v>44541</v>
      </c>
      <c r="B47" s="558" t="s">
        <v>1249</v>
      </c>
      <c r="C47" s="693">
        <v>0</v>
      </c>
      <c r="D47" s="558">
        <v>0</v>
      </c>
      <c r="F47" s="693" t="s">
        <v>1271</v>
      </c>
      <c r="G47" s="696">
        <v>-30970</v>
      </c>
      <c r="H47" s="12" t="s">
        <v>997</v>
      </c>
      <c r="I47" s="12" t="s">
        <v>21</v>
      </c>
      <c r="J47" s="12" t="s">
        <v>21</v>
      </c>
      <c r="K47" s="12" t="s">
        <v>990</v>
      </c>
      <c r="L47" s="12"/>
      <c r="M47" s="11"/>
      <c r="N47" s="11"/>
      <c r="O47" s="11"/>
      <c r="P47" s="11"/>
    </row>
    <row r="48" spans="1:16" hidden="1" x14ac:dyDescent="0.25">
      <c r="A48" s="694">
        <v>44541</v>
      </c>
      <c r="B48" s="558" t="s">
        <v>1249</v>
      </c>
      <c r="C48" s="693">
        <v>100</v>
      </c>
      <c r="D48" s="558">
        <v>1000</v>
      </c>
      <c r="F48" s="693" t="s">
        <v>1271</v>
      </c>
      <c r="G48" s="696">
        <v>-9574</v>
      </c>
      <c r="H48" s="12" t="s">
        <v>997</v>
      </c>
      <c r="I48" s="12" t="s">
        <v>893</v>
      </c>
      <c r="J48" s="12" t="s">
        <v>894</v>
      </c>
      <c r="K48" s="12" t="s">
        <v>990</v>
      </c>
      <c r="L48" s="12"/>
      <c r="M48" s="11"/>
      <c r="N48" s="11"/>
      <c r="O48" s="11"/>
      <c r="P48" s="11"/>
    </row>
    <row r="49" spans="1:16" hidden="1" x14ac:dyDescent="0.25">
      <c r="A49" s="695">
        <v>44542</v>
      </c>
      <c r="B49" s="558" t="s">
        <v>1250</v>
      </c>
      <c r="C49" s="693">
        <v>0</v>
      </c>
      <c r="D49" s="558">
        <v>0</v>
      </c>
      <c r="F49" s="693" t="s">
        <v>1272</v>
      </c>
      <c r="G49" s="696">
        <v>-4565</v>
      </c>
      <c r="H49" s="12" t="s">
        <v>997</v>
      </c>
      <c r="I49" s="12" t="s">
        <v>21</v>
      </c>
      <c r="J49" s="12" t="s">
        <v>21</v>
      </c>
      <c r="K49" s="12" t="s">
        <v>990</v>
      </c>
      <c r="L49" s="12"/>
      <c r="M49" s="11"/>
      <c r="N49" s="11"/>
      <c r="O49" s="11"/>
      <c r="P49" s="11"/>
    </row>
    <row r="50" spans="1:16" hidden="1" x14ac:dyDescent="0.25">
      <c r="A50" s="694">
        <v>44542</v>
      </c>
      <c r="B50" s="558" t="s">
        <v>1250</v>
      </c>
      <c r="C50" s="693">
        <v>100</v>
      </c>
      <c r="D50" s="558">
        <v>1000</v>
      </c>
      <c r="F50" s="693" t="s">
        <v>1272</v>
      </c>
      <c r="G50" s="696">
        <v>-1717</v>
      </c>
      <c r="H50" s="12" t="s">
        <v>997</v>
      </c>
      <c r="I50" s="12" t="s">
        <v>893</v>
      </c>
      <c r="J50" s="12" t="s">
        <v>894</v>
      </c>
      <c r="K50" s="12" t="s">
        <v>990</v>
      </c>
      <c r="L50" s="12"/>
      <c r="M50" s="11"/>
      <c r="N50" s="11"/>
      <c r="O50" s="11"/>
      <c r="P50" s="11"/>
    </row>
    <row r="51" spans="1:16" hidden="1" x14ac:dyDescent="0.25">
      <c r="A51" s="695">
        <v>44546</v>
      </c>
      <c r="B51" s="558" t="s">
        <v>1249</v>
      </c>
      <c r="C51" s="693">
        <v>0</v>
      </c>
      <c r="D51" s="558">
        <v>0</v>
      </c>
      <c r="F51" s="693" t="s">
        <v>1273</v>
      </c>
      <c r="G51" s="696">
        <v>-13014</v>
      </c>
      <c r="H51" s="12" t="s">
        <v>997</v>
      </c>
      <c r="I51" s="12" t="s">
        <v>21</v>
      </c>
      <c r="J51" s="12" t="s">
        <v>21</v>
      </c>
      <c r="K51" s="12" t="s">
        <v>990</v>
      </c>
      <c r="L51" s="12"/>
      <c r="M51" s="11"/>
      <c r="N51" s="11"/>
      <c r="O51" s="11"/>
      <c r="P51" s="11"/>
    </row>
    <row r="52" spans="1:16" hidden="1" x14ac:dyDescent="0.25">
      <c r="A52" s="694">
        <v>44546</v>
      </c>
      <c r="B52" s="558" t="s">
        <v>1249</v>
      </c>
      <c r="C52" s="693">
        <v>100</v>
      </c>
      <c r="D52" s="558">
        <v>1000</v>
      </c>
      <c r="F52" s="693" t="s">
        <v>1273</v>
      </c>
      <c r="G52" s="696">
        <v>-3787</v>
      </c>
      <c r="H52" s="12" t="s">
        <v>997</v>
      </c>
      <c r="I52" s="12" t="s">
        <v>893</v>
      </c>
      <c r="J52" s="12" t="s">
        <v>894</v>
      </c>
      <c r="K52" s="12" t="s">
        <v>990</v>
      </c>
      <c r="L52" s="12"/>
      <c r="M52" s="11"/>
      <c r="N52" s="11"/>
      <c r="O52" s="11"/>
      <c r="P52" s="11"/>
    </row>
    <row r="53" spans="1:16" hidden="1" x14ac:dyDescent="0.25">
      <c r="A53" s="694">
        <v>44901</v>
      </c>
      <c r="B53" s="558">
        <v>1591</v>
      </c>
      <c r="C53" s="693">
        <v>100</v>
      </c>
      <c r="D53" s="558">
        <v>0</v>
      </c>
      <c r="F53" s="693" t="s">
        <v>1274</v>
      </c>
      <c r="G53" s="696">
        <v>-4982</v>
      </c>
      <c r="H53" s="12" t="s">
        <v>997</v>
      </c>
      <c r="I53" s="12" t="s">
        <v>893</v>
      </c>
      <c r="J53" s="12" t="s">
        <v>21</v>
      </c>
      <c r="K53" s="12" t="s">
        <v>996</v>
      </c>
      <c r="L53" s="12"/>
      <c r="M53" s="11"/>
      <c r="N53" s="11"/>
      <c r="O53" s="11"/>
      <c r="P53" s="11"/>
    </row>
    <row r="54" spans="1:16" hidden="1" x14ac:dyDescent="0.25">
      <c r="A54" s="695">
        <v>56111</v>
      </c>
      <c r="B54" s="558">
        <v>1000</v>
      </c>
      <c r="C54" s="693">
        <v>100</v>
      </c>
      <c r="D54" s="558">
        <v>1000</v>
      </c>
      <c r="F54" s="693" t="s">
        <v>1275</v>
      </c>
      <c r="G54" s="696">
        <v>2576</v>
      </c>
      <c r="H54" s="12" t="s">
        <v>889</v>
      </c>
      <c r="I54" s="12" t="s">
        <v>893</v>
      </c>
      <c r="J54" s="12" t="s">
        <v>894</v>
      </c>
      <c r="K54" s="12" t="s">
        <v>891</v>
      </c>
      <c r="L54" s="12"/>
      <c r="M54" s="11"/>
      <c r="N54" s="11"/>
      <c r="O54" s="11"/>
      <c r="P54" s="11"/>
    </row>
    <row r="55" spans="1:16" hidden="1" x14ac:dyDescent="0.25">
      <c r="A55" s="695">
        <v>56111</v>
      </c>
      <c r="B55" s="558">
        <v>1000</v>
      </c>
      <c r="C55" s="693">
        <v>100</v>
      </c>
      <c r="D55" s="558">
        <v>2100</v>
      </c>
      <c r="F55" s="693" t="s">
        <v>1275</v>
      </c>
      <c r="G55" s="696">
        <v>8395</v>
      </c>
      <c r="H55" s="12" t="s">
        <v>889</v>
      </c>
      <c r="I55" s="12" t="s">
        <v>893</v>
      </c>
      <c r="J55" s="12" t="s">
        <v>902</v>
      </c>
      <c r="K55" s="12" t="s">
        <v>891</v>
      </c>
      <c r="L55" s="12"/>
      <c r="M55" s="11"/>
      <c r="N55" s="11"/>
      <c r="O55" s="11"/>
      <c r="P55" s="11"/>
    </row>
    <row r="56" spans="1:16" hidden="1" x14ac:dyDescent="0.25">
      <c r="A56" s="695">
        <v>56111</v>
      </c>
      <c r="B56" s="558">
        <v>1000</v>
      </c>
      <c r="C56" s="693">
        <v>100</v>
      </c>
      <c r="D56" s="558">
        <v>2110</v>
      </c>
      <c r="F56" s="693" t="s">
        <v>1275</v>
      </c>
      <c r="G56" s="696">
        <v>1363</v>
      </c>
      <c r="H56" s="12" t="s">
        <v>889</v>
      </c>
      <c r="I56" s="12" t="s">
        <v>893</v>
      </c>
      <c r="J56" s="12" t="s">
        <v>902</v>
      </c>
      <c r="K56" s="12" t="s">
        <v>891</v>
      </c>
      <c r="L56" s="12"/>
      <c r="M56" s="11"/>
      <c r="N56" s="11"/>
      <c r="O56" s="11"/>
      <c r="P56" s="11"/>
    </row>
    <row r="57" spans="1:16" hidden="1" x14ac:dyDescent="0.25">
      <c r="A57" s="695">
        <v>56111</v>
      </c>
      <c r="B57" s="558">
        <v>1000</v>
      </c>
      <c r="C57" s="693">
        <v>100</v>
      </c>
      <c r="D57" s="558">
        <v>2200</v>
      </c>
      <c r="F57" s="693" t="s">
        <v>1275</v>
      </c>
      <c r="G57" s="696">
        <v>3758</v>
      </c>
      <c r="H57" s="12" t="s">
        <v>889</v>
      </c>
      <c r="I57" s="12" t="s">
        <v>893</v>
      </c>
      <c r="J57" s="12" t="s">
        <v>906</v>
      </c>
      <c r="K57" s="12" t="s">
        <v>891</v>
      </c>
      <c r="L57" s="12"/>
      <c r="M57" s="11"/>
      <c r="N57" s="11"/>
      <c r="O57" s="11"/>
      <c r="P57" s="11"/>
    </row>
    <row r="58" spans="1:16" hidden="1" x14ac:dyDescent="0.25">
      <c r="A58" s="695">
        <v>56111</v>
      </c>
      <c r="B58" s="558">
        <v>1000</v>
      </c>
      <c r="C58" s="693">
        <v>100</v>
      </c>
      <c r="D58" s="558">
        <v>2300</v>
      </c>
      <c r="F58" s="693" t="s">
        <v>1275</v>
      </c>
      <c r="G58" s="696">
        <v>1383</v>
      </c>
      <c r="H58" s="12" t="s">
        <v>889</v>
      </c>
      <c r="I58" s="12" t="s">
        <v>893</v>
      </c>
      <c r="J58" s="12" t="s">
        <v>918</v>
      </c>
      <c r="K58" s="12" t="s">
        <v>891</v>
      </c>
      <c r="L58" s="12"/>
      <c r="M58" s="11"/>
      <c r="N58" s="11"/>
      <c r="O58" s="11"/>
      <c r="P58" s="11"/>
    </row>
    <row r="59" spans="1:16" hidden="1" x14ac:dyDescent="0.25">
      <c r="A59" s="695">
        <v>56111</v>
      </c>
      <c r="B59" s="558">
        <v>1000</v>
      </c>
      <c r="C59" s="693">
        <v>100</v>
      </c>
      <c r="D59" s="558">
        <v>2310</v>
      </c>
      <c r="F59" s="693" t="s">
        <v>1275</v>
      </c>
      <c r="G59" s="696">
        <v>2114</v>
      </c>
      <c r="H59" s="12" t="s">
        <v>889</v>
      </c>
      <c r="I59" s="12" t="s">
        <v>893</v>
      </c>
      <c r="J59" s="12" t="s">
        <v>918</v>
      </c>
      <c r="K59" s="12" t="s">
        <v>891</v>
      </c>
      <c r="L59" s="12"/>
      <c r="M59" s="11"/>
      <c r="N59" s="11"/>
      <c r="O59" s="11"/>
      <c r="P59" s="11"/>
    </row>
    <row r="60" spans="1:16" hidden="1" x14ac:dyDescent="0.25">
      <c r="A60" s="695">
        <v>56111</v>
      </c>
      <c r="B60" s="558">
        <v>1000</v>
      </c>
      <c r="C60" s="693">
        <v>100</v>
      </c>
      <c r="D60" s="558">
        <v>2400</v>
      </c>
      <c r="F60" s="693" t="s">
        <v>1275</v>
      </c>
      <c r="G60" s="696">
        <v>31529</v>
      </c>
      <c r="H60" s="12" t="s">
        <v>889</v>
      </c>
      <c r="I60" s="12" t="s">
        <v>893</v>
      </c>
      <c r="J60" s="12" t="s">
        <v>922</v>
      </c>
      <c r="K60" s="12" t="s">
        <v>891</v>
      </c>
      <c r="L60" s="12"/>
      <c r="M60" s="11"/>
      <c r="N60" s="11"/>
      <c r="O60" s="11"/>
      <c r="P60" s="11"/>
    </row>
    <row r="61" spans="1:16" hidden="1" x14ac:dyDescent="0.25">
      <c r="A61" s="695">
        <v>56111</v>
      </c>
      <c r="B61" s="558">
        <v>1000</v>
      </c>
      <c r="C61" s="693">
        <v>100</v>
      </c>
      <c r="D61" s="558">
        <v>2410</v>
      </c>
      <c r="F61" s="693" t="s">
        <v>1275</v>
      </c>
      <c r="G61" s="696">
        <v>49818</v>
      </c>
      <c r="H61" s="12" t="s">
        <v>889</v>
      </c>
      <c r="I61" s="12" t="s">
        <v>893</v>
      </c>
      <c r="J61" s="12" t="s">
        <v>922</v>
      </c>
      <c r="K61" s="12" t="s">
        <v>891</v>
      </c>
      <c r="L61" s="12"/>
      <c r="M61" s="11"/>
      <c r="N61" s="11"/>
      <c r="O61" s="11"/>
      <c r="P61" s="11"/>
    </row>
    <row r="62" spans="1:16" hidden="1" x14ac:dyDescent="0.25">
      <c r="A62" s="695">
        <v>56111</v>
      </c>
      <c r="B62" s="558">
        <v>1000</v>
      </c>
      <c r="C62" s="693">
        <v>100</v>
      </c>
      <c r="D62" s="558">
        <v>2500</v>
      </c>
      <c r="F62" s="693" t="s">
        <v>1275</v>
      </c>
      <c r="G62" s="696">
        <v>46150</v>
      </c>
      <c r="H62" s="12" t="s">
        <v>889</v>
      </c>
      <c r="I62" s="12" t="s">
        <v>893</v>
      </c>
      <c r="J62" s="12" t="s">
        <v>926</v>
      </c>
      <c r="K62" s="12" t="s">
        <v>891</v>
      </c>
      <c r="L62" s="12"/>
      <c r="M62" s="11"/>
      <c r="N62" s="11"/>
      <c r="O62" s="11"/>
      <c r="P62" s="11"/>
    </row>
    <row r="63" spans="1:16" hidden="1" x14ac:dyDescent="0.25">
      <c r="A63" s="695">
        <v>56111</v>
      </c>
      <c r="B63" s="558">
        <v>1000</v>
      </c>
      <c r="C63" s="693">
        <v>100</v>
      </c>
      <c r="D63" s="558">
        <v>2510</v>
      </c>
      <c r="F63" s="693" t="s">
        <v>1275</v>
      </c>
      <c r="G63" s="696">
        <v>1549</v>
      </c>
      <c r="H63" s="12" t="s">
        <v>889</v>
      </c>
      <c r="I63" s="12" t="s">
        <v>893</v>
      </c>
      <c r="J63" s="12" t="s">
        <v>926</v>
      </c>
      <c r="K63" s="12" t="s">
        <v>891</v>
      </c>
      <c r="L63" s="12"/>
      <c r="M63" s="11"/>
      <c r="N63" s="11"/>
      <c r="O63" s="11"/>
      <c r="P63" s="11"/>
    </row>
    <row r="64" spans="1:16" hidden="1" x14ac:dyDescent="0.25">
      <c r="A64" s="695">
        <v>56111</v>
      </c>
      <c r="B64" s="558">
        <v>1000</v>
      </c>
      <c r="C64" s="693">
        <v>100</v>
      </c>
      <c r="D64" s="558">
        <v>2520</v>
      </c>
      <c r="F64" s="693" t="s">
        <v>1275</v>
      </c>
      <c r="G64" s="696">
        <v>1138</v>
      </c>
      <c r="H64" s="12" t="s">
        <v>889</v>
      </c>
      <c r="I64" s="12" t="s">
        <v>893</v>
      </c>
      <c r="J64" s="12" t="s">
        <v>926</v>
      </c>
      <c r="K64" s="12" t="s">
        <v>891</v>
      </c>
      <c r="L64" s="12"/>
      <c r="M64" s="11"/>
      <c r="N64" s="11"/>
      <c r="O64" s="11"/>
      <c r="P64" s="11"/>
    </row>
    <row r="65" spans="1:16" hidden="1" x14ac:dyDescent="0.25">
      <c r="A65" s="695">
        <v>56111</v>
      </c>
      <c r="B65" s="558">
        <v>1000</v>
      </c>
      <c r="C65" s="693">
        <v>100</v>
      </c>
      <c r="D65" s="558">
        <v>2600</v>
      </c>
      <c r="F65" s="693" t="s">
        <v>1275</v>
      </c>
      <c r="G65" s="696">
        <v>41128</v>
      </c>
      <c r="H65" s="12" t="s">
        <v>889</v>
      </c>
      <c r="I65" s="12" t="s">
        <v>893</v>
      </c>
      <c r="J65" s="12" t="s">
        <v>930</v>
      </c>
      <c r="K65" s="12" t="s">
        <v>891</v>
      </c>
      <c r="L65" s="12"/>
      <c r="M65" s="11"/>
      <c r="N65" s="11"/>
      <c r="O65" s="11"/>
      <c r="P65" s="11"/>
    </row>
    <row r="66" spans="1:16" x14ac:dyDescent="0.25">
      <c r="A66" s="695">
        <v>56111</v>
      </c>
      <c r="B66" s="558">
        <v>1000</v>
      </c>
      <c r="C66" s="693">
        <v>100</v>
      </c>
      <c r="D66" s="558">
        <v>2700</v>
      </c>
      <c r="F66" s="693" t="s">
        <v>1275</v>
      </c>
      <c r="G66" s="696">
        <v>1</v>
      </c>
      <c r="H66" s="12" t="s">
        <v>889</v>
      </c>
      <c r="I66" s="12" t="s">
        <v>913</v>
      </c>
      <c r="J66" s="12" t="s">
        <v>934</v>
      </c>
      <c r="K66" s="12" t="s">
        <v>891</v>
      </c>
      <c r="L66" s="12"/>
      <c r="M66" s="11"/>
      <c r="N66" s="11"/>
      <c r="O66" s="11"/>
      <c r="P66" s="11"/>
    </row>
    <row r="67" spans="1:16" hidden="1" x14ac:dyDescent="0.25">
      <c r="A67" s="695">
        <v>56111</v>
      </c>
      <c r="B67" s="558">
        <v>1000</v>
      </c>
      <c r="C67" s="693">
        <v>100</v>
      </c>
      <c r="D67" s="558">
        <v>3100</v>
      </c>
      <c r="F67" s="693" t="s">
        <v>1275</v>
      </c>
      <c r="G67" s="696">
        <v>7</v>
      </c>
      <c r="H67" s="12" t="s">
        <v>889</v>
      </c>
      <c r="I67" s="12" t="s">
        <v>893</v>
      </c>
      <c r="J67" s="12" t="s">
        <v>942</v>
      </c>
      <c r="K67" s="12" t="s">
        <v>891</v>
      </c>
      <c r="L67" s="12"/>
      <c r="M67" s="11"/>
      <c r="N67" s="11"/>
      <c r="O67" s="11"/>
      <c r="P67" s="11"/>
    </row>
    <row r="68" spans="1:16" hidden="1" x14ac:dyDescent="0.25">
      <c r="A68" s="695">
        <v>56111</v>
      </c>
      <c r="B68" s="558">
        <v>1000</v>
      </c>
      <c r="C68" s="693">
        <v>200</v>
      </c>
      <c r="D68" s="558">
        <v>1000</v>
      </c>
      <c r="F68" s="693" t="s">
        <v>1275</v>
      </c>
      <c r="G68" s="696">
        <v>0</v>
      </c>
      <c r="H68" s="12" t="s">
        <v>889</v>
      </c>
      <c r="I68" s="12" t="s">
        <v>897</v>
      </c>
      <c r="J68" s="12" t="s">
        <v>894</v>
      </c>
      <c r="K68" s="12" t="s">
        <v>891</v>
      </c>
      <c r="L68" s="12"/>
      <c r="M68" s="11"/>
      <c r="N68" s="11"/>
      <c r="O68" s="11"/>
      <c r="P68" s="11"/>
    </row>
    <row r="69" spans="1:16" hidden="1" x14ac:dyDescent="0.25">
      <c r="A69" s="695">
        <v>56111</v>
      </c>
      <c r="B69" s="558">
        <v>1000</v>
      </c>
      <c r="C69" s="693">
        <v>200</v>
      </c>
      <c r="D69" s="558">
        <v>2100</v>
      </c>
      <c r="F69" s="693" t="s">
        <v>1275</v>
      </c>
      <c r="G69" s="696">
        <v>79188</v>
      </c>
      <c r="H69" s="12" t="s">
        <v>889</v>
      </c>
      <c r="I69" s="12" t="s">
        <v>897</v>
      </c>
      <c r="J69" s="12" t="s">
        <v>902</v>
      </c>
      <c r="K69" s="12" t="s">
        <v>891</v>
      </c>
      <c r="L69" s="12"/>
      <c r="M69" s="11"/>
      <c r="N69" s="11"/>
      <c r="O69" s="11"/>
      <c r="P69" s="11"/>
    </row>
    <row r="70" spans="1:16" hidden="1" x14ac:dyDescent="0.25">
      <c r="A70" s="695">
        <v>56111</v>
      </c>
      <c r="B70" s="558">
        <v>1000</v>
      </c>
      <c r="C70" s="693">
        <v>200</v>
      </c>
      <c r="D70" s="558">
        <v>2200</v>
      </c>
      <c r="F70" s="693" t="s">
        <v>1275</v>
      </c>
      <c r="G70" s="696">
        <v>7</v>
      </c>
      <c r="H70" s="12" t="s">
        <v>889</v>
      </c>
      <c r="I70" s="12" t="s">
        <v>897</v>
      </c>
      <c r="J70" s="12" t="s">
        <v>906</v>
      </c>
      <c r="K70" s="12" t="s">
        <v>891</v>
      </c>
      <c r="L70" s="12"/>
      <c r="M70" s="11"/>
      <c r="N70" s="11"/>
      <c r="O70" s="11"/>
      <c r="P70" s="11"/>
    </row>
    <row r="71" spans="1:16" hidden="1" x14ac:dyDescent="0.25">
      <c r="A71" s="695">
        <v>56111</v>
      </c>
      <c r="B71" s="558">
        <v>1000</v>
      </c>
      <c r="C71" s="693">
        <v>240</v>
      </c>
      <c r="D71" s="558">
        <v>1000</v>
      </c>
      <c r="F71" s="693" t="s">
        <v>1275</v>
      </c>
      <c r="G71" s="696">
        <v>2</v>
      </c>
      <c r="H71" s="12" t="s">
        <v>889</v>
      </c>
      <c r="I71" s="12" t="s">
        <v>897</v>
      </c>
      <c r="J71" s="12" t="s">
        <v>894</v>
      </c>
      <c r="K71" s="12" t="s">
        <v>891</v>
      </c>
      <c r="L71" s="12"/>
      <c r="M71" s="11"/>
      <c r="N71" s="11"/>
      <c r="O71" s="11"/>
      <c r="P71" s="11"/>
    </row>
    <row r="72" spans="1:16" hidden="1" x14ac:dyDescent="0.25">
      <c r="A72" s="695">
        <v>56111</v>
      </c>
      <c r="B72" s="558">
        <v>1000</v>
      </c>
      <c r="C72" s="693">
        <v>400</v>
      </c>
      <c r="D72" s="558">
        <v>2700</v>
      </c>
      <c r="F72" s="693" t="s">
        <v>1275</v>
      </c>
      <c r="G72" s="696">
        <v>304</v>
      </c>
      <c r="H72" s="12" t="s">
        <v>889</v>
      </c>
      <c r="I72" s="12" t="s">
        <v>913</v>
      </c>
      <c r="J72" s="12" t="s">
        <v>934</v>
      </c>
      <c r="K72" s="12" t="s">
        <v>891</v>
      </c>
      <c r="L72" s="12"/>
      <c r="M72" s="11"/>
      <c r="N72" s="11"/>
      <c r="O72" s="11"/>
      <c r="P72" s="11"/>
    </row>
    <row r="73" spans="1:16" hidden="1" x14ac:dyDescent="0.25">
      <c r="A73" s="695">
        <v>56111</v>
      </c>
      <c r="B73" s="558">
        <v>1000</v>
      </c>
      <c r="C73" s="693">
        <v>615</v>
      </c>
      <c r="D73" s="558">
        <v>1000</v>
      </c>
      <c r="F73" s="693" t="s">
        <v>1275</v>
      </c>
      <c r="G73" s="696">
        <v>34</v>
      </c>
      <c r="H73" s="12" t="s">
        <v>889</v>
      </c>
      <c r="I73" s="12" t="s">
        <v>937</v>
      </c>
      <c r="J73" s="12" t="s">
        <v>894</v>
      </c>
      <c r="K73" s="12" t="s">
        <v>891</v>
      </c>
      <c r="L73" s="12"/>
      <c r="M73" s="11"/>
      <c r="N73" s="11"/>
      <c r="O73" s="11"/>
      <c r="P73" s="11"/>
    </row>
    <row r="74" spans="1:16" hidden="1" x14ac:dyDescent="0.25">
      <c r="A74" s="695">
        <v>56111</v>
      </c>
      <c r="B74" s="558">
        <v>1012</v>
      </c>
      <c r="C74" s="693">
        <v>100</v>
      </c>
      <c r="D74" s="558">
        <v>2100</v>
      </c>
      <c r="F74" s="693" t="s">
        <v>1275</v>
      </c>
      <c r="G74" s="696">
        <v>7245</v>
      </c>
      <c r="H74" s="12" t="s">
        <v>890</v>
      </c>
      <c r="I74" s="12" t="s">
        <v>893</v>
      </c>
      <c r="J74" s="12" t="s">
        <v>902</v>
      </c>
      <c r="K74" s="12" t="s">
        <v>891</v>
      </c>
      <c r="L74" s="12"/>
      <c r="M74" s="11"/>
      <c r="N74" s="11"/>
      <c r="O74" s="11"/>
      <c r="P74" s="11"/>
    </row>
    <row r="75" spans="1:16" hidden="1" x14ac:dyDescent="0.25">
      <c r="A75" s="695">
        <v>56111</v>
      </c>
      <c r="B75" s="558">
        <v>1012</v>
      </c>
      <c r="C75" s="693">
        <v>200</v>
      </c>
      <c r="D75" s="558">
        <v>2100</v>
      </c>
      <c r="F75" s="693" t="s">
        <v>1275</v>
      </c>
      <c r="G75" s="696">
        <v>2831</v>
      </c>
      <c r="H75" s="12" t="s">
        <v>890</v>
      </c>
      <c r="I75" s="12" t="s">
        <v>897</v>
      </c>
      <c r="J75" s="12" t="s">
        <v>902</v>
      </c>
      <c r="K75" s="12" t="s">
        <v>891</v>
      </c>
      <c r="L75" s="12"/>
      <c r="M75" s="11"/>
      <c r="N75" s="11"/>
      <c r="O75" s="11"/>
      <c r="P75" s="11"/>
    </row>
    <row r="76" spans="1:16" hidden="1" x14ac:dyDescent="0.25">
      <c r="A76" s="695">
        <v>56111</v>
      </c>
      <c r="B76" s="558">
        <v>1190</v>
      </c>
      <c r="C76" s="693">
        <v>260</v>
      </c>
      <c r="D76" s="558">
        <v>1000</v>
      </c>
      <c r="F76" s="693" t="s">
        <v>1275</v>
      </c>
      <c r="G76" s="696">
        <v>537</v>
      </c>
      <c r="H76" s="12" t="s">
        <v>920</v>
      </c>
      <c r="I76" s="12" t="s">
        <v>901</v>
      </c>
      <c r="J76" s="12" t="s">
        <v>894</v>
      </c>
      <c r="K76" s="12" t="s">
        <v>891</v>
      </c>
      <c r="L76" s="12"/>
      <c r="M76" s="11"/>
      <c r="N76" s="11"/>
      <c r="O76" s="11"/>
      <c r="P76" s="11"/>
    </row>
    <row r="77" spans="1:16" hidden="1" x14ac:dyDescent="0.25">
      <c r="A77" s="695">
        <v>56111</v>
      </c>
      <c r="B77" s="558">
        <v>1220</v>
      </c>
      <c r="C77" s="693">
        <v>200</v>
      </c>
      <c r="D77" s="558">
        <v>2100</v>
      </c>
      <c r="F77" s="693" t="s">
        <v>1275</v>
      </c>
      <c r="G77" s="696">
        <v>6881</v>
      </c>
      <c r="H77" s="12" t="s">
        <v>932</v>
      </c>
      <c r="I77" s="12" t="s">
        <v>897</v>
      </c>
      <c r="J77" s="12" t="s">
        <v>902</v>
      </c>
      <c r="K77" s="12" t="s">
        <v>891</v>
      </c>
      <c r="L77" s="12"/>
      <c r="M77" s="11"/>
      <c r="N77" s="11"/>
      <c r="O77" s="11"/>
      <c r="P77" s="11"/>
    </row>
    <row r="78" spans="1:16" hidden="1" x14ac:dyDescent="0.25">
      <c r="A78" s="695">
        <v>56111</v>
      </c>
      <c r="B78" s="558">
        <v>1227</v>
      </c>
      <c r="C78" s="693">
        <v>200</v>
      </c>
      <c r="D78" s="558">
        <v>2100</v>
      </c>
      <c r="F78" s="693" t="s">
        <v>1275</v>
      </c>
      <c r="G78" s="696">
        <v>521</v>
      </c>
      <c r="H78" s="12" t="s">
        <v>936</v>
      </c>
      <c r="I78" s="12" t="s">
        <v>897</v>
      </c>
      <c r="J78" s="12" t="s">
        <v>902</v>
      </c>
      <c r="K78" s="12" t="s">
        <v>891</v>
      </c>
      <c r="L78" s="12"/>
      <c r="M78" s="11"/>
      <c r="N78" s="11"/>
      <c r="O78" s="11"/>
      <c r="P78" s="11"/>
    </row>
    <row r="79" spans="1:16" hidden="1" x14ac:dyDescent="0.25">
      <c r="A79" s="695">
        <v>56111</v>
      </c>
      <c r="B79" s="558">
        <v>1319</v>
      </c>
      <c r="C79" s="693">
        <v>100</v>
      </c>
      <c r="D79" s="558">
        <v>2100</v>
      </c>
      <c r="F79" s="693" t="s">
        <v>1275</v>
      </c>
      <c r="G79" s="696">
        <v>0</v>
      </c>
      <c r="H79" s="12" t="s">
        <v>968</v>
      </c>
      <c r="I79" s="12" t="s">
        <v>893</v>
      </c>
      <c r="J79" s="12" t="s">
        <v>902</v>
      </c>
      <c r="K79" s="12" t="s">
        <v>891</v>
      </c>
      <c r="L79" s="12"/>
      <c r="M79" s="11"/>
      <c r="N79" s="11"/>
      <c r="O79" s="11"/>
      <c r="P79" s="11"/>
    </row>
    <row r="80" spans="1:16" hidden="1" x14ac:dyDescent="0.25">
      <c r="A80" s="695">
        <v>56111</v>
      </c>
      <c r="B80" s="558">
        <v>1321</v>
      </c>
      <c r="C80" s="693">
        <v>100</v>
      </c>
      <c r="D80" s="558">
        <v>1000</v>
      </c>
      <c r="F80" s="693" t="s">
        <v>1275</v>
      </c>
      <c r="G80" s="696">
        <v>11057</v>
      </c>
      <c r="H80" s="12" t="s">
        <v>968</v>
      </c>
      <c r="I80" s="12" t="s">
        <v>893</v>
      </c>
      <c r="J80" s="12" t="s">
        <v>894</v>
      </c>
      <c r="K80" s="12" t="s">
        <v>891</v>
      </c>
      <c r="L80" s="12"/>
      <c r="M80" s="11"/>
      <c r="N80" s="11"/>
      <c r="O80" s="11"/>
      <c r="P80" s="11"/>
    </row>
    <row r="81" spans="1:16" hidden="1" x14ac:dyDescent="0.25">
      <c r="A81" s="695">
        <v>56111</v>
      </c>
      <c r="B81" s="558">
        <v>1321</v>
      </c>
      <c r="C81" s="693">
        <v>100</v>
      </c>
      <c r="D81" s="558">
        <v>2100</v>
      </c>
      <c r="F81" s="693" t="s">
        <v>1275</v>
      </c>
      <c r="G81" s="696">
        <v>73441</v>
      </c>
      <c r="H81" s="12" t="s">
        <v>968</v>
      </c>
      <c r="I81" s="12" t="s">
        <v>893</v>
      </c>
      <c r="J81" s="12" t="s">
        <v>902</v>
      </c>
      <c r="K81" s="12" t="s">
        <v>891</v>
      </c>
      <c r="L81" s="12"/>
      <c r="M81" s="11"/>
      <c r="N81" s="11"/>
      <c r="O81" s="11"/>
      <c r="P81" s="11"/>
    </row>
    <row r="82" spans="1:16" hidden="1" x14ac:dyDescent="0.25">
      <c r="A82" s="695">
        <v>56111</v>
      </c>
      <c r="B82" s="558">
        <v>1321</v>
      </c>
      <c r="C82" s="693">
        <v>100</v>
      </c>
      <c r="D82" s="558">
        <v>2400</v>
      </c>
      <c r="F82" s="693" t="s">
        <v>1275</v>
      </c>
      <c r="G82" s="696">
        <v>16027</v>
      </c>
      <c r="H82" s="12" t="s">
        <v>968</v>
      </c>
      <c r="I82" s="12" t="s">
        <v>893</v>
      </c>
      <c r="J82" s="12" t="s">
        <v>922</v>
      </c>
      <c r="K82" s="12" t="s">
        <v>891</v>
      </c>
      <c r="L82" s="12"/>
      <c r="M82" s="11"/>
      <c r="N82" s="11"/>
      <c r="O82" s="11"/>
      <c r="P82" s="11"/>
    </row>
    <row r="83" spans="1:16" hidden="1" x14ac:dyDescent="0.25">
      <c r="A83" s="695">
        <v>56111</v>
      </c>
      <c r="B83" s="558">
        <v>1321</v>
      </c>
      <c r="C83" s="693">
        <v>200</v>
      </c>
      <c r="D83" s="558">
        <v>1000</v>
      </c>
      <c r="F83" s="693" t="s">
        <v>1275</v>
      </c>
      <c r="G83" s="696">
        <v>0</v>
      </c>
      <c r="H83" s="12" t="s">
        <v>968</v>
      </c>
      <c r="I83" s="12" t="s">
        <v>897</v>
      </c>
      <c r="J83" s="12" t="s">
        <v>894</v>
      </c>
      <c r="K83" s="12" t="s">
        <v>891</v>
      </c>
      <c r="L83" s="12"/>
      <c r="M83" s="11"/>
      <c r="N83" s="11"/>
      <c r="O83" s="11"/>
      <c r="P83" s="11"/>
    </row>
    <row r="84" spans="1:16" hidden="1" x14ac:dyDescent="0.25">
      <c r="A84" s="695">
        <v>56111</v>
      </c>
      <c r="B84" s="558">
        <v>1321</v>
      </c>
      <c r="C84" s="693">
        <v>200</v>
      </c>
      <c r="D84" s="558">
        <v>2100</v>
      </c>
      <c r="F84" s="693" t="s">
        <v>1275</v>
      </c>
      <c r="G84" s="696">
        <v>24285</v>
      </c>
      <c r="H84" s="12" t="s">
        <v>968</v>
      </c>
      <c r="I84" s="12" t="s">
        <v>897</v>
      </c>
      <c r="J84" s="12" t="s">
        <v>902</v>
      </c>
      <c r="K84" s="12" t="s">
        <v>891</v>
      </c>
      <c r="L84" s="12"/>
      <c r="M84" s="11"/>
      <c r="N84" s="11"/>
      <c r="O84" s="11"/>
      <c r="P84" s="11"/>
    </row>
    <row r="85" spans="1:16" hidden="1" x14ac:dyDescent="0.25">
      <c r="A85" s="695">
        <v>56111</v>
      </c>
      <c r="B85" s="558">
        <v>1321</v>
      </c>
      <c r="C85" s="693">
        <v>200</v>
      </c>
      <c r="D85" s="558">
        <v>2200</v>
      </c>
      <c r="F85" s="693" t="s">
        <v>1275</v>
      </c>
      <c r="G85" s="696">
        <v>763</v>
      </c>
      <c r="H85" s="12" t="s">
        <v>968</v>
      </c>
      <c r="I85" s="12" t="s">
        <v>897</v>
      </c>
      <c r="J85" s="12" t="s">
        <v>906</v>
      </c>
      <c r="K85" s="12" t="s">
        <v>891</v>
      </c>
      <c r="L85" s="12"/>
      <c r="M85" s="11"/>
      <c r="N85" s="11"/>
      <c r="O85" s="11"/>
      <c r="P85" s="11"/>
    </row>
    <row r="86" spans="1:16" hidden="1" x14ac:dyDescent="0.25">
      <c r="A86" s="695">
        <v>56111</v>
      </c>
      <c r="B86" s="558">
        <v>1487</v>
      </c>
      <c r="C86" s="693">
        <v>100</v>
      </c>
      <c r="D86" s="558">
        <v>2100</v>
      </c>
      <c r="F86" s="693" t="s">
        <v>1275</v>
      </c>
      <c r="G86" s="696">
        <v>51127</v>
      </c>
      <c r="H86" s="12" t="s">
        <v>995</v>
      </c>
      <c r="I86" s="12" t="s">
        <v>893</v>
      </c>
      <c r="J86" s="12" t="s">
        <v>902</v>
      </c>
      <c r="K86" s="12" t="s">
        <v>891</v>
      </c>
      <c r="L86" s="12"/>
      <c r="M86" s="11"/>
      <c r="N86" s="11"/>
      <c r="O86" s="11"/>
      <c r="P86" s="11"/>
    </row>
    <row r="87" spans="1:16" x14ac:dyDescent="0.25">
      <c r="A87" s="695">
        <v>56111</v>
      </c>
      <c r="B87" s="558">
        <v>1534</v>
      </c>
      <c r="C87" s="693">
        <v>100</v>
      </c>
      <c r="D87" s="558">
        <v>2700</v>
      </c>
      <c r="F87" s="693" t="s">
        <v>1275</v>
      </c>
      <c r="G87" s="696">
        <v>59</v>
      </c>
      <c r="H87" s="12" t="s">
        <v>997</v>
      </c>
      <c r="I87" s="12" t="s">
        <v>913</v>
      </c>
      <c r="J87" s="12" t="s">
        <v>934</v>
      </c>
      <c r="K87" s="12" t="s">
        <v>891</v>
      </c>
      <c r="L87" s="12"/>
      <c r="M87" s="11"/>
      <c r="N87" s="11"/>
      <c r="O87" s="11"/>
      <c r="P87" s="11"/>
    </row>
    <row r="88" spans="1:16" hidden="1" x14ac:dyDescent="0.25">
      <c r="A88" s="695">
        <v>56111</v>
      </c>
      <c r="B88" s="558">
        <v>1534</v>
      </c>
      <c r="C88" s="693">
        <v>400</v>
      </c>
      <c r="D88" s="558">
        <v>2700</v>
      </c>
      <c r="F88" s="693" t="s">
        <v>1275</v>
      </c>
      <c r="G88" s="696">
        <v>5141</v>
      </c>
      <c r="H88" s="12" t="s">
        <v>997</v>
      </c>
      <c r="I88" s="12" t="s">
        <v>913</v>
      </c>
      <c r="J88" s="12" t="s">
        <v>934</v>
      </c>
      <c r="K88" s="12" t="s">
        <v>891</v>
      </c>
      <c r="L88" s="12"/>
      <c r="M88" s="11"/>
      <c r="N88" s="11"/>
      <c r="O88" s="11"/>
      <c r="P88" s="11"/>
    </row>
    <row r="89" spans="1:16" hidden="1" x14ac:dyDescent="0.25">
      <c r="A89" s="695">
        <v>56111</v>
      </c>
      <c r="B89" s="558" t="s">
        <v>1248</v>
      </c>
      <c r="C89" s="693">
        <v>100</v>
      </c>
      <c r="D89" s="558">
        <v>1000</v>
      </c>
      <c r="F89" s="693" t="s">
        <v>1275</v>
      </c>
      <c r="G89" s="696">
        <v>6468</v>
      </c>
      <c r="H89" s="12" t="s">
        <v>904</v>
      </c>
      <c r="I89" s="12" t="s">
        <v>893</v>
      </c>
      <c r="J89" s="12" t="s">
        <v>894</v>
      </c>
      <c r="K89" s="12" t="s">
        <v>891</v>
      </c>
      <c r="L89" s="12"/>
      <c r="M89" s="11"/>
      <c r="N89" s="11"/>
      <c r="O89" s="11"/>
      <c r="P89" s="11"/>
    </row>
    <row r="90" spans="1:16" hidden="1" x14ac:dyDescent="0.25">
      <c r="A90" s="694">
        <v>56111</v>
      </c>
      <c r="B90" s="558" t="s">
        <v>1249</v>
      </c>
      <c r="C90" s="693">
        <v>100</v>
      </c>
      <c r="D90" s="558">
        <v>3100</v>
      </c>
      <c r="F90" s="693" t="s">
        <v>1275</v>
      </c>
      <c r="G90" s="696">
        <v>5624</v>
      </c>
      <c r="H90" s="12" t="s">
        <v>997</v>
      </c>
      <c r="I90" s="12" t="s">
        <v>893</v>
      </c>
      <c r="J90" s="12" t="s">
        <v>942</v>
      </c>
      <c r="K90" s="12" t="s">
        <v>891</v>
      </c>
      <c r="L90" s="12"/>
      <c r="M90" s="11"/>
      <c r="N90" s="11"/>
      <c r="O90" s="11"/>
      <c r="P90" s="11"/>
    </row>
    <row r="91" spans="1:16" hidden="1" x14ac:dyDescent="0.25">
      <c r="A91" s="695">
        <v>56112</v>
      </c>
      <c r="B91" s="558">
        <v>1000</v>
      </c>
      <c r="C91" s="693">
        <v>100</v>
      </c>
      <c r="D91" s="558">
        <v>1000</v>
      </c>
      <c r="F91" s="693" t="s">
        <v>1276</v>
      </c>
      <c r="G91" s="696">
        <v>17367</v>
      </c>
      <c r="H91" s="12" t="s">
        <v>889</v>
      </c>
      <c r="I91" s="12" t="s">
        <v>893</v>
      </c>
      <c r="J91" s="12" t="s">
        <v>894</v>
      </c>
      <c r="K91" s="12" t="s">
        <v>891</v>
      </c>
      <c r="L91" s="12"/>
      <c r="M91" s="11"/>
      <c r="N91" s="11"/>
      <c r="O91" s="11"/>
      <c r="P91" s="11"/>
    </row>
    <row r="92" spans="1:16" hidden="1" x14ac:dyDescent="0.25">
      <c r="A92" s="695">
        <v>56112</v>
      </c>
      <c r="B92" s="558">
        <v>1000</v>
      </c>
      <c r="C92" s="693">
        <v>100</v>
      </c>
      <c r="D92" s="558">
        <v>2500</v>
      </c>
      <c r="F92" s="693" t="s">
        <v>1276</v>
      </c>
      <c r="G92" s="696">
        <v>167</v>
      </c>
      <c r="H92" s="12" t="s">
        <v>889</v>
      </c>
      <c r="I92" s="12" t="s">
        <v>893</v>
      </c>
      <c r="J92" s="12" t="s">
        <v>926</v>
      </c>
      <c r="K92" s="12" t="s">
        <v>891</v>
      </c>
      <c r="L92" s="12"/>
      <c r="M92" s="11"/>
      <c r="N92" s="11"/>
      <c r="O92" s="11"/>
      <c r="P92" s="11"/>
    </row>
    <row r="93" spans="1:16" hidden="1" x14ac:dyDescent="0.25">
      <c r="A93" s="695">
        <v>56112</v>
      </c>
      <c r="B93" s="558">
        <v>1000</v>
      </c>
      <c r="C93" s="693">
        <v>200</v>
      </c>
      <c r="D93" s="558">
        <v>1000</v>
      </c>
      <c r="F93" s="693" t="s">
        <v>1276</v>
      </c>
      <c r="G93" s="696">
        <v>1318</v>
      </c>
      <c r="H93" s="12" t="s">
        <v>889</v>
      </c>
      <c r="I93" s="12" t="s">
        <v>897</v>
      </c>
      <c r="J93" s="12" t="s">
        <v>894</v>
      </c>
      <c r="K93" s="12" t="s">
        <v>891</v>
      </c>
      <c r="L93" s="12"/>
      <c r="M93" s="11"/>
      <c r="N93" s="11"/>
      <c r="O93" s="11"/>
      <c r="P93" s="11"/>
    </row>
    <row r="94" spans="1:16" hidden="1" x14ac:dyDescent="0.25">
      <c r="A94" s="695">
        <v>56112</v>
      </c>
      <c r="B94" s="558">
        <v>1000</v>
      </c>
      <c r="C94" s="693">
        <v>200</v>
      </c>
      <c r="D94" s="558">
        <v>2100</v>
      </c>
      <c r="F94" s="693" t="s">
        <v>1276</v>
      </c>
      <c r="G94" s="696">
        <v>0</v>
      </c>
      <c r="H94" s="12" t="s">
        <v>889</v>
      </c>
      <c r="I94" s="12" t="s">
        <v>897</v>
      </c>
      <c r="J94" s="12" t="s">
        <v>902</v>
      </c>
      <c r="K94" s="12" t="s">
        <v>891</v>
      </c>
      <c r="L94" s="12"/>
      <c r="M94" s="11"/>
      <c r="N94" s="11"/>
      <c r="O94" s="11"/>
      <c r="P94" s="11"/>
    </row>
    <row r="95" spans="1:16" hidden="1" x14ac:dyDescent="0.25">
      <c r="A95" s="695">
        <v>56112</v>
      </c>
      <c r="B95" s="558">
        <v>1000</v>
      </c>
      <c r="C95" s="693">
        <v>240</v>
      </c>
      <c r="D95" s="558">
        <v>1000</v>
      </c>
      <c r="F95" s="693" t="s">
        <v>1276</v>
      </c>
      <c r="G95" s="696">
        <v>485</v>
      </c>
      <c r="H95" s="12" t="s">
        <v>889</v>
      </c>
      <c r="I95" s="12" t="s">
        <v>897</v>
      </c>
      <c r="J95" s="12" t="s">
        <v>894</v>
      </c>
      <c r="K95" s="12" t="s">
        <v>891</v>
      </c>
      <c r="L95" s="12"/>
      <c r="M95" s="11"/>
      <c r="N95" s="11"/>
      <c r="O95" s="11"/>
      <c r="P95" s="11"/>
    </row>
    <row r="96" spans="1:16" hidden="1" x14ac:dyDescent="0.25">
      <c r="A96" s="695">
        <v>56112</v>
      </c>
      <c r="B96" s="558">
        <v>1000</v>
      </c>
      <c r="C96" s="693">
        <v>260</v>
      </c>
      <c r="D96" s="558">
        <v>1000</v>
      </c>
      <c r="F96" s="693" t="s">
        <v>1276</v>
      </c>
      <c r="G96" s="696">
        <v>0</v>
      </c>
      <c r="H96" s="12" t="s">
        <v>889</v>
      </c>
      <c r="I96" s="12" t="s">
        <v>901</v>
      </c>
      <c r="J96" s="12" t="s">
        <v>894</v>
      </c>
      <c r="K96" s="12" t="s">
        <v>891</v>
      </c>
      <c r="L96" s="12"/>
      <c r="M96" s="11"/>
      <c r="N96" s="11"/>
      <c r="O96" s="11"/>
      <c r="P96" s="11"/>
    </row>
    <row r="97" spans="1:16" hidden="1" x14ac:dyDescent="0.25">
      <c r="A97" s="695">
        <v>56112</v>
      </c>
      <c r="B97" s="558">
        <v>1000</v>
      </c>
      <c r="C97" s="693">
        <v>550</v>
      </c>
      <c r="D97" s="558">
        <v>1000</v>
      </c>
      <c r="F97" s="693" t="s">
        <v>1276</v>
      </c>
      <c r="G97" s="696">
        <v>0</v>
      </c>
      <c r="H97" s="12" t="s">
        <v>889</v>
      </c>
      <c r="I97" s="12" t="s">
        <v>933</v>
      </c>
      <c r="J97" s="12" t="s">
        <v>894</v>
      </c>
      <c r="K97" s="12" t="s">
        <v>891</v>
      </c>
      <c r="L97" s="12"/>
      <c r="M97" s="11"/>
      <c r="N97" s="11"/>
      <c r="O97" s="11"/>
      <c r="P97" s="11"/>
    </row>
    <row r="98" spans="1:16" hidden="1" x14ac:dyDescent="0.25">
      <c r="A98" s="695">
        <v>56112</v>
      </c>
      <c r="B98" s="558">
        <v>1012</v>
      </c>
      <c r="C98" s="693">
        <v>100</v>
      </c>
      <c r="D98" s="558">
        <v>1000</v>
      </c>
      <c r="F98" s="693" t="s">
        <v>1276</v>
      </c>
      <c r="G98" s="696">
        <v>28610</v>
      </c>
      <c r="H98" s="12" t="s">
        <v>890</v>
      </c>
      <c r="I98" s="12" t="s">
        <v>893</v>
      </c>
      <c r="J98" s="12" t="s">
        <v>894</v>
      </c>
      <c r="K98" s="12" t="s">
        <v>891</v>
      </c>
      <c r="L98" s="12"/>
      <c r="M98" s="11"/>
      <c r="N98" s="11"/>
      <c r="O98" s="11"/>
      <c r="P98" s="11"/>
    </row>
    <row r="99" spans="1:16" hidden="1" x14ac:dyDescent="0.25">
      <c r="A99" s="695">
        <v>56112</v>
      </c>
      <c r="B99" s="558">
        <v>1012</v>
      </c>
      <c r="C99" s="693">
        <v>200</v>
      </c>
      <c r="D99" s="558">
        <v>1000</v>
      </c>
      <c r="F99" s="693" t="s">
        <v>1276</v>
      </c>
      <c r="G99" s="696">
        <v>2500</v>
      </c>
      <c r="H99" s="12" t="s">
        <v>890</v>
      </c>
      <c r="I99" s="12" t="s">
        <v>897</v>
      </c>
      <c r="J99" s="12" t="s">
        <v>894</v>
      </c>
      <c r="K99" s="12" t="s">
        <v>891</v>
      </c>
      <c r="L99" s="12"/>
      <c r="M99" s="11"/>
      <c r="N99" s="11"/>
      <c r="O99" s="11"/>
      <c r="P99" s="11"/>
    </row>
    <row r="100" spans="1:16" hidden="1" x14ac:dyDescent="0.25">
      <c r="A100" s="695">
        <v>56112</v>
      </c>
      <c r="B100" s="558">
        <v>1012</v>
      </c>
      <c r="C100" s="693">
        <v>260</v>
      </c>
      <c r="D100" s="558">
        <v>1000</v>
      </c>
      <c r="F100" s="693" t="s">
        <v>1276</v>
      </c>
      <c r="G100" s="696">
        <v>825</v>
      </c>
      <c r="H100" s="12" t="s">
        <v>890</v>
      </c>
      <c r="I100" s="12" t="s">
        <v>901</v>
      </c>
      <c r="J100" s="12" t="s">
        <v>894</v>
      </c>
      <c r="K100" s="12" t="s">
        <v>891</v>
      </c>
      <c r="L100" s="12"/>
      <c r="M100" s="11"/>
      <c r="N100" s="11"/>
      <c r="O100" s="11"/>
      <c r="P100" s="11"/>
    </row>
    <row r="101" spans="1:16" hidden="1" x14ac:dyDescent="0.25">
      <c r="A101" s="695">
        <v>56112</v>
      </c>
      <c r="B101" s="558">
        <v>1319</v>
      </c>
      <c r="C101" s="693">
        <v>100</v>
      </c>
      <c r="D101" s="558">
        <v>1000</v>
      </c>
      <c r="F101" s="693" t="s">
        <v>1276</v>
      </c>
      <c r="G101" s="696">
        <v>0</v>
      </c>
      <c r="H101" s="12" t="s">
        <v>968</v>
      </c>
      <c r="I101" s="12" t="s">
        <v>893</v>
      </c>
      <c r="J101" s="12" t="s">
        <v>894</v>
      </c>
      <c r="K101" s="12" t="s">
        <v>891</v>
      </c>
      <c r="L101" s="12"/>
      <c r="M101" s="11"/>
      <c r="N101" s="11"/>
      <c r="O101" s="11"/>
      <c r="P101" s="11"/>
    </row>
    <row r="102" spans="1:16" hidden="1" x14ac:dyDescent="0.25">
      <c r="A102" s="695">
        <v>56112</v>
      </c>
      <c r="B102" s="558">
        <v>1321</v>
      </c>
      <c r="C102" s="693">
        <v>100</v>
      </c>
      <c r="D102" s="558">
        <v>1000</v>
      </c>
      <c r="F102" s="693" t="s">
        <v>1276</v>
      </c>
      <c r="G102" s="696">
        <v>146370</v>
      </c>
      <c r="H102" s="12" t="s">
        <v>968</v>
      </c>
      <c r="I102" s="12" t="s">
        <v>893</v>
      </c>
      <c r="J102" s="12" t="s">
        <v>894</v>
      </c>
      <c r="K102" s="12" t="s">
        <v>891</v>
      </c>
      <c r="L102" s="12"/>
      <c r="M102" s="11"/>
      <c r="N102" s="11"/>
      <c r="O102" s="11"/>
      <c r="P102" s="11"/>
    </row>
    <row r="103" spans="1:16" hidden="1" x14ac:dyDescent="0.25">
      <c r="A103" s="695">
        <v>56112</v>
      </c>
      <c r="B103" s="558">
        <v>1321</v>
      </c>
      <c r="C103" s="693">
        <v>200</v>
      </c>
      <c r="D103" s="558">
        <v>1000</v>
      </c>
      <c r="F103" s="693" t="s">
        <v>1276</v>
      </c>
      <c r="G103" s="696">
        <v>37386</v>
      </c>
      <c r="H103" s="12" t="s">
        <v>968</v>
      </c>
      <c r="I103" s="12" t="s">
        <v>897</v>
      </c>
      <c r="J103" s="12" t="s">
        <v>894</v>
      </c>
      <c r="K103" s="12" t="s">
        <v>891</v>
      </c>
      <c r="L103" s="12"/>
      <c r="M103" s="11"/>
      <c r="N103" s="11"/>
      <c r="O103" s="11"/>
      <c r="P103" s="11"/>
    </row>
    <row r="104" spans="1:16" hidden="1" x14ac:dyDescent="0.25">
      <c r="A104" s="695">
        <v>56112</v>
      </c>
      <c r="B104" s="558" t="s">
        <v>1247</v>
      </c>
      <c r="C104" s="693">
        <v>100</v>
      </c>
      <c r="D104" s="558">
        <v>1000</v>
      </c>
      <c r="F104" s="693" t="s">
        <v>1276</v>
      </c>
      <c r="G104" s="696">
        <v>0</v>
      </c>
      <c r="H104" s="12" t="s">
        <v>904</v>
      </c>
      <c r="I104" s="12" t="s">
        <v>893</v>
      </c>
      <c r="J104" s="12" t="s">
        <v>894</v>
      </c>
      <c r="K104" s="12" t="s">
        <v>891</v>
      </c>
      <c r="L104" s="12"/>
      <c r="M104" s="11"/>
      <c r="N104" s="11"/>
      <c r="O104" s="11"/>
      <c r="P104" s="11"/>
    </row>
    <row r="105" spans="1:16" hidden="1" x14ac:dyDescent="0.25">
      <c r="A105" s="695">
        <v>56112</v>
      </c>
      <c r="B105" s="558" t="s">
        <v>1248</v>
      </c>
      <c r="C105" s="693">
        <v>100</v>
      </c>
      <c r="D105" s="558">
        <v>1000</v>
      </c>
      <c r="F105" s="693" t="s">
        <v>1276</v>
      </c>
      <c r="G105" s="696">
        <v>32325</v>
      </c>
      <c r="H105" s="12" t="s">
        <v>904</v>
      </c>
      <c r="I105" s="12" t="s">
        <v>893</v>
      </c>
      <c r="J105" s="12" t="s">
        <v>894</v>
      </c>
      <c r="K105" s="12" t="s">
        <v>891</v>
      </c>
      <c r="L105" s="12"/>
      <c r="M105" s="11"/>
      <c r="N105" s="11"/>
      <c r="O105" s="11"/>
      <c r="P105" s="11"/>
    </row>
    <row r="106" spans="1:16" hidden="1" x14ac:dyDescent="0.25">
      <c r="A106" s="694">
        <v>56112</v>
      </c>
      <c r="B106" s="558" t="s">
        <v>1248</v>
      </c>
      <c r="C106" s="693">
        <v>260</v>
      </c>
      <c r="D106" s="558">
        <v>1000</v>
      </c>
      <c r="F106" s="693" t="s">
        <v>1276</v>
      </c>
      <c r="G106" s="696">
        <v>12875</v>
      </c>
      <c r="H106" s="12" t="s">
        <v>904</v>
      </c>
      <c r="I106" s="12" t="s">
        <v>901</v>
      </c>
      <c r="J106" s="12" t="s">
        <v>894</v>
      </c>
      <c r="K106" s="12" t="s">
        <v>891</v>
      </c>
      <c r="L106" s="12"/>
      <c r="M106" s="11"/>
      <c r="N106" s="11"/>
      <c r="O106" s="11"/>
      <c r="P106" s="11"/>
    </row>
    <row r="107" spans="1:16" hidden="1" x14ac:dyDescent="0.25">
      <c r="A107" s="694">
        <v>56113</v>
      </c>
      <c r="B107" s="558">
        <v>1000</v>
      </c>
      <c r="C107" s="693">
        <v>100</v>
      </c>
      <c r="D107" s="558">
        <v>2500</v>
      </c>
      <c r="F107" s="693" t="s">
        <v>1277</v>
      </c>
      <c r="G107" s="696">
        <v>-17</v>
      </c>
      <c r="H107" s="12" t="s">
        <v>889</v>
      </c>
      <c r="I107" s="12" t="s">
        <v>893</v>
      </c>
      <c r="J107" s="12" t="s">
        <v>926</v>
      </c>
      <c r="K107" s="12" t="s">
        <v>891</v>
      </c>
      <c r="L107" s="12"/>
      <c r="M107" s="11"/>
      <c r="N107" s="11"/>
      <c r="O107" s="11"/>
      <c r="P107" s="11"/>
    </row>
    <row r="108" spans="1:16" hidden="1" x14ac:dyDescent="0.25">
      <c r="A108" s="695">
        <v>56114</v>
      </c>
      <c r="B108" s="558">
        <v>1000</v>
      </c>
      <c r="C108" s="693">
        <v>100</v>
      </c>
      <c r="D108" s="558">
        <v>1000</v>
      </c>
      <c r="F108" s="693" t="s">
        <v>1278</v>
      </c>
      <c r="G108" s="696">
        <v>11884</v>
      </c>
      <c r="H108" s="12" t="s">
        <v>889</v>
      </c>
      <c r="I108" s="12" t="s">
        <v>893</v>
      </c>
      <c r="J108" s="12" t="s">
        <v>894</v>
      </c>
      <c r="K108" s="12" t="s">
        <v>891</v>
      </c>
      <c r="L108" s="12"/>
      <c r="M108" s="11"/>
      <c r="N108" s="11"/>
      <c r="O108" s="11"/>
      <c r="P108" s="11"/>
    </row>
    <row r="109" spans="1:16" hidden="1" x14ac:dyDescent="0.25">
      <c r="A109" s="695">
        <v>56114</v>
      </c>
      <c r="B109" s="558">
        <v>1000</v>
      </c>
      <c r="C109" s="693">
        <v>100</v>
      </c>
      <c r="D109" s="558">
        <v>2100</v>
      </c>
      <c r="F109" s="693" t="s">
        <v>1278</v>
      </c>
      <c r="G109" s="696">
        <v>61</v>
      </c>
      <c r="H109" s="12" t="s">
        <v>889</v>
      </c>
      <c r="I109" s="12" t="s">
        <v>893</v>
      </c>
      <c r="J109" s="12" t="s">
        <v>902</v>
      </c>
      <c r="K109" s="12" t="s">
        <v>891</v>
      </c>
      <c r="L109" s="12"/>
      <c r="M109" s="11"/>
      <c r="N109" s="11"/>
      <c r="O109" s="11"/>
      <c r="P109" s="11"/>
    </row>
    <row r="110" spans="1:16" hidden="1" x14ac:dyDescent="0.25">
      <c r="A110" s="695">
        <v>56114</v>
      </c>
      <c r="B110" s="558">
        <v>1000</v>
      </c>
      <c r="C110" s="693">
        <v>200</v>
      </c>
      <c r="D110" s="558">
        <v>1000</v>
      </c>
      <c r="F110" s="693" t="s">
        <v>1278</v>
      </c>
      <c r="G110" s="696">
        <v>0</v>
      </c>
      <c r="H110" s="12" t="s">
        <v>889</v>
      </c>
      <c r="I110" s="12" t="s">
        <v>897</v>
      </c>
      <c r="J110" s="12" t="s">
        <v>894</v>
      </c>
      <c r="K110" s="12" t="s">
        <v>891</v>
      </c>
      <c r="L110" s="12"/>
      <c r="M110" s="11"/>
      <c r="N110" s="11"/>
      <c r="O110" s="11"/>
      <c r="P110" s="11"/>
    </row>
    <row r="111" spans="1:16" hidden="1" x14ac:dyDescent="0.25">
      <c r="A111" s="695">
        <v>56114</v>
      </c>
      <c r="B111" s="558">
        <v>1000</v>
      </c>
      <c r="C111" s="693">
        <v>260</v>
      </c>
      <c r="D111" s="558">
        <v>1000</v>
      </c>
      <c r="F111" s="693" t="s">
        <v>1278</v>
      </c>
      <c r="G111" s="696">
        <v>35</v>
      </c>
      <c r="H111" s="12" t="s">
        <v>889</v>
      </c>
      <c r="I111" s="12" t="s">
        <v>901</v>
      </c>
      <c r="J111" s="12" t="s">
        <v>894</v>
      </c>
      <c r="K111" s="12" t="s">
        <v>891</v>
      </c>
      <c r="L111" s="12"/>
      <c r="M111" s="11"/>
      <c r="N111" s="11"/>
      <c r="O111" s="11"/>
      <c r="P111" s="11"/>
    </row>
    <row r="112" spans="1:16" hidden="1" x14ac:dyDescent="0.25">
      <c r="A112" s="695">
        <v>56114</v>
      </c>
      <c r="B112" s="558">
        <v>1000</v>
      </c>
      <c r="C112" s="693">
        <v>550</v>
      </c>
      <c r="D112" s="558">
        <v>1000</v>
      </c>
      <c r="F112" s="693" t="s">
        <v>1278</v>
      </c>
      <c r="G112" s="696">
        <v>7976</v>
      </c>
      <c r="H112" s="12" t="s">
        <v>889</v>
      </c>
      <c r="I112" s="12" t="s">
        <v>933</v>
      </c>
      <c r="J112" s="12" t="s">
        <v>894</v>
      </c>
      <c r="K112" s="12" t="s">
        <v>891</v>
      </c>
      <c r="L112" s="12"/>
      <c r="M112" s="11"/>
      <c r="N112" s="11"/>
      <c r="O112" s="11"/>
      <c r="P112" s="11"/>
    </row>
    <row r="113" spans="1:16" hidden="1" x14ac:dyDescent="0.25">
      <c r="A113" s="695">
        <v>56114</v>
      </c>
      <c r="B113" s="558">
        <v>1190</v>
      </c>
      <c r="C113" s="693">
        <v>260</v>
      </c>
      <c r="D113" s="558">
        <v>1000</v>
      </c>
      <c r="F113" s="693" t="s">
        <v>1278</v>
      </c>
      <c r="G113" s="696">
        <v>957</v>
      </c>
      <c r="H113" s="12" t="s">
        <v>920</v>
      </c>
      <c r="I113" s="12" t="s">
        <v>901</v>
      </c>
      <c r="J113" s="12" t="s">
        <v>894</v>
      </c>
      <c r="K113" s="12" t="s">
        <v>891</v>
      </c>
      <c r="L113" s="12"/>
      <c r="M113" s="11"/>
      <c r="N113" s="11"/>
      <c r="O113" s="11"/>
      <c r="P113" s="11"/>
    </row>
    <row r="114" spans="1:16" hidden="1" x14ac:dyDescent="0.25">
      <c r="A114" s="695">
        <v>56114</v>
      </c>
      <c r="B114" s="558">
        <v>1321</v>
      </c>
      <c r="C114" s="693">
        <v>100</v>
      </c>
      <c r="D114" s="558">
        <v>1000</v>
      </c>
      <c r="F114" s="693" t="s">
        <v>1278</v>
      </c>
      <c r="G114" s="696">
        <v>32321</v>
      </c>
      <c r="H114" s="12" t="s">
        <v>968</v>
      </c>
      <c r="I114" s="12" t="s">
        <v>893</v>
      </c>
      <c r="J114" s="12" t="s">
        <v>894</v>
      </c>
      <c r="K114" s="12" t="s">
        <v>891</v>
      </c>
      <c r="L114" s="12"/>
      <c r="M114" s="11"/>
      <c r="N114" s="11"/>
      <c r="O114" s="11"/>
      <c r="P114" s="11"/>
    </row>
    <row r="115" spans="1:16" hidden="1" x14ac:dyDescent="0.25">
      <c r="A115" s="695">
        <v>56114</v>
      </c>
      <c r="B115" s="558">
        <v>1321</v>
      </c>
      <c r="C115" s="693">
        <v>100</v>
      </c>
      <c r="D115" s="558">
        <v>2100</v>
      </c>
      <c r="F115" s="693" t="s">
        <v>1278</v>
      </c>
      <c r="G115" s="696">
        <v>0</v>
      </c>
      <c r="H115" s="12" t="s">
        <v>968</v>
      </c>
      <c r="I115" s="12" t="s">
        <v>893</v>
      </c>
      <c r="J115" s="12" t="s">
        <v>902</v>
      </c>
      <c r="K115" s="12" t="s">
        <v>891</v>
      </c>
      <c r="L115" s="12"/>
      <c r="M115" s="11"/>
      <c r="N115" s="11"/>
      <c r="O115" s="11"/>
      <c r="P115" s="11"/>
    </row>
    <row r="116" spans="1:16" hidden="1" x14ac:dyDescent="0.25">
      <c r="A116" s="695">
        <v>56114</v>
      </c>
      <c r="B116" s="558">
        <v>1321</v>
      </c>
      <c r="C116" s="693">
        <v>200</v>
      </c>
      <c r="D116" s="558">
        <v>1000</v>
      </c>
      <c r="F116" s="693" t="s">
        <v>1278</v>
      </c>
      <c r="G116" s="696">
        <v>19085</v>
      </c>
      <c r="H116" s="12" t="s">
        <v>968</v>
      </c>
      <c r="I116" s="12" t="s">
        <v>897</v>
      </c>
      <c r="J116" s="12" t="s">
        <v>894</v>
      </c>
      <c r="K116" s="12" t="s">
        <v>891</v>
      </c>
      <c r="L116" s="12"/>
      <c r="M116" s="11"/>
      <c r="N116" s="11"/>
      <c r="O116" s="11"/>
      <c r="P116" s="11"/>
    </row>
    <row r="117" spans="1:16" hidden="1" x14ac:dyDescent="0.25">
      <c r="A117" s="695">
        <v>56114</v>
      </c>
      <c r="B117" s="558" t="s">
        <v>1248</v>
      </c>
      <c r="C117" s="693">
        <v>100</v>
      </c>
      <c r="D117" s="558">
        <v>1000</v>
      </c>
      <c r="F117" s="693" t="s">
        <v>1278</v>
      </c>
      <c r="G117" s="696">
        <v>797</v>
      </c>
      <c r="H117" s="12" t="s">
        <v>904</v>
      </c>
      <c r="I117" s="12" t="s">
        <v>893</v>
      </c>
      <c r="J117" s="12" t="s">
        <v>894</v>
      </c>
      <c r="K117" s="12" t="s">
        <v>891</v>
      </c>
      <c r="L117" s="12"/>
      <c r="M117" s="11"/>
      <c r="N117" s="11"/>
      <c r="O117" s="11"/>
      <c r="P117" s="11"/>
    </row>
    <row r="118" spans="1:16" hidden="1" x14ac:dyDescent="0.25">
      <c r="A118" s="694">
        <v>56114</v>
      </c>
      <c r="B118" s="558" t="s">
        <v>1248</v>
      </c>
      <c r="C118" s="693">
        <v>260</v>
      </c>
      <c r="D118" s="558">
        <v>1000</v>
      </c>
      <c r="F118" s="693" t="s">
        <v>1278</v>
      </c>
      <c r="G118" s="696">
        <v>5210</v>
      </c>
      <c r="H118" s="12" t="s">
        <v>904</v>
      </c>
      <c r="I118" s="12" t="s">
        <v>901</v>
      </c>
      <c r="J118" s="12" t="s">
        <v>894</v>
      </c>
      <c r="K118" s="12" t="s">
        <v>891</v>
      </c>
      <c r="L118" s="12"/>
      <c r="M118" s="11"/>
      <c r="N118" s="11"/>
      <c r="O118" s="11"/>
      <c r="P118" s="11"/>
    </row>
    <row r="119" spans="1:16" hidden="1" x14ac:dyDescent="0.25">
      <c r="A119" s="694">
        <v>56117</v>
      </c>
      <c r="B119" s="558">
        <v>1000</v>
      </c>
      <c r="C119" s="693">
        <v>100</v>
      </c>
      <c r="D119" s="558">
        <v>2500</v>
      </c>
      <c r="F119" s="693" t="s">
        <v>1279</v>
      </c>
      <c r="G119" s="696">
        <v>102</v>
      </c>
      <c r="H119" s="12" t="s">
        <v>889</v>
      </c>
      <c r="I119" s="12" t="s">
        <v>893</v>
      </c>
      <c r="J119" s="12" t="s">
        <v>926</v>
      </c>
      <c r="K119" s="12" t="s">
        <v>891</v>
      </c>
      <c r="L119" s="12"/>
      <c r="M119" s="11"/>
      <c r="N119" s="11"/>
      <c r="O119" s="11"/>
      <c r="P119" s="11"/>
    </row>
    <row r="120" spans="1:16" hidden="1" x14ac:dyDescent="0.25">
      <c r="A120" s="695">
        <v>56121</v>
      </c>
      <c r="B120" s="558">
        <v>1000</v>
      </c>
      <c r="C120" s="693">
        <v>100</v>
      </c>
      <c r="D120" s="558">
        <v>1000</v>
      </c>
      <c r="F120" s="693" t="s">
        <v>1280</v>
      </c>
      <c r="G120" s="696">
        <v>10</v>
      </c>
      <c r="H120" s="12" t="s">
        <v>889</v>
      </c>
      <c r="I120" s="12" t="s">
        <v>893</v>
      </c>
      <c r="J120" s="12" t="s">
        <v>894</v>
      </c>
      <c r="K120" s="12" t="s">
        <v>891</v>
      </c>
      <c r="L120" s="12"/>
      <c r="M120" s="11"/>
      <c r="N120" s="11"/>
      <c r="O120" s="11"/>
      <c r="P120" s="11"/>
    </row>
    <row r="121" spans="1:16" hidden="1" x14ac:dyDescent="0.25">
      <c r="A121" s="695">
        <v>56121</v>
      </c>
      <c r="B121" s="558">
        <v>1000</v>
      </c>
      <c r="C121" s="693">
        <v>100</v>
      </c>
      <c r="D121" s="558">
        <v>2100</v>
      </c>
      <c r="F121" s="693" t="s">
        <v>1280</v>
      </c>
      <c r="G121" s="696">
        <v>2081</v>
      </c>
      <c r="H121" s="12" t="s">
        <v>889</v>
      </c>
      <c r="I121" s="12" t="s">
        <v>893</v>
      </c>
      <c r="J121" s="12" t="s">
        <v>902</v>
      </c>
      <c r="K121" s="12" t="s">
        <v>891</v>
      </c>
      <c r="L121" s="12"/>
      <c r="M121" s="11"/>
      <c r="N121" s="11"/>
      <c r="O121" s="11"/>
      <c r="P121" s="11"/>
    </row>
    <row r="122" spans="1:16" hidden="1" x14ac:dyDescent="0.25">
      <c r="A122" s="695">
        <v>56121</v>
      </c>
      <c r="B122" s="558">
        <v>1000</v>
      </c>
      <c r="C122" s="693">
        <v>100</v>
      </c>
      <c r="D122" s="558">
        <v>2110</v>
      </c>
      <c r="F122" s="693" t="s">
        <v>1280</v>
      </c>
      <c r="G122" s="696">
        <v>9</v>
      </c>
      <c r="H122" s="12" t="s">
        <v>889</v>
      </c>
      <c r="I122" s="12" t="s">
        <v>893</v>
      </c>
      <c r="J122" s="12" t="s">
        <v>902</v>
      </c>
      <c r="K122" s="12" t="s">
        <v>891</v>
      </c>
      <c r="L122" s="12"/>
      <c r="M122" s="11"/>
      <c r="N122" s="11"/>
      <c r="O122" s="11"/>
      <c r="P122" s="11"/>
    </row>
    <row r="123" spans="1:16" hidden="1" x14ac:dyDescent="0.25">
      <c r="A123" s="695">
        <v>56121</v>
      </c>
      <c r="B123" s="558">
        <v>1000</v>
      </c>
      <c r="C123" s="693">
        <v>100</v>
      </c>
      <c r="D123" s="558">
        <v>2200</v>
      </c>
      <c r="F123" s="693" t="s">
        <v>1280</v>
      </c>
      <c r="G123" s="696">
        <v>87</v>
      </c>
      <c r="H123" s="12" t="s">
        <v>889</v>
      </c>
      <c r="I123" s="12" t="s">
        <v>893</v>
      </c>
      <c r="J123" s="12" t="s">
        <v>906</v>
      </c>
      <c r="K123" s="12" t="s">
        <v>891</v>
      </c>
      <c r="L123" s="12"/>
      <c r="M123" s="11"/>
      <c r="N123" s="11"/>
      <c r="O123" s="11"/>
      <c r="P123" s="11"/>
    </row>
    <row r="124" spans="1:16" hidden="1" x14ac:dyDescent="0.25">
      <c r="A124" s="695">
        <v>56121</v>
      </c>
      <c r="B124" s="558">
        <v>1000</v>
      </c>
      <c r="C124" s="693">
        <v>100</v>
      </c>
      <c r="D124" s="558">
        <v>2400</v>
      </c>
      <c r="F124" s="693" t="s">
        <v>1280</v>
      </c>
      <c r="G124" s="696">
        <v>44</v>
      </c>
      <c r="H124" s="12" t="s">
        <v>889</v>
      </c>
      <c r="I124" s="12" t="s">
        <v>893</v>
      </c>
      <c r="J124" s="12" t="s">
        <v>922</v>
      </c>
      <c r="K124" s="12" t="s">
        <v>891</v>
      </c>
      <c r="L124" s="12"/>
      <c r="M124" s="11"/>
      <c r="N124" s="11"/>
      <c r="O124" s="11"/>
      <c r="P124" s="11"/>
    </row>
    <row r="125" spans="1:16" hidden="1" x14ac:dyDescent="0.25">
      <c r="A125" s="695">
        <v>56121</v>
      </c>
      <c r="B125" s="558">
        <v>1000</v>
      </c>
      <c r="C125" s="693">
        <v>100</v>
      </c>
      <c r="D125" s="558">
        <v>2500</v>
      </c>
      <c r="F125" s="693" t="s">
        <v>1280</v>
      </c>
      <c r="G125" s="696">
        <v>590</v>
      </c>
      <c r="H125" s="12" t="s">
        <v>889</v>
      </c>
      <c r="I125" s="12" t="s">
        <v>893</v>
      </c>
      <c r="J125" s="12" t="s">
        <v>926</v>
      </c>
      <c r="K125" s="12" t="s">
        <v>891</v>
      </c>
      <c r="L125" s="12"/>
      <c r="M125" s="11"/>
      <c r="N125" s="11"/>
      <c r="O125" s="11"/>
      <c r="P125" s="11"/>
    </row>
    <row r="126" spans="1:16" hidden="1" x14ac:dyDescent="0.25">
      <c r="A126" s="695">
        <v>56121</v>
      </c>
      <c r="B126" s="558">
        <v>1000</v>
      </c>
      <c r="C126" s="693">
        <v>200</v>
      </c>
      <c r="D126" s="558">
        <v>1000</v>
      </c>
      <c r="F126" s="693" t="s">
        <v>1280</v>
      </c>
      <c r="G126" s="696">
        <v>13</v>
      </c>
      <c r="H126" s="12" t="s">
        <v>889</v>
      </c>
      <c r="I126" s="12" t="s">
        <v>897</v>
      </c>
      <c r="J126" s="12" t="s">
        <v>894</v>
      </c>
      <c r="K126" s="12" t="s">
        <v>891</v>
      </c>
      <c r="L126" s="12"/>
      <c r="M126" s="11"/>
      <c r="N126" s="11"/>
      <c r="O126" s="11"/>
      <c r="P126" s="11"/>
    </row>
    <row r="127" spans="1:16" hidden="1" x14ac:dyDescent="0.25">
      <c r="A127" s="695">
        <v>56121</v>
      </c>
      <c r="B127" s="558">
        <v>1000</v>
      </c>
      <c r="C127" s="693">
        <v>200</v>
      </c>
      <c r="D127" s="558">
        <v>2100</v>
      </c>
      <c r="F127" s="693" t="s">
        <v>1280</v>
      </c>
      <c r="G127" s="696">
        <v>528</v>
      </c>
      <c r="H127" s="12" t="s">
        <v>889</v>
      </c>
      <c r="I127" s="12" t="s">
        <v>897</v>
      </c>
      <c r="J127" s="12" t="s">
        <v>902</v>
      </c>
      <c r="K127" s="12" t="s">
        <v>891</v>
      </c>
      <c r="L127" s="12"/>
      <c r="M127" s="11"/>
      <c r="N127" s="11"/>
      <c r="O127" s="11"/>
      <c r="P127" s="11"/>
    </row>
    <row r="128" spans="1:16" hidden="1" x14ac:dyDescent="0.25">
      <c r="A128" s="695">
        <v>56121</v>
      </c>
      <c r="B128" s="558">
        <v>1000</v>
      </c>
      <c r="C128" s="693">
        <v>200</v>
      </c>
      <c r="D128" s="558">
        <v>2200</v>
      </c>
      <c r="F128" s="693" t="s">
        <v>1280</v>
      </c>
      <c r="G128" s="696">
        <v>390</v>
      </c>
      <c r="H128" s="12" t="s">
        <v>889</v>
      </c>
      <c r="I128" s="12" t="s">
        <v>897</v>
      </c>
      <c r="J128" s="12" t="s">
        <v>906</v>
      </c>
      <c r="K128" s="12" t="s">
        <v>891</v>
      </c>
      <c r="L128" s="12"/>
      <c r="M128" s="11"/>
      <c r="N128" s="11"/>
      <c r="O128" s="11"/>
      <c r="P128" s="11"/>
    </row>
    <row r="129" spans="1:16" hidden="1" x14ac:dyDescent="0.25">
      <c r="A129" s="695">
        <v>56121</v>
      </c>
      <c r="B129" s="558">
        <v>1321</v>
      </c>
      <c r="C129" s="693">
        <v>100</v>
      </c>
      <c r="D129" s="558">
        <v>2100</v>
      </c>
      <c r="F129" s="693" t="s">
        <v>1280</v>
      </c>
      <c r="G129" s="696">
        <v>0</v>
      </c>
      <c r="H129" s="12" t="s">
        <v>968</v>
      </c>
      <c r="I129" s="12" t="s">
        <v>893</v>
      </c>
      <c r="J129" s="12" t="s">
        <v>902</v>
      </c>
      <c r="K129" s="12" t="s">
        <v>891</v>
      </c>
      <c r="L129" s="12"/>
      <c r="M129" s="11"/>
      <c r="N129" s="11"/>
      <c r="O129" s="11"/>
      <c r="P129" s="11"/>
    </row>
    <row r="130" spans="1:16" hidden="1" x14ac:dyDescent="0.25">
      <c r="A130" s="694">
        <v>56121</v>
      </c>
      <c r="B130" s="558">
        <v>1322</v>
      </c>
      <c r="C130" s="693">
        <v>100</v>
      </c>
      <c r="D130" s="558">
        <v>2500</v>
      </c>
      <c r="F130" s="693" t="s">
        <v>1280</v>
      </c>
      <c r="G130" s="696">
        <v>0</v>
      </c>
      <c r="H130" s="12" t="s">
        <v>968</v>
      </c>
      <c r="I130" s="12" t="s">
        <v>893</v>
      </c>
      <c r="J130" s="12" t="s">
        <v>926</v>
      </c>
      <c r="K130" s="12" t="s">
        <v>891</v>
      </c>
      <c r="L130" s="12"/>
      <c r="M130" s="11"/>
      <c r="N130" s="11"/>
      <c r="O130" s="11"/>
      <c r="P130" s="11"/>
    </row>
    <row r="131" spans="1:16" hidden="1" x14ac:dyDescent="0.25">
      <c r="A131" s="695">
        <v>56122</v>
      </c>
      <c r="B131" s="558">
        <v>1000</v>
      </c>
      <c r="C131" s="693">
        <v>100</v>
      </c>
      <c r="D131" s="558">
        <v>1000</v>
      </c>
      <c r="F131" s="693" t="s">
        <v>1281</v>
      </c>
      <c r="G131" s="696">
        <v>110</v>
      </c>
      <c r="H131" s="12" t="s">
        <v>889</v>
      </c>
      <c r="I131" s="12" t="s">
        <v>893</v>
      </c>
      <c r="J131" s="12" t="s">
        <v>894</v>
      </c>
      <c r="K131" s="12" t="s">
        <v>891</v>
      </c>
      <c r="L131" s="12"/>
      <c r="M131" s="11"/>
      <c r="N131" s="11"/>
      <c r="O131" s="11"/>
      <c r="P131" s="11"/>
    </row>
    <row r="132" spans="1:16" hidden="1" x14ac:dyDescent="0.25">
      <c r="A132" s="695">
        <v>56122</v>
      </c>
      <c r="B132" s="558">
        <v>1000</v>
      </c>
      <c r="C132" s="693">
        <v>100</v>
      </c>
      <c r="D132" s="558">
        <v>2100</v>
      </c>
      <c r="F132" s="693" t="s">
        <v>1281</v>
      </c>
      <c r="G132" s="696">
        <v>83</v>
      </c>
      <c r="H132" s="12" t="s">
        <v>889</v>
      </c>
      <c r="I132" s="12" t="s">
        <v>893</v>
      </c>
      <c r="J132" s="12" t="s">
        <v>902</v>
      </c>
      <c r="K132" s="12" t="s">
        <v>891</v>
      </c>
      <c r="L132" s="12"/>
      <c r="M132" s="11"/>
      <c r="N132" s="11"/>
      <c r="O132" s="11"/>
      <c r="P132" s="11"/>
    </row>
    <row r="133" spans="1:16" hidden="1" x14ac:dyDescent="0.25">
      <c r="A133" s="695">
        <v>56122</v>
      </c>
      <c r="B133" s="558">
        <v>1000</v>
      </c>
      <c r="C133" s="693">
        <v>100</v>
      </c>
      <c r="D133" s="558">
        <v>2200</v>
      </c>
      <c r="F133" s="693" t="s">
        <v>1281</v>
      </c>
      <c r="G133" s="696">
        <v>166</v>
      </c>
      <c r="H133" s="12" t="s">
        <v>889</v>
      </c>
      <c r="I133" s="12" t="s">
        <v>893</v>
      </c>
      <c r="J133" s="12" t="s">
        <v>906</v>
      </c>
      <c r="K133" s="12" t="s">
        <v>891</v>
      </c>
      <c r="L133" s="12"/>
      <c r="M133" s="11"/>
      <c r="N133" s="11"/>
      <c r="O133" s="11"/>
      <c r="P133" s="11"/>
    </row>
    <row r="134" spans="1:16" hidden="1" x14ac:dyDescent="0.25">
      <c r="A134" s="695">
        <v>56122</v>
      </c>
      <c r="B134" s="558">
        <v>1000</v>
      </c>
      <c r="C134" s="693">
        <v>100</v>
      </c>
      <c r="D134" s="558">
        <v>2500</v>
      </c>
      <c r="F134" s="693" t="s">
        <v>1281</v>
      </c>
      <c r="G134" s="696">
        <v>34</v>
      </c>
      <c r="H134" s="12" t="s">
        <v>889</v>
      </c>
      <c r="I134" s="12" t="s">
        <v>893</v>
      </c>
      <c r="J134" s="12" t="s">
        <v>926</v>
      </c>
      <c r="K134" s="12" t="s">
        <v>891</v>
      </c>
      <c r="L134" s="12"/>
      <c r="M134" s="11"/>
      <c r="N134" s="11"/>
      <c r="O134" s="11"/>
      <c r="P134" s="11"/>
    </row>
    <row r="135" spans="1:16" hidden="1" x14ac:dyDescent="0.25">
      <c r="A135" s="695">
        <v>56122</v>
      </c>
      <c r="B135" s="558">
        <v>1321</v>
      </c>
      <c r="C135" s="693">
        <v>100</v>
      </c>
      <c r="D135" s="558">
        <v>1000</v>
      </c>
      <c r="F135" s="693" t="s">
        <v>1281</v>
      </c>
      <c r="G135" s="696">
        <v>0</v>
      </c>
      <c r="H135" s="12" t="s">
        <v>968</v>
      </c>
      <c r="I135" s="12" t="s">
        <v>893</v>
      </c>
      <c r="J135" s="12" t="s">
        <v>894</v>
      </c>
      <c r="K135" s="12" t="s">
        <v>891</v>
      </c>
      <c r="L135" s="12"/>
      <c r="M135" s="11"/>
      <c r="N135" s="11"/>
      <c r="O135" s="11"/>
      <c r="P135" s="11"/>
    </row>
    <row r="136" spans="1:16" hidden="1" x14ac:dyDescent="0.25">
      <c r="A136" s="694">
        <v>56122</v>
      </c>
      <c r="B136" s="558" t="s">
        <v>1247</v>
      </c>
      <c r="C136" s="693">
        <v>100</v>
      </c>
      <c r="D136" s="558">
        <v>1000</v>
      </c>
      <c r="F136" s="693" t="s">
        <v>1281</v>
      </c>
      <c r="G136" s="696">
        <v>2250</v>
      </c>
      <c r="H136" s="12" t="s">
        <v>904</v>
      </c>
      <c r="I136" s="12" t="s">
        <v>893</v>
      </c>
      <c r="J136" s="12" t="s">
        <v>894</v>
      </c>
      <c r="K136" s="12" t="s">
        <v>891</v>
      </c>
      <c r="L136" s="12"/>
      <c r="M136" s="11"/>
      <c r="N136" s="11"/>
      <c r="O136" s="11"/>
      <c r="P136" s="11"/>
    </row>
    <row r="137" spans="1:16" hidden="1" x14ac:dyDescent="0.25">
      <c r="A137" s="695">
        <v>56124</v>
      </c>
      <c r="B137" s="558">
        <v>1000</v>
      </c>
      <c r="C137" s="693">
        <v>100</v>
      </c>
      <c r="D137" s="558">
        <v>1000</v>
      </c>
      <c r="F137" s="693" t="s">
        <v>1282</v>
      </c>
      <c r="G137" s="696">
        <v>120</v>
      </c>
      <c r="H137" s="12" t="s">
        <v>889</v>
      </c>
      <c r="I137" s="12" t="s">
        <v>893</v>
      </c>
      <c r="J137" s="12" t="s">
        <v>894</v>
      </c>
      <c r="K137" s="12" t="s">
        <v>891</v>
      </c>
      <c r="L137" s="12"/>
      <c r="M137" s="11"/>
      <c r="N137" s="11"/>
      <c r="O137" s="11"/>
      <c r="P137" s="11"/>
    </row>
    <row r="138" spans="1:16" hidden="1" x14ac:dyDescent="0.25">
      <c r="A138" s="695">
        <v>56124</v>
      </c>
      <c r="B138" s="558">
        <v>1000</v>
      </c>
      <c r="C138" s="693">
        <v>100</v>
      </c>
      <c r="D138" s="558">
        <v>2200</v>
      </c>
      <c r="F138" s="693" t="s">
        <v>1282</v>
      </c>
      <c r="G138" s="696">
        <v>7</v>
      </c>
      <c r="H138" s="12" t="s">
        <v>889</v>
      </c>
      <c r="I138" s="12" t="s">
        <v>893</v>
      </c>
      <c r="J138" s="12" t="s">
        <v>906</v>
      </c>
      <c r="K138" s="12" t="s">
        <v>891</v>
      </c>
      <c r="L138" s="12"/>
      <c r="M138" s="11"/>
      <c r="N138" s="11"/>
      <c r="O138" s="11"/>
      <c r="P138" s="11"/>
    </row>
    <row r="139" spans="1:16" hidden="1" x14ac:dyDescent="0.25">
      <c r="A139" s="695">
        <v>56124</v>
      </c>
      <c r="B139" s="558">
        <v>1000</v>
      </c>
      <c r="C139" s="693">
        <v>200</v>
      </c>
      <c r="D139" s="558">
        <v>1000</v>
      </c>
      <c r="F139" s="693" t="s">
        <v>1282</v>
      </c>
      <c r="G139" s="696">
        <v>39</v>
      </c>
      <c r="H139" s="12" t="s">
        <v>889</v>
      </c>
      <c r="I139" s="12" t="s">
        <v>897</v>
      </c>
      <c r="J139" s="12" t="s">
        <v>894</v>
      </c>
      <c r="K139" s="12" t="s">
        <v>891</v>
      </c>
      <c r="L139" s="12"/>
      <c r="M139" s="11"/>
      <c r="N139" s="11"/>
      <c r="O139" s="11"/>
      <c r="P139" s="11"/>
    </row>
    <row r="140" spans="1:16" hidden="1" x14ac:dyDescent="0.25">
      <c r="A140" s="695">
        <v>56124</v>
      </c>
      <c r="B140" s="558">
        <v>1000</v>
      </c>
      <c r="C140" s="693">
        <v>260</v>
      </c>
      <c r="D140" s="558">
        <v>1000</v>
      </c>
      <c r="F140" s="693" t="s">
        <v>1282</v>
      </c>
      <c r="G140" s="696">
        <v>707</v>
      </c>
      <c r="H140" s="12" t="s">
        <v>889</v>
      </c>
      <c r="I140" s="12" t="s">
        <v>901</v>
      </c>
      <c r="J140" s="12" t="s">
        <v>894</v>
      </c>
      <c r="K140" s="12" t="s">
        <v>891</v>
      </c>
      <c r="L140" s="12"/>
      <c r="M140" s="11"/>
      <c r="N140" s="11"/>
      <c r="O140" s="11"/>
      <c r="P140" s="11"/>
    </row>
    <row r="141" spans="1:16" hidden="1" x14ac:dyDescent="0.25">
      <c r="A141" s="694">
        <v>56124</v>
      </c>
      <c r="B141" s="558">
        <v>1000</v>
      </c>
      <c r="C141" s="693">
        <v>550</v>
      </c>
      <c r="D141" s="558">
        <v>1000</v>
      </c>
      <c r="F141" s="693" t="s">
        <v>1282</v>
      </c>
      <c r="G141" s="696">
        <v>48</v>
      </c>
      <c r="H141" s="12" t="s">
        <v>889</v>
      </c>
      <c r="I141" s="12" t="s">
        <v>933</v>
      </c>
      <c r="J141" s="12" t="s">
        <v>894</v>
      </c>
      <c r="K141" s="12" t="s">
        <v>891</v>
      </c>
      <c r="L141" s="12"/>
      <c r="M141" s="11"/>
      <c r="N141" s="11"/>
      <c r="O141" s="11"/>
      <c r="P141" s="11"/>
    </row>
    <row r="142" spans="1:16" hidden="1" x14ac:dyDescent="0.25">
      <c r="A142" s="694">
        <v>56152</v>
      </c>
      <c r="B142" s="558" t="s">
        <v>1248</v>
      </c>
      <c r="C142" s="693">
        <v>100</v>
      </c>
      <c r="D142" s="558">
        <v>1000</v>
      </c>
      <c r="F142" s="693" t="s">
        <v>1283</v>
      </c>
      <c r="G142" s="696">
        <v>4818</v>
      </c>
      <c r="H142" s="12" t="s">
        <v>904</v>
      </c>
      <c r="I142" s="12" t="s">
        <v>893</v>
      </c>
      <c r="J142" s="12" t="s">
        <v>894</v>
      </c>
      <c r="K142" s="12" t="s">
        <v>891</v>
      </c>
      <c r="L142" s="12"/>
      <c r="M142" s="11"/>
      <c r="N142" s="11"/>
      <c r="O142" s="11"/>
      <c r="P142" s="11"/>
    </row>
    <row r="143" spans="1:16" hidden="1" x14ac:dyDescent="0.25">
      <c r="A143" s="694">
        <v>56162</v>
      </c>
      <c r="B143" s="558">
        <v>1000</v>
      </c>
      <c r="C143" s="693">
        <v>100</v>
      </c>
      <c r="D143" s="558">
        <v>2500</v>
      </c>
      <c r="F143" s="693" t="s">
        <v>1284</v>
      </c>
      <c r="G143" s="696">
        <v>0</v>
      </c>
      <c r="H143" s="12" t="s">
        <v>889</v>
      </c>
      <c r="I143" s="12" t="s">
        <v>893</v>
      </c>
      <c r="J143" s="12" t="s">
        <v>926</v>
      </c>
      <c r="K143" s="12" t="s">
        <v>891</v>
      </c>
      <c r="L143" s="12"/>
      <c r="M143" s="11"/>
      <c r="N143" s="11"/>
      <c r="O143" s="11"/>
      <c r="P143" s="11"/>
    </row>
    <row r="144" spans="1:16" hidden="1" x14ac:dyDescent="0.25">
      <c r="A144" s="695">
        <v>56210</v>
      </c>
      <c r="B144" s="558">
        <v>1000</v>
      </c>
      <c r="C144" s="693">
        <v>100</v>
      </c>
      <c r="D144" s="558">
        <v>1000</v>
      </c>
      <c r="F144" s="693" t="s">
        <v>1285</v>
      </c>
      <c r="G144" s="696">
        <v>-1579</v>
      </c>
      <c r="H144" s="12" t="s">
        <v>889</v>
      </c>
      <c r="I144" s="12" t="s">
        <v>893</v>
      </c>
      <c r="J144" s="12" t="s">
        <v>894</v>
      </c>
      <c r="K144" s="12" t="s">
        <v>895</v>
      </c>
      <c r="L144" s="12"/>
      <c r="M144" s="11"/>
      <c r="N144" s="11"/>
      <c r="O144" s="11"/>
      <c r="P144" s="11"/>
    </row>
    <row r="145" spans="1:16" hidden="1" x14ac:dyDescent="0.25">
      <c r="A145" s="695">
        <v>56210</v>
      </c>
      <c r="B145" s="558">
        <v>1000</v>
      </c>
      <c r="C145" s="693">
        <v>100</v>
      </c>
      <c r="D145" s="558">
        <v>2100</v>
      </c>
      <c r="F145" s="693" t="s">
        <v>1285</v>
      </c>
      <c r="G145" s="696">
        <v>215</v>
      </c>
      <c r="H145" s="12" t="s">
        <v>889</v>
      </c>
      <c r="I145" s="12" t="s">
        <v>893</v>
      </c>
      <c r="J145" s="12" t="s">
        <v>902</v>
      </c>
      <c r="K145" s="12" t="s">
        <v>895</v>
      </c>
      <c r="L145" s="12"/>
      <c r="M145" s="11"/>
      <c r="N145" s="11"/>
      <c r="O145" s="11"/>
      <c r="P145" s="11"/>
    </row>
    <row r="146" spans="1:16" hidden="1" x14ac:dyDescent="0.25">
      <c r="A146" s="695">
        <v>56210</v>
      </c>
      <c r="B146" s="558">
        <v>1000</v>
      </c>
      <c r="C146" s="693">
        <v>100</v>
      </c>
      <c r="D146" s="558">
        <v>2110</v>
      </c>
      <c r="F146" s="693" t="s">
        <v>1285</v>
      </c>
      <c r="G146" s="696">
        <v>53</v>
      </c>
      <c r="H146" s="12" t="s">
        <v>889</v>
      </c>
      <c r="I146" s="12" t="s">
        <v>893</v>
      </c>
      <c r="J146" s="12" t="s">
        <v>902</v>
      </c>
      <c r="K146" s="12" t="s">
        <v>895</v>
      </c>
      <c r="L146" s="12"/>
      <c r="M146" s="11"/>
      <c r="N146" s="11"/>
      <c r="O146" s="11"/>
      <c r="P146" s="11"/>
    </row>
    <row r="147" spans="1:16" hidden="1" x14ac:dyDescent="0.25">
      <c r="A147" s="695">
        <v>56210</v>
      </c>
      <c r="B147" s="558">
        <v>1000</v>
      </c>
      <c r="C147" s="693">
        <v>100</v>
      </c>
      <c r="D147" s="558">
        <v>2200</v>
      </c>
      <c r="F147" s="693" t="s">
        <v>1285</v>
      </c>
      <c r="G147" s="696">
        <v>139</v>
      </c>
      <c r="H147" s="12" t="s">
        <v>889</v>
      </c>
      <c r="I147" s="12" t="s">
        <v>893</v>
      </c>
      <c r="J147" s="12" t="s">
        <v>906</v>
      </c>
      <c r="K147" s="12" t="s">
        <v>895</v>
      </c>
      <c r="L147" s="12"/>
      <c r="M147" s="11"/>
      <c r="N147" s="11"/>
      <c r="O147" s="11"/>
      <c r="P147" s="11"/>
    </row>
    <row r="148" spans="1:16" hidden="1" x14ac:dyDescent="0.25">
      <c r="A148" s="695">
        <v>56210</v>
      </c>
      <c r="B148" s="558">
        <v>1000</v>
      </c>
      <c r="C148" s="693">
        <v>100</v>
      </c>
      <c r="D148" s="558">
        <v>2300</v>
      </c>
      <c r="F148" s="693" t="s">
        <v>1285</v>
      </c>
      <c r="G148" s="696">
        <v>28</v>
      </c>
      <c r="H148" s="12" t="s">
        <v>889</v>
      </c>
      <c r="I148" s="12" t="s">
        <v>893</v>
      </c>
      <c r="J148" s="12" t="s">
        <v>918</v>
      </c>
      <c r="K148" s="12" t="s">
        <v>895</v>
      </c>
      <c r="L148" s="12"/>
      <c r="M148" s="11"/>
      <c r="N148" s="11"/>
      <c r="O148" s="11"/>
      <c r="P148" s="11"/>
    </row>
    <row r="149" spans="1:16" hidden="1" x14ac:dyDescent="0.25">
      <c r="A149" s="695">
        <v>56210</v>
      </c>
      <c r="B149" s="558">
        <v>1000</v>
      </c>
      <c r="C149" s="693">
        <v>100</v>
      </c>
      <c r="D149" s="558">
        <v>2310</v>
      </c>
      <c r="F149" s="693" t="s">
        <v>1285</v>
      </c>
      <c r="G149" s="696">
        <v>27</v>
      </c>
      <c r="H149" s="12" t="s">
        <v>889</v>
      </c>
      <c r="I149" s="12" t="s">
        <v>893</v>
      </c>
      <c r="J149" s="12" t="s">
        <v>918</v>
      </c>
      <c r="K149" s="12" t="s">
        <v>895</v>
      </c>
      <c r="L149" s="12"/>
      <c r="M149" s="11"/>
      <c r="N149" s="11"/>
      <c r="O149" s="11"/>
      <c r="P149" s="11"/>
    </row>
    <row r="150" spans="1:16" hidden="1" x14ac:dyDescent="0.25">
      <c r="A150" s="695">
        <v>56210</v>
      </c>
      <c r="B150" s="558">
        <v>1000</v>
      </c>
      <c r="C150" s="693">
        <v>100</v>
      </c>
      <c r="D150" s="558">
        <v>2400</v>
      </c>
      <c r="F150" s="693" t="s">
        <v>1285</v>
      </c>
      <c r="G150" s="696">
        <v>1844</v>
      </c>
      <c r="H150" s="12" t="s">
        <v>889</v>
      </c>
      <c r="I150" s="12" t="s">
        <v>893</v>
      </c>
      <c r="J150" s="12" t="s">
        <v>922</v>
      </c>
      <c r="K150" s="12" t="s">
        <v>895</v>
      </c>
      <c r="L150" s="12"/>
      <c r="M150" s="11"/>
      <c r="N150" s="11"/>
      <c r="O150" s="11"/>
      <c r="P150" s="11"/>
    </row>
    <row r="151" spans="1:16" hidden="1" x14ac:dyDescent="0.25">
      <c r="A151" s="695">
        <v>56210</v>
      </c>
      <c r="B151" s="558">
        <v>1000</v>
      </c>
      <c r="C151" s="693">
        <v>100</v>
      </c>
      <c r="D151" s="558">
        <v>2410</v>
      </c>
      <c r="F151" s="693" t="s">
        <v>1285</v>
      </c>
      <c r="G151" s="696">
        <v>1548</v>
      </c>
      <c r="H151" s="12" t="s">
        <v>889</v>
      </c>
      <c r="I151" s="12" t="s">
        <v>893</v>
      </c>
      <c r="J151" s="12" t="s">
        <v>922</v>
      </c>
      <c r="K151" s="12" t="s">
        <v>895</v>
      </c>
      <c r="L151" s="12"/>
      <c r="M151" s="11"/>
      <c r="N151" s="11"/>
      <c r="O151" s="11"/>
      <c r="P151" s="11"/>
    </row>
    <row r="152" spans="1:16" hidden="1" x14ac:dyDescent="0.25">
      <c r="A152" s="695">
        <v>56210</v>
      </c>
      <c r="B152" s="558">
        <v>1000</v>
      </c>
      <c r="C152" s="693">
        <v>100</v>
      </c>
      <c r="D152" s="558">
        <v>2500</v>
      </c>
      <c r="F152" s="693" t="s">
        <v>1285</v>
      </c>
      <c r="G152" s="696">
        <v>50965</v>
      </c>
      <c r="H152" s="12" t="s">
        <v>889</v>
      </c>
      <c r="I152" s="12" t="s">
        <v>893</v>
      </c>
      <c r="J152" s="12" t="s">
        <v>926</v>
      </c>
      <c r="K152" s="12" t="s">
        <v>895</v>
      </c>
      <c r="L152" s="12"/>
      <c r="M152" s="11"/>
      <c r="N152" s="11"/>
      <c r="O152" s="11"/>
      <c r="P152" s="11"/>
    </row>
    <row r="153" spans="1:16" hidden="1" x14ac:dyDescent="0.25">
      <c r="A153" s="695">
        <v>56210</v>
      </c>
      <c r="B153" s="558">
        <v>1000</v>
      </c>
      <c r="C153" s="693">
        <v>100</v>
      </c>
      <c r="D153" s="558">
        <v>2510</v>
      </c>
      <c r="F153" s="693" t="s">
        <v>1285</v>
      </c>
      <c r="G153" s="696">
        <v>28</v>
      </c>
      <c r="H153" s="12" t="s">
        <v>889</v>
      </c>
      <c r="I153" s="12" t="s">
        <v>893</v>
      </c>
      <c r="J153" s="12" t="s">
        <v>926</v>
      </c>
      <c r="K153" s="12" t="s">
        <v>895</v>
      </c>
      <c r="L153" s="12"/>
      <c r="M153" s="11"/>
      <c r="N153" s="11"/>
      <c r="O153" s="11"/>
      <c r="P153" s="11"/>
    </row>
    <row r="154" spans="1:16" hidden="1" x14ac:dyDescent="0.25">
      <c r="A154" s="695">
        <v>56210</v>
      </c>
      <c r="B154" s="558">
        <v>1000</v>
      </c>
      <c r="C154" s="693">
        <v>100</v>
      </c>
      <c r="D154" s="558">
        <v>2600</v>
      </c>
      <c r="F154" s="693" t="s">
        <v>1285</v>
      </c>
      <c r="G154" s="696">
        <v>3419</v>
      </c>
      <c r="H154" s="12" t="s">
        <v>889</v>
      </c>
      <c r="I154" s="12" t="s">
        <v>893</v>
      </c>
      <c r="J154" s="12" t="s">
        <v>930</v>
      </c>
      <c r="K154" s="12" t="s">
        <v>895</v>
      </c>
      <c r="L154" s="12"/>
      <c r="M154" s="11"/>
      <c r="N154" s="11"/>
      <c r="O154" s="11"/>
      <c r="P154" s="11"/>
    </row>
    <row r="155" spans="1:16" x14ac:dyDescent="0.25">
      <c r="A155" s="695">
        <v>56210</v>
      </c>
      <c r="B155" s="558">
        <v>1000</v>
      </c>
      <c r="C155" s="693">
        <v>100</v>
      </c>
      <c r="D155" s="558">
        <v>2700</v>
      </c>
      <c r="F155" s="693" t="s">
        <v>1285</v>
      </c>
      <c r="G155" s="696">
        <v>-7</v>
      </c>
      <c r="H155" s="12" t="s">
        <v>889</v>
      </c>
      <c r="I155" s="12" t="s">
        <v>913</v>
      </c>
      <c r="J155" s="12" t="s">
        <v>934</v>
      </c>
      <c r="K155" s="12" t="s">
        <v>895</v>
      </c>
      <c r="L155" s="12"/>
      <c r="M155" s="11"/>
      <c r="N155" s="11"/>
      <c r="O155" s="11"/>
      <c r="P155" s="11"/>
    </row>
    <row r="156" spans="1:16" hidden="1" x14ac:dyDescent="0.25">
      <c r="A156" s="695">
        <v>56210</v>
      </c>
      <c r="B156" s="558">
        <v>1000</v>
      </c>
      <c r="C156" s="693">
        <v>100</v>
      </c>
      <c r="D156" s="558">
        <v>3100</v>
      </c>
      <c r="F156" s="693" t="s">
        <v>1285</v>
      </c>
      <c r="G156" s="696">
        <v>28</v>
      </c>
      <c r="H156" s="12" t="s">
        <v>889</v>
      </c>
      <c r="I156" s="12" t="s">
        <v>893</v>
      </c>
      <c r="J156" s="12" t="s">
        <v>942</v>
      </c>
      <c r="K156" s="12" t="s">
        <v>895</v>
      </c>
      <c r="L156" s="12"/>
      <c r="M156" s="11"/>
      <c r="N156" s="11"/>
      <c r="O156" s="11"/>
      <c r="P156" s="11"/>
    </row>
    <row r="157" spans="1:16" hidden="1" x14ac:dyDescent="0.25">
      <c r="A157" s="695">
        <v>56210</v>
      </c>
      <c r="B157" s="558">
        <v>1000</v>
      </c>
      <c r="C157" s="693">
        <v>200</v>
      </c>
      <c r="D157" s="558">
        <v>1000</v>
      </c>
      <c r="F157" s="693" t="s">
        <v>1285</v>
      </c>
      <c r="G157" s="696">
        <v>115</v>
      </c>
      <c r="H157" s="12" t="s">
        <v>889</v>
      </c>
      <c r="I157" s="12" t="s">
        <v>897</v>
      </c>
      <c r="J157" s="12" t="s">
        <v>894</v>
      </c>
      <c r="K157" s="12" t="s">
        <v>895</v>
      </c>
      <c r="L157" s="12"/>
      <c r="M157" s="11"/>
      <c r="N157" s="11"/>
      <c r="O157" s="11"/>
      <c r="P157" s="11"/>
    </row>
    <row r="158" spans="1:16" hidden="1" x14ac:dyDescent="0.25">
      <c r="A158" s="695">
        <v>56210</v>
      </c>
      <c r="B158" s="558">
        <v>1000</v>
      </c>
      <c r="C158" s="693">
        <v>200</v>
      </c>
      <c r="D158" s="558">
        <v>2100</v>
      </c>
      <c r="F158" s="693" t="s">
        <v>1285</v>
      </c>
      <c r="G158" s="696">
        <v>2645</v>
      </c>
      <c r="H158" s="12" t="s">
        <v>889</v>
      </c>
      <c r="I158" s="12" t="s">
        <v>897</v>
      </c>
      <c r="J158" s="12" t="s">
        <v>902</v>
      </c>
      <c r="K158" s="12" t="s">
        <v>895</v>
      </c>
      <c r="L158" s="12"/>
      <c r="M158" s="11"/>
      <c r="N158" s="11"/>
      <c r="O158" s="11"/>
      <c r="P158" s="11"/>
    </row>
    <row r="159" spans="1:16" hidden="1" x14ac:dyDescent="0.25">
      <c r="A159" s="695">
        <v>56210</v>
      </c>
      <c r="B159" s="558">
        <v>1000</v>
      </c>
      <c r="C159" s="693">
        <v>200</v>
      </c>
      <c r="D159" s="558">
        <v>2200</v>
      </c>
      <c r="F159" s="693" t="s">
        <v>1285</v>
      </c>
      <c r="G159" s="696">
        <v>18</v>
      </c>
      <c r="H159" s="12" t="s">
        <v>889</v>
      </c>
      <c r="I159" s="12" t="s">
        <v>897</v>
      </c>
      <c r="J159" s="12" t="s">
        <v>906</v>
      </c>
      <c r="K159" s="12" t="s">
        <v>895</v>
      </c>
      <c r="L159" s="12"/>
      <c r="M159" s="11"/>
      <c r="N159" s="11"/>
      <c r="O159" s="11"/>
      <c r="P159" s="11"/>
    </row>
    <row r="160" spans="1:16" hidden="1" x14ac:dyDescent="0.25">
      <c r="A160" s="695">
        <v>56210</v>
      </c>
      <c r="B160" s="558">
        <v>1000</v>
      </c>
      <c r="C160" s="693">
        <v>240</v>
      </c>
      <c r="D160" s="558">
        <v>1000</v>
      </c>
      <c r="F160" s="693" t="s">
        <v>1285</v>
      </c>
      <c r="G160" s="696">
        <v>22</v>
      </c>
      <c r="H160" s="12" t="s">
        <v>889</v>
      </c>
      <c r="I160" s="12" t="s">
        <v>897</v>
      </c>
      <c r="J160" s="12" t="s">
        <v>894</v>
      </c>
      <c r="K160" s="12" t="s">
        <v>895</v>
      </c>
      <c r="L160" s="12"/>
      <c r="M160" s="11"/>
      <c r="N160" s="11"/>
      <c r="O160" s="11"/>
      <c r="P160" s="11"/>
    </row>
    <row r="161" spans="1:16" hidden="1" x14ac:dyDescent="0.25">
      <c r="A161" s="695">
        <v>56210</v>
      </c>
      <c r="B161" s="558">
        <v>1000</v>
      </c>
      <c r="C161" s="693">
        <v>260</v>
      </c>
      <c r="D161" s="558">
        <v>1000</v>
      </c>
      <c r="F161" s="693" t="s">
        <v>1285</v>
      </c>
      <c r="G161" s="696">
        <v>93</v>
      </c>
      <c r="H161" s="12" t="s">
        <v>889</v>
      </c>
      <c r="I161" s="12" t="s">
        <v>901</v>
      </c>
      <c r="J161" s="12" t="s">
        <v>894</v>
      </c>
      <c r="K161" s="12" t="s">
        <v>895</v>
      </c>
      <c r="L161" s="12"/>
      <c r="M161" s="11"/>
      <c r="N161" s="11"/>
      <c r="O161" s="11"/>
      <c r="P161" s="11"/>
    </row>
    <row r="162" spans="1:16" hidden="1" x14ac:dyDescent="0.25">
      <c r="A162" s="695">
        <v>56210</v>
      </c>
      <c r="B162" s="558">
        <v>1000</v>
      </c>
      <c r="C162" s="693">
        <v>400</v>
      </c>
      <c r="D162" s="558">
        <v>2700</v>
      </c>
      <c r="F162" s="693" t="s">
        <v>1285</v>
      </c>
      <c r="G162" s="696">
        <v>6</v>
      </c>
      <c r="H162" s="12" t="s">
        <v>889</v>
      </c>
      <c r="I162" s="12" t="s">
        <v>913</v>
      </c>
      <c r="J162" s="12" t="s">
        <v>934</v>
      </c>
      <c r="K162" s="12" t="s">
        <v>895</v>
      </c>
      <c r="L162" s="12"/>
      <c r="M162" s="11"/>
      <c r="N162" s="11"/>
      <c r="O162" s="11"/>
      <c r="P162" s="11"/>
    </row>
    <row r="163" spans="1:16" hidden="1" x14ac:dyDescent="0.25">
      <c r="A163" s="695">
        <v>56210</v>
      </c>
      <c r="B163" s="558">
        <v>1190</v>
      </c>
      <c r="C163" s="693">
        <v>260</v>
      </c>
      <c r="D163" s="558">
        <v>1000</v>
      </c>
      <c r="F163" s="693" t="s">
        <v>1285</v>
      </c>
      <c r="G163" s="696">
        <v>113</v>
      </c>
      <c r="H163" s="12" t="s">
        <v>920</v>
      </c>
      <c r="I163" s="12" t="s">
        <v>901</v>
      </c>
      <c r="J163" s="12" t="s">
        <v>894</v>
      </c>
      <c r="K163" s="12" t="s">
        <v>895</v>
      </c>
      <c r="L163" s="12"/>
      <c r="M163" s="11"/>
      <c r="N163" s="11"/>
      <c r="O163" s="11"/>
      <c r="P163" s="11"/>
    </row>
    <row r="164" spans="1:16" hidden="1" x14ac:dyDescent="0.25">
      <c r="A164" s="695">
        <v>56210</v>
      </c>
      <c r="B164" s="558">
        <v>1220</v>
      </c>
      <c r="C164" s="693">
        <v>200</v>
      </c>
      <c r="D164" s="558">
        <v>2100</v>
      </c>
      <c r="F164" s="693" t="s">
        <v>1285</v>
      </c>
      <c r="G164" s="696">
        <v>661</v>
      </c>
      <c r="H164" s="12" t="s">
        <v>932</v>
      </c>
      <c r="I164" s="12" t="s">
        <v>897</v>
      </c>
      <c r="J164" s="12" t="s">
        <v>902</v>
      </c>
      <c r="K164" s="12" t="s">
        <v>895</v>
      </c>
      <c r="L164" s="12"/>
      <c r="M164" s="11"/>
      <c r="N164" s="11"/>
      <c r="O164" s="11"/>
      <c r="P164" s="11"/>
    </row>
    <row r="165" spans="1:16" hidden="1" x14ac:dyDescent="0.25">
      <c r="A165" s="695">
        <v>56210</v>
      </c>
      <c r="B165" s="558">
        <v>1321</v>
      </c>
      <c r="C165" s="693">
        <v>100</v>
      </c>
      <c r="D165" s="558">
        <v>1000</v>
      </c>
      <c r="F165" s="693" t="s">
        <v>1285</v>
      </c>
      <c r="G165" s="696">
        <v>14429</v>
      </c>
      <c r="H165" s="12" t="s">
        <v>968</v>
      </c>
      <c r="I165" s="12" t="s">
        <v>893</v>
      </c>
      <c r="J165" s="12" t="s">
        <v>894</v>
      </c>
      <c r="K165" s="12" t="s">
        <v>895</v>
      </c>
      <c r="L165" s="12"/>
      <c r="M165" s="11"/>
      <c r="N165" s="11"/>
      <c r="O165" s="11"/>
      <c r="P165" s="11"/>
    </row>
    <row r="166" spans="1:16" hidden="1" x14ac:dyDescent="0.25">
      <c r="A166" s="695">
        <v>56210</v>
      </c>
      <c r="B166" s="558">
        <v>1321</v>
      </c>
      <c r="C166" s="693">
        <v>100</v>
      </c>
      <c r="D166" s="558">
        <v>2100</v>
      </c>
      <c r="F166" s="693" t="s">
        <v>1285</v>
      </c>
      <c r="G166" s="696">
        <v>6499</v>
      </c>
      <c r="H166" s="12" t="s">
        <v>968</v>
      </c>
      <c r="I166" s="12" t="s">
        <v>893</v>
      </c>
      <c r="J166" s="12" t="s">
        <v>902</v>
      </c>
      <c r="K166" s="12" t="s">
        <v>895</v>
      </c>
      <c r="L166" s="12"/>
      <c r="M166" s="11"/>
      <c r="N166" s="11"/>
      <c r="O166" s="11"/>
      <c r="P166" s="11"/>
    </row>
    <row r="167" spans="1:16" hidden="1" x14ac:dyDescent="0.25">
      <c r="A167" s="695">
        <v>56210</v>
      </c>
      <c r="B167" s="558">
        <v>1321</v>
      </c>
      <c r="C167" s="693">
        <v>100</v>
      </c>
      <c r="D167" s="558">
        <v>2400</v>
      </c>
      <c r="F167" s="693" t="s">
        <v>1285</v>
      </c>
      <c r="G167" s="696">
        <v>1259</v>
      </c>
      <c r="H167" s="12" t="s">
        <v>968</v>
      </c>
      <c r="I167" s="12" t="s">
        <v>893</v>
      </c>
      <c r="J167" s="12" t="s">
        <v>922</v>
      </c>
      <c r="K167" s="12" t="s">
        <v>895</v>
      </c>
      <c r="L167" s="12"/>
      <c r="M167" s="11"/>
      <c r="N167" s="11"/>
      <c r="O167" s="11"/>
      <c r="P167" s="11"/>
    </row>
    <row r="168" spans="1:16" hidden="1" x14ac:dyDescent="0.25">
      <c r="A168" s="695">
        <v>56210</v>
      </c>
      <c r="B168" s="558">
        <v>1321</v>
      </c>
      <c r="C168" s="693">
        <v>200</v>
      </c>
      <c r="D168" s="558">
        <v>1000</v>
      </c>
      <c r="F168" s="693" t="s">
        <v>1285</v>
      </c>
      <c r="G168" s="696">
        <v>3864</v>
      </c>
      <c r="H168" s="12" t="s">
        <v>968</v>
      </c>
      <c r="I168" s="12" t="s">
        <v>897</v>
      </c>
      <c r="J168" s="12" t="s">
        <v>894</v>
      </c>
      <c r="K168" s="12" t="s">
        <v>895</v>
      </c>
      <c r="L168" s="12"/>
      <c r="M168" s="11"/>
      <c r="N168" s="11"/>
      <c r="O168" s="11"/>
      <c r="P168" s="11"/>
    </row>
    <row r="169" spans="1:16" hidden="1" x14ac:dyDescent="0.25">
      <c r="A169" s="695">
        <v>56210</v>
      </c>
      <c r="B169" s="558">
        <v>1321</v>
      </c>
      <c r="C169" s="693">
        <v>200</v>
      </c>
      <c r="D169" s="558">
        <v>2100</v>
      </c>
      <c r="F169" s="693" t="s">
        <v>1285</v>
      </c>
      <c r="G169" s="696">
        <v>717</v>
      </c>
      <c r="H169" s="12" t="s">
        <v>968</v>
      </c>
      <c r="I169" s="12" t="s">
        <v>897</v>
      </c>
      <c r="J169" s="12" t="s">
        <v>902</v>
      </c>
      <c r="K169" s="12" t="s">
        <v>895</v>
      </c>
      <c r="L169" s="12"/>
      <c r="M169" s="11"/>
      <c r="N169" s="11"/>
      <c r="O169" s="11"/>
      <c r="P169" s="11"/>
    </row>
    <row r="170" spans="1:16" hidden="1" x14ac:dyDescent="0.25">
      <c r="A170" s="695">
        <v>56210</v>
      </c>
      <c r="B170" s="558">
        <v>1321</v>
      </c>
      <c r="C170" s="693">
        <v>200</v>
      </c>
      <c r="D170" s="558">
        <v>2200</v>
      </c>
      <c r="F170" s="693" t="s">
        <v>1285</v>
      </c>
      <c r="G170" s="696">
        <v>1</v>
      </c>
      <c r="H170" s="12" t="s">
        <v>968</v>
      </c>
      <c r="I170" s="12" t="s">
        <v>897</v>
      </c>
      <c r="J170" s="12" t="s">
        <v>906</v>
      </c>
      <c r="K170" s="12" t="s">
        <v>895</v>
      </c>
      <c r="L170" s="12"/>
      <c r="M170" s="11"/>
      <c r="N170" s="11"/>
      <c r="O170" s="11"/>
      <c r="P170" s="11"/>
    </row>
    <row r="171" spans="1:16" hidden="1" x14ac:dyDescent="0.25">
      <c r="A171" s="695">
        <v>56210</v>
      </c>
      <c r="B171" s="558">
        <v>1322</v>
      </c>
      <c r="C171" s="693">
        <v>100</v>
      </c>
      <c r="D171" s="558">
        <v>2500</v>
      </c>
      <c r="F171" s="693" t="s">
        <v>1285</v>
      </c>
      <c r="G171" s="696">
        <v>0</v>
      </c>
      <c r="H171" s="12" t="s">
        <v>968</v>
      </c>
      <c r="I171" s="12" t="s">
        <v>893</v>
      </c>
      <c r="J171" s="12" t="s">
        <v>926</v>
      </c>
      <c r="K171" s="12" t="s">
        <v>895</v>
      </c>
      <c r="L171" s="12"/>
      <c r="M171" s="11"/>
      <c r="N171" s="11"/>
      <c r="O171" s="11"/>
      <c r="P171" s="11"/>
    </row>
    <row r="172" spans="1:16" hidden="1" x14ac:dyDescent="0.25">
      <c r="A172" s="695">
        <v>56210</v>
      </c>
      <c r="B172" s="558">
        <v>1487</v>
      </c>
      <c r="C172" s="693">
        <v>100</v>
      </c>
      <c r="D172" s="558">
        <v>2100</v>
      </c>
      <c r="F172" s="693" t="s">
        <v>1285</v>
      </c>
      <c r="G172" s="696">
        <v>5538</v>
      </c>
      <c r="H172" s="12" t="s">
        <v>995</v>
      </c>
      <c r="I172" s="12" t="s">
        <v>893</v>
      </c>
      <c r="J172" s="12" t="s">
        <v>902</v>
      </c>
      <c r="K172" s="12" t="s">
        <v>895</v>
      </c>
      <c r="L172" s="12"/>
      <c r="M172" s="11"/>
      <c r="N172" s="11"/>
      <c r="O172" s="11"/>
      <c r="P172" s="11"/>
    </row>
    <row r="173" spans="1:16" x14ac:dyDescent="0.25">
      <c r="A173" s="695">
        <v>56210</v>
      </c>
      <c r="B173" s="558">
        <v>1534</v>
      </c>
      <c r="C173" s="693">
        <v>100</v>
      </c>
      <c r="D173" s="558">
        <v>2700</v>
      </c>
      <c r="F173" s="693" t="s">
        <v>1285</v>
      </c>
      <c r="G173" s="696">
        <v>15</v>
      </c>
      <c r="H173" s="12" t="s">
        <v>997</v>
      </c>
      <c r="I173" s="12" t="s">
        <v>913</v>
      </c>
      <c r="J173" s="12" t="s">
        <v>934</v>
      </c>
      <c r="K173" s="12" t="s">
        <v>895</v>
      </c>
      <c r="L173" s="12"/>
      <c r="M173" s="11"/>
      <c r="N173" s="11"/>
      <c r="O173" s="11"/>
      <c r="P173" s="11"/>
    </row>
    <row r="174" spans="1:16" hidden="1" x14ac:dyDescent="0.25">
      <c r="A174" s="695">
        <v>56210</v>
      </c>
      <c r="B174" s="558">
        <v>1534</v>
      </c>
      <c r="C174" s="693">
        <v>400</v>
      </c>
      <c r="D174" s="558">
        <v>2700</v>
      </c>
      <c r="F174" s="693" t="s">
        <v>1285</v>
      </c>
      <c r="G174" s="696">
        <v>584</v>
      </c>
      <c r="H174" s="12" t="s">
        <v>997</v>
      </c>
      <c r="I174" s="12" t="s">
        <v>913</v>
      </c>
      <c r="J174" s="12" t="s">
        <v>934</v>
      </c>
      <c r="K174" s="12" t="s">
        <v>895</v>
      </c>
      <c r="L174" s="12"/>
      <c r="M174" s="11"/>
      <c r="N174" s="11"/>
      <c r="O174" s="11"/>
      <c r="P174" s="11"/>
    </row>
    <row r="175" spans="1:16" hidden="1" x14ac:dyDescent="0.25">
      <c r="A175" s="695">
        <v>56210</v>
      </c>
      <c r="B175" s="558" t="s">
        <v>1248</v>
      </c>
      <c r="C175" s="693">
        <v>100</v>
      </c>
      <c r="D175" s="558">
        <v>1000</v>
      </c>
      <c r="F175" s="693" t="s">
        <v>1285</v>
      </c>
      <c r="G175" s="696">
        <v>6002</v>
      </c>
      <c r="H175" s="12" t="s">
        <v>904</v>
      </c>
      <c r="I175" s="12" t="s">
        <v>893</v>
      </c>
      <c r="J175" s="12" t="s">
        <v>894</v>
      </c>
      <c r="K175" s="12" t="s">
        <v>895</v>
      </c>
      <c r="L175" s="12"/>
      <c r="M175" s="11"/>
      <c r="N175" s="11"/>
      <c r="O175" s="11"/>
      <c r="P175" s="11"/>
    </row>
    <row r="176" spans="1:16" hidden="1" x14ac:dyDescent="0.25">
      <c r="A176" s="694">
        <v>56210</v>
      </c>
      <c r="B176" s="558" t="s">
        <v>1248</v>
      </c>
      <c r="C176" s="693">
        <v>260</v>
      </c>
      <c r="D176" s="558">
        <v>1000</v>
      </c>
      <c r="F176" s="693" t="s">
        <v>1285</v>
      </c>
      <c r="G176" s="696">
        <v>940</v>
      </c>
      <c r="H176" s="12" t="s">
        <v>904</v>
      </c>
      <c r="I176" s="12" t="s">
        <v>901</v>
      </c>
      <c r="J176" s="12" t="s">
        <v>894</v>
      </c>
      <c r="K176" s="12" t="s">
        <v>895</v>
      </c>
      <c r="L176" s="12"/>
      <c r="M176" s="11"/>
      <c r="N176" s="11"/>
      <c r="O176" s="11"/>
      <c r="P176" s="11"/>
    </row>
    <row r="177" spans="1:16" hidden="1" x14ac:dyDescent="0.25">
      <c r="A177" s="695">
        <v>56211</v>
      </c>
      <c r="B177" s="558">
        <v>1000</v>
      </c>
      <c r="C177" s="693">
        <v>100</v>
      </c>
      <c r="D177" s="558">
        <v>1000</v>
      </c>
      <c r="F177" s="693" t="s">
        <v>1286</v>
      </c>
      <c r="G177" s="696">
        <v>20</v>
      </c>
      <c r="H177" s="12" t="s">
        <v>889</v>
      </c>
      <c r="I177" s="12" t="s">
        <v>893</v>
      </c>
      <c r="J177" s="12" t="s">
        <v>894</v>
      </c>
      <c r="K177" s="12" t="s">
        <v>895</v>
      </c>
      <c r="L177" s="12"/>
      <c r="M177" s="11"/>
      <c r="N177" s="11"/>
      <c r="O177" s="11"/>
      <c r="P177" s="11"/>
    </row>
    <row r="178" spans="1:16" hidden="1" x14ac:dyDescent="0.25">
      <c r="A178" s="695">
        <v>56211</v>
      </c>
      <c r="B178" s="558">
        <v>1000</v>
      </c>
      <c r="C178" s="693">
        <v>100</v>
      </c>
      <c r="D178" s="558">
        <v>2100</v>
      </c>
      <c r="F178" s="693" t="s">
        <v>1286</v>
      </c>
      <c r="G178" s="696">
        <v>22</v>
      </c>
      <c r="H178" s="12" t="s">
        <v>889</v>
      </c>
      <c r="I178" s="12" t="s">
        <v>893</v>
      </c>
      <c r="J178" s="12" t="s">
        <v>902</v>
      </c>
      <c r="K178" s="12" t="s">
        <v>895</v>
      </c>
      <c r="L178" s="12"/>
      <c r="M178" s="11"/>
      <c r="N178" s="11"/>
      <c r="O178" s="11"/>
      <c r="P178" s="11"/>
    </row>
    <row r="179" spans="1:16" hidden="1" x14ac:dyDescent="0.25">
      <c r="A179" s="695">
        <v>56211</v>
      </c>
      <c r="B179" s="558">
        <v>1000</v>
      </c>
      <c r="C179" s="693">
        <v>100</v>
      </c>
      <c r="D179" s="558">
        <v>2200</v>
      </c>
      <c r="F179" s="693" t="s">
        <v>1286</v>
      </c>
      <c r="G179" s="696">
        <v>13</v>
      </c>
      <c r="H179" s="12" t="s">
        <v>889</v>
      </c>
      <c r="I179" s="12" t="s">
        <v>893</v>
      </c>
      <c r="J179" s="12" t="s">
        <v>906</v>
      </c>
      <c r="K179" s="12" t="s">
        <v>895</v>
      </c>
      <c r="L179" s="12"/>
      <c r="M179" s="11"/>
      <c r="N179" s="11"/>
      <c r="O179" s="11"/>
      <c r="P179" s="11"/>
    </row>
    <row r="180" spans="1:16" hidden="1" x14ac:dyDescent="0.25">
      <c r="A180" s="695">
        <v>56211</v>
      </c>
      <c r="B180" s="558">
        <v>1000</v>
      </c>
      <c r="C180" s="693">
        <v>100</v>
      </c>
      <c r="D180" s="558">
        <v>2300</v>
      </c>
      <c r="F180" s="693" t="s">
        <v>1286</v>
      </c>
      <c r="G180" s="696">
        <v>6</v>
      </c>
      <c r="H180" s="12" t="s">
        <v>889</v>
      </c>
      <c r="I180" s="12" t="s">
        <v>893</v>
      </c>
      <c r="J180" s="12" t="s">
        <v>918</v>
      </c>
      <c r="K180" s="12" t="s">
        <v>895</v>
      </c>
      <c r="L180" s="12"/>
      <c r="M180" s="11"/>
      <c r="N180" s="11"/>
      <c r="O180" s="11"/>
      <c r="P180" s="11"/>
    </row>
    <row r="181" spans="1:16" hidden="1" x14ac:dyDescent="0.25">
      <c r="A181" s="695">
        <v>56211</v>
      </c>
      <c r="B181" s="558">
        <v>1000</v>
      </c>
      <c r="C181" s="693">
        <v>100</v>
      </c>
      <c r="D181" s="558">
        <v>2310</v>
      </c>
      <c r="F181" s="693" t="s">
        <v>1286</v>
      </c>
      <c r="G181" s="696">
        <v>6</v>
      </c>
      <c r="H181" s="12" t="s">
        <v>889</v>
      </c>
      <c r="I181" s="12" t="s">
        <v>893</v>
      </c>
      <c r="J181" s="12" t="s">
        <v>918</v>
      </c>
      <c r="K181" s="12" t="s">
        <v>895</v>
      </c>
      <c r="L181" s="12"/>
      <c r="M181" s="11"/>
      <c r="N181" s="11"/>
      <c r="O181" s="11"/>
      <c r="P181" s="11"/>
    </row>
    <row r="182" spans="1:16" hidden="1" x14ac:dyDescent="0.25">
      <c r="A182" s="695">
        <v>56211</v>
      </c>
      <c r="B182" s="558">
        <v>1000</v>
      </c>
      <c r="C182" s="693">
        <v>100</v>
      </c>
      <c r="D182" s="558">
        <v>2400</v>
      </c>
      <c r="F182" s="693" t="s">
        <v>1286</v>
      </c>
      <c r="G182" s="696">
        <v>413</v>
      </c>
      <c r="H182" s="12" t="s">
        <v>889</v>
      </c>
      <c r="I182" s="12" t="s">
        <v>893</v>
      </c>
      <c r="J182" s="12" t="s">
        <v>922</v>
      </c>
      <c r="K182" s="12" t="s">
        <v>895</v>
      </c>
      <c r="L182" s="12"/>
      <c r="M182" s="11"/>
      <c r="N182" s="11"/>
      <c r="O182" s="11"/>
      <c r="P182" s="11"/>
    </row>
    <row r="183" spans="1:16" hidden="1" x14ac:dyDescent="0.25">
      <c r="A183" s="695">
        <v>56211</v>
      </c>
      <c r="B183" s="558">
        <v>1000</v>
      </c>
      <c r="C183" s="693">
        <v>100</v>
      </c>
      <c r="D183" s="558">
        <v>2410</v>
      </c>
      <c r="F183" s="693" t="s">
        <v>1286</v>
      </c>
      <c r="G183" s="696">
        <v>313</v>
      </c>
      <c r="H183" s="12" t="s">
        <v>889</v>
      </c>
      <c r="I183" s="12" t="s">
        <v>893</v>
      </c>
      <c r="J183" s="12" t="s">
        <v>922</v>
      </c>
      <c r="K183" s="12" t="s">
        <v>895</v>
      </c>
      <c r="L183" s="12"/>
      <c r="M183" s="11"/>
      <c r="N183" s="11"/>
      <c r="O183" s="11"/>
      <c r="P183" s="11"/>
    </row>
    <row r="184" spans="1:16" hidden="1" x14ac:dyDescent="0.25">
      <c r="A184" s="695">
        <v>56211</v>
      </c>
      <c r="B184" s="558">
        <v>1000</v>
      </c>
      <c r="C184" s="693">
        <v>100</v>
      </c>
      <c r="D184" s="558">
        <v>2500</v>
      </c>
      <c r="F184" s="693" t="s">
        <v>1286</v>
      </c>
      <c r="G184" s="696">
        <v>240</v>
      </c>
      <c r="H184" s="12" t="s">
        <v>889</v>
      </c>
      <c r="I184" s="12" t="s">
        <v>893</v>
      </c>
      <c r="J184" s="12" t="s">
        <v>926</v>
      </c>
      <c r="K184" s="12" t="s">
        <v>895</v>
      </c>
      <c r="L184" s="12"/>
      <c r="M184" s="11"/>
      <c r="N184" s="11"/>
      <c r="O184" s="11"/>
      <c r="P184" s="11"/>
    </row>
    <row r="185" spans="1:16" hidden="1" x14ac:dyDescent="0.25">
      <c r="A185" s="695">
        <v>56211</v>
      </c>
      <c r="B185" s="558">
        <v>1000</v>
      </c>
      <c r="C185" s="693">
        <v>100</v>
      </c>
      <c r="D185" s="558">
        <v>2510</v>
      </c>
      <c r="F185" s="693" t="s">
        <v>1286</v>
      </c>
      <c r="G185" s="696">
        <v>4</v>
      </c>
      <c r="H185" s="12" t="s">
        <v>889</v>
      </c>
      <c r="I185" s="12" t="s">
        <v>893</v>
      </c>
      <c r="J185" s="12" t="s">
        <v>926</v>
      </c>
      <c r="K185" s="12" t="s">
        <v>895</v>
      </c>
      <c r="L185" s="12"/>
      <c r="M185" s="11"/>
      <c r="N185" s="11"/>
      <c r="O185" s="11"/>
      <c r="P185" s="11"/>
    </row>
    <row r="186" spans="1:16" hidden="1" x14ac:dyDescent="0.25">
      <c r="A186" s="695">
        <v>56211</v>
      </c>
      <c r="B186" s="558">
        <v>1000</v>
      </c>
      <c r="C186" s="693">
        <v>100</v>
      </c>
      <c r="D186" s="558">
        <v>2600</v>
      </c>
      <c r="F186" s="693" t="s">
        <v>1286</v>
      </c>
      <c r="G186" s="696">
        <v>571</v>
      </c>
      <c r="H186" s="12" t="s">
        <v>889</v>
      </c>
      <c r="I186" s="12" t="s">
        <v>893</v>
      </c>
      <c r="J186" s="12" t="s">
        <v>930</v>
      </c>
      <c r="K186" s="12" t="s">
        <v>895</v>
      </c>
      <c r="L186" s="12"/>
      <c r="M186" s="11"/>
      <c r="N186" s="11"/>
      <c r="O186" s="11"/>
      <c r="P186" s="11"/>
    </row>
    <row r="187" spans="1:16" x14ac:dyDescent="0.25">
      <c r="A187" s="695">
        <v>56211</v>
      </c>
      <c r="B187" s="558">
        <v>1000</v>
      </c>
      <c r="C187" s="693">
        <v>100</v>
      </c>
      <c r="D187" s="558">
        <v>2700</v>
      </c>
      <c r="F187" s="693" t="s">
        <v>1286</v>
      </c>
      <c r="G187" s="696">
        <v>0</v>
      </c>
      <c r="H187" s="12" t="s">
        <v>889</v>
      </c>
      <c r="I187" s="12" t="s">
        <v>913</v>
      </c>
      <c r="J187" s="12" t="s">
        <v>934</v>
      </c>
      <c r="K187" s="12" t="s">
        <v>895</v>
      </c>
      <c r="L187" s="12"/>
      <c r="M187" s="11"/>
      <c r="N187" s="11"/>
      <c r="O187" s="11"/>
      <c r="P187" s="11"/>
    </row>
    <row r="188" spans="1:16" hidden="1" x14ac:dyDescent="0.25">
      <c r="A188" s="695">
        <v>56211</v>
      </c>
      <c r="B188" s="558">
        <v>1000</v>
      </c>
      <c r="C188" s="693">
        <v>100</v>
      </c>
      <c r="D188" s="558">
        <v>3100</v>
      </c>
      <c r="F188" s="693" t="s">
        <v>1286</v>
      </c>
      <c r="G188" s="696">
        <v>6</v>
      </c>
      <c r="H188" s="12" t="s">
        <v>889</v>
      </c>
      <c r="I188" s="12" t="s">
        <v>893</v>
      </c>
      <c r="J188" s="12" t="s">
        <v>942</v>
      </c>
      <c r="K188" s="12" t="s">
        <v>895</v>
      </c>
      <c r="L188" s="12"/>
      <c r="M188" s="11"/>
      <c r="N188" s="11"/>
      <c r="O188" s="11"/>
      <c r="P188" s="11"/>
    </row>
    <row r="189" spans="1:16" hidden="1" x14ac:dyDescent="0.25">
      <c r="A189" s="695">
        <v>56211</v>
      </c>
      <c r="B189" s="558">
        <v>1000</v>
      </c>
      <c r="C189" s="693">
        <v>200</v>
      </c>
      <c r="D189" s="558">
        <v>1000</v>
      </c>
      <c r="F189" s="693" t="s">
        <v>1286</v>
      </c>
      <c r="G189" s="696">
        <v>8</v>
      </c>
      <c r="H189" s="12" t="s">
        <v>889</v>
      </c>
      <c r="I189" s="12" t="s">
        <v>897</v>
      </c>
      <c r="J189" s="12" t="s">
        <v>894</v>
      </c>
      <c r="K189" s="12" t="s">
        <v>895</v>
      </c>
      <c r="L189" s="12"/>
      <c r="M189" s="11"/>
      <c r="N189" s="11"/>
      <c r="O189" s="11"/>
      <c r="P189" s="11"/>
    </row>
    <row r="190" spans="1:16" hidden="1" x14ac:dyDescent="0.25">
      <c r="A190" s="695">
        <v>56211</v>
      </c>
      <c r="B190" s="558">
        <v>1000</v>
      </c>
      <c r="C190" s="693">
        <v>200</v>
      </c>
      <c r="D190" s="558">
        <v>2100</v>
      </c>
      <c r="F190" s="693" t="s">
        <v>1286</v>
      </c>
      <c r="G190" s="696">
        <v>345</v>
      </c>
      <c r="H190" s="12" t="s">
        <v>889</v>
      </c>
      <c r="I190" s="12" t="s">
        <v>897</v>
      </c>
      <c r="J190" s="12" t="s">
        <v>902</v>
      </c>
      <c r="K190" s="12" t="s">
        <v>895</v>
      </c>
      <c r="L190" s="12"/>
      <c r="M190" s="11"/>
      <c r="N190" s="11"/>
      <c r="O190" s="11"/>
      <c r="P190" s="11"/>
    </row>
    <row r="191" spans="1:16" hidden="1" x14ac:dyDescent="0.25">
      <c r="A191" s="695">
        <v>56211</v>
      </c>
      <c r="B191" s="558">
        <v>1000</v>
      </c>
      <c r="C191" s="693">
        <v>240</v>
      </c>
      <c r="D191" s="558">
        <v>1000</v>
      </c>
      <c r="F191" s="693" t="s">
        <v>1286</v>
      </c>
      <c r="G191" s="696">
        <v>5</v>
      </c>
      <c r="H191" s="12" t="s">
        <v>889</v>
      </c>
      <c r="I191" s="12" t="s">
        <v>897</v>
      </c>
      <c r="J191" s="12" t="s">
        <v>894</v>
      </c>
      <c r="K191" s="12" t="s">
        <v>895</v>
      </c>
      <c r="L191" s="12"/>
      <c r="M191" s="11"/>
      <c r="N191" s="11"/>
      <c r="O191" s="11"/>
      <c r="P191" s="11"/>
    </row>
    <row r="192" spans="1:16" hidden="1" x14ac:dyDescent="0.25">
      <c r="A192" s="695">
        <v>56211</v>
      </c>
      <c r="B192" s="558">
        <v>1000</v>
      </c>
      <c r="C192" s="693">
        <v>260</v>
      </c>
      <c r="D192" s="558">
        <v>1000</v>
      </c>
      <c r="F192" s="693" t="s">
        <v>1286</v>
      </c>
      <c r="G192" s="696">
        <v>9</v>
      </c>
      <c r="H192" s="12" t="s">
        <v>889</v>
      </c>
      <c r="I192" s="12" t="s">
        <v>901</v>
      </c>
      <c r="J192" s="12" t="s">
        <v>894</v>
      </c>
      <c r="K192" s="12" t="s">
        <v>895</v>
      </c>
      <c r="L192" s="12"/>
      <c r="M192" s="11"/>
      <c r="N192" s="11"/>
      <c r="O192" s="11"/>
      <c r="P192" s="11"/>
    </row>
    <row r="193" spans="1:16" hidden="1" x14ac:dyDescent="0.25">
      <c r="A193" s="695">
        <v>56211</v>
      </c>
      <c r="B193" s="558">
        <v>1000</v>
      </c>
      <c r="C193" s="693">
        <v>400</v>
      </c>
      <c r="D193" s="558">
        <v>2700</v>
      </c>
      <c r="F193" s="693" t="s">
        <v>1286</v>
      </c>
      <c r="G193" s="696">
        <v>0</v>
      </c>
      <c r="H193" s="12" t="s">
        <v>889</v>
      </c>
      <c r="I193" s="12" t="s">
        <v>913</v>
      </c>
      <c r="J193" s="12" t="s">
        <v>934</v>
      </c>
      <c r="K193" s="12" t="s">
        <v>895</v>
      </c>
      <c r="L193" s="12"/>
      <c r="M193" s="11"/>
      <c r="N193" s="11"/>
      <c r="O193" s="11"/>
      <c r="P193" s="11"/>
    </row>
    <row r="194" spans="1:16" hidden="1" x14ac:dyDescent="0.25">
      <c r="A194" s="695">
        <v>56211</v>
      </c>
      <c r="B194" s="558">
        <v>1190</v>
      </c>
      <c r="C194" s="693">
        <v>260</v>
      </c>
      <c r="D194" s="558">
        <v>1000</v>
      </c>
      <c r="F194" s="693" t="s">
        <v>1286</v>
      </c>
      <c r="G194" s="696">
        <v>246</v>
      </c>
      <c r="H194" s="12" t="s">
        <v>920</v>
      </c>
      <c r="I194" s="12" t="s">
        <v>901</v>
      </c>
      <c r="J194" s="12" t="s">
        <v>894</v>
      </c>
      <c r="K194" s="12" t="s">
        <v>895</v>
      </c>
      <c r="L194" s="12"/>
      <c r="M194" s="11"/>
      <c r="N194" s="11"/>
      <c r="O194" s="11"/>
      <c r="P194" s="11"/>
    </row>
    <row r="195" spans="1:16" hidden="1" x14ac:dyDescent="0.25">
      <c r="A195" s="695">
        <v>56211</v>
      </c>
      <c r="B195" s="558">
        <v>1220</v>
      </c>
      <c r="C195" s="693">
        <v>200</v>
      </c>
      <c r="D195" s="558">
        <v>2100</v>
      </c>
      <c r="F195" s="693" t="s">
        <v>1286</v>
      </c>
      <c r="G195" s="696">
        <v>60</v>
      </c>
      <c r="H195" s="12" t="s">
        <v>932</v>
      </c>
      <c r="I195" s="12" t="s">
        <v>897</v>
      </c>
      <c r="J195" s="12" t="s">
        <v>902</v>
      </c>
      <c r="K195" s="12" t="s">
        <v>895</v>
      </c>
      <c r="L195" s="12"/>
      <c r="M195" s="11"/>
      <c r="N195" s="11"/>
      <c r="O195" s="11"/>
      <c r="P195" s="11"/>
    </row>
    <row r="196" spans="1:16" hidden="1" x14ac:dyDescent="0.25">
      <c r="A196" s="695">
        <v>56211</v>
      </c>
      <c r="B196" s="558">
        <v>1321</v>
      </c>
      <c r="C196" s="693">
        <v>100</v>
      </c>
      <c r="D196" s="558">
        <v>1000</v>
      </c>
      <c r="F196" s="693" t="s">
        <v>1286</v>
      </c>
      <c r="G196" s="696">
        <v>749</v>
      </c>
      <c r="H196" s="12" t="s">
        <v>968</v>
      </c>
      <c r="I196" s="12" t="s">
        <v>893</v>
      </c>
      <c r="J196" s="12" t="s">
        <v>894</v>
      </c>
      <c r="K196" s="12" t="s">
        <v>895</v>
      </c>
      <c r="L196" s="12"/>
      <c r="M196" s="11"/>
      <c r="N196" s="11"/>
      <c r="O196" s="11"/>
      <c r="P196" s="11"/>
    </row>
    <row r="197" spans="1:16" hidden="1" x14ac:dyDescent="0.25">
      <c r="A197" s="695">
        <v>56211</v>
      </c>
      <c r="B197" s="558">
        <v>1321</v>
      </c>
      <c r="C197" s="693">
        <v>100</v>
      </c>
      <c r="D197" s="558">
        <v>2100</v>
      </c>
      <c r="F197" s="693" t="s">
        <v>1286</v>
      </c>
      <c r="G197" s="696">
        <v>300</v>
      </c>
      <c r="H197" s="12" t="s">
        <v>968</v>
      </c>
      <c r="I197" s="12" t="s">
        <v>893</v>
      </c>
      <c r="J197" s="12" t="s">
        <v>902</v>
      </c>
      <c r="K197" s="12" t="s">
        <v>895</v>
      </c>
      <c r="L197" s="12"/>
      <c r="M197" s="11"/>
      <c r="N197" s="11"/>
      <c r="O197" s="11"/>
      <c r="P197" s="11"/>
    </row>
    <row r="198" spans="1:16" hidden="1" x14ac:dyDescent="0.25">
      <c r="A198" s="695">
        <v>56211</v>
      </c>
      <c r="B198" s="558">
        <v>1321</v>
      </c>
      <c r="C198" s="693">
        <v>200</v>
      </c>
      <c r="D198" s="558">
        <v>1000</v>
      </c>
      <c r="F198" s="693" t="s">
        <v>1286</v>
      </c>
      <c r="G198" s="696">
        <v>797</v>
      </c>
      <c r="H198" s="12" t="s">
        <v>968</v>
      </c>
      <c r="I198" s="12" t="s">
        <v>897</v>
      </c>
      <c r="J198" s="12" t="s">
        <v>894</v>
      </c>
      <c r="K198" s="12" t="s">
        <v>895</v>
      </c>
      <c r="L198" s="12"/>
      <c r="M198" s="11"/>
      <c r="N198" s="11"/>
      <c r="O198" s="11"/>
      <c r="P198" s="11"/>
    </row>
    <row r="199" spans="1:16" hidden="1" x14ac:dyDescent="0.25">
      <c r="A199" s="695">
        <v>56211</v>
      </c>
      <c r="B199" s="558">
        <v>1487</v>
      </c>
      <c r="C199" s="693">
        <v>100</v>
      </c>
      <c r="D199" s="558">
        <v>2100</v>
      </c>
      <c r="F199" s="693" t="s">
        <v>1286</v>
      </c>
      <c r="G199" s="696">
        <v>625</v>
      </c>
      <c r="H199" s="12" t="s">
        <v>995</v>
      </c>
      <c r="I199" s="12" t="s">
        <v>893</v>
      </c>
      <c r="J199" s="12" t="s">
        <v>902</v>
      </c>
      <c r="K199" s="12" t="s">
        <v>895</v>
      </c>
      <c r="L199" s="12"/>
      <c r="M199" s="11"/>
      <c r="N199" s="11"/>
      <c r="O199" s="11"/>
      <c r="P199" s="11"/>
    </row>
    <row r="200" spans="1:16" x14ac:dyDescent="0.25">
      <c r="A200" s="695">
        <v>56211</v>
      </c>
      <c r="B200" s="558">
        <v>1534</v>
      </c>
      <c r="C200" s="693">
        <v>100</v>
      </c>
      <c r="D200" s="558">
        <v>2700</v>
      </c>
      <c r="F200" s="693" t="s">
        <v>1286</v>
      </c>
      <c r="G200" s="696">
        <v>1</v>
      </c>
      <c r="H200" s="12" t="s">
        <v>997</v>
      </c>
      <c r="I200" s="12" t="s">
        <v>913</v>
      </c>
      <c r="J200" s="12" t="s">
        <v>934</v>
      </c>
      <c r="K200" s="12" t="s">
        <v>895</v>
      </c>
      <c r="L200" s="12"/>
      <c r="M200" s="11"/>
      <c r="N200" s="11"/>
      <c r="O200" s="11"/>
      <c r="P200" s="11"/>
    </row>
    <row r="201" spans="1:16" hidden="1" x14ac:dyDescent="0.25">
      <c r="A201" s="695">
        <v>56211</v>
      </c>
      <c r="B201" s="558">
        <v>1534</v>
      </c>
      <c r="C201" s="693">
        <v>400</v>
      </c>
      <c r="D201" s="558">
        <v>2700</v>
      </c>
      <c r="F201" s="693" t="s">
        <v>1286</v>
      </c>
      <c r="G201" s="696">
        <v>1</v>
      </c>
      <c r="H201" s="12" t="s">
        <v>997</v>
      </c>
      <c r="I201" s="12" t="s">
        <v>913</v>
      </c>
      <c r="J201" s="12" t="s">
        <v>934</v>
      </c>
      <c r="K201" s="12" t="s">
        <v>895</v>
      </c>
      <c r="L201" s="12"/>
      <c r="M201" s="11"/>
      <c r="N201" s="11"/>
      <c r="O201" s="11"/>
      <c r="P201" s="11"/>
    </row>
    <row r="202" spans="1:16" hidden="1" x14ac:dyDescent="0.25">
      <c r="A202" s="695">
        <v>56211</v>
      </c>
      <c r="B202" s="558" t="s">
        <v>1248</v>
      </c>
      <c r="C202" s="693">
        <v>100</v>
      </c>
      <c r="D202" s="558">
        <v>1000</v>
      </c>
      <c r="F202" s="693" t="s">
        <v>1286</v>
      </c>
      <c r="G202" s="696">
        <v>476</v>
      </c>
      <c r="H202" s="12" t="s">
        <v>904</v>
      </c>
      <c r="I202" s="12" t="s">
        <v>893</v>
      </c>
      <c r="J202" s="12" t="s">
        <v>894</v>
      </c>
      <c r="K202" s="12" t="s">
        <v>895</v>
      </c>
      <c r="L202" s="12"/>
      <c r="M202" s="11"/>
      <c r="N202" s="11"/>
      <c r="O202" s="11"/>
      <c r="P202" s="11"/>
    </row>
    <row r="203" spans="1:16" hidden="1" x14ac:dyDescent="0.25">
      <c r="A203" s="694">
        <v>56211</v>
      </c>
      <c r="B203" s="558" t="s">
        <v>1248</v>
      </c>
      <c r="C203" s="693">
        <v>260</v>
      </c>
      <c r="D203" s="558">
        <v>1000</v>
      </c>
      <c r="F203" s="693" t="s">
        <v>1286</v>
      </c>
      <c r="G203" s="696">
        <v>196</v>
      </c>
      <c r="H203" s="12" t="s">
        <v>904</v>
      </c>
      <c r="I203" s="12" t="s">
        <v>901</v>
      </c>
      <c r="J203" s="12" t="s">
        <v>894</v>
      </c>
      <c r="K203" s="12" t="s">
        <v>895</v>
      </c>
      <c r="L203" s="12"/>
      <c r="M203" s="11"/>
      <c r="N203" s="11"/>
      <c r="O203" s="11"/>
      <c r="P203" s="11"/>
    </row>
    <row r="204" spans="1:16" hidden="1" x14ac:dyDescent="0.25">
      <c r="A204" s="695">
        <v>56212</v>
      </c>
      <c r="B204" s="558">
        <v>1000</v>
      </c>
      <c r="C204" s="693">
        <v>100</v>
      </c>
      <c r="D204" s="558">
        <v>1000</v>
      </c>
      <c r="F204" s="693" t="s">
        <v>1287</v>
      </c>
      <c r="G204" s="696">
        <v>10</v>
      </c>
      <c r="H204" s="12" t="s">
        <v>889</v>
      </c>
      <c r="I204" s="12" t="s">
        <v>893</v>
      </c>
      <c r="J204" s="12" t="s">
        <v>894</v>
      </c>
      <c r="K204" s="12" t="s">
        <v>895</v>
      </c>
      <c r="L204" s="12"/>
      <c r="M204" s="11"/>
      <c r="N204" s="11"/>
      <c r="O204" s="11"/>
      <c r="P204" s="11"/>
    </row>
    <row r="205" spans="1:16" hidden="1" x14ac:dyDescent="0.25">
      <c r="A205" s="695">
        <v>56212</v>
      </c>
      <c r="B205" s="558">
        <v>1000</v>
      </c>
      <c r="C205" s="693">
        <v>100</v>
      </c>
      <c r="D205" s="558">
        <v>2100</v>
      </c>
      <c r="F205" s="693" t="s">
        <v>1287</v>
      </c>
      <c r="G205" s="696">
        <v>6</v>
      </c>
      <c r="H205" s="12" t="s">
        <v>889</v>
      </c>
      <c r="I205" s="12" t="s">
        <v>893</v>
      </c>
      <c r="J205" s="12" t="s">
        <v>902</v>
      </c>
      <c r="K205" s="12" t="s">
        <v>895</v>
      </c>
      <c r="L205" s="12"/>
      <c r="M205" s="11"/>
      <c r="N205" s="11"/>
      <c r="O205" s="11"/>
      <c r="P205" s="11"/>
    </row>
    <row r="206" spans="1:16" hidden="1" x14ac:dyDescent="0.25">
      <c r="A206" s="695">
        <v>56212</v>
      </c>
      <c r="B206" s="558">
        <v>1000</v>
      </c>
      <c r="C206" s="693">
        <v>100</v>
      </c>
      <c r="D206" s="558">
        <v>2110</v>
      </c>
      <c r="F206" s="693" t="s">
        <v>1287</v>
      </c>
      <c r="G206" s="696">
        <v>1</v>
      </c>
      <c r="H206" s="12" t="s">
        <v>889</v>
      </c>
      <c r="I206" s="12" t="s">
        <v>893</v>
      </c>
      <c r="J206" s="12" t="s">
        <v>902</v>
      </c>
      <c r="K206" s="12" t="s">
        <v>895</v>
      </c>
      <c r="L206" s="12"/>
      <c r="M206" s="11"/>
      <c r="N206" s="11"/>
      <c r="O206" s="11"/>
      <c r="P206" s="11"/>
    </row>
    <row r="207" spans="1:16" hidden="1" x14ac:dyDescent="0.25">
      <c r="A207" s="695">
        <v>56212</v>
      </c>
      <c r="B207" s="558">
        <v>1000</v>
      </c>
      <c r="C207" s="693">
        <v>100</v>
      </c>
      <c r="D207" s="558">
        <v>2200</v>
      </c>
      <c r="F207" s="693" t="s">
        <v>1287</v>
      </c>
      <c r="G207" s="696">
        <v>3</v>
      </c>
      <c r="H207" s="12" t="s">
        <v>889</v>
      </c>
      <c r="I207" s="12" t="s">
        <v>893</v>
      </c>
      <c r="J207" s="12" t="s">
        <v>906</v>
      </c>
      <c r="K207" s="12" t="s">
        <v>895</v>
      </c>
      <c r="L207" s="12"/>
      <c r="M207" s="11"/>
      <c r="N207" s="11"/>
      <c r="O207" s="11"/>
      <c r="P207" s="11"/>
    </row>
    <row r="208" spans="1:16" hidden="1" x14ac:dyDescent="0.25">
      <c r="A208" s="695">
        <v>56212</v>
      </c>
      <c r="B208" s="558">
        <v>1000</v>
      </c>
      <c r="C208" s="693">
        <v>100</v>
      </c>
      <c r="D208" s="558">
        <v>2300</v>
      </c>
      <c r="F208" s="693" t="s">
        <v>1287</v>
      </c>
      <c r="G208" s="696">
        <v>1</v>
      </c>
      <c r="H208" s="12" t="s">
        <v>889</v>
      </c>
      <c r="I208" s="12" t="s">
        <v>893</v>
      </c>
      <c r="J208" s="12" t="s">
        <v>918</v>
      </c>
      <c r="K208" s="12" t="s">
        <v>895</v>
      </c>
      <c r="L208" s="12"/>
      <c r="M208" s="11"/>
      <c r="N208" s="11"/>
      <c r="O208" s="11"/>
      <c r="P208" s="11"/>
    </row>
    <row r="209" spans="1:16" hidden="1" x14ac:dyDescent="0.25">
      <c r="A209" s="695">
        <v>56212</v>
      </c>
      <c r="B209" s="558">
        <v>1000</v>
      </c>
      <c r="C209" s="693">
        <v>100</v>
      </c>
      <c r="D209" s="558">
        <v>2310</v>
      </c>
      <c r="F209" s="693" t="s">
        <v>1287</v>
      </c>
      <c r="G209" s="696">
        <v>1</v>
      </c>
      <c r="H209" s="12" t="s">
        <v>889</v>
      </c>
      <c r="I209" s="12" t="s">
        <v>893</v>
      </c>
      <c r="J209" s="12" t="s">
        <v>918</v>
      </c>
      <c r="K209" s="12" t="s">
        <v>895</v>
      </c>
      <c r="L209" s="12"/>
      <c r="M209" s="11"/>
      <c r="N209" s="11"/>
      <c r="O209" s="11"/>
      <c r="P209" s="11"/>
    </row>
    <row r="210" spans="1:16" hidden="1" x14ac:dyDescent="0.25">
      <c r="A210" s="695">
        <v>56212</v>
      </c>
      <c r="B210" s="558">
        <v>1000</v>
      </c>
      <c r="C210" s="693">
        <v>100</v>
      </c>
      <c r="D210" s="558">
        <v>2400</v>
      </c>
      <c r="F210" s="693" t="s">
        <v>1287</v>
      </c>
      <c r="G210" s="696">
        <v>44</v>
      </c>
      <c r="H210" s="12" t="s">
        <v>889</v>
      </c>
      <c r="I210" s="12" t="s">
        <v>893</v>
      </c>
      <c r="J210" s="12" t="s">
        <v>922</v>
      </c>
      <c r="K210" s="12" t="s">
        <v>895</v>
      </c>
      <c r="L210" s="12"/>
      <c r="M210" s="11"/>
      <c r="N210" s="11"/>
      <c r="O210" s="11"/>
      <c r="P210" s="11"/>
    </row>
    <row r="211" spans="1:16" hidden="1" x14ac:dyDescent="0.25">
      <c r="A211" s="695">
        <v>56212</v>
      </c>
      <c r="B211" s="558">
        <v>1000</v>
      </c>
      <c r="C211" s="693">
        <v>100</v>
      </c>
      <c r="D211" s="558">
        <v>2410</v>
      </c>
      <c r="F211" s="693" t="s">
        <v>1287</v>
      </c>
      <c r="G211" s="696">
        <v>38</v>
      </c>
      <c r="H211" s="12" t="s">
        <v>889</v>
      </c>
      <c r="I211" s="12" t="s">
        <v>893</v>
      </c>
      <c r="J211" s="12" t="s">
        <v>922</v>
      </c>
      <c r="K211" s="12" t="s">
        <v>895</v>
      </c>
      <c r="L211" s="12"/>
      <c r="M211" s="11"/>
      <c r="N211" s="11"/>
      <c r="O211" s="11"/>
      <c r="P211" s="11"/>
    </row>
    <row r="212" spans="1:16" hidden="1" x14ac:dyDescent="0.25">
      <c r="A212" s="695">
        <v>56212</v>
      </c>
      <c r="B212" s="558">
        <v>1000</v>
      </c>
      <c r="C212" s="693">
        <v>100</v>
      </c>
      <c r="D212" s="558">
        <v>2500</v>
      </c>
      <c r="F212" s="693" t="s">
        <v>1287</v>
      </c>
      <c r="G212" s="696">
        <v>-42</v>
      </c>
      <c r="H212" s="12" t="s">
        <v>889</v>
      </c>
      <c r="I212" s="12" t="s">
        <v>893</v>
      </c>
      <c r="J212" s="12" t="s">
        <v>926</v>
      </c>
      <c r="K212" s="12" t="s">
        <v>895</v>
      </c>
      <c r="L212" s="12"/>
      <c r="M212" s="11"/>
      <c r="N212" s="11"/>
      <c r="O212" s="11"/>
      <c r="P212" s="11"/>
    </row>
    <row r="213" spans="1:16" hidden="1" x14ac:dyDescent="0.25">
      <c r="A213" s="695">
        <v>56212</v>
      </c>
      <c r="B213" s="558">
        <v>1000</v>
      </c>
      <c r="C213" s="693">
        <v>100</v>
      </c>
      <c r="D213" s="558">
        <v>2510</v>
      </c>
      <c r="F213" s="693" t="s">
        <v>1287</v>
      </c>
      <c r="G213" s="696">
        <v>1</v>
      </c>
      <c r="H213" s="12" t="s">
        <v>889</v>
      </c>
      <c r="I213" s="12" t="s">
        <v>893</v>
      </c>
      <c r="J213" s="12" t="s">
        <v>926</v>
      </c>
      <c r="K213" s="12" t="s">
        <v>895</v>
      </c>
      <c r="L213" s="12"/>
      <c r="M213" s="11"/>
      <c r="N213" s="11"/>
      <c r="O213" s="11"/>
      <c r="P213" s="11"/>
    </row>
    <row r="214" spans="1:16" hidden="1" x14ac:dyDescent="0.25">
      <c r="A214" s="695">
        <v>56212</v>
      </c>
      <c r="B214" s="558">
        <v>1000</v>
      </c>
      <c r="C214" s="693">
        <v>100</v>
      </c>
      <c r="D214" s="558">
        <v>2600</v>
      </c>
      <c r="F214" s="693" t="s">
        <v>1287</v>
      </c>
      <c r="G214" s="696">
        <v>26</v>
      </c>
      <c r="H214" s="12" t="s">
        <v>889</v>
      </c>
      <c r="I214" s="12" t="s">
        <v>893</v>
      </c>
      <c r="J214" s="12" t="s">
        <v>930</v>
      </c>
      <c r="K214" s="12" t="s">
        <v>895</v>
      </c>
      <c r="L214" s="12"/>
      <c r="M214" s="11"/>
      <c r="N214" s="11"/>
      <c r="O214" s="11"/>
      <c r="P214" s="11"/>
    </row>
    <row r="215" spans="1:16" hidden="1" x14ac:dyDescent="0.25">
      <c r="A215" s="695">
        <v>56212</v>
      </c>
      <c r="B215" s="558">
        <v>1000</v>
      </c>
      <c r="C215" s="693">
        <v>100</v>
      </c>
      <c r="D215" s="558">
        <v>3100</v>
      </c>
      <c r="F215" s="693" t="s">
        <v>1287</v>
      </c>
      <c r="G215" s="696">
        <v>1</v>
      </c>
      <c r="H215" s="12" t="s">
        <v>889</v>
      </c>
      <c r="I215" s="12" t="s">
        <v>893</v>
      </c>
      <c r="J215" s="12" t="s">
        <v>942</v>
      </c>
      <c r="K215" s="12" t="s">
        <v>895</v>
      </c>
      <c r="L215" s="12"/>
      <c r="M215" s="11"/>
      <c r="N215" s="11"/>
      <c r="O215" s="11"/>
      <c r="P215" s="11"/>
    </row>
    <row r="216" spans="1:16" hidden="1" x14ac:dyDescent="0.25">
      <c r="A216" s="695">
        <v>56212</v>
      </c>
      <c r="B216" s="558">
        <v>1000</v>
      </c>
      <c r="C216" s="693">
        <v>200</v>
      </c>
      <c r="D216" s="558">
        <v>1000</v>
      </c>
      <c r="F216" s="693" t="s">
        <v>1287</v>
      </c>
      <c r="G216" s="696">
        <v>2</v>
      </c>
      <c r="H216" s="12" t="s">
        <v>889</v>
      </c>
      <c r="I216" s="12" t="s">
        <v>897</v>
      </c>
      <c r="J216" s="12" t="s">
        <v>894</v>
      </c>
      <c r="K216" s="12" t="s">
        <v>895</v>
      </c>
      <c r="L216" s="12"/>
      <c r="M216" s="11"/>
      <c r="N216" s="11"/>
      <c r="O216" s="11"/>
      <c r="P216" s="11"/>
    </row>
    <row r="217" spans="1:16" hidden="1" x14ac:dyDescent="0.25">
      <c r="A217" s="695">
        <v>56212</v>
      </c>
      <c r="B217" s="558">
        <v>1000</v>
      </c>
      <c r="C217" s="693">
        <v>200</v>
      </c>
      <c r="D217" s="558">
        <v>2100</v>
      </c>
      <c r="F217" s="693" t="s">
        <v>1287</v>
      </c>
      <c r="G217" s="696">
        <v>66</v>
      </c>
      <c r="H217" s="12" t="s">
        <v>889</v>
      </c>
      <c r="I217" s="12" t="s">
        <v>897</v>
      </c>
      <c r="J217" s="12" t="s">
        <v>902</v>
      </c>
      <c r="K217" s="12" t="s">
        <v>895</v>
      </c>
      <c r="L217" s="12"/>
      <c r="M217" s="11"/>
      <c r="N217" s="11"/>
      <c r="O217" s="11"/>
      <c r="P217" s="11"/>
    </row>
    <row r="218" spans="1:16" hidden="1" x14ac:dyDescent="0.25">
      <c r="A218" s="695">
        <v>56212</v>
      </c>
      <c r="B218" s="558">
        <v>1000</v>
      </c>
      <c r="C218" s="693">
        <v>200</v>
      </c>
      <c r="D218" s="558">
        <v>2200</v>
      </c>
      <c r="F218" s="693" t="s">
        <v>1287</v>
      </c>
      <c r="G218" s="696">
        <v>0</v>
      </c>
      <c r="H218" s="12" t="s">
        <v>889</v>
      </c>
      <c r="I218" s="12" t="s">
        <v>897</v>
      </c>
      <c r="J218" s="12" t="s">
        <v>906</v>
      </c>
      <c r="K218" s="12" t="s">
        <v>895</v>
      </c>
      <c r="L218" s="12"/>
      <c r="M218" s="11"/>
      <c r="N218" s="11"/>
      <c r="O218" s="11"/>
      <c r="P218" s="11"/>
    </row>
    <row r="219" spans="1:16" hidden="1" x14ac:dyDescent="0.25">
      <c r="A219" s="695">
        <v>56212</v>
      </c>
      <c r="B219" s="558">
        <v>1000</v>
      </c>
      <c r="C219" s="693">
        <v>240</v>
      </c>
      <c r="D219" s="558">
        <v>1000</v>
      </c>
      <c r="F219" s="693" t="s">
        <v>1287</v>
      </c>
      <c r="G219" s="696">
        <v>1</v>
      </c>
      <c r="H219" s="12" t="s">
        <v>889</v>
      </c>
      <c r="I219" s="12" t="s">
        <v>897</v>
      </c>
      <c r="J219" s="12" t="s">
        <v>894</v>
      </c>
      <c r="K219" s="12" t="s">
        <v>895</v>
      </c>
      <c r="L219" s="12"/>
      <c r="M219" s="11"/>
      <c r="N219" s="11"/>
      <c r="O219" s="11"/>
      <c r="P219" s="11"/>
    </row>
    <row r="220" spans="1:16" hidden="1" x14ac:dyDescent="0.25">
      <c r="A220" s="695">
        <v>56212</v>
      </c>
      <c r="B220" s="558">
        <v>1000</v>
      </c>
      <c r="C220" s="693">
        <v>260</v>
      </c>
      <c r="D220" s="558">
        <v>1000</v>
      </c>
      <c r="F220" s="693" t="s">
        <v>1287</v>
      </c>
      <c r="G220" s="696">
        <v>2</v>
      </c>
      <c r="H220" s="12" t="s">
        <v>889</v>
      </c>
      <c r="I220" s="12" t="s">
        <v>901</v>
      </c>
      <c r="J220" s="12" t="s">
        <v>894</v>
      </c>
      <c r="K220" s="12" t="s">
        <v>895</v>
      </c>
      <c r="L220" s="12"/>
      <c r="M220" s="11"/>
      <c r="N220" s="11"/>
      <c r="O220" s="11"/>
      <c r="P220" s="11"/>
    </row>
    <row r="221" spans="1:16" hidden="1" x14ac:dyDescent="0.25">
      <c r="A221" s="695">
        <v>56212</v>
      </c>
      <c r="B221" s="558">
        <v>1000</v>
      </c>
      <c r="C221" s="693">
        <v>400</v>
      </c>
      <c r="D221" s="558">
        <v>2700</v>
      </c>
      <c r="F221" s="693" t="s">
        <v>1287</v>
      </c>
      <c r="G221" s="696">
        <v>0</v>
      </c>
      <c r="H221" s="12" t="s">
        <v>889</v>
      </c>
      <c r="I221" s="12" t="s">
        <v>913</v>
      </c>
      <c r="J221" s="12" t="s">
        <v>934</v>
      </c>
      <c r="K221" s="12" t="s">
        <v>895</v>
      </c>
      <c r="L221" s="12"/>
      <c r="M221" s="11"/>
      <c r="N221" s="11"/>
      <c r="O221" s="11"/>
      <c r="P221" s="11"/>
    </row>
    <row r="222" spans="1:16" hidden="1" x14ac:dyDescent="0.25">
      <c r="A222" s="695">
        <v>56212</v>
      </c>
      <c r="B222" s="558">
        <v>1190</v>
      </c>
      <c r="C222" s="693">
        <v>260</v>
      </c>
      <c r="D222" s="558">
        <v>1000</v>
      </c>
      <c r="F222" s="693" t="s">
        <v>1287</v>
      </c>
      <c r="G222" s="696">
        <v>29</v>
      </c>
      <c r="H222" s="12" t="s">
        <v>920</v>
      </c>
      <c r="I222" s="12" t="s">
        <v>901</v>
      </c>
      <c r="J222" s="12" t="s">
        <v>894</v>
      </c>
      <c r="K222" s="12" t="s">
        <v>895</v>
      </c>
      <c r="L222" s="12"/>
      <c r="M222" s="11"/>
      <c r="N222" s="11"/>
      <c r="O222" s="11"/>
      <c r="P222" s="11"/>
    </row>
    <row r="223" spans="1:16" hidden="1" x14ac:dyDescent="0.25">
      <c r="A223" s="695">
        <v>56212</v>
      </c>
      <c r="B223" s="558">
        <v>1220</v>
      </c>
      <c r="C223" s="693">
        <v>200</v>
      </c>
      <c r="D223" s="558">
        <v>2100</v>
      </c>
      <c r="F223" s="693" t="s">
        <v>1287</v>
      </c>
      <c r="G223" s="696">
        <v>7</v>
      </c>
      <c r="H223" s="12" t="s">
        <v>932</v>
      </c>
      <c r="I223" s="12" t="s">
        <v>897</v>
      </c>
      <c r="J223" s="12" t="s">
        <v>902</v>
      </c>
      <c r="K223" s="12" t="s">
        <v>895</v>
      </c>
      <c r="L223" s="12"/>
      <c r="M223" s="11"/>
      <c r="N223" s="11"/>
      <c r="O223" s="11"/>
      <c r="P223" s="11"/>
    </row>
    <row r="224" spans="1:16" hidden="1" x14ac:dyDescent="0.25">
      <c r="A224" s="695">
        <v>56212</v>
      </c>
      <c r="B224" s="558">
        <v>1321</v>
      </c>
      <c r="C224" s="693">
        <v>100</v>
      </c>
      <c r="D224" s="558">
        <v>1000</v>
      </c>
      <c r="F224" s="693" t="s">
        <v>1287</v>
      </c>
      <c r="G224" s="696">
        <v>246</v>
      </c>
      <c r="H224" s="12" t="s">
        <v>968</v>
      </c>
      <c r="I224" s="12" t="s">
        <v>893</v>
      </c>
      <c r="J224" s="12" t="s">
        <v>894</v>
      </c>
      <c r="K224" s="12" t="s">
        <v>895</v>
      </c>
      <c r="L224" s="12"/>
      <c r="M224" s="11"/>
      <c r="N224" s="11"/>
      <c r="O224" s="11"/>
      <c r="P224" s="11"/>
    </row>
    <row r="225" spans="1:16" hidden="1" x14ac:dyDescent="0.25">
      <c r="A225" s="695">
        <v>56212</v>
      </c>
      <c r="B225" s="558">
        <v>1321</v>
      </c>
      <c r="C225" s="693">
        <v>100</v>
      </c>
      <c r="D225" s="558">
        <v>2100</v>
      </c>
      <c r="F225" s="693" t="s">
        <v>1287</v>
      </c>
      <c r="G225" s="696">
        <v>84</v>
      </c>
      <c r="H225" s="12" t="s">
        <v>968</v>
      </c>
      <c r="I225" s="12" t="s">
        <v>893</v>
      </c>
      <c r="J225" s="12" t="s">
        <v>902</v>
      </c>
      <c r="K225" s="12" t="s">
        <v>895</v>
      </c>
      <c r="L225" s="12"/>
      <c r="M225" s="11"/>
      <c r="N225" s="11"/>
      <c r="O225" s="11"/>
      <c r="P225" s="11"/>
    </row>
    <row r="226" spans="1:16" hidden="1" x14ac:dyDescent="0.25">
      <c r="A226" s="695">
        <v>56212</v>
      </c>
      <c r="B226" s="558">
        <v>1321</v>
      </c>
      <c r="C226" s="693">
        <v>100</v>
      </c>
      <c r="D226" s="558">
        <v>2400</v>
      </c>
      <c r="F226" s="693" t="s">
        <v>1287</v>
      </c>
      <c r="G226" s="696">
        <v>22</v>
      </c>
      <c r="H226" s="12" t="s">
        <v>968</v>
      </c>
      <c r="I226" s="12" t="s">
        <v>893</v>
      </c>
      <c r="J226" s="12" t="s">
        <v>922</v>
      </c>
      <c r="K226" s="12" t="s">
        <v>895</v>
      </c>
      <c r="L226" s="12"/>
      <c r="M226" s="11"/>
      <c r="N226" s="11"/>
      <c r="O226" s="11"/>
      <c r="P226" s="11"/>
    </row>
    <row r="227" spans="1:16" hidden="1" x14ac:dyDescent="0.25">
      <c r="A227" s="695">
        <v>56212</v>
      </c>
      <c r="B227" s="558">
        <v>1321</v>
      </c>
      <c r="C227" s="693">
        <v>200</v>
      </c>
      <c r="D227" s="558">
        <v>1000</v>
      </c>
      <c r="F227" s="693" t="s">
        <v>1287</v>
      </c>
      <c r="G227" s="696">
        <v>95</v>
      </c>
      <c r="H227" s="12" t="s">
        <v>968</v>
      </c>
      <c r="I227" s="12" t="s">
        <v>897</v>
      </c>
      <c r="J227" s="12" t="s">
        <v>894</v>
      </c>
      <c r="K227" s="12" t="s">
        <v>895</v>
      </c>
      <c r="L227" s="12"/>
      <c r="M227" s="11"/>
      <c r="N227" s="11"/>
      <c r="O227" s="11"/>
      <c r="P227" s="11"/>
    </row>
    <row r="228" spans="1:16" hidden="1" x14ac:dyDescent="0.25">
      <c r="A228" s="695">
        <v>56212</v>
      </c>
      <c r="B228" s="558">
        <v>1321</v>
      </c>
      <c r="C228" s="693">
        <v>200</v>
      </c>
      <c r="D228" s="558">
        <v>2100</v>
      </c>
      <c r="F228" s="693" t="s">
        <v>1287</v>
      </c>
      <c r="G228" s="696">
        <v>18</v>
      </c>
      <c r="H228" s="12" t="s">
        <v>968</v>
      </c>
      <c r="I228" s="12" t="s">
        <v>897</v>
      </c>
      <c r="J228" s="12" t="s">
        <v>902</v>
      </c>
      <c r="K228" s="12" t="s">
        <v>895</v>
      </c>
      <c r="L228" s="12"/>
      <c r="M228" s="11"/>
      <c r="N228" s="11"/>
      <c r="O228" s="11"/>
      <c r="P228" s="11"/>
    </row>
    <row r="229" spans="1:16" hidden="1" x14ac:dyDescent="0.25">
      <c r="A229" s="695">
        <v>56212</v>
      </c>
      <c r="B229" s="558">
        <v>1322</v>
      </c>
      <c r="C229" s="693">
        <v>100</v>
      </c>
      <c r="D229" s="558">
        <v>2500</v>
      </c>
      <c r="F229" s="693" t="s">
        <v>1287</v>
      </c>
      <c r="G229" s="696">
        <v>0</v>
      </c>
      <c r="H229" s="12" t="s">
        <v>968</v>
      </c>
      <c r="I229" s="12" t="s">
        <v>893</v>
      </c>
      <c r="J229" s="12" t="s">
        <v>926</v>
      </c>
      <c r="K229" s="12" t="s">
        <v>895</v>
      </c>
      <c r="L229" s="12"/>
      <c r="M229" s="11"/>
      <c r="N229" s="11"/>
      <c r="O229" s="11"/>
      <c r="P229" s="11"/>
    </row>
    <row r="230" spans="1:16" hidden="1" x14ac:dyDescent="0.25">
      <c r="A230" s="695">
        <v>56212</v>
      </c>
      <c r="B230" s="558">
        <v>1487</v>
      </c>
      <c r="C230" s="693">
        <v>100</v>
      </c>
      <c r="D230" s="558">
        <v>2100</v>
      </c>
      <c r="F230" s="693" t="s">
        <v>1287</v>
      </c>
      <c r="G230" s="696">
        <v>75</v>
      </c>
      <c r="H230" s="12" t="s">
        <v>995</v>
      </c>
      <c r="I230" s="12" t="s">
        <v>893</v>
      </c>
      <c r="J230" s="12" t="s">
        <v>902</v>
      </c>
      <c r="K230" s="12" t="s">
        <v>895</v>
      </c>
      <c r="L230" s="12"/>
      <c r="M230" s="11"/>
      <c r="N230" s="11"/>
      <c r="O230" s="11"/>
      <c r="P230" s="11"/>
    </row>
    <row r="231" spans="1:16" x14ac:dyDescent="0.25">
      <c r="A231" s="695">
        <v>56212</v>
      </c>
      <c r="B231" s="558">
        <v>1534</v>
      </c>
      <c r="C231" s="693">
        <v>100</v>
      </c>
      <c r="D231" s="558">
        <v>2700</v>
      </c>
      <c r="F231" s="693" t="s">
        <v>1287</v>
      </c>
      <c r="G231" s="696">
        <v>0</v>
      </c>
      <c r="H231" s="12" t="s">
        <v>997</v>
      </c>
      <c r="I231" s="12" t="s">
        <v>913</v>
      </c>
      <c r="J231" s="12" t="s">
        <v>934</v>
      </c>
      <c r="K231" s="12" t="s">
        <v>895</v>
      </c>
      <c r="L231" s="12"/>
      <c r="M231" s="11"/>
      <c r="N231" s="11"/>
      <c r="O231" s="11"/>
      <c r="P231" s="11"/>
    </row>
    <row r="232" spans="1:16" hidden="1" x14ac:dyDescent="0.25">
      <c r="A232" s="695">
        <v>56212</v>
      </c>
      <c r="B232" s="558">
        <v>1534</v>
      </c>
      <c r="C232" s="693">
        <v>400</v>
      </c>
      <c r="D232" s="558">
        <v>2700</v>
      </c>
      <c r="F232" s="693" t="s">
        <v>1287</v>
      </c>
      <c r="G232" s="696">
        <v>7</v>
      </c>
      <c r="H232" s="12" t="s">
        <v>997</v>
      </c>
      <c r="I232" s="12" t="s">
        <v>913</v>
      </c>
      <c r="J232" s="12" t="s">
        <v>934</v>
      </c>
      <c r="K232" s="12" t="s">
        <v>895</v>
      </c>
      <c r="L232" s="12"/>
      <c r="M232" s="11"/>
      <c r="N232" s="11"/>
      <c r="O232" s="11"/>
      <c r="P232" s="11"/>
    </row>
    <row r="233" spans="1:16" hidden="1" x14ac:dyDescent="0.25">
      <c r="A233" s="695">
        <v>56212</v>
      </c>
      <c r="B233" s="558" t="s">
        <v>1248</v>
      </c>
      <c r="C233" s="693">
        <v>100</v>
      </c>
      <c r="D233" s="558">
        <v>1000</v>
      </c>
      <c r="F233" s="693" t="s">
        <v>1287</v>
      </c>
      <c r="G233" s="696">
        <v>17</v>
      </c>
      <c r="H233" s="12" t="s">
        <v>904</v>
      </c>
      <c r="I233" s="12" t="s">
        <v>893</v>
      </c>
      <c r="J233" s="12" t="s">
        <v>894</v>
      </c>
      <c r="K233" s="12" t="s">
        <v>895</v>
      </c>
      <c r="L233" s="12"/>
      <c r="M233" s="11"/>
      <c r="N233" s="11"/>
      <c r="O233" s="11"/>
      <c r="P233" s="11"/>
    </row>
    <row r="234" spans="1:16" hidden="1" x14ac:dyDescent="0.25">
      <c r="A234" s="694">
        <v>56212</v>
      </c>
      <c r="B234" s="558" t="s">
        <v>1248</v>
      </c>
      <c r="C234" s="693">
        <v>260</v>
      </c>
      <c r="D234" s="558">
        <v>1000</v>
      </c>
      <c r="F234" s="693" t="s">
        <v>1287</v>
      </c>
      <c r="G234" s="696">
        <v>23</v>
      </c>
      <c r="H234" s="12" t="s">
        <v>904</v>
      </c>
      <c r="I234" s="12" t="s">
        <v>901</v>
      </c>
      <c r="J234" s="12" t="s">
        <v>894</v>
      </c>
      <c r="K234" s="12" t="s">
        <v>895</v>
      </c>
      <c r="L234" s="12"/>
      <c r="M234" s="11"/>
      <c r="N234" s="11"/>
      <c r="O234" s="11"/>
      <c r="P234" s="11"/>
    </row>
    <row r="235" spans="1:16" hidden="1" x14ac:dyDescent="0.25">
      <c r="A235" s="695">
        <v>56213</v>
      </c>
      <c r="B235" s="558">
        <v>1000</v>
      </c>
      <c r="C235" s="693">
        <v>100</v>
      </c>
      <c r="D235" s="558">
        <v>1000</v>
      </c>
      <c r="F235" s="693" t="s">
        <v>1288</v>
      </c>
      <c r="G235" s="696">
        <v>4</v>
      </c>
      <c r="H235" s="12" t="s">
        <v>889</v>
      </c>
      <c r="I235" s="12" t="s">
        <v>893</v>
      </c>
      <c r="J235" s="12" t="s">
        <v>894</v>
      </c>
      <c r="K235" s="12" t="s">
        <v>895</v>
      </c>
      <c r="L235" s="12"/>
      <c r="M235" s="11"/>
      <c r="N235" s="11"/>
      <c r="O235" s="11"/>
      <c r="P235" s="11"/>
    </row>
    <row r="236" spans="1:16" hidden="1" x14ac:dyDescent="0.25">
      <c r="A236" s="695">
        <v>56213</v>
      </c>
      <c r="B236" s="558">
        <v>1000</v>
      </c>
      <c r="C236" s="693">
        <v>100</v>
      </c>
      <c r="D236" s="558">
        <v>2100</v>
      </c>
      <c r="F236" s="693" t="s">
        <v>1288</v>
      </c>
      <c r="G236" s="696">
        <v>3</v>
      </c>
      <c r="H236" s="12" t="s">
        <v>889</v>
      </c>
      <c r="I236" s="12" t="s">
        <v>893</v>
      </c>
      <c r="J236" s="12" t="s">
        <v>902</v>
      </c>
      <c r="K236" s="12" t="s">
        <v>895</v>
      </c>
      <c r="L236" s="12"/>
      <c r="M236" s="11"/>
      <c r="N236" s="11"/>
      <c r="O236" s="11"/>
      <c r="P236" s="11"/>
    </row>
    <row r="237" spans="1:16" hidden="1" x14ac:dyDescent="0.25">
      <c r="A237" s="695">
        <v>56213</v>
      </c>
      <c r="B237" s="558">
        <v>1000</v>
      </c>
      <c r="C237" s="693">
        <v>100</v>
      </c>
      <c r="D237" s="558">
        <v>2110</v>
      </c>
      <c r="F237" s="693" t="s">
        <v>1288</v>
      </c>
      <c r="G237" s="696">
        <v>1</v>
      </c>
      <c r="H237" s="12" t="s">
        <v>889</v>
      </c>
      <c r="I237" s="12" t="s">
        <v>893</v>
      </c>
      <c r="J237" s="12" t="s">
        <v>902</v>
      </c>
      <c r="K237" s="12" t="s">
        <v>895</v>
      </c>
      <c r="L237" s="12"/>
      <c r="M237" s="11"/>
      <c r="N237" s="11"/>
      <c r="O237" s="11"/>
      <c r="P237" s="11"/>
    </row>
    <row r="238" spans="1:16" hidden="1" x14ac:dyDescent="0.25">
      <c r="A238" s="695">
        <v>56213</v>
      </c>
      <c r="B238" s="558">
        <v>1000</v>
      </c>
      <c r="C238" s="693">
        <v>100</v>
      </c>
      <c r="D238" s="558">
        <v>2200</v>
      </c>
      <c r="F238" s="693" t="s">
        <v>1288</v>
      </c>
      <c r="G238" s="696">
        <v>2</v>
      </c>
      <c r="H238" s="12" t="s">
        <v>889</v>
      </c>
      <c r="I238" s="12" t="s">
        <v>893</v>
      </c>
      <c r="J238" s="12" t="s">
        <v>906</v>
      </c>
      <c r="K238" s="12" t="s">
        <v>895</v>
      </c>
      <c r="L238" s="12"/>
      <c r="M238" s="11"/>
      <c r="N238" s="11"/>
      <c r="O238" s="11"/>
      <c r="P238" s="11"/>
    </row>
    <row r="239" spans="1:16" hidden="1" x14ac:dyDescent="0.25">
      <c r="A239" s="695">
        <v>56213</v>
      </c>
      <c r="B239" s="558">
        <v>1000</v>
      </c>
      <c r="C239" s="693">
        <v>100</v>
      </c>
      <c r="D239" s="558">
        <v>2300</v>
      </c>
      <c r="F239" s="693" t="s">
        <v>1288</v>
      </c>
      <c r="G239" s="696">
        <v>0</v>
      </c>
      <c r="H239" s="12" t="s">
        <v>889</v>
      </c>
      <c r="I239" s="12" t="s">
        <v>893</v>
      </c>
      <c r="J239" s="12" t="s">
        <v>918</v>
      </c>
      <c r="K239" s="12" t="s">
        <v>895</v>
      </c>
      <c r="L239" s="12"/>
      <c r="M239" s="11"/>
      <c r="N239" s="11"/>
      <c r="O239" s="11"/>
      <c r="P239" s="11"/>
    </row>
    <row r="240" spans="1:16" hidden="1" x14ac:dyDescent="0.25">
      <c r="A240" s="695">
        <v>56213</v>
      </c>
      <c r="B240" s="558">
        <v>1000</v>
      </c>
      <c r="C240" s="693">
        <v>100</v>
      </c>
      <c r="D240" s="558">
        <v>2310</v>
      </c>
      <c r="F240" s="693" t="s">
        <v>1288</v>
      </c>
      <c r="G240" s="696">
        <v>0</v>
      </c>
      <c r="H240" s="12" t="s">
        <v>889</v>
      </c>
      <c r="I240" s="12" t="s">
        <v>893</v>
      </c>
      <c r="J240" s="12" t="s">
        <v>918</v>
      </c>
      <c r="K240" s="12" t="s">
        <v>895</v>
      </c>
      <c r="L240" s="12"/>
      <c r="M240" s="11"/>
      <c r="N240" s="11"/>
      <c r="O240" s="11"/>
      <c r="P240" s="11"/>
    </row>
    <row r="241" spans="1:16" hidden="1" x14ac:dyDescent="0.25">
      <c r="A241" s="695">
        <v>56213</v>
      </c>
      <c r="B241" s="558">
        <v>1000</v>
      </c>
      <c r="C241" s="693">
        <v>100</v>
      </c>
      <c r="D241" s="558">
        <v>2400</v>
      </c>
      <c r="F241" s="693" t="s">
        <v>1288</v>
      </c>
      <c r="G241" s="696">
        <v>21</v>
      </c>
      <c r="H241" s="12" t="s">
        <v>889</v>
      </c>
      <c r="I241" s="12" t="s">
        <v>893</v>
      </c>
      <c r="J241" s="12" t="s">
        <v>922</v>
      </c>
      <c r="K241" s="12" t="s">
        <v>895</v>
      </c>
      <c r="L241" s="12"/>
      <c r="M241" s="11"/>
      <c r="N241" s="11"/>
      <c r="O241" s="11"/>
      <c r="P241" s="11"/>
    </row>
    <row r="242" spans="1:16" hidden="1" x14ac:dyDescent="0.25">
      <c r="A242" s="695">
        <v>56213</v>
      </c>
      <c r="B242" s="558">
        <v>1000</v>
      </c>
      <c r="C242" s="693">
        <v>100</v>
      </c>
      <c r="D242" s="558">
        <v>2410</v>
      </c>
      <c r="F242" s="693" t="s">
        <v>1288</v>
      </c>
      <c r="G242" s="696">
        <v>17</v>
      </c>
      <c r="H242" s="12" t="s">
        <v>889</v>
      </c>
      <c r="I242" s="12" t="s">
        <v>893</v>
      </c>
      <c r="J242" s="12" t="s">
        <v>922</v>
      </c>
      <c r="K242" s="12" t="s">
        <v>895</v>
      </c>
      <c r="L242" s="12"/>
      <c r="M242" s="11"/>
      <c r="N242" s="11"/>
      <c r="O242" s="11"/>
      <c r="P242" s="11"/>
    </row>
    <row r="243" spans="1:16" hidden="1" x14ac:dyDescent="0.25">
      <c r="A243" s="695">
        <v>56213</v>
      </c>
      <c r="B243" s="558">
        <v>1000</v>
      </c>
      <c r="C243" s="693">
        <v>100</v>
      </c>
      <c r="D243" s="558">
        <v>2500</v>
      </c>
      <c r="F243" s="693" t="s">
        <v>1288</v>
      </c>
      <c r="G243" s="696">
        <v>15</v>
      </c>
      <c r="H243" s="12" t="s">
        <v>889</v>
      </c>
      <c r="I243" s="12" t="s">
        <v>893</v>
      </c>
      <c r="J243" s="12" t="s">
        <v>926</v>
      </c>
      <c r="K243" s="12" t="s">
        <v>895</v>
      </c>
      <c r="L243" s="12"/>
      <c r="M243" s="11"/>
      <c r="N243" s="11"/>
      <c r="O243" s="11"/>
      <c r="P243" s="11"/>
    </row>
    <row r="244" spans="1:16" hidden="1" x14ac:dyDescent="0.25">
      <c r="A244" s="695">
        <v>56213</v>
      </c>
      <c r="B244" s="558">
        <v>1000</v>
      </c>
      <c r="C244" s="693">
        <v>100</v>
      </c>
      <c r="D244" s="558">
        <v>2510</v>
      </c>
      <c r="F244" s="693" t="s">
        <v>1288</v>
      </c>
      <c r="G244" s="696">
        <v>0</v>
      </c>
      <c r="H244" s="12" t="s">
        <v>889</v>
      </c>
      <c r="I244" s="12" t="s">
        <v>893</v>
      </c>
      <c r="J244" s="12" t="s">
        <v>926</v>
      </c>
      <c r="K244" s="12" t="s">
        <v>895</v>
      </c>
      <c r="L244" s="12"/>
      <c r="M244" s="11"/>
      <c r="N244" s="11"/>
      <c r="O244" s="11"/>
      <c r="P244" s="11"/>
    </row>
    <row r="245" spans="1:16" hidden="1" x14ac:dyDescent="0.25">
      <c r="A245" s="695">
        <v>56213</v>
      </c>
      <c r="B245" s="558">
        <v>1000</v>
      </c>
      <c r="C245" s="693">
        <v>100</v>
      </c>
      <c r="D245" s="558">
        <v>2600</v>
      </c>
      <c r="F245" s="693" t="s">
        <v>1288</v>
      </c>
      <c r="G245" s="696">
        <v>12</v>
      </c>
      <c r="H245" s="12" t="s">
        <v>889</v>
      </c>
      <c r="I245" s="12" t="s">
        <v>893</v>
      </c>
      <c r="J245" s="12" t="s">
        <v>930</v>
      </c>
      <c r="K245" s="12" t="s">
        <v>895</v>
      </c>
      <c r="L245" s="12"/>
      <c r="M245" s="11"/>
      <c r="N245" s="11"/>
      <c r="O245" s="11"/>
      <c r="P245" s="11"/>
    </row>
    <row r="246" spans="1:16" hidden="1" x14ac:dyDescent="0.25">
      <c r="A246" s="695">
        <v>56213</v>
      </c>
      <c r="B246" s="558">
        <v>1000</v>
      </c>
      <c r="C246" s="693">
        <v>100</v>
      </c>
      <c r="D246" s="558">
        <v>3100</v>
      </c>
      <c r="F246" s="693" t="s">
        <v>1288</v>
      </c>
      <c r="G246" s="696">
        <v>0</v>
      </c>
      <c r="H246" s="12" t="s">
        <v>889</v>
      </c>
      <c r="I246" s="12" t="s">
        <v>893</v>
      </c>
      <c r="J246" s="12" t="s">
        <v>942</v>
      </c>
      <c r="K246" s="12" t="s">
        <v>895</v>
      </c>
      <c r="L246" s="12"/>
      <c r="M246" s="11"/>
      <c r="N246" s="11"/>
      <c r="O246" s="11"/>
      <c r="P246" s="11"/>
    </row>
    <row r="247" spans="1:16" hidden="1" x14ac:dyDescent="0.25">
      <c r="A247" s="695">
        <v>56213</v>
      </c>
      <c r="B247" s="558">
        <v>1000</v>
      </c>
      <c r="C247" s="693">
        <v>200</v>
      </c>
      <c r="D247" s="558">
        <v>1000</v>
      </c>
      <c r="F247" s="693" t="s">
        <v>1288</v>
      </c>
      <c r="G247" s="696">
        <v>1</v>
      </c>
      <c r="H247" s="12" t="s">
        <v>889</v>
      </c>
      <c r="I247" s="12" t="s">
        <v>897</v>
      </c>
      <c r="J247" s="12" t="s">
        <v>894</v>
      </c>
      <c r="K247" s="12" t="s">
        <v>895</v>
      </c>
      <c r="L247" s="12"/>
      <c r="M247" s="11"/>
      <c r="N247" s="11"/>
      <c r="O247" s="11"/>
      <c r="P247" s="11"/>
    </row>
    <row r="248" spans="1:16" hidden="1" x14ac:dyDescent="0.25">
      <c r="A248" s="695">
        <v>56213</v>
      </c>
      <c r="B248" s="558">
        <v>1000</v>
      </c>
      <c r="C248" s="693">
        <v>200</v>
      </c>
      <c r="D248" s="558">
        <v>2100</v>
      </c>
      <c r="F248" s="693" t="s">
        <v>1288</v>
      </c>
      <c r="G248" s="696">
        <v>31</v>
      </c>
      <c r="H248" s="12" t="s">
        <v>889</v>
      </c>
      <c r="I248" s="12" t="s">
        <v>897</v>
      </c>
      <c r="J248" s="12" t="s">
        <v>902</v>
      </c>
      <c r="K248" s="12" t="s">
        <v>895</v>
      </c>
      <c r="L248" s="12"/>
      <c r="M248" s="11"/>
      <c r="N248" s="11"/>
      <c r="O248" s="11"/>
      <c r="P248" s="11"/>
    </row>
    <row r="249" spans="1:16" hidden="1" x14ac:dyDescent="0.25">
      <c r="A249" s="695">
        <v>56213</v>
      </c>
      <c r="B249" s="558">
        <v>1000</v>
      </c>
      <c r="C249" s="693">
        <v>200</v>
      </c>
      <c r="D249" s="558">
        <v>2200</v>
      </c>
      <c r="F249" s="693" t="s">
        <v>1288</v>
      </c>
      <c r="G249" s="696">
        <v>0</v>
      </c>
      <c r="H249" s="12" t="s">
        <v>889</v>
      </c>
      <c r="I249" s="12" t="s">
        <v>897</v>
      </c>
      <c r="J249" s="12" t="s">
        <v>906</v>
      </c>
      <c r="K249" s="12" t="s">
        <v>895</v>
      </c>
      <c r="L249" s="12"/>
      <c r="M249" s="11"/>
      <c r="N249" s="11"/>
      <c r="O249" s="11"/>
      <c r="P249" s="11"/>
    </row>
    <row r="250" spans="1:16" hidden="1" x14ac:dyDescent="0.25">
      <c r="A250" s="695">
        <v>56213</v>
      </c>
      <c r="B250" s="558">
        <v>1000</v>
      </c>
      <c r="C250" s="693">
        <v>240</v>
      </c>
      <c r="D250" s="558">
        <v>1000</v>
      </c>
      <c r="F250" s="693" t="s">
        <v>1288</v>
      </c>
      <c r="G250" s="696">
        <v>0</v>
      </c>
      <c r="H250" s="12" t="s">
        <v>889</v>
      </c>
      <c r="I250" s="12" t="s">
        <v>897</v>
      </c>
      <c r="J250" s="12" t="s">
        <v>894</v>
      </c>
      <c r="K250" s="12" t="s">
        <v>895</v>
      </c>
      <c r="L250" s="12"/>
      <c r="M250" s="11"/>
      <c r="N250" s="11"/>
      <c r="O250" s="11"/>
      <c r="P250" s="11"/>
    </row>
    <row r="251" spans="1:16" hidden="1" x14ac:dyDescent="0.25">
      <c r="A251" s="695">
        <v>56213</v>
      </c>
      <c r="B251" s="558">
        <v>1000</v>
      </c>
      <c r="C251" s="693">
        <v>260</v>
      </c>
      <c r="D251" s="558">
        <v>1000</v>
      </c>
      <c r="F251" s="693" t="s">
        <v>1288</v>
      </c>
      <c r="G251" s="696">
        <v>1</v>
      </c>
      <c r="H251" s="12" t="s">
        <v>889</v>
      </c>
      <c r="I251" s="12" t="s">
        <v>901</v>
      </c>
      <c r="J251" s="12" t="s">
        <v>894</v>
      </c>
      <c r="K251" s="12" t="s">
        <v>895</v>
      </c>
      <c r="L251" s="12"/>
      <c r="M251" s="11"/>
      <c r="N251" s="11"/>
      <c r="O251" s="11"/>
      <c r="P251" s="11"/>
    </row>
    <row r="252" spans="1:16" hidden="1" x14ac:dyDescent="0.25">
      <c r="A252" s="695">
        <v>56213</v>
      </c>
      <c r="B252" s="558">
        <v>1000</v>
      </c>
      <c r="C252" s="693">
        <v>400</v>
      </c>
      <c r="D252" s="558">
        <v>2700</v>
      </c>
      <c r="F252" s="693" t="s">
        <v>1288</v>
      </c>
      <c r="G252" s="696">
        <v>0</v>
      </c>
      <c r="H252" s="12" t="s">
        <v>889</v>
      </c>
      <c r="I252" s="12" t="s">
        <v>913</v>
      </c>
      <c r="J252" s="12" t="s">
        <v>934</v>
      </c>
      <c r="K252" s="12" t="s">
        <v>895</v>
      </c>
      <c r="L252" s="12"/>
      <c r="M252" s="11"/>
      <c r="N252" s="11"/>
      <c r="O252" s="11"/>
      <c r="P252" s="11"/>
    </row>
    <row r="253" spans="1:16" hidden="1" x14ac:dyDescent="0.25">
      <c r="A253" s="695">
        <v>56213</v>
      </c>
      <c r="B253" s="558">
        <v>1190</v>
      </c>
      <c r="C253" s="693">
        <v>260</v>
      </c>
      <c r="D253" s="558">
        <v>1000</v>
      </c>
      <c r="F253" s="693" t="s">
        <v>1288</v>
      </c>
      <c r="G253" s="696">
        <v>13</v>
      </c>
      <c r="H253" s="12" t="s">
        <v>920</v>
      </c>
      <c r="I253" s="12" t="s">
        <v>901</v>
      </c>
      <c r="J253" s="12" t="s">
        <v>894</v>
      </c>
      <c r="K253" s="12" t="s">
        <v>895</v>
      </c>
      <c r="L253" s="12"/>
      <c r="M253" s="11"/>
      <c r="N253" s="11"/>
      <c r="O253" s="11"/>
      <c r="P253" s="11"/>
    </row>
    <row r="254" spans="1:16" hidden="1" x14ac:dyDescent="0.25">
      <c r="A254" s="695">
        <v>56213</v>
      </c>
      <c r="B254" s="558">
        <v>1220</v>
      </c>
      <c r="C254" s="693">
        <v>200</v>
      </c>
      <c r="D254" s="558">
        <v>2100</v>
      </c>
      <c r="F254" s="693" t="s">
        <v>1288</v>
      </c>
      <c r="G254" s="696">
        <v>3</v>
      </c>
      <c r="H254" s="12" t="s">
        <v>932</v>
      </c>
      <c r="I254" s="12" t="s">
        <v>897</v>
      </c>
      <c r="J254" s="12" t="s">
        <v>902</v>
      </c>
      <c r="K254" s="12" t="s">
        <v>895</v>
      </c>
      <c r="L254" s="12"/>
      <c r="M254" s="11"/>
      <c r="N254" s="11"/>
      <c r="O254" s="11"/>
      <c r="P254" s="11"/>
    </row>
    <row r="255" spans="1:16" hidden="1" x14ac:dyDescent="0.25">
      <c r="A255" s="695">
        <v>56213</v>
      </c>
      <c r="B255" s="558">
        <v>1321</v>
      </c>
      <c r="C255" s="693">
        <v>100</v>
      </c>
      <c r="D255" s="558">
        <v>1000</v>
      </c>
      <c r="F255" s="693" t="s">
        <v>1288</v>
      </c>
      <c r="G255" s="696">
        <v>115</v>
      </c>
      <c r="H255" s="12" t="s">
        <v>968</v>
      </c>
      <c r="I255" s="12" t="s">
        <v>893</v>
      </c>
      <c r="J255" s="12" t="s">
        <v>894</v>
      </c>
      <c r="K255" s="12" t="s">
        <v>895</v>
      </c>
      <c r="L255" s="12"/>
      <c r="M255" s="11"/>
      <c r="N255" s="11"/>
      <c r="O255" s="11"/>
      <c r="P255" s="11"/>
    </row>
    <row r="256" spans="1:16" hidden="1" x14ac:dyDescent="0.25">
      <c r="A256" s="695">
        <v>56213</v>
      </c>
      <c r="B256" s="558">
        <v>1321</v>
      </c>
      <c r="C256" s="693">
        <v>100</v>
      </c>
      <c r="D256" s="558">
        <v>2100</v>
      </c>
      <c r="F256" s="693" t="s">
        <v>1288</v>
      </c>
      <c r="G256" s="696">
        <v>22</v>
      </c>
      <c r="H256" s="12" t="s">
        <v>968</v>
      </c>
      <c r="I256" s="12" t="s">
        <v>893</v>
      </c>
      <c r="J256" s="12" t="s">
        <v>902</v>
      </c>
      <c r="K256" s="12" t="s">
        <v>895</v>
      </c>
      <c r="L256" s="12"/>
      <c r="M256" s="11"/>
      <c r="N256" s="11"/>
      <c r="O256" s="11"/>
      <c r="P256" s="11"/>
    </row>
    <row r="257" spans="1:16" hidden="1" x14ac:dyDescent="0.25">
      <c r="A257" s="695">
        <v>56213</v>
      </c>
      <c r="B257" s="558">
        <v>1321</v>
      </c>
      <c r="C257" s="693">
        <v>100</v>
      </c>
      <c r="D257" s="558">
        <v>2400</v>
      </c>
      <c r="F257" s="693" t="s">
        <v>1288</v>
      </c>
      <c r="G257" s="696">
        <v>10</v>
      </c>
      <c r="H257" s="12" t="s">
        <v>968</v>
      </c>
      <c r="I257" s="12" t="s">
        <v>893</v>
      </c>
      <c r="J257" s="12" t="s">
        <v>922</v>
      </c>
      <c r="K257" s="12" t="s">
        <v>895</v>
      </c>
      <c r="L257" s="12"/>
      <c r="M257" s="11"/>
      <c r="N257" s="11"/>
      <c r="O257" s="11"/>
      <c r="P257" s="11"/>
    </row>
    <row r="258" spans="1:16" hidden="1" x14ac:dyDescent="0.25">
      <c r="A258" s="695">
        <v>56213</v>
      </c>
      <c r="B258" s="558">
        <v>1321</v>
      </c>
      <c r="C258" s="693">
        <v>200</v>
      </c>
      <c r="D258" s="558">
        <v>1000</v>
      </c>
      <c r="F258" s="693" t="s">
        <v>1288</v>
      </c>
      <c r="G258" s="696">
        <v>44</v>
      </c>
      <c r="H258" s="12" t="s">
        <v>968</v>
      </c>
      <c r="I258" s="12" t="s">
        <v>897</v>
      </c>
      <c r="J258" s="12" t="s">
        <v>894</v>
      </c>
      <c r="K258" s="12" t="s">
        <v>895</v>
      </c>
      <c r="L258" s="12"/>
      <c r="M258" s="11"/>
      <c r="N258" s="11"/>
      <c r="O258" s="11"/>
      <c r="P258" s="11"/>
    </row>
    <row r="259" spans="1:16" hidden="1" x14ac:dyDescent="0.25">
      <c r="A259" s="695">
        <v>56213</v>
      </c>
      <c r="B259" s="558">
        <v>1321</v>
      </c>
      <c r="C259" s="693">
        <v>200</v>
      </c>
      <c r="D259" s="558">
        <v>2100</v>
      </c>
      <c r="F259" s="693" t="s">
        <v>1288</v>
      </c>
      <c r="G259" s="696">
        <v>8</v>
      </c>
      <c r="H259" s="12" t="s">
        <v>968</v>
      </c>
      <c r="I259" s="12" t="s">
        <v>897</v>
      </c>
      <c r="J259" s="12" t="s">
        <v>902</v>
      </c>
      <c r="K259" s="12" t="s">
        <v>895</v>
      </c>
      <c r="L259" s="12"/>
      <c r="M259" s="11"/>
      <c r="N259" s="11"/>
      <c r="O259" s="11"/>
      <c r="P259" s="11"/>
    </row>
    <row r="260" spans="1:16" hidden="1" x14ac:dyDescent="0.25">
      <c r="A260" s="695">
        <v>56213</v>
      </c>
      <c r="B260" s="558">
        <v>1322</v>
      </c>
      <c r="C260" s="693">
        <v>100</v>
      </c>
      <c r="D260" s="558">
        <v>2500</v>
      </c>
      <c r="F260" s="693" t="s">
        <v>1288</v>
      </c>
      <c r="G260" s="696">
        <v>0</v>
      </c>
      <c r="H260" s="12" t="s">
        <v>968</v>
      </c>
      <c r="I260" s="12" t="s">
        <v>893</v>
      </c>
      <c r="J260" s="12" t="s">
        <v>926</v>
      </c>
      <c r="K260" s="12" t="s">
        <v>895</v>
      </c>
      <c r="L260" s="12"/>
      <c r="M260" s="11"/>
      <c r="N260" s="11"/>
      <c r="O260" s="11"/>
      <c r="P260" s="11"/>
    </row>
    <row r="261" spans="1:16" hidden="1" x14ac:dyDescent="0.25">
      <c r="A261" s="695">
        <v>56213</v>
      </c>
      <c r="B261" s="558">
        <v>1487</v>
      </c>
      <c r="C261" s="693">
        <v>100</v>
      </c>
      <c r="D261" s="558">
        <v>2100</v>
      </c>
      <c r="F261" s="693" t="s">
        <v>1288</v>
      </c>
      <c r="G261" s="696">
        <v>35</v>
      </c>
      <c r="H261" s="12" t="s">
        <v>995</v>
      </c>
      <c r="I261" s="12" t="s">
        <v>893</v>
      </c>
      <c r="J261" s="12" t="s">
        <v>902</v>
      </c>
      <c r="K261" s="12" t="s">
        <v>895</v>
      </c>
      <c r="L261" s="12"/>
      <c r="M261" s="11"/>
      <c r="N261" s="11"/>
      <c r="O261" s="11"/>
      <c r="P261" s="11"/>
    </row>
    <row r="262" spans="1:16" x14ac:dyDescent="0.25">
      <c r="A262" s="695">
        <v>56213</v>
      </c>
      <c r="B262" s="558">
        <v>1534</v>
      </c>
      <c r="C262" s="693">
        <v>100</v>
      </c>
      <c r="D262" s="558">
        <v>2700</v>
      </c>
      <c r="F262" s="693" t="s">
        <v>1288</v>
      </c>
      <c r="G262" s="696">
        <v>0</v>
      </c>
      <c r="H262" s="12" t="s">
        <v>997</v>
      </c>
      <c r="I262" s="12" t="s">
        <v>913</v>
      </c>
      <c r="J262" s="12" t="s">
        <v>934</v>
      </c>
      <c r="K262" s="12" t="s">
        <v>895</v>
      </c>
      <c r="L262" s="12"/>
      <c r="M262" s="11"/>
      <c r="N262" s="11"/>
      <c r="O262" s="11"/>
      <c r="P262" s="11"/>
    </row>
    <row r="263" spans="1:16" hidden="1" x14ac:dyDescent="0.25">
      <c r="A263" s="695">
        <v>56213</v>
      </c>
      <c r="B263" s="558">
        <v>1534</v>
      </c>
      <c r="C263" s="693">
        <v>400</v>
      </c>
      <c r="D263" s="558">
        <v>2700</v>
      </c>
      <c r="F263" s="693" t="s">
        <v>1288</v>
      </c>
      <c r="G263" s="696">
        <v>3</v>
      </c>
      <c r="H263" s="12" t="s">
        <v>997</v>
      </c>
      <c r="I263" s="12" t="s">
        <v>913</v>
      </c>
      <c r="J263" s="12" t="s">
        <v>934</v>
      </c>
      <c r="K263" s="12" t="s">
        <v>895</v>
      </c>
      <c r="L263" s="12"/>
      <c r="M263" s="11"/>
      <c r="N263" s="11"/>
      <c r="O263" s="11"/>
      <c r="P263" s="11"/>
    </row>
    <row r="264" spans="1:16" hidden="1" x14ac:dyDescent="0.25">
      <c r="A264" s="695">
        <v>56213</v>
      </c>
      <c r="B264" s="558" t="s">
        <v>1248</v>
      </c>
      <c r="C264" s="693">
        <v>100</v>
      </c>
      <c r="D264" s="558">
        <v>1000</v>
      </c>
      <c r="F264" s="693" t="s">
        <v>1288</v>
      </c>
      <c r="G264" s="696">
        <v>27</v>
      </c>
      <c r="H264" s="12" t="s">
        <v>904</v>
      </c>
      <c r="I264" s="12" t="s">
        <v>893</v>
      </c>
      <c r="J264" s="12" t="s">
        <v>894</v>
      </c>
      <c r="K264" s="12" t="s">
        <v>895</v>
      </c>
      <c r="L264" s="12"/>
      <c r="M264" s="11"/>
      <c r="N264" s="11"/>
      <c r="O264" s="11"/>
      <c r="P264" s="11"/>
    </row>
    <row r="265" spans="1:16" hidden="1" x14ac:dyDescent="0.25">
      <c r="A265" s="694">
        <v>56213</v>
      </c>
      <c r="B265" s="558" t="s">
        <v>1248</v>
      </c>
      <c r="C265" s="693">
        <v>260</v>
      </c>
      <c r="D265" s="558">
        <v>1000</v>
      </c>
      <c r="F265" s="693" t="s">
        <v>1288</v>
      </c>
      <c r="G265" s="696">
        <v>11</v>
      </c>
      <c r="H265" s="12" t="s">
        <v>904</v>
      </c>
      <c r="I265" s="12" t="s">
        <v>901</v>
      </c>
      <c r="J265" s="12" t="s">
        <v>894</v>
      </c>
      <c r="K265" s="12" t="s">
        <v>895</v>
      </c>
      <c r="L265" s="12"/>
      <c r="M265" s="11"/>
      <c r="N265" s="11"/>
      <c r="O265" s="11"/>
      <c r="P265" s="11"/>
    </row>
    <row r="266" spans="1:16" hidden="1" x14ac:dyDescent="0.25">
      <c r="A266" s="695">
        <v>56214</v>
      </c>
      <c r="B266" s="558">
        <v>1000</v>
      </c>
      <c r="C266" s="693">
        <v>100</v>
      </c>
      <c r="D266" s="558">
        <v>1000</v>
      </c>
      <c r="F266" s="693" t="s">
        <v>1289</v>
      </c>
      <c r="G266" s="696">
        <v>2</v>
      </c>
      <c r="H266" s="12" t="s">
        <v>889</v>
      </c>
      <c r="I266" s="12" t="s">
        <v>893</v>
      </c>
      <c r="J266" s="12" t="s">
        <v>894</v>
      </c>
      <c r="K266" s="12" t="s">
        <v>895</v>
      </c>
      <c r="L266" s="12"/>
      <c r="M266" s="11"/>
      <c r="N266" s="11"/>
      <c r="O266" s="11"/>
      <c r="P266" s="11"/>
    </row>
    <row r="267" spans="1:16" hidden="1" x14ac:dyDescent="0.25">
      <c r="A267" s="695">
        <v>56214</v>
      </c>
      <c r="B267" s="558">
        <v>1000</v>
      </c>
      <c r="C267" s="693">
        <v>100</v>
      </c>
      <c r="D267" s="558">
        <v>2100</v>
      </c>
      <c r="F267" s="693" t="s">
        <v>1289</v>
      </c>
      <c r="G267" s="696">
        <v>13</v>
      </c>
      <c r="H267" s="12" t="s">
        <v>889</v>
      </c>
      <c r="I267" s="12" t="s">
        <v>893</v>
      </c>
      <c r="J267" s="12" t="s">
        <v>902</v>
      </c>
      <c r="K267" s="12" t="s">
        <v>895</v>
      </c>
      <c r="L267" s="12"/>
      <c r="M267" s="11"/>
      <c r="N267" s="11"/>
      <c r="O267" s="11"/>
      <c r="P267" s="11"/>
    </row>
    <row r="268" spans="1:16" hidden="1" x14ac:dyDescent="0.25">
      <c r="A268" s="695">
        <v>56214</v>
      </c>
      <c r="B268" s="558">
        <v>1000</v>
      </c>
      <c r="C268" s="693">
        <v>100</v>
      </c>
      <c r="D268" s="558">
        <v>2110</v>
      </c>
      <c r="F268" s="693" t="s">
        <v>1289</v>
      </c>
      <c r="G268" s="696">
        <v>5</v>
      </c>
      <c r="H268" s="12" t="s">
        <v>889</v>
      </c>
      <c r="I268" s="12" t="s">
        <v>893</v>
      </c>
      <c r="J268" s="12" t="s">
        <v>902</v>
      </c>
      <c r="K268" s="12" t="s">
        <v>895</v>
      </c>
      <c r="L268" s="12"/>
      <c r="M268" s="11"/>
      <c r="N268" s="11"/>
      <c r="O268" s="11"/>
      <c r="P268" s="11"/>
    </row>
    <row r="269" spans="1:16" hidden="1" x14ac:dyDescent="0.25">
      <c r="A269" s="695">
        <v>56214</v>
      </c>
      <c r="B269" s="558">
        <v>1000</v>
      </c>
      <c r="C269" s="693">
        <v>100</v>
      </c>
      <c r="D269" s="558">
        <v>2200</v>
      </c>
      <c r="F269" s="693" t="s">
        <v>1289</v>
      </c>
      <c r="G269" s="696">
        <v>9</v>
      </c>
      <c r="H269" s="12" t="s">
        <v>889</v>
      </c>
      <c r="I269" s="12" t="s">
        <v>893</v>
      </c>
      <c r="J269" s="12" t="s">
        <v>906</v>
      </c>
      <c r="K269" s="12" t="s">
        <v>895</v>
      </c>
      <c r="L269" s="12"/>
      <c r="M269" s="11"/>
      <c r="N269" s="11"/>
      <c r="O269" s="11"/>
      <c r="P269" s="11"/>
    </row>
    <row r="270" spans="1:16" hidden="1" x14ac:dyDescent="0.25">
      <c r="A270" s="695">
        <v>56214</v>
      </c>
      <c r="B270" s="558">
        <v>1000</v>
      </c>
      <c r="C270" s="693">
        <v>100</v>
      </c>
      <c r="D270" s="558">
        <v>2300</v>
      </c>
      <c r="F270" s="693" t="s">
        <v>1289</v>
      </c>
      <c r="G270" s="696">
        <v>2</v>
      </c>
      <c r="H270" s="12" t="s">
        <v>889</v>
      </c>
      <c r="I270" s="12" t="s">
        <v>893</v>
      </c>
      <c r="J270" s="12" t="s">
        <v>918</v>
      </c>
      <c r="K270" s="12" t="s">
        <v>895</v>
      </c>
      <c r="L270" s="12"/>
      <c r="M270" s="11"/>
      <c r="N270" s="11"/>
      <c r="O270" s="11"/>
      <c r="P270" s="11"/>
    </row>
    <row r="271" spans="1:16" hidden="1" x14ac:dyDescent="0.25">
      <c r="A271" s="695">
        <v>56214</v>
      </c>
      <c r="B271" s="558">
        <v>1000</v>
      </c>
      <c r="C271" s="693">
        <v>100</v>
      </c>
      <c r="D271" s="558">
        <v>2310</v>
      </c>
      <c r="F271" s="693" t="s">
        <v>1289</v>
      </c>
      <c r="G271" s="696">
        <v>2</v>
      </c>
      <c r="H271" s="12" t="s">
        <v>889</v>
      </c>
      <c r="I271" s="12" t="s">
        <v>893</v>
      </c>
      <c r="J271" s="12" t="s">
        <v>918</v>
      </c>
      <c r="K271" s="12" t="s">
        <v>895</v>
      </c>
      <c r="L271" s="12"/>
      <c r="M271" s="11"/>
      <c r="N271" s="11"/>
      <c r="O271" s="11"/>
      <c r="P271" s="11"/>
    </row>
    <row r="272" spans="1:16" hidden="1" x14ac:dyDescent="0.25">
      <c r="A272" s="695">
        <v>56214</v>
      </c>
      <c r="B272" s="558">
        <v>1000</v>
      </c>
      <c r="C272" s="693">
        <v>100</v>
      </c>
      <c r="D272" s="558">
        <v>2400</v>
      </c>
      <c r="F272" s="693" t="s">
        <v>1289</v>
      </c>
      <c r="G272" s="696">
        <v>64</v>
      </c>
      <c r="H272" s="12" t="s">
        <v>889</v>
      </c>
      <c r="I272" s="12" t="s">
        <v>893</v>
      </c>
      <c r="J272" s="12" t="s">
        <v>922</v>
      </c>
      <c r="K272" s="12" t="s">
        <v>895</v>
      </c>
      <c r="L272" s="12"/>
      <c r="M272" s="11"/>
      <c r="N272" s="11"/>
      <c r="O272" s="11"/>
      <c r="P272" s="11"/>
    </row>
    <row r="273" spans="1:16" hidden="1" x14ac:dyDescent="0.25">
      <c r="A273" s="695">
        <v>56214</v>
      </c>
      <c r="B273" s="558">
        <v>1000</v>
      </c>
      <c r="C273" s="693">
        <v>100</v>
      </c>
      <c r="D273" s="558">
        <v>2410</v>
      </c>
      <c r="F273" s="693" t="s">
        <v>1289</v>
      </c>
      <c r="G273" s="696">
        <v>119</v>
      </c>
      <c r="H273" s="12" t="s">
        <v>889</v>
      </c>
      <c r="I273" s="12" t="s">
        <v>893</v>
      </c>
      <c r="J273" s="12" t="s">
        <v>922</v>
      </c>
      <c r="K273" s="12" t="s">
        <v>895</v>
      </c>
      <c r="L273" s="12"/>
      <c r="M273" s="11"/>
      <c r="N273" s="11"/>
      <c r="O273" s="11"/>
      <c r="P273" s="11"/>
    </row>
    <row r="274" spans="1:16" hidden="1" x14ac:dyDescent="0.25">
      <c r="A274" s="695">
        <v>56214</v>
      </c>
      <c r="B274" s="558">
        <v>1000</v>
      </c>
      <c r="C274" s="693">
        <v>100</v>
      </c>
      <c r="D274" s="558">
        <v>2500</v>
      </c>
      <c r="F274" s="693" t="s">
        <v>1289</v>
      </c>
      <c r="G274" s="696">
        <v>396</v>
      </c>
      <c r="H274" s="12" t="s">
        <v>889</v>
      </c>
      <c r="I274" s="12" t="s">
        <v>893</v>
      </c>
      <c r="J274" s="12" t="s">
        <v>926</v>
      </c>
      <c r="K274" s="12" t="s">
        <v>895</v>
      </c>
      <c r="L274" s="12"/>
      <c r="M274" s="11"/>
      <c r="N274" s="11"/>
      <c r="O274" s="11"/>
      <c r="P274" s="11"/>
    </row>
    <row r="275" spans="1:16" hidden="1" x14ac:dyDescent="0.25">
      <c r="A275" s="695">
        <v>56214</v>
      </c>
      <c r="B275" s="558">
        <v>1000</v>
      </c>
      <c r="C275" s="693">
        <v>100</v>
      </c>
      <c r="D275" s="558">
        <v>2510</v>
      </c>
      <c r="F275" s="693" t="s">
        <v>1289</v>
      </c>
      <c r="G275" s="696">
        <v>2</v>
      </c>
      <c r="H275" s="12" t="s">
        <v>889</v>
      </c>
      <c r="I275" s="12" t="s">
        <v>893</v>
      </c>
      <c r="J275" s="12" t="s">
        <v>926</v>
      </c>
      <c r="K275" s="12" t="s">
        <v>895</v>
      </c>
      <c r="L275" s="12"/>
      <c r="M275" s="11"/>
      <c r="N275" s="11"/>
      <c r="O275" s="11"/>
      <c r="P275" s="11"/>
    </row>
    <row r="276" spans="1:16" hidden="1" x14ac:dyDescent="0.25">
      <c r="A276" s="695">
        <v>56214</v>
      </c>
      <c r="B276" s="558">
        <v>1000</v>
      </c>
      <c r="C276" s="693">
        <v>100</v>
      </c>
      <c r="D276" s="558">
        <v>2600</v>
      </c>
      <c r="F276" s="693" t="s">
        <v>1289</v>
      </c>
      <c r="G276" s="696">
        <v>117</v>
      </c>
      <c r="H276" s="12" t="s">
        <v>889</v>
      </c>
      <c r="I276" s="12" t="s">
        <v>893</v>
      </c>
      <c r="J276" s="12" t="s">
        <v>930</v>
      </c>
      <c r="K276" s="12" t="s">
        <v>895</v>
      </c>
      <c r="L276" s="12"/>
      <c r="M276" s="11"/>
      <c r="N276" s="11"/>
      <c r="O276" s="11"/>
      <c r="P276" s="11"/>
    </row>
    <row r="277" spans="1:16" hidden="1" x14ac:dyDescent="0.25">
      <c r="A277" s="695">
        <v>56214</v>
      </c>
      <c r="B277" s="558">
        <v>1000</v>
      </c>
      <c r="C277" s="693">
        <v>100</v>
      </c>
      <c r="D277" s="558">
        <v>3100</v>
      </c>
      <c r="F277" s="693" t="s">
        <v>1289</v>
      </c>
      <c r="G277" s="696">
        <v>1</v>
      </c>
      <c r="H277" s="12" t="s">
        <v>889</v>
      </c>
      <c r="I277" s="12" t="s">
        <v>893</v>
      </c>
      <c r="J277" s="12" t="s">
        <v>942</v>
      </c>
      <c r="K277" s="12" t="s">
        <v>895</v>
      </c>
      <c r="L277" s="12"/>
      <c r="M277" s="11"/>
      <c r="N277" s="11"/>
      <c r="O277" s="11"/>
      <c r="P277" s="11"/>
    </row>
    <row r="278" spans="1:16" hidden="1" x14ac:dyDescent="0.25">
      <c r="A278" s="695">
        <v>56214</v>
      </c>
      <c r="B278" s="558">
        <v>1000</v>
      </c>
      <c r="C278" s="693">
        <v>200</v>
      </c>
      <c r="D278" s="558">
        <v>1000</v>
      </c>
      <c r="F278" s="693" t="s">
        <v>1289</v>
      </c>
      <c r="G278" s="696">
        <v>2</v>
      </c>
      <c r="H278" s="12" t="s">
        <v>889</v>
      </c>
      <c r="I278" s="12" t="s">
        <v>897</v>
      </c>
      <c r="J278" s="12" t="s">
        <v>894</v>
      </c>
      <c r="K278" s="12" t="s">
        <v>895</v>
      </c>
      <c r="L278" s="12"/>
      <c r="M278" s="11"/>
      <c r="N278" s="11"/>
      <c r="O278" s="11"/>
      <c r="P278" s="11"/>
    </row>
    <row r="279" spans="1:16" hidden="1" x14ac:dyDescent="0.25">
      <c r="A279" s="695">
        <v>56214</v>
      </c>
      <c r="B279" s="558">
        <v>1000</v>
      </c>
      <c r="C279" s="693">
        <v>200</v>
      </c>
      <c r="D279" s="558">
        <v>2100</v>
      </c>
      <c r="F279" s="693" t="s">
        <v>1289</v>
      </c>
      <c r="G279" s="696">
        <v>183</v>
      </c>
      <c r="H279" s="12" t="s">
        <v>889</v>
      </c>
      <c r="I279" s="12" t="s">
        <v>897</v>
      </c>
      <c r="J279" s="12" t="s">
        <v>902</v>
      </c>
      <c r="K279" s="12" t="s">
        <v>895</v>
      </c>
      <c r="L279" s="12"/>
      <c r="M279" s="11"/>
      <c r="N279" s="11"/>
      <c r="O279" s="11"/>
      <c r="P279" s="11"/>
    </row>
    <row r="280" spans="1:16" hidden="1" x14ac:dyDescent="0.25">
      <c r="A280" s="695">
        <v>56214</v>
      </c>
      <c r="B280" s="558">
        <v>1000</v>
      </c>
      <c r="C280" s="693">
        <v>200</v>
      </c>
      <c r="D280" s="558">
        <v>2200</v>
      </c>
      <c r="F280" s="693" t="s">
        <v>1289</v>
      </c>
      <c r="G280" s="696">
        <v>1</v>
      </c>
      <c r="H280" s="12" t="s">
        <v>889</v>
      </c>
      <c r="I280" s="12" t="s">
        <v>897</v>
      </c>
      <c r="J280" s="12" t="s">
        <v>906</v>
      </c>
      <c r="K280" s="12" t="s">
        <v>895</v>
      </c>
      <c r="L280" s="12"/>
      <c r="M280" s="11"/>
      <c r="N280" s="11"/>
      <c r="O280" s="11"/>
      <c r="P280" s="11"/>
    </row>
    <row r="281" spans="1:16" hidden="1" x14ac:dyDescent="0.25">
      <c r="A281" s="695">
        <v>56214</v>
      </c>
      <c r="B281" s="558">
        <v>1000</v>
      </c>
      <c r="C281" s="693">
        <v>240</v>
      </c>
      <c r="D281" s="558">
        <v>1000</v>
      </c>
      <c r="F281" s="693" t="s">
        <v>1289</v>
      </c>
      <c r="G281" s="696">
        <v>3</v>
      </c>
      <c r="H281" s="12" t="s">
        <v>889</v>
      </c>
      <c r="I281" s="12" t="s">
        <v>897</v>
      </c>
      <c r="J281" s="12" t="s">
        <v>894</v>
      </c>
      <c r="K281" s="12" t="s">
        <v>895</v>
      </c>
      <c r="L281" s="12"/>
      <c r="M281" s="11"/>
      <c r="N281" s="11"/>
      <c r="O281" s="11"/>
      <c r="P281" s="11"/>
    </row>
    <row r="282" spans="1:16" hidden="1" x14ac:dyDescent="0.25">
      <c r="A282" s="695">
        <v>56214</v>
      </c>
      <c r="B282" s="558">
        <v>1000</v>
      </c>
      <c r="C282" s="693">
        <v>260</v>
      </c>
      <c r="D282" s="558">
        <v>1000</v>
      </c>
      <c r="F282" s="693" t="s">
        <v>1289</v>
      </c>
      <c r="G282" s="696">
        <v>3</v>
      </c>
      <c r="H282" s="12" t="s">
        <v>889</v>
      </c>
      <c r="I282" s="12" t="s">
        <v>901</v>
      </c>
      <c r="J282" s="12" t="s">
        <v>894</v>
      </c>
      <c r="K282" s="12" t="s">
        <v>895</v>
      </c>
      <c r="L282" s="12"/>
      <c r="M282" s="11"/>
      <c r="N282" s="11"/>
      <c r="O282" s="11"/>
      <c r="P282" s="11"/>
    </row>
    <row r="283" spans="1:16" hidden="1" x14ac:dyDescent="0.25">
      <c r="A283" s="695">
        <v>56214</v>
      </c>
      <c r="B283" s="558">
        <v>1000</v>
      </c>
      <c r="C283" s="693">
        <v>400</v>
      </c>
      <c r="D283" s="558">
        <v>2700</v>
      </c>
      <c r="F283" s="693" t="s">
        <v>1289</v>
      </c>
      <c r="G283" s="696">
        <v>0</v>
      </c>
      <c r="H283" s="12" t="s">
        <v>889</v>
      </c>
      <c r="I283" s="12" t="s">
        <v>913</v>
      </c>
      <c r="J283" s="12" t="s">
        <v>934</v>
      </c>
      <c r="K283" s="12" t="s">
        <v>895</v>
      </c>
      <c r="L283" s="12"/>
      <c r="M283" s="11"/>
      <c r="N283" s="11"/>
      <c r="O283" s="11"/>
      <c r="P283" s="11"/>
    </row>
    <row r="284" spans="1:16" hidden="1" x14ac:dyDescent="0.25">
      <c r="A284" s="695">
        <v>56214</v>
      </c>
      <c r="B284" s="558">
        <v>1000</v>
      </c>
      <c r="C284" s="693">
        <v>550</v>
      </c>
      <c r="D284" s="558">
        <v>1000</v>
      </c>
      <c r="F284" s="693" t="s">
        <v>1289</v>
      </c>
      <c r="G284" s="696">
        <v>61</v>
      </c>
      <c r="H284" s="12" t="s">
        <v>889</v>
      </c>
      <c r="I284" s="12" t="s">
        <v>933</v>
      </c>
      <c r="J284" s="12" t="s">
        <v>894</v>
      </c>
      <c r="K284" s="12" t="s">
        <v>895</v>
      </c>
      <c r="L284" s="12"/>
      <c r="M284" s="11"/>
      <c r="N284" s="11"/>
      <c r="O284" s="11"/>
      <c r="P284" s="11"/>
    </row>
    <row r="285" spans="1:16" hidden="1" x14ac:dyDescent="0.25">
      <c r="A285" s="695">
        <v>56214</v>
      </c>
      <c r="B285" s="558">
        <v>1190</v>
      </c>
      <c r="C285" s="693">
        <v>260</v>
      </c>
      <c r="D285" s="558">
        <v>1000</v>
      </c>
      <c r="F285" s="693" t="s">
        <v>1289</v>
      </c>
      <c r="G285" s="696">
        <v>37</v>
      </c>
      <c r="H285" s="12" t="s">
        <v>920</v>
      </c>
      <c r="I285" s="12" t="s">
        <v>901</v>
      </c>
      <c r="J285" s="12" t="s">
        <v>894</v>
      </c>
      <c r="K285" s="12" t="s">
        <v>895</v>
      </c>
      <c r="L285" s="12"/>
      <c r="M285" s="11"/>
      <c r="N285" s="11"/>
      <c r="O285" s="11"/>
      <c r="P285" s="11"/>
    </row>
    <row r="286" spans="1:16" hidden="1" x14ac:dyDescent="0.25">
      <c r="A286" s="695">
        <v>56214</v>
      </c>
      <c r="B286" s="558">
        <v>1220</v>
      </c>
      <c r="C286" s="693">
        <v>200</v>
      </c>
      <c r="D286" s="558">
        <v>2100</v>
      </c>
      <c r="F286" s="693" t="s">
        <v>1289</v>
      </c>
      <c r="G286" s="696">
        <v>18</v>
      </c>
      <c r="H286" s="12" t="s">
        <v>932</v>
      </c>
      <c r="I286" s="12" t="s">
        <v>897</v>
      </c>
      <c r="J286" s="12" t="s">
        <v>902</v>
      </c>
      <c r="K286" s="12" t="s">
        <v>895</v>
      </c>
      <c r="L286" s="12"/>
      <c r="M286" s="11"/>
      <c r="N286" s="11"/>
      <c r="O286" s="11"/>
      <c r="P286" s="11"/>
    </row>
    <row r="287" spans="1:16" hidden="1" x14ac:dyDescent="0.25">
      <c r="A287" s="695">
        <v>56214</v>
      </c>
      <c r="B287" s="558">
        <v>1321</v>
      </c>
      <c r="C287" s="693">
        <v>100</v>
      </c>
      <c r="D287" s="558">
        <v>1000</v>
      </c>
      <c r="F287" s="693" t="s">
        <v>1289</v>
      </c>
      <c r="G287" s="696">
        <v>554</v>
      </c>
      <c r="H287" s="12" t="s">
        <v>968</v>
      </c>
      <c r="I287" s="12" t="s">
        <v>893</v>
      </c>
      <c r="J287" s="12" t="s">
        <v>894</v>
      </c>
      <c r="K287" s="12" t="s">
        <v>895</v>
      </c>
      <c r="L287" s="12"/>
      <c r="M287" s="11"/>
      <c r="N287" s="11"/>
      <c r="O287" s="11"/>
      <c r="P287" s="11"/>
    </row>
    <row r="288" spans="1:16" hidden="1" x14ac:dyDescent="0.25">
      <c r="A288" s="695">
        <v>56214</v>
      </c>
      <c r="B288" s="558">
        <v>1321</v>
      </c>
      <c r="C288" s="693">
        <v>100</v>
      </c>
      <c r="D288" s="558">
        <v>2100</v>
      </c>
      <c r="F288" s="693" t="s">
        <v>1289</v>
      </c>
      <c r="G288" s="696">
        <v>186</v>
      </c>
      <c r="H288" s="12" t="s">
        <v>968</v>
      </c>
      <c r="I288" s="12" t="s">
        <v>893</v>
      </c>
      <c r="J288" s="12" t="s">
        <v>902</v>
      </c>
      <c r="K288" s="12" t="s">
        <v>895</v>
      </c>
      <c r="L288" s="12"/>
      <c r="M288" s="11"/>
      <c r="N288" s="11"/>
      <c r="O288" s="11"/>
      <c r="P288" s="11"/>
    </row>
    <row r="289" spans="1:16" hidden="1" x14ac:dyDescent="0.25">
      <c r="A289" s="695">
        <v>56214</v>
      </c>
      <c r="B289" s="558">
        <v>1321</v>
      </c>
      <c r="C289" s="693">
        <v>100</v>
      </c>
      <c r="D289" s="558">
        <v>2400</v>
      </c>
      <c r="F289" s="693" t="s">
        <v>1289</v>
      </c>
      <c r="G289" s="696">
        <v>57</v>
      </c>
      <c r="H289" s="12" t="s">
        <v>968</v>
      </c>
      <c r="I289" s="12" t="s">
        <v>893</v>
      </c>
      <c r="J289" s="12" t="s">
        <v>922</v>
      </c>
      <c r="K289" s="12" t="s">
        <v>895</v>
      </c>
      <c r="L289" s="12"/>
      <c r="M289" s="11"/>
      <c r="N289" s="11"/>
      <c r="O289" s="11"/>
      <c r="P289" s="11"/>
    </row>
    <row r="290" spans="1:16" hidden="1" x14ac:dyDescent="0.25">
      <c r="A290" s="695">
        <v>56214</v>
      </c>
      <c r="B290" s="558">
        <v>1321</v>
      </c>
      <c r="C290" s="693">
        <v>200</v>
      </c>
      <c r="D290" s="558">
        <v>1000</v>
      </c>
      <c r="F290" s="693" t="s">
        <v>1289</v>
      </c>
      <c r="G290" s="696">
        <v>166</v>
      </c>
      <c r="H290" s="12" t="s">
        <v>968</v>
      </c>
      <c r="I290" s="12" t="s">
        <v>897</v>
      </c>
      <c r="J290" s="12" t="s">
        <v>894</v>
      </c>
      <c r="K290" s="12" t="s">
        <v>895</v>
      </c>
      <c r="L290" s="12"/>
      <c r="M290" s="11"/>
      <c r="N290" s="11"/>
      <c r="O290" s="11"/>
      <c r="P290" s="11"/>
    </row>
    <row r="291" spans="1:16" hidden="1" x14ac:dyDescent="0.25">
      <c r="A291" s="695">
        <v>56214</v>
      </c>
      <c r="B291" s="558">
        <v>1321</v>
      </c>
      <c r="C291" s="693">
        <v>200</v>
      </c>
      <c r="D291" s="558">
        <v>2100</v>
      </c>
      <c r="F291" s="693" t="s">
        <v>1289</v>
      </c>
      <c r="G291" s="696">
        <v>64</v>
      </c>
      <c r="H291" s="12" t="s">
        <v>968</v>
      </c>
      <c r="I291" s="12" t="s">
        <v>897</v>
      </c>
      <c r="J291" s="12" t="s">
        <v>902</v>
      </c>
      <c r="K291" s="12" t="s">
        <v>895</v>
      </c>
      <c r="L291" s="12"/>
      <c r="M291" s="11"/>
      <c r="N291" s="11"/>
      <c r="O291" s="11"/>
      <c r="P291" s="11"/>
    </row>
    <row r="292" spans="1:16" hidden="1" x14ac:dyDescent="0.25">
      <c r="A292" s="695">
        <v>56214</v>
      </c>
      <c r="B292" s="558">
        <v>1322</v>
      </c>
      <c r="C292" s="693">
        <v>100</v>
      </c>
      <c r="D292" s="558">
        <v>2500</v>
      </c>
      <c r="F292" s="693" t="s">
        <v>1289</v>
      </c>
      <c r="G292" s="696">
        <v>0</v>
      </c>
      <c r="H292" s="12" t="s">
        <v>968</v>
      </c>
      <c r="I292" s="12" t="s">
        <v>893</v>
      </c>
      <c r="J292" s="12" t="s">
        <v>926</v>
      </c>
      <c r="K292" s="12" t="s">
        <v>895</v>
      </c>
      <c r="L292" s="12"/>
      <c r="M292" s="11"/>
      <c r="N292" s="11"/>
      <c r="O292" s="11"/>
      <c r="P292" s="11"/>
    </row>
    <row r="293" spans="1:16" hidden="1" x14ac:dyDescent="0.25">
      <c r="A293" s="695">
        <v>56214</v>
      </c>
      <c r="B293" s="558">
        <v>1487</v>
      </c>
      <c r="C293" s="693">
        <v>100</v>
      </c>
      <c r="D293" s="558">
        <v>2100</v>
      </c>
      <c r="F293" s="693" t="s">
        <v>1289</v>
      </c>
      <c r="G293" s="696">
        <v>155</v>
      </c>
      <c r="H293" s="12" t="s">
        <v>995</v>
      </c>
      <c r="I293" s="12" t="s">
        <v>893</v>
      </c>
      <c r="J293" s="12" t="s">
        <v>902</v>
      </c>
      <c r="K293" s="12" t="s">
        <v>895</v>
      </c>
      <c r="L293" s="12"/>
      <c r="M293" s="11"/>
      <c r="N293" s="11"/>
      <c r="O293" s="11"/>
      <c r="P293" s="11"/>
    </row>
    <row r="294" spans="1:16" x14ac:dyDescent="0.25">
      <c r="A294" s="695">
        <v>56214</v>
      </c>
      <c r="B294" s="558">
        <v>1534</v>
      </c>
      <c r="C294" s="693">
        <v>100</v>
      </c>
      <c r="D294" s="558">
        <v>2700</v>
      </c>
      <c r="F294" s="693" t="s">
        <v>1289</v>
      </c>
      <c r="G294" s="696">
        <v>0</v>
      </c>
      <c r="H294" s="12" t="s">
        <v>997</v>
      </c>
      <c r="I294" s="12" t="s">
        <v>913</v>
      </c>
      <c r="J294" s="12" t="s">
        <v>934</v>
      </c>
      <c r="K294" s="12" t="s">
        <v>895</v>
      </c>
      <c r="L294" s="12"/>
      <c r="M294" s="11"/>
      <c r="N294" s="11"/>
      <c r="O294" s="11"/>
      <c r="P294" s="11"/>
    </row>
    <row r="295" spans="1:16" hidden="1" x14ac:dyDescent="0.25">
      <c r="A295" s="695">
        <v>56214</v>
      </c>
      <c r="B295" s="558">
        <v>1534</v>
      </c>
      <c r="C295" s="693">
        <v>400</v>
      </c>
      <c r="D295" s="558">
        <v>2700</v>
      </c>
      <c r="F295" s="693" t="s">
        <v>1289</v>
      </c>
      <c r="G295" s="696">
        <v>14</v>
      </c>
      <c r="H295" s="12" t="s">
        <v>997</v>
      </c>
      <c r="I295" s="12" t="s">
        <v>913</v>
      </c>
      <c r="J295" s="12" t="s">
        <v>934</v>
      </c>
      <c r="K295" s="12" t="s">
        <v>895</v>
      </c>
      <c r="L295" s="12"/>
      <c r="M295" s="11"/>
      <c r="N295" s="11"/>
      <c r="O295" s="11"/>
      <c r="P295" s="11"/>
    </row>
    <row r="296" spans="1:16" hidden="1" x14ac:dyDescent="0.25">
      <c r="A296" s="695">
        <v>56214</v>
      </c>
      <c r="B296" s="558" t="s">
        <v>1248</v>
      </c>
      <c r="C296" s="693">
        <v>100</v>
      </c>
      <c r="D296" s="558">
        <v>1000</v>
      </c>
      <c r="F296" s="693" t="s">
        <v>1289</v>
      </c>
      <c r="G296" s="696">
        <v>117</v>
      </c>
      <c r="H296" s="12" t="s">
        <v>904</v>
      </c>
      <c r="I296" s="12" t="s">
        <v>893</v>
      </c>
      <c r="J296" s="12" t="s">
        <v>894</v>
      </c>
      <c r="K296" s="12" t="s">
        <v>895</v>
      </c>
      <c r="L296" s="12"/>
      <c r="M296" s="11"/>
      <c r="N296" s="11"/>
      <c r="O296" s="11"/>
      <c r="P296" s="11"/>
    </row>
    <row r="297" spans="1:16" hidden="1" x14ac:dyDescent="0.25">
      <c r="A297" s="694">
        <v>56214</v>
      </c>
      <c r="B297" s="558" t="s">
        <v>1248</v>
      </c>
      <c r="C297" s="693">
        <v>260</v>
      </c>
      <c r="D297" s="558">
        <v>1000</v>
      </c>
      <c r="F297" s="693" t="s">
        <v>1289</v>
      </c>
      <c r="G297" s="696">
        <v>29</v>
      </c>
      <c r="H297" s="12" t="s">
        <v>904</v>
      </c>
      <c r="I297" s="12" t="s">
        <v>901</v>
      </c>
      <c r="J297" s="12" t="s">
        <v>894</v>
      </c>
      <c r="K297" s="12" t="s">
        <v>895</v>
      </c>
      <c r="L297" s="12"/>
      <c r="M297" s="11"/>
      <c r="N297" s="11"/>
      <c r="O297" s="11"/>
      <c r="P297" s="11"/>
    </row>
    <row r="298" spans="1:16" hidden="1" x14ac:dyDescent="0.25">
      <c r="A298" s="695">
        <v>56221</v>
      </c>
      <c r="B298" s="558">
        <v>1000</v>
      </c>
      <c r="C298" s="693">
        <v>100</v>
      </c>
      <c r="D298" s="558">
        <v>1000</v>
      </c>
      <c r="F298" s="693" t="s">
        <v>1290</v>
      </c>
      <c r="G298" s="696">
        <v>718</v>
      </c>
      <c r="H298" s="12" t="s">
        <v>889</v>
      </c>
      <c r="I298" s="12" t="s">
        <v>893</v>
      </c>
      <c r="J298" s="12" t="s">
        <v>894</v>
      </c>
      <c r="K298" s="12" t="s">
        <v>895</v>
      </c>
      <c r="L298" s="12"/>
      <c r="M298" s="11"/>
      <c r="N298" s="11"/>
      <c r="O298" s="11"/>
      <c r="P298" s="11"/>
    </row>
    <row r="299" spans="1:16" hidden="1" x14ac:dyDescent="0.25">
      <c r="A299" s="695">
        <v>56221</v>
      </c>
      <c r="B299" s="558">
        <v>1000</v>
      </c>
      <c r="C299" s="693">
        <v>100</v>
      </c>
      <c r="D299" s="558">
        <v>2100</v>
      </c>
      <c r="F299" s="693" t="s">
        <v>1290</v>
      </c>
      <c r="G299" s="696">
        <v>502</v>
      </c>
      <c r="H299" s="12" t="s">
        <v>889</v>
      </c>
      <c r="I299" s="12" t="s">
        <v>893</v>
      </c>
      <c r="J299" s="12" t="s">
        <v>902</v>
      </c>
      <c r="K299" s="12" t="s">
        <v>895</v>
      </c>
      <c r="L299" s="12"/>
      <c r="M299" s="11"/>
      <c r="N299" s="11"/>
      <c r="O299" s="11"/>
      <c r="P299" s="11"/>
    </row>
    <row r="300" spans="1:16" hidden="1" x14ac:dyDescent="0.25">
      <c r="A300" s="695">
        <v>56221</v>
      </c>
      <c r="B300" s="558">
        <v>1000</v>
      </c>
      <c r="C300" s="693">
        <v>100</v>
      </c>
      <c r="D300" s="558">
        <v>2110</v>
      </c>
      <c r="F300" s="693" t="s">
        <v>1290</v>
      </c>
      <c r="G300" s="696">
        <v>83</v>
      </c>
      <c r="H300" s="12" t="s">
        <v>889</v>
      </c>
      <c r="I300" s="12" t="s">
        <v>893</v>
      </c>
      <c r="J300" s="12" t="s">
        <v>902</v>
      </c>
      <c r="K300" s="12" t="s">
        <v>895</v>
      </c>
      <c r="L300" s="12"/>
      <c r="M300" s="11"/>
      <c r="N300" s="11"/>
      <c r="O300" s="11"/>
      <c r="P300" s="11"/>
    </row>
    <row r="301" spans="1:16" hidden="1" x14ac:dyDescent="0.25">
      <c r="A301" s="695">
        <v>56221</v>
      </c>
      <c r="B301" s="558">
        <v>1000</v>
      </c>
      <c r="C301" s="693">
        <v>100</v>
      </c>
      <c r="D301" s="558">
        <v>2200</v>
      </c>
      <c r="F301" s="693" t="s">
        <v>1290</v>
      </c>
      <c r="G301" s="696">
        <v>242</v>
      </c>
      <c r="H301" s="12" t="s">
        <v>889</v>
      </c>
      <c r="I301" s="12" t="s">
        <v>893</v>
      </c>
      <c r="J301" s="12" t="s">
        <v>906</v>
      </c>
      <c r="K301" s="12" t="s">
        <v>895</v>
      </c>
      <c r="L301" s="12"/>
      <c r="M301" s="11"/>
      <c r="N301" s="11"/>
      <c r="O301" s="11"/>
      <c r="P301" s="11"/>
    </row>
    <row r="302" spans="1:16" hidden="1" x14ac:dyDescent="0.25">
      <c r="A302" s="695">
        <v>56221</v>
      </c>
      <c r="B302" s="558">
        <v>1000</v>
      </c>
      <c r="C302" s="693">
        <v>100</v>
      </c>
      <c r="D302" s="558">
        <v>2300</v>
      </c>
      <c r="F302" s="693" t="s">
        <v>1290</v>
      </c>
      <c r="G302" s="696">
        <v>85</v>
      </c>
      <c r="H302" s="12" t="s">
        <v>889</v>
      </c>
      <c r="I302" s="12" t="s">
        <v>893</v>
      </c>
      <c r="J302" s="12" t="s">
        <v>918</v>
      </c>
      <c r="K302" s="12" t="s">
        <v>895</v>
      </c>
      <c r="L302" s="12"/>
      <c r="M302" s="11"/>
      <c r="N302" s="11"/>
      <c r="O302" s="11"/>
      <c r="P302" s="11"/>
    </row>
    <row r="303" spans="1:16" hidden="1" x14ac:dyDescent="0.25">
      <c r="A303" s="695">
        <v>56221</v>
      </c>
      <c r="B303" s="558">
        <v>1000</v>
      </c>
      <c r="C303" s="693">
        <v>100</v>
      </c>
      <c r="D303" s="558">
        <v>2310</v>
      </c>
      <c r="F303" s="693" t="s">
        <v>1290</v>
      </c>
      <c r="G303" s="696">
        <v>83</v>
      </c>
      <c r="H303" s="12" t="s">
        <v>889</v>
      </c>
      <c r="I303" s="12" t="s">
        <v>893</v>
      </c>
      <c r="J303" s="12" t="s">
        <v>918</v>
      </c>
      <c r="K303" s="12" t="s">
        <v>895</v>
      </c>
      <c r="L303" s="12"/>
      <c r="M303" s="11"/>
      <c r="N303" s="11"/>
      <c r="O303" s="11"/>
      <c r="P303" s="11"/>
    </row>
    <row r="304" spans="1:16" hidden="1" x14ac:dyDescent="0.25">
      <c r="A304" s="695">
        <v>56221</v>
      </c>
      <c r="B304" s="558">
        <v>1000</v>
      </c>
      <c r="C304" s="693">
        <v>100</v>
      </c>
      <c r="D304" s="558">
        <v>2400</v>
      </c>
      <c r="F304" s="693" t="s">
        <v>1290</v>
      </c>
      <c r="G304" s="696">
        <v>1870</v>
      </c>
      <c r="H304" s="12" t="s">
        <v>889</v>
      </c>
      <c r="I304" s="12" t="s">
        <v>893</v>
      </c>
      <c r="J304" s="12" t="s">
        <v>922</v>
      </c>
      <c r="K304" s="12" t="s">
        <v>895</v>
      </c>
      <c r="L304" s="12"/>
      <c r="M304" s="11"/>
      <c r="N304" s="11"/>
      <c r="O304" s="11"/>
      <c r="P304" s="11"/>
    </row>
    <row r="305" spans="1:16" hidden="1" x14ac:dyDescent="0.25">
      <c r="A305" s="695">
        <v>56221</v>
      </c>
      <c r="B305" s="558">
        <v>1000</v>
      </c>
      <c r="C305" s="693">
        <v>100</v>
      </c>
      <c r="D305" s="558">
        <v>2410</v>
      </c>
      <c r="F305" s="693" t="s">
        <v>1290</v>
      </c>
      <c r="G305" s="696">
        <v>2993</v>
      </c>
      <c r="H305" s="12" t="s">
        <v>889</v>
      </c>
      <c r="I305" s="12" t="s">
        <v>893</v>
      </c>
      <c r="J305" s="12" t="s">
        <v>922</v>
      </c>
      <c r="K305" s="12" t="s">
        <v>895</v>
      </c>
      <c r="L305" s="12"/>
      <c r="M305" s="11"/>
      <c r="N305" s="11"/>
      <c r="O305" s="11"/>
      <c r="P305" s="11"/>
    </row>
    <row r="306" spans="1:16" hidden="1" x14ac:dyDescent="0.25">
      <c r="A306" s="695">
        <v>56221</v>
      </c>
      <c r="B306" s="558">
        <v>1000</v>
      </c>
      <c r="C306" s="693">
        <v>100</v>
      </c>
      <c r="D306" s="558">
        <v>2500</v>
      </c>
      <c r="F306" s="693" t="s">
        <v>1290</v>
      </c>
      <c r="G306" s="696">
        <v>2830</v>
      </c>
      <c r="H306" s="12" t="s">
        <v>889</v>
      </c>
      <c r="I306" s="12" t="s">
        <v>893</v>
      </c>
      <c r="J306" s="12" t="s">
        <v>926</v>
      </c>
      <c r="K306" s="12" t="s">
        <v>895</v>
      </c>
      <c r="L306" s="12"/>
      <c r="M306" s="11"/>
      <c r="N306" s="11"/>
      <c r="O306" s="11"/>
      <c r="P306" s="11"/>
    </row>
    <row r="307" spans="1:16" hidden="1" x14ac:dyDescent="0.25">
      <c r="A307" s="695">
        <v>56221</v>
      </c>
      <c r="B307" s="558">
        <v>1000</v>
      </c>
      <c r="C307" s="693">
        <v>100</v>
      </c>
      <c r="D307" s="558">
        <v>2510</v>
      </c>
      <c r="F307" s="693" t="s">
        <v>1290</v>
      </c>
      <c r="G307" s="696">
        <v>85</v>
      </c>
      <c r="H307" s="12" t="s">
        <v>889</v>
      </c>
      <c r="I307" s="12" t="s">
        <v>893</v>
      </c>
      <c r="J307" s="12" t="s">
        <v>926</v>
      </c>
      <c r="K307" s="12" t="s">
        <v>895</v>
      </c>
      <c r="L307" s="12"/>
      <c r="M307" s="11"/>
      <c r="N307" s="11"/>
      <c r="O307" s="11"/>
      <c r="P307" s="11"/>
    </row>
    <row r="308" spans="1:16" hidden="1" x14ac:dyDescent="0.25">
      <c r="A308" s="695">
        <v>56221</v>
      </c>
      <c r="B308" s="558">
        <v>1000</v>
      </c>
      <c r="C308" s="693">
        <v>100</v>
      </c>
      <c r="D308" s="558">
        <v>2520</v>
      </c>
      <c r="F308" s="693" t="s">
        <v>1290</v>
      </c>
      <c r="G308" s="696">
        <v>69</v>
      </c>
      <c r="H308" s="12" t="s">
        <v>889</v>
      </c>
      <c r="I308" s="12" t="s">
        <v>893</v>
      </c>
      <c r="J308" s="12" t="s">
        <v>926</v>
      </c>
      <c r="K308" s="12" t="s">
        <v>895</v>
      </c>
      <c r="L308" s="12"/>
      <c r="M308" s="11"/>
      <c r="N308" s="11"/>
      <c r="O308" s="11"/>
      <c r="P308" s="11"/>
    </row>
    <row r="309" spans="1:16" hidden="1" x14ac:dyDescent="0.25">
      <c r="A309" s="695">
        <v>56221</v>
      </c>
      <c r="B309" s="558">
        <v>1000</v>
      </c>
      <c r="C309" s="693">
        <v>100</v>
      </c>
      <c r="D309" s="558">
        <v>2600</v>
      </c>
      <c r="F309" s="693" t="s">
        <v>1290</v>
      </c>
      <c r="G309" s="696">
        <v>1917</v>
      </c>
      <c r="H309" s="12" t="s">
        <v>889</v>
      </c>
      <c r="I309" s="12" t="s">
        <v>893</v>
      </c>
      <c r="J309" s="12" t="s">
        <v>930</v>
      </c>
      <c r="K309" s="12" t="s">
        <v>895</v>
      </c>
      <c r="L309" s="12"/>
      <c r="M309" s="11"/>
      <c r="N309" s="11"/>
      <c r="O309" s="11"/>
      <c r="P309" s="11"/>
    </row>
    <row r="310" spans="1:16" x14ac:dyDescent="0.25">
      <c r="A310" s="695">
        <v>56221</v>
      </c>
      <c r="B310" s="558">
        <v>1000</v>
      </c>
      <c r="C310" s="693">
        <v>100</v>
      </c>
      <c r="D310" s="558">
        <v>2700</v>
      </c>
      <c r="F310" s="693" t="s">
        <v>1290</v>
      </c>
      <c r="G310" s="696">
        <v>0</v>
      </c>
      <c r="H310" s="12" t="s">
        <v>889</v>
      </c>
      <c r="I310" s="12" t="s">
        <v>913</v>
      </c>
      <c r="J310" s="12" t="s">
        <v>934</v>
      </c>
      <c r="K310" s="12" t="s">
        <v>895</v>
      </c>
      <c r="L310" s="12"/>
      <c r="M310" s="11"/>
      <c r="N310" s="11"/>
      <c r="O310" s="11"/>
      <c r="P310" s="11"/>
    </row>
    <row r="311" spans="1:16" hidden="1" x14ac:dyDescent="0.25">
      <c r="A311" s="695">
        <v>56221</v>
      </c>
      <c r="B311" s="558">
        <v>1000</v>
      </c>
      <c r="C311" s="693">
        <v>100</v>
      </c>
      <c r="D311" s="558">
        <v>3100</v>
      </c>
      <c r="F311" s="693" t="s">
        <v>1290</v>
      </c>
      <c r="G311" s="696">
        <v>0</v>
      </c>
      <c r="H311" s="12" t="s">
        <v>889</v>
      </c>
      <c r="I311" s="12" t="s">
        <v>893</v>
      </c>
      <c r="J311" s="12" t="s">
        <v>942</v>
      </c>
      <c r="K311" s="12" t="s">
        <v>895</v>
      </c>
      <c r="L311" s="12"/>
      <c r="M311" s="11"/>
      <c r="N311" s="11"/>
      <c r="O311" s="11"/>
      <c r="P311" s="11"/>
    </row>
    <row r="312" spans="1:16" hidden="1" x14ac:dyDescent="0.25">
      <c r="A312" s="695">
        <v>56221</v>
      </c>
      <c r="B312" s="558">
        <v>1000</v>
      </c>
      <c r="C312" s="693">
        <v>200</v>
      </c>
      <c r="D312" s="558">
        <v>1000</v>
      </c>
      <c r="F312" s="693" t="s">
        <v>1290</v>
      </c>
      <c r="G312" s="696">
        <v>80</v>
      </c>
      <c r="H312" s="12" t="s">
        <v>889</v>
      </c>
      <c r="I312" s="12" t="s">
        <v>897</v>
      </c>
      <c r="J312" s="12" t="s">
        <v>894</v>
      </c>
      <c r="K312" s="12" t="s">
        <v>895</v>
      </c>
      <c r="L312" s="12"/>
      <c r="M312" s="11"/>
      <c r="N312" s="11"/>
      <c r="O312" s="11"/>
      <c r="P312" s="11"/>
    </row>
    <row r="313" spans="1:16" hidden="1" x14ac:dyDescent="0.25">
      <c r="A313" s="695">
        <v>56221</v>
      </c>
      <c r="B313" s="558">
        <v>1000</v>
      </c>
      <c r="C313" s="693">
        <v>200</v>
      </c>
      <c r="D313" s="558">
        <v>2100</v>
      </c>
      <c r="F313" s="693" t="s">
        <v>1290</v>
      </c>
      <c r="G313" s="696">
        <v>5195</v>
      </c>
      <c r="H313" s="12" t="s">
        <v>889</v>
      </c>
      <c r="I313" s="12" t="s">
        <v>897</v>
      </c>
      <c r="J313" s="12" t="s">
        <v>902</v>
      </c>
      <c r="K313" s="12" t="s">
        <v>895</v>
      </c>
      <c r="L313" s="12"/>
      <c r="M313" s="11"/>
      <c r="N313" s="11"/>
      <c r="O313" s="11"/>
      <c r="P313" s="11"/>
    </row>
    <row r="314" spans="1:16" hidden="1" x14ac:dyDescent="0.25">
      <c r="A314" s="695">
        <v>56221</v>
      </c>
      <c r="B314" s="558">
        <v>1000</v>
      </c>
      <c r="C314" s="693">
        <v>200</v>
      </c>
      <c r="D314" s="558">
        <v>2200</v>
      </c>
      <c r="F314" s="693" t="s">
        <v>1290</v>
      </c>
      <c r="G314" s="696">
        <v>23</v>
      </c>
      <c r="H314" s="12" t="s">
        <v>889</v>
      </c>
      <c r="I314" s="12" t="s">
        <v>897</v>
      </c>
      <c r="J314" s="12" t="s">
        <v>906</v>
      </c>
      <c r="K314" s="12" t="s">
        <v>895</v>
      </c>
      <c r="L314" s="12"/>
      <c r="M314" s="11"/>
      <c r="N314" s="11"/>
      <c r="O314" s="11"/>
      <c r="P314" s="11"/>
    </row>
    <row r="315" spans="1:16" hidden="1" x14ac:dyDescent="0.25">
      <c r="A315" s="695">
        <v>56221</v>
      </c>
      <c r="B315" s="558">
        <v>1000</v>
      </c>
      <c r="C315" s="693">
        <v>240</v>
      </c>
      <c r="D315" s="558">
        <v>1000</v>
      </c>
      <c r="F315" s="693" t="s">
        <v>1290</v>
      </c>
      <c r="G315" s="696">
        <v>30</v>
      </c>
      <c r="H315" s="12" t="s">
        <v>889</v>
      </c>
      <c r="I315" s="12" t="s">
        <v>897</v>
      </c>
      <c r="J315" s="12" t="s">
        <v>894</v>
      </c>
      <c r="K315" s="12" t="s">
        <v>895</v>
      </c>
      <c r="L315" s="12"/>
      <c r="M315" s="11"/>
      <c r="N315" s="11"/>
      <c r="O315" s="11"/>
      <c r="P315" s="11"/>
    </row>
    <row r="316" spans="1:16" hidden="1" x14ac:dyDescent="0.25">
      <c r="A316" s="695">
        <v>56221</v>
      </c>
      <c r="B316" s="558">
        <v>1000</v>
      </c>
      <c r="C316" s="693">
        <v>260</v>
      </c>
      <c r="D316" s="558">
        <v>1000</v>
      </c>
      <c r="F316" s="693" t="s">
        <v>1290</v>
      </c>
      <c r="G316" s="696">
        <v>44</v>
      </c>
      <c r="H316" s="12" t="s">
        <v>889</v>
      </c>
      <c r="I316" s="12" t="s">
        <v>901</v>
      </c>
      <c r="J316" s="12" t="s">
        <v>894</v>
      </c>
      <c r="K316" s="12" t="s">
        <v>895</v>
      </c>
      <c r="L316" s="12"/>
      <c r="M316" s="11"/>
      <c r="N316" s="11"/>
      <c r="O316" s="11"/>
      <c r="P316" s="11"/>
    </row>
    <row r="317" spans="1:16" hidden="1" x14ac:dyDescent="0.25">
      <c r="A317" s="695">
        <v>56221</v>
      </c>
      <c r="B317" s="558">
        <v>1000</v>
      </c>
      <c r="C317" s="693">
        <v>400</v>
      </c>
      <c r="D317" s="558">
        <v>2700</v>
      </c>
      <c r="F317" s="693" t="s">
        <v>1290</v>
      </c>
      <c r="G317" s="696">
        <v>19</v>
      </c>
      <c r="H317" s="12" t="s">
        <v>889</v>
      </c>
      <c r="I317" s="12" t="s">
        <v>913</v>
      </c>
      <c r="J317" s="12" t="s">
        <v>934</v>
      </c>
      <c r="K317" s="12" t="s">
        <v>895</v>
      </c>
      <c r="L317" s="12"/>
      <c r="M317" s="11"/>
      <c r="N317" s="11"/>
      <c r="O317" s="11"/>
      <c r="P317" s="11"/>
    </row>
    <row r="318" spans="1:16" hidden="1" x14ac:dyDescent="0.25">
      <c r="A318" s="695">
        <v>56221</v>
      </c>
      <c r="B318" s="558">
        <v>1000</v>
      </c>
      <c r="C318" s="693">
        <v>550</v>
      </c>
      <c r="D318" s="558">
        <v>1000</v>
      </c>
      <c r="F318" s="693" t="s">
        <v>1290</v>
      </c>
      <c r="G318" s="696">
        <v>314</v>
      </c>
      <c r="H318" s="12" t="s">
        <v>889</v>
      </c>
      <c r="I318" s="12" t="s">
        <v>933</v>
      </c>
      <c r="J318" s="12" t="s">
        <v>894</v>
      </c>
      <c r="K318" s="12" t="s">
        <v>895</v>
      </c>
      <c r="L318" s="12"/>
      <c r="M318" s="11"/>
      <c r="N318" s="11"/>
      <c r="O318" s="11"/>
      <c r="P318" s="11"/>
    </row>
    <row r="319" spans="1:16" hidden="1" x14ac:dyDescent="0.25">
      <c r="A319" s="695">
        <v>56221</v>
      </c>
      <c r="B319" s="558">
        <v>1000</v>
      </c>
      <c r="C319" s="693">
        <v>615</v>
      </c>
      <c r="D319" s="558">
        <v>1000</v>
      </c>
      <c r="F319" s="693" t="s">
        <v>1290</v>
      </c>
      <c r="G319" s="696">
        <v>2</v>
      </c>
      <c r="H319" s="12" t="s">
        <v>889</v>
      </c>
      <c r="I319" s="12" t="s">
        <v>937</v>
      </c>
      <c r="J319" s="12" t="s">
        <v>894</v>
      </c>
      <c r="K319" s="12" t="s">
        <v>895</v>
      </c>
      <c r="L319" s="12"/>
      <c r="M319" s="11"/>
      <c r="N319" s="11"/>
      <c r="O319" s="11"/>
      <c r="P319" s="11"/>
    </row>
    <row r="320" spans="1:16" hidden="1" x14ac:dyDescent="0.25">
      <c r="A320" s="695">
        <v>56221</v>
      </c>
      <c r="B320" s="558">
        <v>1012</v>
      </c>
      <c r="C320" s="693">
        <v>100</v>
      </c>
      <c r="D320" s="558">
        <v>1000</v>
      </c>
      <c r="F320" s="693" t="s">
        <v>1290</v>
      </c>
      <c r="G320" s="696">
        <v>1774</v>
      </c>
      <c r="H320" s="12" t="s">
        <v>890</v>
      </c>
      <c r="I320" s="12" t="s">
        <v>893</v>
      </c>
      <c r="J320" s="12" t="s">
        <v>894</v>
      </c>
      <c r="K320" s="12" t="s">
        <v>895</v>
      </c>
      <c r="L320" s="12"/>
      <c r="M320" s="11"/>
      <c r="N320" s="11"/>
      <c r="O320" s="11"/>
      <c r="P320" s="11"/>
    </row>
    <row r="321" spans="1:16" hidden="1" x14ac:dyDescent="0.25">
      <c r="A321" s="695">
        <v>56221</v>
      </c>
      <c r="B321" s="558">
        <v>1012</v>
      </c>
      <c r="C321" s="693">
        <v>100</v>
      </c>
      <c r="D321" s="558">
        <v>2100</v>
      </c>
      <c r="F321" s="693" t="s">
        <v>1290</v>
      </c>
      <c r="G321" s="696">
        <v>449</v>
      </c>
      <c r="H321" s="12" t="s">
        <v>890</v>
      </c>
      <c r="I321" s="12" t="s">
        <v>893</v>
      </c>
      <c r="J321" s="12" t="s">
        <v>902</v>
      </c>
      <c r="K321" s="12" t="s">
        <v>895</v>
      </c>
      <c r="L321" s="12"/>
      <c r="M321" s="11"/>
      <c r="N321" s="11"/>
      <c r="O321" s="11"/>
      <c r="P321" s="11"/>
    </row>
    <row r="322" spans="1:16" hidden="1" x14ac:dyDescent="0.25">
      <c r="A322" s="695">
        <v>56221</v>
      </c>
      <c r="B322" s="558">
        <v>1012</v>
      </c>
      <c r="C322" s="693">
        <v>200</v>
      </c>
      <c r="D322" s="558">
        <v>1000</v>
      </c>
      <c r="F322" s="693" t="s">
        <v>1290</v>
      </c>
      <c r="G322" s="696">
        <v>155</v>
      </c>
      <c r="H322" s="12" t="s">
        <v>890</v>
      </c>
      <c r="I322" s="12" t="s">
        <v>897</v>
      </c>
      <c r="J322" s="12" t="s">
        <v>894</v>
      </c>
      <c r="K322" s="12" t="s">
        <v>895</v>
      </c>
      <c r="L322" s="12"/>
      <c r="M322" s="11"/>
      <c r="N322" s="11"/>
      <c r="O322" s="11"/>
      <c r="P322" s="11"/>
    </row>
    <row r="323" spans="1:16" hidden="1" x14ac:dyDescent="0.25">
      <c r="A323" s="695">
        <v>56221</v>
      </c>
      <c r="B323" s="558">
        <v>1012</v>
      </c>
      <c r="C323" s="693">
        <v>200</v>
      </c>
      <c r="D323" s="558">
        <v>2100</v>
      </c>
      <c r="F323" s="693" t="s">
        <v>1290</v>
      </c>
      <c r="G323" s="696">
        <v>176</v>
      </c>
      <c r="H323" s="12" t="s">
        <v>890</v>
      </c>
      <c r="I323" s="12" t="s">
        <v>897</v>
      </c>
      <c r="J323" s="12" t="s">
        <v>902</v>
      </c>
      <c r="K323" s="12" t="s">
        <v>895</v>
      </c>
      <c r="L323" s="12"/>
      <c r="M323" s="11"/>
      <c r="N323" s="11"/>
      <c r="O323" s="11"/>
      <c r="P323" s="11"/>
    </row>
    <row r="324" spans="1:16" hidden="1" x14ac:dyDescent="0.25">
      <c r="A324" s="695">
        <v>56221</v>
      </c>
      <c r="B324" s="558">
        <v>1012</v>
      </c>
      <c r="C324" s="693">
        <v>260</v>
      </c>
      <c r="D324" s="558">
        <v>1000</v>
      </c>
      <c r="F324" s="693" t="s">
        <v>1290</v>
      </c>
      <c r="G324" s="696">
        <v>51</v>
      </c>
      <c r="H324" s="12" t="s">
        <v>890</v>
      </c>
      <c r="I324" s="12" t="s">
        <v>901</v>
      </c>
      <c r="J324" s="12" t="s">
        <v>894</v>
      </c>
      <c r="K324" s="12" t="s">
        <v>895</v>
      </c>
      <c r="L324" s="12"/>
      <c r="M324" s="11"/>
      <c r="N324" s="11"/>
      <c r="O324" s="11"/>
      <c r="P324" s="11"/>
    </row>
    <row r="325" spans="1:16" hidden="1" x14ac:dyDescent="0.25">
      <c r="A325" s="695">
        <v>56221</v>
      </c>
      <c r="B325" s="558">
        <v>1190</v>
      </c>
      <c r="C325" s="693">
        <v>260</v>
      </c>
      <c r="D325" s="558">
        <v>1000</v>
      </c>
      <c r="F325" s="693" t="s">
        <v>1290</v>
      </c>
      <c r="G325" s="696">
        <v>61</v>
      </c>
      <c r="H325" s="12" t="s">
        <v>920</v>
      </c>
      <c r="I325" s="12" t="s">
        <v>901</v>
      </c>
      <c r="J325" s="12" t="s">
        <v>894</v>
      </c>
      <c r="K325" s="12" t="s">
        <v>895</v>
      </c>
      <c r="L325" s="12"/>
      <c r="M325" s="11"/>
      <c r="N325" s="11"/>
      <c r="O325" s="11"/>
      <c r="P325" s="11"/>
    </row>
    <row r="326" spans="1:16" hidden="1" x14ac:dyDescent="0.25">
      <c r="A326" s="695">
        <v>56221</v>
      </c>
      <c r="B326" s="558">
        <v>1220</v>
      </c>
      <c r="C326" s="693">
        <v>200</v>
      </c>
      <c r="D326" s="558">
        <v>2100</v>
      </c>
      <c r="F326" s="693" t="s">
        <v>1290</v>
      </c>
      <c r="G326" s="696">
        <v>416</v>
      </c>
      <c r="H326" s="12" t="s">
        <v>932</v>
      </c>
      <c r="I326" s="12" t="s">
        <v>897</v>
      </c>
      <c r="J326" s="12" t="s">
        <v>902</v>
      </c>
      <c r="K326" s="12" t="s">
        <v>895</v>
      </c>
      <c r="L326" s="12"/>
      <c r="M326" s="11"/>
      <c r="N326" s="11"/>
      <c r="O326" s="11"/>
      <c r="P326" s="11"/>
    </row>
    <row r="327" spans="1:16" hidden="1" x14ac:dyDescent="0.25">
      <c r="A327" s="695">
        <v>56221</v>
      </c>
      <c r="B327" s="558">
        <v>1319</v>
      </c>
      <c r="C327" s="693">
        <v>100</v>
      </c>
      <c r="D327" s="558">
        <v>1000</v>
      </c>
      <c r="F327" s="693" t="s">
        <v>1290</v>
      </c>
      <c r="G327" s="696">
        <v>0</v>
      </c>
      <c r="H327" s="12" t="s">
        <v>968</v>
      </c>
      <c r="I327" s="12" t="s">
        <v>893</v>
      </c>
      <c r="J327" s="12" t="s">
        <v>894</v>
      </c>
      <c r="K327" s="12" t="s">
        <v>895</v>
      </c>
      <c r="L327" s="12"/>
      <c r="M327" s="11"/>
      <c r="N327" s="11"/>
      <c r="O327" s="11"/>
      <c r="P327" s="11"/>
    </row>
    <row r="328" spans="1:16" hidden="1" x14ac:dyDescent="0.25">
      <c r="A328" s="695">
        <v>56221</v>
      </c>
      <c r="B328" s="558">
        <v>1319</v>
      </c>
      <c r="C328" s="693">
        <v>100</v>
      </c>
      <c r="D328" s="558">
        <v>2100</v>
      </c>
      <c r="F328" s="693" t="s">
        <v>1290</v>
      </c>
      <c r="G328" s="696">
        <v>0</v>
      </c>
      <c r="H328" s="12" t="s">
        <v>968</v>
      </c>
      <c r="I328" s="12" t="s">
        <v>893</v>
      </c>
      <c r="J328" s="12" t="s">
        <v>902</v>
      </c>
      <c r="K328" s="12" t="s">
        <v>895</v>
      </c>
      <c r="L328" s="12"/>
      <c r="M328" s="11"/>
      <c r="N328" s="11"/>
      <c r="O328" s="11"/>
      <c r="P328" s="11"/>
    </row>
    <row r="329" spans="1:16" hidden="1" x14ac:dyDescent="0.25">
      <c r="A329" s="695">
        <v>56221</v>
      </c>
      <c r="B329" s="558">
        <v>1321</v>
      </c>
      <c r="C329" s="693">
        <v>100</v>
      </c>
      <c r="D329" s="558">
        <v>1000</v>
      </c>
      <c r="F329" s="693" t="s">
        <v>1290</v>
      </c>
      <c r="G329" s="696">
        <v>13400</v>
      </c>
      <c r="H329" s="12" t="s">
        <v>968</v>
      </c>
      <c r="I329" s="12" t="s">
        <v>893</v>
      </c>
      <c r="J329" s="12" t="s">
        <v>894</v>
      </c>
      <c r="K329" s="12" t="s">
        <v>895</v>
      </c>
      <c r="L329" s="12"/>
      <c r="M329" s="11"/>
      <c r="N329" s="11"/>
      <c r="O329" s="11"/>
      <c r="P329" s="11"/>
    </row>
    <row r="330" spans="1:16" hidden="1" x14ac:dyDescent="0.25">
      <c r="A330" s="695">
        <v>56221</v>
      </c>
      <c r="B330" s="558">
        <v>1321</v>
      </c>
      <c r="C330" s="693">
        <v>100</v>
      </c>
      <c r="D330" s="558">
        <v>2100</v>
      </c>
      <c r="F330" s="693" t="s">
        <v>1290</v>
      </c>
      <c r="G330" s="696">
        <v>4413</v>
      </c>
      <c r="H330" s="12" t="s">
        <v>968</v>
      </c>
      <c r="I330" s="12" t="s">
        <v>893</v>
      </c>
      <c r="J330" s="12" t="s">
        <v>902</v>
      </c>
      <c r="K330" s="12" t="s">
        <v>895</v>
      </c>
      <c r="L330" s="12"/>
      <c r="M330" s="11"/>
      <c r="N330" s="11"/>
      <c r="O330" s="11"/>
      <c r="P330" s="11"/>
    </row>
    <row r="331" spans="1:16" hidden="1" x14ac:dyDescent="0.25">
      <c r="A331" s="695">
        <v>56221</v>
      </c>
      <c r="B331" s="558">
        <v>1321</v>
      </c>
      <c r="C331" s="693">
        <v>100</v>
      </c>
      <c r="D331" s="558">
        <v>2400</v>
      </c>
      <c r="F331" s="693" t="s">
        <v>1290</v>
      </c>
      <c r="G331" s="696">
        <v>947</v>
      </c>
      <c r="H331" s="12" t="s">
        <v>968</v>
      </c>
      <c r="I331" s="12" t="s">
        <v>893</v>
      </c>
      <c r="J331" s="12" t="s">
        <v>922</v>
      </c>
      <c r="K331" s="12" t="s">
        <v>895</v>
      </c>
      <c r="L331" s="12"/>
      <c r="M331" s="11"/>
      <c r="N331" s="11"/>
      <c r="O331" s="11"/>
      <c r="P331" s="11"/>
    </row>
    <row r="332" spans="1:16" hidden="1" x14ac:dyDescent="0.25">
      <c r="A332" s="695">
        <v>56221</v>
      </c>
      <c r="B332" s="558">
        <v>1321</v>
      </c>
      <c r="C332" s="693">
        <v>200</v>
      </c>
      <c r="D332" s="558">
        <v>1000</v>
      </c>
      <c r="F332" s="693" t="s">
        <v>1290</v>
      </c>
      <c r="G332" s="696">
        <v>3281</v>
      </c>
      <c r="H332" s="12" t="s">
        <v>968</v>
      </c>
      <c r="I332" s="12" t="s">
        <v>897</v>
      </c>
      <c r="J332" s="12" t="s">
        <v>894</v>
      </c>
      <c r="K332" s="12" t="s">
        <v>895</v>
      </c>
      <c r="L332" s="12"/>
      <c r="M332" s="11"/>
      <c r="N332" s="11"/>
      <c r="O332" s="11"/>
      <c r="P332" s="11"/>
    </row>
    <row r="333" spans="1:16" hidden="1" x14ac:dyDescent="0.25">
      <c r="A333" s="695">
        <v>56221</v>
      </c>
      <c r="B333" s="558">
        <v>1321</v>
      </c>
      <c r="C333" s="693">
        <v>200</v>
      </c>
      <c r="D333" s="558">
        <v>2100</v>
      </c>
      <c r="F333" s="693" t="s">
        <v>1290</v>
      </c>
      <c r="G333" s="696">
        <v>1283</v>
      </c>
      <c r="H333" s="12" t="s">
        <v>968</v>
      </c>
      <c r="I333" s="12" t="s">
        <v>897</v>
      </c>
      <c r="J333" s="12" t="s">
        <v>902</v>
      </c>
      <c r="K333" s="12" t="s">
        <v>895</v>
      </c>
      <c r="L333" s="12"/>
      <c r="M333" s="11"/>
      <c r="N333" s="11"/>
      <c r="O333" s="11"/>
      <c r="P333" s="11"/>
    </row>
    <row r="334" spans="1:16" hidden="1" x14ac:dyDescent="0.25">
      <c r="A334" s="695">
        <v>56221</v>
      </c>
      <c r="B334" s="558">
        <v>1321</v>
      </c>
      <c r="C334" s="693">
        <v>200</v>
      </c>
      <c r="D334" s="558">
        <v>2200</v>
      </c>
      <c r="F334" s="693" t="s">
        <v>1290</v>
      </c>
      <c r="G334" s="696">
        <v>47</v>
      </c>
      <c r="H334" s="12" t="s">
        <v>968</v>
      </c>
      <c r="I334" s="12" t="s">
        <v>897</v>
      </c>
      <c r="J334" s="12" t="s">
        <v>906</v>
      </c>
      <c r="K334" s="12" t="s">
        <v>895</v>
      </c>
      <c r="L334" s="12"/>
      <c r="M334" s="11"/>
      <c r="N334" s="11"/>
      <c r="O334" s="11"/>
      <c r="P334" s="11"/>
    </row>
    <row r="335" spans="1:16" hidden="1" x14ac:dyDescent="0.25">
      <c r="A335" s="695">
        <v>56221</v>
      </c>
      <c r="B335" s="558">
        <v>1322</v>
      </c>
      <c r="C335" s="693">
        <v>100</v>
      </c>
      <c r="D335" s="558">
        <v>2500</v>
      </c>
      <c r="F335" s="693" t="s">
        <v>1290</v>
      </c>
      <c r="G335" s="696">
        <v>0</v>
      </c>
      <c r="H335" s="12" t="s">
        <v>968</v>
      </c>
      <c r="I335" s="12" t="s">
        <v>893</v>
      </c>
      <c r="J335" s="12" t="s">
        <v>926</v>
      </c>
      <c r="K335" s="12" t="s">
        <v>895</v>
      </c>
      <c r="L335" s="12"/>
      <c r="M335" s="11"/>
      <c r="N335" s="11"/>
      <c r="O335" s="11"/>
      <c r="P335" s="11"/>
    </row>
    <row r="336" spans="1:16" hidden="1" x14ac:dyDescent="0.25">
      <c r="A336" s="695">
        <v>56221</v>
      </c>
      <c r="B336" s="558">
        <v>1487</v>
      </c>
      <c r="C336" s="693">
        <v>100</v>
      </c>
      <c r="D336" s="558">
        <v>2100</v>
      </c>
      <c r="F336" s="693" t="s">
        <v>1290</v>
      </c>
      <c r="G336" s="696">
        <v>3152</v>
      </c>
      <c r="H336" s="12" t="s">
        <v>995</v>
      </c>
      <c r="I336" s="12" t="s">
        <v>893</v>
      </c>
      <c r="J336" s="12" t="s">
        <v>902</v>
      </c>
      <c r="K336" s="12" t="s">
        <v>895</v>
      </c>
      <c r="L336" s="12"/>
      <c r="M336" s="11"/>
      <c r="N336" s="11"/>
      <c r="O336" s="11"/>
      <c r="P336" s="11"/>
    </row>
    <row r="337" spans="1:16" x14ac:dyDescent="0.25">
      <c r="A337" s="695">
        <v>56221</v>
      </c>
      <c r="B337" s="558">
        <v>1534</v>
      </c>
      <c r="C337" s="693">
        <v>100</v>
      </c>
      <c r="D337" s="558">
        <v>2700</v>
      </c>
      <c r="F337" s="693" t="s">
        <v>1290</v>
      </c>
      <c r="G337" s="696">
        <v>4</v>
      </c>
      <c r="H337" s="12" t="s">
        <v>997</v>
      </c>
      <c r="I337" s="12" t="s">
        <v>913</v>
      </c>
      <c r="J337" s="12" t="s">
        <v>934</v>
      </c>
      <c r="K337" s="12" t="s">
        <v>895</v>
      </c>
      <c r="L337" s="12"/>
      <c r="M337" s="11"/>
      <c r="N337" s="11"/>
      <c r="O337" s="11"/>
      <c r="P337" s="11"/>
    </row>
    <row r="338" spans="1:16" hidden="1" x14ac:dyDescent="0.25">
      <c r="A338" s="695">
        <v>56221</v>
      </c>
      <c r="B338" s="558">
        <v>1534</v>
      </c>
      <c r="C338" s="693">
        <v>400</v>
      </c>
      <c r="D338" s="558">
        <v>2700</v>
      </c>
      <c r="F338" s="693" t="s">
        <v>1290</v>
      </c>
      <c r="G338" s="696">
        <v>315</v>
      </c>
      <c r="H338" s="12" t="s">
        <v>997</v>
      </c>
      <c r="I338" s="12" t="s">
        <v>913</v>
      </c>
      <c r="J338" s="12" t="s">
        <v>934</v>
      </c>
      <c r="K338" s="12" t="s">
        <v>895</v>
      </c>
      <c r="L338" s="12"/>
      <c r="M338" s="11"/>
      <c r="N338" s="11"/>
      <c r="O338" s="11"/>
      <c r="P338" s="11"/>
    </row>
    <row r="339" spans="1:16" hidden="1" x14ac:dyDescent="0.25">
      <c r="A339" s="695">
        <v>56221</v>
      </c>
      <c r="B339" s="558" t="s">
        <v>1247</v>
      </c>
      <c r="C339" s="693">
        <v>100</v>
      </c>
      <c r="D339" s="558">
        <v>1000</v>
      </c>
      <c r="F339" s="693" t="s">
        <v>1290</v>
      </c>
      <c r="G339" s="696">
        <v>140</v>
      </c>
      <c r="H339" s="12" t="s">
        <v>904</v>
      </c>
      <c r="I339" s="12" t="s">
        <v>893</v>
      </c>
      <c r="J339" s="12" t="s">
        <v>894</v>
      </c>
      <c r="K339" s="12" t="s">
        <v>895</v>
      </c>
      <c r="L339" s="12"/>
      <c r="M339" s="11"/>
      <c r="N339" s="11"/>
      <c r="O339" s="11"/>
      <c r="P339" s="11"/>
    </row>
    <row r="340" spans="1:16" hidden="1" x14ac:dyDescent="0.25">
      <c r="A340" s="695">
        <v>56221</v>
      </c>
      <c r="B340" s="558" t="s">
        <v>1248</v>
      </c>
      <c r="C340" s="693">
        <v>100</v>
      </c>
      <c r="D340" s="558">
        <v>1000</v>
      </c>
      <c r="F340" s="693" t="s">
        <v>1290</v>
      </c>
      <c r="G340" s="696">
        <v>2513</v>
      </c>
      <c r="H340" s="12" t="s">
        <v>904</v>
      </c>
      <c r="I340" s="12" t="s">
        <v>893</v>
      </c>
      <c r="J340" s="12" t="s">
        <v>894</v>
      </c>
      <c r="K340" s="12" t="s">
        <v>895</v>
      </c>
      <c r="L340" s="12"/>
      <c r="M340" s="11"/>
      <c r="N340" s="11"/>
      <c r="O340" s="11"/>
      <c r="P340" s="11"/>
    </row>
    <row r="341" spans="1:16" hidden="1" x14ac:dyDescent="0.25">
      <c r="A341" s="695">
        <v>56221</v>
      </c>
      <c r="B341" s="558" t="s">
        <v>1248</v>
      </c>
      <c r="C341" s="693">
        <v>260</v>
      </c>
      <c r="D341" s="558">
        <v>1000</v>
      </c>
      <c r="F341" s="693" t="s">
        <v>1290</v>
      </c>
      <c r="G341" s="696">
        <v>1122</v>
      </c>
      <c r="H341" s="12" t="s">
        <v>904</v>
      </c>
      <c r="I341" s="12" t="s">
        <v>901</v>
      </c>
      <c r="J341" s="12" t="s">
        <v>894</v>
      </c>
      <c r="K341" s="12" t="s">
        <v>895</v>
      </c>
      <c r="L341" s="12"/>
      <c r="M341" s="11"/>
      <c r="N341" s="11"/>
      <c r="O341" s="11"/>
      <c r="P341" s="11"/>
    </row>
    <row r="342" spans="1:16" hidden="1" x14ac:dyDescent="0.25">
      <c r="A342" s="694">
        <v>56221</v>
      </c>
      <c r="B342" s="558" t="s">
        <v>1249</v>
      </c>
      <c r="C342" s="693">
        <v>100</v>
      </c>
      <c r="D342" s="558">
        <v>3100</v>
      </c>
      <c r="F342" s="693" t="s">
        <v>1290</v>
      </c>
      <c r="G342" s="696">
        <v>343</v>
      </c>
      <c r="H342" s="12" t="s">
        <v>997</v>
      </c>
      <c r="I342" s="12" t="s">
        <v>893</v>
      </c>
      <c r="J342" s="12" t="s">
        <v>942</v>
      </c>
      <c r="K342" s="12" t="s">
        <v>895</v>
      </c>
      <c r="L342" s="12"/>
      <c r="M342" s="11"/>
      <c r="N342" s="11"/>
      <c r="O342" s="11"/>
      <c r="P342" s="11"/>
    </row>
    <row r="343" spans="1:16" hidden="1" x14ac:dyDescent="0.25">
      <c r="A343" s="695">
        <v>56222</v>
      </c>
      <c r="B343" s="558">
        <v>1000</v>
      </c>
      <c r="C343" s="693">
        <v>100</v>
      </c>
      <c r="D343" s="558">
        <v>1000</v>
      </c>
      <c r="F343" s="693" t="s">
        <v>1291</v>
      </c>
      <c r="G343" s="696">
        <v>166</v>
      </c>
      <c r="H343" s="12" t="s">
        <v>889</v>
      </c>
      <c r="I343" s="12" t="s">
        <v>893</v>
      </c>
      <c r="J343" s="12" t="s">
        <v>894</v>
      </c>
      <c r="K343" s="12" t="s">
        <v>895</v>
      </c>
      <c r="L343" s="12"/>
      <c r="M343" s="11"/>
      <c r="N343" s="11"/>
      <c r="O343" s="11"/>
      <c r="P343" s="11"/>
    </row>
    <row r="344" spans="1:16" hidden="1" x14ac:dyDescent="0.25">
      <c r="A344" s="695">
        <v>56222</v>
      </c>
      <c r="B344" s="558">
        <v>1000</v>
      </c>
      <c r="C344" s="693">
        <v>100</v>
      </c>
      <c r="D344" s="558">
        <v>2100</v>
      </c>
      <c r="F344" s="693" t="s">
        <v>1291</v>
      </c>
      <c r="G344" s="696">
        <v>128</v>
      </c>
      <c r="H344" s="12" t="s">
        <v>889</v>
      </c>
      <c r="I344" s="12" t="s">
        <v>893</v>
      </c>
      <c r="J344" s="12" t="s">
        <v>902</v>
      </c>
      <c r="K344" s="12" t="s">
        <v>895</v>
      </c>
      <c r="L344" s="12"/>
      <c r="M344" s="11"/>
      <c r="N344" s="11"/>
      <c r="O344" s="11"/>
      <c r="P344" s="11"/>
    </row>
    <row r="345" spans="1:16" hidden="1" x14ac:dyDescent="0.25">
      <c r="A345" s="695">
        <v>56222</v>
      </c>
      <c r="B345" s="558">
        <v>1000</v>
      </c>
      <c r="C345" s="693">
        <v>100</v>
      </c>
      <c r="D345" s="558">
        <v>2110</v>
      </c>
      <c r="F345" s="693" t="s">
        <v>1291</v>
      </c>
      <c r="G345" s="696">
        <v>20</v>
      </c>
      <c r="H345" s="12" t="s">
        <v>889</v>
      </c>
      <c r="I345" s="12" t="s">
        <v>893</v>
      </c>
      <c r="J345" s="12" t="s">
        <v>902</v>
      </c>
      <c r="K345" s="12" t="s">
        <v>895</v>
      </c>
      <c r="L345" s="12"/>
      <c r="M345" s="11"/>
      <c r="N345" s="11"/>
      <c r="O345" s="11"/>
      <c r="P345" s="11"/>
    </row>
    <row r="346" spans="1:16" hidden="1" x14ac:dyDescent="0.25">
      <c r="A346" s="695">
        <v>56222</v>
      </c>
      <c r="B346" s="558">
        <v>1000</v>
      </c>
      <c r="C346" s="693">
        <v>100</v>
      </c>
      <c r="D346" s="558">
        <v>2200</v>
      </c>
      <c r="F346" s="693" t="s">
        <v>1291</v>
      </c>
      <c r="G346" s="696">
        <v>57</v>
      </c>
      <c r="H346" s="12" t="s">
        <v>889</v>
      </c>
      <c r="I346" s="12" t="s">
        <v>893</v>
      </c>
      <c r="J346" s="12" t="s">
        <v>906</v>
      </c>
      <c r="K346" s="12" t="s">
        <v>895</v>
      </c>
      <c r="L346" s="12"/>
      <c r="M346" s="11"/>
      <c r="N346" s="11"/>
      <c r="O346" s="11"/>
      <c r="P346" s="11"/>
    </row>
    <row r="347" spans="1:16" hidden="1" x14ac:dyDescent="0.25">
      <c r="A347" s="695">
        <v>56222</v>
      </c>
      <c r="B347" s="558">
        <v>1000</v>
      </c>
      <c r="C347" s="693">
        <v>100</v>
      </c>
      <c r="D347" s="558">
        <v>2300</v>
      </c>
      <c r="F347" s="693" t="s">
        <v>1291</v>
      </c>
      <c r="G347" s="696">
        <v>20</v>
      </c>
      <c r="H347" s="12" t="s">
        <v>889</v>
      </c>
      <c r="I347" s="12" t="s">
        <v>893</v>
      </c>
      <c r="J347" s="12" t="s">
        <v>918</v>
      </c>
      <c r="K347" s="12" t="s">
        <v>895</v>
      </c>
      <c r="L347" s="12"/>
      <c r="M347" s="11"/>
      <c r="N347" s="11"/>
      <c r="O347" s="11"/>
      <c r="P347" s="11"/>
    </row>
    <row r="348" spans="1:16" hidden="1" x14ac:dyDescent="0.25">
      <c r="A348" s="695">
        <v>56222</v>
      </c>
      <c r="B348" s="558">
        <v>1000</v>
      </c>
      <c r="C348" s="693">
        <v>100</v>
      </c>
      <c r="D348" s="558">
        <v>2310</v>
      </c>
      <c r="F348" s="693" t="s">
        <v>1291</v>
      </c>
      <c r="G348" s="696">
        <v>29</v>
      </c>
      <c r="H348" s="12" t="s">
        <v>889</v>
      </c>
      <c r="I348" s="12" t="s">
        <v>893</v>
      </c>
      <c r="J348" s="12" t="s">
        <v>918</v>
      </c>
      <c r="K348" s="12" t="s">
        <v>895</v>
      </c>
      <c r="L348" s="12"/>
      <c r="M348" s="11"/>
      <c r="N348" s="11"/>
      <c r="O348" s="11"/>
      <c r="P348" s="11"/>
    </row>
    <row r="349" spans="1:16" hidden="1" x14ac:dyDescent="0.25">
      <c r="A349" s="695">
        <v>56222</v>
      </c>
      <c r="B349" s="558">
        <v>1000</v>
      </c>
      <c r="C349" s="693">
        <v>100</v>
      </c>
      <c r="D349" s="558">
        <v>2400</v>
      </c>
      <c r="F349" s="693" t="s">
        <v>1291</v>
      </c>
      <c r="G349" s="696">
        <v>451</v>
      </c>
      <c r="H349" s="12" t="s">
        <v>889</v>
      </c>
      <c r="I349" s="12" t="s">
        <v>893</v>
      </c>
      <c r="J349" s="12" t="s">
        <v>922</v>
      </c>
      <c r="K349" s="12" t="s">
        <v>895</v>
      </c>
      <c r="L349" s="12"/>
      <c r="M349" s="11"/>
      <c r="N349" s="11"/>
      <c r="O349" s="11"/>
      <c r="P349" s="11"/>
    </row>
    <row r="350" spans="1:16" hidden="1" x14ac:dyDescent="0.25">
      <c r="A350" s="695">
        <v>56222</v>
      </c>
      <c r="B350" s="558">
        <v>1000</v>
      </c>
      <c r="C350" s="693">
        <v>100</v>
      </c>
      <c r="D350" s="558">
        <v>2410</v>
      </c>
      <c r="F350" s="693" t="s">
        <v>1291</v>
      </c>
      <c r="G350" s="696">
        <v>722</v>
      </c>
      <c r="H350" s="12" t="s">
        <v>889</v>
      </c>
      <c r="I350" s="12" t="s">
        <v>893</v>
      </c>
      <c r="J350" s="12" t="s">
        <v>922</v>
      </c>
      <c r="K350" s="12" t="s">
        <v>895</v>
      </c>
      <c r="L350" s="12"/>
      <c r="M350" s="11"/>
      <c r="N350" s="11"/>
      <c r="O350" s="11"/>
      <c r="P350" s="11"/>
    </row>
    <row r="351" spans="1:16" hidden="1" x14ac:dyDescent="0.25">
      <c r="A351" s="695">
        <v>56222</v>
      </c>
      <c r="B351" s="558">
        <v>1000</v>
      </c>
      <c r="C351" s="693">
        <v>100</v>
      </c>
      <c r="D351" s="558">
        <v>2500</v>
      </c>
      <c r="F351" s="693" t="s">
        <v>1291</v>
      </c>
      <c r="G351" s="696">
        <v>668</v>
      </c>
      <c r="H351" s="12" t="s">
        <v>889</v>
      </c>
      <c r="I351" s="12" t="s">
        <v>893</v>
      </c>
      <c r="J351" s="12" t="s">
        <v>926</v>
      </c>
      <c r="K351" s="12" t="s">
        <v>895</v>
      </c>
      <c r="L351" s="12"/>
      <c r="M351" s="11"/>
      <c r="N351" s="11"/>
      <c r="O351" s="11"/>
      <c r="P351" s="11"/>
    </row>
    <row r="352" spans="1:16" hidden="1" x14ac:dyDescent="0.25">
      <c r="A352" s="695">
        <v>56222</v>
      </c>
      <c r="B352" s="558">
        <v>1000</v>
      </c>
      <c r="C352" s="693">
        <v>100</v>
      </c>
      <c r="D352" s="558">
        <v>2510</v>
      </c>
      <c r="F352" s="693" t="s">
        <v>1291</v>
      </c>
      <c r="G352" s="696">
        <v>22</v>
      </c>
      <c r="H352" s="12" t="s">
        <v>889</v>
      </c>
      <c r="I352" s="12" t="s">
        <v>893</v>
      </c>
      <c r="J352" s="12" t="s">
        <v>926</v>
      </c>
      <c r="K352" s="12" t="s">
        <v>895</v>
      </c>
      <c r="L352" s="12"/>
      <c r="M352" s="11"/>
      <c r="N352" s="11"/>
      <c r="O352" s="11"/>
      <c r="P352" s="11"/>
    </row>
    <row r="353" spans="1:16" hidden="1" x14ac:dyDescent="0.25">
      <c r="A353" s="695">
        <v>56222</v>
      </c>
      <c r="B353" s="558">
        <v>1000</v>
      </c>
      <c r="C353" s="693">
        <v>100</v>
      </c>
      <c r="D353" s="558">
        <v>2520</v>
      </c>
      <c r="F353" s="693" t="s">
        <v>1291</v>
      </c>
      <c r="G353" s="696">
        <v>16</v>
      </c>
      <c r="H353" s="12" t="s">
        <v>889</v>
      </c>
      <c r="I353" s="12" t="s">
        <v>893</v>
      </c>
      <c r="J353" s="12" t="s">
        <v>926</v>
      </c>
      <c r="K353" s="12" t="s">
        <v>895</v>
      </c>
      <c r="L353" s="12"/>
      <c r="M353" s="11"/>
      <c r="N353" s="11"/>
      <c r="O353" s="11"/>
      <c r="P353" s="11"/>
    </row>
    <row r="354" spans="1:16" hidden="1" x14ac:dyDescent="0.25">
      <c r="A354" s="695">
        <v>56222</v>
      </c>
      <c r="B354" s="558">
        <v>1000</v>
      </c>
      <c r="C354" s="693">
        <v>100</v>
      </c>
      <c r="D354" s="558">
        <v>2600</v>
      </c>
      <c r="F354" s="693" t="s">
        <v>1291</v>
      </c>
      <c r="G354" s="696">
        <v>448</v>
      </c>
      <c r="H354" s="12" t="s">
        <v>889</v>
      </c>
      <c r="I354" s="12" t="s">
        <v>893</v>
      </c>
      <c r="J354" s="12" t="s">
        <v>930</v>
      </c>
      <c r="K354" s="12" t="s">
        <v>895</v>
      </c>
      <c r="L354" s="12"/>
      <c r="M354" s="11"/>
      <c r="N354" s="11"/>
      <c r="O354" s="11"/>
      <c r="P354" s="11"/>
    </row>
    <row r="355" spans="1:16" x14ac:dyDescent="0.25">
      <c r="A355" s="695">
        <v>56222</v>
      </c>
      <c r="B355" s="558">
        <v>1000</v>
      </c>
      <c r="C355" s="693">
        <v>100</v>
      </c>
      <c r="D355" s="558">
        <v>2700</v>
      </c>
      <c r="F355" s="693" t="s">
        <v>1291</v>
      </c>
      <c r="G355" s="696">
        <v>0</v>
      </c>
      <c r="H355" s="12" t="s">
        <v>889</v>
      </c>
      <c r="I355" s="12" t="s">
        <v>913</v>
      </c>
      <c r="J355" s="12" t="s">
        <v>934</v>
      </c>
      <c r="K355" s="12" t="s">
        <v>895</v>
      </c>
      <c r="L355" s="12"/>
      <c r="M355" s="11"/>
      <c r="N355" s="11"/>
      <c r="O355" s="11"/>
      <c r="P355" s="11"/>
    </row>
    <row r="356" spans="1:16" hidden="1" x14ac:dyDescent="0.25">
      <c r="A356" s="695">
        <v>56222</v>
      </c>
      <c r="B356" s="558">
        <v>1000</v>
      </c>
      <c r="C356" s="693">
        <v>100</v>
      </c>
      <c r="D356" s="558">
        <v>3100</v>
      </c>
      <c r="F356" s="693" t="s">
        <v>1291</v>
      </c>
      <c r="G356" s="696">
        <v>0</v>
      </c>
      <c r="H356" s="12" t="s">
        <v>889</v>
      </c>
      <c r="I356" s="12" t="s">
        <v>893</v>
      </c>
      <c r="J356" s="12" t="s">
        <v>942</v>
      </c>
      <c r="K356" s="12" t="s">
        <v>895</v>
      </c>
      <c r="L356" s="12"/>
      <c r="M356" s="11"/>
      <c r="N356" s="11"/>
      <c r="O356" s="11"/>
      <c r="P356" s="11"/>
    </row>
    <row r="357" spans="1:16" hidden="1" x14ac:dyDescent="0.25">
      <c r="A357" s="695">
        <v>56222</v>
      </c>
      <c r="B357" s="558">
        <v>1000</v>
      </c>
      <c r="C357" s="693">
        <v>200</v>
      </c>
      <c r="D357" s="558">
        <v>1000</v>
      </c>
      <c r="F357" s="693" t="s">
        <v>1291</v>
      </c>
      <c r="G357" s="696">
        <v>19</v>
      </c>
      <c r="H357" s="12" t="s">
        <v>889</v>
      </c>
      <c r="I357" s="12" t="s">
        <v>897</v>
      </c>
      <c r="J357" s="12" t="s">
        <v>894</v>
      </c>
      <c r="K357" s="12" t="s">
        <v>895</v>
      </c>
      <c r="L357" s="12"/>
      <c r="M357" s="11"/>
      <c r="N357" s="11"/>
      <c r="O357" s="11"/>
      <c r="P357" s="11"/>
    </row>
    <row r="358" spans="1:16" hidden="1" x14ac:dyDescent="0.25">
      <c r="A358" s="695">
        <v>56222</v>
      </c>
      <c r="B358" s="558">
        <v>1000</v>
      </c>
      <c r="C358" s="693">
        <v>200</v>
      </c>
      <c r="D358" s="558">
        <v>2100</v>
      </c>
      <c r="F358" s="693" t="s">
        <v>1291</v>
      </c>
      <c r="G358" s="696">
        <v>1215</v>
      </c>
      <c r="H358" s="12" t="s">
        <v>889</v>
      </c>
      <c r="I358" s="12" t="s">
        <v>897</v>
      </c>
      <c r="J358" s="12" t="s">
        <v>902</v>
      </c>
      <c r="K358" s="12" t="s">
        <v>895</v>
      </c>
      <c r="L358" s="12"/>
      <c r="M358" s="11"/>
      <c r="N358" s="11"/>
      <c r="O358" s="11"/>
      <c r="P358" s="11"/>
    </row>
    <row r="359" spans="1:16" hidden="1" x14ac:dyDescent="0.25">
      <c r="A359" s="695">
        <v>56222</v>
      </c>
      <c r="B359" s="558">
        <v>1000</v>
      </c>
      <c r="C359" s="693">
        <v>200</v>
      </c>
      <c r="D359" s="558">
        <v>2200</v>
      </c>
      <c r="F359" s="693" t="s">
        <v>1291</v>
      </c>
      <c r="G359" s="696">
        <v>5</v>
      </c>
      <c r="H359" s="12" t="s">
        <v>889</v>
      </c>
      <c r="I359" s="12" t="s">
        <v>897</v>
      </c>
      <c r="J359" s="12" t="s">
        <v>906</v>
      </c>
      <c r="K359" s="12" t="s">
        <v>895</v>
      </c>
      <c r="L359" s="12"/>
      <c r="M359" s="11"/>
      <c r="N359" s="11"/>
      <c r="O359" s="11"/>
      <c r="P359" s="11"/>
    </row>
    <row r="360" spans="1:16" hidden="1" x14ac:dyDescent="0.25">
      <c r="A360" s="695">
        <v>56222</v>
      </c>
      <c r="B360" s="558">
        <v>1000</v>
      </c>
      <c r="C360" s="693">
        <v>240</v>
      </c>
      <c r="D360" s="558">
        <v>1000</v>
      </c>
      <c r="F360" s="693" t="s">
        <v>1291</v>
      </c>
      <c r="G360" s="696">
        <v>7</v>
      </c>
      <c r="H360" s="12" t="s">
        <v>889</v>
      </c>
      <c r="I360" s="12" t="s">
        <v>897</v>
      </c>
      <c r="J360" s="12" t="s">
        <v>894</v>
      </c>
      <c r="K360" s="12" t="s">
        <v>895</v>
      </c>
      <c r="L360" s="12"/>
      <c r="M360" s="11"/>
      <c r="N360" s="11"/>
      <c r="O360" s="11"/>
      <c r="P360" s="11"/>
    </row>
    <row r="361" spans="1:16" hidden="1" x14ac:dyDescent="0.25">
      <c r="A361" s="695">
        <v>56222</v>
      </c>
      <c r="B361" s="558">
        <v>1000</v>
      </c>
      <c r="C361" s="693">
        <v>260</v>
      </c>
      <c r="D361" s="558">
        <v>1000</v>
      </c>
      <c r="F361" s="693" t="s">
        <v>1291</v>
      </c>
      <c r="G361" s="696">
        <v>10</v>
      </c>
      <c r="H361" s="12" t="s">
        <v>889</v>
      </c>
      <c r="I361" s="12" t="s">
        <v>901</v>
      </c>
      <c r="J361" s="12" t="s">
        <v>894</v>
      </c>
      <c r="K361" s="12" t="s">
        <v>895</v>
      </c>
      <c r="L361" s="12"/>
      <c r="M361" s="11"/>
      <c r="N361" s="11"/>
      <c r="O361" s="11"/>
      <c r="P361" s="11"/>
    </row>
    <row r="362" spans="1:16" hidden="1" x14ac:dyDescent="0.25">
      <c r="A362" s="695">
        <v>56222</v>
      </c>
      <c r="B362" s="558">
        <v>1000</v>
      </c>
      <c r="C362" s="693">
        <v>400</v>
      </c>
      <c r="D362" s="558">
        <v>2700</v>
      </c>
      <c r="F362" s="693" t="s">
        <v>1291</v>
      </c>
      <c r="G362" s="696">
        <v>4</v>
      </c>
      <c r="H362" s="12" t="s">
        <v>889</v>
      </c>
      <c r="I362" s="12" t="s">
        <v>913</v>
      </c>
      <c r="J362" s="12" t="s">
        <v>934</v>
      </c>
      <c r="K362" s="12" t="s">
        <v>895</v>
      </c>
      <c r="L362" s="12"/>
      <c r="M362" s="11"/>
      <c r="N362" s="11"/>
      <c r="O362" s="11"/>
      <c r="P362" s="11"/>
    </row>
    <row r="363" spans="1:16" hidden="1" x14ac:dyDescent="0.25">
      <c r="A363" s="695">
        <v>56222</v>
      </c>
      <c r="B363" s="558">
        <v>1000</v>
      </c>
      <c r="C363" s="693">
        <v>550</v>
      </c>
      <c r="D363" s="558">
        <v>1000</v>
      </c>
      <c r="F363" s="693" t="s">
        <v>1291</v>
      </c>
      <c r="G363" s="696">
        <v>73</v>
      </c>
      <c r="H363" s="12" t="s">
        <v>889</v>
      </c>
      <c r="I363" s="12" t="s">
        <v>933</v>
      </c>
      <c r="J363" s="12" t="s">
        <v>894</v>
      </c>
      <c r="K363" s="12" t="s">
        <v>895</v>
      </c>
      <c r="L363" s="12"/>
      <c r="M363" s="11"/>
      <c r="N363" s="11"/>
      <c r="O363" s="11"/>
      <c r="P363" s="11"/>
    </row>
    <row r="364" spans="1:16" hidden="1" x14ac:dyDescent="0.25">
      <c r="A364" s="695">
        <v>56222</v>
      </c>
      <c r="B364" s="558">
        <v>1000</v>
      </c>
      <c r="C364" s="693">
        <v>615</v>
      </c>
      <c r="D364" s="558">
        <v>1000</v>
      </c>
      <c r="F364" s="693" t="s">
        <v>1291</v>
      </c>
      <c r="G364" s="696">
        <v>1</v>
      </c>
      <c r="H364" s="12" t="s">
        <v>889</v>
      </c>
      <c r="I364" s="12" t="s">
        <v>937</v>
      </c>
      <c r="J364" s="12" t="s">
        <v>894</v>
      </c>
      <c r="K364" s="12" t="s">
        <v>895</v>
      </c>
      <c r="L364" s="12"/>
      <c r="M364" s="11"/>
      <c r="N364" s="11"/>
      <c r="O364" s="11"/>
      <c r="P364" s="11"/>
    </row>
    <row r="365" spans="1:16" hidden="1" x14ac:dyDescent="0.25">
      <c r="A365" s="695">
        <v>56222</v>
      </c>
      <c r="B365" s="558">
        <v>1012</v>
      </c>
      <c r="C365" s="693">
        <v>100</v>
      </c>
      <c r="D365" s="558">
        <v>1000</v>
      </c>
      <c r="F365" s="693" t="s">
        <v>1291</v>
      </c>
      <c r="G365" s="696">
        <v>415</v>
      </c>
      <c r="H365" s="12" t="s">
        <v>890</v>
      </c>
      <c r="I365" s="12" t="s">
        <v>893</v>
      </c>
      <c r="J365" s="12" t="s">
        <v>894</v>
      </c>
      <c r="K365" s="12" t="s">
        <v>895</v>
      </c>
      <c r="L365" s="12"/>
      <c r="M365" s="11"/>
      <c r="N365" s="11"/>
      <c r="O365" s="11"/>
      <c r="P365" s="11"/>
    </row>
    <row r="366" spans="1:16" hidden="1" x14ac:dyDescent="0.25">
      <c r="A366" s="695">
        <v>56222</v>
      </c>
      <c r="B366" s="558">
        <v>1012</v>
      </c>
      <c r="C366" s="693">
        <v>100</v>
      </c>
      <c r="D366" s="558">
        <v>2100</v>
      </c>
      <c r="F366" s="693" t="s">
        <v>1291</v>
      </c>
      <c r="G366" s="696">
        <v>105</v>
      </c>
      <c r="H366" s="12" t="s">
        <v>890</v>
      </c>
      <c r="I366" s="12" t="s">
        <v>893</v>
      </c>
      <c r="J366" s="12" t="s">
        <v>902</v>
      </c>
      <c r="K366" s="12" t="s">
        <v>895</v>
      </c>
      <c r="L366" s="12"/>
      <c r="M366" s="11"/>
      <c r="N366" s="11"/>
      <c r="O366" s="11"/>
      <c r="P366" s="11"/>
    </row>
    <row r="367" spans="1:16" hidden="1" x14ac:dyDescent="0.25">
      <c r="A367" s="695">
        <v>56222</v>
      </c>
      <c r="B367" s="558">
        <v>1012</v>
      </c>
      <c r="C367" s="693">
        <v>200</v>
      </c>
      <c r="D367" s="558">
        <v>1000</v>
      </c>
      <c r="F367" s="693" t="s">
        <v>1291</v>
      </c>
      <c r="G367" s="696">
        <v>36</v>
      </c>
      <c r="H367" s="12" t="s">
        <v>890</v>
      </c>
      <c r="I367" s="12" t="s">
        <v>897</v>
      </c>
      <c r="J367" s="12" t="s">
        <v>894</v>
      </c>
      <c r="K367" s="12" t="s">
        <v>895</v>
      </c>
      <c r="L367" s="12"/>
      <c r="M367" s="11"/>
      <c r="N367" s="11"/>
      <c r="O367" s="11"/>
      <c r="P367" s="11"/>
    </row>
    <row r="368" spans="1:16" hidden="1" x14ac:dyDescent="0.25">
      <c r="A368" s="695">
        <v>56222</v>
      </c>
      <c r="B368" s="558">
        <v>1012</v>
      </c>
      <c r="C368" s="693">
        <v>200</v>
      </c>
      <c r="D368" s="558">
        <v>2100</v>
      </c>
      <c r="F368" s="693" t="s">
        <v>1291</v>
      </c>
      <c r="G368" s="696">
        <v>41</v>
      </c>
      <c r="H368" s="12" t="s">
        <v>890</v>
      </c>
      <c r="I368" s="12" t="s">
        <v>897</v>
      </c>
      <c r="J368" s="12" t="s">
        <v>902</v>
      </c>
      <c r="K368" s="12" t="s">
        <v>895</v>
      </c>
      <c r="L368" s="12"/>
      <c r="M368" s="11"/>
      <c r="N368" s="11"/>
      <c r="O368" s="11"/>
      <c r="P368" s="11"/>
    </row>
    <row r="369" spans="1:16" hidden="1" x14ac:dyDescent="0.25">
      <c r="A369" s="695">
        <v>56222</v>
      </c>
      <c r="B369" s="558">
        <v>1012</v>
      </c>
      <c r="C369" s="693">
        <v>260</v>
      </c>
      <c r="D369" s="558">
        <v>1000</v>
      </c>
      <c r="F369" s="693" t="s">
        <v>1291</v>
      </c>
      <c r="G369" s="696">
        <v>12</v>
      </c>
      <c r="H369" s="12" t="s">
        <v>890</v>
      </c>
      <c r="I369" s="12" t="s">
        <v>901</v>
      </c>
      <c r="J369" s="12" t="s">
        <v>894</v>
      </c>
      <c r="K369" s="12" t="s">
        <v>895</v>
      </c>
      <c r="L369" s="12"/>
      <c r="M369" s="11"/>
      <c r="N369" s="11"/>
      <c r="O369" s="11"/>
      <c r="P369" s="11"/>
    </row>
    <row r="370" spans="1:16" hidden="1" x14ac:dyDescent="0.25">
      <c r="A370" s="695">
        <v>56222</v>
      </c>
      <c r="B370" s="558">
        <v>1190</v>
      </c>
      <c r="C370" s="693">
        <v>260</v>
      </c>
      <c r="D370" s="558">
        <v>1000</v>
      </c>
      <c r="F370" s="693" t="s">
        <v>1291</v>
      </c>
      <c r="G370" s="696">
        <v>181</v>
      </c>
      <c r="H370" s="12" t="s">
        <v>920</v>
      </c>
      <c r="I370" s="12" t="s">
        <v>901</v>
      </c>
      <c r="J370" s="12" t="s">
        <v>894</v>
      </c>
      <c r="K370" s="12" t="s">
        <v>895</v>
      </c>
      <c r="L370" s="12"/>
      <c r="M370" s="11"/>
      <c r="N370" s="11"/>
      <c r="O370" s="11"/>
      <c r="P370" s="11"/>
    </row>
    <row r="371" spans="1:16" hidden="1" x14ac:dyDescent="0.25">
      <c r="A371" s="695">
        <v>56222</v>
      </c>
      <c r="B371" s="558">
        <v>1220</v>
      </c>
      <c r="C371" s="693">
        <v>200</v>
      </c>
      <c r="D371" s="558">
        <v>2100</v>
      </c>
      <c r="F371" s="693" t="s">
        <v>1291</v>
      </c>
      <c r="G371" s="696">
        <v>97</v>
      </c>
      <c r="H371" s="12" t="s">
        <v>932</v>
      </c>
      <c r="I371" s="12" t="s">
        <v>897</v>
      </c>
      <c r="J371" s="12" t="s">
        <v>902</v>
      </c>
      <c r="K371" s="12" t="s">
        <v>895</v>
      </c>
      <c r="L371" s="12"/>
      <c r="M371" s="11"/>
      <c r="N371" s="11"/>
      <c r="O371" s="11"/>
      <c r="P371" s="11"/>
    </row>
    <row r="372" spans="1:16" hidden="1" x14ac:dyDescent="0.25">
      <c r="A372" s="695">
        <v>56222</v>
      </c>
      <c r="B372" s="558">
        <v>1319</v>
      </c>
      <c r="C372" s="693">
        <v>100</v>
      </c>
      <c r="D372" s="558">
        <v>1000</v>
      </c>
      <c r="F372" s="693" t="s">
        <v>1291</v>
      </c>
      <c r="G372" s="696">
        <v>0</v>
      </c>
      <c r="H372" s="12" t="s">
        <v>968</v>
      </c>
      <c r="I372" s="12" t="s">
        <v>893</v>
      </c>
      <c r="J372" s="12" t="s">
        <v>894</v>
      </c>
      <c r="K372" s="12" t="s">
        <v>895</v>
      </c>
      <c r="L372" s="12"/>
      <c r="M372" s="11"/>
      <c r="N372" s="11"/>
      <c r="O372" s="11"/>
      <c r="P372" s="11"/>
    </row>
    <row r="373" spans="1:16" hidden="1" x14ac:dyDescent="0.25">
      <c r="A373" s="695">
        <v>56222</v>
      </c>
      <c r="B373" s="558">
        <v>1319</v>
      </c>
      <c r="C373" s="693">
        <v>100</v>
      </c>
      <c r="D373" s="558">
        <v>2100</v>
      </c>
      <c r="F373" s="693" t="s">
        <v>1291</v>
      </c>
      <c r="G373" s="696">
        <v>0</v>
      </c>
      <c r="H373" s="12" t="s">
        <v>968</v>
      </c>
      <c r="I373" s="12" t="s">
        <v>893</v>
      </c>
      <c r="J373" s="12" t="s">
        <v>902</v>
      </c>
      <c r="K373" s="12" t="s">
        <v>895</v>
      </c>
      <c r="L373" s="12"/>
      <c r="M373" s="11"/>
      <c r="N373" s="11"/>
      <c r="O373" s="11"/>
      <c r="P373" s="11"/>
    </row>
    <row r="374" spans="1:16" hidden="1" x14ac:dyDescent="0.25">
      <c r="A374" s="695">
        <v>56222</v>
      </c>
      <c r="B374" s="558">
        <v>1321</v>
      </c>
      <c r="C374" s="693">
        <v>100</v>
      </c>
      <c r="D374" s="558">
        <v>1000</v>
      </c>
      <c r="F374" s="693" t="s">
        <v>1291</v>
      </c>
      <c r="G374" s="696">
        <v>3134</v>
      </c>
      <c r="H374" s="12" t="s">
        <v>968</v>
      </c>
      <c r="I374" s="12" t="s">
        <v>893</v>
      </c>
      <c r="J374" s="12" t="s">
        <v>894</v>
      </c>
      <c r="K374" s="12" t="s">
        <v>895</v>
      </c>
      <c r="L374" s="12"/>
      <c r="M374" s="11"/>
      <c r="N374" s="11"/>
      <c r="O374" s="11"/>
      <c r="P374" s="11"/>
    </row>
    <row r="375" spans="1:16" hidden="1" x14ac:dyDescent="0.25">
      <c r="A375" s="695">
        <v>56222</v>
      </c>
      <c r="B375" s="558">
        <v>1321</v>
      </c>
      <c r="C375" s="693">
        <v>100</v>
      </c>
      <c r="D375" s="558">
        <v>2100</v>
      </c>
      <c r="F375" s="693" t="s">
        <v>1291</v>
      </c>
      <c r="G375" s="696">
        <v>1040</v>
      </c>
      <c r="H375" s="12" t="s">
        <v>968</v>
      </c>
      <c r="I375" s="12" t="s">
        <v>893</v>
      </c>
      <c r="J375" s="12" t="s">
        <v>902</v>
      </c>
      <c r="K375" s="12" t="s">
        <v>895</v>
      </c>
      <c r="L375" s="12"/>
      <c r="M375" s="11"/>
      <c r="N375" s="11"/>
      <c r="O375" s="11"/>
      <c r="P375" s="11"/>
    </row>
    <row r="376" spans="1:16" hidden="1" x14ac:dyDescent="0.25">
      <c r="A376" s="695">
        <v>56222</v>
      </c>
      <c r="B376" s="558">
        <v>1321</v>
      </c>
      <c r="C376" s="693">
        <v>100</v>
      </c>
      <c r="D376" s="558">
        <v>2400</v>
      </c>
      <c r="F376" s="693" t="s">
        <v>1291</v>
      </c>
      <c r="G376" s="696">
        <v>222</v>
      </c>
      <c r="H376" s="12" t="s">
        <v>968</v>
      </c>
      <c r="I376" s="12" t="s">
        <v>893</v>
      </c>
      <c r="J376" s="12" t="s">
        <v>922</v>
      </c>
      <c r="K376" s="12" t="s">
        <v>895</v>
      </c>
      <c r="L376" s="12"/>
      <c r="M376" s="11"/>
      <c r="N376" s="11"/>
      <c r="O376" s="11"/>
      <c r="P376" s="11"/>
    </row>
    <row r="377" spans="1:16" hidden="1" x14ac:dyDescent="0.25">
      <c r="A377" s="695">
        <v>56222</v>
      </c>
      <c r="B377" s="558">
        <v>1321</v>
      </c>
      <c r="C377" s="693">
        <v>200</v>
      </c>
      <c r="D377" s="558">
        <v>1000</v>
      </c>
      <c r="F377" s="693" t="s">
        <v>1291</v>
      </c>
      <c r="G377" s="696">
        <v>767</v>
      </c>
      <c r="H377" s="12" t="s">
        <v>968</v>
      </c>
      <c r="I377" s="12" t="s">
        <v>897</v>
      </c>
      <c r="J377" s="12" t="s">
        <v>894</v>
      </c>
      <c r="K377" s="12" t="s">
        <v>895</v>
      </c>
      <c r="L377" s="12"/>
      <c r="M377" s="11"/>
      <c r="N377" s="11"/>
      <c r="O377" s="11"/>
      <c r="P377" s="11"/>
    </row>
    <row r="378" spans="1:16" hidden="1" x14ac:dyDescent="0.25">
      <c r="A378" s="695">
        <v>56222</v>
      </c>
      <c r="B378" s="558">
        <v>1321</v>
      </c>
      <c r="C378" s="693">
        <v>200</v>
      </c>
      <c r="D378" s="558">
        <v>2100</v>
      </c>
      <c r="F378" s="693" t="s">
        <v>1291</v>
      </c>
      <c r="G378" s="696">
        <v>300</v>
      </c>
      <c r="H378" s="12" t="s">
        <v>968</v>
      </c>
      <c r="I378" s="12" t="s">
        <v>897</v>
      </c>
      <c r="J378" s="12" t="s">
        <v>902</v>
      </c>
      <c r="K378" s="12" t="s">
        <v>895</v>
      </c>
      <c r="L378" s="12"/>
      <c r="M378" s="11"/>
      <c r="N378" s="11"/>
      <c r="O378" s="11"/>
      <c r="P378" s="11"/>
    </row>
    <row r="379" spans="1:16" hidden="1" x14ac:dyDescent="0.25">
      <c r="A379" s="695">
        <v>56222</v>
      </c>
      <c r="B379" s="558">
        <v>1321</v>
      </c>
      <c r="C379" s="693">
        <v>200</v>
      </c>
      <c r="D379" s="558">
        <v>2200</v>
      </c>
      <c r="F379" s="693" t="s">
        <v>1291</v>
      </c>
      <c r="G379" s="696">
        <v>11</v>
      </c>
      <c r="H379" s="12" t="s">
        <v>968</v>
      </c>
      <c r="I379" s="12" t="s">
        <v>897</v>
      </c>
      <c r="J379" s="12" t="s">
        <v>906</v>
      </c>
      <c r="K379" s="12" t="s">
        <v>895</v>
      </c>
      <c r="L379" s="12"/>
      <c r="M379" s="11"/>
      <c r="N379" s="11"/>
      <c r="O379" s="11"/>
      <c r="P379" s="11"/>
    </row>
    <row r="380" spans="1:16" hidden="1" x14ac:dyDescent="0.25">
      <c r="A380" s="695">
        <v>56222</v>
      </c>
      <c r="B380" s="558">
        <v>1322</v>
      </c>
      <c r="C380" s="693">
        <v>100</v>
      </c>
      <c r="D380" s="558">
        <v>2500</v>
      </c>
      <c r="F380" s="693" t="s">
        <v>1291</v>
      </c>
      <c r="G380" s="696">
        <v>0</v>
      </c>
      <c r="H380" s="12" t="s">
        <v>968</v>
      </c>
      <c r="I380" s="12" t="s">
        <v>893</v>
      </c>
      <c r="J380" s="12" t="s">
        <v>926</v>
      </c>
      <c r="K380" s="12" t="s">
        <v>895</v>
      </c>
      <c r="L380" s="12"/>
      <c r="M380" s="11"/>
      <c r="N380" s="11"/>
      <c r="O380" s="11"/>
      <c r="P380" s="11"/>
    </row>
    <row r="381" spans="1:16" hidden="1" x14ac:dyDescent="0.25">
      <c r="A381" s="695">
        <v>56222</v>
      </c>
      <c r="B381" s="558">
        <v>1487</v>
      </c>
      <c r="C381" s="693">
        <v>100</v>
      </c>
      <c r="D381" s="558">
        <v>2100</v>
      </c>
      <c r="F381" s="693" t="s">
        <v>1291</v>
      </c>
      <c r="G381" s="696">
        <v>737</v>
      </c>
      <c r="H381" s="12" t="s">
        <v>995</v>
      </c>
      <c r="I381" s="12" t="s">
        <v>893</v>
      </c>
      <c r="J381" s="12" t="s">
        <v>902</v>
      </c>
      <c r="K381" s="12" t="s">
        <v>895</v>
      </c>
      <c r="L381" s="12"/>
      <c r="M381" s="11"/>
      <c r="N381" s="11"/>
      <c r="O381" s="11"/>
      <c r="P381" s="11"/>
    </row>
    <row r="382" spans="1:16" x14ac:dyDescent="0.25">
      <c r="A382" s="695">
        <v>56222</v>
      </c>
      <c r="B382" s="558">
        <v>1534</v>
      </c>
      <c r="C382" s="693">
        <v>100</v>
      </c>
      <c r="D382" s="558">
        <v>2700</v>
      </c>
      <c r="F382" s="693" t="s">
        <v>1291</v>
      </c>
      <c r="G382" s="696">
        <v>1</v>
      </c>
      <c r="H382" s="12" t="s">
        <v>997</v>
      </c>
      <c r="I382" s="12" t="s">
        <v>913</v>
      </c>
      <c r="J382" s="12" t="s">
        <v>934</v>
      </c>
      <c r="K382" s="12" t="s">
        <v>895</v>
      </c>
      <c r="L382" s="12"/>
      <c r="M382" s="11"/>
      <c r="N382" s="11"/>
      <c r="O382" s="11"/>
      <c r="P382" s="11"/>
    </row>
    <row r="383" spans="1:16" hidden="1" x14ac:dyDescent="0.25">
      <c r="A383" s="695">
        <v>56222</v>
      </c>
      <c r="B383" s="558">
        <v>1534</v>
      </c>
      <c r="C383" s="693">
        <v>400</v>
      </c>
      <c r="D383" s="558">
        <v>2700</v>
      </c>
      <c r="F383" s="693" t="s">
        <v>1291</v>
      </c>
      <c r="G383" s="696">
        <v>74</v>
      </c>
      <c r="H383" s="12" t="s">
        <v>997</v>
      </c>
      <c r="I383" s="12" t="s">
        <v>913</v>
      </c>
      <c r="J383" s="12" t="s">
        <v>934</v>
      </c>
      <c r="K383" s="12" t="s">
        <v>895</v>
      </c>
      <c r="L383" s="12"/>
      <c r="M383" s="11"/>
      <c r="N383" s="11"/>
      <c r="O383" s="11"/>
      <c r="P383" s="11"/>
    </row>
    <row r="384" spans="1:16" hidden="1" x14ac:dyDescent="0.25">
      <c r="A384" s="695">
        <v>56222</v>
      </c>
      <c r="B384" s="558" t="s">
        <v>1247</v>
      </c>
      <c r="C384" s="693">
        <v>100</v>
      </c>
      <c r="D384" s="558">
        <v>1000</v>
      </c>
      <c r="F384" s="693" t="s">
        <v>1291</v>
      </c>
      <c r="G384" s="696">
        <v>33</v>
      </c>
      <c r="H384" s="12" t="s">
        <v>904</v>
      </c>
      <c r="I384" s="12" t="s">
        <v>893</v>
      </c>
      <c r="J384" s="12" t="s">
        <v>894</v>
      </c>
      <c r="K384" s="12" t="s">
        <v>895</v>
      </c>
      <c r="L384" s="12"/>
      <c r="M384" s="11"/>
      <c r="N384" s="11"/>
      <c r="O384" s="11"/>
      <c r="P384" s="11"/>
    </row>
    <row r="385" spans="1:16" hidden="1" x14ac:dyDescent="0.25">
      <c r="A385" s="695">
        <v>56222</v>
      </c>
      <c r="B385" s="558" t="s">
        <v>1248</v>
      </c>
      <c r="C385" s="693">
        <v>100</v>
      </c>
      <c r="D385" s="558">
        <v>1000</v>
      </c>
      <c r="F385" s="693" t="s">
        <v>1291</v>
      </c>
      <c r="G385" s="696">
        <v>588</v>
      </c>
      <c r="H385" s="12" t="s">
        <v>904</v>
      </c>
      <c r="I385" s="12" t="s">
        <v>893</v>
      </c>
      <c r="J385" s="12" t="s">
        <v>894</v>
      </c>
      <c r="K385" s="12" t="s">
        <v>895</v>
      </c>
      <c r="L385" s="12"/>
      <c r="M385" s="11"/>
      <c r="N385" s="11"/>
      <c r="O385" s="11"/>
      <c r="P385" s="11"/>
    </row>
    <row r="386" spans="1:16" hidden="1" x14ac:dyDescent="0.25">
      <c r="A386" s="695">
        <v>56222</v>
      </c>
      <c r="B386" s="558" t="s">
        <v>1248</v>
      </c>
      <c r="C386" s="693">
        <v>260</v>
      </c>
      <c r="D386" s="558">
        <v>1000</v>
      </c>
      <c r="F386" s="693" t="s">
        <v>1291</v>
      </c>
      <c r="G386" s="696">
        <v>262</v>
      </c>
      <c r="H386" s="12" t="s">
        <v>904</v>
      </c>
      <c r="I386" s="12" t="s">
        <v>901</v>
      </c>
      <c r="J386" s="12" t="s">
        <v>894</v>
      </c>
      <c r="K386" s="12" t="s">
        <v>895</v>
      </c>
      <c r="L386" s="12"/>
      <c r="M386" s="11"/>
      <c r="N386" s="11"/>
      <c r="O386" s="11"/>
      <c r="P386" s="11"/>
    </row>
    <row r="387" spans="1:16" hidden="1" x14ac:dyDescent="0.25">
      <c r="A387" s="694">
        <v>56222</v>
      </c>
      <c r="B387" s="558" t="s">
        <v>1249</v>
      </c>
      <c r="C387" s="693">
        <v>100</v>
      </c>
      <c r="D387" s="558">
        <v>3100</v>
      </c>
      <c r="F387" s="693" t="s">
        <v>1291</v>
      </c>
      <c r="G387" s="696">
        <v>80</v>
      </c>
      <c r="H387" s="12" t="s">
        <v>997</v>
      </c>
      <c r="I387" s="12" t="s">
        <v>893</v>
      </c>
      <c r="J387" s="12" t="s">
        <v>942</v>
      </c>
      <c r="K387" s="12" t="s">
        <v>895</v>
      </c>
      <c r="L387" s="12"/>
      <c r="M387" s="11"/>
      <c r="N387" s="11"/>
      <c r="O387" s="11"/>
      <c r="P387" s="11"/>
    </row>
    <row r="388" spans="1:16" hidden="1" x14ac:dyDescent="0.25">
      <c r="A388" s="695">
        <v>56231</v>
      </c>
      <c r="B388" s="558">
        <v>1000</v>
      </c>
      <c r="C388" s="693">
        <v>100</v>
      </c>
      <c r="D388" s="558">
        <v>1000</v>
      </c>
      <c r="F388" s="693" t="s">
        <v>1292</v>
      </c>
      <c r="G388" s="696">
        <v>1384</v>
      </c>
      <c r="H388" s="12" t="s">
        <v>889</v>
      </c>
      <c r="I388" s="12" t="s">
        <v>893</v>
      </c>
      <c r="J388" s="12" t="s">
        <v>894</v>
      </c>
      <c r="K388" s="12" t="s">
        <v>895</v>
      </c>
      <c r="L388" s="12"/>
      <c r="M388" s="11"/>
      <c r="N388" s="11"/>
      <c r="O388" s="11"/>
      <c r="P388" s="11"/>
    </row>
    <row r="389" spans="1:16" hidden="1" x14ac:dyDescent="0.25">
      <c r="A389" s="695">
        <v>56231</v>
      </c>
      <c r="B389" s="558">
        <v>1000</v>
      </c>
      <c r="C389" s="693">
        <v>100</v>
      </c>
      <c r="D389" s="558">
        <v>2100</v>
      </c>
      <c r="F389" s="693" t="s">
        <v>1292</v>
      </c>
      <c r="G389" s="696">
        <v>1255</v>
      </c>
      <c r="H389" s="12" t="s">
        <v>889</v>
      </c>
      <c r="I389" s="12" t="s">
        <v>893</v>
      </c>
      <c r="J389" s="12" t="s">
        <v>902</v>
      </c>
      <c r="K389" s="12" t="s">
        <v>895</v>
      </c>
      <c r="L389" s="12"/>
      <c r="M389" s="11"/>
      <c r="N389" s="11"/>
      <c r="O389" s="11"/>
      <c r="P389" s="11"/>
    </row>
    <row r="390" spans="1:16" hidden="1" x14ac:dyDescent="0.25">
      <c r="A390" s="695">
        <v>56231</v>
      </c>
      <c r="B390" s="558">
        <v>1000</v>
      </c>
      <c r="C390" s="693">
        <v>100</v>
      </c>
      <c r="D390" s="558">
        <v>2110</v>
      </c>
      <c r="F390" s="693" t="s">
        <v>1292</v>
      </c>
      <c r="G390" s="696">
        <v>167</v>
      </c>
      <c r="H390" s="12" t="s">
        <v>889</v>
      </c>
      <c r="I390" s="12" t="s">
        <v>893</v>
      </c>
      <c r="J390" s="12" t="s">
        <v>902</v>
      </c>
      <c r="K390" s="12" t="s">
        <v>895</v>
      </c>
      <c r="L390" s="12"/>
      <c r="M390" s="11"/>
      <c r="N390" s="11"/>
      <c r="O390" s="11"/>
      <c r="P390" s="11"/>
    </row>
    <row r="391" spans="1:16" hidden="1" x14ac:dyDescent="0.25">
      <c r="A391" s="695">
        <v>56231</v>
      </c>
      <c r="B391" s="558">
        <v>1000</v>
      </c>
      <c r="C391" s="693">
        <v>100</v>
      </c>
      <c r="D391" s="558">
        <v>2200</v>
      </c>
      <c r="F391" s="693" t="s">
        <v>1292</v>
      </c>
      <c r="G391" s="696">
        <v>486</v>
      </c>
      <c r="H391" s="12" t="s">
        <v>889</v>
      </c>
      <c r="I391" s="12" t="s">
        <v>893</v>
      </c>
      <c r="J391" s="12" t="s">
        <v>906</v>
      </c>
      <c r="K391" s="12" t="s">
        <v>895</v>
      </c>
      <c r="L391" s="12"/>
      <c r="M391" s="11"/>
      <c r="N391" s="11"/>
      <c r="O391" s="11"/>
      <c r="P391" s="11"/>
    </row>
    <row r="392" spans="1:16" hidden="1" x14ac:dyDescent="0.25">
      <c r="A392" s="695">
        <v>56231</v>
      </c>
      <c r="B392" s="558">
        <v>1000</v>
      </c>
      <c r="C392" s="693">
        <v>100</v>
      </c>
      <c r="D392" s="558">
        <v>2300</v>
      </c>
      <c r="F392" s="693" t="s">
        <v>1292</v>
      </c>
      <c r="G392" s="696">
        <v>168</v>
      </c>
      <c r="H392" s="12" t="s">
        <v>889</v>
      </c>
      <c r="I392" s="12" t="s">
        <v>893</v>
      </c>
      <c r="J392" s="12" t="s">
        <v>918</v>
      </c>
      <c r="K392" s="12" t="s">
        <v>895</v>
      </c>
      <c r="L392" s="12"/>
      <c r="M392" s="11"/>
      <c r="N392" s="11"/>
      <c r="O392" s="11"/>
      <c r="P392" s="11"/>
    </row>
    <row r="393" spans="1:16" hidden="1" x14ac:dyDescent="0.25">
      <c r="A393" s="695">
        <v>56231</v>
      </c>
      <c r="B393" s="558">
        <v>1000</v>
      </c>
      <c r="C393" s="693">
        <v>100</v>
      </c>
      <c r="D393" s="558">
        <v>2310</v>
      </c>
      <c r="F393" s="693" t="s">
        <v>1292</v>
      </c>
      <c r="G393" s="696">
        <v>257</v>
      </c>
      <c r="H393" s="12" t="s">
        <v>889</v>
      </c>
      <c r="I393" s="12" t="s">
        <v>893</v>
      </c>
      <c r="J393" s="12" t="s">
        <v>918</v>
      </c>
      <c r="K393" s="12" t="s">
        <v>895</v>
      </c>
      <c r="L393" s="12"/>
      <c r="M393" s="11"/>
      <c r="N393" s="11"/>
      <c r="O393" s="11"/>
      <c r="P393" s="11"/>
    </row>
    <row r="394" spans="1:16" hidden="1" x14ac:dyDescent="0.25">
      <c r="A394" s="695">
        <v>56231</v>
      </c>
      <c r="B394" s="558">
        <v>1000</v>
      </c>
      <c r="C394" s="693">
        <v>100</v>
      </c>
      <c r="D394" s="558">
        <v>2400</v>
      </c>
      <c r="F394" s="693" t="s">
        <v>1292</v>
      </c>
      <c r="G394" s="696">
        <v>3835</v>
      </c>
      <c r="H394" s="12" t="s">
        <v>889</v>
      </c>
      <c r="I394" s="12" t="s">
        <v>893</v>
      </c>
      <c r="J394" s="12" t="s">
        <v>922</v>
      </c>
      <c r="K394" s="12" t="s">
        <v>895</v>
      </c>
      <c r="L394" s="12"/>
      <c r="M394" s="11"/>
      <c r="N394" s="11"/>
      <c r="O394" s="11"/>
      <c r="P394" s="11"/>
    </row>
    <row r="395" spans="1:16" hidden="1" x14ac:dyDescent="0.25">
      <c r="A395" s="695">
        <v>56231</v>
      </c>
      <c r="B395" s="558">
        <v>1000</v>
      </c>
      <c r="C395" s="693">
        <v>100</v>
      </c>
      <c r="D395" s="558">
        <v>2410</v>
      </c>
      <c r="F395" s="693" t="s">
        <v>1292</v>
      </c>
      <c r="G395" s="696">
        <v>6048</v>
      </c>
      <c r="H395" s="12" t="s">
        <v>889</v>
      </c>
      <c r="I395" s="12" t="s">
        <v>893</v>
      </c>
      <c r="J395" s="12" t="s">
        <v>922</v>
      </c>
      <c r="K395" s="12" t="s">
        <v>895</v>
      </c>
      <c r="L395" s="12"/>
      <c r="M395" s="11"/>
      <c r="N395" s="11"/>
      <c r="O395" s="11"/>
      <c r="P395" s="11"/>
    </row>
    <row r="396" spans="1:16" hidden="1" x14ac:dyDescent="0.25">
      <c r="A396" s="695">
        <v>56231</v>
      </c>
      <c r="B396" s="558">
        <v>1000</v>
      </c>
      <c r="C396" s="693">
        <v>100</v>
      </c>
      <c r="D396" s="558">
        <v>2500</v>
      </c>
      <c r="F396" s="693" t="s">
        <v>1292</v>
      </c>
      <c r="G396" s="696">
        <v>6033</v>
      </c>
      <c r="H396" s="12" t="s">
        <v>889</v>
      </c>
      <c r="I396" s="12" t="s">
        <v>893</v>
      </c>
      <c r="J396" s="12" t="s">
        <v>926</v>
      </c>
      <c r="K396" s="12" t="s">
        <v>895</v>
      </c>
      <c r="L396" s="12"/>
      <c r="M396" s="11"/>
      <c r="N396" s="11"/>
      <c r="O396" s="11"/>
      <c r="P396" s="11"/>
    </row>
    <row r="397" spans="1:16" hidden="1" x14ac:dyDescent="0.25">
      <c r="A397" s="695">
        <v>56231</v>
      </c>
      <c r="B397" s="558">
        <v>1000</v>
      </c>
      <c r="C397" s="693">
        <v>100</v>
      </c>
      <c r="D397" s="558">
        <v>2510</v>
      </c>
      <c r="F397" s="693" t="s">
        <v>1292</v>
      </c>
      <c r="G397" s="696">
        <v>187</v>
      </c>
      <c r="H397" s="12" t="s">
        <v>889</v>
      </c>
      <c r="I397" s="12" t="s">
        <v>893</v>
      </c>
      <c r="J397" s="12" t="s">
        <v>926</v>
      </c>
      <c r="K397" s="12" t="s">
        <v>895</v>
      </c>
      <c r="L397" s="12"/>
      <c r="M397" s="11"/>
      <c r="N397" s="11"/>
      <c r="O397" s="11"/>
      <c r="P397" s="11"/>
    </row>
    <row r="398" spans="1:16" hidden="1" x14ac:dyDescent="0.25">
      <c r="A398" s="695">
        <v>56231</v>
      </c>
      <c r="B398" s="558">
        <v>1000</v>
      </c>
      <c r="C398" s="693">
        <v>100</v>
      </c>
      <c r="D398" s="558">
        <v>2520</v>
      </c>
      <c r="F398" s="693" t="s">
        <v>1292</v>
      </c>
      <c r="G398" s="696">
        <v>137</v>
      </c>
      <c r="H398" s="12" t="s">
        <v>889</v>
      </c>
      <c r="I398" s="12" t="s">
        <v>893</v>
      </c>
      <c r="J398" s="12" t="s">
        <v>926</v>
      </c>
      <c r="K398" s="12" t="s">
        <v>895</v>
      </c>
      <c r="L398" s="12"/>
      <c r="M398" s="11"/>
      <c r="N398" s="11"/>
      <c r="O398" s="11"/>
      <c r="P398" s="11"/>
    </row>
    <row r="399" spans="1:16" hidden="1" x14ac:dyDescent="0.25">
      <c r="A399" s="695">
        <v>56231</v>
      </c>
      <c r="B399" s="558">
        <v>1000</v>
      </c>
      <c r="C399" s="693">
        <v>100</v>
      </c>
      <c r="D399" s="558">
        <v>2600</v>
      </c>
      <c r="F399" s="693" t="s">
        <v>1292</v>
      </c>
      <c r="G399" s="696">
        <v>4993</v>
      </c>
      <c r="H399" s="12" t="s">
        <v>889</v>
      </c>
      <c r="I399" s="12" t="s">
        <v>893</v>
      </c>
      <c r="J399" s="12" t="s">
        <v>930</v>
      </c>
      <c r="K399" s="12" t="s">
        <v>895</v>
      </c>
      <c r="L399" s="12"/>
      <c r="M399" s="11"/>
      <c r="N399" s="11"/>
      <c r="O399" s="11"/>
      <c r="P399" s="11"/>
    </row>
    <row r="400" spans="1:16" x14ac:dyDescent="0.25">
      <c r="A400" s="695">
        <v>56231</v>
      </c>
      <c r="B400" s="558">
        <v>1000</v>
      </c>
      <c r="C400" s="693">
        <v>100</v>
      </c>
      <c r="D400" s="558">
        <v>2700</v>
      </c>
      <c r="F400" s="693" t="s">
        <v>1292</v>
      </c>
      <c r="G400" s="696">
        <v>0</v>
      </c>
      <c r="H400" s="12" t="s">
        <v>889</v>
      </c>
      <c r="I400" s="12" t="s">
        <v>913</v>
      </c>
      <c r="J400" s="12" t="s">
        <v>934</v>
      </c>
      <c r="K400" s="12" t="s">
        <v>895</v>
      </c>
      <c r="L400" s="12"/>
      <c r="M400" s="11"/>
      <c r="N400" s="11"/>
      <c r="O400" s="11"/>
      <c r="P400" s="11"/>
    </row>
    <row r="401" spans="1:16" hidden="1" x14ac:dyDescent="0.25">
      <c r="A401" s="695">
        <v>56231</v>
      </c>
      <c r="B401" s="558">
        <v>1000</v>
      </c>
      <c r="C401" s="693">
        <v>100</v>
      </c>
      <c r="D401" s="558">
        <v>3100</v>
      </c>
      <c r="F401" s="693" t="s">
        <v>1292</v>
      </c>
      <c r="G401" s="696">
        <v>1</v>
      </c>
      <c r="H401" s="12" t="s">
        <v>889</v>
      </c>
      <c r="I401" s="12" t="s">
        <v>893</v>
      </c>
      <c r="J401" s="12" t="s">
        <v>942</v>
      </c>
      <c r="K401" s="12" t="s">
        <v>895</v>
      </c>
      <c r="L401" s="12"/>
      <c r="M401" s="11"/>
      <c r="N401" s="11"/>
      <c r="O401" s="11"/>
      <c r="P401" s="11"/>
    </row>
    <row r="402" spans="1:16" hidden="1" x14ac:dyDescent="0.25">
      <c r="A402" s="695">
        <v>56231</v>
      </c>
      <c r="B402" s="558">
        <v>1000</v>
      </c>
      <c r="C402" s="693">
        <v>200</v>
      </c>
      <c r="D402" s="558">
        <v>1000</v>
      </c>
      <c r="F402" s="693" t="s">
        <v>1292</v>
      </c>
      <c r="G402" s="696">
        <v>161</v>
      </c>
      <c r="H402" s="12" t="s">
        <v>889</v>
      </c>
      <c r="I402" s="12" t="s">
        <v>897</v>
      </c>
      <c r="J402" s="12" t="s">
        <v>894</v>
      </c>
      <c r="K402" s="12" t="s">
        <v>895</v>
      </c>
      <c r="L402" s="12"/>
      <c r="M402" s="11"/>
      <c r="N402" s="11"/>
      <c r="O402" s="11"/>
      <c r="P402" s="11"/>
    </row>
    <row r="403" spans="1:16" hidden="1" x14ac:dyDescent="0.25">
      <c r="A403" s="695">
        <v>56231</v>
      </c>
      <c r="B403" s="558">
        <v>1000</v>
      </c>
      <c r="C403" s="693">
        <v>200</v>
      </c>
      <c r="D403" s="558">
        <v>2100</v>
      </c>
      <c r="F403" s="693" t="s">
        <v>1292</v>
      </c>
      <c r="G403" s="696">
        <v>9646</v>
      </c>
      <c r="H403" s="12" t="s">
        <v>889</v>
      </c>
      <c r="I403" s="12" t="s">
        <v>897</v>
      </c>
      <c r="J403" s="12" t="s">
        <v>902</v>
      </c>
      <c r="K403" s="12" t="s">
        <v>895</v>
      </c>
      <c r="L403" s="12"/>
      <c r="M403" s="11"/>
      <c r="N403" s="11"/>
      <c r="O403" s="11"/>
      <c r="P403" s="11"/>
    </row>
    <row r="404" spans="1:16" hidden="1" x14ac:dyDescent="0.25">
      <c r="A404" s="695">
        <v>56231</v>
      </c>
      <c r="B404" s="558">
        <v>1000</v>
      </c>
      <c r="C404" s="693">
        <v>200</v>
      </c>
      <c r="D404" s="558">
        <v>2200</v>
      </c>
      <c r="F404" s="693" t="s">
        <v>1292</v>
      </c>
      <c r="G404" s="696">
        <v>47</v>
      </c>
      <c r="H404" s="12" t="s">
        <v>889</v>
      </c>
      <c r="I404" s="12" t="s">
        <v>897</v>
      </c>
      <c r="J404" s="12" t="s">
        <v>906</v>
      </c>
      <c r="K404" s="12" t="s">
        <v>895</v>
      </c>
      <c r="L404" s="12"/>
      <c r="M404" s="11"/>
      <c r="N404" s="11"/>
      <c r="O404" s="11"/>
      <c r="P404" s="11"/>
    </row>
    <row r="405" spans="1:16" hidden="1" x14ac:dyDescent="0.25">
      <c r="A405" s="695">
        <v>56231</v>
      </c>
      <c r="B405" s="558">
        <v>1000</v>
      </c>
      <c r="C405" s="693">
        <v>240</v>
      </c>
      <c r="D405" s="558">
        <v>1000</v>
      </c>
      <c r="F405" s="693" t="s">
        <v>1292</v>
      </c>
      <c r="G405" s="696">
        <v>59</v>
      </c>
      <c r="H405" s="12" t="s">
        <v>889</v>
      </c>
      <c r="I405" s="12" t="s">
        <v>897</v>
      </c>
      <c r="J405" s="12" t="s">
        <v>894</v>
      </c>
      <c r="K405" s="12" t="s">
        <v>895</v>
      </c>
      <c r="L405" s="12"/>
      <c r="M405" s="11"/>
      <c r="N405" s="11"/>
      <c r="O405" s="11"/>
      <c r="P405" s="11"/>
    </row>
    <row r="406" spans="1:16" hidden="1" x14ac:dyDescent="0.25">
      <c r="A406" s="695">
        <v>56231</v>
      </c>
      <c r="B406" s="558">
        <v>1000</v>
      </c>
      <c r="C406" s="693">
        <v>260</v>
      </c>
      <c r="D406" s="558">
        <v>1000</v>
      </c>
      <c r="F406" s="693" t="s">
        <v>1292</v>
      </c>
      <c r="G406" s="696">
        <v>90</v>
      </c>
      <c r="H406" s="12" t="s">
        <v>889</v>
      </c>
      <c r="I406" s="12" t="s">
        <v>901</v>
      </c>
      <c r="J406" s="12" t="s">
        <v>894</v>
      </c>
      <c r="K406" s="12" t="s">
        <v>895</v>
      </c>
      <c r="L406" s="12"/>
      <c r="M406" s="11"/>
      <c r="N406" s="11"/>
      <c r="O406" s="11"/>
      <c r="P406" s="11"/>
    </row>
    <row r="407" spans="1:16" hidden="1" x14ac:dyDescent="0.25">
      <c r="A407" s="695">
        <v>56231</v>
      </c>
      <c r="B407" s="558">
        <v>1000</v>
      </c>
      <c r="C407" s="693">
        <v>400</v>
      </c>
      <c r="D407" s="558">
        <v>2700</v>
      </c>
      <c r="F407" s="693" t="s">
        <v>1292</v>
      </c>
      <c r="G407" s="696">
        <v>37</v>
      </c>
      <c r="H407" s="12" t="s">
        <v>889</v>
      </c>
      <c r="I407" s="12" t="s">
        <v>913</v>
      </c>
      <c r="J407" s="12" t="s">
        <v>934</v>
      </c>
      <c r="K407" s="12" t="s">
        <v>895</v>
      </c>
      <c r="L407" s="12"/>
      <c r="M407" s="11"/>
      <c r="N407" s="11"/>
      <c r="O407" s="11"/>
      <c r="P407" s="11"/>
    </row>
    <row r="408" spans="1:16" hidden="1" x14ac:dyDescent="0.25">
      <c r="A408" s="695">
        <v>56231</v>
      </c>
      <c r="B408" s="558">
        <v>1000</v>
      </c>
      <c r="C408" s="693">
        <v>550</v>
      </c>
      <c r="D408" s="558">
        <v>1000</v>
      </c>
      <c r="F408" s="693" t="s">
        <v>1292</v>
      </c>
      <c r="G408" s="696">
        <v>615</v>
      </c>
      <c r="H408" s="12" t="s">
        <v>889</v>
      </c>
      <c r="I408" s="12" t="s">
        <v>933</v>
      </c>
      <c r="J408" s="12" t="s">
        <v>894</v>
      </c>
      <c r="K408" s="12" t="s">
        <v>895</v>
      </c>
      <c r="L408" s="12"/>
      <c r="M408" s="11"/>
      <c r="N408" s="11"/>
      <c r="O408" s="11"/>
      <c r="P408" s="11"/>
    </row>
    <row r="409" spans="1:16" hidden="1" x14ac:dyDescent="0.25">
      <c r="A409" s="695">
        <v>56231</v>
      </c>
      <c r="B409" s="558">
        <v>1000</v>
      </c>
      <c r="C409" s="693">
        <v>615</v>
      </c>
      <c r="D409" s="558">
        <v>1000</v>
      </c>
      <c r="F409" s="693" t="s">
        <v>1292</v>
      </c>
      <c r="G409" s="696">
        <v>4</v>
      </c>
      <c r="H409" s="12" t="s">
        <v>889</v>
      </c>
      <c r="I409" s="12" t="s">
        <v>937</v>
      </c>
      <c r="J409" s="12" t="s">
        <v>894</v>
      </c>
      <c r="K409" s="12" t="s">
        <v>895</v>
      </c>
      <c r="L409" s="12"/>
      <c r="M409" s="11"/>
      <c r="N409" s="11"/>
      <c r="O409" s="11"/>
      <c r="P409" s="11"/>
    </row>
    <row r="410" spans="1:16" hidden="1" x14ac:dyDescent="0.25">
      <c r="A410" s="695">
        <v>56231</v>
      </c>
      <c r="B410" s="558">
        <v>1012</v>
      </c>
      <c r="C410" s="693">
        <v>100</v>
      </c>
      <c r="D410" s="558">
        <v>1000</v>
      </c>
      <c r="F410" s="693" t="s">
        <v>1292</v>
      </c>
      <c r="G410" s="696">
        <v>3473</v>
      </c>
      <c r="H410" s="12" t="s">
        <v>890</v>
      </c>
      <c r="I410" s="12" t="s">
        <v>893</v>
      </c>
      <c r="J410" s="12" t="s">
        <v>894</v>
      </c>
      <c r="K410" s="12" t="s">
        <v>895</v>
      </c>
      <c r="L410" s="12"/>
      <c r="M410" s="11"/>
      <c r="N410" s="11"/>
      <c r="O410" s="11"/>
      <c r="P410" s="11"/>
    </row>
    <row r="411" spans="1:16" hidden="1" x14ac:dyDescent="0.25">
      <c r="A411" s="695">
        <v>56231</v>
      </c>
      <c r="B411" s="558">
        <v>1012</v>
      </c>
      <c r="C411" s="693">
        <v>100</v>
      </c>
      <c r="D411" s="558">
        <v>2100</v>
      </c>
      <c r="F411" s="693" t="s">
        <v>1292</v>
      </c>
      <c r="G411" s="696">
        <v>880</v>
      </c>
      <c r="H411" s="12" t="s">
        <v>890</v>
      </c>
      <c r="I411" s="12" t="s">
        <v>893</v>
      </c>
      <c r="J411" s="12" t="s">
        <v>902</v>
      </c>
      <c r="K411" s="12" t="s">
        <v>895</v>
      </c>
      <c r="L411" s="12"/>
      <c r="M411" s="11"/>
      <c r="N411" s="11"/>
      <c r="O411" s="11"/>
      <c r="P411" s="11"/>
    </row>
    <row r="412" spans="1:16" hidden="1" x14ac:dyDescent="0.25">
      <c r="A412" s="695">
        <v>56231</v>
      </c>
      <c r="B412" s="558">
        <v>1012</v>
      </c>
      <c r="C412" s="693">
        <v>200</v>
      </c>
      <c r="D412" s="558">
        <v>1000</v>
      </c>
      <c r="F412" s="693" t="s">
        <v>1292</v>
      </c>
      <c r="G412" s="696">
        <v>304</v>
      </c>
      <c r="H412" s="12" t="s">
        <v>890</v>
      </c>
      <c r="I412" s="12" t="s">
        <v>897</v>
      </c>
      <c r="J412" s="12" t="s">
        <v>894</v>
      </c>
      <c r="K412" s="12" t="s">
        <v>895</v>
      </c>
      <c r="L412" s="12"/>
      <c r="M412" s="11"/>
      <c r="N412" s="11"/>
      <c r="O412" s="11"/>
      <c r="P412" s="11"/>
    </row>
    <row r="413" spans="1:16" hidden="1" x14ac:dyDescent="0.25">
      <c r="A413" s="695">
        <v>56231</v>
      </c>
      <c r="B413" s="558">
        <v>1012</v>
      </c>
      <c r="C413" s="693">
        <v>200</v>
      </c>
      <c r="D413" s="558">
        <v>2100</v>
      </c>
      <c r="F413" s="693" t="s">
        <v>1292</v>
      </c>
      <c r="G413" s="696">
        <v>344</v>
      </c>
      <c r="H413" s="12" t="s">
        <v>890</v>
      </c>
      <c r="I413" s="12" t="s">
        <v>897</v>
      </c>
      <c r="J413" s="12" t="s">
        <v>902</v>
      </c>
      <c r="K413" s="12" t="s">
        <v>895</v>
      </c>
      <c r="L413" s="12"/>
      <c r="M413" s="11"/>
      <c r="N413" s="11"/>
      <c r="O413" s="11"/>
      <c r="P413" s="11"/>
    </row>
    <row r="414" spans="1:16" hidden="1" x14ac:dyDescent="0.25">
      <c r="A414" s="695">
        <v>56231</v>
      </c>
      <c r="B414" s="558">
        <v>1012</v>
      </c>
      <c r="C414" s="693">
        <v>260</v>
      </c>
      <c r="D414" s="558">
        <v>1000</v>
      </c>
      <c r="F414" s="693" t="s">
        <v>1292</v>
      </c>
      <c r="G414" s="696">
        <v>100</v>
      </c>
      <c r="H414" s="12" t="s">
        <v>890</v>
      </c>
      <c r="I414" s="12" t="s">
        <v>901</v>
      </c>
      <c r="J414" s="12" t="s">
        <v>894</v>
      </c>
      <c r="K414" s="12" t="s">
        <v>895</v>
      </c>
      <c r="L414" s="12"/>
      <c r="M414" s="11"/>
      <c r="N414" s="11"/>
      <c r="O414" s="11"/>
      <c r="P414" s="11"/>
    </row>
    <row r="415" spans="1:16" hidden="1" x14ac:dyDescent="0.25">
      <c r="A415" s="695">
        <v>56231</v>
      </c>
      <c r="B415" s="558">
        <v>1190</v>
      </c>
      <c r="C415" s="693">
        <v>260</v>
      </c>
      <c r="D415" s="558">
        <v>1000</v>
      </c>
      <c r="F415" s="693" t="s">
        <v>1292</v>
      </c>
      <c r="G415" s="696">
        <v>302</v>
      </c>
      <c r="H415" s="12" t="s">
        <v>920</v>
      </c>
      <c r="I415" s="12" t="s">
        <v>901</v>
      </c>
      <c r="J415" s="12" t="s">
        <v>894</v>
      </c>
      <c r="K415" s="12" t="s">
        <v>895</v>
      </c>
      <c r="L415" s="12"/>
      <c r="M415" s="11"/>
      <c r="N415" s="11"/>
      <c r="O415" s="11"/>
      <c r="P415" s="11"/>
    </row>
    <row r="416" spans="1:16" hidden="1" x14ac:dyDescent="0.25">
      <c r="A416" s="695">
        <v>56231</v>
      </c>
      <c r="B416" s="558">
        <v>1220</v>
      </c>
      <c r="C416" s="693">
        <v>200</v>
      </c>
      <c r="D416" s="558">
        <v>2100</v>
      </c>
      <c r="F416" s="693" t="s">
        <v>1292</v>
      </c>
      <c r="G416" s="696">
        <v>818</v>
      </c>
      <c r="H416" s="12" t="s">
        <v>932</v>
      </c>
      <c r="I416" s="12" t="s">
        <v>897</v>
      </c>
      <c r="J416" s="12" t="s">
        <v>902</v>
      </c>
      <c r="K416" s="12" t="s">
        <v>895</v>
      </c>
      <c r="L416" s="12"/>
      <c r="M416" s="11"/>
      <c r="N416" s="11"/>
      <c r="O416" s="11"/>
      <c r="P416" s="11"/>
    </row>
    <row r="417" spans="1:16" hidden="1" x14ac:dyDescent="0.25">
      <c r="A417" s="695">
        <v>56231</v>
      </c>
      <c r="B417" s="558">
        <v>1227</v>
      </c>
      <c r="C417" s="693">
        <v>200</v>
      </c>
      <c r="D417" s="558">
        <v>2100</v>
      </c>
      <c r="F417" s="693" t="s">
        <v>1292</v>
      </c>
      <c r="G417" s="696">
        <v>161</v>
      </c>
      <c r="H417" s="12" t="s">
        <v>936</v>
      </c>
      <c r="I417" s="12" t="s">
        <v>897</v>
      </c>
      <c r="J417" s="12" t="s">
        <v>902</v>
      </c>
      <c r="K417" s="12" t="s">
        <v>895</v>
      </c>
      <c r="L417" s="12"/>
      <c r="M417" s="11"/>
      <c r="N417" s="11"/>
      <c r="O417" s="11"/>
      <c r="P417" s="11"/>
    </row>
    <row r="418" spans="1:16" hidden="1" x14ac:dyDescent="0.25">
      <c r="A418" s="695">
        <v>56231</v>
      </c>
      <c r="B418" s="558">
        <v>1319</v>
      </c>
      <c r="C418" s="693">
        <v>100</v>
      </c>
      <c r="D418" s="558">
        <v>1000</v>
      </c>
      <c r="F418" s="693" t="s">
        <v>1292</v>
      </c>
      <c r="G418" s="696">
        <v>0</v>
      </c>
      <c r="H418" s="12" t="s">
        <v>968</v>
      </c>
      <c r="I418" s="12" t="s">
        <v>893</v>
      </c>
      <c r="J418" s="12" t="s">
        <v>894</v>
      </c>
      <c r="K418" s="12" t="s">
        <v>895</v>
      </c>
      <c r="L418" s="12"/>
      <c r="M418" s="11"/>
      <c r="N418" s="11"/>
      <c r="O418" s="11"/>
      <c r="P418" s="11"/>
    </row>
    <row r="419" spans="1:16" hidden="1" x14ac:dyDescent="0.25">
      <c r="A419" s="695">
        <v>56231</v>
      </c>
      <c r="B419" s="558">
        <v>1319</v>
      </c>
      <c r="C419" s="693">
        <v>100</v>
      </c>
      <c r="D419" s="558">
        <v>2100</v>
      </c>
      <c r="F419" s="693" t="s">
        <v>1292</v>
      </c>
      <c r="G419" s="696">
        <v>0</v>
      </c>
      <c r="H419" s="12" t="s">
        <v>968</v>
      </c>
      <c r="I419" s="12" t="s">
        <v>893</v>
      </c>
      <c r="J419" s="12" t="s">
        <v>902</v>
      </c>
      <c r="K419" s="12" t="s">
        <v>895</v>
      </c>
      <c r="L419" s="12"/>
      <c r="M419" s="11"/>
      <c r="N419" s="11"/>
      <c r="O419" s="11"/>
      <c r="P419" s="11"/>
    </row>
    <row r="420" spans="1:16" hidden="1" x14ac:dyDescent="0.25">
      <c r="A420" s="695">
        <v>56231</v>
      </c>
      <c r="B420" s="558">
        <v>1321</v>
      </c>
      <c r="C420" s="693">
        <v>100</v>
      </c>
      <c r="D420" s="558">
        <v>1000</v>
      </c>
      <c r="F420" s="693" t="s">
        <v>1292</v>
      </c>
      <c r="G420" s="696">
        <v>25775</v>
      </c>
      <c r="H420" s="12" t="s">
        <v>968</v>
      </c>
      <c r="I420" s="12" t="s">
        <v>893</v>
      </c>
      <c r="J420" s="12" t="s">
        <v>894</v>
      </c>
      <c r="K420" s="12" t="s">
        <v>895</v>
      </c>
      <c r="L420" s="12"/>
      <c r="M420" s="11"/>
      <c r="N420" s="11"/>
      <c r="O420" s="11"/>
      <c r="P420" s="11"/>
    </row>
    <row r="421" spans="1:16" hidden="1" x14ac:dyDescent="0.25">
      <c r="A421" s="695">
        <v>56231</v>
      </c>
      <c r="B421" s="558">
        <v>1321</v>
      </c>
      <c r="C421" s="693">
        <v>100</v>
      </c>
      <c r="D421" s="558">
        <v>2100</v>
      </c>
      <c r="F421" s="693" t="s">
        <v>1292</v>
      </c>
      <c r="G421" s="696">
        <v>8917</v>
      </c>
      <c r="H421" s="12" t="s">
        <v>968</v>
      </c>
      <c r="I421" s="12" t="s">
        <v>893</v>
      </c>
      <c r="J421" s="12" t="s">
        <v>902</v>
      </c>
      <c r="K421" s="12" t="s">
        <v>895</v>
      </c>
      <c r="L421" s="12"/>
      <c r="M421" s="11"/>
      <c r="N421" s="11"/>
      <c r="O421" s="11"/>
      <c r="P421" s="11"/>
    </row>
    <row r="422" spans="1:16" hidden="1" x14ac:dyDescent="0.25">
      <c r="A422" s="695">
        <v>56231</v>
      </c>
      <c r="B422" s="558">
        <v>1321</v>
      </c>
      <c r="C422" s="693">
        <v>100</v>
      </c>
      <c r="D422" s="558">
        <v>2400</v>
      </c>
      <c r="F422" s="693" t="s">
        <v>1292</v>
      </c>
      <c r="G422" s="696">
        <v>1946</v>
      </c>
      <c r="H422" s="12" t="s">
        <v>968</v>
      </c>
      <c r="I422" s="12" t="s">
        <v>893</v>
      </c>
      <c r="J422" s="12" t="s">
        <v>922</v>
      </c>
      <c r="K422" s="12" t="s">
        <v>895</v>
      </c>
      <c r="L422" s="12"/>
      <c r="M422" s="11"/>
      <c r="N422" s="11"/>
      <c r="O422" s="11"/>
      <c r="P422" s="11"/>
    </row>
    <row r="423" spans="1:16" hidden="1" x14ac:dyDescent="0.25">
      <c r="A423" s="695">
        <v>56231</v>
      </c>
      <c r="B423" s="558">
        <v>1321</v>
      </c>
      <c r="C423" s="693">
        <v>200</v>
      </c>
      <c r="D423" s="558">
        <v>1000</v>
      </c>
      <c r="F423" s="693" t="s">
        <v>1292</v>
      </c>
      <c r="G423" s="696">
        <v>7030</v>
      </c>
      <c r="H423" s="12" t="s">
        <v>968</v>
      </c>
      <c r="I423" s="12" t="s">
        <v>897</v>
      </c>
      <c r="J423" s="12" t="s">
        <v>894</v>
      </c>
      <c r="K423" s="12" t="s">
        <v>895</v>
      </c>
      <c r="L423" s="12"/>
      <c r="M423" s="11"/>
      <c r="N423" s="11"/>
      <c r="O423" s="11"/>
      <c r="P423" s="11"/>
    </row>
    <row r="424" spans="1:16" hidden="1" x14ac:dyDescent="0.25">
      <c r="A424" s="695">
        <v>56231</v>
      </c>
      <c r="B424" s="558">
        <v>1321</v>
      </c>
      <c r="C424" s="693">
        <v>200</v>
      </c>
      <c r="D424" s="558">
        <v>2100</v>
      </c>
      <c r="F424" s="693" t="s">
        <v>1292</v>
      </c>
      <c r="G424" s="696">
        <v>2948</v>
      </c>
      <c r="H424" s="12" t="s">
        <v>968</v>
      </c>
      <c r="I424" s="12" t="s">
        <v>897</v>
      </c>
      <c r="J424" s="12" t="s">
        <v>902</v>
      </c>
      <c r="K424" s="12" t="s">
        <v>895</v>
      </c>
      <c r="L424" s="12"/>
      <c r="M424" s="11"/>
      <c r="N424" s="11"/>
      <c r="O424" s="11"/>
      <c r="P424" s="11"/>
    </row>
    <row r="425" spans="1:16" hidden="1" x14ac:dyDescent="0.25">
      <c r="A425" s="695">
        <v>56231</v>
      </c>
      <c r="B425" s="558">
        <v>1321</v>
      </c>
      <c r="C425" s="693">
        <v>200</v>
      </c>
      <c r="D425" s="558">
        <v>2200</v>
      </c>
      <c r="F425" s="693" t="s">
        <v>1292</v>
      </c>
      <c r="G425" s="696">
        <v>65</v>
      </c>
      <c r="H425" s="12" t="s">
        <v>968</v>
      </c>
      <c r="I425" s="12" t="s">
        <v>897</v>
      </c>
      <c r="J425" s="12" t="s">
        <v>906</v>
      </c>
      <c r="K425" s="12" t="s">
        <v>895</v>
      </c>
      <c r="L425" s="12"/>
      <c r="M425" s="11"/>
      <c r="N425" s="11"/>
      <c r="O425" s="11"/>
      <c r="P425" s="11"/>
    </row>
    <row r="426" spans="1:16" hidden="1" x14ac:dyDescent="0.25">
      <c r="A426" s="695">
        <v>56231</v>
      </c>
      <c r="B426" s="558">
        <v>1322</v>
      </c>
      <c r="C426" s="693">
        <v>100</v>
      </c>
      <c r="D426" s="558">
        <v>2500</v>
      </c>
      <c r="F426" s="693" t="s">
        <v>1292</v>
      </c>
      <c r="G426" s="696">
        <v>0</v>
      </c>
      <c r="H426" s="12" t="s">
        <v>968</v>
      </c>
      <c r="I426" s="12" t="s">
        <v>893</v>
      </c>
      <c r="J426" s="12" t="s">
        <v>926</v>
      </c>
      <c r="K426" s="12" t="s">
        <v>895</v>
      </c>
      <c r="L426" s="12"/>
      <c r="M426" s="11"/>
      <c r="N426" s="11"/>
      <c r="O426" s="11"/>
      <c r="P426" s="11"/>
    </row>
    <row r="427" spans="1:16" hidden="1" x14ac:dyDescent="0.25">
      <c r="A427" s="695">
        <v>56231</v>
      </c>
      <c r="B427" s="558">
        <v>1487</v>
      </c>
      <c r="C427" s="693">
        <v>100</v>
      </c>
      <c r="D427" s="558">
        <v>2100</v>
      </c>
      <c r="F427" s="693" t="s">
        <v>1292</v>
      </c>
      <c r="G427" s="696">
        <v>6207</v>
      </c>
      <c r="H427" s="12" t="s">
        <v>995</v>
      </c>
      <c r="I427" s="12" t="s">
        <v>893</v>
      </c>
      <c r="J427" s="12" t="s">
        <v>902</v>
      </c>
      <c r="K427" s="12" t="s">
        <v>895</v>
      </c>
      <c r="L427" s="12"/>
      <c r="M427" s="11"/>
      <c r="N427" s="11"/>
      <c r="O427" s="11"/>
      <c r="P427" s="11"/>
    </row>
    <row r="428" spans="1:16" x14ac:dyDescent="0.25">
      <c r="A428" s="695">
        <v>56231</v>
      </c>
      <c r="B428" s="558">
        <v>1534</v>
      </c>
      <c r="C428" s="693">
        <v>100</v>
      </c>
      <c r="D428" s="558">
        <v>2700</v>
      </c>
      <c r="F428" s="693" t="s">
        <v>1292</v>
      </c>
      <c r="G428" s="696">
        <v>7</v>
      </c>
      <c r="H428" s="12" t="s">
        <v>997</v>
      </c>
      <c r="I428" s="12" t="s">
        <v>913</v>
      </c>
      <c r="J428" s="12" t="s">
        <v>934</v>
      </c>
      <c r="K428" s="12" t="s">
        <v>895</v>
      </c>
      <c r="L428" s="12"/>
      <c r="M428" s="11"/>
      <c r="N428" s="11"/>
      <c r="O428" s="11"/>
      <c r="P428" s="11"/>
    </row>
    <row r="429" spans="1:16" hidden="1" x14ac:dyDescent="0.25">
      <c r="A429" s="695">
        <v>56231</v>
      </c>
      <c r="B429" s="558">
        <v>1534</v>
      </c>
      <c r="C429" s="693">
        <v>400</v>
      </c>
      <c r="D429" s="558">
        <v>2700</v>
      </c>
      <c r="F429" s="693" t="s">
        <v>1292</v>
      </c>
      <c r="G429" s="696">
        <v>624</v>
      </c>
      <c r="H429" s="12" t="s">
        <v>997</v>
      </c>
      <c r="I429" s="12" t="s">
        <v>913</v>
      </c>
      <c r="J429" s="12" t="s">
        <v>934</v>
      </c>
      <c r="K429" s="12" t="s">
        <v>895</v>
      </c>
      <c r="L429" s="12"/>
      <c r="M429" s="11"/>
      <c r="N429" s="11"/>
      <c r="O429" s="11"/>
      <c r="P429" s="11"/>
    </row>
    <row r="430" spans="1:16" hidden="1" x14ac:dyDescent="0.25">
      <c r="A430" s="695">
        <v>56231</v>
      </c>
      <c r="B430" s="558" t="s">
        <v>1247</v>
      </c>
      <c r="C430" s="693">
        <v>100</v>
      </c>
      <c r="D430" s="558">
        <v>1000</v>
      </c>
      <c r="F430" s="693" t="s">
        <v>1292</v>
      </c>
      <c r="G430" s="696">
        <v>281</v>
      </c>
      <c r="H430" s="12" t="s">
        <v>904</v>
      </c>
      <c r="I430" s="12" t="s">
        <v>893</v>
      </c>
      <c r="J430" s="12" t="s">
        <v>894</v>
      </c>
      <c r="K430" s="12" t="s">
        <v>895</v>
      </c>
      <c r="L430" s="12"/>
      <c r="M430" s="11"/>
      <c r="N430" s="11"/>
      <c r="O430" s="11"/>
      <c r="P430" s="11"/>
    </row>
    <row r="431" spans="1:16" hidden="1" x14ac:dyDescent="0.25">
      <c r="A431" s="695">
        <v>56231</v>
      </c>
      <c r="B431" s="558" t="s">
        <v>1248</v>
      </c>
      <c r="C431" s="693">
        <v>100</v>
      </c>
      <c r="D431" s="558">
        <v>1000</v>
      </c>
      <c r="F431" s="693" t="s">
        <v>1292</v>
      </c>
      <c r="G431" s="696">
        <v>5403</v>
      </c>
      <c r="H431" s="12" t="s">
        <v>904</v>
      </c>
      <c r="I431" s="12" t="s">
        <v>893</v>
      </c>
      <c r="J431" s="12" t="s">
        <v>894</v>
      </c>
      <c r="K431" s="12" t="s">
        <v>895</v>
      </c>
      <c r="L431" s="12"/>
      <c r="M431" s="11"/>
      <c r="N431" s="11"/>
      <c r="O431" s="11"/>
      <c r="P431" s="11"/>
    </row>
    <row r="432" spans="1:16" hidden="1" x14ac:dyDescent="0.25">
      <c r="A432" s="695">
        <v>56231</v>
      </c>
      <c r="B432" s="558" t="s">
        <v>1248</v>
      </c>
      <c r="C432" s="693">
        <v>260</v>
      </c>
      <c r="D432" s="558">
        <v>1000</v>
      </c>
      <c r="F432" s="693" t="s">
        <v>1292</v>
      </c>
      <c r="G432" s="696">
        <v>2196</v>
      </c>
      <c r="H432" s="12" t="s">
        <v>904</v>
      </c>
      <c r="I432" s="12" t="s">
        <v>901</v>
      </c>
      <c r="J432" s="12" t="s">
        <v>894</v>
      </c>
      <c r="K432" s="12" t="s">
        <v>895</v>
      </c>
      <c r="L432" s="12"/>
      <c r="M432" s="11"/>
      <c r="N432" s="11"/>
      <c r="O432" s="11"/>
      <c r="P432" s="11"/>
    </row>
    <row r="433" spans="1:16" hidden="1" x14ac:dyDescent="0.25">
      <c r="A433" s="694">
        <v>56231</v>
      </c>
      <c r="B433" s="558" t="s">
        <v>1249</v>
      </c>
      <c r="C433" s="693">
        <v>100</v>
      </c>
      <c r="D433" s="558">
        <v>3100</v>
      </c>
      <c r="F433" s="693" t="s">
        <v>1292</v>
      </c>
      <c r="G433" s="696">
        <v>683</v>
      </c>
      <c r="H433" s="12" t="s">
        <v>997</v>
      </c>
      <c r="I433" s="12" t="s">
        <v>893</v>
      </c>
      <c r="J433" s="12" t="s">
        <v>942</v>
      </c>
      <c r="K433" s="12" t="s">
        <v>895</v>
      </c>
      <c r="L433" s="12"/>
      <c r="M433" s="11"/>
      <c r="N433" s="11"/>
      <c r="O433" s="11"/>
      <c r="P433" s="11"/>
    </row>
    <row r="434" spans="1:16" hidden="1" x14ac:dyDescent="0.25">
      <c r="A434" s="695">
        <v>56232</v>
      </c>
      <c r="B434" s="558">
        <v>1000</v>
      </c>
      <c r="C434" s="693">
        <v>100</v>
      </c>
      <c r="D434" s="558">
        <v>1000</v>
      </c>
      <c r="F434" s="693" t="s">
        <v>1293</v>
      </c>
      <c r="G434" s="696">
        <v>22</v>
      </c>
      <c r="H434" s="12" t="s">
        <v>889</v>
      </c>
      <c r="I434" s="12" t="s">
        <v>893</v>
      </c>
      <c r="J434" s="12" t="s">
        <v>894</v>
      </c>
      <c r="K434" s="12" t="s">
        <v>895</v>
      </c>
      <c r="L434" s="12"/>
      <c r="M434" s="11"/>
      <c r="N434" s="11"/>
      <c r="O434" s="11"/>
      <c r="P434" s="11"/>
    </row>
    <row r="435" spans="1:16" hidden="1" x14ac:dyDescent="0.25">
      <c r="A435" s="695">
        <v>56232</v>
      </c>
      <c r="B435" s="558">
        <v>1000</v>
      </c>
      <c r="C435" s="693">
        <v>100</v>
      </c>
      <c r="D435" s="558">
        <v>2100</v>
      </c>
      <c r="F435" s="693" t="s">
        <v>1293</v>
      </c>
      <c r="G435" s="696">
        <v>16</v>
      </c>
      <c r="H435" s="12" t="s">
        <v>889</v>
      </c>
      <c r="I435" s="12" t="s">
        <v>893</v>
      </c>
      <c r="J435" s="12" t="s">
        <v>902</v>
      </c>
      <c r="K435" s="12" t="s">
        <v>895</v>
      </c>
      <c r="L435" s="12"/>
      <c r="M435" s="11"/>
      <c r="N435" s="11"/>
      <c r="O435" s="11"/>
      <c r="P435" s="11"/>
    </row>
    <row r="436" spans="1:16" hidden="1" x14ac:dyDescent="0.25">
      <c r="A436" s="695">
        <v>56232</v>
      </c>
      <c r="B436" s="558">
        <v>1000</v>
      </c>
      <c r="C436" s="693">
        <v>100</v>
      </c>
      <c r="D436" s="558">
        <v>2110</v>
      </c>
      <c r="F436" s="693" t="s">
        <v>1293</v>
      </c>
      <c r="G436" s="696">
        <v>2</v>
      </c>
      <c r="H436" s="12" t="s">
        <v>889</v>
      </c>
      <c r="I436" s="12" t="s">
        <v>893</v>
      </c>
      <c r="J436" s="12" t="s">
        <v>902</v>
      </c>
      <c r="K436" s="12" t="s">
        <v>895</v>
      </c>
      <c r="L436" s="12"/>
      <c r="M436" s="11"/>
      <c r="N436" s="11"/>
      <c r="O436" s="11"/>
      <c r="P436" s="11"/>
    </row>
    <row r="437" spans="1:16" hidden="1" x14ac:dyDescent="0.25">
      <c r="A437" s="695">
        <v>56232</v>
      </c>
      <c r="B437" s="558">
        <v>1000</v>
      </c>
      <c r="C437" s="693">
        <v>100</v>
      </c>
      <c r="D437" s="558">
        <v>2200</v>
      </c>
      <c r="F437" s="693" t="s">
        <v>1293</v>
      </c>
      <c r="G437" s="696">
        <v>6</v>
      </c>
      <c r="H437" s="12" t="s">
        <v>889</v>
      </c>
      <c r="I437" s="12" t="s">
        <v>893</v>
      </c>
      <c r="J437" s="12" t="s">
        <v>906</v>
      </c>
      <c r="K437" s="12" t="s">
        <v>895</v>
      </c>
      <c r="L437" s="12"/>
      <c r="M437" s="11"/>
      <c r="N437" s="11"/>
      <c r="O437" s="11"/>
      <c r="P437" s="11"/>
    </row>
    <row r="438" spans="1:16" hidden="1" x14ac:dyDescent="0.25">
      <c r="A438" s="695">
        <v>56232</v>
      </c>
      <c r="B438" s="558">
        <v>1000</v>
      </c>
      <c r="C438" s="693">
        <v>100</v>
      </c>
      <c r="D438" s="558">
        <v>2300</v>
      </c>
      <c r="F438" s="693" t="s">
        <v>1293</v>
      </c>
      <c r="G438" s="696">
        <v>2</v>
      </c>
      <c r="H438" s="12" t="s">
        <v>889</v>
      </c>
      <c r="I438" s="12" t="s">
        <v>893</v>
      </c>
      <c r="J438" s="12" t="s">
        <v>918</v>
      </c>
      <c r="K438" s="12" t="s">
        <v>895</v>
      </c>
      <c r="L438" s="12"/>
      <c r="M438" s="11"/>
      <c r="N438" s="11"/>
      <c r="O438" s="11"/>
      <c r="P438" s="11"/>
    </row>
    <row r="439" spans="1:16" hidden="1" x14ac:dyDescent="0.25">
      <c r="A439" s="695">
        <v>56232</v>
      </c>
      <c r="B439" s="558">
        <v>1000</v>
      </c>
      <c r="C439" s="693">
        <v>100</v>
      </c>
      <c r="D439" s="558">
        <v>2310</v>
      </c>
      <c r="F439" s="693" t="s">
        <v>1293</v>
      </c>
      <c r="G439" s="696">
        <v>3</v>
      </c>
      <c r="H439" s="12" t="s">
        <v>889</v>
      </c>
      <c r="I439" s="12" t="s">
        <v>893</v>
      </c>
      <c r="J439" s="12" t="s">
        <v>918</v>
      </c>
      <c r="K439" s="12" t="s">
        <v>895</v>
      </c>
      <c r="L439" s="12"/>
      <c r="M439" s="11"/>
      <c r="N439" s="11"/>
      <c r="O439" s="11"/>
      <c r="P439" s="11"/>
    </row>
    <row r="440" spans="1:16" hidden="1" x14ac:dyDescent="0.25">
      <c r="A440" s="695">
        <v>56232</v>
      </c>
      <c r="B440" s="558">
        <v>1000</v>
      </c>
      <c r="C440" s="693">
        <v>100</v>
      </c>
      <c r="D440" s="558">
        <v>2400</v>
      </c>
      <c r="F440" s="693" t="s">
        <v>1293</v>
      </c>
      <c r="G440" s="696">
        <v>47</v>
      </c>
      <c r="H440" s="12" t="s">
        <v>889</v>
      </c>
      <c r="I440" s="12" t="s">
        <v>893</v>
      </c>
      <c r="J440" s="12" t="s">
        <v>922</v>
      </c>
      <c r="K440" s="12" t="s">
        <v>895</v>
      </c>
      <c r="L440" s="12"/>
      <c r="M440" s="11"/>
      <c r="N440" s="11"/>
      <c r="O440" s="11"/>
      <c r="P440" s="11"/>
    </row>
    <row r="441" spans="1:16" hidden="1" x14ac:dyDescent="0.25">
      <c r="A441" s="695">
        <v>56232</v>
      </c>
      <c r="B441" s="558">
        <v>1000</v>
      </c>
      <c r="C441" s="693">
        <v>100</v>
      </c>
      <c r="D441" s="558">
        <v>2410</v>
      </c>
      <c r="F441" s="693" t="s">
        <v>1293</v>
      </c>
      <c r="G441" s="696">
        <v>74</v>
      </c>
      <c r="H441" s="12" t="s">
        <v>889</v>
      </c>
      <c r="I441" s="12" t="s">
        <v>893</v>
      </c>
      <c r="J441" s="12" t="s">
        <v>922</v>
      </c>
      <c r="K441" s="12" t="s">
        <v>895</v>
      </c>
      <c r="L441" s="12"/>
      <c r="M441" s="11"/>
      <c r="N441" s="11"/>
      <c r="O441" s="11"/>
      <c r="P441" s="11"/>
    </row>
    <row r="442" spans="1:16" hidden="1" x14ac:dyDescent="0.25">
      <c r="A442" s="695">
        <v>56232</v>
      </c>
      <c r="B442" s="558">
        <v>1000</v>
      </c>
      <c r="C442" s="693">
        <v>100</v>
      </c>
      <c r="D442" s="558">
        <v>2500</v>
      </c>
      <c r="F442" s="693" t="s">
        <v>1293</v>
      </c>
      <c r="G442" s="696">
        <v>73</v>
      </c>
      <c r="H442" s="12" t="s">
        <v>889</v>
      </c>
      <c r="I442" s="12" t="s">
        <v>893</v>
      </c>
      <c r="J442" s="12" t="s">
        <v>926</v>
      </c>
      <c r="K442" s="12" t="s">
        <v>895</v>
      </c>
      <c r="L442" s="12"/>
      <c r="M442" s="11"/>
      <c r="N442" s="11"/>
      <c r="O442" s="11"/>
      <c r="P442" s="11"/>
    </row>
    <row r="443" spans="1:16" hidden="1" x14ac:dyDescent="0.25">
      <c r="A443" s="695">
        <v>56232</v>
      </c>
      <c r="B443" s="558">
        <v>1000</v>
      </c>
      <c r="C443" s="693">
        <v>100</v>
      </c>
      <c r="D443" s="558">
        <v>2510</v>
      </c>
      <c r="F443" s="693" t="s">
        <v>1293</v>
      </c>
      <c r="G443" s="696">
        <v>2</v>
      </c>
      <c r="H443" s="12" t="s">
        <v>889</v>
      </c>
      <c r="I443" s="12" t="s">
        <v>893</v>
      </c>
      <c r="J443" s="12" t="s">
        <v>926</v>
      </c>
      <c r="K443" s="12" t="s">
        <v>895</v>
      </c>
      <c r="L443" s="12"/>
      <c r="M443" s="11"/>
      <c r="N443" s="11"/>
      <c r="O443" s="11"/>
      <c r="P443" s="11"/>
    </row>
    <row r="444" spans="1:16" hidden="1" x14ac:dyDescent="0.25">
      <c r="A444" s="695">
        <v>56232</v>
      </c>
      <c r="B444" s="558">
        <v>1000</v>
      </c>
      <c r="C444" s="693">
        <v>100</v>
      </c>
      <c r="D444" s="558">
        <v>2520</v>
      </c>
      <c r="F444" s="693" t="s">
        <v>1293</v>
      </c>
      <c r="G444" s="696">
        <v>2</v>
      </c>
      <c r="H444" s="12" t="s">
        <v>889</v>
      </c>
      <c r="I444" s="12" t="s">
        <v>893</v>
      </c>
      <c r="J444" s="12" t="s">
        <v>926</v>
      </c>
      <c r="K444" s="12" t="s">
        <v>895</v>
      </c>
      <c r="L444" s="12"/>
      <c r="M444" s="11"/>
      <c r="N444" s="11"/>
      <c r="O444" s="11"/>
      <c r="P444" s="11"/>
    </row>
    <row r="445" spans="1:16" hidden="1" x14ac:dyDescent="0.25">
      <c r="A445" s="695">
        <v>56232</v>
      </c>
      <c r="B445" s="558">
        <v>1000</v>
      </c>
      <c r="C445" s="693">
        <v>100</v>
      </c>
      <c r="D445" s="558">
        <v>2600</v>
      </c>
      <c r="F445" s="693" t="s">
        <v>1293</v>
      </c>
      <c r="G445" s="696">
        <v>61</v>
      </c>
      <c r="H445" s="12" t="s">
        <v>889</v>
      </c>
      <c r="I445" s="12" t="s">
        <v>893</v>
      </c>
      <c r="J445" s="12" t="s">
        <v>930</v>
      </c>
      <c r="K445" s="12" t="s">
        <v>895</v>
      </c>
      <c r="L445" s="12"/>
      <c r="M445" s="11"/>
      <c r="N445" s="11"/>
      <c r="O445" s="11"/>
      <c r="P445" s="11"/>
    </row>
    <row r="446" spans="1:16" hidden="1" x14ac:dyDescent="0.25">
      <c r="A446" s="695">
        <v>56232</v>
      </c>
      <c r="B446" s="558">
        <v>1000</v>
      </c>
      <c r="C446" s="693">
        <v>100</v>
      </c>
      <c r="D446" s="558">
        <v>3100</v>
      </c>
      <c r="F446" s="693" t="s">
        <v>1293</v>
      </c>
      <c r="G446" s="696">
        <v>0</v>
      </c>
      <c r="H446" s="12" t="s">
        <v>889</v>
      </c>
      <c r="I446" s="12" t="s">
        <v>893</v>
      </c>
      <c r="J446" s="12" t="s">
        <v>942</v>
      </c>
      <c r="K446" s="12" t="s">
        <v>895</v>
      </c>
      <c r="L446" s="12"/>
      <c r="M446" s="11"/>
      <c r="N446" s="11"/>
      <c r="O446" s="11"/>
      <c r="P446" s="11"/>
    </row>
    <row r="447" spans="1:16" hidden="1" x14ac:dyDescent="0.25">
      <c r="A447" s="695">
        <v>56232</v>
      </c>
      <c r="B447" s="558">
        <v>1000</v>
      </c>
      <c r="C447" s="693">
        <v>200</v>
      </c>
      <c r="D447" s="558">
        <v>1000</v>
      </c>
      <c r="F447" s="693" t="s">
        <v>1293</v>
      </c>
      <c r="G447" s="696">
        <v>2</v>
      </c>
      <c r="H447" s="12" t="s">
        <v>889</v>
      </c>
      <c r="I447" s="12" t="s">
        <v>897</v>
      </c>
      <c r="J447" s="12" t="s">
        <v>894</v>
      </c>
      <c r="K447" s="12" t="s">
        <v>895</v>
      </c>
      <c r="L447" s="12"/>
      <c r="M447" s="11"/>
      <c r="N447" s="11"/>
      <c r="O447" s="11"/>
      <c r="P447" s="11"/>
    </row>
    <row r="448" spans="1:16" hidden="1" x14ac:dyDescent="0.25">
      <c r="A448" s="695">
        <v>56232</v>
      </c>
      <c r="B448" s="558">
        <v>1000</v>
      </c>
      <c r="C448" s="693">
        <v>200</v>
      </c>
      <c r="D448" s="558">
        <v>2100</v>
      </c>
      <c r="F448" s="693" t="s">
        <v>1293</v>
      </c>
      <c r="G448" s="696">
        <v>118</v>
      </c>
      <c r="H448" s="12" t="s">
        <v>889</v>
      </c>
      <c r="I448" s="12" t="s">
        <v>897</v>
      </c>
      <c r="J448" s="12" t="s">
        <v>902</v>
      </c>
      <c r="K448" s="12" t="s">
        <v>895</v>
      </c>
      <c r="L448" s="12"/>
      <c r="M448" s="11"/>
      <c r="N448" s="11"/>
      <c r="O448" s="11"/>
      <c r="P448" s="11"/>
    </row>
    <row r="449" spans="1:16" hidden="1" x14ac:dyDescent="0.25">
      <c r="A449" s="695">
        <v>56232</v>
      </c>
      <c r="B449" s="558">
        <v>1000</v>
      </c>
      <c r="C449" s="693">
        <v>200</v>
      </c>
      <c r="D449" s="558">
        <v>2200</v>
      </c>
      <c r="F449" s="693" t="s">
        <v>1293</v>
      </c>
      <c r="G449" s="696">
        <v>1</v>
      </c>
      <c r="H449" s="12" t="s">
        <v>889</v>
      </c>
      <c r="I449" s="12" t="s">
        <v>897</v>
      </c>
      <c r="J449" s="12" t="s">
        <v>906</v>
      </c>
      <c r="K449" s="12" t="s">
        <v>895</v>
      </c>
      <c r="L449" s="12"/>
      <c r="M449" s="11"/>
      <c r="N449" s="11"/>
      <c r="O449" s="11"/>
      <c r="P449" s="11"/>
    </row>
    <row r="450" spans="1:16" hidden="1" x14ac:dyDescent="0.25">
      <c r="A450" s="695">
        <v>56232</v>
      </c>
      <c r="B450" s="558">
        <v>1000</v>
      </c>
      <c r="C450" s="693">
        <v>240</v>
      </c>
      <c r="D450" s="558">
        <v>1000</v>
      </c>
      <c r="F450" s="693" t="s">
        <v>1293</v>
      </c>
      <c r="G450" s="696">
        <v>1</v>
      </c>
      <c r="H450" s="12" t="s">
        <v>889</v>
      </c>
      <c r="I450" s="12" t="s">
        <v>897</v>
      </c>
      <c r="J450" s="12" t="s">
        <v>894</v>
      </c>
      <c r="K450" s="12" t="s">
        <v>895</v>
      </c>
      <c r="L450" s="12"/>
      <c r="M450" s="11"/>
      <c r="N450" s="11"/>
      <c r="O450" s="11"/>
      <c r="P450" s="11"/>
    </row>
    <row r="451" spans="1:16" hidden="1" x14ac:dyDescent="0.25">
      <c r="A451" s="695">
        <v>56232</v>
      </c>
      <c r="B451" s="558">
        <v>1000</v>
      </c>
      <c r="C451" s="693">
        <v>260</v>
      </c>
      <c r="D451" s="558">
        <v>1000</v>
      </c>
      <c r="F451" s="693" t="s">
        <v>1293</v>
      </c>
      <c r="G451" s="696">
        <v>1</v>
      </c>
      <c r="H451" s="12" t="s">
        <v>889</v>
      </c>
      <c r="I451" s="12" t="s">
        <v>901</v>
      </c>
      <c r="J451" s="12" t="s">
        <v>894</v>
      </c>
      <c r="K451" s="12" t="s">
        <v>895</v>
      </c>
      <c r="L451" s="12"/>
      <c r="M451" s="11"/>
      <c r="N451" s="11"/>
      <c r="O451" s="11"/>
      <c r="P451" s="11"/>
    </row>
    <row r="452" spans="1:16" hidden="1" x14ac:dyDescent="0.25">
      <c r="A452" s="695">
        <v>56232</v>
      </c>
      <c r="B452" s="558">
        <v>1000</v>
      </c>
      <c r="C452" s="693">
        <v>400</v>
      </c>
      <c r="D452" s="558">
        <v>2700</v>
      </c>
      <c r="F452" s="693" t="s">
        <v>1293</v>
      </c>
      <c r="G452" s="696">
        <v>0</v>
      </c>
      <c r="H452" s="12" t="s">
        <v>889</v>
      </c>
      <c r="I452" s="12" t="s">
        <v>913</v>
      </c>
      <c r="J452" s="12" t="s">
        <v>934</v>
      </c>
      <c r="K452" s="12" t="s">
        <v>895</v>
      </c>
      <c r="L452" s="12"/>
      <c r="M452" s="11"/>
      <c r="N452" s="11"/>
      <c r="O452" s="11"/>
      <c r="P452" s="11"/>
    </row>
    <row r="453" spans="1:16" hidden="1" x14ac:dyDescent="0.25">
      <c r="A453" s="695">
        <v>56232</v>
      </c>
      <c r="B453" s="558">
        <v>1000</v>
      </c>
      <c r="C453" s="693">
        <v>550</v>
      </c>
      <c r="D453" s="558">
        <v>1000</v>
      </c>
      <c r="F453" s="693" t="s">
        <v>1293</v>
      </c>
      <c r="G453" s="696">
        <v>7</v>
      </c>
      <c r="H453" s="12" t="s">
        <v>889</v>
      </c>
      <c r="I453" s="12" t="s">
        <v>933</v>
      </c>
      <c r="J453" s="12" t="s">
        <v>894</v>
      </c>
      <c r="K453" s="12" t="s">
        <v>895</v>
      </c>
      <c r="L453" s="12"/>
      <c r="M453" s="11"/>
      <c r="N453" s="11"/>
      <c r="O453" s="11"/>
      <c r="P453" s="11"/>
    </row>
    <row r="454" spans="1:16" hidden="1" x14ac:dyDescent="0.25">
      <c r="A454" s="695">
        <v>56232</v>
      </c>
      <c r="B454" s="558">
        <v>1000</v>
      </c>
      <c r="C454" s="693">
        <v>615</v>
      </c>
      <c r="D454" s="558">
        <v>1000</v>
      </c>
      <c r="F454" s="693" t="s">
        <v>1293</v>
      </c>
      <c r="G454" s="696">
        <v>0</v>
      </c>
      <c r="H454" s="12" t="s">
        <v>889</v>
      </c>
      <c r="I454" s="12" t="s">
        <v>937</v>
      </c>
      <c r="J454" s="12" t="s">
        <v>894</v>
      </c>
      <c r="K454" s="12" t="s">
        <v>895</v>
      </c>
      <c r="L454" s="12"/>
      <c r="M454" s="11"/>
      <c r="N454" s="11"/>
      <c r="O454" s="11"/>
      <c r="P454" s="11"/>
    </row>
    <row r="455" spans="1:16" hidden="1" x14ac:dyDescent="0.25">
      <c r="A455" s="695">
        <v>56232</v>
      </c>
      <c r="B455" s="558">
        <v>1012</v>
      </c>
      <c r="C455" s="693">
        <v>100</v>
      </c>
      <c r="D455" s="558">
        <v>1000</v>
      </c>
      <c r="F455" s="693" t="s">
        <v>1293</v>
      </c>
      <c r="G455" s="696">
        <v>43</v>
      </c>
      <c r="H455" s="12" t="s">
        <v>890</v>
      </c>
      <c r="I455" s="12" t="s">
        <v>893</v>
      </c>
      <c r="J455" s="12" t="s">
        <v>894</v>
      </c>
      <c r="K455" s="12" t="s">
        <v>895</v>
      </c>
      <c r="L455" s="12"/>
      <c r="M455" s="11"/>
      <c r="N455" s="11"/>
      <c r="O455" s="11"/>
      <c r="P455" s="11"/>
    </row>
    <row r="456" spans="1:16" hidden="1" x14ac:dyDescent="0.25">
      <c r="A456" s="695">
        <v>56232</v>
      </c>
      <c r="B456" s="558">
        <v>1012</v>
      </c>
      <c r="C456" s="693">
        <v>100</v>
      </c>
      <c r="D456" s="558">
        <v>2100</v>
      </c>
      <c r="F456" s="693" t="s">
        <v>1293</v>
      </c>
      <c r="G456" s="696">
        <v>11</v>
      </c>
      <c r="H456" s="12" t="s">
        <v>890</v>
      </c>
      <c r="I456" s="12" t="s">
        <v>893</v>
      </c>
      <c r="J456" s="12" t="s">
        <v>902</v>
      </c>
      <c r="K456" s="12" t="s">
        <v>895</v>
      </c>
      <c r="L456" s="12"/>
      <c r="M456" s="11"/>
      <c r="N456" s="11"/>
      <c r="O456" s="11"/>
      <c r="P456" s="11"/>
    </row>
    <row r="457" spans="1:16" hidden="1" x14ac:dyDescent="0.25">
      <c r="A457" s="695">
        <v>56232</v>
      </c>
      <c r="B457" s="558">
        <v>1012</v>
      </c>
      <c r="C457" s="693">
        <v>200</v>
      </c>
      <c r="D457" s="558">
        <v>1000</v>
      </c>
      <c r="F457" s="693" t="s">
        <v>1293</v>
      </c>
      <c r="G457" s="696">
        <v>4</v>
      </c>
      <c r="H457" s="12" t="s">
        <v>890</v>
      </c>
      <c r="I457" s="12" t="s">
        <v>897</v>
      </c>
      <c r="J457" s="12" t="s">
        <v>894</v>
      </c>
      <c r="K457" s="12" t="s">
        <v>895</v>
      </c>
      <c r="L457" s="12"/>
      <c r="M457" s="11"/>
      <c r="N457" s="11"/>
      <c r="O457" s="11"/>
      <c r="P457" s="11"/>
    </row>
    <row r="458" spans="1:16" hidden="1" x14ac:dyDescent="0.25">
      <c r="A458" s="695">
        <v>56232</v>
      </c>
      <c r="B458" s="558">
        <v>1012</v>
      </c>
      <c r="C458" s="693">
        <v>200</v>
      </c>
      <c r="D458" s="558">
        <v>2100</v>
      </c>
      <c r="F458" s="693" t="s">
        <v>1293</v>
      </c>
      <c r="G458" s="696">
        <v>4</v>
      </c>
      <c r="H458" s="12" t="s">
        <v>890</v>
      </c>
      <c r="I458" s="12" t="s">
        <v>897</v>
      </c>
      <c r="J458" s="12" t="s">
        <v>902</v>
      </c>
      <c r="K458" s="12" t="s">
        <v>895</v>
      </c>
      <c r="L458" s="12"/>
      <c r="M458" s="11"/>
      <c r="N458" s="11"/>
      <c r="O458" s="11"/>
      <c r="P458" s="11"/>
    </row>
    <row r="459" spans="1:16" hidden="1" x14ac:dyDescent="0.25">
      <c r="A459" s="695">
        <v>56232</v>
      </c>
      <c r="B459" s="558">
        <v>1012</v>
      </c>
      <c r="C459" s="693">
        <v>260</v>
      </c>
      <c r="D459" s="558">
        <v>1000</v>
      </c>
      <c r="F459" s="693" t="s">
        <v>1293</v>
      </c>
      <c r="G459" s="696">
        <v>1</v>
      </c>
      <c r="H459" s="12" t="s">
        <v>890</v>
      </c>
      <c r="I459" s="12" t="s">
        <v>901</v>
      </c>
      <c r="J459" s="12" t="s">
        <v>894</v>
      </c>
      <c r="K459" s="12" t="s">
        <v>895</v>
      </c>
      <c r="L459" s="12"/>
      <c r="M459" s="11"/>
      <c r="N459" s="11"/>
      <c r="O459" s="11"/>
      <c r="P459" s="11"/>
    </row>
    <row r="460" spans="1:16" hidden="1" x14ac:dyDescent="0.25">
      <c r="A460" s="695">
        <v>56232</v>
      </c>
      <c r="B460" s="558">
        <v>1190</v>
      </c>
      <c r="C460" s="693">
        <v>260</v>
      </c>
      <c r="D460" s="558">
        <v>1000</v>
      </c>
      <c r="F460" s="693" t="s">
        <v>1293</v>
      </c>
      <c r="G460" s="696">
        <v>19</v>
      </c>
      <c r="H460" s="12" t="s">
        <v>920</v>
      </c>
      <c r="I460" s="12" t="s">
        <v>901</v>
      </c>
      <c r="J460" s="12" t="s">
        <v>894</v>
      </c>
      <c r="K460" s="12" t="s">
        <v>895</v>
      </c>
      <c r="L460" s="12"/>
      <c r="M460" s="11"/>
      <c r="N460" s="11"/>
      <c r="O460" s="11"/>
      <c r="P460" s="11"/>
    </row>
    <row r="461" spans="1:16" hidden="1" x14ac:dyDescent="0.25">
      <c r="A461" s="695">
        <v>56232</v>
      </c>
      <c r="B461" s="558">
        <v>1220</v>
      </c>
      <c r="C461" s="693">
        <v>200</v>
      </c>
      <c r="D461" s="558">
        <v>2100</v>
      </c>
      <c r="F461" s="693" t="s">
        <v>1293</v>
      </c>
      <c r="G461" s="696">
        <v>10</v>
      </c>
      <c r="H461" s="12" t="s">
        <v>932</v>
      </c>
      <c r="I461" s="12" t="s">
        <v>897</v>
      </c>
      <c r="J461" s="12" t="s">
        <v>902</v>
      </c>
      <c r="K461" s="12" t="s">
        <v>895</v>
      </c>
      <c r="L461" s="12"/>
      <c r="M461" s="11"/>
      <c r="N461" s="11"/>
      <c r="O461" s="11"/>
      <c r="P461" s="11"/>
    </row>
    <row r="462" spans="1:16" hidden="1" x14ac:dyDescent="0.25">
      <c r="A462" s="695">
        <v>56232</v>
      </c>
      <c r="B462" s="558">
        <v>1319</v>
      </c>
      <c r="C462" s="693">
        <v>100</v>
      </c>
      <c r="D462" s="558">
        <v>1000</v>
      </c>
      <c r="F462" s="693" t="s">
        <v>1293</v>
      </c>
      <c r="G462" s="696">
        <v>0</v>
      </c>
      <c r="H462" s="12" t="s">
        <v>968</v>
      </c>
      <c r="I462" s="12" t="s">
        <v>893</v>
      </c>
      <c r="J462" s="12" t="s">
        <v>894</v>
      </c>
      <c r="K462" s="12" t="s">
        <v>895</v>
      </c>
      <c r="L462" s="12"/>
      <c r="M462" s="11"/>
      <c r="N462" s="11"/>
      <c r="O462" s="11"/>
      <c r="P462" s="11"/>
    </row>
    <row r="463" spans="1:16" hidden="1" x14ac:dyDescent="0.25">
      <c r="A463" s="695">
        <v>56232</v>
      </c>
      <c r="B463" s="558">
        <v>1319</v>
      </c>
      <c r="C463" s="693">
        <v>100</v>
      </c>
      <c r="D463" s="558">
        <v>2100</v>
      </c>
      <c r="F463" s="693" t="s">
        <v>1293</v>
      </c>
      <c r="G463" s="696">
        <v>0</v>
      </c>
      <c r="H463" s="12" t="s">
        <v>968</v>
      </c>
      <c r="I463" s="12" t="s">
        <v>893</v>
      </c>
      <c r="J463" s="12" t="s">
        <v>902</v>
      </c>
      <c r="K463" s="12" t="s">
        <v>895</v>
      </c>
      <c r="L463" s="12"/>
      <c r="M463" s="11"/>
      <c r="N463" s="11"/>
      <c r="O463" s="11"/>
      <c r="P463" s="11"/>
    </row>
    <row r="464" spans="1:16" hidden="1" x14ac:dyDescent="0.25">
      <c r="A464" s="695">
        <v>56232</v>
      </c>
      <c r="B464" s="558">
        <v>1321</v>
      </c>
      <c r="C464" s="693">
        <v>100</v>
      </c>
      <c r="D464" s="558">
        <v>1000</v>
      </c>
      <c r="F464" s="693" t="s">
        <v>1293</v>
      </c>
      <c r="G464" s="696">
        <v>316</v>
      </c>
      <c r="H464" s="12" t="s">
        <v>968</v>
      </c>
      <c r="I464" s="12" t="s">
        <v>893</v>
      </c>
      <c r="J464" s="12" t="s">
        <v>894</v>
      </c>
      <c r="K464" s="12" t="s">
        <v>895</v>
      </c>
      <c r="L464" s="12"/>
      <c r="M464" s="11"/>
      <c r="N464" s="11"/>
      <c r="O464" s="11"/>
      <c r="P464" s="11"/>
    </row>
    <row r="465" spans="1:16" hidden="1" x14ac:dyDescent="0.25">
      <c r="A465" s="695">
        <v>56232</v>
      </c>
      <c r="B465" s="558">
        <v>1321</v>
      </c>
      <c r="C465" s="693">
        <v>100</v>
      </c>
      <c r="D465" s="558">
        <v>2100</v>
      </c>
      <c r="F465" s="693" t="s">
        <v>1293</v>
      </c>
      <c r="G465" s="696">
        <v>111</v>
      </c>
      <c r="H465" s="12" t="s">
        <v>968</v>
      </c>
      <c r="I465" s="12" t="s">
        <v>893</v>
      </c>
      <c r="J465" s="12" t="s">
        <v>902</v>
      </c>
      <c r="K465" s="12" t="s">
        <v>895</v>
      </c>
      <c r="L465" s="12"/>
      <c r="M465" s="11"/>
      <c r="N465" s="11"/>
      <c r="O465" s="11"/>
      <c r="P465" s="11"/>
    </row>
    <row r="466" spans="1:16" hidden="1" x14ac:dyDescent="0.25">
      <c r="A466" s="695">
        <v>56232</v>
      </c>
      <c r="B466" s="558">
        <v>1321</v>
      </c>
      <c r="C466" s="693">
        <v>100</v>
      </c>
      <c r="D466" s="558">
        <v>2400</v>
      </c>
      <c r="F466" s="693" t="s">
        <v>1293</v>
      </c>
      <c r="G466" s="696">
        <v>24</v>
      </c>
      <c r="H466" s="12" t="s">
        <v>968</v>
      </c>
      <c r="I466" s="12" t="s">
        <v>893</v>
      </c>
      <c r="J466" s="12" t="s">
        <v>922</v>
      </c>
      <c r="K466" s="12" t="s">
        <v>895</v>
      </c>
      <c r="L466" s="12"/>
      <c r="M466" s="11"/>
      <c r="N466" s="11"/>
      <c r="O466" s="11"/>
      <c r="P466" s="11"/>
    </row>
    <row r="467" spans="1:16" hidden="1" x14ac:dyDescent="0.25">
      <c r="A467" s="695">
        <v>56232</v>
      </c>
      <c r="B467" s="558">
        <v>1321</v>
      </c>
      <c r="C467" s="693">
        <v>200</v>
      </c>
      <c r="D467" s="558">
        <v>1000</v>
      </c>
      <c r="F467" s="693" t="s">
        <v>1293</v>
      </c>
      <c r="G467" s="696">
        <v>86</v>
      </c>
      <c r="H467" s="12" t="s">
        <v>968</v>
      </c>
      <c r="I467" s="12" t="s">
        <v>897</v>
      </c>
      <c r="J467" s="12" t="s">
        <v>894</v>
      </c>
      <c r="K467" s="12" t="s">
        <v>895</v>
      </c>
      <c r="L467" s="12"/>
      <c r="M467" s="11"/>
      <c r="N467" s="11"/>
      <c r="O467" s="11"/>
      <c r="P467" s="11"/>
    </row>
    <row r="468" spans="1:16" hidden="1" x14ac:dyDescent="0.25">
      <c r="A468" s="695">
        <v>56232</v>
      </c>
      <c r="B468" s="558">
        <v>1321</v>
      </c>
      <c r="C468" s="693">
        <v>200</v>
      </c>
      <c r="D468" s="558">
        <v>2100</v>
      </c>
      <c r="F468" s="693" t="s">
        <v>1293</v>
      </c>
      <c r="G468" s="696">
        <v>36</v>
      </c>
      <c r="H468" s="12" t="s">
        <v>968</v>
      </c>
      <c r="I468" s="12" t="s">
        <v>897</v>
      </c>
      <c r="J468" s="12" t="s">
        <v>902</v>
      </c>
      <c r="K468" s="12" t="s">
        <v>895</v>
      </c>
      <c r="L468" s="12"/>
      <c r="M468" s="11"/>
      <c r="N468" s="11"/>
      <c r="O468" s="11"/>
      <c r="P468" s="11"/>
    </row>
    <row r="469" spans="1:16" hidden="1" x14ac:dyDescent="0.25">
      <c r="A469" s="695">
        <v>56232</v>
      </c>
      <c r="B469" s="558">
        <v>1321</v>
      </c>
      <c r="C469" s="693">
        <v>200</v>
      </c>
      <c r="D469" s="558">
        <v>2200</v>
      </c>
      <c r="F469" s="693" t="s">
        <v>1293</v>
      </c>
      <c r="G469" s="696">
        <v>1</v>
      </c>
      <c r="H469" s="12" t="s">
        <v>968</v>
      </c>
      <c r="I469" s="12" t="s">
        <v>897</v>
      </c>
      <c r="J469" s="12" t="s">
        <v>906</v>
      </c>
      <c r="K469" s="12" t="s">
        <v>895</v>
      </c>
      <c r="L469" s="12"/>
      <c r="M469" s="11"/>
      <c r="N469" s="11"/>
      <c r="O469" s="11"/>
      <c r="P469" s="11"/>
    </row>
    <row r="470" spans="1:16" hidden="1" x14ac:dyDescent="0.25">
      <c r="A470" s="695">
        <v>56232</v>
      </c>
      <c r="B470" s="558">
        <v>1322</v>
      </c>
      <c r="C470" s="693">
        <v>100</v>
      </c>
      <c r="D470" s="558">
        <v>2500</v>
      </c>
      <c r="F470" s="693" t="s">
        <v>1293</v>
      </c>
      <c r="G470" s="696">
        <v>0</v>
      </c>
      <c r="H470" s="12" t="s">
        <v>968</v>
      </c>
      <c r="I470" s="12" t="s">
        <v>893</v>
      </c>
      <c r="J470" s="12" t="s">
        <v>926</v>
      </c>
      <c r="K470" s="12" t="s">
        <v>895</v>
      </c>
      <c r="L470" s="12"/>
      <c r="M470" s="11"/>
      <c r="N470" s="11"/>
      <c r="O470" s="11"/>
      <c r="P470" s="11"/>
    </row>
    <row r="471" spans="1:16" hidden="1" x14ac:dyDescent="0.25">
      <c r="A471" s="695">
        <v>56232</v>
      </c>
      <c r="B471" s="558">
        <v>1487</v>
      </c>
      <c r="C471" s="693">
        <v>100</v>
      </c>
      <c r="D471" s="558">
        <v>2100</v>
      </c>
      <c r="F471" s="693" t="s">
        <v>1293</v>
      </c>
      <c r="G471" s="696">
        <v>76</v>
      </c>
      <c r="H471" s="12" t="s">
        <v>995</v>
      </c>
      <c r="I471" s="12" t="s">
        <v>893</v>
      </c>
      <c r="J471" s="12" t="s">
        <v>902</v>
      </c>
      <c r="K471" s="12" t="s">
        <v>895</v>
      </c>
      <c r="L471" s="12"/>
      <c r="M471" s="11"/>
      <c r="N471" s="11"/>
      <c r="O471" s="11"/>
      <c r="P471" s="11"/>
    </row>
    <row r="472" spans="1:16" x14ac:dyDescent="0.25">
      <c r="A472" s="695">
        <v>56232</v>
      </c>
      <c r="B472" s="558">
        <v>1534</v>
      </c>
      <c r="C472" s="693">
        <v>100</v>
      </c>
      <c r="D472" s="558">
        <v>2700</v>
      </c>
      <c r="F472" s="693" t="s">
        <v>1293</v>
      </c>
      <c r="G472" s="696">
        <v>0</v>
      </c>
      <c r="H472" s="12" t="s">
        <v>997</v>
      </c>
      <c r="I472" s="12" t="s">
        <v>913</v>
      </c>
      <c r="J472" s="12" t="s">
        <v>934</v>
      </c>
      <c r="K472" s="12" t="s">
        <v>895</v>
      </c>
      <c r="L472" s="12"/>
      <c r="M472" s="11"/>
      <c r="N472" s="11"/>
      <c r="O472" s="11"/>
      <c r="P472" s="11"/>
    </row>
    <row r="473" spans="1:16" hidden="1" x14ac:dyDescent="0.25">
      <c r="A473" s="695">
        <v>56232</v>
      </c>
      <c r="B473" s="558">
        <v>1534</v>
      </c>
      <c r="C473" s="693">
        <v>400</v>
      </c>
      <c r="D473" s="558">
        <v>2700</v>
      </c>
      <c r="F473" s="693" t="s">
        <v>1293</v>
      </c>
      <c r="G473" s="696">
        <v>8</v>
      </c>
      <c r="H473" s="12" t="s">
        <v>997</v>
      </c>
      <c r="I473" s="12" t="s">
        <v>913</v>
      </c>
      <c r="J473" s="12" t="s">
        <v>934</v>
      </c>
      <c r="K473" s="12" t="s">
        <v>895</v>
      </c>
      <c r="L473" s="12"/>
      <c r="M473" s="11"/>
      <c r="N473" s="11"/>
      <c r="O473" s="11"/>
      <c r="P473" s="11"/>
    </row>
    <row r="474" spans="1:16" hidden="1" x14ac:dyDescent="0.25">
      <c r="A474" s="695">
        <v>56232</v>
      </c>
      <c r="B474" s="558" t="s">
        <v>1247</v>
      </c>
      <c r="C474" s="693">
        <v>100</v>
      </c>
      <c r="D474" s="558">
        <v>1000</v>
      </c>
      <c r="F474" s="693" t="s">
        <v>1293</v>
      </c>
      <c r="G474" s="696">
        <v>3</v>
      </c>
      <c r="H474" s="12" t="s">
        <v>904</v>
      </c>
      <c r="I474" s="12" t="s">
        <v>893</v>
      </c>
      <c r="J474" s="12" t="s">
        <v>894</v>
      </c>
      <c r="K474" s="12" t="s">
        <v>895</v>
      </c>
      <c r="L474" s="12"/>
      <c r="M474" s="11"/>
      <c r="N474" s="11"/>
      <c r="O474" s="11"/>
      <c r="P474" s="11"/>
    </row>
    <row r="475" spans="1:16" hidden="1" x14ac:dyDescent="0.25">
      <c r="A475" s="695">
        <v>56232</v>
      </c>
      <c r="B475" s="558" t="s">
        <v>1248</v>
      </c>
      <c r="C475" s="693">
        <v>100</v>
      </c>
      <c r="D475" s="558">
        <v>1000</v>
      </c>
      <c r="F475" s="693" t="s">
        <v>1293</v>
      </c>
      <c r="G475" s="696">
        <v>67</v>
      </c>
      <c r="H475" s="12" t="s">
        <v>904</v>
      </c>
      <c r="I475" s="12" t="s">
        <v>893</v>
      </c>
      <c r="J475" s="12" t="s">
        <v>894</v>
      </c>
      <c r="K475" s="12" t="s">
        <v>895</v>
      </c>
      <c r="L475" s="12"/>
      <c r="M475" s="11"/>
      <c r="N475" s="11"/>
      <c r="O475" s="11"/>
      <c r="P475" s="11"/>
    </row>
    <row r="476" spans="1:16" hidden="1" x14ac:dyDescent="0.25">
      <c r="A476" s="695">
        <v>56232</v>
      </c>
      <c r="B476" s="558" t="s">
        <v>1248</v>
      </c>
      <c r="C476" s="693">
        <v>260</v>
      </c>
      <c r="D476" s="558">
        <v>1000</v>
      </c>
      <c r="F476" s="693" t="s">
        <v>1293</v>
      </c>
      <c r="G476" s="696">
        <v>27</v>
      </c>
      <c r="H476" s="12" t="s">
        <v>904</v>
      </c>
      <c r="I476" s="12" t="s">
        <v>901</v>
      </c>
      <c r="J476" s="12" t="s">
        <v>894</v>
      </c>
      <c r="K476" s="12" t="s">
        <v>895</v>
      </c>
      <c r="L476" s="12"/>
      <c r="M476" s="11"/>
      <c r="N476" s="11"/>
      <c r="O476" s="11"/>
      <c r="P476" s="11"/>
    </row>
    <row r="477" spans="1:16" hidden="1" x14ac:dyDescent="0.25">
      <c r="A477" s="694">
        <v>56232</v>
      </c>
      <c r="B477" s="558" t="s">
        <v>1249</v>
      </c>
      <c r="C477" s="693">
        <v>100</v>
      </c>
      <c r="D477" s="558">
        <v>3100</v>
      </c>
      <c r="F477" s="693" t="s">
        <v>1293</v>
      </c>
      <c r="G477" s="696">
        <v>8</v>
      </c>
      <c r="H477" s="12" t="s">
        <v>997</v>
      </c>
      <c r="I477" s="12" t="s">
        <v>893</v>
      </c>
      <c r="J477" s="12" t="s">
        <v>942</v>
      </c>
      <c r="K477" s="12" t="s">
        <v>895</v>
      </c>
      <c r="L477" s="12"/>
      <c r="M477" s="11"/>
      <c r="N477" s="11"/>
      <c r="O477" s="11"/>
      <c r="P477" s="11"/>
    </row>
    <row r="478" spans="1:16" hidden="1" x14ac:dyDescent="0.25">
      <c r="A478" s="695">
        <v>56250</v>
      </c>
      <c r="B478" s="558">
        <v>1000</v>
      </c>
      <c r="C478" s="693">
        <v>100</v>
      </c>
      <c r="D478" s="558">
        <v>1000</v>
      </c>
      <c r="F478" s="693" t="s">
        <v>1294</v>
      </c>
      <c r="G478" s="696">
        <v>-6</v>
      </c>
      <c r="H478" s="12" t="s">
        <v>889</v>
      </c>
      <c r="I478" s="12" t="s">
        <v>893</v>
      </c>
      <c r="J478" s="12" t="s">
        <v>894</v>
      </c>
      <c r="K478" s="12" t="s">
        <v>895</v>
      </c>
      <c r="L478" s="12"/>
      <c r="M478" s="11"/>
      <c r="N478" s="11"/>
      <c r="O478" s="11"/>
      <c r="P478" s="11"/>
    </row>
    <row r="479" spans="1:16" hidden="1" x14ac:dyDescent="0.25">
      <c r="A479" s="695">
        <v>56250</v>
      </c>
      <c r="B479" s="558">
        <v>1000</v>
      </c>
      <c r="C479" s="693">
        <v>100</v>
      </c>
      <c r="D479" s="558">
        <v>2300</v>
      </c>
      <c r="F479" s="693" t="s">
        <v>1294</v>
      </c>
      <c r="G479" s="696">
        <v>0</v>
      </c>
      <c r="H479" s="12" t="s">
        <v>889</v>
      </c>
      <c r="I479" s="12" t="s">
        <v>893</v>
      </c>
      <c r="J479" s="12" t="s">
        <v>918</v>
      </c>
      <c r="K479" s="12" t="s">
        <v>895</v>
      </c>
      <c r="L479" s="12"/>
      <c r="M479" s="11"/>
      <c r="N479" s="11"/>
      <c r="O479" s="11"/>
      <c r="P479" s="11"/>
    </row>
    <row r="480" spans="1:16" hidden="1" x14ac:dyDescent="0.25">
      <c r="A480" s="694">
        <v>56250</v>
      </c>
      <c r="B480" s="558">
        <v>1000</v>
      </c>
      <c r="C480" s="693">
        <v>100</v>
      </c>
      <c r="D480" s="558">
        <v>2500</v>
      </c>
      <c r="F480" s="693" t="s">
        <v>1294</v>
      </c>
      <c r="G480" s="696">
        <v>369</v>
      </c>
      <c r="H480" s="12" t="s">
        <v>889</v>
      </c>
      <c r="I480" s="12" t="s">
        <v>893</v>
      </c>
      <c r="J480" s="12" t="s">
        <v>926</v>
      </c>
      <c r="K480" s="12" t="s">
        <v>895</v>
      </c>
      <c r="L480" s="12"/>
      <c r="M480" s="11"/>
      <c r="N480" s="11"/>
      <c r="O480" s="11"/>
      <c r="P480" s="11"/>
    </row>
    <row r="481" spans="1:16" hidden="1" x14ac:dyDescent="0.25">
      <c r="A481" s="695">
        <v>56260</v>
      </c>
      <c r="B481" s="558">
        <v>1000</v>
      </c>
      <c r="C481" s="693">
        <v>100</v>
      </c>
      <c r="D481" s="558">
        <v>2300</v>
      </c>
      <c r="F481" s="693" t="s">
        <v>1295</v>
      </c>
      <c r="G481" s="696">
        <v>5</v>
      </c>
      <c r="H481" s="12" t="s">
        <v>889</v>
      </c>
      <c r="I481" s="12" t="s">
        <v>893</v>
      </c>
      <c r="J481" s="12" t="s">
        <v>918</v>
      </c>
      <c r="K481" s="12" t="s">
        <v>895</v>
      </c>
      <c r="L481" s="12"/>
      <c r="M481" s="11"/>
      <c r="N481" s="11"/>
      <c r="O481" s="11"/>
      <c r="P481" s="11"/>
    </row>
    <row r="482" spans="1:16" hidden="1" x14ac:dyDescent="0.25">
      <c r="A482" s="694">
        <v>56260</v>
      </c>
      <c r="B482" s="558">
        <v>1000</v>
      </c>
      <c r="C482" s="693">
        <v>100</v>
      </c>
      <c r="D482" s="558">
        <v>2500</v>
      </c>
      <c r="F482" s="693" t="s">
        <v>1295</v>
      </c>
      <c r="G482" s="696">
        <v>1551</v>
      </c>
      <c r="H482" s="12" t="s">
        <v>889</v>
      </c>
      <c r="I482" s="12" t="s">
        <v>893</v>
      </c>
      <c r="J482" s="12" t="s">
        <v>926</v>
      </c>
      <c r="K482" s="12" t="s">
        <v>895</v>
      </c>
      <c r="L482" s="12"/>
      <c r="M482" s="11"/>
      <c r="N482" s="11"/>
      <c r="O482" s="11"/>
      <c r="P482" s="11"/>
    </row>
    <row r="483" spans="1:16" hidden="1" x14ac:dyDescent="0.25">
      <c r="A483" s="695">
        <v>56282</v>
      </c>
      <c r="B483" s="558">
        <v>1000</v>
      </c>
      <c r="C483" s="693">
        <v>100</v>
      </c>
      <c r="D483" s="558">
        <v>2100</v>
      </c>
      <c r="F483" s="693" t="s">
        <v>1296</v>
      </c>
      <c r="G483" s="696">
        <v>5</v>
      </c>
      <c r="H483" s="12" t="s">
        <v>889</v>
      </c>
      <c r="I483" s="12" t="s">
        <v>893</v>
      </c>
      <c r="J483" s="12" t="s">
        <v>902</v>
      </c>
      <c r="K483" s="12" t="s">
        <v>895</v>
      </c>
      <c r="L483" s="12"/>
      <c r="M483" s="11"/>
      <c r="N483" s="11"/>
      <c r="O483" s="11"/>
      <c r="P483" s="11"/>
    </row>
    <row r="484" spans="1:16" hidden="1" x14ac:dyDescent="0.25">
      <c r="A484" s="695">
        <v>56282</v>
      </c>
      <c r="B484" s="558">
        <v>1000</v>
      </c>
      <c r="C484" s="693">
        <v>100</v>
      </c>
      <c r="D484" s="558">
        <v>2200</v>
      </c>
      <c r="F484" s="693" t="s">
        <v>1296</v>
      </c>
      <c r="G484" s="696">
        <v>52</v>
      </c>
      <c r="H484" s="12" t="s">
        <v>889</v>
      </c>
      <c r="I484" s="12" t="s">
        <v>893</v>
      </c>
      <c r="J484" s="12" t="s">
        <v>906</v>
      </c>
      <c r="K484" s="12" t="s">
        <v>895</v>
      </c>
      <c r="L484" s="12"/>
      <c r="M484" s="11"/>
      <c r="N484" s="11"/>
      <c r="O484" s="11"/>
      <c r="P484" s="11"/>
    </row>
    <row r="485" spans="1:16" hidden="1" x14ac:dyDescent="0.25">
      <c r="A485" s="695">
        <v>56282</v>
      </c>
      <c r="B485" s="558">
        <v>1000</v>
      </c>
      <c r="C485" s="693">
        <v>100</v>
      </c>
      <c r="D485" s="558">
        <v>2500</v>
      </c>
      <c r="F485" s="693" t="s">
        <v>1296</v>
      </c>
      <c r="G485" s="696">
        <v>535</v>
      </c>
      <c r="H485" s="12" t="s">
        <v>889</v>
      </c>
      <c r="I485" s="12" t="s">
        <v>893</v>
      </c>
      <c r="J485" s="12" t="s">
        <v>926</v>
      </c>
      <c r="K485" s="12" t="s">
        <v>895</v>
      </c>
      <c r="L485" s="12"/>
      <c r="M485" s="11"/>
      <c r="N485" s="11"/>
      <c r="O485" s="11"/>
      <c r="P485" s="11"/>
    </row>
    <row r="486" spans="1:16" hidden="1" x14ac:dyDescent="0.25">
      <c r="A486" s="694">
        <v>56282</v>
      </c>
      <c r="B486" s="558">
        <v>1000</v>
      </c>
      <c r="C486" s="693">
        <v>100</v>
      </c>
      <c r="D486" s="558">
        <v>2510</v>
      </c>
      <c r="F486" s="693" t="s">
        <v>1296</v>
      </c>
      <c r="G486" s="696">
        <v>64</v>
      </c>
      <c r="H486" s="12" t="s">
        <v>889</v>
      </c>
      <c r="I486" s="12" t="s">
        <v>893</v>
      </c>
      <c r="J486" s="12" t="s">
        <v>926</v>
      </c>
      <c r="K486" s="12" t="s">
        <v>895</v>
      </c>
      <c r="L486" s="12"/>
      <c r="M486" s="11"/>
      <c r="N486" s="11"/>
      <c r="O486" s="11"/>
      <c r="P486" s="11"/>
    </row>
    <row r="487" spans="1:16" hidden="1" x14ac:dyDescent="0.25">
      <c r="A487" s="694">
        <v>56283</v>
      </c>
      <c r="B487" s="558">
        <v>1000</v>
      </c>
      <c r="C487" s="693">
        <v>100</v>
      </c>
      <c r="D487" s="558">
        <v>2500</v>
      </c>
      <c r="F487" s="693" t="s">
        <v>1297</v>
      </c>
      <c r="G487" s="696">
        <v>480</v>
      </c>
      <c r="H487" s="12" t="s">
        <v>889</v>
      </c>
      <c r="I487" s="12" t="s">
        <v>893</v>
      </c>
      <c r="J487" s="12" t="s">
        <v>926</v>
      </c>
      <c r="K487" s="12" t="s">
        <v>895</v>
      </c>
      <c r="L487" s="12"/>
      <c r="M487" s="11"/>
      <c r="N487" s="11"/>
      <c r="O487" s="11"/>
      <c r="P487" s="11"/>
    </row>
    <row r="488" spans="1:16" hidden="1" x14ac:dyDescent="0.25">
      <c r="A488" s="695">
        <v>56290</v>
      </c>
      <c r="B488" s="558">
        <v>1000</v>
      </c>
      <c r="C488" s="693">
        <v>100</v>
      </c>
      <c r="D488" s="558">
        <v>1000</v>
      </c>
      <c r="F488" s="693" t="s">
        <v>1298</v>
      </c>
      <c r="G488" s="696">
        <v>0</v>
      </c>
      <c r="H488" s="12" t="s">
        <v>889</v>
      </c>
      <c r="I488" s="12" t="s">
        <v>893</v>
      </c>
      <c r="J488" s="12" t="s">
        <v>894</v>
      </c>
      <c r="K488" s="12" t="s">
        <v>895</v>
      </c>
      <c r="L488" s="12"/>
      <c r="M488" s="11"/>
      <c r="N488" s="11"/>
      <c r="O488" s="11"/>
      <c r="P488" s="11"/>
    </row>
    <row r="489" spans="1:16" hidden="1" x14ac:dyDescent="0.25">
      <c r="A489" s="695">
        <v>56290</v>
      </c>
      <c r="B489" s="558">
        <v>1000</v>
      </c>
      <c r="C489" s="693">
        <v>100</v>
      </c>
      <c r="D489" s="558">
        <v>2500</v>
      </c>
      <c r="F489" s="693" t="s">
        <v>1298</v>
      </c>
      <c r="G489" s="696">
        <v>3</v>
      </c>
      <c r="H489" s="12" t="s">
        <v>889</v>
      </c>
      <c r="I489" s="12" t="s">
        <v>893</v>
      </c>
      <c r="J489" s="12" t="s">
        <v>926</v>
      </c>
      <c r="K489" s="12" t="s">
        <v>895</v>
      </c>
      <c r="L489" s="12"/>
      <c r="M489" s="11"/>
      <c r="N489" s="11"/>
      <c r="O489" s="11"/>
      <c r="P489" s="11"/>
    </row>
    <row r="490" spans="1:16" hidden="1" x14ac:dyDescent="0.25">
      <c r="A490" s="694">
        <v>56290</v>
      </c>
      <c r="B490" s="558">
        <v>1322</v>
      </c>
      <c r="C490" s="693">
        <v>100</v>
      </c>
      <c r="D490" s="558">
        <v>2500</v>
      </c>
      <c r="F490" s="693" t="s">
        <v>1298</v>
      </c>
      <c r="G490" s="696">
        <v>0</v>
      </c>
      <c r="H490" s="12" t="s">
        <v>968</v>
      </c>
      <c r="I490" s="12" t="s">
        <v>893</v>
      </c>
      <c r="J490" s="12" t="s">
        <v>926</v>
      </c>
      <c r="K490" s="12" t="s">
        <v>895</v>
      </c>
      <c r="L490" s="12"/>
      <c r="M490" s="11"/>
      <c r="N490" s="11"/>
      <c r="O490" s="11"/>
      <c r="P490" s="11"/>
    </row>
    <row r="491" spans="1:16" hidden="1" x14ac:dyDescent="0.25">
      <c r="A491" s="695">
        <v>56291</v>
      </c>
      <c r="B491" s="558">
        <v>1000</v>
      </c>
      <c r="C491" s="693">
        <v>100</v>
      </c>
      <c r="D491" s="558">
        <v>2200</v>
      </c>
      <c r="F491" s="693" t="s">
        <v>1299</v>
      </c>
      <c r="G491" s="696">
        <v>6</v>
      </c>
      <c r="H491" s="12" t="s">
        <v>889</v>
      </c>
      <c r="I491" s="12" t="s">
        <v>893</v>
      </c>
      <c r="J491" s="12" t="s">
        <v>906</v>
      </c>
      <c r="K491" s="12" t="s">
        <v>895</v>
      </c>
      <c r="L491" s="12"/>
      <c r="M491" s="11"/>
      <c r="N491" s="11"/>
      <c r="O491" s="11"/>
      <c r="P491" s="11"/>
    </row>
    <row r="492" spans="1:16" hidden="1" x14ac:dyDescent="0.25">
      <c r="A492" s="695">
        <v>56291</v>
      </c>
      <c r="B492" s="558">
        <v>1000</v>
      </c>
      <c r="C492" s="693">
        <v>100</v>
      </c>
      <c r="D492" s="558">
        <v>2300</v>
      </c>
      <c r="F492" s="693" t="s">
        <v>1299</v>
      </c>
      <c r="G492" s="696">
        <v>6</v>
      </c>
      <c r="H492" s="12" t="s">
        <v>889</v>
      </c>
      <c r="I492" s="12" t="s">
        <v>893</v>
      </c>
      <c r="J492" s="12" t="s">
        <v>918</v>
      </c>
      <c r="K492" s="12" t="s">
        <v>895</v>
      </c>
      <c r="L492" s="12"/>
      <c r="M492" s="11"/>
      <c r="N492" s="11"/>
      <c r="O492" s="11"/>
      <c r="P492" s="11"/>
    </row>
    <row r="493" spans="1:16" hidden="1" x14ac:dyDescent="0.25">
      <c r="A493" s="695">
        <v>56291</v>
      </c>
      <c r="B493" s="558">
        <v>1000</v>
      </c>
      <c r="C493" s="693">
        <v>100</v>
      </c>
      <c r="D493" s="558">
        <v>2500</v>
      </c>
      <c r="F493" s="693" t="s">
        <v>1299</v>
      </c>
      <c r="G493" s="696">
        <v>161</v>
      </c>
      <c r="H493" s="12" t="s">
        <v>889</v>
      </c>
      <c r="I493" s="12" t="s">
        <v>893</v>
      </c>
      <c r="J493" s="12" t="s">
        <v>926</v>
      </c>
      <c r="K493" s="12" t="s">
        <v>895</v>
      </c>
      <c r="L493" s="12"/>
      <c r="M493" s="11"/>
      <c r="N493" s="11"/>
      <c r="O493" s="11"/>
      <c r="P493" s="11"/>
    </row>
    <row r="494" spans="1:16" hidden="1" x14ac:dyDescent="0.25">
      <c r="A494" s="695">
        <v>56291</v>
      </c>
      <c r="B494" s="558">
        <v>1000</v>
      </c>
      <c r="C494" s="693">
        <v>100</v>
      </c>
      <c r="D494" s="558">
        <v>2510</v>
      </c>
      <c r="F494" s="693" t="s">
        <v>1299</v>
      </c>
      <c r="G494" s="696">
        <v>0</v>
      </c>
      <c r="H494" s="12" t="s">
        <v>889</v>
      </c>
      <c r="I494" s="12" t="s">
        <v>893</v>
      </c>
      <c r="J494" s="12" t="s">
        <v>926</v>
      </c>
      <c r="K494" s="12" t="s">
        <v>895</v>
      </c>
      <c r="L494" s="12"/>
      <c r="M494" s="11"/>
      <c r="N494" s="11"/>
      <c r="O494" s="11"/>
      <c r="P494" s="11"/>
    </row>
    <row r="495" spans="1:16" hidden="1" x14ac:dyDescent="0.25">
      <c r="A495" s="694">
        <v>56291</v>
      </c>
      <c r="B495" s="558">
        <v>1000</v>
      </c>
      <c r="C495" s="693">
        <v>100</v>
      </c>
      <c r="D495" s="558">
        <v>2600</v>
      </c>
      <c r="F495" s="693" t="s">
        <v>1299</v>
      </c>
      <c r="G495" s="696">
        <v>12</v>
      </c>
      <c r="H495" s="12" t="s">
        <v>889</v>
      </c>
      <c r="I495" s="12" t="s">
        <v>893</v>
      </c>
      <c r="J495" s="12" t="s">
        <v>930</v>
      </c>
      <c r="K495" s="12" t="s">
        <v>895</v>
      </c>
      <c r="L495" s="12"/>
      <c r="M495" s="11"/>
      <c r="N495" s="11"/>
      <c r="O495" s="11"/>
      <c r="P495" s="11"/>
    </row>
    <row r="496" spans="1:16" hidden="1" x14ac:dyDescent="0.25">
      <c r="A496" s="694">
        <v>56292</v>
      </c>
      <c r="B496" s="558">
        <v>1000</v>
      </c>
      <c r="C496" s="693">
        <v>100</v>
      </c>
      <c r="D496" s="558">
        <v>1000</v>
      </c>
      <c r="F496" s="693" t="s">
        <v>1300</v>
      </c>
      <c r="G496" s="696">
        <v>11</v>
      </c>
      <c r="H496" s="12" t="s">
        <v>889</v>
      </c>
      <c r="I496" s="12" t="s">
        <v>893</v>
      </c>
      <c r="J496" s="12" t="s">
        <v>894</v>
      </c>
      <c r="K496" s="12" t="s">
        <v>895</v>
      </c>
      <c r="L496" s="12"/>
      <c r="M496" s="11"/>
      <c r="N496" s="11"/>
      <c r="O496" s="11"/>
      <c r="P496" s="11"/>
    </row>
    <row r="497" spans="1:16" hidden="1" x14ac:dyDescent="0.25">
      <c r="A497" s="694">
        <v>56311</v>
      </c>
      <c r="B497" s="558">
        <v>1000</v>
      </c>
      <c r="C497" s="693">
        <v>100</v>
      </c>
      <c r="D497" s="558">
        <v>2500</v>
      </c>
      <c r="F497" s="693" t="s">
        <v>1301</v>
      </c>
      <c r="G497" s="696">
        <v>319</v>
      </c>
      <c r="H497" s="12" t="s">
        <v>889</v>
      </c>
      <c r="I497" s="12" t="s">
        <v>893</v>
      </c>
      <c r="J497" s="12" t="s">
        <v>926</v>
      </c>
      <c r="K497" s="12" t="s">
        <v>899</v>
      </c>
      <c r="L497" s="12"/>
      <c r="M497" s="11"/>
      <c r="N497" s="11"/>
      <c r="O497" s="11"/>
      <c r="P497" s="11"/>
    </row>
    <row r="498" spans="1:16" hidden="1" x14ac:dyDescent="0.25">
      <c r="A498" s="694">
        <v>56312</v>
      </c>
      <c r="B498" s="558">
        <v>1000</v>
      </c>
      <c r="C498" s="693">
        <v>100</v>
      </c>
      <c r="D498" s="558">
        <v>2500</v>
      </c>
      <c r="F498" s="693" t="s">
        <v>1302</v>
      </c>
      <c r="G498" s="696">
        <v>142</v>
      </c>
      <c r="H498" s="12" t="s">
        <v>889</v>
      </c>
      <c r="I498" s="12" t="s">
        <v>893</v>
      </c>
      <c r="J498" s="12" t="s">
        <v>926</v>
      </c>
      <c r="K498" s="12" t="s">
        <v>899</v>
      </c>
      <c r="L498" s="12"/>
      <c r="M498" s="11"/>
      <c r="N498" s="11"/>
      <c r="O498" s="11"/>
      <c r="P498" s="11"/>
    </row>
    <row r="499" spans="1:16" hidden="1" x14ac:dyDescent="0.25">
      <c r="A499" s="694">
        <v>56325</v>
      </c>
      <c r="B499" s="558">
        <v>1000</v>
      </c>
      <c r="C499" s="693">
        <v>100</v>
      </c>
      <c r="D499" s="558">
        <v>1000</v>
      </c>
      <c r="F499" s="693" t="s">
        <v>1303</v>
      </c>
      <c r="G499" s="696">
        <v>20442</v>
      </c>
      <c r="H499" s="12" t="s">
        <v>889</v>
      </c>
      <c r="I499" s="12" t="s">
        <v>893</v>
      </c>
      <c r="J499" s="12" t="s">
        <v>894</v>
      </c>
      <c r="K499" s="12" t="s">
        <v>899</v>
      </c>
      <c r="L499" s="12"/>
      <c r="M499" s="11"/>
      <c r="N499" s="11"/>
      <c r="O499" s="11"/>
      <c r="P499" s="11"/>
    </row>
    <row r="500" spans="1:16" hidden="1" x14ac:dyDescent="0.25">
      <c r="A500" s="694">
        <v>56327</v>
      </c>
      <c r="B500" s="558">
        <v>1000</v>
      </c>
      <c r="C500" s="693">
        <v>200</v>
      </c>
      <c r="D500" s="558">
        <v>2100</v>
      </c>
      <c r="F500" s="693" t="s">
        <v>1304</v>
      </c>
      <c r="G500" s="696">
        <v>2581</v>
      </c>
      <c r="H500" s="12" t="s">
        <v>889</v>
      </c>
      <c r="I500" s="12" t="s">
        <v>897</v>
      </c>
      <c r="J500" s="12" t="s">
        <v>902</v>
      </c>
      <c r="K500" s="12" t="s">
        <v>899</v>
      </c>
      <c r="L500" s="12"/>
      <c r="M500" s="11"/>
      <c r="N500" s="11"/>
      <c r="O500" s="11"/>
      <c r="P500" s="11"/>
    </row>
    <row r="501" spans="1:16" hidden="1" x14ac:dyDescent="0.25">
      <c r="A501" s="695">
        <v>56328</v>
      </c>
      <c r="B501" s="558">
        <v>1000</v>
      </c>
      <c r="C501" s="693">
        <v>100</v>
      </c>
      <c r="D501" s="558">
        <v>2100</v>
      </c>
      <c r="F501" s="693" t="s">
        <v>1305</v>
      </c>
      <c r="G501" s="696">
        <v>1802</v>
      </c>
      <c r="H501" s="12" t="s">
        <v>889</v>
      </c>
      <c r="I501" s="12" t="s">
        <v>893</v>
      </c>
      <c r="J501" s="12" t="s">
        <v>902</v>
      </c>
      <c r="K501" s="12" t="s">
        <v>899</v>
      </c>
      <c r="L501" s="12"/>
      <c r="M501" s="11"/>
      <c r="N501" s="11"/>
      <c r="O501" s="11"/>
      <c r="P501" s="11"/>
    </row>
    <row r="502" spans="1:16" hidden="1" x14ac:dyDescent="0.25">
      <c r="A502" s="695">
        <v>56328</v>
      </c>
      <c r="B502" s="558">
        <v>1000</v>
      </c>
      <c r="C502" s="693">
        <v>100</v>
      </c>
      <c r="D502" s="558">
        <v>2200</v>
      </c>
      <c r="F502" s="693" t="s">
        <v>1305</v>
      </c>
      <c r="G502" s="696">
        <v>1846</v>
      </c>
      <c r="H502" s="12" t="s">
        <v>889</v>
      </c>
      <c r="I502" s="12" t="s">
        <v>893</v>
      </c>
      <c r="J502" s="12" t="s">
        <v>906</v>
      </c>
      <c r="K502" s="12" t="s">
        <v>899</v>
      </c>
      <c r="L502" s="12"/>
      <c r="M502" s="11"/>
      <c r="N502" s="11"/>
      <c r="O502" s="11"/>
      <c r="P502" s="11"/>
    </row>
    <row r="503" spans="1:16" hidden="1" x14ac:dyDescent="0.25">
      <c r="A503" s="695">
        <v>56328</v>
      </c>
      <c r="B503" s="558">
        <v>1000</v>
      </c>
      <c r="C503" s="693">
        <v>100</v>
      </c>
      <c r="D503" s="558">
        <v>2300</v>
      </c>
      <c r="F503" s="693" t="s">
        <v>1305</v>
      </c>
      <c r="G503" s="696">
        <v>50</v>
      </c>
      <c r="H503" s="12" t="s">
        <v>889</v>
      </c>
      <c r="I503" s="12" t="s">
        <v>893</v>
      </c>
      <c r="J503" s="12" t="s">
        <v>918</v>
      </c>
      <c r="K503" s="12" t="s">
        <v>899</v>
      </c>
      <c r="L503" s="12"/>
      <c r="M503" s="11"/>
      <c r="N503" s="11"/>
      <c r="O503" s="11"/>
      <c r="P503" s="11"/>
    </row>
    <row r="504" spans="1:16" hidden="1" x14ac:dyDescent="0.25">
      <c r="A504" s="695">
        <v>56328</v>
      </c>
      <c r="B504" s="558">
        <v>1000</v>
      </c>
      <c r="C504" s="693">
        <v>100</v>
      </c>
      <c r="D504" s="558">
        <v>2400</v>
      </c>
      <c r="F504" s="693" t="s">
        <v>1305</v>
      </c>
      <c r="G504" s="696">
        <v>66</v>
      </c>
      <c r="H504" s="12" t="s">
        <v>889</v>
      </c>
      <c r="I504" s="12" t="s">
        <v>893</v>
      </c>
      <c r="J504" s="12" t="s">
        <v>922</v>
      </c>
      <c r="K504" s="12" t="s">
        <v>899</v>
      </c>
      <c r="L504" s="12"/>
      <c r="M504" s="11"/>
      <c r="N504" s="11"/>
      <c r="O504" s="11"/>
      <c r="P504" s="11"/>
    </row>
    <row r="505" spans="1:16" hidden="1" x14ac:dyDescent="0.25">
      <c r="A505" s="695">
        <v>56328</v>
      </c>
      <c r="B505" s="558">
        <v>1000</v>
      </c>
      <c r="C505" s="693">
        <v>100</v>
      </c>
      <c r="D505" s="558">
        <v>2500</v>
      </c>
      <c r="F505" s="693" t="s">
        <v>1305</v>
      </c>
      <c r="G505" s="696">
        <v>546</v>
      </c>
      <c r="H505" s="12" t="s">
        <v>889</v>
      </c>
      <c r="I505" s="12" t="s">
        <v>893</v>
      </c>
      <c r="J505" s="12" t="s">
        <v>926</v>
      </c>
      <c r="K505" s="12" t="s">
        <v>899</v>
      </c>
      <c r="L505" s="12"/>
      <c r="M505" s="11"/>
      <c r="N505" s="11"/>
      <c r="O505" s="11"/>
      <c r="P505" s="11"/>
    </row>
    <row r="506" spans="1:16" hidden="1" x14ac:dyDescent="0.25">
      <c r="A506" s="695">
        <v>56328</v>
      </c>
      <c r="B506" s="558">
        <v>1000</v>
      </c>
      <c r="C506" s="693">
        <v>100</v>
      </c>
      <c r="D506" s="558">
        <v>2510</v>
      </c>
      <c r="F506" s="693" t="s">
        <v>1305</v>
      </c>
      <c r="G506" s="696">
        <v>12</v>
      </c>
      <c r="H506" s="12" t="s">
        <v>889</v>
      </c>
      <c r="I506" s="12" t="s">
        <v>893</v>
      </c>
      <c r="J506" s="12" t="s">
        <v>926</v>
      </c>
      <c r="K506" s="12" t="s">
        <v>899</v>
      </c>
      <c r="L506" s="12"/>
      <c r="M506" s="11"/>
      <c r="N506" s="11"/>
      <c r="O506" s="11"/>
      <c r="P506" s="11"/>
    </row>
    <row r="507" spans="1:16" hidden="1" x14ac:dyDescent="0.25">
      <c r="A507" s="695">
        <v>56328</v>
      </c>
      <c r="B507" s="558">
        <v>1000</v>
      </c>
      <c r="C507" s="693">
        <v>200</v>
      </c>
      <c r="D507" s="558">
        <v>2100</v>
      </c>
      <c r="F507" s="693" t="s">
        <v>1305</v>
      </c>
      <c r="G507" s="696">
        <v>29</v>
      </c>
      <c r="H507" s="12" t="s">
        <v>889</v>
      </c>
      <c r="I507" s="12" t="s">
        <v>897</v>
      </c>
      <c r="J507" s="12" t="s">
        <v>902</v>
      </c>
      <c r="K507" s="12" t="s">
        <v>899</v>
      </c>
      <c r="L507" s="12"/>
      <c r="M507" s="11"/>
      <c r="N507" s="11"/>
      <c r="O507" s="11"/>
      <c r="P507" s="11"/>
    </row>
    <row r="508" spans="1:16" hidden="1" x14ac:dyDescent="0.25">
      <c r="A508" s="695">
        <v>56328</v>
      </c>
      <c r="B508" s="558">
        <v>1000</v>
      </c>
      <c r="C508" s="693">
        <v>200</v>
      </c>
      <c r="D508" s="558">
        <v>2200</v>
      </c>
      <c r="F508" s="693" t="s">
        <v>1305</v>
      </c>
      <c r="G508" s="696">
        <v>2</v>
      </c>
      <c r="H508" s="12" t="s">
        <v>889</v>
      </c>
      <c r="I508" s="12" t="s">
        <v>897</v>
      </c>
      <c r="J508" s="12" t="s">
        <v>906</v>
      </c>
      <c r="K508" s="12" t="s">
        <v>899</v>
      </c>
      <c r="L508" s="12"/>
      <c r="M508" s="11"/>
      <c r="N508" s="11"/>
      <c r="O508" s="11"/>
      <c r="P508" s="11"/>
    </row>
    <row r="509" spans="1:16" hidden="1" x14ac:dyDescent="0.25">
      <c r="A509" s="695">
        <v>56328</v>
      </c>
      <c r="B509" s="558">
        <v>1000</v>
      </c>
      <c r="C509" s="693">
        <v>240</v>
      </c>
      <c r="D509" s="558">
        <v>2100</v>
      </c>
      <c r="F509" s="693" t="s">
        <v>1305</v>
      </c>
      <c r="G509" s="696">
        <v>11</v>
      </c>
      <c r="H509" s="12" t="s">
        <v>889</v>
      </c>
      <c r="I509" s="12" t="s">
        <v>897</v>
      </c>
      <c r="J509" s="12" t="s">
        <v>902</v>
      </c>
      <c r="K509" s="12" t="s">
        <v>899</v>
      </c>
      <c r="L509" s="12"/>
      <c r="M509" s="11"/>
      <c r="N509" s="11"/>
      <c r="O509" s="11"/>
      <c r="P509" s="11"/>
    </row>
    <row r="510" spans="1:16" hidden="1" x14ac:dyDescent="0.25">
      <c r="A510" s="695">
        <v>56328</v>
      </c>
      <c r="B510" s="558">
        <v>1000</v>
      </c>
      <c r="C510" s="693">
        <v>240</v>
      </c>
      <c r="D510" s="558">
        <v>2200</v>
      </c>
      <c r="F510" s="693" t="s">
        <v>1305</v>
      </c>
      <c r="G510" s="696">
        <v>3</v>
      </c>
      <c r="H510" s="12" t="s">
        <v>889</v>
      </c>
      <c r="I510" s="12" t="s">
        <v>897</v>
      </c>
      <c r="J510" s="12" t="s">
        <v>906</v>
      </c>
      <c r="K510" s="12" t="s">
        <v>899</v>
      </c>
      <c r="L510" s="12"/>
      <c r="M510" s="11"/>
      <c r="N510" s="11"/>
      <c r="O510" s="11"/>
      <c r="P510" s="11"/>
    </row>
    <row r="511" spans="1:16" hidden="1" x14ac:dyDescent="0.25">
      <c r="A511" s="695">
        <v>56328</v>
      </c>
      <c r="B511" s="558">
        <v>1000</v>
      </c>
      <c r="C511" s="693">
        <v>260</v>
      </c>
      <c r="D511" s="558">
        <v>2100</v>
      </c>
      <c r="F511" s="693" t="s">
        <v>1305</v>
      </c>
      <c r="G511" s="696">
        <v>27</v>
      </c>
      <c r="H511" s="12" t="s">
        <v>889</v>
      </c>
      <c r="I511" s="12" t="s">
        <v>901</v>
      </c>
      <c r="J511" s="12" t="s">
        <v>902</v>
      </c>
      <c r="K511" s="12" t="s">
        <v>899</v>
      </c>
      <c r="L511" s="12"/>
      <c r="M511" s="11"/>
      <c r="N511" s="11"/>
      <c r="O511" s="11"/>
      <c r="P511" s="11"/>
    </row>
    <row r="512" spans="1:16" hidden="1" x14ac:dyDescent="0.25">
      <c r="A512" s="695">
        <v>56328</v>
      </c>
      <c r="B512" s="558">
        <v>1591</v>
      </c>
      <c r="C512" s="693">
        <v>100</v>
      </c>
      <c r="D512" s="558">
        <v>3100</v>
      </c>
      <c r="F512" s="693" t="s">
        <v>1305</v>
      </c>
      <c r="G512" s="696">
        <v>2</v>
      </c>
      <c r="H512" s="12" t="s">
        <v>997</v>
      </c>
      <c r="I512" s="12" t="s">
        <v>893</v>
      </c>
      <c r="J512" s="12" t="s">
        <v>942</v>
      </c>
      <c r="K512" s="12" t="s">
        <v>899</v>
      </c>
      <c r="L512" s="12"/>
      <c r="M512" s="11"/>
      <c r="N512" s="11"/>
      <c r="O512" s="11"/>
      <c r="P512" s="11"/>
    </row>
    <row r="513" spans="1:16" hidden="1" x14ac:dyDescent="0.25">
      <c r="A513" s="695">
        <v>56328</v>
      </c>
      <c r="B513" s="558" t="s">
        <v>1248</v>
      </c>
      <c r="C513" s="693">
        <v>100</v>
      </c>
      <c r="D513" s="558">
        <v>2400</v>
      </c>
      <c r="F513" s="693" t="s">
        <v>1305</v>
      </c>
      <c r="G513" s="696">
        <v>550</v>
      </c>
      <c r="H513" s="12" t="s">
        <v>904</v>
      </c>
      <c r="I513" s="12" t="s">
        <v>893</v>
      </c>
      <c r="J513" s="12" t="s">
        <v>922</v>
      </c>
      <c r="K513" s="12" t="s">
        <v>899</v>
      </c>
      <c r="L513" s="12"/>
      <c r="M513" s="11"/>
      <c r="N513" s="11"/>
      <c r="O513" s="11"/>
      <c r="P513" s="11"/>
    </row>
    <row r="514" spans="1:16" hidden="1" x14ac:dyDescent="0.25">
      <c r="A514" s="694">
        <v>56328</v>
      </c>
      <c r="B514" s="558" t="s">
        <v>1248</v>
      </c>
      <c r="C514" s="693">
        <v>100</v>
      </c>
      <c r="D514" s="558">
        <v>2500</v>
      </c>
      <c r="F514" s="693" t="s">
        <v>1305</v>
      </c>
      <c r="G514" s="696">
        <v>300</v>
      </c>
      <c r="H514" s="12" t="s">
        <v>904</v>
      </c>
      <c r="I514" s="12" t="s">
        <v>893</v>
      </c>
      <c r="J514" s="12" t="s">
        <v>926</v>
      </c>
      <c r="K514" s="12" t="s">
        <v>899</v>
      </c>
      <c r="L514" s="12"/>
      <c r="M514" s="11"/>
      <c r="N514" s="11"/>
      <c r="O514" s="11"/>
      <c r="P514" s="11"/>
    </row>
    <row r="515" spans="1:16" hidden="1" x14ac:dyDescent="0.25">
      <c r="A515" s="695">
        <v>56329</v>
      </c>
      <c r="B515" s="558">
        <v>1000</v>
      </c>
      <c r="C515" s="693">
        <v>100</v>
      </c>
      <c r="D515" s="558">
        <v>1000</v>
      </c>
      <c r="F515" s="693" t="s">
        <v>1306</v>
      </c>
      <c r="G515" s="696">
        <v>1796</v>
      </c>
      <c r="H515" s="12" t="s">
        <v>889</v>
      </c>
      <c r="I515" s="12" t="s">
        <v>893</v>
      </c>
      <c r="J515" s="12" t="s">
        <v>894</v>
      </c>
      <c r="K515" s="12" t="s">
        <v>899</v>
      </c>
      <c r="L515" s="12"/>
      <c r="M515" s="11"/>
      <c r="N515" s="11"/>
      <c r="O515" s="11"/>
      <c r="P515" s="11"/>
    </row>
    <row r="516" spans="1:16" hidden="1" x14ac:dyDescent="0.25">
      <c r="A516" s="695">
        <v>56329</v>
      </c>
      <c r="B516" s="558">
        <v>1000</v>
      </c>
      <c r="C516" s="693">
        <v>100</v>
      </c>
      <c r="D516" s="558">
        <v>2100</v>
      </c>
      <c r="F516" s="693" t="s">
        <v>1306</v>
      </c>
      <c r="G516" s="696">
        <v>615</v>
      </c>
      <c r="H516" s="12" t="s">
        <v>889</v>
      </c>
      <c r="I516" s="12" t="s">
        <v>893</v>
      </c>
      <c r="J516" s="12" t="s">
        <v>902</v>
      </c>
      <c r="K516" s="12" t="s">
        <v>899</v>
      </c>
      <c r="L516" s="12"/>
      <c r="M516" s="11"/>
      <c r="N516" s="11"/>
      <c r="O516" s="11"/>
      <c r="P516" s="11"/>
    </row>
    <row r="517" spans="1:16" hidden="1" x14ac:dyDescent="0.25">
      <c r="A517" s="695">
        <v>56329</v>
      </c>
      <c r="B517" s="558">
        <v>1000</v>
      </c>
      <c r="C517" s="693">
        <v>100</v>
      </c>
      <c r="D517" s="558">
        <v>2200</v>
      </c>
      <c r="F517" s="693" t="s">
        <v>1306</v>
      </c>
      <c r="G517" s="696">
        <v>445</v>
      </c>
      <c r="H517" s="12" t="s">
        <v>889</v>
      </c>
      <c r="I517" s="12" t="s">
        <v>893</v>
      </c>
      <c r="J517" s="12" t="s">
        <v>906</v>
      </c>
      <c r="K517" s="12" t="s">
        <v>899</v>
      </c>
      <c r="L517" s="12"/>
      <c r="M517" s="11"/>
      <c r="N517" s="11"/>
      <c r="O517" s="11"/>
      <c r="P517" s="11"/>
    </row>
    <row r="518" spans="1:16" hidden="1" x14ac:dyDescent="0.25">
      <c r="A518" s="695">
        <v>56329</v>
      </c>
      <c r="B518" s="558">
        <v>1000</v>
      </c>
      <c r="C518" s="693">
        <v>100</v>
      </c>
      <c r="D518" s="558">
        <v>2300</v>
      </c>
      <c r="F518" s="693" t="s">
        <v>1306</v>
      </c>
      <c r="G518" s="696">
        <v>0</v>
      </c>
      <c r="H518" s="12" t="s">
        <v>889</v>
      </c>
      <c r="I518" s="12" t="s">
        <v>893</v>
      </c>
      <c r="J518" s="12" t="s">
        <v>918</v>
      </c>
      <c r="K518" s="12" t="s">
        <v>899</v>
      </c>
      <c r="L518" s="12"/>
      <c r="M518" s="11"/>
      <c r="N518" s="11"/>
      <c r="O518" s="11"/>
      <c r="P518" s="11"/>
    </row>
    <row r="519" spans="1:16" hidden="1" x14ac:dyDescent="0.25">
      <c r="A519" s="695">
        <v>56329</v>
      </c>
      <c r="B519" s="558">
        <v>1000</v>
      </c>
      <c r="C519" s="693">
        <v>100</v>
      </c>
      <c r="D519" s="558">
        <v>2500</v>
      </c>
      <c r="F519" s="693" t="s">
        <v>1306</v>
      </c>
      <c r="G519" s="696">
        <v>14417</v>
      </c>
      <c r="H519" s="12" t="s">
        <v>889</v>
      </c>
      <c r="I519" s="12" t="s">
        <v>893</v>
      </c>
      <c r="J519" s="12" t="s">
        <v>926</v>
      </c>
      <c r="K519" s="12" t="s">
        <v>899</v>
      </c>
      <c r="L519" s="12"/>
      <c r="M519" s="11"/>
      <c r="N519" s="11"/>
      <c r="O519" s="11"/>
      <c r="P519" s="11"/>
    </row>
    <row r="520" spans="1:16" hidden="1" x14ac:dyDescent="0.25">
      <c r="A520" s="695">
        <v>56329</v>
      </c>
      <c r="B520" s="558">
        <v>1000</v>
      </c>
      <c r="C520" s="693">
        <v>100</v>
      </c>
      <c r="D520" s="558">
        <v>2510</v>
      </c>
      <c r="F520" s="693" t="s">
        <v>1306</v>
      </c>
      <c r="G520" s="696">
        <v>1048</v>
      </c>
      <c r="H520" s="12" t="s">
        <v>889</v>
      </c>
      <c r="I520" s="12" t="s">
        <v>893</v>
      </c>
      <c r="J520" s="12" t="s">
        <v>926</v>
      </c>
      <c r="K520" s="12" t="s">
        <v>899</v>
      </c>
      <c r="L520" s="12"/>
      <c r="M520" s="11"/>
      <c r="N520" s="11"/>
      <c r="O520" s="11"/>
      <c r="P520" s="11"/>
    </row>
    <row r="521" spans="1:16" hidden="1" x14ac:dyDescent="0.25">
      <c r="A521" s="695">
        <v>56329</v>
      </c>
      <c r="B521" s="558">
        <v>1000</v>
      </c>
      <c r="C521" s="693">
        <v>100</v>
      </c>
      <c r="D521" s="558">
        <v>2520</v>
      </c>
      <c r="F521" s="693" t="s">
        <v>1306</v>
      </c>
      <c r="G521" s="696">
        <v>42</v>
      </c>
      <c r="H521" s="12" t="s">
        <v>889</v>
      </c>
      <c r="I521" s="12" t="s">
        <v>893</v>
      </c>
      <c r="J521" s="12" t="s">
        <v>926</v>
      </c>
      <c r="K521" s="12" t="s">
        <v>899</v>
      </c>
      <c r="L521" s="12"/>
      <c r="M521" s="11"/>
      <c r="N521" s="11"/>
      <c r="O521" s="11"/>
      <c r="P521" s="11"/>
    </row>
    <row r="522" spans="1:16" hidden="1" x14ac:dyDescent="0.25">
      <c r="A522" s="695">
        <v>56329</v>
      </c>
      <c r="B522" s="558">
        <v>1000</v>
      </c>
      <c r="C522" s="693">
        <v>200</v>
      </c>
      <c r="D522" s="558">
        <v>2100</v>
      </c>
      <c r="F522" s="693" t="s">
        <v>1306</v>
      </c>
      <c r="G522" s="696">
        <v>6</v>
      </c>
      <c r="H522" s="12" t="s">
        <v>889</v>
      </c>
      <c r="I522" s="12" t="s">
        <v>897</v>
      </c>
      <c r="J522" s="12" t="s">
        <v>902</v>
      </c>
      <c r="K522" s="12" t="s">
        <v>899</v>
      </c>
      <c r="L522" s="12"/>
      <c r="M522" s="11"/>
      <c r="N522" s="11"/>
      <c r="O522" s="11"/>
      <c r="P522" s="11"/>
    </row>
    <row r="523" spans="1:16" hidden="1" x14ac:dyDescent="0.25">
      <c r="A523" s="695">
        <v>56329</v>
      </c>
      <c r="B523" s="558">
        <v>1000</v>
      </c>
      <c r="C523" s="693">
        <v>200</v>
      </c>
      <c r="D523" s="558">
        <v>2200</v>
      </c>
      <c r="F523" s="693" t="s">
        <v>1306</v>
      </c>
      <c r="G523" s="696">
        <v>19</v>
      </c>
      <c r="H523" s="12" t="s">
        <v>889</v>
      </c>
      <c r="I523" s="12" t="s">
        <v>897</v>
      </c>
      <c r="J523" s="12" t="s">
        <v>906</v>
      </c>
      <c r="K523" s="12" t="s">
        <v>899</v>
      </c>
      <c r="L523" s="12"/>
      <c r="M523" s="11"/>
      <c r="N523" s="11"/>
      <c r="O523" s="11"/>
      <c r="P523" s="11"/>
    </row>
    <row r="524" spans="1:16" hidden="1" x14ac:dyDescent="0.25">
      <c r="A524" s="695">
        <v>56329</v>
      </c>
      <c r="B524" s="558">
        <v>1321</v>
      </c>
      <c r="C524" s="693">
        <v>100</v>
      </c>
      <c r="D524" s="558">
        <v>1000</v>
      </c>
      <c r="F524" s="693" t="s">
        <v>1306</v>
      </c>
      <c r="G524" s="696">
        <v>21688</v>
      </c>
      <c r="H524" s="12" t="s">
        <v>968</v>
      </c>
      <c r="I524" s="12" t="s">
        <v>893</v>
      </c>
      <c r="J524" s="12" t="s">
        <v>894</v>
      </c>
      <c r="K524" s="12" t="s">
        <v>899</v>
      </c>
      <c r="L524" s="12"/>
      <c r="M524" s="11"/>
      <c r="N524" s="11"/>
      <c r="O524" s="11"/>
      <c r="P524" s="11"/>
    </row>
    <row r="525" spans="1:16" hidden="1" x14ac:dyDescent="0.25">
      <c r="A525" s="694">
        <v>56329</v>
      </c>
      <c r="B525" s="558" t="s">
        <v>1248</v>
      </c>
      <c r="C525" s="693">
        <v>100</v>
      </c>
      <c r="D525" s="558">
        <v>2500</v>
      </c>
      <c r="F525" s="693" t="s">
        <v>1306</v>
      </c>
      <c r="G525" s="696">
        <v>450</v>
      </c>
      <c r="H525" s="12" t="s">
        <v>904</v>
      </c>
      <c r="I525" s="12" t="s">
        <v>893</v>
      </c>
      <c r="J525" s="12" t="s">
        <v>926</v>
      </c>
      <c r="K525" s="12" t="s">
        <v>899</v>
      </c>
      <c r="L525" s="12"/>
      <c r="M525" s="11"/>
      <c r="N525" s="11"/>
      <c r="O525" s="11"/>
      <c r="P525" s="11"/>
    </row>
    <row r="526" spans="1:16" hidden="1" x14ac:dyDescent="0.25">
      <c r="A526" s="694">
        <v>56331</v>
      </c>
      <c r="B526" s="558">
        <v>1000</v>
      </c>
      <c r="C526" s="693">
        <v>100</v>
      </c>
      <c r="D526" s="558">
        <v>2500</v>
      </c>
      <c r="F526" s="693" t="s">
        <v>1307</v>
      </c>
      <c r="G526" s="696">
        <v>68213</v>
      </c>
      <c r="H526" s="12" t="s">
        <v>889</v>
      </c>
      <c r="I526" s="12" t="s">
        <v>893</v>
      </c>
      <c r="J526" s="12" t="s">
        <v>926</v>
      </c>
      <c r="K526" s="12" t="s">
        <v>899</v>
      </c>
      <c r="L526" s="12"/>
      <c r="M526" s="11"/>
      <c r="N526" s="11"/>
      <c r="O526" s="11"/>
      <c r="P526" s="11"/>
    </row>
    <row r="527" spans="1:16" hidden="1" x14ac:dyDescent="0.25">
      <c r="A527" s="694">
        <v>56333</v>
      </c>
      <c r="B527" s="558">
        <v>1000</v>
      </c>
      <c r="C527" s="693">
        <v>100</v>
      </c>
      <c r="D527" s="558">
        <v>2500</v>
      </c>
      <c r="F527" s="693" t="s">
        <v>1308</v>
      </c>
      <c r="G527" s="696">
        <v>921</v>
      </c>
      <c r="H527" s="12" t="s">
        <v>889</v>
      </c>
      <c r="I527" s="12" t="s">
        <v>893</v>
      </c>
      <c r="J527" s="12" t="s">
        <v>926</v>
      </c>
      <c r="K527" s="12" t="s">
        <v>899</v>
      </c>
      <c r="L527" s="12"/>
      <c r="M527" s="11"/>
      <c r="N527" s="11"/>
      <c r="O527" s="11"/>
      <c r="P527" s="11"/>
    </row>
    <row r="528" spans="1:16" hidden="1" x14ac:dyDescent="0.25">
      <c r="A528" s="694">
        <v>56411</v>
      </c>
      <c r="B528" s="558">
        <v>1000</v>
      </c>
      <c r="C528" s="693">
        <v>100</v>
      </c>
      <c r="D528" s="558">
        <v>2600</v>
      </c>
      <c r="F528" s="693" t="s">
        <v>1309</v>
      </c>
      <c r="G528" s="696">
        <v>1749</v>
      </c>
      <c r="H528" s="12" t="s">
        <v>889</v>
      </c>
      <c r="I528" s="12" t="s">
        <v>893</v>
      </c>
      <c r="J528" s="12" t="s">
        <v>930</v>
      </c>
      <c r="K528" s="12" t="s">
        <v>899</v>
      </c>
      <c r="L528" s="12"/>
      <c r="M528" s="11"/>
      <c r="N528" s="11"/>
      <c r="O528" s="11"/>
      <c r="P528" s="11"/>
    </row>
    <row r="529" spans="1:16" hidden="1" x14ac:dyDescent="0.25">
      <c r="A529" s="695">
        <v>56421</v>
      </c>
      <c r="B529" s="558">
        <v>1000</v>
      </c>
      <c r="C529" s="693">
        <v>100</v>
      </c>
      <c r="D529" s="558">
        <v>2500</v>
      </c>
      <c r="F529" s="693" t="s">
        <v>1310</v>
      </c>
      <c r="G529" s="696">
        <v>7</v>
      </c>
      <c r="H529" s="12" t="s">
        <v>889</v>
      </c>
      <c r="I529" s="12" t="s">
        <v>893</v>
      </c>
      <c r="J529" s="12" t="s">
        <v>926</v>
      </c>
      <c r="K529" s="12" t="s">
        <v>899</v>
      </c>
      <c r="L529" s="12"/>
      <c r="M529" s="11"/>
      <c r="N529" s="11"/>
      <c r="O529" s="11"/>
      <c r="P529" s="11"/>
    </row>
    <row r="530" spans="1:16" hidden="1" x14ac:dyDescent="0.25">
      <c r="A530" s="694">
        <v>56421</v>
      </c>
      <c r="B530" s="558">
        <v>1000</v>
      </c>
      <c r="C530" s="693">
        <v>100</v>
      </c>
      <c r="D530" s="558">
        <v>2600</v>
      </c>
      <c r="F530" s="693" t="s">
        <v>1310</v>
      </c>
      <c r="G530" s="696">
        <v>2521</v>
      </c>
      <c r="H530" s="12" t="s">
        <v>889</v>
      </c>
      <c r="I530" s="12" t="s">
        <v>893</v>
      </c>
      <c r="J530" s="12" t="s">
        <v>930</v>
      </c>
      <c r="K530" s="12" t="s">
        <v>899</v>
      </c>
      <c r="L530" s="12"/>
      <c r="M530" s="11"/>
      <c r="N530" s="11"/>
      <c r="O530" s="11"/>
      <c r="P530" s="11"/>
    </row>
    <row r="531" spans="1:16" hidden="1" x14ac:dyDescent="0.25">
      <c r="A531" s="695">
        <v>56424</v>
      </c>
      <c r="B531" s="558">
        <v>1000</v>
      </c>
      <c r="C531" s="693">
        <v>100</v>
      </c>
      <c r="D531" s="558">
        <v>2300</v>
      </c>
      <c r="F531" s="693" t="s">
        <v>1311</v>
      </c>
      <c r="G531" s="696">
        <v>1</v>
      </c>
      <c r="H531" s="12" t="s">
        <v>889</v>
      </c>
      <c r="I531" s="12" t="s">
        <v>893</v>
      </c>
      <c r="J531" s="12" t="s">
        <v>918</v>
      </c>
      <c r="K531" s="12" t="s">
        <v>899</v>
      </c>
      <c r="L531" s="12"/>
      <c r="M531" s="11"/>
      <c r="N531" s="11"/>
      <c r="O531" s="11"/>
      <c r="P531" s="11"/>
    </row>
    <row r="532" spans="1:16" hidden="1" x14ac:dyDescent="0.25">
      <c r="A532" s="694">
        <v>56424</v>
      </c>
      <c r="B532" s="558">
        <v>1000</v>
      </c>
      <c r="C532" s="693">
        <v>100</v>
      </c>
      <c r="D532" s="558">
        <v>2600</v>
      </c>
      <c r="F532" s="693" t="s">
        <v>1311</v>
      </c>
      <c r="G532" s="696">
        <v>12149</v>
      </c>
      <c r="H532" s="12" t="s">
        <v>889</v>
      </c>
      <c r="I532" s="12" t="s">
        <v>893</v>
      </c>
      <c r="J532" s="12" t="s">
        <v>930</v>
      </c>
      <c r="K532" s="12" t="s">
        <v>899</v>
      </c>
      <c r="L532" s="12"/>
      <c r="M532" s="11"/>
      <c r="N532" s="11"/>
      <c r="O532" s="11"/>
      <c r="P532" s="11"/>
    </row>
    <row r="533" spans="1:16" hidden="1" x14ac:dyDescent="0.25">
      <c r="A533" s="694">
        <v>56425</v>
      </c>
      <c r="B533" s="558">
        <v>1000</v>
      </c>
      <c r="C533" s="693">
        <v>100</v>
      </c>
      <c r="D533" s="558">
        <v>2600</v>
      </c>
      <c r="F533" s="693" t="s">
        <v>1312</v>
      </c>
      <c r="G533" s="696">
        <v>1308</v>
      </c>
      <c r="H533" s="12" t="s">
        <v>889</v>
      </c>
      <c r="I533" s="12" t="s">
        <v>893</v>
      </c>
      <c r="J533" s="12" t="s">
        <v>930</v>
      </c>
      <c r="K533" s="12" t="s">
        <v>899</v>
      </c>
      <c r="L533" s="12"/>
      <c r="M533" s="11"/>
      <c r="N533" s="11"/>
      <c r="O533" s="11"/>
      <c r="P533" s="11"/>
    </row>
    <row r="534" spans="1:16" hidden="1" x14ac:dyDescent="0.25">
      <c r="A534" s="694">
        <v>56427</v>
      </c>
      <c r="B534" s="558">
        <v>1000</v>
      </c>
      <c r="C534" s="693">
        <v>100</v>
      </c>
      <c r="D534" s="558">
        <v>2600</v>
      </c>
      <c r="F534" s="693" t="s">
        <v>1313</v>
      </c>
      <c r="G534" s="696">
        <v>1048</v>
      </c>
      <c r="H534" s="12" t="s">
        <v>889</v>
      </c>
      <c r="I534" s="12" t="s">
        <v>893</v>
      </c>
      <c r="J534" s="12" t="s">
        <v>930</v>
      </c>
      <c r="K534" s="12" t="s">
        <v>899</v>
      </c>
      <c r="L534" s="12"/>
      <c r="M534" s="11"/>
      <c r="N534" s="11"/>
      <c r="O534" s="11"/>
      <c r="P534" s="11"/>
    </row>
    <row r="535" spans="1:16" hidden="1" x14ac:dyDescent="0.25">
      <c r="A535" s="694">
        <v>56431</v>
      </c>
      <c r="B535" s="558">
        <v>1000</v>
      </c>
      <c r="C535" s="693">
        <v>100</v>
      </c>
      <c r="D535" s="558">
        <v>2600</v>
      </c>
      <c r="F535" s="693" t="s">
        <v>1314</v>
      </c>
      <c r="G535" s="696">
        <v>28229</v>
      </c>
      <c r="H535" s="12" t="s">
        <v>889</v>
      </c>
      <c r="I535" s="12" t="s">
        <v>893</v>
      </c>
      <c r="J535" s="12" t="s">
        <v>930</v>
      </c>
      <c r="K535" s="12" t="s">
        <v>899</v>
      </c>
      <c r="L535" s="12"/>
      <c r="M535" s="11"/>
      <c r="N535" s="11"/>
      <c r="O535" s="11"/>
      <c r="P535" s="11"/>
    </row>
    <row r="536" spans="1:16" hidden="1" x14ac:dyDescent="0.25">
      <c r="A536" s="695">
        <v>56432</v>
      </c>
      <c r="B536" s="558">
        <v>1000</v>
      </c>
      <c r="C536" s="693">
        <v>100</v>
      </c>
      <c r="D536" s="558">
        <v>1000</v>
      </c>
      <c r="F536" s="693" t="s">
        <v>1315</v>
      </c>
      <c r="G536" s="696">
        <v>87</v>
      </c>
      <c r="H536" s="12" t="s">
        <v>889</v>
      </c>
      <c r="I536" s="12" t="s">
        <v>893</v>
      </c>
      <c r="J536" s="12" t="s">
        <v>894</v>
      </c>
      <c r="K536" s="12" t="s">
        <v>899</v>
      </c>
      <c r="L536" s="12"/>
      <c r="M536" s="11"/>
      <c r="N536" s="11"/>
      <c r="O536" s="11"/>
      <c r="P536" s="11"/>
    </row>
    <row r="537" spans="1:16" hidden="1" x14ac:dyDescent="0.25">
      <c r="A537" s="694">
        <v>56432</v>
      </c>
      <c r="B537" s="558">
        <v>1000</v>
      </c>
      <c r="C537" s="693">
        <v>100</v>
      </c>
      <c r="D537" s="558">
        <v>2200</v>
      </c>
      <c r="F537" s="693" t="s">
        <v>1315</v>
      </c>
      <c r="G537" s="696">
        <v>5</v>
      </c>
      <c r="H537" s="12" t="s">
        <v>889</v>
      </c>
      <c r="I537" s="12" t="s">
        <v>893</v>
      </c>
      <c r="J537" s="12" t="s">
        <v>906</v>
      </c>
      <c r="K537" s="12" t="s">
        <v>899</v>
      </c>
      <c r="L537" s="12"/>
      <c r="M537" s="11"/>
      <c r="N537" s="11"/>
      <c r="O537" s="11"/>
      <c r="P537" s="11"/>
    </row>
    <row r="538" spans="1:16" hidden="1" x14ac:dyDescent="0.25">
      <c r="A538" s="695">
        <v>56440</v>
      </c>
      <c r="B538" s="558">
        <v>1000</v>
      </c>
      <c r="C538" s="693">
        <v>100</v>
      </c>
      <c r="D538" s="558">
        <v>2100</v>
      </c>
      <c r="F538" s="693" t="s">
        <v>1316</v>
      </c>
      <c r="G538" s="696">
        <v>100</v>
      </c>
      <c r="H538" s="12" t="s">
        <v>889</v>
      </c>
      <c r="I538" s="12" t="s">
        <v>893</v>
      </c>
      <c r="J538" s="12" t="s">
        <v>902</v>
      </c>
      <c r="K538" s="12" t="s">
        <v>899</v>
      </c>
      <c r="L538" s="12"/>
      <c r="M538" s="11"/>
      <c r="N538" s="11"/>
      <c r="O538" s="11"/>
      <c r="P538" s="11"/>
    </row>
    <row r="539" spans="1:16" hidden="1" x14ac:dyDescent="0.25">
      <c r="A539" s="695">
        <v>56440</v>
      </c>
      <c r="B539" s="558">
        <v>1000</v>
      </c>
      <c r="C539" s="693">
        <v>100</v>
      </c>
      <c r="D539" s="558">
        <v>2300</v>
      </c>
      <c r="F539" s="693" t="s">
        <v>1316</v>
      </c>
      <c r="G539" s="696">
        <v>7</v>
      </c>
      <c r="H539" s="12" t="s">
        <v>889</v>
      </c>
      <c r="I539" s="12" t="s">
        <v>893</v>
      </c>
      <c r="J539" s="12" t="s">
        <v>918</v>
      </c>
      <c r="K539" s="12" t="s">
        <v>899</v>
      </c>
      <c r="L539" s="12"/>
      <c r="M539" s="11"/>
      <c r="N539" s="11"/>
      <c r="O539" s="11"/>
      <c r="P539" s="11"/>
    </row>
    <row r="540" spans="1:16" hidden="1" x14ac:dyDescent="0.25">
      <c r="A540" s="695">
        <v>56440</v>
      </c>
      <c r="B540" s="558">
        <v>1000</v>
      </c>
      <c r="C540" s="693">
        <v>100</v>
      </c>
      <c r="D540" s="558">
        <v>2500</v>
      </c>
      <c r="F540" s="693" t="s">
        <v>1316</v>
      </c>
      <c r="G540" s="696">
        <v>1928</v>
      </c>
      <c r="H540" s="12" t="s">
        <v>889</v>
      </c>
      <c r="I540" s="12" t="s">
        <v>893</v>
      </c>
      <c r="J540" s="12" t="s">
        <v>926</v>
      </c>
      <c r="K540" s="12" t="s">
        <v>899</v>
      </c>
      <c r="L540" s="12"/>
      <c r="M540" s="11"/>
      <c r="N540" s="11"/>
      <c r="O540" s="11"/>
      <c r="P540" s="11"/>
    </row>
    <row r="541" spans="1:16" hidden="1" x14ac:dyDescent="0.25">
      <c r="A541" s="694">
        <v>56440</v>
      </c>
      <c r="B541" s="558">
        <v>1000</v>
      </c>
      <c r="C541" s="693">
        <v>100</v>
      </c>
      <c r="D541" s="558">
        <v>2600</v>
      </c>
      <c r="F541" s="693" t="s">
        <v>1316</v>
      </c>
      <c r="G541" s="696">
        <v>125234</v>
      </c>
      <c r="H541" s="12" t="s">
        <v>889</v>
      </c>
      <c r="I541" s="12" t="s">
        <v>893</v>
      </c>
      <c r="J541" s="12" t="s">
        <v>930</v>
      </c>
      <c r="K541" s="12" t="s">
        <v>899</v>
      </c>
      <c r="L541" s="12"/>
      <c r="M541" s="11"/>
      <c r="N541" s="11"/>
      <c r="O541" s="11"/>
      <c r="P541" s="11"/>
    </row>
    <row r="542" spans="1:16" hidden="1" x14ac:dyDescent="0.25">
      <c r="A542" s="695">
        <v>56443</v>
      </c>
      <c r="B542" s="558">
        <v>1000</v>
      </c>
      <c r="C542" s="693">
        <v>100</v>
      </c>
      <c r="D542" s="558">
        <v>1000</v>
      </c>
      <c r="F542" s="693" t="s">
        <v>1317</v>
      </c>
      <c r="G542" s="696">
        <v>3634</v>
      </c>
      <c r="H542" s="12" t="s">
        <v>889</v>
      </c>
      <c r="I542" s="12" t="s">
        <v>893</v>
      </c>
      <c r="J542" s="12" t="s">
        <v>894</v>
      </c>
      <c r="K542" s="12" t="s">
        <v>899</v>
      </c>
      <c r="L542" s="12"/>
      <c r="M542" s="11"/>
      <c r="N542" s="11"/>
      <c r="O542" s="11"/>
      <c r="P542" s="11"/>
    </row>
    <row r="543" spans="1:16" hidden="1" x14ac:dyDescent="0.25">
      <c r="A543" s="694">
        <v>56443</v>
      </c>
      <c r="B543" s="558">
        <v>1000</v>
      </c>
      <c r="C543" s="693">
        <v>100</v>
      </c>
      <c r="D543" s="558">
        <v>2500</v>
      </c>
      <c r="F543" s="693" t="s">
        <v>1317</v>
      </c>
      <c r="G543" s="696">
        <v>485</v>
      </c>
      <c r="H543" s="12" t="s">
        <v>889</v>
      </c>
      <c r="I543" s="12" t="s">
        <v>893</v>
      </c>
      <c r="J543" s="12" t="s">
        <v>926</v>
      </c>
      <c r="K543" s="12" t="s">
        <v>899</v>
      </c>
      <c r="L543" s="12"/>
      <c r="M543" s="11"/>
      <c r="N543" s="11"/>
      <c r="O543" s="11"/>
      <c r="P543" s="11"/>
    </row>
    <row r="544" spans="1:16" hidden="1" x14ac:dyDescent="0.25">
      <c r="A544" s="695">
        <v>56510</v>
      </c>
      <c r="B544" s="558">
        <v>1000</v>
      </c>
      <c r="C544" s="693">
        <v>400</v>
      </c>
      <c r="D544" s="558">
        <v>2700</v>
      </c>
      <c r="F544" s="693" t="s">
        <v>1318</v>
      </c>
      <c r="G544" s="696">
        <v>27628</v>
      </c>
      <c r="H544" s="12" t="s">
        <v>889</v>
      </c>
      <c r="I544" s="12" t="s">
        <v>913</v>
      </c>
      <c r="J544" s="12" t="s">
        <v>934</v>
      </c>
      <c r="K544" s="12" t="s">
        <v>899</v>
      </c>
      <c r="L544" s="12"/>
      <c r="M544" s="11"/>
      <c r="N544" s="11"/>
      <c r="O544" s="11"/>
      <c r="P544" s="11"/>
    </row>
    <row r="545" spans="1:16" hidden="1" x14ac:dyDescent="0.25">
      <c r="A545" s="694">
        <v>56510</v>
      </c>
      <c r="B545" s="558" t="s">
        <v>1248</v>
      </c>
      <c r="C545" s="693">
        <v>400</v>
      </c>
      <c r="D545" s="558">
        <v>2700</v>
      </c>
      <c r="F545" s="693" t="s">
        <v>1318</v>
      </c>
      <c r="G545" s="696">
        <v>175</v>
      </c>
      <c r="H545" s="12" t="s">
        <v>904</v>
      </c>
      <c r="I545" s="12" t="s">
        <v>913</v>
      </c>
      <c r="J545" s="12" t="s">
        <v>934</v>
      </c>
      <c r="K545" s="12" t="s">
        <v>899</v>
      </c>
      <c r="L545" s="12"/>
      <c r="M545" s="11"/>
      <c r="N545" s="11"/>
      <c r="O545" s="11"/>
      <c r="P545" s="11"/>
    </row>
    <row r="546" spans="1:16" hidden="1" x14ac:dyDescent="0.25">
      <c r="A546" s="694">
        <v>56520</v>
      </c>
      <c r="B546" s="558">
        <v>1000</v>
      </c>
      <c r="C546" s="693">
        <v>100</v>
      </c>
      <c r="D546" s="558">
        <v>2600</v>
      </c>
      <c r="F546" s="693" t="s">
        <v>1319</v>
      </c>
      <c r="G546" s="696">
        <v>2247</v>
      </c>
      <c r="H546" s="12" t="s">
        <v>889</v>
      </c>
      <c r="I546" s="12" t="s">
        <v>893</v>
      </c>
      <c r="J546" s="12" t="s">
        <v>930</v>
      </c>
      <c r="K546" s="12" t="s">
        <v>899</v>
      </c>
      <c r="L546" s="12"/>
      <c r="M546" s="11"/>
      <c r="N546" s="11"/>
      <c r="O546" s="11"/>
      <c r="P546" s="11"/>
    </row>
    <row r="547" spans="1:16" hidden="1" x14ac:dyDescent="0.25">
      <c r="A547" s="695">
        <v>56531</v>
      </c>
      <c r="B547" s="558">
        <v>1000</v>
      </c>
      <c r="C547" s="693">
        <v>100</v>
      </c>
      <c r="D547" s="558">
        <v>2100</v>
      </c>
      <c r="F547" s="693" t="s">
        <v>1320</v>
      </c>
      <c r="G547" s="696">
        <v>440</v>
      </c>
      <c r="H547" s="12" t="s">
        <v>889</v>
      </c>
      <c r="I547" s="12" t="s">
        <v>893</v>
      </c>
      <c r="J547" s="12" t="s">
        <v>902</v>
      </c>
      <c r="K547" s="12" t="s">
        <v>899</v>
      </c>
      <c r="L547" s="12"/>
      <c r="M547" s="11"/>
      <c r="N547" s="11"/>
      <c r="O547" s="11"/>
      <c r="P547" s="11"/>
    </row>
    <row r="548" spans="1:16" hidden="1" x14ac:dyDescent="0.25">
      <c r="A548" s="695">
        <v>56531</v>
      </c>
      <c r="B548" s="558">
        <v>1000</v>
      </c>
      <c r="C548" s="693">
        <v>100</v>
      </c>
      <c r="D548" s="558">
        <v>2300</v>
      </c>
      <c r="F548" s="693" t="s">
        <v>1320</v>
      </c>
      <c r="G548" s="696">
        <v>5</v>
      </c>
      <c r="H548" s="12" t="s">
        <v>889</v>
      </c>
      <c r="I548" s="12" t="s">
        <v>893</v>
      </c>
      <c r="J548" s="12" t="s">
        <v>918</v>
      </c>
      <c r="K548" s="12" t="s">
        <v>899</v>
      </c>
      <c r="L548" s="12"/>
      <c r="M548" s="11"/>
      <c r="N548" s="11"/>
      <c r="O548" s="11"/>
      <c r="P548" s="11"/>
    </row>
    <row r="549" spans="1:16" hidden="1" x14ac:dyDescent="0.25">
      <c r="A549" s="695">
        <v>56531</v>
      </c>
      <c r="B549" s="558">
        <v>1000</v>
      </c>
      <c r="C549" s="693">
        <v>100</v>
      </c>
      <c r="D549" s="558">
        <v>2500</v>
      </c>
      <c r="F549" s="693" t="s">
        <v>1320</v>
      </c>
      <c r="G549" s="696">
        <v>4719</v>
      </c>
      <c r="H549" s="12" t="s">
        <v>889</v>
      </c>
      <c r="I549" s="12" t="s">
        <v>893</v>
      </c>
      <c r="J549" s="12" t="s">
        <v>926</v>
      </c>
      <c r="K549" s="12" t="s">
        <v>899</v>
      </c>
      <c r="L549" s="12"/>
      <c r="M549" s="11"/>
      <c r="N549" s="11"/>
      <c r="O549" s="11"/>
      <c r="P549" s="11"/>
    </row>
    <row r="550" spans="1:16" hidden="1" x14ac:dyDescent="0.25">
      <c r="A550" s="694">
        <v>56531</v>
      </c>
      <c r="B550" s="558">
        <v>1000</v>
      </c>
      <c r="C550" s="693">
        <v>100</v>
      </c>
      <c r="D550" s="558">
        <v>2600</v>
      </c>
      <c r="F550" s="693" t="s">
        <v>1320</v>
      </c>
      <c r="G550" s="696">
        <v>12003</v>
      </c>
      <c r="H550" s="12" t="s">
        <v>889</v>
      </c>
      <c r="I550" s="12" t="s">
        <v>893</v>
      </c>
      <c r="J550" s="12" t="s">
        <v>930</v>
      </c>
      <c r="K550" s="12" t="s">
        <v>899</v>
      </c>
      <c r="L550" s="12"/>
      <c r="M550" s="11"/>
      <c r="N550" s="11"/>
      <c r="O550" s="11"/>
      <c r="P550" s="11"/>
    </row>
    <row r="551" spans="1:16" hidden="1" x14ac:dyDescent="0.25">
      <c r="A551" s="695">
        <v>56533</v>
      </c>
      <c r="B551" s="558">
        <v>1000</v>
      </c>
      <c r="C551" s="693">
        <v>100</v>
      </c>
      <c r="D551" s="558">
        <v>1000</v>
      </c>
      <c r="F551" s="693" t="s">
        <v>1321</v>
      </c>
      <c r="G551" s="696">
        <v>375</v>
      </c>
      <c r="H551" s="12" t="s">
        <v>889</v>
      </c>
      <c r="I551" s="12" t="s">
        <v>893</v>
      </c>
      <c r="J551" s="12" t="s">
        <v>894</v>
      </c>
      <c r="K551" s="12" t="s">
        <v>899</v>
      </c>
      <c r="L551" s="12"/>
      <c r="M551" s="11"/>
      <c r="N551" s="11"/>
      <c r="O551" s="11"/>
      <c r="P551" s="11"/>
    </row>
    <row r="552" spans="1:16" hidden="1" x14ac:dyDescent="0.25">
      <c r="A552" s="695">
        <v>56533</v>
      </c>
      <c r="B552" s="558">
        <v>1000</v>
      </c>
      <c r="C552" s="693">
        <v>100</v>
      </c>
      <c r="D552" s="558">
        <v>2200</v>
      </c>
      <c r="F552" s="693" t="s">
        <v>1321</v>
      </c>
      <c r="G552" s="696">
        <v>4</v>
      </c>
      <c r="H552" s="12" t="s">
        <v>889</v>
      </c>
      <c r="I552" s="12" t="s">
        <v>893</v>
      </c>
      <c r="J552" s="12" t="s">
        <v>906</v>
      </c>
      <c r="K552" s="12" t="s">
        <v>899</v>
      </c>
      <c r="L552" s="12"/>
      <c r="M552" s="11"/>
      <c r="N552" s="11"/>
      <c r="O552" s="11"/>
      <c r="P552" s="11"/>
    </row>
    <row r="553" spans="1:16" hidden="1" x14ac:dyDescent="0.25">
      <c r="A553" s="695">
        <v>56533</v>
      </c>
      <c r="B553" s="558">
        <v>1000</v>
      </c>
      <c r="C553" s="693">
        <v>100</v>
      </c>
      <c r="D553" s="558">
        <v>2500</v>
      </c>
      <c r="F553" s="693" t="s">
        <v>1321</v>
      </c>
      <c r="G553" s="696">
        <v>100</v>
      </c>
      <c r="H553" s="12" t="s">
        <v>889</v>
      </c>
      <c r="I553" s="12" t="s">
        <v>893</v>
      </c>
      <c r="J553" s="12" t="s">
        <v>926</v>
      </c>
      <c r="K553" s="12" t="s">
        <v>899</v>
      </c>
      <c r="L553" s="12"/>
      <c r="M553" s="11"/>
      <c r="N553" s="11"/>
      <c r="O553" s="11"/>
      <c r="P553" s="11"/>
    </row>
    <row r="554" spans="1:16" hidden="1" x14ac:dyDescent="0.25">
      <c r="A554" s="694">
        <v>56533</v>
      </c>
      <c r="B554" s="558">
        <v>1000</v>
      </c>
      <c r="C554" s="693">
        <v>100</v>
      </c>
      <c r="D554" s="558">
        <v>2600</v>
      </c>
      <c r="F554" s="693" t="s">
        <v>1321</v>
      </c>
      <c r="G554" s="696">
        <v>1</v>
      </c>
      <c r="H554" s="12" t="s">
        <v>889</v>
      </c>
      <c r="I554" s="12" t="s">
        <v>893</v>
      </c>
      <c r="J554" s="12" t="s">
        <v>930</v>
      </c>
      <c r="K554" s="12" t="s">
        <v>899</v>
      </c>
      <c r="L554" s="12"/>
      <c r="M554" s="11"/>
      <c r="N554" s="11"/>
      <c r="O554" s="11"/>
      <c r="P554" s="11"/>
    </row>
    <row r="555" spans="1:16" hidden="1" x14ac:dyDescent="0.25">
      <c r="A555" s="695">
        <v>56550</v>
      </c>
      <c r="B555" s="558">
        <v>1000</v>
      </c>
      <c r="C555" s="693">
        <v>100</v>
      </c>
      <c r="D555" s="558">
        <v>1000</v>
      </c>
      <c r="F555" s="693" t="s">
        <v>1322</v>
      </c>
      <c r="G555" s="696">
        <v>52</v>
      </c>
      <c r="H555" s="12" t="s">
        <v>889</v>
      </c>
      <c r="I555" s="12" t="s">
        <v>893</v>
      </c>
      <c r="J555" s="12" t="s">
        <v>894</v>
      </c>
      <c r="K555" s="12" t="s">
        <v>899</v>
      </c>
      <c r="L555" s="12"/>
      <c r="M555" s="11"/>
      <c r="N555" s="11"/>
      <c r="O555" s="11"/>
      <c r="P555" s="11"/>
    </row>
    <row r="556" spans="1:16" hidden="1" x14ac:dyDescent="0.25">
      <c r="A556" s="695">
        <v>56550</v>
      </c>
      <c r="B556" s="558">
        <v>1000</v>
      </c>
      <c r="C556" s="693">
        <v>100</v>
      </c>
      <c r="D556" s="558">
        <v>2400</v>
      </c>
      <c r="F556" s="693" t="s">
        <v>1322</v>
      </c>
      <c r="G556" s="696">
        <v>36</v>
      </c>
      <c r="H556" s="12" t="s">
        <v>889</v>
      </c>
      <c r="I556" s="12" t="s">
        <v>893</v>
      </c>
      <c r="J556" s="12" t="s">
        <v>922</v>
      </c>
      <c r="K556" s="12" t="s">
        <v>899</v>
      </c>
      <c r="L556" s="12"/>
      <c r="M556" s="11"/>
      <c r="N556" s="11"/>
      <c r="O556" s="11"/>
      <c r="P556" s="11"/>
    </row>
    <row r="557" spans="1:16" hidden="1" x14ac:dyDescent="0.25">
      <c r="A557" s="694">
        <v>56550</v>
      </c>
      <c r="B557" s="558">
        <v>1000</v>
      </c>
      <c r="C557" s="693">
        <v>100</v>
      </c>
      <c r="D557" s="558">
        <v>2500</v>
      </c>
      <c r="F557" s="693" t="s">
        <v>1322</v>
      </c>
      <c r="G557" s="696">
        <v>1662</v>
      </c>
      <c r="H557" s="12" t="s">
        <v>889</v>
      </c>
      <c r="I557" s="12" t="s">
        <v>893</v>
      </c>
      <c r="J557" s="12" t="s">
        <v>926</v>
      </c>
      <c r="K557" s="12" t="s">
        <v>899</v>
      </c>
      <c r="L557" s="12"/>
      <c r="M557" s="11"/>
      <c r="N557" s="11"/>
      <c r="O557" s="11"/>
      <c r="P557" s="11"/>
    </row>
    <row r="558" spans="1:16" hidden="1" x14ac:dyDescent="0.25">
      <c r="A558" s="695">
        <v>56580</v>
      </c>
      <c r="B558" s="558">
        <v>1000</v>
      </c>
      <c r="C558" s="693">
        <v>100</v>
      </c>
      <c r="D558" s="558">
        <v>1000</v>
      </c>
      <c r="F558" s="693" t="s">
        <v>1323</v>
      </c>
      <c r="G558" s="696">
        <v>-14</v>
      </c>
      <c r="H558" s="12" t="s">
        <v>889</v>
      </c>
      <c r="I558" s="12" t="s">
        <v>893</v>
      </c>
      <c r="J558" s="12" t="s">
        <v>894</v>
      </c>
      <c r="K558" s="12" t="s">
        <v>899</v>
      </c>
      <c r="L558" s="12"/>
      <c r="M558" s="11"/>
      <c r="N558" s="11"/>
      <c r="O558" s="11"/>
      <c r="P558" s="11"/>
    </row>
    <row r="559" spans="1:16" hidden="1" x14ac:dyDescent="0.25">
      <c r="A559" s="695">
        <v>56580</v>
      </c>
      <c r="B559" s="558">
        <v>1000</v>
      </c>
      <c r="C559" s="693">
        <v>100</v>
      </c>
      <c r="D559" s="558">
        <v>2100</v>
      </c>
      <c r="F559" s="693" t="s">
        <v>1323</v>
      </c>
      <c r="G559" s="696">
        <v>1614</v>
      </c>
      <c r="H559" s="12" t="s">
        <v>889</v>
      </c>
      <c r="I559" s="12" t="s">
        <v>893</v>
      </c>
      <c r="J559" s="12" t="s">
        <v>902</v>
      </c>
      <c r="K559" s="12" t="s">
        <v>899</v>
      </c>
      <c r="L559" s="12"/>
      <c r="M559" s="11"/>
      <c r="N559" s="11"/>
      <c r="O559" s="11"/>
      <c r="P559" s="11"/>
    </row>
    <row r="560" spans="1:16" hidden="1" x14ac:dyDescent="0.25">
      <c r="A560" s="695">
        <v>56580</v>
      </c>
      <c r="B560" s="558">
        <v>1000</v>
      </c>
      <c r="C560" s="693">
        <v>100</v>
      </c>
      <c r="D560" s="558">
        <v>2200</v>
      </c>
      <c r="F560" s="693" t="s">
        <v>1323</v>
      </c>
      <c r="G560" s="696">
        <v>14</v>
      </c>
      <c r="H560" s="12" t="s">
        <v>889</v>
      </c>
      <c r="I560" s="12" t="s">
        <v>893</v>
      </c>
      <c r="J560" s="12" t="s">
        <v>906</v>
      </c>
      <c r="K560" s="12" t="s">
        <v>899</v>
      </c>
      <c r="L560" s="12"/>
      <c r="M560" s="11"/>
      <c r="N560" s="11"/>
      <c r="O560" s="11"/>
      <c r="P560" s="11"/>
    </row>
    <row r="561" spans="1:16" hidden="1" x14ac:dyDescent="0.25">
      <c r="A561" s="695">
        <v>56580</v>
      </c>
      <c r="B561" s="558">
        <v>1000</v>
      </c>
      <c r="C561" s="693">
        <v>100</v>
      </c>
      <c r="D561" s="558">
        <v>2300</v>
      </c>
      <c r="F561" s="693" t="s">
        <v>1323</v>
      </c>
      <c r="G561" s="696">
        <v>494</v>
      </c>
      <c r="H561" s="12" t="s">
        <v>889</v>
      </c>
      <c r="I561" s="12" t="s">
        <v>893</v>
      </c>
      <c r="J561" s="12" t="s">
        <v>918</v>
      </c>
      <c r="K561" s="12" t="s">
        <v>899</v>
      </c>
      <c r="L561" s="12"/>
      <c r="M561" s="11"/>
      <c r="N561" s="11"/>
      <c r="O561" s="11"/>
      <c r="P561" s="11"/>
    </row>
    <row r="562" spans="1:16" hidden="1" x14ac:dyDescent="0.25">
      <c r="A562" s="695">
        <v>56580</v>
      </c>
      <c r="B562" s="558">
        <v>1000</v>
      </c>
      <c r="C562" s="693">
        <v>100</v>
      </c>
      <c r="D562" s="558">
        <v>2400</v>
      </c>
      <c r="F562" s="693" t="s">
        <v>1323</v>
      </c>
      <c r="G562" s="696">
        <v>-130</v>
      </c>
      <c r="H562" s="12" t="s">
        <v>889</v>
      </c>
      <c r="I562" s="12" t="s">
        <v>893</v>
      </c>
      <c r="J562" s="12" t="s">
        <v>922</v>
      </c>
      <c r="K562" s="12" t="s">
        <v>899</v>
      </c>
      <c r="L562" s="12"/>
      <c r="M562" s="11"/>
      <c r="N562" s="11"/>
      <c r="O562" s="11"/>
      <c r="P562" s="11"/>
    </row>
    <row r="563" spans="1:16" hidden="1" x14ac:dyDescent="0.25">
      <c r="A563" s="695">
        <v>56580</v>
      </c>
      <c r="B563" s="558">
        <v>1000</v>
      </c>
      <c r="C563" s="693">
        <v>100</v>
      </c>
      <c r="D563" s="558">
        <v>2500</v>
      </c>
      <c r="F563" s="693" t="s">
        <v>1323</v>
      </c>
      <c r="G563" s="696">
        <v>910</v>
      </c>
      <c r="H563" s="12" t="s">
        <v>889</v>
      </c>
      <c r="I563" s="12" t="s">
        <v>893</v>
      </c>
      <c r="J563" s="12" t="s">
        <v>926</v>
      </c>
      <c r="K563" s="12" t="s">
        <v>899</v>
      </c>
      <c r="L563" s="12"/>
      <c r="M563" s="11"/>
      <c r="N563" s="11"/>
      <c r="O563" s="11"/>
      <c r="P563" s="11"/>
    </row>
    <row r="564" spans="1:16" hidden="1" x14ac:dyDescent="0.25">
      <c r="A564" s="695">
        <v>56580</v>
      </c>
      <c r="B564" s="558">
        <v>1000</v>
      </c>
      <c r="C564" s="693">
        <v>100</v>
      </c>
      <c r="D564" s="558">
        <v>2510</v>
      </c>
      <c r="F564" s="693" t="s">
        <v>1323</v>
      </c>
      <c r="G564" s="696">
        <v>128</v>
      </c>
      <c r="H564" s="12" t="s">
        <v>889</v>
      </c>
      <c r="I564" s="12" t="s">
        <v>893</v>
      </c>
      <c r="J564" s="12" t="s">
        <v>926</v>
      </c>
      <c r="K564" s="12" t="s">
        <v>899</v>
      </c>
      <c r="L564" s="12"/>
      <c r="M564" s="11"/>
      <c r="N564" s="11"/>
      <c r="O564" s="11"/>
      <c r="P564" s="11"/>
    </row>
    <row r="565" spans="1:16" hidden="1" x14ac:dyDescent="0.25">
      <c r="A565" s="695">
        <v>56580</v>
      </c>
      <c r="B565" s="558">
        <v>1000</v>
      </c>
      <c r="C565" s="693">
        <v>100</v>
      </c>
      <c r="D565" s="558">
        <v>3100</v>
      </c>
      <c r="F565" s="693" t="s">
        <v>1323</v>
      </c>
      <c r="G565" s="696">
        <v>4</v>
      </c>
      <c r="H565" s="12" t="s">
        <v>889</v>
      </c>
      <c r="I565" s="12" t="s">
        <v>893</v>
      </c>
      <c r="J565" s="12" t="s">
        <v>942</v>
      </c>
      <c r="K565" s="12" t="s">
        <v>899</v>
      </c>
      <c r="L565" s="12"/>
      <c r="M565" s="11"/>
      <c r="N565" s="11"/>
      <c r="O565" s="11"/>
      <c r="P565" s="11"/>
    </row>
    <row r="566" spans="1:16" hidden="1" x14ac:dyDescent="0.25">
      <c r="A566" s="695">
        <v>56580</v>
      </c>
      <c r="B566" s="558">
        <v>1000</v>
      </c>
      <c r="C566" s="693">
        <v>200</v>
      </c>
      <c r="D566" s="558">
        <v>2100</v>
      </c>
      <c r="F566" s="693" t="s">
        <v>1323</v>
      </c>
      <c r="G566" s="696">
        <v>2</v>
      </c>
      <c r="H566" s="12" t="s">
        <v>889</v>
      </c>
      <c r="I566" s="12" t="s">
        <v>897</v>
      </c>
      <c r="J566" s="12" t="s">
        <v>902</v>
      </c>
      <c r="K566" s="12" t="s">
        <v>899</v>
      </c>
      <c r="L566" s="12"/>
      <c r="M566" s="11"/>
      <c r="N566" s="11"/>
      <c r="O566" s="11"/>
      <c r="P566" s="11"/>
    </row>
    <row r="567" spans="1:16" hidden="1" x14ac:dyDescent="0.25">
      <c r="A567" s="695">
        <v>56580</v>
      </c>
      <c r="B567" s="558">
        <v>1000</v>
      </c>
      <c r="C567" s="693">
        <v>200</v>
      </c>
      <c r="D567" s="558">
        <v>2300</v>
      </c>
      <c r="F567" s="693" t="s">
        <v>1323</v>
      </c>
      <c r="G567" s="696">
        <v>18</v>
      </c>
      <c r="H567" s="12" t="s">
        <v>889</v>
      </c>
      <c r="I567" s="12" t="s">
        <v>897</v>
      </c>
      <c r="J567" s="12" t="s">
        <v>918</v>
      </c>
      <c r="K567" s="12" t="s">
        <v>899</v>
      </c>
      <c r="L567" s="12"/>
      <c r="M567" s="11"/>
      <c r="N567" s="11"/>
      <c r="O567" s="11"/>
      <c r="P567" s="11"/>
    </row>
    <row r="568" spans="1:16" hidden="1" x14ac:dyDescent="0.25">
      <c r="A568" s="695">
        <v>56580</v>
      </c>
      <c r="B568" s="558">
        <v>1000</v>
      </c>
      <c r="C568" s="693">
        <v>400</v>
      </c>
      <c r="D568" s="558">
        <v>2700</v>
      </c>
      <c r="F568" s="693" t="s">
        <v>1323</v>
      </c>
      <c r="G568" s="696">
        <v>1</v>
      </c>
      <c r="H568" s="12" t="s">
        <v>889</v>
      </c>
      <c r="I568" s="12" t="s">
        <v>913</v>
      </c>
      <c r="J568" s="12" t="s">
        <v>934</v>
      </c>
      <c r="K568" s="12" t="s">
        <v>899</v>
      </c>
      <c r="L568" s="12"/>
      <c r="M568" s="11"/>
      <c r="N568" s="11"/>
      <c r="O568" s="11"/>
      <c r="P568" s="11"/>
    </row>
    <row r="569" spans="1:16" hidden="1" x14ac:dyDescent="0.25">
      <c r="A569" s="695">
        <v>56580</v>
      </c>
      <c r="B569" s="558" t="s">
        <v>1247</v>
      </c>
      <c r="C569" s="693">
        <v>100</v>
      </c>
      <c r="D569" s="558">
        <v>2200</v>
      </c>
      <c r="F569" s="693" t="s">
        <v>1323</v>
      </c>
      <c r="G569" s="696">
        <v>1278</v>
      </c>
      <c r="H569" s="12" t="s">
        <v>904</v>
      </c>
      <c r="I569" s="12" t="s">
        <v>893</v>
      </c>
      <c r="J569" s="12" t="s">
        <v>906</v>
      </c>
      <c r="K569" s="12" t="s">
        <v>899</v>
      </c>
      <c r="L569" s="12"/>
      <c r="M569" s="11"/>
      <c r="N569" s="11"/>
      <c r="O569" s="11"/>
      <c r="P569" s="11"/>
    </row>
    <row r="570" spans="1:16" hidden="1" x14ac:dyDescent="0.25">
      <c r="A570" s="695">
        <v>56580</v>
      </c>
      <c r="B570" s="558" t="s">
        <v>1248</v>
      </c>
      <c r="C570" s="693">
        <v>100</v>
      </c>
      <c r="D570" s="558">
        <v>2200</v>
      </c>
      <c r="F570" s="693" t="s">
        <v>1323</v>
      </c>
      <c r="G570" s="696">
        <v>1570</v>
      </c>
      <c r="H570" s="12" t="s">
        <v>904</v>
      </c>
      <c r="I570" s="12" t="s">
        <v>893</v>
      </c>
      <c r="J570" s="12" t="s">
        <v>906</v>
      </c>
      <c r="K570" s="12" t="s">
        <v>899</v>
      </c>
      <c r="L570" s="12"/>
      <c r="M570" s="11"/>
      <c r="N570" s="11"/>
      <c r="O570" s="11"/>
      <c r="P570" s="11"/>
    </row>
    <row r="571" spans="1:16" hidden="1" x14ac:dyDescent="0.25">
      <c r="A571" s="695">
        <v>56580</v>
      </c>
      <c r="B571" s="558" t="s">
        <v>1248</v>
      </c>
      <c r="C571" s="693">
        <v>100</v>
      </c>
      <c r="D571" s="558">
        <v>2400</v>
      </c>
      <c r="F571" s="693" t="s">
        <v>1323</v>
      </c>
      <c r="G571" s="696">
        <v>1470</v>
      </c>
      <c r="H571" s="12" t="s">
        <v>904</v>
      </c>
      <c r="I571" s="12" t="s">
        <v>893</v>
      </c>
      <c r="J571" s="12" t="s">
        <v>922</v>
      </c>
      <c r="K571" s="12" t="s">
        <v>899</v>
      </c>
      <c r="L571" s="12"/>
      <c r="M571" s="11"/>
      <c r="N571" s="11"/>
      <c r="O571" s="11"/>
      <c r="P571" s="11"/>
    </row>
    <row r="572" spans="1:16" hidden="1" x14ac:dyDescent="0.25">
      <c r="A572" s="694">
        <v>56580</v>
      </c>
      <c r="B572" s="558" t="s">
        <v>1248</v>
      </c>
      <c r="C572" s="693">
        <v>100</v>
      </c>
      <c r="D572" s="558">
        <v>2500</v>
      </c>
      <c r="F572" s="693" t="s">
        <v>1323</v>
      </c>
      <c r="G572" s="696">
        <v>390</v>
      </c>
      <c r="H572" s="12" t="s">
        <v>904</v>
      </c>
      <c r="I572" s="12" t="s">
        <v>893</v>
      </c>
      <c r="J572" s="12" t="s">
        <v>926</v>
      </c>
      <c r="K572" s="12" t="s">
        <v>899</v>
      </c>
      <c r="L572" s="12"/>
      <c r="M572" s="11"/>
      <c r="N572" s="11"/>
      <c r="O572" s="11"/>
      <c r="P572" s="11"/>
    </row>
    <row r="573" spans="1:16" hidden="1" x14ac:dyDescent="0.25">
      <c r="A573" s="695">
        <v>56581</v>
      </c>
      <c r="B573" s="558">
        <v>1000</v>
      </c>
      <c r="C573" s="693">
        <v>100</v>
      </c>
      <c r="D573" s="558">
        <v>1000</v>
      </c>
      <c r="F573" s="693" t="s">
        <v>1324</v>
      </c>
      <c r="G573" s="696">
        <v>8</v>
      </c>
      <c r="H573" s="12" t="s">
        <v>889</v>
      </c>
      <c r="I573" s="12" t="s">
        <v>893</v>
      </c>
      <c r="J573" s="12" t="s">
        <v>894</v>
      </c>
      <c r="K573" s="12" t="s">
        <v>899</v>
      </c>
      <c r="L573" s="12"/>
      <c r="M573" s="11"/>
      <c r="N573" s="11"/>
      <c r="O573" s="11"/>
      <c r="P573" s="11"/>
    </row>
    <row r="574" spans="1:16" hidden="1" x14ac:dyDescent="0.25">
      <c r="A574" s="695">
        <v>56581</v>
      </c>
      <c r="B574" s="558">
        <v>1000</v>
      </c>
      <c r="C574" s="693">
        <v>100</v>
      </c>
      <c r="D574" s="558">
        <v>2100</v>
      </c>
      <c r="F574" s="693" t="s">
        <v>1324</v>
      </c>
      <c r="G574" s="696">
        <v>342</v>
      </c>
      <c r="H574" s="12" t="s">
        <v>889</v>
      </c>
      <c r="I574" s="12" t="s">
        <v>893</v>
      </c>
      <c r="J574" s="12" t="s">
        <v>902</v>
      </c>
      <c r="K574" s="12" t="s">
        <v>899</v>
      </c>
      <c r="L574" s="12"/>
      <c r="M574" s="11"/>
      <c r="N574" s="11"/>
      <c r="O574" s="11"/>
      <c r="P574" s="11"/>
    </row>
    <row r="575" spans="1:16" hidden="1" x14ac:dyDescent="0.25">
      <c r="A575" s="695">
        <v>56581</v>
      </c>
      <c r="B575" s="558">
        <v>1000</v>
      </c>
      <c r="C575" s="693">
        <v>100</v>
      </c>
      <c r="D575" s="558">
        <v>2200</v>
      </c>
      <c r="F575" s="693" t="s">
        <v>1324</v>
      </c>
      <c r="G575" s="696">
        <v>8</v>
      </c>
      <c r="H575" s="12" t="s">
        <v>889</v>
      </c>
      <c r="I575" s="12" t="s">
        <v>893</v>
      </c>
      <c r="J575" s="12" t="s">
        <v>906</v>
      </c>
      <c r="K575" s="12" t="s">
        <v>899</v>
      </c>
      <c r="L575" s="12"/>
      <c r="M575" s="11"/>
      <c r="N575" s="11"/>
      <c r="O575" s="11"/>
      <c r="P575" s="11"/>
    </row>
    <row r="576" spans="1:16" hidden="1" x14ac:dyDescent="0.25">
      <c r="A576" s="695">
        <v>56581</v>
      </c>
      <c r="B576" s="558">
        <v>1000</v>
      </c>
      <c r="C576" s="693">
        <v>100</v>
      </c>
      <c r="D576" s="558">
        <v>2300</v>
      </c>
      <c r="F576" s="693" t="s">
        <v>1324</v>
      </c>
      <c r="G576" s="696">
        <v>5</v>
      </c>
      <c r="H576" s="12" t="s">
        <v>889</v>
      </c>
      <c r="I576" s="12" t="s">
        <v>893</v>
      </c>
      <c r="J576" s="12" t="s">
        <v>918</v>
      </c>
      <c r="K576" s="12" t="s">
        <v>899</v>
      </c>
      <c r="L576" s="12"/>
      <c r="M576" s="11"/>
      <c r="N576" s="11"/>
      <c r="O576" s="11"/>
      <c r="P576" s="11"/>
    </row>
    <row r="577" spans="1:16" hidden="1" x14ac:dyDescent="0.25">
      <c r="A577" s="695">
        <v>56581</v>
      </c>
      <c r="B577" s="558">
        <v>1000</v>
      </c>
      <c r="C577" s="693">
        <v>100</v>
      </c>
      <c r="D577" s="558">
        <v>2500</v>
      </c>
      <c r="F577" s="693" t="s">
        <v>1324</v>
      </c>
      <c r="G577" s="696">
        <v>114</v>
      </c>
      <c r="H577" s="12" t="s">
        <v>889</v>
      </c>
      <c r="I577" s="12" t="s">
        <v>893</v>
      </c>
      <c r="J577" s="12" t="s">
        <v>926</v>
      </c>
      <c r="K577" s="12" t="s">
        <v>899</v>
      </c>
      <c r="L577" s="12"/>
      <c r="M577" s="11"/>
      <c r="N577" s="11"/>
      <c r="O577" s="11"/>
      <c r="P577" s="11"/>
    </row>
    <row r="578" spans="1:16" hidden="1" x14ac:dyDescent="0.25">
      <c r="A578" s="695">
        <v>56581</v>
      </c>
      <c r="B578" s="558">
        <v>1000</v>
      </c>
      <c r="C578" s="693">
        <v>100</v>
      </c>
      <c r="D578" s="558">
        <v>2510</v>
      </c>
      <c r="F578" s="693" t="s">
        <v>1324</v>
      </c>
      <c r="G578" s="696">
        <v>12</v>
      </c>
      <c r="H578" s="12" t="s">
        <v>889</v>
      </c>
      <c r="I578" s="12" t="s">
        <v>893</v>
      </c>
      <c r="J578" s="12" t="s">
        <v>926</v>
      </c>
      <c r="K578" s="12" t="s">
        <v>899</v>
      </c>
      <c r="L578" s="12"/>
      <c r="M578" s="11"/>
      <c r="N578" s="11"/>
      <c r="O578" s="11"/>
      <c r="P578" s="11"/>
    </row>
    <row r="579" spans="1:16" hidden="1" x14ac:dyDescent="0.25">
      <c r="A579" s="695">
        <v>56581</v>
      </c>
      <c r="B579" s="558">
        <v>1000</v>
      </c>
      <c r="C579" s="693">
        <v>100</v>
      </c>
      <c r="D579" s="558">
        <v>3100</v>
      </c>
      <c r="F579" s="693" t="s">
        <v>1324</v>
      </c>
      <c r="G579" s="696">
        <v>0</v>
      </c>
      <c r="H579" s="12" t="s">
        <v>889</v>
      </c>
      <c r="I579" s="12" t="s">
        <v>893</v>
      </c>
      <c r="J579" s="12" t="s">
        <v>942</v>
      </c>
      <c r="K579" s="12" t="s">
        <v>899</v>
      </c>
      <c r="L579" s="12"/>
      <c r="M579" s="11"/>
      <c r="N579" s="11"/>
      <c r="O579" s="11"/>
      <c r="P579" s="11"/>
    </row>
    <row r="580" spans="1:16" hidden="1" x14ac:dyDescent="0.25">
      <c r="A580" s="695">
        <v>56581</v>
      </c>
      <c r="B580" s="558">
        <v>1000</v>
      </c>
      <c r="C580" s="693">
        <v>200</v>
      </c>
      <c r="D580" s="558">
        <v>2100</v>
      </c>
      <c r="F580" s="693" t="s">
        <v>1324</v>
      </c>
      <c r="G580" s="696">
        <v>11</v>
      </c>
      <c r="H580" s="12" t="s">
        <v>889</v>
      </c>
      <c r="I580" s="12" t="s">
        <v>897</v>
      </c>
      <c r="J580" s="12" t="s">
        <v>902</v>
      </c>
      <c r="K580" s="12" t="s">
        <v>899</v>
      </c>
      <c r="L580" s="12"/>
      <c r="M580" s="11"/>
      <c r="N580" s="11"/>
      <c r="O580" s="11"/>
      <c r="P580" s="11"/>
    </row>
    <row r="581" spans="1:16" hidden="1" x14ac:dyDescent="0.25">
      <c r="A581" s="695">
        <v>56581</v>
      </c>
      <c r="B581" s="558">
        <v>1000</v>
      </c>
      <c r="C581" s="693">
        <v>200</v>
      </c>
      <c r="D581" s="558">
        <v>2300</v>
      </c>
      <c r="F581" s="693" t="s">
        <v>1324</v>
      </c>
      <c r="G581" s="696">
        <v>2</v>
      </c>
      <c r="H581" s="12" t="s">
        <v>889</v>
      </c>
      <c r="I581" s="12" t="s">
        <v>897</v>
      </c>
      <c r="J581" s="12" t="s">
        <v>918</v>
      </c>
      <c r="K581" s="12" t="s">
        <v>899</v>
      </c>
      <c r="L581" s="12"/>
      <c r="M581" s="11"/>
      <c r="N581" s="11"/>
      <c r="O581" s="11"/>
      <c r="P581" s="11"/>
    </row>
    <row r="582" spans="1:16" hidden="1" x14ac:dyDescent="0.25">
      <c r="A582" s="695">
        <v>56581</v>
      </c>
      <c r="B582" s="558">
        <v>1000</v>
      </c>
      <c r="C582" s="693">
        <v>400</v>
      </c>
      <c r="D582" s="558">
        <v>2700</v>
      </c>
      <c r="F582" s="693" t="s">
        <v>1324</v>
      </c>
      <c r="G582" s="696">
        <v>1</v>
      </c>
      <c r="H582" s="12" t="s">
        <v>889</v>
      </c>
      <c r="I582" s="12" t="s">
        <v>913</v>
      </c>
      <c r="J582" s="12" t="s">
        <v>934</v>
      </c>
      <c r="K582" s="12" t="s">
        <v>899</v>
      </c>
      <c r="L582" s="12"/>
      <c r="M582" s="11"/>
      <c r="N582" s="11"/>
      <c r="O582" s="11"/>
      <c r="P582" s="11"/>
    </row>
    <row r="583" spans="1:16" hidden="1" x14ac:dyDescent="0.25">
      <c r="A583" s="694">
        <v>56581</v>
      </c>
      <c r="B583" s="558" t="s">
        <v>1248</v>
      </c>
      <c r="C583" s="693">
        <v>100</v>
      </c>
      <c r="D583" s="558">
        <v>2500</v>
      </c>
      <c r="F583" s="693" t="s">
        <v>1324</v>
      </c>
      <c r="G583" s="696">
        <v>56</v>
      </c>
      <c r="H583" s="12" t="s">
        <v>904</v>
      </c>
      <c r="I583" s="12" t="s">
        <v>893</v>
      </c>
      <c r="J583" s="12" t="s">
        <v>926</v>
      </c>
      <c r="K583" s="12" t="s">
        <v>899</v>
      </c>
      <c r="L583" s="12"/>
      <c r="M583" s="11"/>
      <c r="N583" s="11"/>
      <c r="O583" s="11"/>
      <c r="P583" s="11"/>
    </row>
    <row r="584" spans="1:16" hidden="1" x14ac:dyDescent="0.25">
      <c r="A584" s="695">
        <v>56610</v>
      </c>
      <c r="B584" s="558">
        <v>1000</v>
      </c>
      <c r="C584" s="693">
        <v>100</v>
      </c>
      <c r="D584" s="558">
        <v>1000</v>
      </c>
      <c r="F584" s="693" t="s">
        <v>1325</v>
      </c>
      <c r="G584" s="696">
        <v>3032</v>
      </c>
      <c r="H584" s="12" t="s">
        <v>889</v>
      </c>
      <c r="I584" s="12" t="s">
        <v>893</v>
      </c>
      <c r="J584" s="12" t="s">
        <v>894</v>
      </c>
      <c r="K584" s="12" t="s">
        <v>903</v>
      </c>
      <c r="L584" s="12"/>
      <c r="M584" s="11"/>
      <c r="N584" s="11"/>
      <c r="O584" s="11"/>
      <c r="P584" s="11"/>
    </row>
    <row r="585" spans="1:16" hidden="1" x14ac:dyDescent="0.25">
      <c r="A585" s="695">
        <v>56610</v>
      </c>
      <c r="B585" s="558">
        <v>1000</v>
      </c>
      <c r="C585" s="693">
        <v>100</v>
      </c>
      <c r="D585" s="558">
        <v>2100</v>
      </c>
      <c r="F585" s="693" t="s">
        <v>1325</v>
      </c>
      <c r="G585" s="696">
        <v>-38</v>
      </c>
      <c r="H585" s="12" t="s">
        <v>889</v>
      </c>
      <c r="I585" s="12" t="s">
        <v>893</v>
      </c>
      <c r="J585" s="12" t="s">
        <v>902</v>
      </c>
      <c r="K585" s="12" t="s">
        <v>903</v>
      </c>
      <c r="L585" s="12"/>
      <c r="M585" s="11"/>
      <c r="N585" s="11"/>
      <c r="O585" s="11"/>
      <c r="P585" s="11"/>
    </row>
    <row r="586" spans="1:16" hidden="1" x14ac:dyDescent="0.25">
      <c r="A586" s="695">
        <v>56610</v>
      </c>
      <c r="B586" s="558">
        <v>1000</v>
      </c>
      <c r="C586" s="693">
        <v>100</v>
      </c>
      <c r="D586" s="558">
        <v>2200</v>
      </c>
      <c r="F586" s="693" t="s">
        <v>1325</v>
      </c>
      <c r="G586" s="696">
        <v>199</v>
      </c>
      <c r="H586" s="12" t="s">
        <v>889</v>
      </c>
      <c r="I586" s="12" t="s">
        <v>893</v>
      </c>
      <c r="J586" s="12" t="s">
        <v>906</v>
      </c>
      <c r="K586" s="12" t="s">
        <v>903</v>
      </c>
      <c r="L586" s="12"/>
      <c r="M586" s="11"/>
      <c r="N586" s="11"/>
      <c r="O586" s="11"/>
      <c r="P586" s="11"/>
    </row>
    <row r="587" spans="1:16" hidden="1" x14ac:dyDescent="0.25">
      <c r="A587" s="695">
        <v>56610</v>
      </c>
      <c r="B587" s="558">
        <v>1000</v>
      </c>
      <c r="C587" s="693">
        <v>100</v>
      </c>
      <c r="D587" s="558">
        <v>2220</v>
      </c>
      <c r="F587" s="693" t="s">
        <v>1325</v>
      </c>
      <c r="G587" s="696">
        <v>0</v>
      </c>
      <c r="H587" s="12" t="s">
        <v>889</v>
      </c>
      <c r="I587" s="12" t="s">
        <v>893</v>
      </c>
      <c r="J587" s="12" t="s">
        <v>910</v>
      </c>
      <c r="K587" s="12" t="s">
        <v>903</v>
      </c>
      <c r="L587" s="12"/>
      <c r="M587" s="11"/>
      <c r="N587" s="11"/>
      <c r="O587" s="11"/>
      <c r="P587" s="11"/>
    </row>
    <row r="588" spans="1:16" hidden="1" x14ac:dyDescent="0.25">
      <c r="A588" s="695">
        <v>56610</v>
      </c>
      <c r="B588" s="558">
        <v>1000</v>
      </c>
      <c r="C588" s="693">
        <v>100</v>
      </c>
      <c r="D588" s="558">
        <v>2300</v>
      </c>
      <c r="F588" s="693" t="s">
        <v>1325</v>
      </c>
      <c r="G588" s="696">
        <v>86</v>
      </c>
      <c r="H588" s="12" t="s">
        <v>889</v>
      </c>
      <c r="I588" s="12" t="s">
        <v>893</v>
      </c>
      <c r="J588" s="12" t="s">
        <v>918</v>
      </c>
      <c r="K588" s="12" t="s">
        <v>903</v>
      </c>
      <c r="L588" s="12"/>
      <c r="M588" s="11"/>
      <c r="N588" s="11"/>
      <c r="O588" s="11"/>
      <c r="P588" s="11"/>
    </row>
    <row r="589" spans="1:16" hidden="1" x14ac:dyDescent="0.25">
      <c r="A589" s="695">
        <v>56610</v>
      </c>
      <c r="B589" s="558">
        <v>1000</v>
      </c>
      <c r="C589" s="693">
        <v>100</v>
      </c>
      <c r="D589" s="558">
        <v>2310</v>
      </c>
      <c r="F589" s="693" t="s">
        <v>1325</v>
      </c>
      <c r="G589" s="696">
        <v>5</v>
      </c>
      <c r="H589" s="12" t="s">
        <v>889</v>
      </c>
      <c r="I589" s="12" t="s">
        <v>893</v>
      </c>
      <c r="J589" s="12" t="s">
        <v>918</v>
      </c>
      <c r="K589" s="12" t="s">
        <v>903</v>
      </c>
      <c r="L589" s="12"/>
      <c r="M589" s="11"/>
      <c r="N589" s="11"/>
      <c r="O589" s="11"/>
      <c r="P589" s="11"/>
    </row>
    <row r="590" spans="1:16" hidden="1" x14ac:dyDescent="0.25">
      <c r="A590" s="695">
        <v>56610</v>
      </c>
      <c r="B590" s="558">
        <v>1000</v>
      </c>
      <c r="C590" s="693">
        <v>100</v>
      </c>
      <c r="D590" s="558">
        <v>2400</v>
      </c>
      <c r="F590" s="693" t="s">
        <v>1325</v>
      </c>
      <c r="G590" s="696">
        <v>951</v>
      </c>
      <c r="H590" s="12" t="s">
        <v>889</v>
      </c>
      <c r="I590" s="12" t="s">
        <v>893</v>
      </c>
      <c r="J590" s="12" t="s">
        <v>922</v>
      </c>
      <c r="K590" s="12" t="s">
        <v>903</v>
      </c>
      <c r="L590" s="12"/>
      <c r="M590" s="11"/>
      <c r="N590" s="11"/>
      <c r="O590" s="11"/>
      <c r="P590" s="11"/>
    </row>
    <row r="591" spans="1:16" hidden="1" x14ac:dyDescent="0.25">
      <c r="A591" s="695">
        <v>56610</v>
      </c>
      <c r="B591" s="558">
        <v>1000</v>
      </c>
      <c r="C591" s="693">
        <v>100</v>
      </c>
      <c r="D591" s="558">
        <v>2500</v>
      </c>
      <c r="F591" s="693" t="s">
        <v>1325</v>
      </c>
      <c r="G591" s="696">
        <v>2198</v>
      </c>
      <c r="H591" s="12" t="s">
        <v>889</v>
      </c>
      <c r="I591" s="12" t="s">
        <v>893</v>
      </c>
      <c r="J591" s="12" t="s">
        <v>926</v>
      </c>
      <c r="K591" s="12" t="s">
        <v>903</v>
      </c>
      <c r="L591" s="12"/>
      <c r="M591" s="11"/>
      <c r="N591" s="11"/>
      <c r="O591" s="11"/>
      <c r="P591" s="11"/>
    </row>
    <row r="592" spans="1:16" hidden="1" x14ac:dyDescent="0.25">
      <c r="A592" s="695">
        <v>56610</v>
      </c>
      <c r="B592" s="558">
        <v>1000</v>
      </c>
      <c r="C592" s="693">
        <v>100</v>
      </c>
      <c r="D592" s="558">
        <v>2510</v>
      </c>
      <c r="F592" s="693" t="s">
        <v>1325</v>
      </c>
      <c r="G592" s="696">
        <v>12</v>
      </c>
      <c r="H592" s="12" t="s">
        <v>889</v>
      </c>
      <c r="I592" s="12" t="s">
        <v>893</v>
      </c>
      <c r="J592" s="12" t="s">
        <v>926</v>
      </c>
      <c r="K592" s="12" t="s">
        <v>903</v>
      </c>
      <c r="L592" s="12"/>
      <c r="M592" s="11"/>
      <c r="N592" s="11"/>
      <c r="O592" s="11"/>
      <c r="P592" s="11"/>
    </row>
    <row r="593" spans="1:16" hidden="1" x14ac:dyDescent="0.25">
      <c r="A593" s="695">
        <v>56610</v>
      </c>
      <c r="B593" s="558">
        <v>1000</v>
      </c>
      <c r="C593" s="693">
        <v>100</v>
      </c>
      <c r="D593" s="558">
        <v>2600</v>
      </c>
      <c r="F593" s="693" t="s">
        <v>1325</v>
      </c>
      <c r="G593" s="696">
        <v>7976</v>
      </c>
      <c r="H593" s="12" t="s">
        <v>889</v>
      </c>
      <c r="I593" s="12" t="s">
        <v>893</v>
      </c>
      <c r="J593" s="12" t="s">
        <v>930</v>
      </c>
      <c r="K593" s="12" t="s">
        <v>903</v>
      </c>
      <c r="L593" s="12"/>
      <c r="M593" s="11"/>
      <c r="N593" s="11"/>
      <c r="O593" s="11"/>
      <c r="P593" s="11"/>
    </row>
    <row r="594" spans="1:16" hidden="1" x14ac:dyDescent="0.25">
      <c r="A594" s="695">
        <v>56610</v>
      </c>
      <c r="B594" s="558">
        <v>1000</v>
      </c>
      <c r="C594" s="693">
        <v>100</v>
      </c>
      <c r="D594" s="558">
        <v>3100</v>
      </c>
      <c r="F594" s="693" t="s">
        <v>1325</v>
      </c>
      <c r="G594" s="696">
        <v>64</v>
      </c>
      <c r="H594" s="12" t="s">
        <v>889</v>
      </c>
      <c r="I594" s="12" t="s">
        <v>893</v>
      </c>
      <c r="J594" s="12" t="s">
        <v>942</v>
      </c>
      <c r="K594" s="12" t="s">
        <v>903</v>
      </c>
      <c r="L594" s="12"/>
      <c r="M594" s="11"/>
      <c r="N594" s="11"/>
      <c r="O594" s="11"/>
      <c r="P594" s="11"/>
    </row>
    <row r="595" spans="1:16" hidden="1" x14ac:dyDescent="0.25">
      <c r="A595" s="695">
        <v>56610</v>
      </c>
      <c r="B595" s="558">
        <v>1000</v>
      </c>
      <c r="C595" s="693">
        <v>200</v>
      </c>
      <c r="D595" s="558">
        <v>2100</v>
      </c>
      <c r="F595" s="693" t="s">
        <v>1325</v>
      </c>
      <c r="G595" s="696">
        <v>94</v>
      </c>
      <c r="H595" s="12" t="s">
        <v>889</v>
      </c>
      <c r="I595" s="12" t="s">
        <v>897</v>
      </c>
      <c r="J595" s="12" t="s">
        <v>902</v>
      </c>
      <c r="K595" s="12" t="s">
        <v>903</v>
      </c>
      <c r="L595" s="12"/>
      <c r="M595" s="11"/>
      <c r="N595" s="11"/>
      <c r="O595" s="11"/>
      <c r="P595" s="11"/>
    </row>
    <row r="596" spans="1:16" hidden="1" x14ac:dyDescent="0.25">
      <c r="A596" s="695">
        <v>56610</v>
      </c>
      <c r="B596" s="558">
        <v>1319</v>
      </c>
      <c r="C596" s="693">
        <v>100</v>
      </c>
      <c r="D596" s="558">
        <v>1000</v>
      </c>
      <c r="F596" s="693" t="s">
        <v>1325</v>
      </c>
      <c r="G596" s="696">
        <v>10624</v>
      </c>
      <c r="H596" s="12" t="s">
        <v>968</v>
      </c>
      <c r="I596" s="12" t="s">
        <v>893</v>
      </c>
      <c r="J596" s="12" t="s">
        <v>894</v>
      </c>
      <c r="K596" s="12" t="s">
        <v>903</v>
      </c>
      <c r="L596" s="12"/>
      <c r="M596" s="11"/>
      <c r="N596" s="11"/>
      <c r="O596" s="11"/>
      <c r="P596" s="11"/>
    </row>
    <row r="597" spans="1:16" hidden="1" x14ac:dyDescent="0.25">
      <c r="A597" s="695">
        <v>56610</v>
      </c>
      <c r="B597" s="558">
        <v>1319</v>
      </c>
      <c r="C597" s="693">
        <v>100</v>
      </c>
      <c r="D597" s="558">
        <v>2100</v>
      </c>
      <c r="F597" s="693" t="s">
        <v>1325</v>
      </c>
      <c r="G597" s="696">
        <v>2212</v>
      </c>
      <c r="H597" s="12" t="s">
        <v>968</v>
      </c>
      <c r="I597" s="12" t="s">
        <v>893</v>
      </c>
      <c r="J597" s="12" t="s">
        <v>902</v>
      </c>
      <c r="K597" s="12" t="s">
        <v>903</v>
      </c>
      <c r="L597" s="12"/>
      <c r="M597" s="11"/>
      <c r="N597" s="11"/>
      <c r="O597" s="11"/>
      <c r="P597" s="11"/>
    </row>
    <row r="598" spans="1:16" hidden="1" x14ac:dyDescent="0.25">
      <c r="A598" s="695">
        <v>56610</v>
      </c>
      <c r="B598" s="558">
        <v>1321</v>
      </c>
      <c r="C598" s="693">
        <v>100</v>
      </c>
      <c r="D598" s="558">
        <v>1000</v>
      </c>
      <c r="F598" s="693" t="s">
        <v>1325</v>
      </c>
      <c r="G598" s="696">
        <v>69</v>
      </c>
      <c r="H598" s="12" t="s">
        <v>968</v>
      </c>
      <c r="I598" s="12" t="s">
        <v>893</v>
      </c>
      <c r="J598" s="12" t="s">
        <v>894</v>
      </c>
      <c r="K598" s="12" t="s">
        <v>903</v>
      </c>
      <c r="L598" s="12"/>
      <c r="M598" s="11"/>
      <c r="N598" s="11"/>
      <c r="O598" s="11"/>
      <c r="P598" s="11"/>
    </row>
    <row r="599" spans="1:16" hidden="1" x14ac:dyDescent="0.25">
      <c r="A599" s="695">
        <v>56610</v>
      </c>
      <c r="B599" s="558">
        <v>1327</v>
      </c>
      <c r="C599" s="693">
        <v>100</v>
      </c>
      <c r="D599" s="558">
        <v>1000</v>
      </c>
      <c r="F599" s="693" t="s">
        <v>1325</v>
      </c>
      <c r="G599" s="696">
        <v>197</v>
      </c>
      <c r="H599" s="12" t="s">
        <v>968</v>
      </c>
      <c r="I599" s="12" t="s">
        <v>893</v>
      </c>
      <c r="J599" s="12" t="s">
        <v>894</v>
      </c>
      <c r="K599" s="12" t="s">
        <v>903</v>
      </c>
      <c r="L599" s="12"/>
      <c r="M599" s="11"/>
      <c r="N599" s="11"/>
      <c r="O599" s="11"/>
      <c r="P599" s="11"/>
    </row>
    <row r="600" spans="1:16" hidden="1" x14ac:dyDescent="0.25">
      <c r="A600" s="695">
        <v>56610</v>
      </c>
      <c r="B600" s="558">
        <v>1327</v>
      </c>
      <c r="C600" s="693">
        <v>100</v>
      </c>
      <c r="D600" s="558">
        <v>2100</v>
      </c>
      <c r="F600" s="693" t="s">
        <v>1325</v>
      </c>
      <c r="G600" s="696">
        <v>819</v>
      </c>
      <c r="H600" s="12" t="s">
        <v>968</v>
      </c>
      <c r="I600" s="12" t="s">
        <v>893</v>
      </c>
      <c r="J600" s="12" t="s">
        <v>902</v>
      </c>
      <c r="K600" s="12" t="s">
        <v>903</v>
      </c>
      <c r="L600" s="12"/>
      <c r="M600" s="11"/>
      <c r="N600" s="11"/>
      <c r="O600" s="11"/>
      <c r="P600" s="11"/>
    </row>
    <row r="601" spans="1:16" hidden="1" x14ac:dyDescent="0.25">
      <c r="A601" s="695">
        <v>56610</v>
      </c>
      <c r="B601" s="558">
        <v>1435</v>
      </c>
      <c r="C601" s="693">
        <v>100</v>
      </c>
      <c r="D601" s="558">
        <v>1000</v>
      </c>
      <c r="F601" s="693" t="s">
        <v>1325</v>
      </c>
      <c r="G601" s="696">
        <v>3088</v>
      </c>
      <c r="H601" s="12" t="s">
        <v>982</v>
      </c>
      <c r="I601" s="12" t="s">
        <v>893</v>
      </c>
      <c r="J601" s="12" t="s">
        <v>894</v>
      </c>
      <c r="K601" s="12" t="s">
        <v>903</v>
      </c>
      <c r="L601" s="12"/>
      <c r="M601" s="11"/>
      <c r="N601" s="11"/>
      <c r="O601" s="11"/>
      <c r="P601" s="11"/>
    </row>
    <row r="602" spans="1:16" hidden="1" x14ac:dyDescent="0.25">
      <c r="A602" s="695">
        <v>56610</v>
      </c>
      <c r="B602" s="558" t="s">
        <v>1247</v>
      </c>
      <c r="C602" s="693">
        <v>100</v>
      </c>
      <c r="D602" s="558">
        <v>2100</v>
      </c>
      <c r="F602" s="693" t="s">
        <v>1325</v>
      </c>
      <c r="G602" s="696">
        <v>355</v>
      </c>
      <c r="H602" s="12" t="s">
        <v>904</v>
      </c>
      <c r="I602" s="12" t="s">
        <v>893</v>
      </c>
      <c r="J602" s="12" t="s">
        <v>902</v>
      </c>
      <c r="K602" s="12" t="s">
        <v>903</v>
      </c>
      <c r="L602" s="12"/>
      <c r="M602" s="11"/>
      <c r="N602" s="11"/>
      <c r="O602" s="11"/>
      <c r="P602" s="11"/>
    </row>
    <row r="603" spans="1:16" hidden="1" x14ac:dyDescent="0.25">
      <c r="A603" s="695">
        <v>56610</v>
      </c>
      <c r="B603" s="558" t="s">
        <v>1248</v>
      </c>
      <c r="C603" s="693">
        <v>100</v>
      </c>
      <c r="D603" s="558">
        <v>1000</v>
      </c>
      <c r="F603" s="693" t="s">
        <v>1325</v>
      </c>
      <c r="G603" s="696">
        <v>85</v>
      </c>
      <c r="H603" s="12" t="s">
        <v>904</v>
      </c>
      <c r="I603" s="12" t="s">
        <v>893</v>
      </c>
      <c r="J603" s="12" t="s">
        <v>894</v>
      </c>
      <c r="K603" s="12" t="s">
        <v>903</v>
      </c>
      <c r="L603" s="12"/>
      <c r="M603" s="11"/>
      <c r="N603" s="11"/>
      <c r="O603" s="11"/>
      <c r="P603" s="11"/>
    </row>
    <row r="604" spans="1:16" hidden="1" x14ac:dyDescent="0.25">
      <c r="A604" s="694">
        <v>56610</v>
      </c>
      <c r="B604" s="558" t="s">
        <v>1248</v>
      </c>
      <c r="C604" s="693">
        <v>100</v>
      </c>
      <c r="D604" s="558">
        <v>2100</v>
      </c>
      <c r="F604" s="693" t="s">
        <v>1325</v>
      </c>
      <c r="G604" s="696">
        <v>275</v>
      </c>
      <c r="H604" s="12" t="s">
        <v>904</v>
      </c>
      <c r="I604" s="12" t="s">
        <v>893</v>
      </c>
      <c r="J604" s="12" t="s">
        <v>902</v>
      </c>
      <c r="K604" s="12" t="s">
        <v>903</v>
      </c>
      <c r="L604" s="12"/>
      <c r="M604" s="11"/>
      <c r="N604" s="11"/>
      <c r="O604" s="11"/>
      <c r="P604" s="11"/>
    </row>
    <row r="605" spans="1:16" hidden="1" x14ac:dyDescent="0.25">
      <c r="A605" s="695">
        <v>56613</v>
      </c>
      <c r="B605" s="558">
        <v>1000</v>
      </c>
      <c r="C605" s="693">
        <v>100</v>
      </c>
      <c r="D605" s="558">
        <v>2100</v>
      </c>
      <c r="F605" s="693" t="s">
        <v>1326</v>
      </c>
      <c r="G605" s="696">
        <v>397</v>
      </c>
      <c r="H605" s="12" t="s">
        <v>889</v>
      </c>
      <c r="I605" s="12" t="s">
        <v>893</v>
      </c>
      <c r="J605" s="12" t="s">
        <v>902</v>
      </c>
      <c r="K605" s="12" t="s">
        <v>903</v>
      </c>
      <c r="L605" s="12"/>
      <c r="M605" s="11"/>
      <c r="N605" s="11"/>
      <c r="O605" s="11"/>
      <c r="P605" s="11"/>
    </row>
    <row r="606" spans="1:16" hidden="1" x14ac:dyDescent="0.25">
      <c r="A606" s="694">
        <v>56613</v>
      </c>
      <c r="B606" s="558" t="s">
        <v>1247</v>
      </c>
      <c r="C606" s="693">
        <v>100</v>
      </c>
      <c r="D606" s="558">
        <v>2100</v>
      </c>
      <c r="F606" s="693" t="s">
        <v>1326</v>
      </c>
      <c r="G606" s="696">
        <v>65</v>
      </c>
      <c r="H606" s="12" t="s">
        <v>904</v>
      </c>
      <c r="I606" s="12" t="s">
        <v>893</v>
      </c>
      <c r="J606" s="12" t="s">
        <v>902</v>
      </c>
      <c r="K606" s="12" t="s">
        <v>903</v>
      </c>
      <c r="L606" s="12"/>
      <c r="M606" s="11"/>
      <c r="N606" s="11"/>
      <c r="O606" s="11"/>
      <c r="P606" s="11"/>
    </row>
    <row r="607" spans="1:16" hidden="1" x14ac:dyDescent="0.25">
      <c r="A607" s="695">
        <v>56614</v>
      </c>
      <c r="B607" s="558">
        <v>1000</v>
      </c>
      <c r="C607" s="693">
        <v>200</v>
      </c>
      <c r="D607" s="558">
        <v>2100</v>
      </c>
      <c r="F607" s="693" t="s">
        <v>1327</v>
      </c>
      <c r="G607" s="696">
        <v>52</v>
      </c>
      <c r="H607" s="12" t="s">
        <v>889</v>
      </c>
      <c r="I607" s="12" t="s">
        <v>897</v>
      </c>
      <c r="J607" s="12" t="s">
        <v>902</v>
      </c>
      <c r="K607" s="12" t="s">
        <v>903</v>
      </c>
      <c r="L607" s="12"/>
      <c r="M607" s="11"/>
      <c r="N607" s="11"/>
      <c r="O607" s="11"/>
      <c r="P607" s="11"/>
    </row>
    <row r="608" spans="1:16" hidden="1" x14ac:dyDescent="0.25">
      <c r="A608" s="695">
        <v>56614</v>
      </c>
      <c r="B608" s="558">
        <v>1000</v>
      </c>
      <c r="C608" s="693">
        <v>240</v>
      </c>
      <c r="D608" s="558">
        <v>2100</v>
      </c>
      <c r="F608" s="693" t="s">
        <v>1327</v>
      </c>
      <c r="G608" s="696">
        <v>245</v>
      </c>
      <c r="H608" s="12" t="s">
        <v>889</v>
      </c>
      <c r="I608" s="12" t="s">
        <v>897</v>
      </c>
      <c r="J608" s="12" t="s">
        <v>902</v>
      </c>
      <c r="K608" s="12" t="s">
        <v>903</v>
      </c>
      <c r="L608" s="12"/>
      <c r="M608" s="11"/>
      <c r="N608" s="11"/>
      <c r="O608" s="11"/>
      <c r="P608" s="11"/>
    </row>
    <row r="609" spans="1:16" hidden="1" x14ac:dyDescent="0.25">
      <c r="A609" s="694">
        <v>56614</v>
      </c>
      <c r="B609" s="558" t="s">
        <v>1247</v>
      </c>
      <c r="C609" s="693">
        <v>200</v>
      </c>
      <c r="D609" s="558">
        <v>2100</v>
      </c>
      <c r="F609" s="693" t="s">
        <v>1327</v>
      </c>
      <c r="G609" s="696">
        <v>122</v>
      </c>
      <c r="H609" s="12" t="s">
        <v>904</v>
      </c>
      <c r="I609" s="12" t="s">
        <v>897</v>
      </c>
      <c r="J609" s="12" t="s">
        <v>902</v>
      </c>
      <c r="K609" s="12" t="s">
        <v>903</v>
      </c>
      <c r="L609" s="12"/>
      <c r="M609" s="11"/>
      <c r="N609" s="11"/>
      <c r="O609" s="11"/>
      <c r="P609" s="11"/>
    </row>
    <row r="610" spans="1:16" hidden="1" x14ac:dyDescent="0.25">
      <c r="A610" s="694">
        <v>56622</v>
      </c>
      <c r="B610" s="558">
        <v>1000</v>
      </c>
      <c r="C610" s="693">
        <v>100</v>
      </c>
      <c r="D610" s="558">
        <v>2600</v>
      </c>
      <c r="F610" s="693" t="s">
        <v>1328</v>
      </c>
      <c r="G610" s="696">
        <v>14506</v>
      </c>
      <c r="H610" s="12" t="s">
        <v>889</v>
      </c>
      <c r="I610" s="12" t="s">
        <v>893</v>
      </c>
      <c r="J610" s="12" t="s">
        <v>930</v>
      </c>
      <c r="K610" s="12" t="s">
        <v>903</v>
      </c>
      <c r="L610" s="12"/>
      <c r="M610" s="11"/>
      <c r="N610" s="11"/>
      <c r="O610" s="11"/>
      <c r="P610" s="11"/>
    </row>
    <row r="611" spans="1:16" hidden="1" x14ac:dyDescent="0.25">
      <c r="A611" s="694">
        <v>56626</v>
      </c>
      <c r="B611" s="558">
        <v>1534</v>
      </c>
      <c r="C611" s="693">
        <v>400</v>
      </c>
      <c r="D611" s="558">
        <v>2700</v>
      </c>
      <c r="F611" s="693" t="s">
        <v>1329</v>
      </c>
      <c r="G611" s="696">
        <v>90</v>
      </c>
      <c r="H611" s="12" t="s">
        <v>997</v>
      </c>
      <c r="I611" s="12" t="s">
        <v>913</v>
      </c>
      <c r="J611" s="12" t="s">
        <v>934</v>
      </c>
      <c r="K611" s="12" t="s">
        <v>903</v>
      </c>
      <c r="L611" s="12"/>
      <c r="M611" s="11"/>
      <c r="N611" s="11"/>
      <c r="O611" s="11"/>
      <c r="P611" s="11"/>
    </row>
    <row r="612" spans="1:16" hidden="1" x14ac:dyDescent="0.25">
      <c r="A612" s="694">
        <v>56631</v>
      </c>
      <c r="B612" s="558">
        <v>1591</v>
      </c>
      <c r="C612" s="693">
        <v>100</v>
      </c>
      <c r="D612" s="558">
        <v>3100</v>
      </c>
      <c r="F612" s="693" t="s">
        <v>1330</v>
      </c>
      <c r="G612" s="696">
        <v>4982</v>
      </c>
      <c r="H612" s="12" t="s">
        <v>997</v>
      </c>
      <c r="I612" s="12" t="s">
        <v>893</v>
      </c>
      <c r="J612" s="12" t="s">
        <v>942</v>
      </c>
      <c r="K612" s="12" t="s">
        <v>903</v>
      </c>
      <c r="L612" s="12"/>
      <c r="M612" s="11"/>
      <c r="N612" s="11"/>
      <c r="O612" s="11"/>
      <c r="P612" s="11"/>
    </row>
    <row r="613" spans="1:16" hidden="1" x14ac:dyDescent="0.25">
      <c r="A613" s="694">
        <v>56632</v>
      </c>
      <c r="B613" s="558">
        <v>1000</v>
      </c>
      <c r="C613" s="693">
        <v>100</v>
      </c>
      <c r="D613" s="558">
        <v>3100</v>
      </c>
      <c r="F613" s="693" t="s">
        <v>1331</v>
      </c>
      <c r="G613" s="696">
        <v>843</v>
      </c>
      <c r="H613" s="12" t="s">
        <v>889</v>
      </c>
      <c r="I613" s="12" t="s">
        <v>893</v>
      </c>
      <c r="J613" s="12" t="s">
        <v>942</v>
      </c>
      <c r="K613" s="12" t="s">
        <v>903</v>
      </c>
      <c r="L613" s="12"/>
      <c r="M613" s="11"/>
      <c r="N613" s="11"/>
      <c r="O613" s="11"/>
      <c r="P613" s="11"/>
    </row>
    <row r="614" spans="1:16" hidden="1" x14ac:dyDescent="0.25">
      <c r="A614" s="695">
        <v>56633</v>
      </c>
      <c r="B614" s="558" t="s">
        <v>1249</v>
      </c>
      <c r="C614" s="693">
        <v>100</v>
      </c>
      <c r="D614" s="558">
        <v>3100</v>
      </c>
      <c r="F614" s="693" t="s">
        <v>1332</v>
      </c>
      <c r="G614" s="696">
        <v>53654</v>
      </c>
      <c r="H614" s="12" t="s">
        <v>997</v>
      </c>
      <c r="I614" s="12" t="s">
        <v>893</v>
      </c>
      <c r="J614" s="12" t="s">
        <v>942</v>
      </c>
      <c r="K614" s="12" t="s">
        <v>903</v>
      </c>
      <c r="L614" s="12"/>
      <c r="M614" s="11"/>
      <c r="N614" s="11"/>
      <c r="O614" s="11"/>
      <c r="P614" s="11"/>
    </row>
    <row r="615" spans="1:16" hidden="1" x14ac:dyDescent="0.25">
      <c r="A615" s="694">
        <v>56633</v>
      </c>
      <c r="B615" s="558" t="s">
        <v>1250</v>
      </c>
      <c r="C615" s="693">
        <v>100</v>
      </c>
      <c r="D615" s="558">
        <v>3100</v>
      </c>
      <c r="F615" s="693" t="s">
        <v>1332</v>
      </c>
      <c r="G615" s="696">
        <v>7216</v>
      </c>
      <c r="H615" s="12" t="s">
        <v>997</v>
      </c>
      <c r="I615" s="12" t="s">
        <v>893</v>
      </c>
      <c r="J615" s="12" t="s">
        <v>942</v>
      </c>
      <c r="K615" s="12" t="s">
        <v>903</v>
      </c>
      <c r="L615" s="12"/>
      <c r="M615" s="11"/>
      <c r="N615" s="11"/>
      <c r="O615" s="11"/>
      <c r="P615" s="11"/>
    </row>
    <row r="616" spans="1:16" hidden="1" x14ac:dyDescent="0.25">
      <c r="A616" s="694">
        <v>56634</v>
      </c>
      <c r="B616" s="558">
        <v>1591</v>
      </c>
      <c r="C616" s="693">
        <v>100</v>
      </c>
      <c r="D616" s="558">
        <v>3100</v>
      </c>
      <c r="F616" s="693" t="s">
        <v>1333</v>
      </c>
      <c r="G616" s="696">
        <v>22</v>
      </c>
      <c r="H616" s="12" t="s">
        <v>997</v>
      </c>
      <c r="I616" s="12" t="s">
        <v>893</v>
      </c>
      <c r="J616" s="12" t="s">
        <v>942</v>
      </c>
      <c r="K616" s="12" t="s">
        <v>903</v>
      </c>
      <c r="L616" s="12"/>
      <c r="M616" s="11"/>
      <c r="N616" s="11"/>
      <c r="O616" s="11"/>
      <c r="P616" s="11"/>
    </row>
    <row r="617" spans="1:16" hidden="1" x14ac:dyDescent="0.25">
      <c r="A617" s="695">
        <v>56640</v>
      </c>
      <c r="B617" s="558">
        <v>1000</v>
      </c>
      <c r="C617" s="693">
        <v>100</v>
      </c>
      <c r="D617" s="558">
        <v>1000</v>
      </c>
      <c r="F617" s="693" t="s">
        <v>1334</v>
      </c>
      <c r="G617" s="696">
        <v>29274</v>
      </c>
      <c r="H617" s="12" t="s">
        <v>889</v>
      </c>
      <c r="I617" s="12" t="s">
        <v>893</v>
      </c>
      <c r="J617" s="12" t="s">
        <v>894</v>
      </c>
      <c r="K617" s="12" t="s">
        <v>903</v>
      </c>
      <c r="L617" s="12"/>
      <c r="M617" s="11"/>
      <c r="N617" s="11"/>
      <c r="O617" s="11"/>
      <c r="P617" s="11"/>
    </row>
    <row r="618" spans="1:16" hidden="1" x14ac:dyDescent="0.25">
      <c r="A618" s="695">
        <v>56640</v>
      </c>
      <c r="B618" s="558">
        <v>1000</v>
      </c>
      <c r="C618" s="693">
        <v>100</v>
      </c>
      <c r="D618" s="558">
        <v>2200</v>
      </c>
      <c r="F618" s="693" t="s">
        <v>1334</v>
      </c>
      <c r="G618" s="696">
        <v>1</v>
      </c>
      <c r="H618" s="12" t="s">
        <v>889</v>
      </c>
      <c r="I618" s="12" t="s">
        <v>893</v>
      </c>
      <c r="J618" s="12" t="s">
        <v>906</v>
      </c>
      <c r="K618" s="12" t="s">
        <v>903</v>
      </c>
      <c r="L618" s="12"/>
      <c r="M618" s="11"/>
      <c r="N618" s="11"/>
      <c r="O618" s="11"/>
      <c r="P618" s="11"/>
    </row>
    <row r="619" spans="1:16" hidden="1" x14ac:dyDescent="0.25">
      <c r="A619" s="695">
        <v>56640</v>
      </c>
      <c r="B619" s="558">
        <v>1000</v>
      </c>
      <c r="C619" s="693">
        <v>200</v>
      </c>
      <c r="D619" s="558">
        <v>2100</v>
      </c>
      <c r="F619" s="693" t="s">
        <v>1334</v>
      </c>
      <c r="G619" s="696">
        <v>64</v>
      </c>
      <c r="H619" s="12" t="s">
        <v>889</v>
      </c>
      <c r="I619" s="12" t="s">
        <v>897</v>
      </c>
      <c r="J619" s="12" t="s">
        <v>902</v>
      </c>
      <c r="K619" s="12" t="s">
        <v>903</v>
      </c>
      <c r="L619" s="12"/>
      <c r="M619" s="11"/>
      <c r="N619" s="11"/>
      <c r="O619" s="11"/>
      <c r="P619" s="11"/>
    </row>
    <row r="620" spans="1:16" hidden="1" x14ac:dyDescent="0.25">
      <c r="A620" s="695">
        <v>56640</v>
      </c>
      <c r="B620" s="558">
        <v>1020</v>
      </c>
      <c r="C620" s="693">
        <v>100</v>
      </c>
      <c r="D620" s="558">
        <v>1000</v>
      </c>
      <c r="F620" s="693" t="s">
        <v>1334</v>
      </c>
      <c r="G620" s="696">
        <v>4181</v>
      </c>
      <c r="H620" s="12" t="s">
        <v>892</v>
      </c>
      <c r="I620" s="12" t="s">
        <v>893</v>
      </c>
      <c r="J620" s="12" t="s">
        <v>894</v>
      </c>
      <c r="K620" s="12" t="s">
        <v>903</v>
      </c>
      <c r="L620" s="12"/>
      <c r="M620" s="11"/>
      <c r="N620" s="11"/>
      <c r="O620" s="11"/>
      <c r="P620" s="11"/>
    </row>
    <row r="621" spans="1:16" hidden="1" x14ac:dyDescent="0.25">
      <c r="A621" s="695">
        <v>56640</v>
      </c>
      <c r="B621" s="558">
        <v>1309</v>
      </c>
      <c r="C621" s="693">
        <v>100</v>
      </c>
      <c r="D621" s="558">
        <v>1000</v>
      </c>
      <c r="F621" s="693" t="s">
        <v>1334</v>
      </c>
      <c r="G621" s="696">
        <v>0</v>
      </c>
      <c r="H621" s="12" t="s">
        <v>964</v>
      </c>
      <c r="I621" s="12" t="s">
        <v>893</v>
      </c>
      <c r="J621" s="12" t="s">
        <v>894</v>
      </c>
      <c r="K621" s="12" t="s">
        <v>903</v>
      </c>
      <c r="L621" s="12"/>
      <c r="M621" s="11"/>
      <c r="N621" s="11"/>
      <c r="O621" s="11"/>
      <c r="P621" s="11"/>
    </row>
    <row r="622" spans="1:16" hidden="1" x14ac:dyDescent="0.25">
      <c r="A622" s="695">
        <v>56640</v>
      </c>
      <c r="B622" s="558">
        <v>1319</v>
      </c>
      <c r="C622" s="693">
        <v>100</v>
      </c>
      <c r="D622" s="558">
        <v>1000</v>
      </c>
      <c r="F622" s="693" t="s">
        <v>1334</v>
      </c>
      <c r="G622" s="696">
        <v>9482</v>
      </c>
      <c r="H622" s="12" t="s">
        <v>968</v>
      </c>
      <c r="I622" s="12" t="s">
        <v>893</v>
      </c>
      <c r="J622" s="12" t="s">
        <v>894</v>
      </c>
      <c r="K622" s="12" t="s">
        <v>903</v>
      </c>
      <c r="L622" s="12"/>
      <c r="M622" s="11"/>
      <c r="N622" s="11"/>
      <c r="O622" s="11"/>
      <c r="P622" s="11"/>
    </row>
    <row r="623" spans="1:16" hidden="1" x14ac:dyDescent="0.25">
      <c r="A623" s="695">
        <v>56640</v>
      </c>
      <c r="B623" s="558">
        <v>1321</v>
      </c>
      <c r="C623" s="693">
        <v>100</v>
      </c>
      <c r="D623" s="558">
        <v>1000</v>
      </c>
      <c r="F623" s="693" t="s">
        <v>1334</v>
      </c>
      <c r="G623" s="696">
        <v>431</v>
      </c>
      <c r="H623" s="12" t="s">
        <v>968</v>
      </c>
      <c r="I623" s="12" t="s">
        <v>893</v>
      </c>
      <c r="J623" s="12" t="s">
        <v>894</v>
      </c>
      <c r="K623" s="12" t="s">
        <v>903</v>
      </c>
      <c r="L623" s="12"/>
      <c r="M623" s="11"/>
      <c r="N623" s="11"/>
      <c r="O623" s="11"/>
      <c r="P623" s="11"/>
    </row>
    <row r="624" spans="1:16" hidden="1" x14ac:dyDescent="0.25">
      <c r="A624" s="695">
        <v>56640</v>
      </c>
      <c r="B624" s="558" t="s">
        <v>1247</v>
      </c>
      <c r="C624" s="693">
        <v>200</v>
      </c>
      <c r="D624" s="558">
        <v>2100</v>
      </c>
      <c r="F624" s="693" t="s">
        <v>1334</v>
      </c>
      <c r="G624" s="696">
        <v>825</v>
      </c>
      <c r="H624" s="12" t="s">
        <v>904</v>
      </c>
      <c r="I624" s="12" t="s">
        <v>897</v>
      </c>
      <c r="J624" s="12" t="s">
        <v>902</v>
      </c>
      <c r="K624" s="12" t="s">
        <v>903</v>
      </c>
      <c r="L624" s="12"/>
      <c r="M624" s="11"/>
      <c r="N624" s="11"/>
      <c r="O624" s="11"/>
      <c r="P624" s="11"/>
    </row>
    <row r="625" spans="1:16" hidden="1" x14ac:dyDescent="0.25">
      <c r="A625" s="694">
        <v>56640</v>
      </c>
      <c r="B625" s="558" t="s">
        <v>1248</v>
      </c>
      <c r="C625" s="693">
        <v>100</v>
      </c>
      <c r="D625" s="558">
        <v>1000</v>
      </c>
      <c r="F625" s="693" t="s">
        <v>1334</v>
      </c>
      <c r="G625" s="696">
        <v>242</v>
      </c>
      <c r="H625" s="12" t="s">
        <v>904</v>
      </c>
      <c r="I625" s="12" t="s">
        <v>893</v>
      </c>
      <c r="J625" s="12" t="s">
        <v>894</v>
      </c>
      <c r="K625" s="12" t="s">
        <v>903</v>
      </c>
      <c r="L625" s="12"/>
      <c r="M625" s="11"/>
      <c r="N625" s="11"/>
      <c r="O625" s="11"/>
      <c r="P625" s="11"/>
    </row>
    <row r="626" spans="1:16" hidden="1" x14ac:dyDescent="0.25">
      <c r="A626" s="695">
        <v>56642</v>
      </c>
      <c r="B626" s="558">
        <v>1000</v>
      </c>
      <c r="C626" s="693">
        <v>100</v>
      </c>
      <c r="D626" s="558">
        <v>1000</v>
      </c>
      <c r="F626" s="693" t="s">
        <v>1335</v>
      </c>
      <c r="G626" s="696">
        <v>48810</v>
      </c>
      <c r="H626" s="12" t="s">
        <v>889</v>
      </c>
      <c r="I626" s="12" t="s">
        <v>893</v>
      </c>
      <c r="J626" s="12" t="s">
        <v>894</v>
      </c>
      <c r="K626" s="12" t="s">
        <v>903</v>
      </c>
      <c r="L626" s="12"/>
      <c r="M626" s="11"/>
      <c r="N626" s="11"/>
      <c r="O626" s="11"/>
      <c r="P626" s="11"/>
    </row>
    <row r="627" spans="1:16" hidden="1" x14ac:dyDescent="0.25">
      <c r="A627" s="694">
        <v>56642</v>
      </c>
      <c r="B627" s="558" t="s">
        <v>1247</v>
      </c>
      <c r="C627" s="693">
        <v>100</v>
      </c>
      <c r="D627" s="558">
        <v>1000</v>
      </c>
      <c r="F627" s="693" t="s">
        <v>1335</v>
      </c>
      <c r="G627" s="696">
        <v>10098</v>
      </c>
      <c r="H627" s="12" t="s">
        <v>904</v>
      </c>
      <c r="I627" s="12" t="s">
        <v>893</v>
      </c>
      <c r="J627" s="12" t="s">
        <v>894</v>
      </c>
      <c r="K627" s="12" t="s">
        <v>903</v>
      </c>
      <c r="L627" s="12"/>
      <c r="M627" s="11"/>
      <c r="N627" s="11"/>
      <c r="O627" s="11"/>
      <c r="P627" s="11"/>
    </row>
    <row r="628" spans="1:16" hidden="1" x14ac:dyDescent="0.25">
      <c r="A628" s="695">
        <v>56650</v>
      </c>
      <c r="B628" s="558">
        <v>1000</v>
      </c>
      <c r="C628" s="693">
        <v>100</v>
      </c>
      <c r="D628" s="558">
        <v>1000</v>
      </c>
      <c r="F628" s="693" t="s">
        <v>1336</v>
      </c>
      <c r="G628" s="696">
        <v>1137</v>
      </c>
      <c r="H628" s="12" t="s">
        <v>889</v>
      </c>
      <c r="I628" s="12" t="s">
        <v>893</v>
      </c>
      <c r="J628" s="12" t="s">
        <v>894</v>
      </c>
      <c r="K628" s="12" t="s">
        <v>903</v>
      </c>
      <c r="L628" s="12"/>
      <c r="M628" s="11"/>
      <c r="N628" s="11"/>
      <c r="O628" s="11"/>
      <c r="P628" s="11"/>
    </row>
    <row r="629" spans="1:16" hidden="1" x14ac:dyDescent="0.25">
      <c r="A629" s="695">
        <v>56650</v>
      </c>
      <c r="B629" s="558">
        <v>1000</v>
      </c>
      <c r="C629" s="693">
        <v>100</v>
      </c>
      <c r="D629" s="558">
        <v>2300</v>
      </c>
      <c r="F629" s="693" t="s">
        <v>1336</v>
      </c>
      <c r="G629" s="696">
        <v>1</v>
      </c>
      <c r="H629" s="12" t="s">
        <v>889</v>
      </c>
      <c r="I629" s="12" t="s">
        <v>893</v>
      </c>
      <c r="J629" s="12" t="s">
        <v>918</v>
      </c>
      <c r="K629" s="12" t="s">
        <v>903</v>
      </c>
      <c r="L629" s="12"/>
      <c r="M629" s="11"/>
      <c r="N629" s="11"/>
      <c r="O629" s="11"/>
      <c r="P629" s="11"/>
    </row>
    <row r="630" spans="1:16" hidden="1" x14ac:dyDescent="0.25">
      <c r="A630" s="694">
        <v>56650</v>
      </c>
      <c r="B630" s="558">
        <v>1000</v>
      </c>
      <c r="C630" s="693">
        <v>100</v>
      </c>
      <c r="D630" s="558">
        <v>2500</v>
      </c>
      <c r="F630" s="693" t="s">
        <v>1336</v>
      </c>
      <c r="G630" s="696">
        <v>7</v>
      </c>
      <c r="H630" s="12" t="s">
        <v>889</v>
      </c>
      <c r="I630" s="12" t="s">
        <v>893</v>
      </c>
      <c r="J630" s="12" t="s">
        <v>926</v>
      </c>
      <c r="K630" s="12" t="s">
        <v>903</v>
      </c>
      <c r="L630" s="12"/>
      <c r="M630" s="11"/>
      <c r="N630" s="11"/>
      <c r="O630" s="11"/>
      <c r="P630" s="11"/>
    </row>
    <row r="631" spans="1:16" hidden="1" x14ac:dyDescent="0.25">
      <c r="A631" s="695">
        <v>56699</v>
      </c>
      <c r="B631" s="558">
        <v>1000</v>
      </c>
      <c r="C631" s="693">
        <v>100</v>
      </c>
      <c r="D631" s="558">
        <v>1000</v>
      </c>
      <c r="F631" s="693" t="s">
        <v>1337</v>
      </c>
      <c r="G631" s="696">
        <v>-1095</v>
      </c>
      <c r="H631" s="12" t="s">
        <v>889</v>
      </c>
      <c r="I631" s="12" t="s">
        <v>893</v>
      </c>
      <c r="J631" s="12" t="s">
        <v>894</v>
      </c>
      <c r="K631" s="12" t="s">
        <v>903</v>
      </c>
      <c r="L631" s="12"/>
      <c r="M631" s="11"/>
      <c r="N631" s="11"/>
      <c r="O631" s="11"/>
      <c r="P631" s="11"/>
    </row>
    <row r="632" spans="1:16" hidden="1" x14ac:dyDescent="0.25">
      <c r="A632" s="695">
        <v>56699</v>
      </c>
      <c r="B632" s="558">
        <v>1000</v>
      </c>
      <c r="C632" s="693">
        <v>100</v>
      </c>
      <c r="D632" s="558">
        <v>2100</v>
      </c>
      <c r="F632" s="693" t="s">
        <v>1337</v>
      </c>
      <c r="G632" s="696">
        <v>16</v>
      </c>
      <c r="H632" s="12" t="s">
        <v>889</v>
      </c>
      <c r="I632" s="12" t="s">
        <v>893</v>
      </c>
      <c r="J632" s="12" t="s">
        <v>902</v>
      </c>
      <c r="K632" s="12" t="s">
        <v>903</v>
      </c>
      <c r="L632" s="12"/>
      <c r="M632" s="11"/>
      <c r="N632" s="11"/>
      <c r="O632" s="11"/>
      <c r="P632" s="11"/>
    </row>
    <row r="633" spans="1:16" hidden="1" x14ac:dyDescent="0.25">
      <c r="A633" s="695">
        <v>56699</v>
      </c>
      <c r="B633" s="558">
        <v>1000</v>
      </c>
      <c r="C633" s="693">
        <v>100</v>
      </c>
      <c r="D633" s="558">
        <v>2500</v>
      </c>
      <c r="F633" s="693" t="s">
        <v>1337</v>
      </c>
      <c r="G633" s="696">
        <v>20427</v>
      </c>
      <c r="H633" s="12" t="s">
        <v>889</v>
      </c>
      <c r="I633" s="12" t="s">
        <v>893</v>
      </c>
      <c r="J633" s="12" t="s">
        <v>926</v>
      </c>
      <c r="K633" s="12" t="s">
        <v>903</v>
      </c>
      <c r="L633" s="12"/>
      <c r="M633" s="11"/>
      <c r="N633" s="11"/>
      <c r="O633" s="11"/>
      <c r="P633" s="11"/>
    </row>
    <row r="634" spans="1:16" hidden="1" x14ac:dyDescent="0.25">
      <c r="A634" s="695">
        <v>56699</v>
      </c>
      <c r="B634" s="558">
        <v>1000</v>
      </c>
      <c r="C634" s="693">
        <v>100</v>
      </c>
      <c r="D634" s="558">
        <v>2600</v>
      </c>
      <c r="F634" s="693" t="s">
        <v>1337</v>
      </c>
      <c r="G634" s="696">
        <v>6</v>
      </c>
      <c r="H634" s="12" t="s">
        <v>889</v>
      </c>
      <c r="I634" s="12" t="s">
        <v>893</v>
      </c>
      <c r="J634" s="12" t="s">
        <v>930</v>
      </c>
      <c r="K634" s="12" t="s">
        <v>903</v>
      </c>
      <c r="L634" s="12"/>
      <c r="M634" s="11"/>
      <c r="N634" s="11"/>
      <c r="O634" s="11"/>
      <c r="P634" s="11"/>
    </row>
    <row r="635" spans="1:16" hidden="1" x14ac:dyDescent="0.25">
      <c r="A635" s="694">
        <v>56699</v>
      </c>
      <c r="B635" s="558">
        <v>1319</v>
      </c>
      <c r="C635" s="693">
        <v>100</v>
      </c>
      <c r="D635" s="558">
        <v>2100</v>
      </c>
      <c r="F635" s="693" t="s">
        <v>1337</v>
      </c>
      <c r="G635" s="696">
        <v>38172</v>
      </c>
      <c r="H635" s="12" t="s">
        <v>968</v>
      </c>
      <c r="I635" s="12" t="s">
        <v>893</v>
      </c>
      <c r="J635" s="12" t="s">
        <v>902</v>
      </c>
      <c r="K635" s="12" t="s">
        <v>903</v>
      </c>
      <c r="L635" s="12"/>
      <c r="M635" s="11"/>
      <c r="N635" s="11"/>
      <c r="O635" s="11"/>
      <c r="P635" s="11"/>
    </row>
    <row r="636" spans="1:16" hidden="1" x14ac:dyDescent="0.25">
      <c r="A636" s="694">
        <v>56740</v>
      </c>
      <c r="B636" s="558">
        <v>1000</v>
      </c>
      <c r="C636" s="693">
        <v>100</v>
      </c>
      <c r="D636" s="558">
        <v>2500</v>
      </c>
      <c r="F636" s="693" t="s">
        <v>1338</v>
      </c>
      <c r="G636" s="696">
        <v>4212</v>
      </c>
      <c r="H636" s="12" t="s">
        <v>889</v>
      </c>
      <c r="I636" s="12" t="s">
        <v>893</v>
      </c>
      <c r="J636" s="12" t="s">
        <v>926</v>
      </c>
      <c r="K636" s="12" t="s">
        <v>907</v>
      </c>
      <c r="L636" s="12"/>
      <c r="M636" s="11"/>
      <c r="N636" s="11"/>
      <c r="O636" s="11"/>
      <c r="P636" s="11"/>
    </row>
    <row r="637" spans="1:16" hidden="1" x14ac:dyDescent="0.25">
      <c r="A637" s="695">
        <v>56810</v>
      </c>
      <c r="B637" s="558">
        <v>1000</v>
      </c>
      <c r="C637" s="693">
        <v>100</v>
      </c>
      <c r="D637" s="558">
        <v>1000</v>
      </c>
      <c r="F637" s="693" t="s">
        <v>1339</v>
      </c>
      <c r="G637" s="696">
        <v>0</v>
      </c>
      <c r="H637" s="12" t="s">
        <v>889</v>
      </c>
      <c r="I637" s="12" t="s">
        <v>893</v>
      </c>
      <c r="J637" s="12" t="s">
        <v>894</v>
      </c>
      <c r="K637" s="12" t="s">
        <v>911</v>
      </c>
      <c r="L637" s="12"/>
      <c r="M637" s="11"/>
      <c r="N637" s="11"/>
      <c r="O637" s="11"/>
      <c r="P637" s="11"/>
    </row>
    <row r="638" spans="1:16" hidden="1" x14ac:dyDescent="0.25">
      <c r="A638" s="695">
        <v>56810</v>
      </c>
      <c r="B638" s="558">
        <v>1000</v>
      </c>
      <c r="C638" s="693">
        <v>100</v>
      </c>
      <c r="D638" s="558">
        <v>2300</v>
      </c>
      <c r="F638" s="693" t="s">
        <v>1339</v>
      </c>
      <c r="G638" s="696">
        <v>1226</v>
      </c>
      <c r="H638" s="12" t="s">
        <v>889</v>
      </c>
      <c r="I638" s="12" t="s">
        <v>893</v>
      </c>
      <c r="J638" s="12" t="s">
        <v>918</v>
      </c>
      <c r="K638" s="12" t="s">
        <v>911</v>
      </c>
      <c r="L638" s="12"/>
      <c r="M638" s="11"/>
      <c r="N638" s="11"/>
      <c r="O638" s="11"/>
      <c r="P638" s="11"/>
    </row>
    <row r="639" spans="1:16" hidden="1" x14ac:dyDescent="0.25">
      <c r="A639" s="695">
        <v>56810</v>
      </c>
      <c r="B639" s="558">
        <v>1000</v>
      </c>
      <c r="C639" s="693">
        <v>100</v>
      </c>
      <c r="D639" s="558">
        <v>2400</v>
      </c>
      <c r="F639" s="693" t="s">
        <v>1339</v>
      </c>
      <c r="G639" s="696">
        <v>347</v>
      </c>
      <c r="H639" s="12" t="s">
        <v>889</v>
      </c>
      <c r="I639" s="12" t="s">
        <v>893</v>
      </c>
      <c r="J639" s="12" t="s">
        <v>922</v>
      </c>
      <c r="K639" s="12" t="s">
        <v>911</v>
      </c>
      <c r="L639" s="12"/>
      <c r="M639" s="11"/>
      <c r="N639" s="11"/>
      <c r="O639" s="11"/>
      <c r="P639" s="11"/>
    </row>
    <row r="640" spans="1:16" hidden="1" x14ac:dyDescent="0.25">
      <c r="A640" s="695">
        <v>56810</v>
      </c>
      <c r="B640" s="558">
        <v>1000</v>
      </c>
      <c r="C640" s="693">
        <v>100</v>
      </c>
      <c r="D640" s="558">
        <v>2500</v>
      </c>
      <c r="F640" s="693" t="s">
        <v>1339</v>
      </c>
      <c r="G640" s="696">
        <v>2024</v>
      </c>
      <c r="H640" s="12" t="s">
        <v>889</v>
      </c>
      <c r="I640" s="12" t="s">
        <v>893</v>
      </c>
      <c r="J640" s="12" t="s">
        <v>926</v>
      </c>
      <c r="K640" s="12" t="s">
        <v>911</v>
      </c>
      <c r="L640" s="12"/>
      <c r="M640" s="11"/>
      <c r="N640" s="11"/>
      <c r="O640" s="11"/>
      <c r="P640" s="11"/>
    </row>
    <row r="641" spans="1:16" hidden="1" x14ac:dyDescent="0.25">
      <c r="A641" s="695">
        <v>56810</v>
      </c>
      <c r="B641" s="558">
        <v>1000</v>
      </c>
      <c r="C641" s="693">
        <v>100</v>
      </c>
      <c r="D641" s="558">
        <v>2510</v>
      </c>
      <c r="F641" s="693" t="s">
        <v>1339</v>
      </c>
      <c r="G641" s="696">
        <v>1</v>
      </c>
      <c r="H641" s="12" t="s">
        <v>889</v>
      </c>
      <c r="I641" s="12" t="s">
        <v>893</v>
      </c>
      <c r="J641" s="12" t="s">
        <v>926</v>
      </c>
      <c r="K641" s="12" t="s">
        <v>911</v>
      </c>
      <c r="L641" s="12"/>
      <c r="M641" s="11"/>
      <c r="N641" s="11"/>
      <c r="O641" s="11"/>
      <c r="P641" s="11"/>
    </row>
    <row r="642" spans="1:16" hidden="1" x14ac:dyDescent="0.25">
      <c r="A642" s="695">
        <v>56810</v>
      </c>
      <c r="B642" s="558">
        <v>1000</v>
      </c>
      <c r="C642" s="693">
        <v>100</v>
      </c>
      <c r="D642" s="558">
        <v>2600</v>
      </c>
      <c r="F642" s="693" t="s">
        <v>1339</v>
      </c>
      <c r="G642" s="696">
        <v>48</v>
      </c>
      <c r="H642" s="12" t="s">
        <v>889</v>
      </c>
      <c r="I642" s="12" t="s">
        <v>893</v>
      </c>
      <c r="J642" s="12" t="s">
        <v>930</v>
      </c>
      <c r="K642" s="12" t="s">
        <v>911</v>
      </c>
      <c r="L642" s="12"/>
      <c r="M642" s="11"/>
      <c r="N642" s="11"/>
      <c r="O642" s="11"/>
      <c r="P642" s="11"/>
    </row>
    <row r="643" spans="1:16" hidden="1" x14ac:dyDescent="0.25">
      <c r="A643" s="695">
        <v>56810</v>
      </c>
      <c r="B643" s="558">
        <v>1000</v>
      </c>
      <c r="C643" s="693">
        <v>100</v>
      </c>
      <c r="D643" s="558">
        <v>3100</v>
      </c>
      <c r="F643" s="693" t="s">
        <v>1339</v>
      </c>
      <c r="G643" s="696">
        <v>297</v>
      </c>
      <c r="H643" s="12" t="s">
        <v>889</v>
      </c>
      <c r="I643" s="12" t="s">
        <v>893</v>
      </c>
      <c r="J643" s="12" t="s">
        <v>942</v>
      </c>
      <c r="K643" s="12" t="s">
        <v>911</v>
      </c>
      <c r="L643" s="12"/>
      <c r="M643" s="11"/>
      <c r="N643" s="11"/>
      <c r="O643" s="11"/>
      <c r="P643" s="11"/>
    </row>
    <row r="644" spans="1:16" hidden="1" x14ac:dyDescent="0.25">
      <c r="A644" s="695">
        <v>56810</v>
      </c>
      <c r="B644" s="558">
        <v>1000</v>
      </c>
      <c r="C644" s="693">
        <v>200</v>
      </c>
      <c r="D644" s="558">
        <v>2100</v>
      </c>
      <c r="F644" s="693" t="s">
        <v>1339</v>
      </c>
      <c r="G644" s="696">
        <v>30</v>
      </c>
      <c r="H644" s="12" t="s">
        <v>889</v>
      </c>
      <c r="I644" s="12" t="s">
        <v>897</v>
      </c>
      <c r="J644" s="12" t="s">
        <v>902</v>
      </c>
      <c r="K644" s="12" t="s">
        <v>911</v>
      </c>
      <c r="L644" s="12"/>
      <c r="M644" s="11"/>
      <c r="N644" s="11"/>
      <c r="O644" s="11"/>
      <c r="P644" s="11"/>
    </row>
    <row r="645" spans="1:16" hidden="1" x14ac:dyDescent="0.25">
      <c r="A645" s="695">
        <v>56810</v>
      </c>
      <c r="B645" s="558">
        <v>1000</v>
      </c>
      <c r="C645" s="693">
        <v>240</v>
      </c>
      <c r="D645" s="558">
        <v>2100</v>
      </c>
      <c r="F645" s="693" t="s">
        <v>1339</v>
      </c>
      <c r="G645" s="696">
        <v>2</v>
      </c>
      <c r="H645" s="12" t="s">
        <v>889</v>
      </c>
      <c r="I645" s="12" t="s">
        <v>897</v>
      </c>
      <c r="J645" s="12" t="s">
        <v>902</v>
      </c>
      <c r="K645" s="12" t="s">
        <v>911</v>
      </c>
      <c r="L645" s="12"/>
      <c r="M645" s="11"/>
      <c r="N645" s="11"/>
      <c r="O645" s="11"/>
      <c r="P645" s="11"/>
    </row>
    <row r="646" spans="1:16" hidden="1" x14ac:dyDescent="0.25">
      <c r="A646" s="694">
        <v>56810</v>
      </c>
      <c r="B646" s="558">
        <v>1884</v>
      </c>
      <c r="C646" s="693">
        <v>100</v>
      </c>
      <c r="D646" s="558">
        <v>2500</v>
      </c>
      <c r="F646" s="693" t="s">
        <v>1339</v>
      </c>
      <c r="G646" s="696">
        <v>1</v>
      </c>
      <c r="H646" s="12" t="s">
        <v>997</v>
      </c>
      <c r="I646" s="12" t="s">
        <v>893</v>
      </c>
      <c r="J646" s="12" t="s">
        <v>926</v>
      </c>
      <c r="K646" s="12" t="s">
        <v>911</v>
      </c>
      <c r="L646" s="12"/>
      <c r="M646" s="11"/>
      <c r="N646" s="11"/>
      <c r="O646" s="11"/>
      <c r="P646" s="11"/>
    </row>
    <row r="647" spans="1:16" hidden="1" x14ac:dyDescent="0.25">
      <c r="A647" s="695">
        <v>56811</v>
      </c>
      <c r="B647" s="558">
        <v>1000</v>
      </c>
      <c r="C647" s="693">
        <v>100</v>
      </c>
      <c r="D647" s="558">
        <v>1000</v>
      </c>
      <c r="F647" s="693" t="s">
        <v>1340</v>
      </c>
      <c r="G647" s="696">
        <v>6605</v>
      </c>
      <c r="H647" s="12" t="s">
        <v>889</v>
      </c>
      <c r="I647" s="12" t="s">
        <v>893</v>
      </c>
      <c r="J647" s="12" t="s">
        <v>894</v>
      </c>
      <c r="K647" s="12" t="s">
        <v>911</v>
      </c>
      <c r="L647" s="12"/>
      <c r="M647" s="11"/>
      <c r="N647" s="11"/>
      <c r="O647" s="11"/>
      <c r="P647" s="11"/>
    </row>
    <row r="648" spans="1:16" hidden="1" x14ac:dyDescent="0.25">
      <c r="A648" s="695">
        <v>56811</v>
      </c>
      <c r="B648" s="558">
        <v>1000</v>
      </c>
      <c r="C648" s="693">
        <v>100</v>
      </c>
      <c r="D648" s="558">
        <v>2100</v>
      </c>
      <c r="F648" s="693" t="s">
        <v>1340</v>
      </c>
      <c r="G648" s="696">
        <v>45</v>
      </c>
      <c r="H648" s="12" t="s">
        <v>889</v>
      </c>
      <c r="I648" s="12" t="s">
        <v>893</v>
      </c>
      <c r="J648" s="12" t="s">
        <v>902</v>
      </c>
      <c r="K648" s="12" t="s">
        <v>911</v>
      </c>
      <c r="L648" s="12"/>
      <c r="M648" s="11"/>
      <c r="N648" s="11"/>
      <c r="O648" s="11"/>
      <c r="P648" s="11"/>
    </row>
    <row r="649" spans="1:16" hidden="1" x14ac:dyDescent="0.25">
      <c r="A649" s="695">
        <v>56811</v>
      </c>
      <c r="B649" s="558">
        <v>1000</v>
      </c>
      <c r="C649" s="693">
        <v>100</v>
      </c>
      <c r="D649" s="558">
        <v>2200</v>
      </c>
      <c r="F649" s="693" t="s">
        <v>1340</v>
      </c>
      <c r="G649" s="696">
        <v>37</v>
      </c>
      <c r="H649" s="12" t="s">
        <v>889</v>
      </c>
      <c r="I649" s="12" t="s">
        <v>893</v>
      </c>
      <c r="J649" s="12" t="s">
        <v>906</v>
      </c>
      <c r="K649" s="12" t="s">
        <v>911</v>
      </c>
      <c r="L649" s="12"/>
      <c r="M649" s="11"/>
      <c r="N649" s="11"/>
      <c r="O649" s="11"/>
      <c r="P649" s="11"/>
    </row>
    <row r="650" spans="1:16" hidden="1" x14ac:dyDescent="0.25">
      <c r="A650" s="695">
        <v>56811</v>
      </c>
      <c r="B650" s="558">
        <v>1000</v>
      </c>
      <c r="C650" s="693">
        <v>100</v>
      </c>
      <c r="D650" s="558">
        <v>2300</v>
      </c>
      <c r="F650" s="693" t="s">
        <v>1340</v>
      </c>
      <c r="G650" s="696">
        <v>4</v>
      </c>
      <c r="H650" s="12" t="s">
        <v>889</v>
      </c>
      <c r="I650" s="12" t="s">
        <v>893</v>
      </c>
      <c r="J650" s="12" t="s">
        <v>918</v>
      </c>
      <c r="K650" s="12" t="s">
        <v>911</v>
      </c>
      <c r="L650" s="12"/>
      <c r="M650" s="11"/>
      <c r="N650" s="11"/>
      <c r="O650" s="11"/>
      <c r="P650" s="11"/>
    </row>
    <row r="651" spans="1:16" hidden="1" x14ac:dyDescent="0.25">
      <c r="A651" s="695">
        <v>56811</v>
      </c>
      <c r="B651" s="558">
        <v>1000</v>
      </c>
      <c r="C651" s="693">
        <v>100</v>
      </c>
      <c r="D651" s="558">
        <v>2400</v>
      </c>
      <c r="F651" s="693" t="s">
        <v>1340</v>
      </c>
      <c r="G651" s="696">
        <v>0</v>
      </c>
      <c r="H651" s="12" t="s">
        <v>889</v>
      </c>
      <c r="I651" s="12" t="s">
        <v>893</v>
      </c>
      <c r="J651" s="12" t="s">
        <v>922</v>
      </c>
      <c r="K651" s="12" t="s">
        <v>911</v>
      </c>
      <c r="L651" s="12"/>
      <c r="M651" s="11"/>
      <c r="N651" s="11"/>
      <c r="O651" s="11"/>
      <c r="P651" s="11"/>
    </row>
    <row r="652" spans="1:16" hidden="1" x14ac:dyDescent="0.25">
      <c r="A652" s="695">
        <v>56811</v>
      </c>
      <c r="B652" s="558">
        <v>1000</v>
      </c>
      <c r="C652" s="693">
        <v>100</v>
      </c>
      <c r="D652" s="558">
        <v>2500</v>
      </c>
      <c r="F652" s="693" t="s">
        <v>1340</v>
      </c>
      <c r="G652" s="696">
        <v>14463</v>
      </c>
      <c r="H652" s="12" t="s">
        <v>889</v>
      </c>
      <c r="I652" s="12" t="s">
        <v>893</v>
      </c>
      <c r="J652" s="12" t="s">
        <v>926</v>
      </c>
      <c r="K652" s="12" t="s">
        <v>911</v>
      </c>
      <c r="L652" s="12"/>
      <c r="M652" s="11"/>
      <c r="N652" s="11"/>
      <c r="O652" s="11"/>
      <c r="P652" s="11"/>
    </row>
    <row r="653" spans="1:16" hidden="1" x14ac:dyDescent="0.25">
      <c r="A653" s="694">
        <v>56811</v>
      </c>
      <c r="B653" s="558">
        <v>1000</v>
      </c>
      <c r="C653" s="693">
        <v>100</v>
      </c>
      <c r="D653" s="558">
        <v>2600</v>
      </c>
      <c r="F653" s="693" t="s">
        <v>1340</v>
      </c>
      <c r="G653" s="696">
        <v>1944</v>
      </c>
      <c r="H653" s="12" t="s">
        <v>889</v>
      </c>
      <c r="I653" s="12" t="s">
        <v>893</v>
      </c>
      <c r="J653" s="12" t="s">
        <v>930</v>
      </c>
      <c r="K653" s="12" t="s">
        <v>911</v>
      </c>
      <c r="L653" s="12"/>
      <c r="M653" s="11"/>
      <c r="N653" s="11"/>
      <c r="O653" s="11"/>
      <c r="P653" s="11"/>
    </row>
    <row r="654" spans="1:16" hidden="1" x14ac:dyDescent="0.25">
      <c r="A654" s="694">
        <v>56820</v>
      </c>
      <c r="B654" s="558">
        <v>1000</v>
      </c>
      <c r="C654" s="693">
        <v>100</v>
      </c>
      <c r="D654" s="558">
        <v>2500</v>
      </c>
      <c r="F654" s="693" t="s">
        <v>1341</v>
      </c>
      <c r="G654" s="696">
        <v>100</v>
      </c>
      <c r="H654" s="12" t="s">
        <v>889</v>
      </c>
      <c r="I654" s="12" t="s">
        <v>893</v>
      </c>
      <c r="J654" s="12" t="s">
        <v>918</v>
      </c>
      <c r="K654" s="12" t="s">
        <v>915</v>
      </c>
      <c r="L654" s="12"/>
      <c r="M654" s="11"/>
      <c r="N654" s="11"/>
      <c r="O654" s="11"/>
      <c r="P654" s="11"/>
    </row>
    <row r="655" spans="1:16" hidden="1" x14ac:dyDescent="0.25">
      <c r="A655" s="694">
        <v>56830</v>
      </c>
      <c r="B655" s="558">
        <v>1000</v>
      </c>
      <c r="C655" s="693">
        <v>100</v>
      </c>
      <c r="D655" s="558">
        <v>1000</v>
      </c>
      <c r="F655" s="693" t="s">
        <v>1342</v>
      </c>
      <c r="G655" s="696">
        <v>-746</v>
      </c>
      <c r="H655" s="12" t="s">
        <v>889</v>
      </c>
      <c r="I655" s="12" t="s">
        <v>893</v>
      </c>
      <c r="J655" s="12" t="s">
        <v>894</v>
      </c>
      <c r="K655" s="12" t="s">
        <v>927</v>
      </c>
      <c r="L655" s="12"/>
      <c r="M655" s="11"/>
      <c r="N655" s="11"/>
      <c r="O655" s="11"/>
      <c r="P655" s="11"/>
    </row>
    <row r="656" spans="1:16" hidden="1" x14ac:dyDescent="0.25">
      <c r="A656" s="694">
        <v>56875</v>
      </c>
      <c r="B656" s="558">
        <v>1000</v>
      </c>
      <c r="C656" s="693">
        <v>100</v>
      </c>
      <c r="D656" s="558">
        <v>2500</v>
      </c>
      <c r="F656" s="693" t="s">
        <v>1343</v>
      </c>
      <c r="G656" s="696">
        <v>3046</v>
      </c>
      <c r="H656" s="12" t="s">
        <v>889</v>
      </c>
      <c r="I656" s="12" t="s">
        <v>893</v>
      </c>
      <c r="J656" s="12" t="s">
        <v>926</v>
      </c>
      <c r="K656" s="12" t="s">
        <v>927</v>
      </c>
      <c r="L656" s="12"/>
      <c r="M656" s="11"/>
      <c r="N656" s="11"/>
      <c r="O656" s="11"/>
      <c r="P656" s="11"/>
    </row>
    <row r="657" spans="1:16" hidden="1" x14ac:dyDescent="0.25">
      <c r="A657" s="694">
        <v>56880</v>
      </c>
      <c r="B657" s="558">
        <v>1000</v>
      </c>
      <c r="C657" s="693">
        <v>100</v>
      </c>
      <c r="D657" s="558">
        <v>1000</v>
      </c>
      <c r="F657" s="693" t="s">
        <v>1344</v>
      </c>
      <c r="G657" s="696">
        <v>176791</v>
      </c>
      <c r="H657" s="12" t="s">
        <v>889</v>
      </c>
      <c r="I657" s="12" t="s">
        <v>893</v>
      </c>
      <c r="J657" s="12" t="s">
        <v>894</v>
      </c>
      <c r="K657" s="12" t="s">
        <v>927</v>
      </c>
      <c r="L657" s="12"/>
      <c r="M657" s="11"/>
      <c r="N657" s="11"/>
      <c r="O657" s="11"/>
      <c r="P657" s="11"/>
    </row>
    <row r="658" spans="1:16" hidden="1" x14ac:dyDescent="0.25">
      <c r="A658" s="695">
        <v>56890</v>
      </c>
      <c r="B658" s="558">
        <v>1000</v>
      </c>
      <c r="C658" s="693">
        <v>100</v>
      </c>
      <c r="D658" s="558">
        <v>1000</v>
      </c>
      <c r="F658" s="693" t="s">
        <v>1345</v>
      </c>
      <c r="G658" s="696">
        <v>95</v>
      </c>
      <c r="H658" s="12" t="s">
        <v>889</v>
      </c>
      <c r="I658" s="12" t="s">
        <v>893</v>
      </c>
      <c r="J658" s="12" t="s">
        <v>894</v>
      </c>
      <c r="K658" s="12" t="s">
        <v>923</v>
      </c>
      <c r="L658" s="12"/>
      <c r="M658" s="11"/>
      <c r="N658" s="11"/>
      <c r="O658" s="11"/>
      <c r="P658" s="11"/>
    </row>
    <row r="659" spans="1:16" hidden="1" x14ac:dyDescent="0.25">
      <c r="A659" s="694">
        <v>56890</v>
      </c>
      <c r="B659" s="558">
        <v>1000</v>
      </c>
      <c r="C659" s="693">
        <v>100</v>
      </c>
      <c r="D659" s="558">
        <v>2500</v>
      </c>
      <c r="F659" s="693" t="s">
        <v>1345</v>
      </c>
      <c r="G659" s="696">
        <v>1431</v>
      </c>
      <c r="H659" s="12" t="s">
        <v>889</v>
      </c>
      <c r="I659" s="12" t="s">
        <v>893</v>
      </c>
      <c r="J659" s="12" t="s">
        <v>926</v>
      </c>
      <c r="K659" s="12" t="s">
        <v>923</v>
      </c>
      <c r="L659" s="12"/>
      <c r="M659" s="11"/>
      <c r="N659" s="11"/>
      <c r="O659" s="11"/>
      <c r="P659" s="11"/>
    </row>
    <row r="660" spans="1:16" hidden="1" x14ac:dyDescent="0.25">
      <c r="A660" s="695">
        <v>56910</v>
      </c>
      <c r="B660" s="558">
        <v>1000</v>
      </c>
      <c r="C660" s="693">
        <v>100</v>
      </c>
      <c r="D660" s="558">
        <v>2500</v>
      </c>
      <c r="F660" s="693" t="s">
        <v>1346</v>
      </c>
      <c r="G660" s="696">
        <v>-92346</v>
      </c>
      <c r="H660" s="12" t="s">
        <v>889</v>
      </c>
      <c r="I660" s="12" t="s">
        <v>893</v>
      </c>
      <c r="J660" s="12" t="s">
        <v>926</v>
      </c>
      <c r="K660" s="12" t="s">
        <v>931</v>
      </c>
      <c r="L660" s="12"/>
      <c r="M660" s="11"/>
      <c r="N660" s="11"/>
      <c r="O660" s="11"/>
      <c r="P660" s="11"/>
    </row>
    <row r="661" spans="1:16" hidden="1" x14ac:dyDescent="0.25">
      <c r="A661" s="695">
        <v>56910</v>
      </c>
      <c r="B661" s="558">
        <v>1000</v>
      </c>
      <c r="C661" s="693">
        <v>200</v>
      </c>
      <c r="D661" s="558">
        <v>2100</v>
      </c>
      <c r="F661" s="693" t="s">
        <v>1346</v>
      </c>
      <c r="G661" s="696">
        <v>-53</v>
      </c>
      <c r="H661" s="12" t="s">
        <v>889</v>
      </c>
      <c r="I661" s="12" t="s">
        <v>897</v>
      </c>
      <c r="J661" s="12" t="s">
        <v>902</v>
      </c>
      <c r="K661" s="12" t="s">
        <v>931</v>
      </c>
      <c r="L661" s="12"/>
      <c r="M661" s="11"/>
      <c r="N661" s="11"/>
      <c r="O661" s="11"/>
      <c r="P661" s="11"/>
    </row>
    <row r="662" spans="1:16" hidden="1" x14ac:dyDescent="0.25">
      <c r="A662" s="695">
        <v>56910</v>
      </c>
      <c r="B662" s="558">
        <v>1190</v>
      </c>
      <c r="C662" s="693">
        <v>260</v>
      </c>
      <c r="D662" s="558">
        <v>2500</v>
      </c>
      <c r="F662" s="693" t="s">
        <v>1346</v>
      </c>
      <c r="G662" s="696">
        <v>27</v>
      </c>
      <c r="H662" s="12" t="s">
        <v>920</v>
      </c>
      <c r="I662" s="12" t="s">
        <v>901</v>
      </c>
      <c r="J662" s="12" t="s">
        <v>926</v>
      </c>
      <c r="K662" s="12" t="s">
        <v>931</v>
      </c>
      <c r="L662" s="12"/>
      <c r="M662" s="11"/>
      <c r="N662" s="11"/>
      <c r="O662" s="11"/>
      <c r="P662" s="11"/>
    </row>
    <row r="663" spans="1:16" hidden="1" x14ac:dyDescent="0.25">
      <c r="A663" s="695">
        <v>56910</v>
      </c>
      <c r="B663" s="558">
        <v>1220</v>
      </c>
      <c r="C663" s="693">
        <v>200</v>
      </c>
      <c r="D663" s="558">
        <v>2500</v>
      </c>
      <c r="F663" s="693" t="s">
        <v>1346</v>
      </c>
      <c r="G663" s="696">
        <v>718</v>
      </c>
      <c r="H663" s="12" t="s">
        <v>932</v>
      </c>
      <c r="I663" s="12" t="s">
        <v>897</v>
      </c>
      <c r="J663" s="12" t="s">
        <v>926</v>
      </c>
      <c r="K663" s="12" t="s">
        <v>931</v>
      </c>
      <c r="L663" s="12"/>
      <c r="M663" s="11"/>
      <c r="N663" s="11"/>
      <c r="O663" s="11"/>
      <c r="P663" s="11"/>
    </row>
    <row r="664" spans="1:16" hidden="1" x14ac:dyDescent="0.25">
      <c r="A664" s="695">
        <v>56910</v>
      </c>
      <c r="B664" s="558">
        <v>1227</v>
      </c>
      <c r="C664" s="693">
        <v>200</v>
      </c>
      <c r="D664" s="558">
        <v>2100</v>
      </c>
      <c r="F664" s="693" t="s">
        <v>1346</v>
      </c>
      <c r="G664" s="696">
        <v>53</v>
      </c>
      <c r="H664" s="12" t="s">
        <v>936</v>
      </c>
      <c r="I664" s="12" t="s">
        <v>897</v>
      </c>
      <c r="J664" s="12" t="s">
        <v>902</v>
      </c>
      <c r="K664" s="12" t="s">
        <v>931</v>
      </c>
      <c r="L664" s="12"/>
      <c r="M664" s="11"/>
      <c r="N664" s="11"/>
      <c r="O664" s="11"/>
      <c r="P664" s="11"/>
    </row>
    <row r="665" spans="1:16" hidden="1" x14ac:dyDescent="0.25">
      <c r="A665" s="695">
        <v>56910</v>
      </c>
      <c r="B665" s="558">
        <v>1319</v>
      </c>
      <c r="C665" s="693">
        <v>100</v>
      </c>
      <c r="D665" s="558">
        <v>2500</v>
      </c>
      <c r="F665" s="693" t="s">
        <v>1346</v>
      </c>
      <c r="G665" s="696">
        <v>7780</v>
      </c>
      <c r="H665" s="12" t="s">
        <v>968</v>
      </c>
      <c r="I665" s="12" t="s">
        <v>893</v>
      </c>
      <c r="J665" s="12" t="s">
        <v>926</v>
      </c>
      <c r="K665" s="12" t="s">
        <v>931</v>
      </c>
      <c r="L665" s="12"/>
      <c r="M665" s="11"/>
      <c r="N665" s="11"/>
      <c r="O665" s="11"/>
      <c r="P665" s="11"/>
    </row>
    <row r="666" spans="1:16" hidden="1" x14ac:dyDescent="0.25">
      <c r="A666" s="695">
        <v>56910</v>
      </c>
      <c r="B666" s="558">
        <v>1321</v>
      </c>
      <c r="C666" s="693">
        <v>100</v>
      </c>
      <c r="D666" s="558">
        <v>2500</v>
      </c>
      <c r="F666" s="693" t="s">
        <v>1346</v>
      </c>
      <c r="G666" s="696">
        <v>74802</v>
      </c>
      <c r="H666" s="12" t="s">
        <v>968</v>
      </c>
      <c r="I666" s="12" t="s">
        <v>893</v>
      </c>
      <c r="J666" s="12" t="s">
        <v>926</v>
      </c>
      <c r="K666" s="12" t="s">
        <v>931</v>
      </c>
      <c r="L666" s="12"/>
      <c r="M666" s="11"/>
      <c r="N666" s="11"/>
      <c r="O666" s="11"/>
      <c r="P666" s="11"/>
    </row>
    <row r="667" spans="1:16" hidden="1" x14ac:dyDescent="0.25">
      <c r="A667" s="695">
        <v>56910</v>
      </c>
      <c r="B667" s="558">
        <v>1327</v>
      </c>
      <c r="C667" s="693">
        <v>100</v>
      </c>
      <c r="D667" s="558">
        <v>2500</v>
      </c>
      <c r="F667" s="693" t="s">
        <v>1346</v>
      </c>
      <c r="G667" s="696">
        <v>122</v>
      </c>
      <c r="H667" s="12" t="s">
        <v>968</v>
      </c>
      <c r="I667" s="12" t="s">
        <v>893</v>
      </c>
      <c r="J667" s="12" t="s">
        <v>926</v>
      </c>
      <c r="K667" s="12" t="s">
        <v>931</v>
      </c>
      <c r="L667" s="12"/>
      <c r="M667" s="11"/>
      <c r="N667" s="11"/>
      <c r="O667" s="11"/>
      <c r="P667" s="11"/>
    </row>
    <row r="668" spans="1:16" hidden="1" x14ac:dyDescent="0.25">
      <c r="A668" s="695">
        <v>56910</v>
      </c>
      <c r="B668" s="558" t="s">
        <v>1247</v>
      </c>
      <c r="C668" s="693">
        <v>100</v>
      </c>
      <c r="D668" s="558">
        <v>2500</v>
      </c>
      <c r="F668" s="693" t="s">
        <v>1346</v>
      </c>
      <c r="G668" s="696">
        <v>1876</v>
      </c>
      <c r="H668" s="12" t="s">
        <v>904</v>
      </c>
      <c r="I668" s="12" t="s">
        <v>893</v>
      </c>
      <c r="J668" s="12" t="s">
        <v>926</v>
      </c>
      <c r="K668" s="12" t="s">
        <v>931</v>
      </c>
      <c r="L668" s="12"/>
      <c r="M668" s="11"/>
      <c r="N668" s="11"/>
      <c r="O668" s="11"/>
      <c r="P668" s="11"/>
    </row>
    <row r="669" spans="1:16" hidden="1" x14ac:dyDescent="0.25">
      <c r="A669" s="694">
        <v>56910</v>
      </c>
      <c r="B669" s="558" t="s">
        <v>1248</v>
      </c>
      <c r="C669" s="693">
        <v>100</v>
      </c>
      <c r="D669" s="558">
        <v>2500</v>
      </c>
      <c r="F669" s="693" t="s">
        <v>1346</v>
      </c>
      <c r="G669" s="696">
        <v>7022</v>
      </c>
      <c r="H669" s="12" t="s">
        <v>904</v>
      </c>
      <c r="I669" s="12" t="s">
        <v>893</v>
      </c>
      <c r="J669" s="12" t="s">
        <v>926</v>
      </c>
      <c r="K669" s="12" t="s">
        <v>931</v>
      </c>
      <c r="L669" s="12"/>
      <c r="M669" s="11"/>
      <c r="N669" s="11"/>
      <c r="O669" s="11"/>
      <c r="P669" s="11"/>
    </row>
    <row r="670" spans="1:16" hidden="1" x14ac:dyDescent="0.25">
      <c r="G670" s="16"/>
      <c r="H670" s="12"/>
      <c r="I670" s="12"/>
      <c r="J670" s="12"/>
      <c r="K670" s="12"/>
      <c r="L670" s="12"/>
      <c r="M670" s="11"/>
      <c r="N670" s="11"/>
      <c r="O670" s="11"/>
      <c r="P670" s="11"/>
    </row>
    <row r="671" spans="1:16" hidden="1" x14ac:dyDescent="0.25">
      <c r="G671" s="16"/>
      <c r="H671" s="12"/>
      <c r="I671" s="12"/>
      <c r="J671" s="12"/>
      <c r="K671" s="12"/>
      <c r="L671" s="12"/>
      <c r="M671" s="11"/>
      <c r="N671" s="11"/>
      <c r="O671" s="11"/>
      <c r="P671" s="11"/>
    </row>
    <row r="672" spans="1:16" hidden="1" x14ac:dyDescent="0.25">
      <c r="G672" s="16"/>
      <c r="H672" s="12"/>
      <c r="I672" s="12"/>
      <c r="J672" s="12"/>
      <c r="K672" s="12"/>
      <c r="L672" s="12"/>
      <c r="M672" s="11"/>
      <c r="N672" s="11"/>
      <c r="O672" s="11"/>
      <c r="P672" s="11"/>
    </row>
    <row r="673" spans="7:16" hidden="1" x14ac:dyDescent="0.25">
      <c r="G673" s="16"/>
      <c r="H673" s="12"/>
      <c r="I673" s="12"/>
      <c r="J673" s="12"/>
      <c r="K673" s="12"/>
      <c r="L673" s="12"/>
      <c r="M673" s="11"/>
      <c r="N673" s="11"/>
      <c r="O673" s="11"/>
      <c r="P673" s="11"/>
    </row>
    <row r="674" spans="7:16" hidden="1" x14ac:dyDescent="0.25">
      <c r="G674" s="16"/>
      <c r="H674" s="12"/>
      <c r="I674" s="12"/>
      <c r="J674" s="12"/>
      <c r="K674" s="12"/>
      <c r="L674" s="12"/>
      <c r="M674" s="11"/>
      <c r="N674" s="11"/>
      <c r="O674" s="11"/>
      <c r="P674" s="11"/>
    </row>
    <row r="675" spans="7:16" hidden="1" x14ac:dyDescent="0.25">
      <c r="G675" s="16"/>
      <c r="H675" s="12"/>
      <c r="I675" s="12"/>
      <c r="J675" s="12"/>
      <c r="K675" s="12"/>
      <c r="L675" s="12"/>
      <c r="M675" s="11"/>
      <c r="N675" s="11"/>
      <c r="O675" s="11"/>
      <c r="P675" s="11"/>
    </row>
    <row r="676" spans="7:16" hidden="1" x14ac:dyDescent="0.25">
      <c r="G676" s="16"/>
      <c r="H676" s="12"/>
      <c r="I676" s="12"/>
      <c r="J676" s="12"/>
      <c r="K676" s="12"/>
      <c r="L676" s="12"/>
      <c r="M676" s="11"/>
      <c r="N676" s="11"/>
      <c r="O676" s="11"/>
      <c r="P676" s="11"/>
    </row>
    <row r="677" spans="7:16" hidden="1" x14ac:dyDescent="0.25">
      <c r="G677" s="16"/>
      <c r="H677" s="12"/>
      <c r="I677" s="12"/>
      <c r="J677" s="12"/>
      <c r="K677" s="12"/>
      <c r="L677" s="12"/>
      <c r="M677" s="11"/>
      <c r="N677" s="11"/>
      <c r="O677" s="11"/>
      <c r="P677" s="11"/>
    </row>
    <row r="678" spans="7:16" hidden="1" x14ac:dyDescent="0.25">
      <c r="G678" s="16"/>
      <c r="H678" s="12"/>
      <c r="I678" s="12"/>
      <c r="J678" s="12"/>
      <c r="K678" s="12"/>
      <c r="L678" s="12"/>
      <c r="M678" s="11"/>
      <c r="N678" s="11"/>
      <c r="O678" s="11"/>
      <c r="P678" s="11"/>
    </row>
    <row r="679" spans="7:16" hidden="1" x14ac:dyDescent="0.25">
      <c r="G679" s="16"/>
      <c r="H679" s="12"/>
      <c r="I679" s="12"/>
      <c r="J679" s="12"/>
      <c r="K679" s="12"/>
      <c r="L679" s="12"/>
      <c r="M679" s="11"/>
      <c r="N679" s="11"/>
      <c r="O679" s="11"/>
      <c r="P679" s="11"/>
    </row>
    <row r="680" spans="7:16" hidden="1" x14ac:dyDescent="0.25">
      <c r="G680" s="16"/>
      <c r="H680" s="12"/>
      <c r="I680" s="12"/>
      <c r="J680" s="12"/>
      <c r="K680" s="12"/>
      <c r="L680" s="12"/>
      <c r="M680" s="11"/>
      <c r="N680" s="11"/>
      <c r="O680" s="11"/>
      <c r="P680" s="11"/>
    </row>
    <row r="681" spans="7:16" hidden="1" x14ac:dyDescent="0.25">
      <c r="G681" s="16"/>
      <c r="H681" s="12"/>
      <c r="I681" s="12"/>
      <c r="J681" s="12"/>
      <c r="K681" s="12"/>
      <c r="L681" s="12"/>
      <c r="M681" s="11"/>
      <c r="N681" s="11"/>
      <c r="O681" s="11"/>
      <c r="P681" s="11"/>
    </row>
    <row r="682" spans="7:16" hidden="1" x14ac:dyDescent="0.25">
      <c r="G682" s="16"/>
      <c r="H682" s="12"/>
      <c r="I682" s="12"/>
      <c r="J682" s="12"/>
      <c r="K682" s="12"/>
      <c r="L682" s="12"/>
      <c r="M682" s="11"/>
      <c r="N682" s="11"/>
      <c r="O682" s="11"/>
      <c r="P682" s="11"/>
    </row>
    <row r="683" spans="7:16" hidden="1" x14ac:dyDescent="0.25">
      <c r="G683" s="16"/>
      <c r="H683" s="12"/>
      <c r="I683" s="12"/>
      <c r="J683" s="12"/>
      <c r="K683" s="12"/>
      <c r="L683" s="12"/>
      <c r="M683" s="11"/>
      <c r="N683" s="11"/>
      <c r="O683" s="11"/>
      <c r="P683" s="11"/>
    </row>
    <row r="684" spans="7:16" hidden="1" x14ac:dyDescent="0.25">
      <c r="G684" s="16"/>
      <c r="H684" s="12"/>
      <c r="I684" s="12"/>
      <c r="J684" s="12"/>
      <c r="K684" s="12"/>
      <c r="L684" s="12"/>
      <c r="M684" s="11"/>
      <c r="N684" s="11"/>
      <c r="O684" s="11"/>
      <c r="P684" s="11"/>
    </row>
    <row r="685" spans="7:16" hidden="1" x14ac:dyDescent="0.25">
      <c r="G685" s="16"/>
      <c r="H685" s="12"/>
      <c r="I685" s="12"/>
      <c r="J685" s="12"/>
      <c r="K685" s="12"/>
      <c r="L685" s="12"/>
      <c r="M685" s="11"/>
      <c r="N685" s="11"/>
      <c r="O685" s="11"/>
      <c r="P685" s="11"/>
    </row>
    <row r="686" spans="7:16" hidden="1" x14ac:dyDescent="0.25">
      <c r="G686" s="16"/>
      <c r="H686" s="12"/>
      <c r="I686" s="12"/>
      <c r="J686" s="12"/>
      <c r="K686" s="12"/>
      <c r="L686" s="12"/>
      <c r="M686" s="11"/>
      <c r="N686" s="11"/>
      <c r="O686" s="11"/>
      <c r="P686" s="11"/>
    </row>
    <row r="687" spans="7:16" hidden="1" x14ac:dyDescent="0.25">
      <c r="G687" s="16"/>
      <c r="H687" s="12"/>
      <c r="I687" s="12"/>
      <c r="J687" s="12"/>
      <c r="K687" s="12"/>
      <c r="L687" s="12"/>
      <c r="M687" s="11"/>
      <c r="N687" s="11"/>
      <c r="O687" s="11"/>
      <c r="P687" s="11"/>
    </row>
    <row r="688" spans="7:16" hidden="1" x14ac:dyDescent="0.25">
      <c r="G688" s="16"/>
      <c r="H688" s="12"/>
      <c r="I688" s="12"/>
      <c r="J688" s="12"/>
      <c r="K688" s="12"/>
      <c r="L688" s="12"/>
      <c r="M688" s="11"/>
      <c r="N688" s="11"/>
      <c r="O688" s="11"/>
      <c r="P688" s="11"/>
    </row>
    <row r="689" spans="7:16" hidden="1" x14ac:dyDescent="0.25">
      <c r="G689" s="16"/>
      <c r="H689" s="12"/>
      <c r="I689" s="12"/>
      <c r="J689" s="12"/>
      <c r="K689" s="12"/>
      <c r="L689" s="12"/>
      <c r="M689" s="11"/>
      <c r="N689" s="11"/>
      <c r="O689" s="11"/>
      <c r="P689" s="11"/>
    </row>
    <row r="690" spans="7:16" hidden="1" x14ac:dyDescent="0.25">
      <c r="G690" s="16"/>
      <c r="H690" s="12"/>
      <c r="I690" s="12"/>
      <c r="J690" s="12"/>
      <c r="K690" s="12"/>
      <c r="L690" s="12"/>
      <c r="M690" s="11"/>
      <c r="N690" s="11"/>
      <c r="O690" s="11"/>
      <c r="P690" s="11"/>
    </row>
    <row r="691" spans="7:16" hidden="1" x14ac:dyDescent="0.25">
      <c r="G691" s="16"/>
      <c r="H691" s="12"/>
      <c r="I691" s="12"/>
      <c r="J691" s="12"/>
      <c r="K691" s="12"/>
      <c r="L691" s="12"/>
      <c r="M691" s="11"/>
      <c r="N691" s="11"/>
      <c r="O691" s="11"/>
      <c r="P691" s="11"/>
    </row>
    <row r="692" spans="7:16" hidden="1" x14ac:dyDescent="0.25">
      <c r="G692" s="16"/>
      <c r="H692" s="12"/>
      <c r="I692" s="12"/>
      <c r="J692" s="12"/>
      <c r="K692" s="12"/>
      <c r="L692" s="12"/>
      <c r="M692" s="11"/>
      <c r="N692" s="11"/>
      <c r="O692" s="11"/>
      <c r="P692" s="11"/>
    </row>
    <row r="693" spans="7:16" hidden="1" x14ac:dyDescent="0.25">
      <c r="G693" s="16"/>
      <c r="H693" s="12"/>
      <c r="I693" s="12"/>
      <c r="J693" s="12"/>
      <c r="K693" s="12"/>
      <c r="L693" s="12"/>
      <c r="M693" s="11"/>
      <c r="N693" s="11"/>
      <c r="O693" s="11"/>
      <c r="P693" s="11"/>
    </row>
    <row r="694" spans="7:16" hidden="1" x14ac:dyDescent="0.25">
      <c r="G694" s="16"/>
      <c r="H694" s="12"/>
      <c r="I694" s="12"/>
      <c r="J694" s="12"/>
      <c r="K694" s="12"/>
      <c r="L694" s="12"/>
      <c r="M694" s="11"/>
      <c r="N694" s="11"/>
      <c r="O694" s="11"/>
      <c r="P694" s="11"/>
    </row>
    <row r="695" spans="7:16" hidden="1" x14ac:dyDescent="0.25">
      <c r="G695" s="16"/>
      <c r="H695" s="12"/>
      <c r="I695" s="12"/>
      <c r="J695" s="12"/>
      <c r="K695" s="12"/>
      <c r="L695" s="12"/>
      <c r="M695" s="11"/>
      <c r="N695" s="11"/>
      <c r="O695" s="11"/>
      <c r="P695" s="11"/>
    </row>
    <row r="696" spans="7:16" hidden="1" x14ac:dyDescent="0.25">
      <c r="G696" s="16"/>
      <c r="H696" s="12"/>
      <c r="I696" s="12"/>
      <c r="J696" s="12"/>
      <c r="K696" s="12"/>
      <c r="L696" s="12"/>
      <c r="M696" s="11"/>
      <c r="N696" s="11"/>
      <c r="O696" s="11"/>
      <c r="P696" s="11"/>
    </row>
    <row r="697" spans="7:16" hidden="1" x14ac:dyDescent="0.25">
      <c r="G697" s="16"/>
      <c r="H697" s="12"/>
      <c r="I697" s="12"/>
      <c r="J697" s="12"/>
      <c r="K697" s="12"/>
      <c r="L697" s="12"/>
      <c r="M697" s="11"/>
      <c r="N697" s="11"/>
      <c r="O697" s="11"/>
      <c r="P697" s="11"/>
    </row>
    <row r="698" spans="7:16" hidden="1" x14ac:dyDescent="0.25">
      <c r="G698" s="16"/>
      <c r="H698" s="12"/>
      <c r="I698" s="12"/>
      <c r="J698" s="12"/>
      <c r="K698" s="12"/>
      <c r="L698" s="12"/>
      <c r="M698" s="11"/>
      <c r="N698" s="11"/>
      <c r="O698" s="11"/>
      <c r="P698" s="11"/>
    </row>
    <row r="699" spans="7:16" hidden="1" x14ac:dyDescent="0.25">
      <c r="G699" s="16"/>
      <c r="H699" s="12"/>
      <c r="I699" s="12"/>
      <c r="J699" s="12"/>
      <c r="K699" s="12"/>
      <c r="L699" s="12"/>
      <c r="M699" s="11"/>
      <c r="N699" s="11"/>
      <c r="O699" s="11"/>
      <c r="P699" s="11"/>
    </row>
    <row r="700" spans="7:16" hidden="1" x14ac:dyDescent="0.25">
      <c r="G700" s="16"/>
      <c r="H700" s="12"/>
      <c r="I700" s="12"/>
      <c r="J700" s="12"/>
      <c r="K700" s="12"/>
      <c r="L700" s="12"/>
      <c r="M700" s="11"/>
      <c r="N700" s="11"/>
      <c r="O700" s="11"/>
      <c r="P700" s="11"/>
    </row>
    <row r="701" spans="7:16" hidden="1" x14ac:dyDescent="0.25">
      <c r="G701" s="16"/>
      <c r="H701" s="12"/>
      <c r="I701" s="12"/>
      <c r="J701" s="12"/>
      <c r="K701" s="12"/>
      <c r="L701" s="12"/>
      <c r="M701" s="11"/>
      <c r="N701" s="11"/>
      <c r="O701" s="11"/>
      <c r="P701" s="11"/>
    </row>
    <row r="702" spans="7:16" hidden="1" x14ac:dyDescent="0.25">
      <c r="G702" s="16"/>
      <c r="H702" s="12"/>
      <c r="I702" s="12"/>
      <c r="J702" s="12"/>
      <c r="K702" s="12"/>
      <c r="L702" s="12"/>
      <c r="M702" s="11"/>
      <c r="N702" s="11"/>
      <c r="O702" s="11"/>
      <c r="P702" s="11"/>
    </row>
    <row r="703" spans="7:16" hidden="1" x14ac:dyDescent="0.25">
      <c r="G703" s="16"/>
      <c r="H703" s="12"/>
      <c r="I703" s="12"/>
      <c r="J703" s="12"/>
      <c r="K703" s="12"/>
      <c r="L703" s="12"/>
      <c r="M703" s="11"/>
      <c r="N703" s="11"/>
      <c r="O703" s="11"/>
      <c r="P703" s="11"/>
    </row>
    <row r="704" spans="7:16" hidden="1" x14ac:dyDescent="0.25">
      <c r="G704" s="16"/>
      <c r="H704" s="12"/>
      <c r="I704" s="12"/>
      <c r="J704" s="12"/>
      <c r="K704" s="12"/>
      <c r="L704" s="12"/>
      <c r="M704" s="11"/>
      <c r="N704" s="11"/>
      <c r="O704" s="11"/>
      <c r="P704" s="11"/>
    </row>
    <row r="705" spans="7:16" hidden="1" x14ac:dyDescent="0.25">
      <c r="G705" s="16"/>
      <c r="H705" s="12"/>
      <c r="I705" s="12"/>
      <c r="J705" s="12"/>
      <c r="K705" s="12"/>
      <c r="L705" s="12"/>
      <c r="M705" s="11"/>
      <c r="N705" s="11"/>
      <c r="O705" s="11"/>
      <c r="P705" s="11"/>
    </row>
    <row r="706" spans="7:16" hidden="1" x14ac:dyDescent="0.25">
      <c r="G706" s="16"/>
      <c r="H706" s="12"/>
      <c r="I706" s="12"/>
      <c r="J706" s="12"/>
      <c r="K706" s="12"/>
      <c r="L706" s="12"/>
      <c r="M706" s="11"/>
      <c r="N706" s="11"/>
      <c r="O706" s="11"/>
      <c r="P706" s="11"/>
    </row>
    <row r="707" spans="7:16" hidden="1" x14ac:dyDescent="0.25">
      <c r="G707" s="16"/>
      <c r="H707" s="12"/>
      <c r="I707" s="12"/>
      <c r="J707" s="12"/>
      <c r="K707" s="12"/>
      <c r="L707" s="12"/>
      <c r="M707" s="11"/>
      <c r="N707" s="11"/>
      <c r="O707" s="11"/>
      <c r="P707" s="11"/>
    </row>
    <row r="708" spans="7:16" hidden="1" x14ac:dyDescent="0.25">
      <c r="G708" s="16"/>
      <c r="H708" s="12"/>
      <c r="I708" s="12"/>
      <c r="J708" s="12"/>
      <c r="K708" s="12"/>
      <c r="L708" s="12"/>
      <c r="M708" s="11"/>
      <c r="N708" s="11"/>
      <c r="O708" s="11"/>
      <c r="P708" s="11"/>
    </row>
    <row r="709" spans="7:16" hidden="1" x14ac:dyDescent="0.25">
      <c r="G709" s="16"/>
      <c r="H709" s="12"/>
      <c r="I709" s="12"/>
      <c r="J709" s="12"/>
      <c r="K709" s="12"/>
      <c r="L709" s="12"/>
      <c r="M709" s="11"/>
      <c r="N709" s="11"/>
      <c r="O709" s="11"/>
      <c r="P709" s="11"/>
    </row>
    <row r="710" spans="7:16" hidden="1" x14ac:dyDescent="0.25">
      <c r="G710" s="16"/>
      <c r="H710" s="12"/>
      <c r="I710" s="12"/>
      <c r="J710" s="12"/>
      <c r="K710" s="12"/>
      <c r="L710" s="12"/>
      <c r="M710" s="11"/>
      <c r="N710" s="11"/>
      <c r="O710" s="11"/>
      <c r="P710" s="11"/>
    </row>
    <row r="711" spans="7:16" hidden="1" x14ac:dyDescent="0.25">
      <c r="G711" s="16"/>
      <c r="H711" s="12"/>
      <c r="I711" s="12"/>
      <c r="J711" s="12"/>
      <c r="K711" s="12"/>
      <c r="L711" s="12"/>
      <c r="M711" s="11"/>
      <c r="N711" s="11"/>
      <c r="O711" s="11"/>
      <c r="P711" s="11"/>
    </row>
    <row r="712" spans="7:16" hidden="1" x14ac:dyDescent="0.25">
      <c r="G712" s="16"/>
      <c r="H712" s="12"/>
      <c r="I712" s="12"/>
      <c r="J712" s="12"/>
      <c r="K712" s="12"/>
      <c r="L712" s="12"/>
      <c r="M712" s="11"/>
      <c r="N712" s="11"/>
      <c r="O712" s="11"/>
      <c r="P712" s="11"/>
    </row>
    <row r="713" spans="7:16" hidden="1" x14ac:dyDescent="0.25">
      <c r="G713" s="16"/>
      <c r="H713" s="12"/>
      <c r="I713" s="12"/>
      <c r="J713" s="12"/>
      <c r="K713" s="12"/>
      <c r="L713" s="12"/>
      <c r="M713" s="11"/>
      <c r="N713" s="11"/>
      <c r="O713" s="11"/>
      <c r="P713" s="11"/>
    </row>
    <row r="714" spans="7:16" hidden="1" x14ac:dyDescent="0.25">
      <c r="G714" s="16"/>
      <c r="H714" s="12"/>
      <c r="I714" s="12"/>
      <c r="J714" s="12"/>
      <c r="K714" s="12"/>
      <c r="L714" s="12"/>
      <c r="M714" s="11"/>
      <c r="N714" s="11"/>
      <c r="O714" s="11"/>
      <c r="P714" s="11"/>
    </row>
    <row r="715" spans="7:16" hidden="1" x14ac:dyDescent="0.25">
      <c r="G715" s="16"/>
      <c r="H715" s="12"/>
      <c r="I715" s="12"/>
      <c r="J715" s="12"/>
      <c r="K715" s="12"/>
      <c r="L715" s="12"/>
      <c r="M715" s="11"/>
      <c r="N715" s="11"/>
      <c r="O715" s="11"/>
      <c r="P715" s="11"/>
    </row>
    <row r="716" spans="7:16" hidden="1" x14ac:dyDescent="0.25">
      <c r="G716" s="16"/>
      <c r="H716" s="12"/>
      <c r="I716" s="12"/>
      <c r="J716" s="12"/>
      <c r="K716" s="12"/>
      <c r="L716" s="12"/>
      <c r="M716" s="11"/>
      <c r="N716" s="11"/>
      <c r="O716" s="11"/>
      <c r="P716" s="11"/>
    </row>
    <row r="717" spans="7:16" hidden="1" x14ac:dyDescent="0.25">
      <c r="G717" s="16"/>
      <c r="H717" s="12"/>
      <c r="I717" s="12"/>
      <c r="J717" s="12"/>
      <c r="K717" s="12"/>
      <c r="L717" s="12"/>
      <c r="M717" s="11"/>
      <c r="N717" s="11"/>
      <c r="O717" s="11"/>
      <c r="P717" s="11"/>
    </row>
    <row r="718" spans="7:16" hidden="1" x14ac:dyDescent="0.25">
      <c r="G718" s="16"/>
      <c r="H718" s="12"/>
      <c r="I718" s="12"/>
      <c r="J718" s="12"/>
      <c r="K718" s="12"/>
      <c r="L718" s="12"/>
      <c r="M718" s="11"/>
      <c r="N718" s="11"/>
      <c r="O718" s="11"/>
      <c r="P718" s="11"/>
    </row>
    <row r="719" spans="7:16" hidden="1" x14ac:dyDescent="0.25">
      <c r="G719" s="16"/>
      <c r="H719" s="12"/>
      <c r="I719" s="12"/>
      <c r="J719" s="12"/>
      <c r="K719" s="12"/>
      <c r="L719" s="12"/>
      <c r="M719" s="11"/>
      <c r="N719" s="11"/>
      <c r="O719" s="11"/>
      <c r="P719" s="11"/>
    </row>
    <row r="720" spans="7:16" hidden="1" x14ac:dyDescent="0.25">
      <c r="G720" s="16"/>
      <c r="H720" s="12"/>
      <c r="I720" s="12"/>
      <c r="J720" s="12"/>
      <c r="K720" s="12"/>
      <c r="L720" s="12"/>
      <c r="M720" s="11"/>
      <c r="N720" s="11"/>
      <c r="O720" s="11"/>
      <c r="P720" s="11"/>
    </row>
    <row r="721" spans="7:16" hidden="1" x14ac:dyDescent="0.25">
      <c r="G721" s="16"/>
      <c r="H721" s="12"/>
      <c r="I721" s="12"/>
      <c r="J721" s="12"/>
      <c r="K721" s="12"/>
      <c r="L721" s="12"/>
      <c r="M721" s="11"/>
      <c r="N721" s="11"/>
      <c r="O721" s="11"/>
      <c r="P721" s="11"/>
    </row>
    <row r="722" spans="7:16" hidden="1" x14ac:dyDescent="0.25">
      <c r="G722" s="16"/>
      <c r="H722" s="12"/>
      <c r="I722" s="12"/>
      <c r="J722" s="12"/>
      <c r="K722" s="12"/>
      <c r="L722" s="12"/>
      <c r="M722" s="11"/>
      <c r="N722" s="11"/>
      <c r="O722" s="11"/>
      <c r="P722" s="11"/>
    </row>
    <row r="723" spans="7:16" hidden="1" x14ac:dyDescent="0.25">
      <c r="G723" s="16"/>
      <c r="H723" s="12"/>
      <c r="I723" s="12"/>
      <c r="J723" s="12"/>
      <c r="K723" s="12"/>
      <c r="L723" s="12"/>
      <c r="M723" s="11"/>
      <c r="N723" s="11"/>
      <c r="O723" s="11"/>
      <c r="P723" s="11"/>
    </row>
    <row r="724" spans="7:16" hidden="1" x14ac:dyDescent="0.25">
      <c r="G724" s="16"/>
      <c r="H724" s="12"/>
      <c r="I724" s="12"/>
      <c r="J724" s="12"/>
      <c r="K724" s="12"/>
      <c r="L724" s="12"/>
      <c r="M724" s="11"/>
      <c r="N724" s="11"/>
      <c r="O724" s="11"/>
      <c r="P724" s="11"/>
    </row>
    <row r="725" spans="7:16" hidden="1" x14ac:dyDescent="0.25">
      <c r="G725" s="16"/>
      <c r="H725" s="12"/>
      <c r="I725" s="12"/>
      <c r="J725" s="12"/>
      <c r="K725" s="12"/>
      <c r="L725" s="12"/>
      <c r="M725" s="11"/>
      <c r="N725" s="11"/>
      <c r="O725" s="11"/>
      <c r="P725" s="11"/>
    </row>
    <row r="726" spans="7:16" hidden="1" x14ac:dyDescent="0.25">
      <c r="G726" s="16"/>
      <c r="H726" s="12"/>
      <c r="I726" s="12"/>
      <c r="J726" s="12"/>
      <c r="K726" s="12"/>
      <c r="L726" s="12"/>
      <c r="M726" s="11"/>
      <c r="N726" s="11"/>
      <c r="O726" s="11"/>
      <c r="P726" s="11"/>
    </row>
    <row r="727" spans="7:16" hidden="1" x14ac:dyDescent="0.25">
      <c r="G727" s="16"/>
      <c r="H727" s="12"/>
      <c r="I727" s="12"/>
      <c r="J727" s="12"/>
      <c r="K727" s="12"/>
      <c r="L727" s="12"/>
      <c r="M727" s="11"/>
      <c r="N727" s="11"/>
      <c r="O727" s="11"/>
      <c r="P727" s="11"/>
    </row>
    <row r="728" spans="7:16" hidden="1" x14ac:dyDescent="0.25">
      <c r="G728" s="16"/>
      <c r="H728" s="12"/>
      <c r="I728" s="12"/>
      <c r="J728" s="12"/>
      <c r="K728" s="12"/>
      <c r="L728" s="12"/>
      <c r="M728" s="11"/>
      <c r="N728" s="11"/>
      <c r="O728" s="11"/>
      <c r="P728" s="11"/>
    </row>
    <row r="729" spans="7:16" hidden="1" x14ac:dyDescent="0.25">
      <c r="G729" s="16"/>
      <c r="H729" s="12"/>
      <c r="I729" s="12"/>
      <c r="J729" s="12"/>
      <c r="K729" s="12"/>
      <c r="L729" s="12"/>
      <c r="M729" s="11"/>
      <c r="N729" s="11"/>
      <c r="O729" s="11"/>
      <c r="P729" s="11"/>
    </row>
    <row r="730" spans="7:16" hidden="1" x14ac:dyDescent="0.25">
      <c r="G730" s="16"/>
      <c r="H730" s="12"/>
      <c r="I730" s="12"/>
      <c r="J730" s="12"/>
      <c r="K730" s="12"/>
      <c r="L730" s="12"/>
      <c r="M730" s="11"/>
      <c r="N730" s="11"/>
      <c r="O730" s="11"/>
      <c r="P730" s="11"/>
    </row>
    <row r="731" spans="7:16" hidden="1" x14ac:dyDescent="0.25">
      <c r="G731" s="16"/>
      <c r="H731" s="12"/>
      <c r="I731" s="12"/>
      <c r="J731" s="12"/>
      <c r="K731" s="12"/>
      <c r="L731" s="12"/>
      <c r="M731" s="11"/>
      <c r="N731" s="11"/>
      <c r="O731" s="11"/>
      <c r="P731" s="11"/>
    </row>
    <row r="732" spans="7:16" hidden="1" x14ac:dyDescent="0.25">
      <c r="G732" s="16"/>
      <c r="H732" s="12"/>
      <c r="I732" s="12"/>
      <c r="J732" s="12"/>
      <c r="K732" s="12"/>
      <c r="L732" s="12"/>
      <c r="M732" s="11"/>
      <c r="N732" s="11"/>
      <c r="O732" s="11"/>
      <c r="P732" s="11"/>
    </row>
    <row r="733" spans="7:16" hidden="1" x14ac:dyDescent="0.25">
      <c r="G733" s="16"/>
      <c r="H733" s="12"/>
      <c r="I733" s="12"/>
      <c r="J733" s="12"/>
      <c r="K733" s="12"/>
      <c r="L733" s="12"/>
      <c r="M733" s="11"/>
      <c r="N733" s="11"/>
      <c r="O733" s="11"/>
      <c r="P733" s="11"/>
    </row>
    <row r="734" spans="7:16" hidden="1" x14ac:dyDescent="0.25">
      <c r="G734" s="16"/>
      <c r="H734" s="12"/>
      <c r="I734" s="12"/>
      <c r="J734" s="12"/>
      <c r="K734" s="12"/>
      <c r="L734" s="12"/>
      <c r="M734" s="11"/>
      <c r="N734" s="11"/>
      <c r="O734" s="11"/>
      <c r="P734" s="11"/>
    </row>
    <row r="735" spans="7:16" hidden="1" x14ac:dyDescent="0.25">
      <c r="G735" s="16"/>
      <c r="H735" s="12"/>
      <c r="I735" s="12"/>
      <c r="J735" s="12"/>
      <c r="K735" s="12"/>
      <c r="L735" s="12"/>
      <c r="M735" s="11"/>
      <c r="N735" s="11"/>
      <c r="O735" s="11"/>
      <c r="P735" s="11"/>
    </row>
    <row r="736" spans="7:16" hidden="1" x14ac:dyDescent="0.25">
      <c r="G736" s="16"/>
      <c r="H736" s="12"/>
      <c r="I736" s="12"/>
      <c r="J736" s="12"/>
      <c r="K736" s="12"/>
      <c r="L736" s="12"/>
      <c r="M736" s="11"/>
      <c r="N736" s="11"/>
      <c r="O736" s="11"/>
      <c r="P736" s="11"/>
    </row>
    <row r="737" spans="7:16" hidden="1" x14ac:dyDescent="0.25">
      <c r="G737" s="16"/>
      <c r="H737" s="12"/>
      <c r="I737" s="12"/>
      <c r="J737" s="12"/>
      <c r="K737" s="12"/>
      <c r="L737" s="12"/>
      <c r="M737" s="11"/>
      <c r="N737" s="11"/>
      <c r="O737" s="11"/>
      <c r="P737" s="11"/>
    </row>
    <row r="738" spans="7:16" hidden="1" x14ac:dyDescent="0.25">
      <c r="G738" s="16"/>
      <c r="H738" s="12"/>
      <c r="I738" s="12"/>
      <c r="J738" s="12"/>
      <c r="K738" s="12"/>
      <c r="L738" s="12"/>
      <c r="M738" s="11"/>
      <c r="N738" s="11"/>
      <c r="O738" s="11"/>
      <c r="P738" s="11"/>
    </row>
    <row r="739" spans="7:16" hidden="1" x14ac:dyDescent="0.25">
      <c r="G739" s="16"/>
      <c r="H739" s="12"/>
      <c r="I739" s="12"/>
      <c r="J739" s="12"/>
      <c r="K739" s="12"/>
      <c r="L739" s="12"/>
      <c r="M739" s="11"/>
      <c r="N739" s="11"/>
      <c r="O739" s="11"/>
      <c r="P739" s="11"/>
    </row>
    <row r="740" spans="7:16" hidden="1" x14ac:dyDescent="0.25">
      <c r="G740" s="16"/>
      <c r="H740" s="12"/>
      <c r="I740" s="12"/>
      <c r="J740" s="12"/>
      <c r="K740" s="12"/>
      <c r="L740" s="12"/>
      <c r="M740" s="11"/>
      <c r="N740" s="11"/>
      <c r="O740" s="11"/>
      <c r="P740" s="11"/>
    </row>
    <row r="741" spans="7:16" hidden="1" x14ac:dyDescent="0.25">
      <c r="G741" s="16"/>
      <c r="H741" s="12"/>
      <c r="I741" s="12"/>
      <c r="J741" s="12"/>
      <c r="K741" s="12"/>
      <c r="L741" s="12"/>
      <c r="M741" s="11"/>
      <c r="N741" s="11"/>
      <c r="O741" s="11"/>
      <c r="P741" s="11"/>
    </row>
    <row r="742" spans="7:16" hidden="1" x14ac:dyDescent="0.25">
      <c r="G742" s="16"/>
      <c r="H742" s="12"/>
      <c r="I742" s="12"/>
      <c r="J742" s="12"/>
      <c r="K742" s="12"/>
      <c r="L742" s="12"/>
      <c r="M742" s="11"/>
      <c r="N742" s="11"/>
      <c r="O742" s="11"/>
      <c r="P742" s="11"/>
    </row>
    <row r="743" spans="7:16" hidden="1" x14ac:dyDescent="0.25">
      <c r="G743" s="16"/>
      <c r="H743" s="12"/>
      <c r="I743" s="12"/>
      <c r="J743" s="12"/>
      <c r="K743" s="12"/>
      <c r="L743" s="12"/>
      <c r="M743" s="11"/>
      <c r="N743" s="11"/>
      <c r="O743" s="11"/>
      <c r="P743" s="11"/>
    </row>
    <row r="744" spans="7:16" hidden="1" x14ac:dyDescent="0.25">
      <c r="G744" s="16"/>
      <c r="H744" s="12"/>
      <c r="I744" s="12"/>
      <c r="J744" s="12"/>
      <c r="K744" s="12"/>
      <c r="L744" s="12"/>
      <c r="M744" s="11"/>
      <c r="N744" s="11"/>
      <c r="O744" s="11"/>
      <c r="P744" s="11"/>
    </row>
    <row r="745" spans="7:16" hidden="1" x14ac:dyDescent="0.25">
      <c r="G745" s="16"/>
      <c r="H745" s="12"/>
      <c r="I745" s="12"/>
      <c r="J745" s="12"/>
      <c r="K745" s="12"/>
      <c r="L745" s="12"/>
      <c r="M745" s="11"/>
      <c r="N745" s="11"/>
      <c r="O745" s="11"/>
      <c r="P745" s="11"/>
    </row>
    <row r="746" spans="7:16" hidden="1" x14ac:dyDescent="0.25">
      <c r="G746" s="16"/>
      <c r="H746" s="12"/>
      <c r="I746" s="12"/>
      <c r="J746" s="12"/>
      <c r="K746" s="12"/>
      <c r="L746" s="12"/>
      <c r="M746" s="11"/>
      <c r="N746" s="11"/>
      <c r="O746" s="11"/>
      <c r="P746" s="11"/>
    </row>
    <row r="747" spans="7:16" hidden="1" x14ac:dyDescent="0.25">
      <c r="G747" s="16"/>
      <c r="H747" s="12"/>
      <c r="I747" s="12"/>
      <c r="J747" s="12"/>
      <c r="K747" s="12"/>
      <c r="L747" s="12"/>
      <c r="M747" s="11"/>
      <c r="N747" s="11"/>
      <c r="O747" s="11"/>
      <c r="P747" s="11"/>
    </row>
    <row r="748" spans="7:16" hidden="1" x14ac:dyDescent="0.25">
      <c r="G748" s="16"/>
      <c r="H748" s="12"/>
      <c r="I748" s="12"/>
      <c r="J748" s="12"/>
      <c r="K748" s="12"/>
      <c r="L748" s="12"/>
      <c r="M748" s="11"/>
      <c r="N748" s="11"/>
      <c r="O748" s="11"/>
      <c r="P748" s="11"/>
    </row>
    <row r="749" spans="7:16" hidden="1" x14ac:dyDescent="0.25">
      <c r="G749" s="16"/>
      <c r="H749" s="12"/>
      <c r="I749" s="12"/>
      <c r="J749" s="12"/>
      <c r="K749" s="12"/>
      <c r="L749" s="12"/>
      <c r="M749" s="11"/>
      <c r="N749" s="11"/>
      <c r="O749" s="11"/>
      <c r="P749" s="11"/>
    </row>
    <row r="750" spans="7:16" hidden="1" x14ac:dyDescent="0.25">
      <c r="G750" s="16"/>
      <c r="H750" s="12"/>
      <c r="I750" s="12"/>
      <c r="J750" s="12"/>
      <c r="K750" s="12"/>
      <c r="L750" s="12"/>
      <c r="M750" s="11"/>
      <c r="N750" s="11"/>
      <c r="O750" s="11"/>
      <c r="P750" s="11"/>
    </row>
    <row r="751" spans="7:16" hidden="1" x14ac:dyDescent="0.25">
      <c r="G751" s="16"/>
      <c r="H751" s="12"/>
      <c r="I751" s="12"/>
      <c r="J751" s="12"/>
      <c r="K751" s="12"/>
      <c r="L751" s="12"/>
      <c r="M751" s="11"/>
      <c r="N751" s="11"/>
      <c r="O751" s="11"/>
      <c r="P751" s="11"/>
    </row>
    <row r="752" spans="7:16" hidden="1" x14ac:dyDescent="0.25">
      <c r="G752" s="16"/>
      <c r="H752" s="12"/>
      <c r="I752" s="12"/>
      <c r="J752" s="12"/>
      <c r="K752" s="12"/>
      <c r="L752" s="12"/>
      <c r="M752" s="11"/>
      <c r="N752" s="11"/>
      <c r="O752" s="11"/>
      <c r="P752" s="11"/>
    </row>
    <row r="753" spans="7:16" hidden="1" x14ac:dyDescent="0.25">
      <c r="G753" s="16"/>
      <c r="H753" s="12"/>
      <c r="I753" s="12"/>
      <c r="J753" s="12"/>
      <c r="K753" s="12"/>
      <c r="L753" s="12"/>
      <c r="M753" s="11"/>
      <c r="N753" s="11"/>
      <c r="O753" s="11"/>
      <c r="P753" s="11"/>
    </row>
    <row r="754" spans="7:16" hidden="1" x14ac:dyDescent="0.25">
      <c r="G754" s="16"/>
      <c r="H754" s="12"/>
      <c r="I754" s="12"/>
      <c r="J754" s="12"/>
      <c r="K754" s="12"/>
      <c r="L754" s="12"/>
      <c r="M754" s="11"/>
      <c r="N754" s="11"/>
      <c r="O754" s="11"/>
      <c r="P754" s="11"/>
    </row>
    <row r="755" spans="7:16" hidden="1" x14ac:dyDescent="0.25">
      <c r="G755" s="16"/>
      <c r="H755" s="12"/>
      <c r="I755" s="12"/>
      <c r="J755" s="12"/>
      <c r="K755" s="12"/>
      <c r="L755" s="12"/>
      <c r="M755" s="11"/>
      <c r="N755" s="11"/>
      <c r="O755" s="11"/>
      <c r="P755" s="11"/>
    </row>
    <row r="756" spans="7:16" hidden="1" x14ac:dyDescent="0.25">
      <c r="G756" s="16"/>
      <c r="H756" s="12"/>
      <c r="I756" s="12"/>
      <c r="J756" s="12"/>
      <c r="K756" s="12"/>
      <c r="L756" s="12"/>
      <c r="M756" s="11"/>
      <c r="N756" s="11"/>
      <c r="O756" s="11"/>
      <c r="P756" s="11"/>
    </row>
    <row r="757" spans="7:16" hidden="1" x14ac:dyDescent="0.25">
      <c r="G757" s="16"/>
      <c r="H757" s="12"/>
      <c r="I757" s="12"/>
      <c r="J757" s="12"/>
      <c r="K757" s="12"/>
      <c r="L757" s="12"/>
      <c r="M757" s="11"/>
      <c r="N757" s="11"/>
      <c r="O757" s="11"/>
      <c r="P757" s="11"/>
    </row>
    <row r="758" spans="7:16" hidden="1" x14ac:dyDescent="0.25">
      <c r="G758" s="16"/>
      <c r="H758" s="12"/>
      <c r="I758" s="12"/>
      <c r="J758" s="12"/>
      <c r="K758" s="12"/>
      <c r="L758" s="12"/>
      <c r="M758" s="11"/>
      <c r="N758" s="11"/>
      <c r="O758" s="11"/>
      <c r="P758" s="11"/>
    </row>
    <row r="759" spans="7:16" hidden="1" x14ac:dyDescent="0.25">
      <c r="G759" s="16"/>
      <c r="H759" s="12"/>
      <c r="I759" s="12"/>
      <c r="J759" s="12"/>
      <c r="K759" s="12"/>
      <c r="L759" s="12"/>
      <c r="M759" s="11"/>
      <c r="N759" s="11"/>
      <c r="O759" s="11"/>
      <c r="P759" s="11"/>
    </row>
    <row r="760" spans="7:16" hidden="1" x14ac:dyDescent="0.25">
      <c r="G760" s="16"/>
      <c r="H760" s="12"/>
      <c r="I760" s="12"/>
      <c r="J760" s="12"/>
      <c r="K760" s="12"/>
      <c r="L760" s="12"/>
      <c r="M760" s="11"/>
      <c r="N760" s="11"/>
      <c r="O760" s="11"/>
      <c r="P760" s="11"/>
    </row>
    <row r="761" spans="7:16" hidden="1" x14ac:dyDescent="0.25">
      <c r="G761" s="16"/>
      <c r="H761" s="12"/>
      <c r="I761" s="12"/>
      <c r="J761" s="12"/>
      <c r="K761" s="12"/>
      <c r="L761" s="12"/>
      <c r="M761" s="11"/>
      <c r="N761" s="11"/>
      <c r="O761" s="11"/>
      <c r="P761" s="11"/>
    </row>
    <row r="762" spans="7:16" hidden="1" x14ac:dyDescent="0.25">
      <c r="G762" s="16"/>
      <c r="H762" s="12"/>
      <c r="I762" s="12"/>
      <c r="J762" s="12"/>
      <c r="K762" s="12"/>
      <c r="L762" s="12"/>
      <c r="M762" s="11"/>
      <c r="N762" s="11"/>
      <c r="O762" s="11"/>
      <c r="P762" s="11"/>
    </row>
    <row r="763" spans="7:16" hidden="1" x14ac:dyDescent="0.25">
      <c r="G763" s="16"/>
      <c r="H763" s="12"/>
      <c r="I763" s="12"/>
      <c r="J763" s="12"/>
      <c r="K763" s="12"/>
      <c r="L763" s="12"/>
      <c r="M763" s="11"/>
      <c r="N763" s="11"/>
      <c r="O763" s="11"/>
      <c r="P763" s="11"/>
    </row>
    <row r="764" spans="7:16" hidden="1" x14ac:dyDescent="0.25">
      <c r="G764" s="16"/>
      <c r="H764" s="12"/>
      <c r="I764" s="12"/>
      <c r="J764" s="12"/>
      <c r="K764" s="12"/>
      <c r="L764" s="12"/>
      <c r="M764" s="11"/>
      <c r="N764" s="11"/>
      <c r="O764" s="11"/>
      <c r="P764" s="11"/>
    </row>
    <row r="765" spans="7:16" hidden="1" x14ac:dyDescent="0.25">
      <c r="G765" s="16"/>
      <c r="H765" s="12"/>
      <c r="I765" s="12"/>
      <c r="J765" s="12"/>
      <c r="K765" s="12"/>
      <c r="L765" s="12"/>
      <c r="M765" s="11"/>
      <c r="N765" s="11"/>
      <c r="O765" s="11"/>
      <c r="P765" s="11"/>
    </row>
    <row r="766" spans="7:16" hidden="1" x14ac:dyDescent="0.25">
      <c r="G766" s="16"/>
      <c r="H766" s="12"/>
      <c r="I766" s="12"/>
      <c r="J766" s="12"/>
      <c r="K766" s="12"/>
      <c r="L766" s="12"/>
      <c r="M766" s="11"/>
      <c r="N766" s="11"/>
      <c r="O766" s="11"/>
      <c r="P766" s="11"/>
    </row>
    <row r="767" spans="7:16" hidden="1" x14ac:dyDescent="0.25">
      <c r="G767" s="16"/>
      <c r="H767" s="12"/>
      <c r="I767" s="12"/>
      <c r="J767" s="12"/>
      <c r="K767" s="12"/>
      <c r="L767" s="12"/>
      <c r="M767" s="11"/>
      <c r="N767" s="11"/>
      <c r="O767" s="11"/>
      <c r="P767" s="11"/>
    </row>
    <row r="768" spans="7:16" hidden="1" x14ac:dyDescent="0.25">
      <c r="G768" s="16"/>
      <c r="H768" s="12"/>
      <c r="I768" s="12"/>
      <c r="J768" s="12"/>
      <c r="K768" s="12"/>
      <c r="L768" s="12"/>
      <c r="M768" s="11"/>
      <c r="N768" s="11"/>
      <c r="O768" s="11"/>
      <c r="P768" s="11"/>
    </row>
    <row r="769" spans="7:16" hidden="1" x14ac:dyDescent="0.25">
      <c r="G769" s="16"/>
      <c r="H769" s="12"/>
      <c r="I769" s="12"/>
      <c r="J769" s="12"/>
      <c r="K769" s="12"/>
      <c r="L769" s="12"/>
      <c r="M769" s="11"/>
      <c r="N769" s="11"/>
      <c r="O769" s="11"/>
      <c r="P769" s="11"/>
    </row>
    <row r="770" spans="7:16" hidden="1" x14ac:dyDescent="0.25">
      <c r="G770" s="16"/>
      <c r="H770" s="12"/>
      <c r="I770" s="12"/>
      <c r="J770" s="12"/>
      <c r="K770" s="12"/>
      <c r="L770" s="12"/>
      <c r="M770" s="11"/>
      <c r="N770" s="11"/>
      <c r="O770" s="11"/>
      <c r="P770" s="11"/>
    </row>
    <row r="771" spans="7:16" hidden="1" x14ac:dyDescent="0.25">
      <c r="G771" s="16"/>
      <c r="H771" s="12"/>
      <c r="I771" s="12"/>
      <c r="J771" s="12"/>
      <c r="K771" s="12"/>
      <c r="L771" s="12"/>
      <c r="M771" s="11"/>
      <c r="N771" s="11"/>
      <c r="O771" s="11"/>
      <c r="P771" s="11"/>
    </row>
    <row r="772" spans="7:16" hidden="1" x14ac:dyDescent="0.25">
      <c r="G772" s="16"/>
      <c r="H772" s="12"/>
      <c r="I772" s="12"/>
      <c r="J772" s="12"/>
      <c r="K772" s="12"/>
      <c r="L772" s="12"/>
      <c r="M772" s="11"/>
      <c r="N772" s="11"/>
      <c r="O772" s="11"/>
      <c r="P772" s="11"/>
    </row>
    <row r="773" spans="7:16" hidden="1" x14ac:dyDescent="0.25">
      <c r="G773" s="16"/>
      <c r="H773" s="12"/>
      <c r="I773" s="12"/>
      <c r="J773" s="12"/>
      <c r="K773" s="12"/>
      <c r="L773" s="12"/>
      <c r="M773" s="11"/>
      <c r="N773" s="11"/>
      <c r="O773" s="11"/>
      <c r="P773" s="11"/>
    </row>
    <row r="774" spans="7:16" hidden="1" x14ac:dyDescent="0.25">
      <c r="G774" s="16"/>
      <c r="H774" s="12"/>
      <c r="I774" s="12"/>
      <c r="J774" s="12"/>
      <c r="K774" s="12"/>
      <c r="L774" s="12"/>
      <c r="M774" s="11"/>
      <c r="N774" s="11"/>
      <c r="O774" s="11"/>
      <c r="P774" s="11"/>
    </row>
    <row r="775" spans="7:16" hidden="1" x14ac:dyDescent="0.25">
      <c r="G775" s="16"/>
      <c r="H775" s="12"/>
      <c r="I775" s="12"/>
      <c r="J775" s="12"/>
      <c r="K775" s="12"/>
      <c r="L775" s="12"/>
      <c r="M775" s="11"/>
      <c r="N775" s="11"/>
      <c r="O775" s="11"/>
      <c r="P775" s="11"/>
    </row>
    <row r="776" spans="7:16" hidden="1" x14ac:dyDescent="0.25">
      <c r="G776" s="16"/>
      <c r="H776" s="12"/>
      <c r="I776" s="12"/>
      <c r="J776" s="12"/>
      <c r="K776" s="12"/>
      <c r="L776" s="12"/>
      <c r="M776" s="11"/>
      <c r="N776" s="11"/>
      <c r="O776" s="11"/>
      <c r="P776" s="11"/>
    </row>
    <row r="777" spans="7:16" hidden="1" x14ac:dyDescent="0.25">
      <c r="G777" s="16"/>
      <c r="H777" s="12"/>
      <c r="I777" s="12"/>
      <c r="J777" s="12"/>
      <c r="K777" s="12"/>
      <c r="L777" s="12"/>
      <c r="M777" s="11"/>
      <c r="N777" s="11"/>
      <c r="O777" s="11"/>
      <c r="P777" s="11"/>
    </row>
    <row r="778" spans="7:16" hidden="1" x14ac:dyDescent="0.25">
      <c r="G778" s="16"/>
      <c r="H778" s="12"/>
      <c r="I778" s="12"/>
      <c r="J778" s="12"/>
      <c r="K778" s="12"/>
      <c r="L778" s="12"/>
      <c r="M778" s="11"/>
      <c r="N778" s="11"/>
      <c r="O778" s="11"/>
      <c r="P778" s="11"/>
    </row>
    <row r="779" spans="7:16" hidden="1" x14ac:dyDescent="0.25">
      <c r="G779" s="16"/>
      <c r="H779" s="12"/>
      <c r="I779" s="12"/>
      <c r="J779" s="12"/>
      <c r="K779" s="12"/>
      <c r="L779" s="12"/>
      <c r="M779" s="11"/>
      <c r="N779" s="11"/>
      <c r="O779" s="11"/>
      <c r="P779" s="11"/>
    </row>
    <row r="780" spans="7:16" hidden="1" x14ac:dyDescent="0.25">
      <c r="G780" s="16"/>
      <c r="H780" s="12"/>
      <c r="I780" s="12"/>
      <c r="J780" s="12"/>
      <c r="K780" s="12"/>
      <c r="L780" s="12"/>
      <c r="M780" s="11"/>
      <c r="N780" s="11"/>
      <c r="O780" s="11"/>
      <c r="P780" s="11"/>
    </row>
    <row r="781" spans="7:16" hidden="1" x14ac:dyDescent="0.25">
      <c r="G781" s="16"/>
      <c r="H781" s="12"/>
      <c r="I781" s="12"/>
      <c r="J781" s="12"/>
      <c r="K781" s="12"/>
      <c r="L781" s="12"/>
      <c r="M781" s="11"/>
      <c r="N781" s="11"/>
      <c r="O781" s="11"/>
      <c r="P781" s="11"/>
    </row>
    <row r="782" spans="7:16" hidden="1" x14ac:dyDescent="0.25">
      <c r="G782" s="16"/>
      <c r="H782" s="12"/>
      <c r="I782" s="12"/>
      <c r="J782" s="12"/>
      <c r="K782" s="12"/>
      <c r="L782" s="12"/>
      <c r="M782" s="11"/>
      <c r="N782" s="11"/>
      <c r="O782" s="11"/>
      <c r="P782" s="11"/>
    </row>
    <row r="783" spans="7:16" hidden="1" x14ac:dyDescent="0.25">
      <c r="G783" s="16"/>
      <c r="H783" s="12"/>
      <c r="I783" s="12"/>
      <c r="J783" s="12"/>
      <c r="K783" s="12"/>
      <c r="L783" s="12"/>
      <c r="M783" s="11"/>
      <c r="N783" s="11"/>
      <c r="O783" s="11"/>
      <c r="P783" s="11"/>
    </row>
    <row r="784" spans="7:16" hidden="1" x14ac:dyDescent="0.25">
      <c r="G784" s="16"/>
      <c r="H784" s="12"/>
      <c r="I784" s="12"/>
      <c r="J784" s="12"/>
      <c r="K784" s="12"/>
      <c r="L784" s="12"/>
      <c r="M784" s="11"/>
      <c r="N784" s="11"/>
      <c r="O784" s="11"/>
      <c r="P784" s="11"/>
    </row>
    <row r="785" spans="7:16" hidden="1" x14ac:dyDescent="0.25">
      <c r="G785" s="16"/>
      <c r="H785" s="12"/>
      <c r="I785" s="12"/>
      <c r="J785" s="12"/>
      <c r="K785" s="12"/>
      <c r="L785" s="12"/>
      <c r="M785" s="11"/>
      <c r="N785" s="11"/>
      <c r="O785" s="11"/>
      <c r="P785" s="11"/>
    </row>
    <row r="786" spans="7:16" hidden="1" x14ac:dyDescent="0.25">
      <c r="G786" s="16"/>
      <c r="H786" s="12"/>
      <c r="I786" s="12"/>
      <c r="J786" s="12"/>
      <c r="K786" s="12"/>
      <c r="L786" s="12"/>
      <c r="M786" s="11"/>
      <c r="N786" s="11"/>
      <c r="O786" s="11"/>
      <c r="P786" s="11"/>
    </row>
    <row r="787" spans="7:16" hidden="1" x14ac:dyDescent="0.25">
      <c r="G787" s="16"/>
      <c r="H787" s="12"/>
      <c r="I787" s="12"/>
      <c r="J787" s="12"/>
      <c r="K787" s="12"/>
      <c r="L787" s="12"/>
      <c r="M787" s="11"/>
      <c r="N787" s="11"/>
      <c r="O787" s="11"/>
      <c r="P787" s="11"/>
    </row>
    <row r="788" spans="7:16" hidden="1" x14ac:dyDescent="0.25">
      <c r="G788" s="16"/>
      <c r="H788" s="12"/>
      <c r="I788" s="12"/>
      <c r="J788" s="12"/>
      <c r="K788" s="12"/>
      <c r="L788" s="12"/>
      <c r="M788" s="11"/>
      <c r="N788" s="11"/>
      <c r="O788" s="11"/>
      <c r="P788" s="11"/>
    </row>
    <row r="789" spans="7:16" hidden="1" x14ac:dyDescent="0.25">
      <c r="G789" s="16"/>
      <c r="H789" s="12"/>
      <c r="I789" s="12"/>
      <c r="J789" s="12"/>
      <c r="K789" s="12"/>
      <c r="L789" s="12"/>
      <c r="M789" s="11"/>
      <c r="N789" s="11"/>
      <c r="O789" s="11"/>
      <c r="P789" s="11"/>
    </row>
    <row r="790" spans="7:16" hidden="1" x14ac:dyDescent="0.25">
      <c r="G790" s="16"/>
      <c r="H790" s="12"/>
      <c r="I790" s="12"/>
      <c r="J790" s="12"/>
      <c r="K790" s="12"/>
      <c r="L790" s="12"/>
      <c r="M790" s="11"/>
      <c r="N790" s="11"/>
      <c r="O790" s="11"/>
      <c r="P790" s="11"/>
    </row>
    <row r="791" spans="7:16" hidden="1" x14ac:dyDescent="0.25">
      <c r="G791" s="16"/>
      <c r="H791" s="12"/>
      <c r="I791" s="12"/>
      <c r="J791" s="12"/>
      <c r="K791" s="12"/>
      <c r="L791" s="12"/>
      <c r="M791" s="11"/>
      <c r="N791" s="11"/>
      <c r="O791" s="11"/>
      <c r="P791" s="11"/>
    </row>
    <row r="792" spans="7:16" hidden="1" x14ac:dyDescent="0.25">
      <c r="G792" s="16"/>
      <c r="H792" s="12"/>
      <c r="I792" s="12"/>
      <c r="J792" s="12"/>
      <c r="K792" s="12"/>
      <c r="L792" s="12"/>
      <c r="M792" s="11"/>
      <c r="N792" s="11"/>
      <c r="O792" s="11"/>
      <c r="P792" s="11"/>
    </row>
    <row r="793" spans="7:16" hidden="1" x14ac:dyDescent="0.25">
      <c r="G793" s="16"/>
      <c r="H793" s="12"/>
      <c r="I793" s="12"/>
      <c r="J793" s="12"/>
      <c r="K793" s="12"/>
      <c r="L793" s="12"/>
      <c r="M793" s="11"/>
      <c r="N793" s="11"/>
      <c r="O793" s="11"/>
      <c r="P793" s="11"/>
    </row>
    <row r="794" spans="7:16" hidden="1" x14ac:dyDescent="0.25">
      <c r="G794" s="16"/>
      <c r="H794" s="12"/>
      <c r="I794" s="12"/>
      <c r="J794" s="12"/>
      <c r="K794" s="12"/>
      <c r="L794" s="12"/>
      <c r="M794" s="11"/>
      <c r="N794" s="11"/>
      <c r="O794" s="11"/>
      <c r="P794" s="11"/>
    </row>
    <row r="795" spans="7:16" hidden="1" x14ac:dyDescent="0.25">
      <c r="G795" s="16"/>
      <c r="H795" s="12"/>
      <c r="I795" s="12"/>
      <c r="J795" s="12"/>
      <c r="K795" s="12"/>
      <c r="L795" s="12"/>
      <c r="M795" s="11"/>
      <c r="N795" s="11"/>
      <c r="O795" s="11"/>
      <c r="P795" s="11"/>
    </row>
    <row r="796" spans="7:16" hidden="1" x14ac:dyDescent="0.25">
      <c r="G796" s="16"/>
      <c r="H796" s="12"/>
      <c r="I796" s="12"/>
      <c r="J796" s="12"/>
      <c r="K796" s="12"/>
      <c r="L796" s="12"/>
      <c r="M796" s="11"/>
      <c r="N796" s="11"/>
      <c r="O796" s="11"/>
      <c r="P796" s="11"/>
    </row>
    <row r="797" spans="7:16" hidden="1" x14ac:dyDescent="0.25">
      <c r="G797" s="16"/>
      <c r="H797" s="12"/>
      <c r="I797" s="12"/>
      <c r="J797" s="12"/>
      <c r="K797" s="12"/>
      <c r="L797" s="12"/>
      <c r="M797" s="11"/>
      <c r="N797" s="11"/>
      <c r="O797" s="11"/>
      <c r="P797" s="11"/>
    </row>
    <row r="798" spans="7:16" hidden="1" x14ac:dyDescent="0.25">
      <c r="G798" s="16"/>
      <c r="H798" s="12"/>
      <c r="I798" s="12"/>
      <c r="J798" s="12"/>
      <c r="K798" s="12"/>
      <c r="L798" s="12"/>
      <c r="M798" s="11"/>
      <c r="N798" s="11"/>
      <c r="O798" s="11"/>
      <c r="P798" s="11"/>
    </row>
    <row r="799" spans="7:16" hidden="1" x14ac:dyDescent="0.25">
      <c r="G799" s="16"/>
      <c r="H799" s="12"/>
      <c r="I799" s="12"/>
      <c r="J799" s="12"/>
      <c r="K799" s="12"/>
      <c r="L799" s="12"/>
      <c r="M799" s="11"/>
      <c r="N799" s="11"/>
      <c r="O799" s="11"/>
      <c r="P799" s="11"/>
    </row>
    <row r="800" spans="7:16" hidden="1" x14ac:dyDescent="0.25">
      <c r="G800" s="16"/>
      <c r="H800" s="12"/>
      <c r="I800" s="12"/>
      <c r="J800" s="12"/>
      <c r="K800" s="12"/>
      <c r="L800" s="12"/>
      <c r="M800" s="11"/>
      <c r="N800" s="11"/>
      <c r="O800" s="11"/>
      <c r="P800" s="11"/>
    </row>
    <row r="801" spans="7:16" hidden="1" x14ac:dyDescent="0.25">
      <c r="G801" s="16"/>
      <c r="H801" s="12"/>
      <c r="I801" s="12"/>
      <c r="J801" s="12"/>
      <c r="K801" s="12"/>
      <c r="L801" s="12"/>
      <c r="M801" s="11"/>
      <c r="N801" s="11"/>
      <c r="O801" s="11"/>
      <c r="P801" s="11"/>
    </row>
    <row r="802" spans="7:16" hidden="1" x14ac:dyDescent="0.25">
      <c r="G802" s="16"/>
      <c r="H802" s="12"/>
      <c r="I802" s="12"/>
      <c r="J802" s="12"/>
      <c r="K802" s="12"/>
      <c r="L802" s="12"/>
      <c r="M802" s="11"/>
      <c r="N802" s="11"/>
      <c r="O802" s="11"/>
      <c r="P802" s="11"/>
    </row>
    <row r="803" spans="7:16" hidden="1" x14ac:dyDescent="0.25">
      <c r="G803" s="16"/>
      <c r="H803" s="12"/>
      <c r="I803" s="12"/>
      <c r="J803" s="12"/>
      <c r="K803" s="12"/>
      <c r="L803" s="12"/>
      <c r="M803" s="11"/>
      <c r="N803" s="11"/>
      <c r="O803" s="11"/>
      <c r="P803" s="11"/>
    </row>
    <row r="804" spans="7:16" hidden="1" x14ac:dyDescent="0.25">
      <c r="G804" s="16"/>
      <c r="H804" s="12"/>
      <c r="I804" s="12"/>
      <c r="J804" s="12"/>
      <c r="K804" s="12"/>
      <c r="L804" s="12"/>
      <c r="M804" s="11"/>
      <c r="N804" s="11"/>
      <c r="O804" s="11"/>
      <c r="P804" s="11"/>
    </row>
    <row r="805" spans="7:16" hidden="1" x14ac:dyDescent="0.25">
      <c r="G805" s="16"/>
      <c r="H805" s="12"/>
      <c r="I805" s="12"/>
      <c r="J805" s="12"/>
      <c r="K805" s="12"/>
      <c r="L805" s="12"/>
      <c r="M805" s="11"/>
      <c r="N805" s="11"/>
      <c r="O805" s="11"/>
      <c r="P805" s="11"/>
    </row>
    <row r="806" spans="7:16" hidden="1" x14ac:dyDescent="0.25">
      <c r="G806" s="16"/>
      <c r="H806" s="12"/>
      <c r="I806" s="12"/>
      <c r="J806" s="12"/>
      <c r="K806" s="12"/>
      <c r="L806" s="12"/>
      <c r="M806" s="11"/>
      <c r="N806" s="11"/>
      <c r="O806" s="11"/>
      <c r="P806" s="11"/>
    </row>
    <row r="807" spans="7:16" hidden="1" x14ac:dyDescent="0.25">
      <c r="G807" s="16"/>
      <c r="H807" s="12"/>
      <c r="I807" s="12"/>
      <c r="J807" s="12"/>
      <c r="K807" s="12"/>
      <c r="L807" s="12"/>
      <c r="M807" s="11"/>
      <c r="N807" s="11"/>
      <c r="O807" s="11"/>
      <c r="P807" s="11"/>
    </row>
    <row r="808" spans="7:16" hidden="1" x14ac:dyDescent="0.25">
      <c r="G808" s="16"/>
      <c r="H808" s="12"/>
      <c r="I808" s="12"/>
      <c r="J808" s="12"/>
      <c r="K808" s="12"/>
      <c r="L808" s="12"/>
      <c r="M808" s="11"/>
      <c r="N808" s="11"/>
      <c r="O808" s="11"/>
      <c r="P808" s="11"/>
    </row>
    <row r="809" spans="7:16" hidden="1" x14ac:dyDescent="0.25">
      <c r="G809" s="16"/>
      <c r="H809" s="12"/>
      <c r="I809" s="12"/>
      <c r="J809" s="12"/>
      <c r="K809" s="12"/>
      <c r="L809" s="12"/>
      <c r="M809" s="11"/>
      <c r="N809" s="11"/>
      <c r="O809" s="11"/>
      <c r="P809" s="11"/>
    </row>
    <row r="810" spans="7:16" hidden="1" x14ac:dyDescent="0.25">
      <c r="G810" s="16"/>
      <c r="H810" s="12"/>
      <c r="I810" s="12"/>
      <c r="J810" s="12"/>
      <c r="K810" s="12"/>
      <c r="L810" s="12"/>
      <c r="M810" s="11"/>
      <c r="N810" s="11"/>
      <c r="O810" s="11"/>
      <c r="P810" s="11"/>
    </row>
    <row r="811" spans="7:16" hidden="1" x14ac:dyDescent="0.25">
      <c r="G811" s="16"/>
      <c r="H811" s="12"/>
      <c r="I811" s="12"/>
      <c r="J811" s="12"/>
      <c r="K811" s="12"/>
      <c r="L811" s="12"/>
      <c r="M811" s="11"/>
      <c r="N811" s="11"/>
      <c r="O811" s="11"/>
      <c r="P811" s="11"/>
    </row>
    <row r="812" spans="7:16" hidden="1" x14ac:dyDescent="0.25">
      <c r="G812" s="16"/>
      <c r="H812" s="12"/>
      <c r="I812" s="12"/>
      <c r="J812" s="12"/>
      <c r="K812" s="12"/>
      <c r="L812" s="12"/>
      <c r="M812" s="11"/>
      <c r="N812" s="11"/>
      <c r="O812" s="11"/>
      <c r="P812" s="11"/>
    </row>
    <row r="813" spans="7:16" hidden="1" x14ac:dyDescent="0.25">
      <c r="G813" s="16"/>
      <c r="H813" s="12"/>
      <c r="I813" s="12"/>
      <c r="J813" s="12"/>
      <c r="K813" s="12"/>
      <c r="L813" s="12"/>
      <c r="M813" s="11"/>
      <c r="N813" s="11"/>
      <c r="O813" s="11"/>
      <c r="P813" s="11"/>
    </row>
    <row r="814" spans="7:16" hidden="1" x14ac:dyDescent="0.25">
      <c r="G814" s="16"/>
      <c r="H814" s="12"/>
      <c r="I814" s="12"/>
      <c r="J814" s="12"/>
      <c r="K814" s="12"/>
      <c r="L814" s="12"/>
      <c r="M814" s="11"/>
      <c r="N814" s="11"/>
      <c r="O814" s="11"/>
      <c r="P814" s="11"/>
    </row>
    <row r="815" spans="7:16" hidden="1" x14ac:dyDescent="0.25">
      <c r="G815" s="16"/>
      <c r="H815" s="12"/>
      <c r="I815" s="12"/>
      <c r="J815" s="12"/>
      <c r="K815" s="12"/>
      <c r="L815" s="12"/>
      <c r="M815" s="11"/>
      <c r="N815" s="11"/>
      <c r="O815" s="11"/>
      <c r="P815" s="11"/>
    </row>
    <row r="816" spans="7:16" hidden="1" x14ac:dyDescent="0.25">
      <c r="G816" s="16"/>
      <c r="H816" s="12"/>
      <c r="I816" s="12"/>
      <c r="J816" s="12"/>
      <c r="K816" s="12"/>
      <c r="L816" s="12"/>
      <c r="M816" s="11"/>
      <c r="N816" s="11"/>
      <c r="O816" s="11"/>
      <c r="P816" s="11"/>
    </row>
    <row r="817" spans="7:16" hidden="1" x14ac:dyDescent="0.25">
      <c r="G817" s="16"/>
      <c r="H817" s="12"/>
      <c r="I817" s="12"/>
      <c r="J817" s="12"/>
      <c r="K817" s="12"/>
      <c r="L817" s="12"/>
      <c r="M817" s="11"/>
      <c r="N817" s="11"/>
      <c r="O817" s="11"/>
      <c r="P817" s="11"/>
    </row>
    <row r="818" spans="7:16" hidden="1" x14ac:dyDescent="0.25">
      <c r="G818" s="16"/>
      <c r="H818" s="12"/>
      <c r="I818" s="12"/>
      <c r="J818" s="12"/>
      <c r="K818" s="12"/>
      <c r="L818" s="12"/>
      <c r="M818" s="11"/>
      <c r="N818" s="11"/>
      <c r="O818" s="11"/>
      <c r="P818" s="11"/>
    </row>
    <row r="819" spans="7:16" hidden="1" x14ac:dyDescent="0.25">
      <c r="G819" s="16"/>
      <c r="H819" s="12"/>
      <c r="I819" s="12"/>
      <c r="J819" s="12"/>
      <c r="K819" s="12"/>
      <c r="L819" s="12"/>
      <c r="M819" s="11"/>
      <c r="N819" s="11"/>
      <c r="O819" s="11"/>
      <c r="P819" s="11"/>
    </row>
    <row r="820" spans="7:16" hidden="1" x14ac:dyDescent="0.25">
      <c r="G820" s="16"/>
      <c r="H820" s="12"/>
      <c r="I820" s="12"/>
      <c r="J820" s="12"/>
      <c r="K820" s="12"/>
      <c r="L820" s="12"/>
      <c r="M820" s="11"/>
      <c r="N820" s="11"/>
      <c r="O820" s="11"/>
      <c r="P820" s="11"/>
    </row>
    <row r="821" spans="7:16" hidden="1" x14ac:dyDescent="0.25">
      <c r="G821" s="16"/>
      <c r="H821" s="12"/>
      <c r="I821" s="12"/>
      <c r="J821" s="12"/>
      <c r="K821" s="12"/>
      <c r="L821" s="12"/>
      <c r="M821" s="11"/>
      <c r="N821" s="11"/>
      <c r="O821" s="11"/>
      <c r="P821" s="11"/>
    </row>
    <row r="822" spans="7:16" hidden="1" x14ac:dyDescent="0.25">
      <c r="G822" s="16"/>
      <c r="H822" s="12"/>
      <c r="I822" s="12"/>
      <c r="J822" s="12"/>
      <c r="K822" s="12"/>
      <c r="L822" s="12"/>
      <c r="M822" s="11"/>
      <c r="N822" s="11"/>
      <c r="O822" s="11"/>
      <c r="P822" s="11"/>
    </row>
    <row r="823" spans="7:16" hidden="1" x14ac:dyDescent="0.25">
      <c r="G823" s="16"/>
      <c r="H823" s="12"/>
      <c r="I823" s="12"/>
      <c r="J823" s="12"/>
      <c r="K823" s="12"/>
      <c r="L823" s="12"/>
      <c r="M823" s="11"/>
      <c r="N823" s="11"/>
      <c r="O823" s="11"/>
      <c r="P823" s="11"/>
    </row>
    <row r="824" spans="7:16" hidden="1" x14ac:dyDescent="0.25">
      <c r="G824" s="16"/>
      <c r="H824" s="12"/>
      <c r="I824" s="12"/>
      <c r="J824" s="12"/>
      <c r="K824" s="12"/>
      <c r="L824" s="12"/>
      <c r="M824" s="11"/>
      <c r="N824" s="11"/>
      <c r="O824" s="11"/>
      <c r="P824" s="11"/>
    </row>
    <row r="825" spans="7:16" hidden="1" x14ac:dyDescent="0.25">
      <c r="G825" s="16"/>
      <c r="H825" s="12"/>
      <c r="I825" s="12"/>
      <c r="J825" s="12"/>
      <c r="K825" s="12"/>
      <c r="L825" s="12"/>
      <c r="M825" s="11"/>
      <c r="N825" s="11"/>
      <c r="O825" s="11"/>
      <c r="P825" s="11"/>
    </row>
    <row r="826" spans="7:16" hidden="1" x14ac:dyDescent="0.25">
      <c r="G826" s="16"/>
      <c r="H826" s="12"/>
      <c r="I826" s="12"/>
      <c r="J826" s="12"/>
      <c r="K826" s="12"/>
      <c r="L826" s="12"/>
      <c r="M826" s="11"/>
      <c r="N826" s="11"/>
      <c r="O826" s="11"/>
      <c r="P826" s="11"/>
    </row>
    <row r="827" spans="7:16" hidden="1" x14ac:dyDescent="0.25">
      <c r="G827" s="16"/>
      <c r="H827" s="12"/>
      <c r="I827" s="12"/>
      <c r="J827" s="12"/>
      <c r="K827" s="12"/>
      <c r="L827" s="12"/>
      <c r="M827" s="11"/>
      <c r="N827" s="11"/>
      <c r="O827" s="11"/>
      <c r="P827" s="11"/>
    </row>
    <row r="828" spans="7:16" hidden="1" x14ac:dyDescent="0.25">
      <c r="G828" s="16"/>
      <c r="H828" s="12"/>
      <c r="I828" s="12"/>
      <c r="J828" s="12"/>
      <c r="K828" s="12"/>
      <c r="L828" s="12"/>
      <c r="M828" s="11"/>
      <c r="N828" s="11"/>
      <c r="O828" s="11"/>
      <c r="P828" s="11"/>
    </row>
    <row r="829" spans="7:16" hidden="1" x14ac:dyDescent="0.25">
      <c r="G829" s="16"/>
      <c r="H829" s="12"/>
      <c r="I829" s="12"/>
      <c r="J829" s="12"/>
      <c r="K829" s="12"/>
      <c r="L829" s="12"/>
      <c r="M829" s="11"/>
      <c r="N829" s="11"/>
      <c r="O829" s="11"/>
      <c r="P829" s="11"/>
    </row>
    <row r="830" spans="7:16" hidden="1" x14ac:dyDescent="0.25">
      <c r="G830" s="16"/>
      <c r="H830" s="12"/>
      <c r="I830" s="12"/>
      <c r="J830" s="12"/>
      <c r="K830" s="12"/>
      <c r="L830" s="12"/>
      <c r="M830" s="11"/>
      <c r="N830" s="11"/>
      <c r="O830" s="11"/>
      <c r="P830" s="11"/>
    </row>
    <row r="831" spans="7:16" hidden="1" x14ac:dyDescent="0.25">
      <c r="G831" s="16"/>
      <c r="H831" s="12"/>
      <c r="I831" s="12"/>
      <c r="J831" s="12"/>
      <c r="K831" s="12"/>
      <c r="L831" s="12"/>
      <c r="M831" s="11"/>
      <c r="N831" s="11"/>
      <c r="O831" s="11"/>
      <c r="P831" s="11"/>
    </row>
    <row r="832" spans="7:16" hidden="1" x14ac:dyDescent="0.25">
      <c r="G832" s="16"/>
      <c r="H832" s="12"/>
      <c r="I832" s="12"/>
      <c r="J832" s="12"/>
      <c r="K832" s="12"/>
      <c r="L832" s="12"/>
      <c r="M832" s="11"/>
      <c r="N832" s="11"/>
      <c r="O832" s="11"/>
      <c r="P832" s="11"/>
    </row>
    <row r="833" spans="7:16" hidden="1" x14ac:dyDescent="0.25">
      <c r="G833" s="16"/>
      <c r="H833" s="12"/>
      <c r="I833" s="12"/>
      <c r="J833" s="12"/>
      <c r="K833" s="12"/>
      <c r="L833" s="12"/>
      <c r="M833" s="11"/>
      <c r="N833" s="11"/>
      <c r="O833" s="11"/>
      <c r="P833" s="11"/>
    </row>
    <row r="834" spans="7:16" hidden="1" x14ac:dyDescent="0.25">
      <c r="G834" s="16"/>
      <c r="H834" s="12"/>
      <c r="I834" s="12"/>
      <c r="J834" s="12"/>
      <c r="K834" s="12"/>
      <c r="L834" s="12"/>
      <c r="M834" s="11"/>
      <c r="N834" s="11"/>
      <c r="O834" s="11"/>
      <c r="P834" s="11"/>
    </row>
    <row r="835" spans="7:16" hidden="1" x14ac:dyDescent="0.25">
      <c r="G835" s="16"/>
      <c r="H835" s="12"/>
      <c r="I835" s="12"/>
      <c r="J835" s="12"/>
      <c r="K835" s="12"/>
      <c r="L835" s="12"/>
      <c r="M835" s="11"/>
      <c r="N835" s="11"/>
      <c r="O835" s="11"/>
      <c r="P835" s="11"/>
    </row>
    <row r="836" spans="7:16" hidden="1" x14ac:dyDescent="0.25">
      <c r="G836" s="16"/>
      <c r="H836" s="12"/>
      <c r="I836" s="12"/>
      <c r="J836" s="12"/>
      <c r="K836" s="12"/>
      <c r="L836" s="12"/>
      <c r="M836" s="11"/>
      <c r="N836" s="11"/>
      <c r="O836" s="11"/>
      <c r="P836" s="11"/>
    </row>
    <row r="837" spans="7:16" hidden="1" x14ac:dyDescent="0.25">
      <c r="G837" s="16"/>
      <c r="H837" s="12"/>
      <c r="I837" s="12"/>
      <c r="J837" s="12"/>
      <c r="K837" s="12"/>
      <c r="L837" s="12"/>
      <c r="M837" s="11"/>
      <c r="N837" s="11"/>
      <c r="O837" s="11"/>
      <c r="P837" s="11"/>
    </row>
    <row r="838" spans="7:16" hidden="1" x14ac:dyDescent="0.25">
      <c r="G838" s="16"/>
      <c r="H838" s="12"/>
      <c r="I838" s="12"/>
      <c r="J838" s="12"/>
      <c r="K838" s="12"/>
      <c r="L838" s="12"/>
      <c r="M838" s="11"/>
      <c r="N838" s="11"/>
      <c r="O838" s="11"/>
      <c r="P838" s="11"/>
    </row>
    <row r="839" spans="7:16" hidden="1" x14ac:dyDescent="0.25">
      <c r="G839" s="16"/>
      <c r="H839" s="12"/>
      <c r="I839" s="12"/>
      <c r="J839" s="12"/>
      <c r="K839" s="12"/>
      <c r="L839" s="12"/>
      <c r="M839" s="11"/>
      <c r="N839" s="11"/>
      <c r="O839" s="11"/>
      <c r="P839" s="11"/>
    </row>
    <row r="840" spans="7:16" hidden="1" x14ac:dyDescent="0.25">
      <c r="G840" s="16"/>
      <c r="H840" s="12"/>
      <c r="I840" s="12"/>
      <c r="J840" s="12"/>
      <c r="K840" s="12"/>
      <c r="L840" s="12"/>
      <c r="M840" s="11"/>
      <c r="N840" s="11"/>
      <c r="O840" s="11"/>
      <c r="P840" s="11"/>
    </row>
    <row r="841" spans="7:16" hidden="1" x14ac:dyDescent="0.25">
      <c r="G841" s="16"/>
      <c r="H841" s="12"/>
      <c r="I841" s="12"/>
      <c r="J841" s="12"/>
      <c r="K841" s="12"/>
      <c r="L841" s="12"/>
      <c r="M841" s="11"/>
      <c r="N841" s="11"/>
      <c r="O841" s="11"/>
      <c r="P841" s="11"/>
    </row>
    <row r="842" spans="7:16" hidden="1" x14ac:dyDescent="0.25">
      <c r="G842" s="16"/>
      <c r="H842" s="12"/>
      <c r="I842" s="12"/>
      <c r="J842" s="12"/>
      <c r="K842" s="12"/>
      <c r="L842" s="12"/>
      <c r="M842" s="11"/>
      <c r="N842" s="11"/>
      <c r="O842" s="11"/>
      <c r="P842" s="11"/>
    </row>
    <row r="843" spans="7:16" hidden="1" x14ac:dyDescent="0.25">
      <c r="G843" s="16"/>
      <c r="H843" s="12"/>
      <c r="I843" s="12"/>
      <c r="J843" s="12"/>
      <c r="K843" s="12"/>
      <c r="L843" s="12"/>
      <c r="M843" s="11"/>
      <c r="N843" s="11"/>
      <c r="O843" s="11"/>
      <c r="P843" s="11"/>
    </row>
    <row r="844" spans="7:16" hidden="1" x14ac:dyDescent="0.25">
      <c r="G844" s="16"/>
      <c r="H844" s="12"/>
      <c r="I844" s="12"/>
      <c r="J844" s="12"/>
      <c r="K844" s="12"/>
      <c r="L844" s="12"/>
      <c r="M844" s="11"/>
      <c r="N844" s="11"/>
      <c r="O844" s="11"/>
      <c r="P844" s="11"/>
    </row>
    <row r="845" spans="7:16" hidden="1" x14ac:dyDescent="0.25">
      <c r="G845" s="16"/>
      <c r="H845" s="12"/>
      <c r="I845" s="12"/>
      <c r="J845" s="12"/>
      <c r="K845" s="12"/>
      <c r="L845" s="12"/>
      <c r="M845" s="11"/>
      <c r="N845" s="11"/>
      <c r="O845" s="11"/>
      <c r="P845" s="11"/>
    </row>
    <row r="846" spans="7:16" hidden="1" x14ac:dyDescent="0.25">
      <c r="G846" s="16"/>
      <c r="H846" s="12"/>
      <c r="I846" s="12"/>
      <c r="J846" s="12"/>
      <c r="K846" s="12"/>
      <c r="L846" s="12"/>
      <c r="M846" s="11"/>
      <c r="N846" s="11"/>
      <c r="O846" s="11"/>
      <c r="P846" s="11"/>
    </row>
    <row r="847" spans="7:16" hidden="1" x14ac:dyDescent="0.25">
      <c r="G847" s="16"/>
      <c r="H847" s="12"/>
      <c r="I847" s="12"/>
      <c r="J847" s="12"/>
      <c r="K847" s="12"/>
      <c r="L847" s="12"/>
      <c r="M847" s="11"/>
      <c r="N847" s="11"/>
      <c r="O847" s="11"/>
      <c r="P847" s="11"/>
    </row>
    <row r="848" spans="7:16" hidden="1" x14ac:dyDescent="0.25">
      <c r="G848" s="16"/>
      <c r="H848" s="12"/>
      <c r="I848" s="12"/>
      <c r="J848" s="12"/>
      <c r="K848" s="12"/>
      <c r="L848" s="12"/>
      <c r="M848" s="11"/>
      <c r="N848" s="11"/>
      <c r="O848" s="11"/>
      <c r="P848" s="11"/>
    </row>
    <row r="849" spans="7:16" hidden="1" x14ac:dyDescent="0.25">
      <c r="G849" s="16"/>
      <c r="H849" s="12"/>
      <c r="I849" s="12"/>
      <c r="J849" s="12"/>
      <c r="K849" s="12"/>
      <c r="L849" s="12"/>
      <c r="M849" s="11"/>
      <c r="N849" s="11"/>
      <c r="O849" s="11"/>
      <c r="P849" s="11"/>
    </row>
    <row r="850" spans="7:16" hidden="1" x14ac:dyDescent="0.25">
      <c r="G850" s="16"/>
      <c r="H850" s="12"/>
      <c r="I850" s="12"/>
      <c r="J850" s="12"/>
      <c r="K850" s="12"/>
      <c r="L850" s="12"/>
      <c r="M850" s="11"/>
      <c r="N850" s="11"/>
      <c r="O850" s="11"/>
      <c r="P850" s="11"/>
    </row>
    <row r="851" spans="7:16" hidden="1" x14ac:dyDescent="0.25">
      <c r="G851" s="16"/>
      <c r="H851" s="12"/>
      <c r="I851" s="12"/>
      <c r="J851" s="12"/>
      <c r="K851" s="12"/>
      <c r="L851" s="12"/>
      <c r="M851" s="11"/>
      <c r="N851" s="11"/>
      <c r="O851" s="11"/>
      <c r="P851" s="11"/>
    </row>
    <row r="852" spans="7:16" hidden="1" x14ac:dyDescent="0.25">
      <c r="G852" s="16"/>
      <c r="H852" s="12"/>
      <c r="I852" s="12"/>
      <c r="J852" s="12"/>
      <c r="K852" s="12"/>
      <c r="L852" s="12"/>
      <c r="M852" s="11"/>
      <c r="N852" s="11"/>
      <c r="O852" s="11"/>
      <c r="P852" s="11"/>
    </row>
    <row r="853" spans="7:16" hidden="1" x14ac:dyDescent="0.25">
      <c r="G853" s="16"/>
      <c r="H853" s="12"/>
      <c r="I853" s="12"/>
      <c r="J853" s="12"/>
      <c r="K853" s="12"/>
      <c r="L853" s="12"/>
      <c r="M853" s="11"/>
      <c r="N853" s="11"/>
      <c r="O853" s="11"/>
      <c r="P853" s="11"/>
    </row>
    <row r="854" spans="7:16" hidden="1" x14ac:dyDescent="0.25">
      <c r="G854" s="16"/>
      <c r="H854" s="12"/>
      <c r="I854" s="12"/>
      <c r="J854" s="12"/>
      <c r="K854" s="12"/>
      <c r="L854" s="12"/>
      <c r="M854" s="11"/>
      <c r="N854" s="11"/>
      <c r="O854" s="11"/>
      <c r="P854" s="11"/>
    </row>
    <row r="855" spans="7:16" hidden="1" x14ac:dyDescent="0.25">
      <c r="G855" s="16"/>
      <c r="H855" s="12"/>
      <c r="I855" s="12"/>
      <c r="J855" s="12"/>
      <c r="K855" s="12"/>
      <c r="L855" s="12"/>
      <c r="M855" s="11"/>
      <c r="N855" s="11"/>
      <c r="O855" s="11"/>
      <c r="P855" s="11"/>
    </row>
    <row r="856" spans="7:16" hidden="1" x14ac:dyDescent="0.25">
      <c r="G856" s="16"/>
      <c r="H856" s="12"/>
      <c r="I856" s="12"/>
      <c r="J856" s="12"/>
      <c r="K856" s="12"/>
      <c r="L856" s="12"/>
      <c r="M856" s="11"/>
      <c r="N856" s="11"/>
      <c r="O856" s="11"/>
      <c r="P856" s="11"/>
    </row>
    <row r="857" spans="7:16" hidden="1" x14ac:dyDescent="0.25">
      <c r="G857" s="16"/>
      <c r="H857" s="12"/>
      <c r="I857" s="12"/>
      <c r="J857" s="12"/>
      <c r="K857" s="12"/>
      <c r="L857" s="12"/>
      <c r="M857" s="11"/>
      <c r="N857" s="11"/>
      <c r="O857" s="11"/>
      <c r="P857" s="11"/>
    </row>
    <row r="858" spans="7:16" hidden="1" x14ac:dyDescent="0.25">
      <c r="G858" s="16"/>
      <c r="H858" s="12"/>
      <c r="I858" s="12"/>
      <c r="J858" s="12"/>
      <c r="K858" s="12"/>
      <c r="L858" s="12"/>
      <c r="M858" s="11"/>
      <c r="N858" s="11"/>
      <c r="O858" s="11"/>
      <c r="P858" s="11"/>
    </row>
    <row r="859" spans="7:16" hidden="1" x14ac:dyDescent="0.25">
      <c r="G859" s="16"/>
      <c r="H859" s="12"/>
      <c r="I859" s="12"/>
      <c r="J859" s="12"/>
      <c r="K859" s="12"/>
      <c r="L859" s="12"/>
      <c r="M859" s="11"/>
      <c r="N859" s="11"/>
      <c r="O859" s="11"/>
      <c r="P859" s="11"/>
    </row>
    <row r="860" spans="7:16" hidden="1" x14ac:dyDescent="0.25">
      <c r="G860" s="16"/>
      <c r="H860" s="12"/>
      <c r="I860" s="12"/>
      <c r="J860" s="12"/>
      <c r="K860" s="12"/>
      <c r="L860" s="12"/>
      <c r="M860" s="11"/>
      <c r="N860" s="11"/>
      <c r="O860" s="11"/>
      <c r="P860" s="11"/>
    </row>
    <row r="861" spans="7:16" hidden="1" x14ac:dyDescent="0.25">
      <c r="G861" s="16"/>
      <c r="H861" s="12"/>
      <c r="I861" s="12"/>
      <c r="J861" s="12"/>
      <c r="K861" s="12"/>
      <c r="L861" s="12"/>
      <c r="M861" s="11"/>
      <c r="N861" s="11"/>
      <c r="O861" s="11"/>
      <c r="P861" s="11"/>
    </row>
    <row r="862" spans="7:16" hidden="1" x14ac:dyDescent="0.25">
      <c r="G862" s="16"/>
      <c r="H862" s="12"/>
      <c r="I862" s="12"/>
      <c r="J862" s="12"/>
      <c r="K862" s="12"/>
      <c r="L862" s="12"/>
      <c r="M862" s="11"/>
      <c r="N862" s="11"/>
      <c r="O862" s="11"/>
      <c r="P862" s="11"/>
    </row>
    <row r="863" spans="7:16" hidden="1" x14ac:dyDescent="0.25">
      <c r="G863" s="16"/>
      <c r="H863" s="12"/>
      <c r="I863" s="12"/>
      <c r="J863" s="12"/>
      <c r="K863" s="12"/>
      <c r="L863" s="12"/>
      <c r="M863" s="11"/>
      <c r="N863" s="11"/>
      <c r="O863" s="11"/>
      <c r="P863" s="11"/>
    </row>
    <row r="864" spans="7:16" hidden="1" x14ac:dyDescent="0.25">
      <c r="G864" s="16"/>
      <c r="H864" s="12"/>
      <c r="I864" s="12"/>
      <c r="J864" s="12"/>
      <c r="K864" s="12"/>
      <c r="L864" s="12"/>
      <c r="M864" s="11"/>
      <c r="N864" s="11"/>
      <c r="O864" s="11"/>
      <c r="P864" s="11"/>
    </row>
    <row r="865" spans="7:16" hidden="1" x14ac:dyDescent="0.25">
      <c r="G865" s="16"/>
      <c r="H865" s="12"/>
      <c r="I865" s="12"/>
      <c r="J865" s="12"/>
      <c r="K865" s="12"/>
      <c r="L865" s="12"/>
      <c r="M865" s="11"/>
      <c r="N865" s="11"/>
      <c r="O865" s="11"/>
      <c r="P865" s="11"/>
    </row>
    <row r="866" spans="7:16" hidden="1" x14ac:dyDescent="0.25">
      <c r="G866" s="16"/>
      <c r="H866" s="12"/>
      <c r="I866" s="12"/>
      <c r="J866" s="12"/>
      <c r="K866" s="12"/>
      <c r="L866" s="12"/>
      <c r="M866" s="11"/>
      <c r="N866" s="11"/>
      <c r="O866" s="11"/>
      <c r="P866" s="11"/>
    </row>
    <row r="867" spans="7:16" hidden="1" x14ac:dyDescent="0.25">
      <c r="G867" s="16"/>
      <c r="H867" s="12"/>
      <c r="I867" s="12"/>
      <c r="J867" s="12"/>
      <c r="K867" s="12"/>
      <c r="L867" s="12"/>
      <c r="M867" s="11"/>
      <c r="N867" s="11"/>
      <c r="O867" s="11"/>
      <c r="P867" s="11"/>
    </row>
    <row r="868" spans="7:16" hidden="1" x14ac:dyDescent="0.25">
      <c r="G868" s="16"/>
      <c r="H868" s="12"/>
      <c r="I868" s="12"/>
      <c r="J868" s="12"/>
      <c r="K868" s="12"/>
      <c r="L868" s="12"/>
      <c r="M868" s="11"/>
      <c r="N868" s="11"/>
      <c r="O868" s="11"/>
      <c r="P868" s="11"/>
    </row>
    <row r="869" spans="7:16" hidden="1" x14ac:dyDescent="0.25">
      <c r="G869" s="16"/>
      <c r="H869" s="12"/>
      <c r="I869" s="12"/>
      <c r="J869" s="12"/>
      <c r="K869" s="12"/>
      <c r="L869" s="12"/>
      <c r="M869" s="11"/>
      <c r="N869" s="11"/>
      <c r="O869" s="11"/>
      <c r="P869" s="11"/>
    </row>
    <row r="870" spans="7:16" hidden="1" x14ac:dyDescent="0.25">
      <c r="G870" s="16"/>
      <c r="H870" s="12"/>
      <c r="I870" s="12"/>
      <c r="J870" s="12"/>
      <c r="K870" s="12"/>
      <c r="L870" s="12"/>
      <c r="M870" s="11"/>
      <c r="N870" s="11"/>
      <c r="O870" s="11"/>
      <c r="P870" s="11"/>
    </row>
    <row r="871" spans="7:16" hidden="1" x14ac:dyDescent="0.25">
      <c r="G871" s="16"/>
      <c r="H871" s="12"/>
      <c r="I871" s="12"/>
      <c r="J871" s="12"/>
      <c r="K871" s="12"/>
      <c r="L871" s="12"/>
      <c r="M871" s="11"/>
      <c r="N871" s="11"/>
      <c r="O871" s="11"/>
      <c r="P871" s="11"/>
    </row>
    <row r="872" spans="7:16" hidden="1" x14ac:dyDescent="0.25">
      <c r="G872" s="16"/>
      <c r="H872" s="12"/>
      <c r="I872" s="12"/>
      <c r="J872" s="12"/>
      <c r="K872" s="12"/>
      <c r="L872" s="12"/>
      <c r="M872" s="11"/>
      <c r="N872" s="11"/>
      <c r="O872" s="11"/>
      <c r="P872" s="11"/>
    </row>
    <row r="873" spans="7:16" hidden="1" x14ac:dyDescent="0.25">
      <c r="G873" s="16"/>
      <c r="H873" s="12"/>
      <c r="I873" s="12"/>
      <c r="J873" s="12"/>
      <c r="K873" s="12"/>
      <c r="L873" s="12"/>
      <c r="M873" s="11"/>
      <c r="N873" s="11"/>
      <c r="O873" s="11"/>
      <c r="P873" s="11"/>
    </row>
    <row r="874" spans="7:16" hidden="1" x14ac:dyDescent="0.25">
      <c r="G874" s="16"/>
      <c r="H874" s="12"/>
      <c r="I874" s="12"/>
      <c r="J874" s="12"/>
      <c r="K874" s="12"/>
      <c r="L874" s="12"/>
      <c r="M874" s="11"/>
      <c r="N874" s="11"/>
      <c r="O874" s="11"/>
      <c r="P874" s="11"/>
    </row>
    <row r="875" spans="7:16" hidden="1" x14ac:dyDescent="0.25">
      <c r="G875" s="16"/>
      <c r="H875" s="12"/>
      <c r="I875" s="12"/>
      <c r="J875" s="12"/>
      <c r="K875" s="12"/>
      <c r="L875" s="12"/>
      <c r="M875" s="11"/>
      <c r="N875" s="11"/>
      <c r="O875" s="11"/>
      <c r="P875" s="11"/>
    </row>
    <row r="876" spans="7:16" hidden="1" x14ac:dyDescent="0.25">
      <c r="G876" s="16"/>
      <c r="H876" s="12"/>
      <c r="I876" s="12"/>
      <c r="J876" s="12"/>
      <c r="K876" s="12"/>
      <c r="L876" s="12"/>
      <c r="M876" s="11"/>
      <c r="N876" s="11"/>
      <c r="O876" s="11"/>
      <c r="P876" s="11"/>
    </row>
    <row r="877" spans="7:16" hidden="1" x14ac:dyDescent="0.25">
      <c r="G877" s="16"/>
      <c r="H877" s="12"/>
      <c r="I877" s="12"/>
      <c r="J877" s="12"/>
      <c r="K877" s="12"/>
      <c r="L877" s="12"/>
      <c r="M877" s="11"/>
      <c r="N877" s="11"/>
      <c r="O877" s="11"/>
      <c r="P877" s="11"/>
    </row>
    <row r="878" spans="7:16" hidden="1" x14ac:dyDescent="0.25">
      <c r="G878" s="16"/>
      <c r="H878" s="12"/>
      <c r="I878" s="12"/>
      <c r="J878" s="12"/>
      <c r="K878" s="12"/>
      <c r="L878" s="12"/>
      <c r="M878" s="11"/>
      <c r="N878" s="11"/>
      <c r="O878" s="11"/>
      <c r="P878" s="11"/>
    </row>
    <row r="879" spans="7:16" hidden="1" x14ac:dyDescent="0.25">
      <c r="G879" s="16"/>
      <c r="H879" s="12"/>
      <c r="I879" s="12"/>
      <c r="J879" s="12"/>
      <c r="K879" s="12"/>
      <c r="L879" s="12"/>
      <c r="M879" s="11"/>
      <c r="N879" s="11"/>
      <c r="O879" s="11"/>
      <c r="P879" s="11"/>
    </row>
    <row r="880" spans="7:16" hidden="1" x14ac:dyDescent="0.25">
      <c r="G880" s="16"/>
      <c r="H880" s="12"/>
      <c r="I880" s="12"/>
      <c r="J880" s="12"/>
      <c r="K880" s="12"/>
      <c r="L880" s="12"/>
      <c r="M880" s="11"/>
      <c r="N880" s="11"/>
      <c r="O880" s="11"/>
      <c r="P880" s="11"/>
    </row>
    <row r="881" spans="7:16" hidden="1" x14ac:dyDescent="0.25">
      <c r="G881" s="16"/>
      <c r="H881" s="12"/>
      <c r="I881" s="12"/>
      <c r="J881" s="12"/>
      <c r="K881" s="12"/>
      <c r="L881" s="12"/>
      <c r="M881" s="11"/>
      <c r="N881" s="11"/>
      <c r="O881" s="11"/>
      <c r="P881" s="11"/>
    </row>
    <row r="882" spans="7:16" hidden="1" x14ac:dyDescent="0.25">
      <c r="G882" s="16"/>
      <c r="H882" s="12"/>
      <c r="I882" s="12"/>
      <c r="J882" s="12"/>
      <c r="K882" s="12"/>
      <c r="L882" s="12"/>
      <c r="M882" s="11"/>
      <c r="N882" s="11"/>
      <c r="O882" s="11"/>
      <c r="P882" s="11"/>
    </row>
    <row r="883" spans="7:16" hidden="1" x14ac:dyDescent="0.25">
      <c r="G883" s="16"/>
      <c r="H883" s="12"/>
      <c r="I883" s="12"/>
      <c r="J883" s="12"/>
      <c r="K883" s="12"/>
      <c r="L883" s="12"/>
      <c r="M883" s="11"/>
      <c r="N883" s="11"/>
      <c r="O883" s="11"/>
      <c r="P883" s="11"/>
    </row>
    <row r="884" spans="7:16" hidden="1" x14ac:dyDescent="0.25">
      <c r="G884" s="16"/>
      <c r="H884" s="12"/>
      <c r="I884" s="12"/>
      <c r="J884" s="12"/>
      <c r="K884" s="12"/>
      <c r="L884" s="12"/>
      <c r="M884" s="11"/>
      <c r="N884" s="11"/>
      <c r="O884" s="11"/>
      <c r="P884" s="11"/>
    </row>
    <row r="885" spans="7:16" hidden="1" x14ac:dyDescent="0.25">
      <c r="G885" s="16"/>
      <c r="H885" s="12"/>
      <c r="I885" s="12"/>
      <c r="J885" s="12"/>
      <c r="K885" s="12"/>
      <c r="L885" s="12"/>
      <c r="M885" s="11"/>
      <c r="N885" s="11"/>
      <c r="O885" s="11"/>
      <c r="P885" s="11"/>
    </row>
    <row r="886" spans="7:16" hidden="1" x14ac:dyDescent="0.25">
      <c r="G886" s="16"/>
      <c r="H886" s="12"/>
      <c r="I886" s="12"/>
      <c r="J886" s="12"/>
      <c r="K886" s="12"/>
      <c r="L886" s="12"/>
      <c r="M886" s="11"/>
      <c r="N886" s="11"/>
      <c r="O886" s="11"/>
      <c r="P886" s="11"/>
    </row>
    <row r="887" spans="7:16" hidden="1" x14ac:dyDescent="0.25">
      <c r="G887" s="16"/>
      <c r="H887" s="12"/>
      <c r="I887" s="12"/>
      <c r="J887" s="12"/>
      <c r="K887" s="12"/>
      <c r="L887" s="12"/>
      <c r="M887" s="11"/>
      <c r="N887" s="11"/>
      <c r="O887" s="11"/>
      <c r="P887" s="11"/>
    </row>
    <row r="888" spans="7:16" hidden="1" x14ac:dyDescent="0.25">
      <c r="G888" s="16"/>
      <c r="H888" s="12"/>
      <c r="I888" s="12"/>
      <c r="J888" s="12"/>
      <c r="K888" s="12"/>
      <c r="L888" s="12"/>
      <c r="M888" s="11"/>
      <c r="N888" s="11"/>
      <c r="O888" s="11"/>
      <c r="P888" s="11"/>
    </row>
    <row r="889" spans="7:16" hidden="1" x14ac:dyDescent="0.25">
      <c r="G889" s="16"/>
      <c r="H889" s="12"/>
      <c r="I889" s="12"/>
      <c r="J889" s="12"/>
      <c r="K889" s="12"/>
      <c r="L889" s="12"/>
      <c r="M889" s="11"/>
      <c r="N889" s="11"/>
      <c r="O889" s="11"/>
      <c r="P889" s="11"/>
    </row>
    <row r="890" spans="7:16" hidden="1" x14ac:dyDescent="0.25">
      <c r="G890" s="16"/>
      <c r="H890" s="12"/>
      <c r="I890" s="12"/>
      <c r="J890" s="12"/>
      <c r="K890" s="12"/>
      <c r="L890" s="12"/>
      <c r="M890" s="11"/>
      <c r="N890" s="11"/>
      <c r="O890" s="11"/>
      <c r="P890" s="11"/>
    </row>
    <row r="891" spans="7:16" hidden="1" x14ac:dyDescent="0.25">
      <c r="G891" s="16"/>
      <c r="H891" s="12"/>
      <c r="I891" s="12"/>
      <c r="J891" s="12"/>
      <c r="K891" s="12"/>
      <c r="L891" s="12"/>
      <c r="M891" s="11"/>
      <c r="N891" s="11"/>
      <c r="O891" s="11"/>
      <c r="P891" s="11"/>
    </row>
    <row r="892" spans="7:16" hidden="1" x14ac:dyDescent="0.25">
      <c r="G892" s="16"/>
      <c r="H892" s="12"/>
      <c r="I892" s="12"/>
      <c r="J892" s="12"/>
      <c r="K892" s="12"/>
      <c r="L892" s="12"/>
      <c r="M892" s="11"/>
      <c r="N892" s="11"/>
      <c r="O892" s="11"/>
      <c r="P892" s="11"/>
    </row>
    <row r="893" spans="7:16" hidden="1" x14ac:dyDescent="0.25">
      <c r="G893" s="16"/>
      <c r="H893" s="12"/>
      <c r="I893" s="12"/>
      <c r="J893" s="12"/>
      <c r="K893" s="12"/>
      <c r="L893" s="12"/>
      <c r="M893" s="11"/>
      <c r="N893" s="11"/>
      <c r="O893" s="11"/>
      <c r="P893" s="11"/>
    </row>
    <row r="894" spans="7:16" hidden="1" x14ac:dyDescent="0.25">
      <c r="G894" s="16"/>
      <c r="H894" s="12"/>
      <c r="I894" s="12"/>
      <c r="J894" s="12"/>
      <c r="K894" s="12"/>
      <c r="L894" s="12"/>
      <c r="M894" s="11"/>
      <c r="N894" s="11"/>
      <c r="O894" s="11"/>
      <c r="P894" s="11"/>
    </row>
    <row r="895" spans="7:16" hidden="1" x14ac:dyDescent="0.25">
      <c r="G895" s="16"/>
      <c r="H895" s="12"/>
      <c r="I895" s="12"/>
      <c r="J895" s="12"/>
      <c r="K895" s="12"/>
      <c r="L895" s="12"/>
      <c r="M895" s="11"/>
      <c r="N895" s="11"/>
      <c r="O895" s="11"/>
      <c r="P895" s="11"/>
    </row>
    <row r="896" spans="7:16" hidden="1" x14ac:dyDescent="0.25">
      <c r="G896" s="16"/>
      <c r="H896" s="12"/>
      <c r="I896" s="12"/>
      <c r="J896" s="12"/>
      <c r="K896" s="12"/>
      <c r="L896" s="12"/>
      <c r="M896" s="11"/>
      <c r="N896" s="11"/>
      <c r="O896" s="11"/>
      <c r="P896" s="11"/>
    </row>
    <row r="897" spans="7:16" hidden="1" x14ac:dyDescent="0.25">
      <c r="G897" s="16"/>
      <c r="H897" s="12"/>
      <c r="I897" s="12"/>
      <c r="J897" s="12"/>
      <c r="K897" s="12"/>
      <c r="L897" s="12"/>
      <c r="M897" s="11"/>
      <c r="N897" s="11"/>
      <c r="O897" s="11"/>
      <c r="P897" s="11"/>
    </row>
    <row r="898" spans="7:16" hidden="1" x14ac:dyDescent="0.25">
      <c r="G898" s="16"/>
      <c r="H898" s="12"/>
      <c r="I898" s="12"/>
      <c r="J898" s="12"/>
      <c r="K898" s="12"/>
      <c r="L898" s="12"/>
      <c r="M898" s="11"/>
      <c r="N898" s="11"/>
      <c r="O898" s="11"/>
      <c r="P898" s="11"/>
    </row>
    <row r="899" spans="7:16" hidden="1" x14ac:dyDescent="0.25">
      <c r="G899" s="16"/>
      <c r="H899" s="12"/>
      <c r="I899" s="12"/>
      <c r="J899" s="12"/>
      <c r="K899" s="12"/>
      <c r="L899" s="12"/>
      <c r="M899" s="11"/>
      <c r="N899" s="11"/>
      <c r="O899" s="11"/>
      <c r="P899" s="11"/>
    </row>
    <row r="900" spans="7:16" hidden="1" x14ac:dyDescent="0.25">
      <c r="G900" s="16"/>
      <c r="H900" s="12"/>
      <c r="I900" s="12"/>
      <c r="J900" s="12"/>
      <c r="K900" s="12"/>
      <c r="L900" s="12"/>
      <c r="M900" s="11"/>
      <c r="N900" s="11"/>
      <c r="O900" s="11"/>
      <c r="P900" s="11"/>
    </row>
    <row r="901" spans="7:16" hidden="1" x14ac:dyDescent="0.25">
      <c r="G901" s="16"/>
      <c r="H901" s="12"/>
      <c r="I901" s="12"/>
      <c r="J901" s="12"/>
      <c r="K901" s="12"/>
      <c r="L901" s="12"/>
      <c r="M901" s="11"/>
      <c r="N901" s="11"/>
      <c r="O901" s="11"/>
      <c r="P901" s="11"/>
    </row>
    <row r="902" spans="7:16" hidden="1" x14ac:dyDescent="0.25">
      <c r="G902" s="16"/>
      <c r="H902" s="12"/>
      <c r="I902" s="12"/>
      <c r="J902" s="12"/>
      <c r="K902" s="12"/>
      <c r="L902" s="12"/>
      <c r="M902" s="11"/>
      <c r="N902" s="11"/>
      <c r="O902" s="11"/>
      <c r="P902" s="11"/>
    </row>
    <row r="903" spans="7:16" hidden="1" x14ac:dyDescent="0.25">
      <c r="G903" s="16"/>
      <c r="H903" s="12"/>
      <c r="I903" s="12"/>
      <c r="J903" s="12"/>
      <c r="K903" s="12"/>
      <c r="L903" s="12"/>
      <c r="M903" s="11"/>
      <c r="N903" s="11"/>
      <c r="O903" s="11"/>
      <c r="P903" s="11"/>
    </row>
    <row r="904" spans="7:16" hidden="1" x14ac:dyDescent="0.25">
      <c r="G904" s="16"/>
      <c r="H904" s="12"/>
      <c r="I904" s="12"/>
      <c r="J904" s="12"/>
      <c r="K904" s="12"/>
      <c r="L904" s="12"/>
      <c r="M904" s="11"/>
      <c r="N904" s="11"/>
      <c r="O904" s="11"/>
      <c r="P904" s="11"/>
    </row>
    <row r="905" spans="7:16" hidden="1" x14ac:dyDescent="0.25">
      <c r="G905" s="16"/>
      <c r="H905" s="12"/>
      <c r="I905" s="12"/>
      <c r="J905" s="12"/>
      <c r="K905" s="12"/>
      <c r="L905" s="12"/>
      <c r="M905" s="11"/>
      <c r="N905" s="11"/>
      <c r="O905" s="11"/>
      <c r="P905" s="11"/>
    </row>
    <row r="906" spans="7:16" hidden="1" x14ac:dyDescent="0.25">
      <c r="G906" s="16"/>
      <c r="H906" s="12"/>
      <c r="I906" s="12"/>
      <c r="J906" s="12"/>
      <c r="K906" s="12"/>
      <c r="L906" s="12"/>
      <c r="M906" s="11"/>
      <c r="N906" s="11"/>
      <c r="O906" s="11"/>
      <c r="P906" s="11"/>
    </row>
    <row r="907" spans="7:16" hidden="1" x14ac:dyDescent="0.25">
      <c r="G907" s="16"/>
      <c r="H907" s="12"/>
      <c r="I907" s="12"/>
      <c r="J907" s="12"/>
      <c r="K907" s="12"/>
      <c r="L907" s="12"/>
      <c r="M907" s="11"/>
      <c r="N907" s="11"/>
      <c r="O907" s="11"/>
      <c r="P907" s="11"/>
    </row>
    <row r="908" spans="7:16" hidden="1" x14ac:dyDescent="0.25">
      <c r="G908" s="16"/>
      <c r="H908" s="12"/>
      <c r="I908" s="12"/>
      <c r="J908" s="12"/>
      <c r="K908" s="12"/>
      <c r="L908" s="12"/>
      <c r="M908" s="11"/>
      <c r="N908" s="11"/>
      <c r="O908" s="11"/>
      <c r="P908" s="11"/>
    </row>
    <row r="909" spans="7:16" hidden="1" x14ac:dyDescent="0.25">
      <c r="G909" s="16"/>
      <c r="H909" s="12"/>
      <c r="I909" s="12"/>
      <c r="J909" s="12"/>
      <c r="K909" s="12"/>
      <c r="L909" s="12"/>
      <c r="M909" s="11"/>
      <c r="N909" s="11"/>
      <c r="O909" s="11"/>
      <c r="P909" s="11"/>
    </row>
    <row r="910" spans="7:16" hidden="1" x14ac:dyDescent="0.25">
      <c r="G910" s="16"/>
      <c r="H910" s="12"/>
      <c r="I910" s="12"/>
      <c r="J910" s="12"/>
      <c r="K910" s="12"/>
      <c r="L910" s="12"/>
      <c r="M910" s="11"/>
      <c r="N910" s="11"/>
      <c r="O910" s="11"/>
      <c r="P910" s="11"/>
    </row>
    <row r="911" spans="7:16" hidden="1" x14ac:dyDescent="0.25">
      <c r="G911" s="16"/>
      <c r="H911" s="12"/>
      <c r="I911" s="12"/>
      <c r="J911" s="12"/>
      <c r="K911" s="12"/>
      <c r="L911" s="12"/>
      <c r="M911" s="11"/>
      <c r="N911" s="11"/>
      <c r="O911" s="11"/>
      <c r="P911" s="11"/>
    </row>
    <row r="912" spans="7:16" hidden="1" x14ac:dyDescent="0.25">
      <c r="G912" s="16"/>
      <c r="H912" s="12"/>
      <c r="I912" s="12"/>
      <c r="J912" s="12"/>
      <c r="K912" s="12"/>
      <c r="L912" s="12"/>
      <c r="M912" s="11"/>
      <c r="N912" s="11"/>
      <c r="O912" s="11"/>
      <c r="P912" s="11"/>
    </row>
    <row r="913" spans="7:16" hidden="1" x14ac:dyDescent="0.25">
      <c r="G913" s="16"/>
      <c r="H913" s="12"/>
      <c r="I913" s="12"/>
      <c r="J913" s="12"/>
      <c r="K913" s="12"/>
      <c r="L913" s="12"/>
      <c r="M913" s="11"/>
      <c r="N913" s="11"/>
      <c r="O913" s="11"/>
      <c r="P913" s="11"/>
    </row>
    <row r="914" spans="7:16" hidden="1" x14ac:dyDescent="0.25">
      <c r="G914" s="16"/>
      <c r="H914" s="12"/>
      <c r="I914" s="12"/>
      <c r="J914" s="12"/>
      <c r="K914" s="12"/>
      <c r="L914" s="12"/>
      <c r="M914" s="11"/>
      <c r="N914" s="11"/>
      <c r="O914" s="11"/>
      <c r="P914" s="11"/>
    </row>
    <row r="915" spans="7:16" hidden="1" x14ac:dyDescent="0.25">
      <c r="G915" s="16"/>
      <c r="H915" s="12"/>
      <c r="I915" s="12"/>
      <c r="J915" s="12"/>
      <c r="K915" s="12"/>
      <c r="L915" s="12"/>
      <c r="M915" s="11"/>
      <c r="N915" s="11"/>
      <c r="O915" s="11"/>
      <c r="P915" s="11"/>
    </row>
    <row r="916" spans="7:16" hidden="1" x14ac:dyDescent="0.25">
      <c r="G916" s="16"/>
      <c r="H916" s="12"/>
      <c r="I916" s="12"/>
      <c r="J916" s="12"/>
      <c r="K916" s="12"/>
      <c r="L916" s="12"/>
      <c r="M916" s="11"/>
      <c r="N916" s="11"/>
      <c r="O916" s="11"/>
      <c r="P916" s="11"/>
    </row>
    <row r="917" spans="7:16" hidden="1" x14ac:dyDescent="0.25">
      <c r="G917" s="16"/>
      <c r="H917" s="12"/>
      <c r="I917" s="12"/>
      <c r="J917" s="12"/>
      <c r="K917" s="12"/>
      <c r="L917" s="12"/>
      <c r="M917" s="11"/>
      <c r="N917" s="11"/>
      <c r="O917" s="11"/>
      <c r="P917" s="11"/>
    </row>
    <row r="918" spans="7:16" hidden="1" x14ac:dyDescent="0.25">
      <c r="G918" s="16"/>
      <c r="H918" s="12"/>
      <c r="I918" s="12"/>
      <c r="J918" s="12"/>
      <c r="K918" s="12"/>
      <c r="L918" s="12"/>
      <c r="M918" s="11"/>
      <c r="N918" s="11"/>
      <c r="O918" s="11"/>
      <c r="P918" s="11"/>
    </row>
    <row r="919" spans="7:16" hidden="1" x14ac:dyDescent="0.25">
      <c r="G919" s="16"/>
      <c r="H919" s="12"/>
      <c r="I919" s="12"/>
      <c r="J919" s="12"/>
      <c r="K919" s="12"/>
      <c r="L919" s="12"/>
      <c r="M919" s="11"/>
      <c r="N919" s="11"/>
      <c r="O919" s="11"/>
      <c r="P919" s="11"/>
    </row>
    <row r="920" spans="7:16" hidden="1" x14ac:dyDescent="0.25">
      <c r="G920" s="16"/>
      <c r="H920" s="12"/>
      <c r="I920" s="12"/>
      <c r="J920" s="12"/>
      <c r="K920" s="12"/>
      <c r="L920" s="12"/>
      <c r="M920" s="11"/>
      <c r="N920" s="11"/>
      <c r="O920" s="11"/>
      <c r="P920" s="11"/>
    </row>
    <row r="921" spans="7:16" hidden="1" x14ac:dyDescent="0.25">
      <c r="G921" s="16"/>
      <c r="H921" s="12"/>
      <c r="I921" s="12"/>
      <c r="J921" s="12"/>
      <c r="K921" s="12"/>
      <c r="L921" s="12"/>
      <c r="M921" s="11"/>
      <c r="N921" s="11"/>
      <c r="O921" s="11"/>
      <c r="P921" s="11"/>
    </row>
    <row r="922" spans="7:16" hidden="1" x14ac:dyDescent="0.25">
      <c r="G922" s="16"/>
      <c r="H922" s="12"/>
      <c r="I922" s="12"/>
      <c r="J922" s="12"/>
      <c r="K922" s="12"/>
      <c r="L922" s="12"/>
      <c r="M922" s="11"/>
      <c r="N922" s="11"/>
      <c r="O922" s="11"/>
      <c r="P922" s="11"/>
    </row>
    <row r="923" spans="7:16" hidden="1" x14ac:dyDescent="0.25">
      <c r="G923" s="16"/>
      <c r="H923" s="12"/>
      <c r="I923" s="12"/>
      <c r="J923" s="12"/>
      <c r="K923" s="12"/>
      <c r="L923" s="12"/>
      <c r="M923" s="11"/>
      <c r="N923" s="11"/>
      <c r="O923" s="11"/>
      <c r="P923" s="11"/>
    </row>
    <row r="924" spans="7:16" hidden="1" x14ac:dyDescent="0.25">
      <c r="G924" s="16"/>
      <c r="H924" s="12"/>
      <c r="I924" s="12"/>
      <c r="J924" s="12"/>
      <c r="K924" s="12"/>
      <c r="L924" s="12"/>
      <c r="M924" s="11"/>
      <c r="N924" s="11"/>
      <c r="O924" s="11"/>
      <c r="P924" s="11"/>
    </row>
    <row r="925" spans="7:16" hidden="1" x14ac:dyDescent="0.25">
      <c r="G925" s="16"/>
      <c r="H925" s="12"/>
      <c r="I925" s="12"/>
      <c r="J925" s="12"/>
      <c r="K925" s="12"/>
      <c r="L925" s="12"/>
      <c r="M925" s="11"/>
      <c r="N925" s="11"/>
      <c r="O925" s="11"/>
      <c r="P925" s="11"/>
    </row>
    <row r="926" spans="7:16" hidden="1" x14ac:dyDescent="0.25">
      <c r="G926" s="16"/>
      <c r="H926" s="12"/>
      <c r="I926" s="12"/>
      <c r="J926" s="12"/>
      <c r="K926" s="12"/>
      <c r="L926" s="12"/>
      <c r="M926" s="11"/>
      <c r="N926" s="11"/>
      <c r="O926" s="11"/>
      <c r="P926" s="11"/>
    </row>
    <row r="927" spans="7:16" hidden="1" x14ac:dyDescent="0.25">
      <c r="G927" s="16"/>
      <c r="H927" s="12"/>
      <c r="I927" s="12"/>
      <c r="J927" s="12"/>
      <c r="K927" s="12"/>
      <c r="L927" s="12"/>
      <c r="M927" s="11"/>
      <c r="N927" s="11"/>
      <c r="O927" s="11"/>
      <c r="P927" s="11"/>
    </row>
    <row r="928" spans="7:16" hidden="1" x14ac:dyDescent="0.25">
      <c r="G928" s="16"/>
      <c r="H928" s="12"/>
      <c r="I928" s="12"/>
      <c r="J928" s="12"/>
      <c r="K928" s="12"/>
      <c r="L928" s="12"/>
      <c r="M928" s="11"/>
      <c r="N928" s="11"/>
      <c r="O928" s="11"/>
      <c r="P928" s="11"/>
    </row>
    <row r="929" spans="7:16" hidden="1" x14ac:dyDescent="0.25">
      <c r="G929" s="16"/>
      <c r="H929" s="12"/>
      <c r="I929" s="12"/>
      <c r="J929" s="12"/>
      <c r="K929" s="12"/>
      <c r="L929" s="12"/>
      <c r="M929" s="11"/>
      <c r="N929" s="11"/>
      <c r="O929" s="11"/>
      <c r="P929" s="11"/>
    </row>
    <row r="930" spans="7:16" hidden="1" x14ac:dyDescent="0.25">
      <c r="G930" s="16"/>
      <c r="H930" s="12"/>
      <c r="I930" s="12"/>
      <c r="J930" s="12"/>
      <c r="K930" s="12"/>
      <c r="L930" s="12"/>
      <c r="M930" s="11"/>
      <c r="N930" s="11"/>
      <c r="O930" s="11"/>
      <c r="P930" s="11"/>
    </row>
    <row r="931" spans="7:16" hidden="1" x14ac:dyDescent="0.25">
      <c r="G931" s="16"/>
      <c r="H931" s="12"/>
      <c r="I931" s="12"/>
      <c r="J931" s="12"/>
      <c r="K931" s="12"/>
      <c r="L931" s="12"/>
      <c r="M931" s="11"/>
      <c r="N931" s="11"/>
      <c r="O931" s="11"/>
      <c r="P931" s="11"/>
    </row>
    <row r="932" spans="7:16" hidden="1" x14ac:dyDescent="0.25">
      <c r="G932" s="16"/>
      <c r="H932" s="12"/>
      <c r="I932" s="12"/>
      <c r="J932" s="12"/>
      <c r="K932" s="12"/>
      <c r="L932" s="12"/>
      <c r="M932" s="11"/>
      <c r="N932" s="11"/>
      <c r="O932" s="11"/>
      <c r="P932" s="11"/>
    </row>
    <row r="933" spans="7:16" hidden="1" x14ac:dyDescent="0.25">
      <c r="G933" s="16"/>
      <c r="H933" s="12"/>
      <c r="I933" s="12"/>
      <c r="J933" s="12"/>
      <c r="K933" s="12"/>
      <c r="L933" s="12"/>
      <c r="M933" s="11"/>
      <c r="N933" s="11"/>
      <c r="O933" s="11"/>
      <c r="P933" s="11"/>
    </row>
    <row r="934" spans="7:16" hidden="1" x14ac:dyDescent="0.25">
      <c r="G934" s="16"/>
      <c r="H934" s="12"/>
      <c r="I934" s="12"/>
      <c r="J934" s="12"/>
      <c r="K934" s="12"/>
      <c r="L934" s="12"/>
      <c r="M934" s="11"/>
      <c r="N934" s="11"/>
      <c r="O934" s="11"/>
      <c r="P934" s="11"/>
    </row>
    <row r="935" spans="7:16" hidden="1" x14ac:dyDescent="0.25">
      <c r="G935" s="16"/>
      <c r="H935" s="12"/>
      <c r="I935" s="12"/>
      <c r="J935" s="12"/>
      <c r="K935" s="12"/>
      <c r="L935" s="12"/>
      <c r="M935" s="11"/>
      <c r="N935" s="11"/>
      <c r="O935" s="11"/>
      <c r="P935" s="11"/>
    </row>
    <row r="936" spans="7:16" hidden="1" x14ac:dyDescent="0.25">
      <c r="G936" s="16"/>
      <c r="H936" s="12"/>
      <c r="I936" s="12"/>
      <c r="J936" s="12"/>
      <c r="K936" s="12"/>
      <c r="L936" s="12"/>
      <c r="M936" s="11"/>
      <c r="N936" s="11"/>
      <c r="O936" s="11"/>
      <c r="P936" s="11"/>
    </row>
    <row r="937" spans="7:16" hidden="1" x14ac:dyDescent="0.25">
      <c r="G937" s="16"/>
      <c r="H937" s="12"/>
      <c r="I937" s="12"/>
      <c r="J937" s="12"/>
      <c r="K937" s="12"/>
      <c r="L937" s="12"/>
      <c r="M937" s="11"/>
      <c r="N937" s="11"/>
      <c r="O937" s="11"/>
      <c r="P937" s="11"/>
    </row>
    <row r="938" spans="7:16" hidden="1" x14ac:dyDescent="0.25">
      <c r="G938" s="16"/>
      <c r="H938" s="12"/>
      <c r="I938" s="12"/>
      <c r="J938" s="12"/>
      <c r="K938" s="12"/>
      <c r="L938" s="12"/>
      <c r="M938" s="11"/>
      <c r="N938" s="11"/>
      <c r="O938" s="11"/>
      <c r="P938" s="11"/>
    </row>
    <row r="939" spans="7:16" hidden="1" x14ac:dyDescent="0.25">
      <c r="G939" s="16"/>
      <c r="H939" s="12"/>
      <c r="I939" s="12"/>
      <c r="J939" s="12"/>
      <c r="K939" s="12"/>
      <c r="L939" s="12"/>
      <c r="M939" s="11"/>
      <c r="N939" s="11"/>
      <c r="O939" s="11"/>
      <c r="P939" s="11"/>
    </row>
    <row r="940" spans="7:16" hidden="1" x14ac:dyDescent="0.25">
      <c r="G940" s="16"/>
      <c r="H940" s="12"/>
      <c r="I940" s="12"/>
      <c r="J940" s="12"/>
      <c r="K940" s="12"/>
      <c r="L940" s="12"/>
      <c r="M940" s="11"/>
      <c r="N940" s="11"/>
      <c r="O940" s="11"/>
      <c r="P940" s="11"/>
    </row>
    <row r="941" spans="7:16" hidden="1" x14ac:dyDescent="0.25">
      <c r="G941" s="16"/>
      <c r="H941" s="12"/>
      <c r="I941" s="12"/>
      <c r="J941" s="12"/>
      <c r="K941" s="12"/>
      <c r="L941" s="12"/>
      <c r="M941" s="11"/>
      <c r="N941" s="11"/>
      <c r="O941" s="11"/>
      <c r="P941" s="11"/>
    </row>
    <row r="942" spans="7:16" hidden="1" x14ac:dyDescent="0.25">
      <c r="G942" s="16"/>
      <c r="H942" s="12"/>
      <c r="I942" s="12"/>
      <c r="J942" s="12"/>
      <c r="K942" s="12"/>
      <c r="L942" s="12"/>
      <c r="M942" s="11"/>
      <c r="N942" s="11"/>
      <c r="O942" s="11"/>
      <c r="P942" s="11"/>
    </row>
    <row r="943" spans="7:16" hidden="1" x14ac:dyDescent="0.25">
      <c r="G943" s="16"/>
      <c r="H943" s="12"/>
      <c r="I943" s="12"/>
      <c r="J943" s="12"/>
      <c r="K943" s="12"/>
      <c r="L943" s="12"/>
      <c r="M943" s="11"/>
      <c r="N943" s="11"/>
      <c r="O943" s="11"/>
      <c r="P943" s="11"/>
    </row>
    <row r="944" spans="7:16" hidden="1" x14ac:dyDescent="0.25">
      <c r="G944" s="16"/>
      <c r="H944" s="12"/>
      <c r="I944" s="12"/>
      <c r="J944" s="12"/>
      <c r="K944" s="12"/>
      <c r="L944" s="12"/>
      <c r="M944" s="11"/>
      <c r="N944" s="11"/>
      <c r="O944" s="11"/>
      <c r="P944" s="11"/>
    </row>
    <row r="945" spans="7:16" hidden="1" x14ac:dyDescent="0.25">
      <c r="G945" s="16"/>
      <c r="H945" s="12"/>
      <c r="I945" s="12"/>
      <c r="J945" s="12"/>
      <c r="K945" s="12"/>
      <c r="L945" s="12"/>
      <c r="M945" s="11"/>
      <c r="N945" s="11"/>
      <c r="O945" s="11"/>
      <c r="P945" s="11"/>
    </row>
    <row r="946" spans="7:16" hidden="1" x14ac:dyDescent="0.25">
      <c r="G946" s="16"/>
      <c r="H946" s="12"/>
      <c r="I946" s="12"/>
      <c r="J946" s="12"/>
      <c r="K946" s="12"/>
      <c r="L946" s="12"/>
      <c r="M946" s="11"/>
      <c r="N946" s="11"/>
      <c r="O946" s="11"/>
      <c r="P946" s="11"/>
    </row>
    <row r="947" spans="7:16" hidden="1" x14ac:dyDescent="0.25">
      <c r="G947" s="16"/>
      <c r="H947" s="12"/>
      <c r="I947" s="12"/>
      <c r="J947" s="12"/>
      <c r="K947" s="12"/>
      <c r="L947" s="12"/>
      <c r="M947" s="11"/>
      <c r="N947" s="11"/>
      <c r="O947" s="11"/>
      <c r="P947" s="11"/>
    </row>
    <row r="948" spans="7:16" hidden="1" x14ac:dyDescent="0.25">
      <c r="G948" s="16"/>
      <c r="H948" s="12"/>
      <c r="I948" s="12"/>
      <c r="J948" s="12"/>
      <c r="K948" s="12"/>
      <c r="L948" s="12"/>
      <c r="M948" s="11"/>
      <c r="N948" s="11"/>
      <c r="O948" s="11"/>
      <c r="P948" s="11"/>
    </row>
    <row r="949" spans="7:16" hidden="1" x14ac:dyDescent="0.25">
      <c r="G949" s="16"/>
      <c r="H949" s="12"/>
      <c r="I949" s="12"/>
      <c r="J949" s="12"/>
      <c r="K949" s="12"/>
      <c r="L949" s="12"/>
      <c r="M949" s="11"/>
      <c r="N949" s="11"/>
      <c r="O949" s="11"/>
      <c r="P949" s="11"/>
    </row>
    <row r="950" spans="7:16" hidden="1" x14ac:dyDescent="0.25">
      <c r="G950" s="16"/>
      <c r="H950" s="12"/>
      <c r="I950" s="12"/>
      <c r="J950" s="12"/>
      <c r="K950" s="12"/>
      <c r="L950" s="12"/>
      <c r="M950" s="11"/>
      <c r="N950" s="11"/>
      <c r="O950" s="11"/>
      <c r="P950" s="11"/>
    </row>
    <row r="951" spans="7:16" hidden="1" x14ac:dyDescent="0.25">
      <c r="G951" s="16"/>
      <c r="H951" s="12"/>
      <c r="I951" s="12"/>
      <c r="J951" s="12"/>
      <c r="K951" s="12"/>
      <c r="L951" s="12"/>
      <c r="M951" s="11"/>
      <c r="N951" s="11"/>
      <c r="O951" s="11"/>
      <c r="P951" s="11"/>
    </row>
    <row r="952" spans="7:16" hidden="1" x14ac:dyDescent="0.25">
      <c r="G952" s="16"/>
      <c r="H952" s="12"/>
      <c r="I952" s="12"/>
      <c r="J952" s="12"/>
      <c r="K952" s="12"/>
      <c r="L952" s="12"/>
      <c r="M952" s="11"/>
      <c r="N952" s="11"/>
      <c r="O952" s="11"/>
      <c r="P952" s="11"/>
    </row>
    <row r="953" spans="7:16" hidden="1" x14ac:dyDescent="0.25">
      <c r="G953" s="16"/>
      <c r="H953" s="12"/>
      <c r="I953" s="12"/>
      <c r="J953" s="12"/>
      <c r="K953" s="12"/>
      <c r="L953" s="12"/>
      <c r="M953" s="11"/>
      <c r="N953" s="11"/>
      <c r="O953" s="11"/>
      <c r="P953" s="11"/>
    </row>
    <row r="954" spans="7:16" hidden="1" x14ac:dyDescent="0.25">
      <c r="G954" s="16"/>
      <c r="H954" s="12"/>
      <c r="I954" s="12"/>
      <c r="J954" s="12"/>
      <c r="K954" s="12"/>
      <c r="L954" s="12"/>
      <c r="M954" s="11"/>
      <c r="N954" s="11"/>
      <c r="O954" s="11"/>
      <c r="P954" s="11"/>
    </row>
    <row r="955" spans="7:16" hidden="1" x14ac:dyDescent="0.25">
      <c r="G955" s="16"/>
      <c r="H955" s="12"/>
      <c r="I955" s="12"/>
      <c r="J955" s="12"/>
      <c r="K955" s="12"/>
      <c r="L955" s="12"/>
      <c r="M955" s="11"/>
      <c r="N955" s="11"/>
      <c r="O955" s="11"/>
      <c r="P955" s="11"/>
    </row>
    <row r="956" spans="7:16" hidden="1" x14ac:dyDescent="0.25">
      <c r="G956" s="16"/>
      <c r="H956" s="12"/>
      <c r="I956" s="12"/>
      <c r="J956" s="12"/>
      <c r="K956" s="12"/>
      <c r="L956" s="12"/>
      <c r="M956" s="11"/>
      <c r="N956" s="11"/>
      <c r="O956" s="11"/>
      <c r="P956" s="11"/>
    </row>
    <row r="957" spans="7:16" hidden="1" x14ac:dyDescent="0.25">
      <c r="G957" s="16"/>
      <c r="H957" s="12"/>
      <c r="I957" s="12"/>
      <c r="J957" s="12"/>
      <c r="K957" s="12"/>
      <c r="L957" s="12"/>
      <c r="M957" s="11"/>
      <c r="N957" s="11"/>
      <c r="O957" s="11"/>
      <c r="P957" s="11"/>
    </row>
    <row r="958" spans="7:16" hidden="1" x14ac:dyDescent="0.25">
      <c r="G958" s="16"/>
      <c r="H958" s="12"/>
      <c r="I958" s="12"/>
      <c r="J958" s="12"/>
      <c r="K958" s="12"/>
      <c r="L958" s="12"/>
      <c r="M958" s="11"/>
      <c r="N958" s="11"/>
      <c r="O958" s="11"/>
      <c r="P958" s="11"/>
    </row>
    <row r="959" spans="7:16" hidden="1" x14ac:dyDescent="0.25">
      <c r="G959" s="16"/>
      <c r="H959" s="12"/>
      <c r="I959" s="12"/>
      <c r="J959" s="12"/>
      <c r="K959" s="12"/>
      <c r="L959" s="12"/>
      <c r="M959" s="11"/>
      <c r="N959" s="11"/>
      <c r="O959" s="11"/>
      <c r="P959" s="11"/>
    </row>
    <row r="960" spans="7:16" hidden="1" x14ac:dyDescent="0.25">
      <c r="G960" s="16"/>
      <c r="H960" s="12"/>
      <c r="I960" s="12"/>
      <c r="J960" s="12"/>
      <c r="K960" s="12"/>
      <c r="L960" s="12"/>
      <c r="M960" s="11"/>
      <c r="N960" s="11"/>
      <c r="O960" s="11"/>
      <c r="P960" s="11"/>
    </row>
    <row r="961" spans="7:16" hidden="1" x14ac:dyDescent="0.25">
      <c r="G961" s="16"/>
      <c r="H961" s="12"/>
      <c r="I961" s="12"/>
      <c r="J961" s="12"/>
      <c r="K961" s="12"/>
      <c r="L961" s="12"/>
      <c r="M961" s="11"/>
      <c r="N961" s="11"/>
      <c r="O961" s="11"/>
      <c r="P961" s="11"/>
    </row>
    <row r="962" spans="7:16" hidden="1" x14ac:dyDescent="0.25">
      <c r="G962" s="16"/>
      <c r="H962" s="12"/>
      <c r="I962" s="12"/>
      <c r="J962" s="12"/>
      <c r="K962" s="12"/>
      <c r="L962" s="12"/>
      <c r="M962" s="11"/>
      <c r="N962" s="11"/>
      <c r="O962" s="11"/>
      <c r="P962" s="11"/>
    </row>
    <row r="963" spans="7:16" hidden="1" x14ac:dyDescent="0.25">
      <c r="G963" s="16"/>
      <c r="H963" s="12"/>
      <c r="I963" s="12"/>
      <c r="J963" s="12"/>
      <c r="K963" s="12"/>
      <c r="L963" s="12"/>
      <c r="M963" s="11"/>
      <c r="N963" s="11"/>
      <c r="O963" s="11"/>
      <c r="P963" s="11"/>
    </row>
    <row r="964" spans="7:16" hidden="1" x14ac:dyDescent="0.25">
      <c r="G964" s="16"/>
      <c r="H964" s="12"/>
      <c r="I964" s="12"/>
      <c r="J964" s="12"/>
      <c r="K964" s="12"/>
      <c r="L964" s="12"/>
      <c r="M964" s="11"/>
      <c r="N964" s="11"/>
      <c r="O964" s="11"/>
      <c r="P964" s="11"/>
    </row>
    <row r="965" spans="7:16" hidden="1" x14ac:dyDescent="0.25">
      <c r="G965" s="16"/>
      <c r="H965" s="12"/>
      <c r="I965" s="12"/>
      <c r="J965" s="12"/>
      <c r="K965" s="12"/>
      <c r="L965" s="12"/>
      <c r="M965" s="11"/>
      <c r="N965" s="11"/>
      <c r="O965" s="11"/>
      <c r="P965" s="11"/>
    </row>
    <row r="966" spans="7:16" hidden="1" x14ac:dyDescent="0.25">
      <c r="G966" s="16"/>
      <c r="H966" s="12"/>
      <c r="I966" s="12"/>
      <c r="J966" s="12"/>
      <c r="K966" s="12"/>
      <c r="L966" s="12"/>
      <c r="M966" s="11"/>
      <c r="N966" s="11"/>
      <c r="O966" s="11"/>
      <c r="P966" s="11"/>
    </row>
    <row r="967" spans="7:16" hidden="1" x14ac:dyDescent="0.25">
      <c r="G967" s="16"/>
      <c r="H967" s="12"/>
      <c r="I967" s="12"/>
      <c r="J967" s="12"/>
      <c r="K967" s="12"/>
      <c r="L967" s="12"/>
      <c r="M967" s="11"/>
      <c r="N967" s="11"/>
      <c r="O967" s="11"/>
      <c r="P967" s="11"/>
    </row>
    <row r="968" spans="7:16" hidden="1" x14ac:dyDescent="0.25">
      <c r="G968" s="16"/>
      <c r="H968" s="12"/>
      <c r="I968" s="12"/>
      <c r="J968" s="12"/>
      <c r="K968" s="12"/>
      <c r="L968" s="12"/>
      <c r="M968" s="11"/>
      <c r="N968" s="11"/>
      <c r="O968" s="11"/>
      <c r="P968" s="11"/>
    </row>
    <row r="969" spans="7:16" hidden="1" x14ac:dyDescent="0.25">
      <c r="G969" s="16"/>
      <c r="H969" s="12"/>
      <c r="I969" s="12"/>
      <c r="J969" s="12"/>
      <c r="K969" s="12"/>
      <c r="L969" s="12"/>
      <c r="M969" s="11"/>
      <c r="N969" s="11"/>
      <c r="O969" s="11"/>
      <c r="P969" s="11"/>
    </row>
    <row r="970" spans="7:16" hidden="1" x14ac:dyDescent="0.25">
      <c r="G970" s="16"/>
      <c r="H970" s="12"/>
      <c r="I970" s="12"/>
      <c r="J970" s="12"/>
      <c r="K970" s="12"/>
      <c r="L970" s="12"/>
      <c r="M970" s="11"/>
      <c r="N970" s="11"/>
      <c r="O970" s="11"/>
      <c r="P970" s="11"/>
    </row>
    <row r="971" spans="7:16" hidden="1" x14ac:dyDescent="0.25">
      <c r="G971" s="16"/>
      <c r="H971" s="12"/>
      <c r="I971" s="12"/>
      <c r="J971" s="12"/>
      <c r="K971" s="12"/>
      <c r="L971" s="12"/>
      <c r="M971" s="11"/>
      <c r="N971" s="11"/>
      <c r="O971" s="11"/>
      <c r="P971" s="11"/>
    </row>
    <row r="972" spans="7:16" hidden="1" x14ac:dyDescent="0.25">
      <c r="G972" s="16"/>
      <c r="H972" s="12"/>
      <c r="I972" s="12"/>
      <c r="J972" s="12"/>
      <c r="K972" s="12"/>
      <c r="L972" s="12"/>
      <c r="M972" s="11"/>
      <c r="N972" s="11"/>
      <c r="O972" s="11"/>
      <c r="P972" s="11"/>
    </row>
    <row r="973" spans="7:16" hidden="1" x14ac:dyDescent="0.25">
      <c r="G973" s="16"/>
      <c r="H973" s="12"/>
      <c r="I973" s="12"/>
      <c r="J973" s="12"/>
      <c r="K973" s="12"/>
      <c r="L973" s="12"/>
      <c r="M973" s="11"/>
      <c r="N973" s="11"/>
      <c r="O973" s="11"/>
      <c r="P973" s="11"/>
    </row>
    <row r="974" spans="7:16" hidden="1" x14ac:dyDescent="0.25">
      <c r="G974" s="16"/>
      <c r="H974" s="12"/>
      <c r="I974" s="12"/>
      <c r="J974" s="12"/>
      <c r="K974" s="12"/>
      <c r="L974" s="12"/>
      <c r="M974" s="11"/>
      <c r="N974" s="11"/>
      <c r="O974" s="11"/>
      <c r="P974" s="11"/>
    </row>
    <row r="975" spans="7:16" hidden="1" x14ac:dyDescent="0.25">
      <c r="G975" s="16"/>
      <c r="H975" s="12"/>
      <c r="I975" s="12"/>
      <c r="J975" s="12"/>
      <c r="K975" s="12"/>
      <c r="L975" s="12"/>
      <c r="M975" s="11"/>
      <c r="N975" s="11"/>
      <c r="O975" s="11"/>
      <c r="P975" s="11"/>
    </row>
    <row r="976" spans="7:16" hidden="1" x14ac:dyDescent="0.25">
      <c r="G976" s="16"/>
      <c r="H976" s="12"/>
      <c r="I976" s="12"/>
      <c r="J976" s="12"/>
      <c r="K976" s="12"/>
      <c r="L976" s="12"/>
      <c r="M976" s="11"/>
      <c r="N976" s="11"/>
      <c r="O976" s="11"/>
      <c r="P976" s="11"/>
    </row>
    <row r="977" spans="7:16" hidden="1" x14ac:dyDescent="0.25">
      <c r="G977" s="16"/>
      <c r="H977" s="12"/>
      <c r="I977" s="12"/>
      <c r="J977" s="12"/>
      <c r="K977" s="12"/>
      <c r="L977" s="12"/>
      <c r="M977" s="11"/>
      <c r="N977" s="11"/>
      <c r="O977" s="11"/>
      <c r="P977" s="11"/>
    </row>
    <row r="978" spans="7:16" hidden="1" x14ac:dyDescent="0.25">
      <c r="G978" s="16"/>
      <c r="H978" s="12"/>
      <c r="I978" s="12"/>
      <c r="J978" s="12"/>
      <c r="K978" s="12"/>
      <c r="L978" s="12"/>
      <c r="M978" s="11"/>
      <c r="N978" s="11"/>
      <c r="O978" s="11"/>
      <c r="P978" s="11"/>
    </row>
    <row r="979" spans="7:16" hidden="1" x14ac:dyDescent="0.25">
      <c r="G979" s="16"/>
      <c r="H979" s="12"/>
      <c r="I979" s="12"/>
      <c r="J979" s="12"/>
      <c r="K979" s="12"/>
      <c r="L979" s="12"/>
      <c r="M979" s="11"/>
      <c r="N979" s="11"/>
      <c r="O979" s="11"/>
      <c r="P979" s="11"/>
    </row>
    <row r="980" spans="7:16" hidden="1" x14ac:dyDescent="0.25">
      <c r="G980" s="16"/>
      <c r="H980" s="12"/>
      <c r="I980" s="12"/>
      <c r="J980" s="12"/>
      <c r="K980" s="12"/>
      <c r="L980" s="12"/>
      <c r="M980" s="11"/>
      <c r="N980" s="11"/>
      <c r="O980" s="11"/>
      <c r="P980" s="11"/>
    </row>
    <row r="981" spans="7:16" hidden="1" x14ac:dyDescent="0.25">
      <c r="G981" s="16"/>
      <c r="H981" s="12"/>
      <c r="I981" s="12"/>
      <c r="J981" s="12"/>
      <c r="K981" s="12"/>
      <c r="L981" s="12"/>
      <c r="M981" s="11"/>
      <c r="N981" s="11"/>
      <c r="O981" s="11"/>
      <c r="P981" s="11"/>
    </row>
    <row r="982" spans="7:16" hidden="1" x14ac:dyDescent="0.25">
      <c r="G982" s="16"/>
      <c r="H982" s="12"/>
      <c r="I982" s="12"/>
      <c r="J982" s="12"/>
      <c r="K982" s="12"/>
      <c r="L982" s="12"/>
      <c r="M982" s="11"/>
      <c r="N982" s="11"/>
      <c r="O982" s="11"/>
      <c r="P982" s="11"/>
    </row>
    <row r="983" spans="7:16" hidden="1" x14ac:dyDescent="0.25">
      <c r="G983" s="16"/>
      <c r="H983" s="12"/>
      <c r="I983" s="12"/>
      <c r="J983" s="12"/>
      <c r="K983" s="12"/>
      <c r="L983" s="12"/>
      <c r="M983" s="11"/>
      <c r="N983" s="11"/>
      <c r="O983" s="11"/>
      <c r="P983" s="11"/>
    </row>
    <row r="984" spans="7:16" hidden="1" x14ac:dyDescent="0.25">
      <c r="G984" s="16"/>
      <c r="H984" s="12"/>
      <c r="I984" s="12"/>
      <c r="J984" s="12"/>
      <c r="K984" s="12"/>
      <c r="L984" s="12"/>
      <c r="M984" s="11"/>
      <c r="N984" s="11"/>
      <c r="O984" s="11"/>
      <c r="P984" s="11"/>
    </row>
    <row r="985" spans="7:16" hidden="1" x14ac:dyDescent="0.25">
      <c r="G985" s="16"/>
      <c r="H985" s="12"/>
      <c r="I985" s="12"/>
      <c r="J985" s="12"/>
      <c r="K985" s="12"/>
      <c r="L985" s="12"/>
      <c r="M985" s="11"/>
      <c r="N985" s="11"/>
      <c r="O985" s="11"/>
      <c r="P985" s="11"/>
    </row>
    <row r="986" spans="7:16" hidden="1" x14ac:dyDescent="0.25">
      <c r="G986" s="16"/>
      <c r="H986" s="12"/>
      <c r="I986" s="12"/>
      <c r="J986" s="12"/>
      <c r="K986" s="12"/>
      <c r="L986" s="12"/>
      <c r="M986" s="11"/>
      <c r="N986" s="11"/>
      <c r="O986" s="11"/>
      <c r="P986" s="11"/>
    </row>
    <row r="987" spans="7:16" hidden="1" x14ac:dyDescent="0.25">
      <c r="G987" s="16"/>
      <c r="H987" s="12"/>
      <c r="I987" s="12"/>
      <c r="J987" s="12"/>
      <c r="K987" s="12"/>
      <c r="L987" s="12"/>
      <c r="M987" s="11"/>
      <c r="N987" s="11"/>
      <c r="O987" s="11"/>
      <c r="P987" s="11"/>
    </row>
    <row r="988" spans="7:16" hidden="1" x14ac:dyDescent="0.25">
      <c r="G988" s="16"/>
      <c r="H988" s="12"/>
      <c r="I988" s="12"/>
      <c r="J988" s="12"/>
      <c r="K988" s="12"/>
      <c r="L988" s="12"/>
      <c r="M988" s="11"/>
      <c r="N988" s="11"/>
      <c r="O988" s="11"/>
      <c r="P988" s="11"/>
    </row>
    <row r="989" spans="7:16" hidden="1" x14ac:dyDescent="0.25">
      <c r="G989" s="16"/>
      <c r="H989" s="12"/>
      <c r="I989" s="12"/>
      <c r="J989" s="12"/>
      <c r="K989" s="12"/>
      <c r="L989" s="12"/>
      <c r="M989" s="11"/>
      <c r="N989" s="11"/>
      <c r="O989" s="11"/>
      <c r="P989" s="11"/>
    </row>
    <row r="990" spans="7:16" hidden="1" x14ac:dyDescent="0.25">
      <c r="G990" s="16"/>
      <c r="H990" s="12"/>
      <c r="I990" s="12"/>
      <c r="J990" s="12"/>
      <c r="K990" s="12"/>
      <c r="L990" s="12"/>
      <c r="M990" s="11"/>
      <c r="N990" s="11"/>
      <c r="O990" s="11"/>
      <c r="P990" s="11"/>
    </row>
    <row r="991" spans="7:16" hidden="1" x14ac:dyDescent="0.25">
      <c r="G991" s="16"/>
      <c r="H991" s="12"/>
      <c r="I991" s="12"/>
      <c r="J991" s="12"/>
      <c r="K991" s="12"/>
      <c r="L991" s="12"/>
      <c r="M991" s="11"/>
      <c r="N991" s="11"/>
      <c r="O991" s="11"/>
      <c r="P991" s="11"/>
    </row>
    <row r="992" spans="7:16" hidden="1" x14ac:dyDescent="0.25">
      <c r="G992" s="16"/>
      <c r="H992" s="12"/>
      <c r="I992" s="12"/>
      <c r="J992" s="12"/>
      <c r="K992" s="12"/>
      <c r="L992" s="12"/>
      <c r="M992" s="11"/>
      <c r="N992" s="11"/>
      <c r="O992" s="11"/>
      <c r="P992" s="11"/>
    </row>
    <row r="993" spans="7:16" hidden="1" x14ac:dyDescent="0.25">
      <c r="G993" s="16"/>
      <c r="H993" s="12"/>
      <c r="I993" s="12"/>
      <c r="J993" s="12"/>
      <c r="K993" s="12"/>
      <c r="L993" s="12"/>
      <c r="M993" s="11"/>
      <c r="N993" s="11"/>
      <c r="O993" s="11"/>
      <c r="P993" s="11"/>
    </row>
    <row r="994" spans="7:16" hidden="1" x14ac:dyDescent="0.25">
      <c r="G994" s="16"/>
      <c r="H994" s="12"/>
      <c r="I994" s="12"/>
      <c r="J994" s="12"/>
      <c r="K994" s="12"/>
      <c r="L994" s="12"/>
      <c r="M994" s="11"/>
      <c r="N994" s="11"/>
      <c r="O994" s="11"/>
      <c r="P994" s="11"/>
    </row>
    <row r="995" spans="7:16" hidden="1" x14ac:dyDescent="0.25">
      <c r="G995" s="16"/>
      <c r="H995" s="12"/>
      <c r="I995" s="12"/>
      <c r="J995" s="12"/>
      <c r="K995" s="12"/>
      <c r="L995" s="12"/>
      <c r="M995" s="11"/>
      <c r="N995" s="11"/>
      <c r="O995" s="11"/>
      <c r="P995" s="11"/>
    </row>
    <row r="996" spans="7:16" hidden="1" x14ac:dyDescent="0.25">
      <c r="G996" s="16"/>
      <c r="H996" s="12"/>
      <c r="I996" s="12"/>
      <c r="J996" s="12"/>
      <c r="K996" s="12"/>
      <c r="L996" s="12"/>
      <c r="M996" s="11"/>
      <c r="N996" s="11"/>
      <c r="O996" s="11"/>
      <c r="P996" s="11"/>
    </row>
    <row r="997" spans="7:16" hidden="1" x14ac:dyDescent="0.25">
      <c r="G997" s="16"/>
      <c r="H997" s="12"/>
      <c r="I997" s="12"/>
      <c r="J997" s="12"/>
      <c r="K997" s="12"/>
      <c r="L997" s="12"/>
      <c r="M997" s="11"/>
      <c r="N997" s="11"/>
      <c r="O997" s="11"/>
      <c r="P997" s="11"/>
    </row>
    <row r="998" spans="7:16" hidden="1" x14ac:dyDescent="0.25">
      <c r="G998" s="16"/>
      <c r="H998" s="12"/>
      <c r="I998" s="12"/>
      <c r="J998" s="12"/>
      <c r="K998" s="12"/>
      <c r="L998" s="12"/>
      <c r="M998" s="11"/>
      <c r="N998" s="11"/>
      <c r="O998" s="11"/>
      <c r="P998" s="11"/>
    </row>
    <row r="999" spans="7:16" hidden="1" x14ac:dyDescent="0.25">
      <c r="G999" s="16"/>
      <c r="H999" s="12"/>
      <c r="I999" s="12"/>
      <c r="J999" s="12"/>
      <c r="K999" s="12"/>
      <c r="L999" s="12"/>
      <c r="M999" s="11"/>
      <c r="N999" s="11"/>
      <c r="O999" s="11"/>
      <c r="P999" s="11"/>
    </row>
    <row r="1000" spans="7:16" hidden="1" x14ac:dyDescent="0.25">
      <c r="G1000" s="16"/>
      <c r="H1000" s="12"/>
      <c r="I1000" s="12"/>
      <c r="J1000" s="12"/>
      <c r="K1000" s="12"/>
      <c r="L1000" s="12"/>
      <c r="M1000" s="11"/>
      <c r="N1000" s="11"/>
      <c r="O1000" s="11"/>
      <c r="P1000" s="11"/>
    </row>
    <row r="1001" spans="7:16" hidden="1" x14ac:dyDescent="0.25">
      <c r="G1001" s="16"/>
      <c r="H1001" s="12"/>
      <c r="I1001" s="12"/>
      <c r="J1001" s="12"/>
      <c r="K1001" s="12"/>
      <c r="L1001" s="12"/>
      <c r="M1001" s="11"/>
      <c r="N1001" s="11"/>
      <c r="O1001" s="11"/>
      <c r="P1001" s="11"/>
    </row>
    <row r="1002" spans="7:16" hidden="1" x14ac:dyDescent="0.25">
      <c r="G1002" s="16"/>
      <c r="H1002" s="12"/>
      <c r="I1002" s="12"/>
      <c r="J1002" s="12"/>
      <c r="K1002" s="12"/>
      <c r="L1002" s="12"/>
      <c r="M1002" s="11"/>
      <c r="N1002" s="11"/>
      <c r="O1002" s="11"/>
      <c r="P1002" s="11"/>
    </row>
    <row r="1003" spans="7:16" hidden="1" x14ac:dyDescent="0.25">
      <c r="G1003" s="16"/>
      <c r="H1003" s="12"/>
      <c r="I1003" s="12"/>
      <c r="J1003" s="12"/>
      <c r="K1003" s="12"/>
      <c r="L1003" s="12"/>
      <c r="M1003" s="11"/>
      <c r="N1003" s="11"/>
      <c r="O1003" s="11"/>
      <c r="P1003" s="11"/>
    </row>
    <row r="1004" spans="7:16" hidden="1" x14ac:dyDescent="0.25">
      <c r="G1004" s="16"/>
      <c r="H1004" s="12"/>
      <c r="I1004" s="12"/>
      <c r="J1004" s="12"/>
      <c r="K1004" s="12"/>
      <c r="L1004" s="12"/>
      <c r="M1004" s="11"/>
      <c r="N1004" s="11"/>
      <c r="O1004" s="11"/>
      <c r="P1004" s="11"/>
    </row>
    <row r="1005" spans="7:16" hidden="1" x14ac:dyDescent="0.25">
      <c r="G1005" s="16"/>
      <c r="H1005" s="12"/>
      <c r="I1005" s="12"/>
      <c r="J1005" s="12"/>
      <c r="K1005" s="12"/>
      <c r="L1005" s="12"/>
      <c r="M1005" s="11"/>
      <c r="N1005" s="11"/>
      <c r="O1005" s="11"/>
      <c r="P1005" s="11"/>
    </row>
    <row r="1006" spans="7:16" hidden="1" x14ac:dyDescent="0.25">
      <c r="G1006" s="16"/>
      <c r="H1006" s="12"/>
      <c r="I1006" s="12"/>
      <c r="J1006" s="12"/>
      <c r="K1006" s="12"/>
      <c r="L1006" s="12"/>
      <c r="M1006" s="11"/>
      <c r="N1006" s="11"/>
      <c r="O1006" s="11"/>
      <c r="P1006" s="11"/>
    </row>
    <row r="1007" spans="7:16" hidden="1" x14ac:dyDescent="0.25">
      <c r="G1007" s="16"/>
      <c r="H1007" s="12"/>
      <c r="I1007" s="12"/>
      <c r="J1007" s="12"/>
      <c r="K1007" s="12"/>
      <c r="L1007" s="12"/>
      <c r="M1007" s="11"/>
      <c r="N1007" s="11"/>
      <c r="O1007" s="11"/>
      <c r="P1007" s="11"/>
    </row>
    <row r="1008" spans="7:16" hidden="1" x14ac:dyDescent="0.25">
      <c r="G1008" s="16"/>
      <c r="H1008" s="12"/>
      <c r="I1008" s="12"/>
      <c r="J1008" s="12"/>
      <c r="K1008" s="12"/>
      <c r="L1008" s="12"/>
      <c r="M1008" s="11"/>
      <c r="N1008" s="11"/>
      <c r="O1008" s="11"/>
      <c r="P1008" s="11"/>
    </row>
    <row r="1009" spans="7:16" hidden="1" x14ac:dyDescent="0.25">
      <c r="G1009" s="16"/>
      <c r="H1009" s="12"/>
      <c r="I1009" s="12"/>
      <c r="J1009" s="12"/>
      <c r="K1009" s="12"/>
      <c r="L1009" s="12"/>
      <c r="M1009" s="11"/>
      <c r="N1009" s="11"/>
      <c r="O1009" s="11"/>
      <c r="P1009" s="11"/>
    </row>
    <row r="1010" spans="7:16" hidden="1" x14ac:dyDescent="0.25">
      <c r="G1010" s="16"/>
      <c r="H1010" s="12"/>
      <c r="I1010" s="12"/>
      <c r="J1010" s="12"/>
      <c r="K1010" s="12"/>
      <c r="L1010" s="12"/>
      <c r="M1010" s="11"/>
      <c r="N1010" s="11"/>
      <c r="O1010" s="11"/>
      <c r="P1010" s="11"/>
    </row>
    <row r="1011" spans="7:16" hidden="1" x14ac:dyDescent="0.25">
      <c r="G1011" s="16"/>
      <c r="H1011" s="12"/>
      <c r="I1011" s="12"/>
      <c r="J1011" s="12"/>
      <c r="K1011" s="12"/>
      <c r="L1011" s="12"/>
      <c r="M1011" s="11"/>
      <c r="N1011" s="11"/>
      <c r="O1011" s="11"/>
      <c r="P1011" s="11"/>
    </row>
    <row r="1012" spans="7:16" hidden="1" x14ac:dyDescent="0.25">
      <c r="G1012" s="16"/>
      <c r="H1012" s="12"/>
      <c r="I1012" s="12"/>
      <c r="J1012" s="12"/>
      <c r="K1012" s="12"/>
      <c r="L1012" s="12"/>
      <c r="M1012" s="11"/>
      <c r="N1012" s="11"/>
      <c r="O1012" s="11"/>
      <c r="P1012" s="11"/>
    </row>
    <row r="1013" spans="7:16" hidden="1" x14ac:dyDescent="0.25">
      <c r="G1013" s="16"/>
      <c r="H1013" s="12"/>
      <c r="I1013" s="12"/>
      <c r="J1013" s="12"/>
      <c r="K1013" s="12"/>
      <c r="L1013" s="12"/>
      <c r="M1013" s="11"/>
      <c r="N1013" s="11"/>
      <c r="O1013" s="11"/>
      <c r="P1013" s="11"/>
    </row>
    <row r="1014" spans="7:16" hidden="1" x14ac:dyDescent="0.25">
      <c r="G1014" s="16"/>
      <c r="H1014" s="12"/>
      <c r="I1014" s="12"/>
      <c r="J1014" s="12"/>
      <c r="K1014" s="12"/>
      <c r="L1014" s="12"/>
      <c r="M1014" s="11"/>
      <c r="N1014" s="11"/>
      <c r="O1014" s="11"/>
      <c r="P1014" s="11"/>
    </row>
    <row r="1015" spans="7:16" hidden="1" x14ac:dyDescent="0.25">
      <c r="G1015" s="16"/>
      <c r="H1015" s="12"/>
      <c r="I1015" s="12"/>
      <c r="J1015" s="12"/>
      <c r="K1015" s="12"/>
      <c r="L1015" s="12"/>
      <c r="M1015" s="11"/>
      <c r="N1015" s="11"/>
      <c r="O1015" s="11"/>
      <c r="P1015" s="11"/>
    </row>
    <row r="1016" spans="7:16" hidden="1" x14ac:dyDescent="0.25">
      <c r="G1016" s="16"/>
      <c r="H1016" s="12"/>
      <c r="I1016" s="12"/>
      <c r="J1016" s="12"/>
      <c r="K1016" s="12"/>
      <c r="L1016" s="12"/>
      <c r="M1016" s="11"/>
      <c r="N1016" s="11"/>
      <c r="O1016" s="11"/>
      <c r="P1016" s="11"/>
    </row>
    <row r="1017" spans="7:16" hidden="1" x14ac:dyDescent="0.25">
      <c r="G1017" s="16"/>
      <c r="H1017" s="12"/>
      <c r="I1017" s="12"/>
      <c r="J1017" s="12"/>
      <c r="K1017" s="12"/>
      <c r="L1017" s="12"/>
      <c r="M1017" s="11"/>
      <c r="N1017" s="11"/>
      <c r="O1017" s="11"/>
      <c r="P1017" s="11"/>
    </row>
    <row r="1018" spans="7:16" hidden="1" x14ac:dyDescent="0.25">
      <c r="G1018" s="16"/>
      <c r="H1018" s="12"/>
      <c r="I1018" s="12"/>
      <c r="J1018" s="12"/>
      <c r="K1018" s="12"/>
      <c r="L1018" s="12"/>
      <c r="M1018" s="11"/>
      <c r="N1018" s="11"/>
      <c r="O1018" s="11"/>
      <c r="P1018" s="11"/>
    </row>
    <row r="1019" spans="7:16" hidden="1" x14ac:dyDescent="0.25">
      <c r="G1019" s="16"/>
      <c r="H1019" s="12"/>
      <c r="I1019" s="12"/>
      <c r="J1019" s="12"/>
      <c r="K1019" s="12"/>
      <c r="L1019" s="12"/>
      <c r="M1019" s="11"/>
      <c r="N1019" s="11"/>
      <c r="O1019" s="11"/>
      <c r="P1019" s="11"/>
    </row>
    <row r="1020" spans="7:16" hidden="1" x14ac:dyDescent="0.25">
      <c r="G1020" s="16"/>
      <c r="H1020" s="12"/>
      <c r="I1020" s="12"/>
      <c r="J1020" s="12"/>
      <c r="K1020" s="12"/>
      <c r="L1020" s="12"/>
      <c r="M1020" s="11"/>
      <c r="N1020" s="11"/>
      <c r="O1020" s="11"/>
      <c r="P1020" s="11"/>
    </row>
    <row r="1021" spans="7:16" hidden="1" x14ac:dyDescent="0.25">
      <c r="G1021" s="16"/>
      <c r="H1021" s="12"/>
      <c r="I1021" s="12"/>
      <c r="J1021" s="12"/>
      <c r="K1021" s="12"/>
      <c r="L1021" s="12"/>
      <c r="M1021" s="11"/>
      <c r="N1021" s="11"/>
      <c r="O1021" s="11"/>
      <c r="P1021" s="11"/>
    </row>
    <row r="1022" spans="7:16" hidden="1" x14ac:dyDescent="0.25">
      <c r="G1022" s="16"/>
      <c r="H1022" s="12"/>
      <c r="I1022" s="12"/>
      <c r="J1022" s="12"/>
      <c r="K1022" s="12"/>
      <c r="L1022" s="12"/>
      <c r="M1022" s="11"/>
      <c r="N1022" s="11"/>
      <c r="O1022" s="11"/>
      <c r="P1022" s="11"/>
    </row>
    <row r="1023" spans="7:16" hidden="1" x14ac:dyDescent="0.25">
      <c r="G1023" s="16"/>
      <c r="H1023" s="12"/>
      <c r="I1023" s="12"/>
      <c r="J1023" s="12"/>
      <c r="K1023" s="12"/>
      <c r="L1023" s="12"/>
      <c r="M1023" s="11"/>
      <c r="N1023" s="11"/>
      <c r="O1023" s="11"/>
      <c r="P1023" s="11"/>
    </row>
    <row r="1024" spans="7:16" hidden="1" x14ac:dyDescent="0.25">
      <c r="G1024" s="16"/>
      <c r="H1024" s="12"/>
      <c r="I1024" s="12"/>
      <c r="J1024" s="12"/>
      <c r="K1024" s="12"/>
      <c r="L1024" s="12"/>
      <c r="M1024" s="11"/>
      <c r="N1024" s="11"/>
      <c r="O1024" s="11"/>
      <c r="P1024" s="11"/>
    </row>
    <row r="1025" spans="7:16" hidden="1" x14ac:dyDescent="0.25">
      <c r="G1025" s="16"/>
      <c r="H1025" s="12"/>
      <c r="I1025" s="12"/>
      <c r="J1025" s="12"/>
      <c r="K1025" s="12"/>
      <c r="L1025" s="12"/>
      <c r="M1025" s="11"/>
      <c r="N1025" s="11"/>
      <c r="O1025" s="11"/>
      <c r="P1025" s="11"/>
    </row>
    <row r="1026" spans="7:16" hidden="1" x14ac:dyDescent="0.25">
      <c r="G1026" s="16"/>
      <c r="H1026" s="12"/>
      <c r="I1026" s="12"/>
      <c r="J1026" s="12"/>
      <c r="K1026" s="12"/>
      <c r="L1026" s="12"/>
      <c r="M1026" s="11"/>
      <c r="N1026" s="11"/>
      <c r="O1026" s="11"/>
      <c r="P1026" s="11"/>
    </row>
    <row r="1027" spans="7:16" hidden="1" x14ac:dyDescent="0.25">
      <c r="G1027" s="16"/>
      <c r="H1027" s="12"/>
      <c r="I1027" s="12"/>
      <c r="J1027" s="12"/>
      <c r="K1027" s="12"/>
      <c r="L1027" s="12"/>
      <c r="M1027" s="11"/>
      <c r="N1027" s="11"/>
      <c r="O1027" s="11"/>
      <c r="P1027" s="11"/>
    </row>
    <row r="1028" spans="7:16" hidden="1" x14ac:dyDescent="0.25">
      <c r="G1028" s="16"/>
      <c r="H1028" s="12"/>
      <c r="I1028" s="12"/>
      <c r="J1028" s="12"/>
      <c r="K1028" s="12"/>
      <c r="L1028" s="12"/>
      <c r="M1028" s="11"/>
      <c r="N1028" s="11"/>
      <c r="O1028" s="11"/>
      <c r="P1028" s="11"/>
    </row>
    <row r="1029" spans="7:16" hidden="1" x14ac:dyDescent="0.25">
      <c r="G1029" s="16"/>
      <c r="H1029" s="12"/>
      <c r="I1029" s="12"/>
      <c r="J1029" s="12"/>
      <c r="K1029" s="12"/>
      <c r="L1029" s="12"/>
      <c r="M1029" s="11"/>
      <c r="N1029" s="11"/>
      <c r="O1029" s="11"/>
      <c r="P1029" s="11"/>
    </row>
    <row r="1030" spans="7:16" hidden="1" x14ac:dyDescent="0.25">
      <c r="G1030" s="16"/>
      <c r="H1030" s="12"/>
      <c r="I1030" s="12"/>
      <c r="J1030" s="12"/>
      <c r="K1030" s="12"/>
      <c r="L1030" s="12"/>
      <c r="M1030" s="11"/>
      <c r="N1030" s="11"/>
      <c r="O1030" s="11"/>
      <c r="P1030" s="11"/>
    </row>
    <row r="1031" spans="7:16" hidden="1" x14ac:dyDescent="0.25">
      <c r="G1031" s="16"/>
      <c r="H1031" s="12"/>
      <c r="I1031" s="12"/>
      <c r="J1031" s="12"/>
      <c r="K1031" s="12"/>
      <c r="L1031" s="12"/>
      <c r="M1031" s="11"/>
      <c r="N1031" s="11"/>
      <c r="O1031" s="11"/>
      <c r="P1031" s="11"/>
    </row>
    <row r="1032" spans="7:16" hidden="1" x14ac:dyDescent="0.25">
      <c r="G1032" s="16"/>
      <c r="H1032" s="12"/>
      <c r="I1032" s="12"/>
      <c r="J1032" s="12"/>
      <c r="K1032" s="12"/>
      <c r="L1032" s="12"/>
      <c r="M1032" s="11"/>
      <c r="N1032" s="11"/>
      <c r="O1032" s="11"/>
      <c r="P1032" s="11"/>
    </row>
    <row r="1033" spans="7:16" hidden="1" x14ac:dyDescent="0.25">
      <c r="G1033" s="16"/>
      <c r="H1033" s="12"/>
      <c r="I1033" s="12"/>
      <c r="J1033" s="12"/>
      <c r="K1033" s="12"/>
      <c r="L1033" s="12"/>
      <c r="M1033" s="11"/>
      <c r="N1033" s="11"/>
      <c r="O1033" s="11"/>
      <c r="P1033" s="11"/>
    </row>
    <row r="1034" spans="7:16" hidden="1" x14ac:dyDescent="0.25">
      <c r="G1034" s="16"/>
      <c r="H1034" s="12"/>
      <c r="I1034" s="12"/>
      <c r="J1034" s="12"/>
      <c r="K1034" s="12"/>
      <c r="L1034" s="12"/>
      <c r="M1034" s="11"/>
      <c r="N1034" s="11"/>
      <c r="O1034" s="11"/>
      <c r="P1034" s="11"/>
    </row>
    <row r="1035" spans="7:16" hidden="1" x14ac:dyDescent="0.25">
      <c r="G1035" s="16"/>
      <c r="H1035" s="12"/>
      <c r="I1035" s="12"/>
      <c r="J1035" s="12"/>
      <c r="K1035" s="12"/>
      <c r="L1035" s="12"/>
      <c r="M1035" s="11"/>
      <c r="N1035" s="11"/>
      <c r="O1035" s="11"/>
      <c r="P1035" s="11"/>
    </row>
    <row r="1036" spans="7:16" hidden="1" x14ac:dyDescent="0.25">
      <c r="G1036" s="16"/>
      <c r="H1036" s="12"/>
      <c r="I1036" s="12"/>
      <c r="J1036" s="12"/>
      <c r="K1036" s="12"/>
      <c r="L1036" s="12"/>
      <c r="M1036" s="11"/>
      <c r="N1036" s="11"/>
      <c r="O1036" s="11"/>
      <c r="P1036" s="11"/>
    </row>
    <row r="1037" spans="7:16" hidden="1" x14ac:dyDescent="0.25">
      <c r="G1037" s="16"/>
      <c r="H1037" s="12"/>
      <c r="I1037" s="12"/>
      <c r="J1037" s="12"/>
      <c r="K1037" s="12"/>
      <c r="L1037" s="12"/>
      <c r="M1037" s="11"/>
      <c r="N1037" s="11"/>
      <c r="O1037" s="11"/>
      <c r="P1037" s="11"/>
    </row>
    <row r="1038" spans="7:16" hidden="1" x14ac:dyDescent="0.25">
      <c r="G1038" s="16"/>
      <c r="H1038" s="12"/>
      <c r="I1038" s="12"/>
      <c r="J1038" s="12"/>
      <c r="K1038" s="12"/>
      <c r="L1038" s="12"/>
      <c r="M1038" s="11"/>
      <c r="N1038" s="11"/>
      <c r="O1038" s="11"/>
      <c r="P1038" s="11"/>
    </row>
    <row r="1039" spans="7:16" hidden="1" x14ac:dyDescent="0.25">
      <c r="G1039" s="16"/>
      <c r="H1039" s="12"/>
      <c r="I1039" s="12"/>
      <c r="J1039" s="12"/>
      <c r="K1039" s="12"/>
      <c r="L1039" s="12"/>
      <c r="M1039" s="11"/>
      <c r="N1039" s="11"/>
      <c r="O1039" s="11"/>
      <c r="P1039" s="11"/>
    </row>
    <row r="1040" spans="7:16" hidden="1" x14ac:dyDescent="0.25">
      <c r="G1040" s="16"/>
      <c r="H1040" s="12"/>
      <c r="I1040" s="12"/>
      <c r="J1040" s="12"/>
      <c r="K1040" s="12"/>
      <c r="L1040" s="12"/>
      <c r="M1040" s="11"/>
      <c r="N1040" s="11"/>
      <c r="O1040" s="11"/>
      <c r="P1040" s="11"/>
    </row>
    <row r="1041" spans="7:16" hidden="1" x14ac:dyDescent="0.25">
      <c r="G1041" s="16"/>
      <c r="H1041" s="12"/>
      <c r="I1041" s="12"/>
      <c r="J1041" s="12"/>
      <c r="K1041" s="12"/>
      <c r="L1041" s="12"/>
      <c r="M1041" s="11"/>
      <c r="N1041" s="11"/>
      <c r="O1041" s="11"/>
      <c r="P1041" s="11"/>
    </row>
    <row r="1042" spans="7:16" hidden="1" x14ac:dyDescent="0.25">
      <c r="G1042" s="16"/>
      <c r="H1042" s="12"/>
      <c r="I1042" s="12"/>
      <c r="J1042" s="12"/>
      <c r="K1042" s="12"/>
      <c r="L1042" s="12"/>
      <c r="M1042" s="11"/>
      <c r="N1042" s="11"/>
      <c r="O1042" s="11"/>
      <c r="P1042" s="11"/>
    </row>
    <row r="1043" spans="7:16" hidden="1" x14ac:dyDescent="0.25">
      <c r="G1043" s="16"/>
      <c r="H1043" s="12"/>
      <c r="I1043" s="12"/>
      <c r="J1043" s="12"/>
      <c r="K1043" s="12"/>
      <c r="L1043" s="12"/>
      <c r="M1043" s="11"/>
      <c r="N1043" s="11"/>
      <c r="O1043" s="11"/>
      <c r="P1043" s="11"/>
    </row>
    <row r="1044" spans="7:16" hidden="1" x14ac:dyDescent="0.25">
      <c r="G1044" s="16"/>
      <c r="H1044" s="12"/>
      <c r="I1044" s="12"/>
      <c r="J1044" s="12"/>
      <c r="K1044" s="12"/>
      <c r="L1044" s="12"/>
      <c r="M1044" s="11"/>
      <c r="N1044" s="11"/>
      <c r="O1044" s="11"/>
      <c r="P1044" s="11"/>
    </row>
    <row r="1045" spans="7:16" hidden="1" x14ac:dyDescent="0.25">
      <c r="G1045" s="16"/>
      <c r="H1045" s="12"/>
      <c r="I1045" s="12"/>
      <c r="J1045" s="12"/>
      <c r="K1045" s="12"/>
      <c r="L1045" s="12"/>
      <c r="M1045" s="11"/>
      <c r="N1045" s="11"/>
      <c r="O1045" s="11"/>
      <c r="P1045" s="11"/>
    </row>
    <row r="1046" spans="7:16" hidden="1" x14ac:dyDescent="0.25">
      <c r="G1046" s="16"/>
      <c r="H1046" s="12"/>
      <c r="I1046" s="12"/>
      <c r="J1046" s="12"/>
      <c r="K1046" s="12"/>
      <c r="L1046" s="12"/>
      <c r="M1046" s="11"/>
      <c r="N1046" s="11"/>
      <c r="O1046" s="11"/>
      <c r="P1046" s="11"/>
    </row>
    <row r="1047" spans="7:16" hidden="1" x14ac:dyDescent="0.25">
      <c r="G1047" s="16"/>
      <c r="H1047" s="12"/>
      <c r="I1047" s="12"/>
      <c r="J1047" s="12"/>
      <c r="K1047" s="12"/>
      <c r="L1047" s="12"/>
      <c r="M1047" s="11"/>
      <c r="N1047" s="11"/>
      <c r="O1047" s="11"/>
      <c r="P1047" s="11"/>
    </row>
    <row r="1048" spans="7:16" hidden="1" x14ac:dyDescent="0.25">
      <c r="G1048" s="16"/>
      <c r="H1048" s="12"/>
      <c r="I1048" s="12"/>
      <c r="J1048" s="12"/>
      <c r="K1048" s="12"/>
      <c r="L1048" s="12"/>
      <c r="M1048" s="11"/>
      <c r="N1048" s="11"/>
      <c r="O1048" s="11"/>
      <c r="P1048" s="11"/>
    </row>
    <row r="1049" spans="7:16" hidden="1" x14ac:dyDescent="0.25">
      <c r="G1049" s="16"/>
      <c r="H1049" s="12"/>
      <c r="I1049" s="12"/>
      <c r="J1049" s="12"/>
      <c r="K1049" s="12"/>
      <c r="L1049" s="12"/>
      <c r="M1049" s="11"/>
      <c r="N1049" s="11"/>
      <c r="O1049" s="11"/>
      <c r="P1049" s="11"/>
    </row>
    <row r="1050" spans="7:16" hidden="1" x14ac:dyDescent="0.25">
      <c r="G1050" s="16"/>
      <c r="H1050" s="12"/>
      <c r="I1050" s="12"/>
      <c r="J1050" s="12"/>
      <c r="K1050" s="12"/>
      <c r="L1050" s="12"/>
      <c r="M1050" s="11"/>
      <c r="N1050" s="11"/>
      <c r="O1050" s="11"/>
      <c r="P1050" s="11"/>
    </row>
    <row r="1051" spans="7:16" hidden="1" x14ac:dyDescent="0.25">
      <c r="G1051" s="16"/>
      <c r="H1051" s="12"/>
      <c r="I1051" s="12"/>
      <c r="J1051" s="12"/>
      <c r="K1051" s="12"/>
      <c r="L1051" s="12"/>
      <c r="M1051" s="11"/>
      <c r="N1051" s="11"/>
      <c r="O1051" s="11"/>
      <c r="P1051" s="11"/>
    </row>
    <row r="1052" spans="7:16" hidden="1" x14ac:dyDescent="0.25">
      <c r="G1052" s="16"/>
      <c r="H1052" s="12"/>
      <c r="I1052" s="12"/>
      <c r="J1052" s="12"/>
      <c r="K1052" s="12"/>
      <c r="L1052" s="12"/>
      <c r="M1052" s="11"/>
      <c r="N1052" s="11"/>
      <c r="O1052" s="11"/>
      <c r="P1052" s="11"/>
    </row>
    <row r="1053" spans="7:16" hidden="1" x14ac:dyDescent="0.25">
      <c r="G1053" s="16"/>
      <c r="H1053" s="12"/>
      <c r="I1053" s="12"/>
      <c r="J1053" s="12"/>
      <c r="K1053" s="12"/>
      <c r="L1053" s="12"/>
      <c r="M1053" s="11"/>
      <c r="N1053" s="11"/>
      <c r="O1053" s="11"/>
      <c r="P1053" s="11"/>
    </row>
    <row r="1054" spans="7:16" hidden="1" x14ac:dyDescent="0.25">
      <c r="G1054" s="16"/>
      <c r="H1054" s="12"/>
      <c r="I1054" s="12"/>
      <c r="J1054" s="12"/>
      <c r="K1054" s="12"/>
      <c r="L1054" s="12"/>
      <c r="M1054" s="11"/>
      <c r="N1054" s="11"/>
      <c r="O1054" s="11"/>
      <c r="P1054" s="11"/>
    </row>
    <row r="1055" spans="7:16" hidden="1" x14ac:dyDescent="0.25">
      <c r="G1055" s="16"/>
      <c r="H1055" s="12"/>
      <c r="I1055" s="12"/>
      <c r="J1055" s="12"/>
      <c r="K1055" s="12"/>
      <c r="L1055" s="12"/>
      <c r="M1055" s="11"/>
      <c r="N1055" s="11"/>
      <c r="O1055" s="11"/>
      <c r="P1055" s="11"/>
    </row>
    <row r="1056" spans="7:16" hidden="1" x14ac:dyDescent="0.25">
      <c r="G1056" s="16"/>
      <c r="H1056" s="12"/>
      <c r="I1056" s="12"/>
      <c r="J1056" s="12"/>
      <c r="K1056" s="12"/>
      <c r="L1056" s="12"/>
      <c r="M1056" s="11"/>
      <c r="N1056" s="11"/>
      <c r="O1056" s="11"/>
      <c r="P1056" s="11"/>
    </row>
    <row r="1057" spans="7:16" hidden="1" x14ac:dyDescent="0.25">
      <c r="G1057" s="16"/>
      <c r="H1057" s="12"/>
      <c r="I1057" s="12"/>
      <c r="J1057" s="12"/>
      <c r="K1057" s="12"/>
      <c r="L1057" s="12"/>
      <c r="M1057" s="11"/>
      <c r="N1057" s="11"/>
      <c r="O1057" s="11"/>
      <c r="P1057" s="11"/>
    </row>
    <row r="1058" spans="7:16" hidden="1" x14ac:dyDescent="0.25">
      <c r="G1058" s="16"/>
      <c r="H1058" s="12"/>
      <c r="I1058" s="12"/>
      <c r="J1058" s="12"/>
      <c r="K1058" s="12"/>
      <c r="L1058" s="12"/>
      <c r="M1058" s="11"/>
      <c r="N1058" s="11"/>
      <c r="O1058" s="11"/>
      <c r="P1058" s="11"/>
    </row>
    <row r="1059" spans="7:16" hidden="1" x14ac:dyDescent="0.25">
      <c r="G1059" s="16"/>
      <c r="H1059" s="12"/>
      <c r="I1059" s="12"/>
      <c r="J1059" s="12"/>
      <c r="K1059" s="12"/>
      <c r="L1059" s="12"/>
      <c r="M1059" s="11"/>
      <c r="N1059" s="11"/>
      <c r="O1059" s="11"/>
      <c r="P1059" s="11"/>
    </row>
    <row r="1060" spans="7:16" hidden="1" x14ac:dyDescent="0.25">
      <c r="G1060" s="16"/>
      <c r="H1060" s="12"/>
      <c r="I1060" s="12"/>
      <c r="J1060" s="12"/>
      <c r="K1060" s="12"/>
      <c r="L1060" s="12"/>
      <c r="M1060" s="11"/>
      <c r="N1060" s="11"/>
      <c r="O1060" s="11"/>
      <c r="P1060" s="11"/>
    </row>
    <row r="1061" spans="7:16" hidden="1" x14ac:dyDescent="0.25">
      <c r="G1061" s="16"/>
      <c r="H1061" s="12"/>
      <c r="I1061" s="12"/>
      <c r="J1061" s="12"/>
      <c r="K1061" s="12"/>
      <c r="L1061" s="12"/>
      <c r="M1061" s="11"/>
      <c r="N1061" s="11"/>
      <c r="O1061" s="11"/>
      <c r="P1061" s="11"/>
    </row>
    <row r="1062" spans="7:16" hidden="1" x14ac:dyDescent="0.25">
      <c r="G1062" s="16"/>
      <c r="H1062" s="12"/>
      <c r="I1062" s="12"/>
      <c r="J1062" s="12"/>
      <c r="K1062" s="12"/>
      <c r="L1062" s="12"/>
      <c r="M1062" s="11"/>
      <c r="N1062" s="11"/>
      <c r="O1062" s="11"/>
      <c r="P1062" s="11"/>
    </row>
    <row r="1063" spans="7:16" hidden="1" x14ac:dyDescent="0.25">
      <c r="G1063" s="16"/>
      <c r="H1063" s="12"/>
      <c r="I1063" s="12"/>
      <c r="J1063" s="12"/>
      <c r="K1063" s="12"/>
      <c r="L1063" s="12"/>
      <c r="M1063" s="11"/>
      <c r="N1063" s="11"/>
      <c r="O1063" s="11"/>
      <c r="P1063" s="11"/>
    </row>
    <row r="1064" spans="7:16" hidden="1" x14ac:dyDescent="0.25">
      <c r="G1064" s="16"/>
      <c r="H1064" s="12"/>
      <c r="I1064" s="12"/>
      <c r="J1064" s="12"/>
      <c r="K1064" s="12"/>
      <c r="L1064" s="12"/>
      <c r="M1064" s="11"/>
      <c r="N1064" s="11"/>
      <c r="O1064" s="11"/>
      <c r="P1064" s="11"/>
    </row>
    <row r="1065" spans="7:16" hidden="1" x14ac:dyDescent="0.25">
      <c r="G1065" s="16"/>
      <c r="H1065" s="12"/>
      <c r="I1065" s="12"/>
      <c r="J1065" s="12"/>
      <c r="K1065" s="12"/>
      <c r="L1065" s="12"/>
      <c r="M1065" s="11"/>
      <c r="N1065" s="11"/>
      <c r="O1065" s="11"/>
      <c r="P1065" s="11"/>
    </row>
    <row r="1066" spans="7:16" hidden="1" x14ac:dyDescent="0.25">
      <c r="G1066" s="16"/>
      <c r="H1066" s="12"/>
      <c r="I1066" s="12"/>
      <c r="J1066" s="12"/>
      <c r="K1066" s="12"/>
      <c r="L1066" s="12"/>
      <c r="M1066" s="11"/>
      <c r="N1066" s="11"/>
      <c r="O1066" s="11"/>
      <c r="P1066" s="11"/>
    </row>
    <row r="1067" spans="7:16" hidden="1" x14ac:dyDescent="0.25">
      <c r="G1067" s="16"/>
      <c r="H1067" s="12"/>
      <c r="I1067" s="12"/>
      <c r="J1067" s="12"/>
      <c r="K1067" s="12"/>
      <c r="L1067" s="12"/>
      <c r="M1067" s="11"/>
      <c r="N1067" s="11"/>
      <c r="O1067" s="11"/>
      <c r="P1067" s="11"/>
    </row>
    <row r="1068" spans="7:16" hidden="1" x14ac:dyDescent="0.25">
      <c r="G1068" s="16"/>
      <c r="H1068" s="12"/>
      <c r="I1068" s="12"/>
      <c r="J1068" s="12"/>
      <c r="K1068" s="12"/>
      <c r="L1068" s="12"/>
      <c r="M1068" s="11"/>
      <c r="N1068" s="11"/>
      <c r="O1068" s="11"/>
      <c r="P1068" s="11"/>
    </row>
    <row r="1069" spans="7:16" hidden="1" x14ac:dyDescent="0.25">
      <c r="G1069" s="16"/>
      <c r="H1069" s="12"/>
      <c r="I1069" s="12"/>
      <c r="J1069" s="12"/>
      <c r="K1069" s="12"/>
      <c r="L1069" s="12"/>
      <c r="M1069" s="11"/>
      <c r="N1069" s="11"/>
      <c r="O1069" s="11"/>
      <c r="P1069" s="11"/>
    </row>
    <row r="1070" spans="7:16" hidden="1" x14ac:dyDescent="0.25">
      <c r="G1070" s="16"/>
      <c r="H1070" s="12"/>
      <c r="I1070" s="12"/>
      <c r="J1070" s="12"/>
      <c r="K1070" s="12"/>
      <c r="L1070" s="12"/>
      <c r="M1070" s="11"/>
      <c r="N1070" s="11"/>
      <c r="O1070" s="11"/>
      <c r="P1070" s="11"/>
    </row>
    <row r="1071" spans="7:16" hidden="1" x14ac:dyDescent="0.25">
      <c r="G1071" s="16"/>
      <c r="H1071" s="12"/>
      <c r="I1071" s="12"/>
      <c r="J1071" s="12"/>
      <c r="K1071" s="12"/>
      <c r="L1071" s="12"/>
      <c r="M1071" s="11"/>
      <c r="N1071" s="11"/>
      <c r="O1071" s="11"/>
      <c r="P1071" s="11"/>
    </row>
    <row r="1072" spans="7:16" hidden="1" x14ac:dyDescent="0.25">
      <c r="G1072" s="16"/>
      <c r="H1072" s="12"/>
      <c r="I1072" s="12"/>
      <c r="J1072" s="12"/>
      <c r="K1072" s="12"/>
      <c r="L1072" s="12"/>
      <c r="M1072" s="11"/>
      <c r="N1072" s="11"/>
      <c r="O1072" s="11"/>
      <c r="P1072" s="11"/>
    </row>
    <row r="1073" spans="7:16" hidden="1" x14ac:dyDescent="0.25">
      <c r="G1073" s="16"/>
      <c r="H1073" s="12"/>
      <c r="I1073" s="12"/>
      <c r="J1073" s="12"/>
      <c r="K1073" s="12"/>
      <c r="L1073" s="12"/>
      <c r="M1073" s="11"/>
      <c r="N1073" s="11"/>
      <c r="O1073" s="11"/>
      <c r="P1073" s="11"/>
    </row>
    <row r="1074" spans="7:16" hidden="1" x14ac:dyDescent="0.25">
      <c r="G1074" s="16"/>
      <c r="H1074" s="12"/>
      <c r="I1074" s="12"/>
      <c r="J1074" s="12"/>
      <c r="K1074" s="12"/>
      <c r="L1074" s="12"/>
      <c r="M1074" s="11"/>
      <c r="N1074" s="11"/>
      <c r="O1074" s="11"/>
      <c r="P1074" s="11"/>
    </row>
    <row r="1075" spans="7:16" hidden="1" x14ac:dyDescent="0.25">
      <c r="G1075" s="16"/>
      <c r="H1075" s="12"/>
      <c r="I1075" s="12"/>
      <c r="J1075" s="12"/>
      <c r="K1075" s="12"/>
      <c r="L1075" s="12"/>
      <c r="M1075" s="11"/>
      <c r="N1075" s="11"/>
      <c r="O1075" s="11"/>
      <c r="P1075" s="11"/>
    </row>
    <row r="1076" spans="7:16" hidden="1" x14ac:dyDescent="0.25">
      <c r="G1076" s="16"/>
      <c r="H1076" s="12"/>
      <c r="I1076" s="12"/>
      <c r="J1076" s="12"/>
      <c r="K1076" s="12"/>
      <c r="L1076" s="12"/>
      <c r="M1076" s="11"/>
      <c r="N1076" s="11"/>
      <c r="O1076" s="11"/>
      <c r="P1076" s="11"/>
    </row>
    <row r="1077" spans="7:16" hidden="1" x14ac:dyDescent="0.25">
      <c r="G1077" s="16"/>
      <c r="H1077" s="12"/>
      <c r="I1077" s="12"/>
      <c r="J1077" s="12"/>
      <c r="K1077" s="12"/>
      <c r="L1077" s="12"/>
      <c r="M1077" s="11"/>
      <c r="N1077" s="11"/>
      <c r="O1077" s="11"/>
      <c r="P1077" s="11"/>
    </row>
    <row r="1078" spans="7:16" hidden="1" x14ac:dyDescent="0.25">
      <c r="G1078" s="16"/>
      <c r="H1078" s="12"/>
      <c r="I1078" s="12"/>
      <c r="J1078" s="12"/>
      <c r="K1078" s="12"/>
      <c r="L1078" s="12"/>
      <c r="M1078" s="11"/>
      <c r="N1078" s="11"/>
      <c r="O1078" s="11"/>
      <c r="P1078" s="11"/>
    </row>
    <row r="1079" spans="7:16" hidden="1" x14ac:dyDescent="0.25">
      <c r="G1079" s="16"/>
      <c r="H1079" s="12"/>
      <c r="I1079" s="12"/>
      <c r="J1079" s="12"/>
      <c r="K1079" s="12"/>
      <c r="L1079" s="12"/>
      <c r="M1079" s="11"/>
      <c r="N1079" s="11"/>
      <c r="O1079" s="11"/>
      <c r="P1079" s="11"/>
    </row>
    <row r="1080" spans="7:16" hidden="1" x14ac:dyDescent="0.25">
      <c r="G1080" s="16"/>
      <c r="H1080" s="12"/>
      <c r="I1080" s="12"/>
      <c r="J1080" s="12"/>
      <c r="K1080" s="12"/>
      <c r="L1080" s="12"/>
      <c r="M1080" s="11"/>
      <c r="N1080" s="11"/>
      <c r="O1080" s="11"/>
      <c r="P1080" s="11"/>
    </row>
    <row r="1081" spans="7:16" hidden="1" x14ac:dyDescent="0.25">
      <c r="G1081" s="16"/>
      <c r="H1081" s="12"/>
      <c r="I1081" s="12"/>
      <c r="J1081" s="12"/>
      <c r="K1081" s="12"/>
      <c r="L1081" s="12"/>
      <c r="M1081" s="11"/>
      <c r="N1081" s="11"/>
      <c r="O1081" s="11"/>
      <c r="P1081" s="11"/>
    </row>
    <row r="1082" spans="7:16" hidden="1" x14ac:dyDescent="0.25">
      <c r="G1082" s="16"/>
      <c r="H1082" s="12"/>
      <c r="I1082" s="12"/>
      <c r="J1082" s="12"/>
      <c r="K1082" s="12"/>
      <c r="L1082" s="12"/>
      <c r="M1082" s="11"/>
      <c r="N1082" s="11"/>
      <c r="O1082" s="11"/>
      <c r="P1082" s="11"/>
    </row>
    <row r="1083" spans="7:16" hidden="1" x14ac:dyDescent="0.25">
      <c r="G1083" s="16"/>
      <c r="H1083" s="12"/>
      <c r="I1083" s="12"/>
      <c r="J1083" s="12"/>
      <c r="K1083" s="12"/>
      <c r="L1083" s="12"/>
      <c r="M1083" s="11"/>
      <c r="N1083" s="11"/>
      <c r="O1083" s="11"/>
      <c r="P1083" s="11"/>
    </row>
    <row r="1084" spans="7:16" hidden="1" x14ac:dyDescent="0.25">
      <c r="G1084" s="16"/>
      <c r="H1084" s="12"/>
      <c r="I1084" s="12"/>
      <c r="J1084" s="12"/>
      <c r="K1084" s="12"/>
      <c r="L1084" s="12"/>
      <c r="M1084" s="11"/>
      <c r="N1084" s="11"/>
      <c r="O1084" s="11"/>
      <c r="P1084" s="11"/>
    </row>
    <row r="1085" spans="7:16" hidden="1" x14ac:dyDescent="0.25">
      <c r="G1085" s="16"/>
      <c r="H1085" s="12"/>
      <c r="I1085" s="12"/>
      <c r="J1085" s="12"/>
      <c r="K1085" s="12"/>
      <c r="L1085" s="12"/>
      <c r="M1085" s="11"/>
      <c r="N1085" s="11"/>
      <c r="O1085" s="11"/>
      <c r="P1085" s="11"/>
    </row>
    <row r="1086" spans="7:16" hidden="1" x14ac:dyDescent="0.25">
      <c r="G1086" s="16"/>
      <c r="H1086" s="12"/>
      <c r="I1086" s="12"/>
      <c r="J1086" s="12"/>
      <c r="K1086" s="12"/>
      <c r="L1086" s="12"/>
      <c r="M1086" s="11"/>
      <c r="N1086" s="11"/>
      <c r="O1086" s="11"/>
      <c r="P1086" s="11"/>
    </row>
    <row r="1087" spans="7:16" hidden="1" x14ac:dyDescent="0.25">
      <c r="G1087" s="16"/>
      <c r="H1087" s="12"/>
      <c r="I1087" s="12"/>
      <c r="J1087" s="12"/>
      <c r="K1087" s="12"/>
      <c r="L1087" s="12"/>
      <c r="M1087" s="11"/>
      <c r="N1087" s="11"/>
      <c r="O1087" s="11"/>
      <c r="P1087" s="11"/>
    </row>
    <row r="1088" spans="7:16" hidden="1" x14ac:dyDescent="0.25">
      <c r="G1088" s="16"/>
      <c r="H1088" s="12"/>
      <c r="I1088" s="12"/>
      <c r="J1088" s="12"/>
      <c r="K1088" s="12"/>
      <c r="L1088" s="12"/>
      <c r="M1088" s="11"/>
      <c r="N1088" s="11"/>
      <c r="O1088" s="11"/>
      <c r="P1088" s="11"/>
    </row>
    <row r="1089" spans="7:16" hidden="1" x14ac:dyDescent="0.25">
      <c r="G1089" s="16"/>
      <c r="H1089" s="12"/>
      <c r="I1089" s="12"/>
      <c r="J1089" s="12"/>
      <c r="K1089" s="12"/>
      <c r="L1089" s="12"/>
      <c r="M1089" s="11"/>
      <c r="N1089" s="11"/>
      <c r="O1089" s="11"/>
      <c r="P1089" s="11"/>
    </row>
    <row r="1090" spans="7:16" hidden="1" x14ac:dyDescent="0.25">
      <c r="G1090" s="16"/>
      <c r="H1090" s="12"/>
      <c r="I1090" s="12"/>
      <c r="J1090" s="12"/>
      <c r="K1090" s="12"/>
      <c r="L1090" s="12"/>
      <c r="M1090" s="11"/>
      <c r="N1090" s="11"/>
      <c r="O1090" s="11"/>
      <c r="P1090" s="11"/>
    </row>
    <row r="1091" spans="7:16" hidden="1" x14ac:dyDescent="0.25">
      <c r="G1091" s="16"/>
      <c r="H1091" s="12"/>
      <c r="I1091" s="12"/>
      <c r="J1091" s="12"/>
      <c r="K1091" s="12"/>
      <c r="L1091" s="12"/>
      <c r="M1091" s="11"/>
      <c r="N1091" s="11"/>
      <c r="O1091" s="11"/>
      <c r="P1091" s="11"/>
    </row>
    <row r="1092" spans="7:16" hidden="1" x14ac:dyDescent="0.25">
      <c r="G1092" s="16"/>
      <c r="H1092" s="12"/>
      <c r="I1092" s="12"/>
      <c r="J1092" s="12"/>
      <c r="K1092" s="12"/>
      <c r="L1092" s="12"/>
      <c r="M1092" s="11"/>
      <c r="N1092" s="11"/>
      <c r="O1092" s="11"/>
      <c r="P1092" s="11"/>
    </row>
    <row r="1093" spans="7:16" hidden="1" x14ac:dyDescent="0.25">
      <c r="G1093" s="16"/>
      <c r="H1093" s="12"/>
      <c r="I1093" s="12"/>
      <c r="J1093" s="12"/>
      <c r="K1093" s="12"/>
      <c r="L1093" s="12"/>
      <c r="M1093" s="11"/>
      <c r="N1093" s="11"/>
      <c r="O1093" s="11"/>
      <c r="P1093" s="11"/>
    </row>
    <row r="1094" spans="7:16" hidden="1" x14ac:dyDescent="0.25">
      <c r="G1094" s="16"/>
      <c r="H1094" s="12"/>
      <c r="I1094" s="12"/>
      <c r="J1094" s="12"/>
      <c r="K1094" s="12"/>
      <c r="L1094" s="12"/>
      <c r="M1094" s="11"/>
      <c r="N1094" s="11"/>
      <c r="O1094" s="11"/>
      <c r="P1094" s="11"/>
    </row>
    <row r="1095" spans="7:16" hidden="1" x14ac:dyDescent="0.25">
      <c r="G1095" s="16"/>
      <c r="H1095" s="12"/>
      <c r="I1095" s="12"/>
      <c r="J1095" s="12"/>
      <c r="K1095" s="12"/>
      <c r="L1095" s="12"/>
      <c r="M1095" s="11"/>
      <c r="N1095" s="11"/>
      <c r="O1095" s="11"/>
      <c r="P1095" s="11"/>
    </row>
    <row r="1096" spans="7:16" hidden="1" x14ac:dyDescent="0.25">
      <c r="G1096" s="16"/>
      <c r="H1096" s="12"/>
      <c r="I1096" s="12"/>
      <c r="J1096" s="12"/>
      <c r="K1096" s="12"/>
      <c r="L1096" s="12"/>
      <c r="M1096" s="11"/>
      <c r="N1096" s="11"/>
      <c r="O1096" s="11"/>
      <c r="P1096" s="11"/>
    </row>
    <row r="1097" spans="7:16" hidden="1" x14ac:dyDescent="0.25">
      <c r="G1097" s="16"/>
      <c r="H1097" s="12"/>
      <c r="I1097" s="12"/>
      <c r="J1097" s="12"/>
      <c r="K1097" s="12"/>
      <c r="L1097" s="12"/>
      <c r="M1097" s="11"/>
      <c r="N1097" s="11"/>
      <c r="O1097" s="11"/>
      <c r="P1097" s="11"/>
    </row>
    <row r="1098" spans="7:16" hidden="1" x14ac:dyDescent="0.25">
      <c r="G1098" s="16"/>
      <c r="H1098" s="12"/>
      <c r="I1098" s="12"/>
      <c r="J1098" s="12"/>
      <c r="K1098" s="12"/>
      <c r="L1098" s="12"/>
      <c r="M1098" s="11"/>
      <c r="N1098" s="11"/>
      <c r="O1098" s="11"/>
      <c r="P1098" s="11"/>
    </row>
    <row r="1099" spans="7:16" hidden="1" x14ac:dyDescent="0.25">
      <c r="G1099" s="16"/>
      <c r="H1099" s="12"/>
      <c r="I1099" s="12"/>
      <c r="J1099" s="12"/>
      <c r="K1099" s="12"/>
      <c r="L1099" s="12"/>
      <c r="M1099" s="11"/>
      <c r="N1099" s="11"/>
      <c r="O1099" s="11"/>
      <c r="P1099" s="11"/>
    </row>
    <row r="1100" spans="7:16" hidden="1" x14ac:dyDescent="0.25">
      <c r="G1100" s="16"/>
      <c r="H1100" s="12"/>
      <c r="I1100" s="12"/>
      <c r="J1100" s="12"/>
      <c r="K1100" s="12"/>
      <c r="L1100" s="12"/>
      <c r="M1100" s="11"/>
      <c r="N1100" s="11"/>
      <c r="O1100" s="11"/>
      <c r="P1100" s="11"/>
    </row>
    <row r="1101" spans="7:16" hidden="1" x14ac:dyDescent="0.25">
      <c r="G1101" s="16"/>
      <c r="H1101" s="12"/>
      <c r="I1101" s="12"/>
      <c r="J1101" s="12"/>
      <c r="K1101" s="12"/>
      <c r="L1101" s="12"/>
      <c r="M1101" s="11"/>
      <c r="N1101" s="11"/>
      <c r="O1101" s="11"/>
      <c r="P1101" s="11"/>
    </row>
    <row r="1102" spans="7:16" hidden="1" x14ac:dyDescent="0.25">
      <c r="G1102" s="16"/>
      <c r="H1102" s="12"/>
      <c r="I1102" s="12"/>
      <c r="J1102" s="12"/>
      <c r="K1102" s="12"/>
      <c r="L1102" s="12"/>
      <c r="M1102" s="11"/>
      <c r="N1102" s="11"/>
      <c r="O1102" s="11"/>
      <c r="P1102" s="11"/>
    </row>
    <row r="1103" spans="7:16" hidden="1" x14ac:dyDescent="0.25">
      <c r="G1103" s="16"/>
      <c r="H1103" s="12"/>
      <c r="I1103" s="12"/>
      <c r="J1103" s="12"/>
      <c r="K1103" s="12"/>
      <c r="L1103" s="12"/>
      <c r="M1103" s="11"/>
      <c r="N1103" s="11"/>
      <c r="O1103" s="11"/>
      <c r="P1103" s="11"/>
    </row>
    <row r="1104" spans="7:16" hidden="1" x14ac:dyDescent="0.25">
      <c r="G1104" s="16"/>
      <c r="H1104" s="12"/>
      <c r="I1104" s="12"/>
      <c r="J1104" s="12"/>
      <c r="K1104" s="12"/>
      <c r="L1104" s="12"/>
      <c r="M1104" s="11"/>
      <c r="N1104" s="11"/>
      <c r="O1104" s="11"/>
      <c r="P1104" s="11"/>
    </row>
    <row r="1105" spans="7:16" hidden="1" x14ac:dyDescent="0.25">
      <c r="G1105" s="16"/>
      <c r="H1105" s="12"/>
      <c r="I1105" s="12"/>
      <c r="J1105" s="12"/>
      <c r="K1105" s="12"/>
      <c r="L1105" s="12"/>
      <c r="M1105" s="11"/>
      <c r="N1105" s="11"/>
      <c r="O1105" s="11"/>
      <c r="P1105" s="11"/>
    </row>
    <row r="1106" spans="7:16" hidden="1" x14ac:dyDescent="0.25">
      <c r="G1106" s="16"/>
      <c r="H1106" s="12"/>
      <c r="I1106" s="12"/>
      <c r="J1106" s="12"/>
      <c r="K1106" s="12"/>
      <c r="L1106" s="12"/>
      <c r="M1106" s="11"/>
      <c r="N1106" s="11"/>
      <c r="O1106" s="11"/>
      <c r="P1106" s="11"/>
    </row>
    <row r="1107" spans="7:16" hidden="1" x14ac:dyDescent="0.25">
      <c r="G1107" s="16"/>
      <c r="H1107" s="12"/>
      <c r="I1107" s="12"/>
      <c r="J1107" s="12"/>
      <c r="K1107" s="12"/>
      <c r="L1107" s="12"/>
      <c r="M1107" s="11"/>
      <c r="N1107" s="11"/>
      <c r="O1107" s="11"/>
      <c r="P1107" s="11"/>
    </row>
    <row r="1108" spans="7:16" hidden="1" x14ac:dyDescent="0.25">
      <c r="G1108" s="16"/>
      <c r="H1108" s="12"/>
      <c r="I1108" s="12"/>
      <c r="J1108" s="12"/>
      <c r="K1108" s="12"/>
      <c r="L1108" s="12"/>
      <c r="M1108" s="11"/>
      <c r="N1108" s="11"/>
      <c r="O1108" s="11"/>
      <c r="P1108" s="11"/>
    </row>
    <row r="1109" spans="7:16" hidden="1" x14ac:dyDescent="0.25">
      <c r="G1109" s="16"/>
      <c r="H1109" s="12"/>
      <c r="I1109" s="12"/>
      <c r="J1109" s="12"/>
      <c r="K1109" s="12"/>
      <c r="L1109" s="12"/>
      <c r="M1109" s="11"/>
      <c r="N1109" s="11"/>
      <c r="O1109" s="11"/>
      <c r="P1109" s="11"/>
    </row>
    <row r="1110" spans="7:16" hidden="1" x14ac:dyDescent="0.25">
      <c r="G1110" s="16"/>
      <c r="H1110" s="12"/>
      <c r="I1110" s="12"/>
      <c r="J1110" s="12"/>
      <c r="K1110" s="12"/>
      <c r="L1110" s="12"/>
      <c r="M1110" s="11"/>
      <c r="N1110" s="11"/>
      <c r="O1110" s="11"/>
      <c r="P1110" s="11"/>
    </row>
    <row r="1111" spans="7:16" hidden="1" x14ac:dyDescent="0.25">
      <c r="G1111" s="16"/>
      <c r="H1111" s="12"/>
      <c r="I1111" s="12"/>
      <c r="J1111" s="12"/>
      <c r="K1111" s="12"/>
      <c r="L1111" s="12"/>
      <c r="M1111" s="11"/>
      <c r="N1111" s="11"/>
      <c r="O1111" s="11"/>
      <c r="P1111" s="11"/>
    </row>
    <row r="1112" spans="7:16" hidden="1" x14ac:dyDescent="0.25">
      <c r="G1112" s="16"/>
      <c r="H1112" s="12"/>
      <c r="I1112" s="12"/>
      <c r="J1112" s="12"/>
      <c r="K1112" s="12"/>
      <c r="L1112" s="12"/>
      <c r="M1112" s="11"/>
      <c r="N1112" s="11"/>
      <c r="O1112" s="11"/>
      <c r="P1112" s="11"/>
    </row>
    <row r="1113" spans="7:16" hidden="1" x14ac:dyDescent="0.25">
      <c r="G1113" s="16"/>
      <c r="H1113" s="12"/>
      <c r="I1113" s="12"/>
      <c r="J1113" s="12"/>
      <c r="K1113" s="12"/>
      <c r="L1113" s="12"/>
      <c r="M1113" s="11"/>
      <c r="N1113" s="11"/>
      <c r="O1113" s="11"/>
      <c r="P1113" s="11"/>
    </row>
    <row r="1114" spans="7:16" hidden="1" x14ac:dyDescent="0.25">
      <c r="G1114" s="16"/>
      <c r="H1114" s="12"/>
      <c r="I1114" s="12"/>
      <c r="J1114" s="12"/>
      <c r="K1114" s="12"/>
      <c r="L1114" s="12"/>
      <c r="M1114" s="11"/>
      <c r="N1114" s="11"/>
      <c r="O1114" s="11"/>
      <c r="P1114" s="11"/>
    </row>
    <row r="1115" spans="7:16" hidden="1" x14ac:dyDescent="0.25">
      <c r="G1115" s="16"/>
      <c r="H1115" s="12"/>
      <c r="I1115" s="12"/>
      <c r="J1115" s="12"/>
      <c r="K1115" s="12"/>
      <c r="L1115" s="12"/>
      <c r="M1115" s="11"/>
      <c r="N1115" s="11"/>
      <c r="O1115" s="11"/>
      <c r="P1115" s="11"/>
    </row>
    <row r="1116" spans="7:16" hidden="1" x14ac:dyDescent="0.25">
      <c r="G1116" s="16"/>
      <c r="H1116" s="12"/>
      <c r="I1116" s="12"/>
      <c r="J1116" s="12"/>
      <c r="K1116" s="12"/>
      <c r="L1116" s="12"/>
      <c r="M1116" s="11"/>
      <c r="N1116" s="11"/>
      <c r="O1116" s="11"/>
      <c r="P1116" s="11"/>
    </row>
    <row r="1117" spans="7:16" hidden="1" x14ac:dyDescent="0.25">
      <c r="G1117" s="16"/>
      <c r="H1117" s="12"/>
      <c r="I1117" s="12"/>
      <c r="J1117" s="12"/>
      <c r="K1117" s="12"/>
      <c r="L1117" s="12"/>
      <c r="M1117" s="11"/>
      <c r="N1117" s="11"/>
      <c r="O1117" s="11"/>
      <c r="P1117" s="11"/>
    </row>
    <row r="1118" spans="7:16" hidden="1" x14ac:dyDescent="0.25">
      <c r="G1118" s="16"/>
      <c r="H1118" s="12"/>
      <c r="I1118" s="12"/>
      <c r="J1118" s="12"/>
      <c r="K1118" s="12"/>
      <c r="L1118" s="12"/>
      <c r="M1118" s="11"/>
      <c r="N1118" s="11"/>
      <c r="O1118" s="11"/>
      <c r="P1118" s="11"/>
    </row>
    <row r="1119" spans="7:16" hidden="1" x14ac:dyDescent="0.25">
      <c r="G1119" s="16"/>
      <c r="H1119" s="12"/>
      <c r="I1119" s="12"/>
      <c r="J1119" s="12"/>
      <c r="K1119" s="12"/>
      <c r="L1119" s="12"/>
      <c r="M1119" s="11"/>
      <c r="N1119" s="11"/>
      <c r="O1119" s="11"/>
      <c r="P1119" s="11"/>
    </row>
    <row r="1120" spans="7:16" hidden="1" x14ac:dyDescent="0.25">
      <c r="G1120" s="16"/>
      <c r="H1120" s="12"/>
      <c r="I1120" s="12"/>
      <c r="J1120" s="12"/>
      <c r="K1120" s="12"/>
      <c r="L1120" s="12"/>
      <c r="M1120" s="11"/>
      <c r="N1120" s="11"/>
      <c r="O1120" s="11"/>
      <c r="P1120" s="11"/>
    </row>
    <row r="1121" spans="7:16" hidden="1" x14ac:dyDescent="0.25">
      <c r="G1121" s="16"/>
      <c r="H1121" s="12"/>
      <c r="I1121" s="12"/>
      <c r="J1121" s="12"/>
      <c r="K1121" s="12"/>
      <c r="L1121" s="12"/>
      <c r="M1121" s="11"/>
      <c r="N1121" s="11"/>
      <c r="O1121" s="11"/>
      <c r="P1121" s="11"/>
    </row>
    <row r="1122" spans="7:16" hidden="1" x14ac:dyDescent="0.25">
      <c r="G1122" s="16"/>
      <c r="H1122" s="12"/>
      <c r="I1122" s="12"/>
      <c r="J1122" s="12"/>
      <c r="K1122" s="12"/>
      <c r="L1122" s="12"/>
      <c r="M1122" s="11"/>
      <c r="N1122" s="11"/>
      <c r="O1122" s="11"/>
      <c r="P1122" s="11"/>
    </row>
    <row r="1123" spans="7:16" hidden="1" x14ac:dyDescent="0.25">
      <c r="G1123" s="16"/>
      <c r="H1123" s="12"/>
      <c r="I1123" s="12"/>
      <c r="J1123" s="12"/>
      <c r="K1123" s="12"/>
      <c r="L1123" s="12"/>
      <c r="M1123" s="11"/>
      <c r="N1123" s="11"/>
      <c r="O1123" s="11"/>
      <c r="P1123" s="11"/>
    </row>
    <row r="1124" spans="7:16" hidden="1" x14ac:dyDescent="0.25">
      <c r="G1124" s="16"/>
      <c r="H1124" s="12"/>
      <c r="I1124" s="12"/>
      <c r="J1124" s="12"/>
      <c r="K1124" s="12"/>
      <c r="L1124" s="12"/>
      <c r="M1124" s="11"/>
      <c r="N1124" s="11"/>
      <c r="O1124" s="11"/>
      <c r="P1124" s="11"/>
    </row>
    <row r="1125" spans="7:16" hidden="1" x14ac:dyDescent="0.25">
      <c r="G1125" s="16"/>
      <c r="H1125" s="12"/>
      <c r="I1125" s="12"/>
      <c r="J1125" s="12"/>
      <c r="K1125" s="12"/>
      <c r="L1125" s="12"/>
      <c r="M1125" s="11"/>
      <c r="N1125" s="11"/>
      <c r="O1125" s="11"/>
      <c r="P1125" s="11"/>
    </row>
    <row r="1126" spans="7:16" hidden="1" x14ac:dyDescent="0.25">
      <c r="G1126" s="16"/>
      <c r="H1126" s="12"/>
      <c r="I1126" s="12"/>
      <c r="J1126" s="12"/>
      <c r="K1126" s="12"/>
      <c r="L1126" s="12"/>
      <c r="M1126" s="11"/>
      <c r="N1126" s="11"/>
      <c r="O1126" s="11"/>
      <c r="P1126" s="11"/>
    </row>
    <row r="1127" spans="7:16" hidden="1" x14ac:dyDescent="0.25">
      <c r="G1127" s="16"/>
      <c r="H1127" s="12"/>
      <c r="I1127" s="12"/>
      <c r="J1127" s="12"/>
      <c r="K1127" s="12"/>
      <c r="L1127" s="12"/>
      <c r="M1127" s="11"/>
      <c r="N1127" s="11"/>
      <c r="O1127" s="11"/>
      <c r="P1127" s="11"/>
    </row>
    <row r="1128" spans="7:16" hidden="1" x14ac:dyDescent="0.25">
      <c r="G1128" s="16"/>
      <c r="H1128" s="12"/>
      <c r="I1128" s="12"/>
      <c r="J1128" s="12"/>
      <c r="K1128" s="12"/>
      <c r="L1128" s="12"/>
      <c r="M1128" s="11"/>
      <c r="N1128" s="11"/>
      <c r="O1128" s="11"/>
      <c r="P1128" s="11"/>
    </row>
    <row r="1129" spans="7:16" hidden="1" x14ac:dyDescent="0.25">
      <c r="G1129" s="16"/>
      <c r="H1129" s="12"/>
      <c r="I1129" s="12"/>
      <c r="J1129" s="12"/>
      <c r="K1129" s="12"/>
      <c r="L1129" s="12"/>
      <c r="M1129" s="11"/>
      <c r="N1129" s="11"/>
      <c r="O1129" s="11"/>
      <c r="P1129" s="11"/>
    </row>
    <row r="1130" spans="7:16" hidden="1" x14ac:dyDescent="0.25">
      <c r="G1130" s="16"/>
      <c r="H1130" s="12"/>
      <c r="I1130" s="12"/>
      <c r="J1130" s="12"/>
      <c r="K1130" s="12"/>
      <c r="L1130" s="12"/>
      <c r="M1130" s="11"/>
      <c r="N1130" s="11"/>
      <c r="O1130" s="11"/>
      <c r="P1130" s="11"/>
    </row>
    <row r="1131" spans="7:16" hidden="1" x14ac:dyDescent="0.25">
      <c r="G1131" s="16"/>
      <c r="H1131" s="12"/>
      <c r="I1131" s="12"/>
      <c r="J1131" s="12"/>
      <c r="K1131" s="12"/>
      <c r="L1131" s="12"/>
      <c r="M1131" s="11"/>
      <c r="N1131" s="11"/>
      <c r="O1131" s="11"/>
      <c r="P1131" s="11"/>
    </row>
    <row r="1132" spans="7:16" hidden="1" x14ac:dyDescent="0.25">
      <c r="G1132" s="16"/>
      <c r="H1132" s="12"/>
      <c r="I1132" s="12"/>
      <c r="J1132" s="12"/>
      <c r="K1132" s="12"/>
      <c r="L1132" s="12"/>
      <c r="M1132" s="11"/>
      <c r="N1132" s="11"/>
      <c r="O1132" s="11"/>
      <c r="P1132" s="11"/>
    </row>
    <row r="1133" spans="7:16" hidden="1" x14ac:dyDescent="0.25">
      <c r="G1133" s="16"/>
      <c r="H1133" s="12"/>
      <c r="I1133" s="12"/>
      <c r="J1133" s="12"/>
      <c r="K1133" s="12"/>
      <c r="L1133" s="12"/>
      <c r="M1133" s="11"/>
      <c r="N1133" s="11"/>
      <c r="O1133" s="11"/>
      <c r="P1133" s="11"/>
    </row>
    <row r="1134" spans="7:16" hidden="1" x14ac:dyDescent="0.25">
      <c r="G1134" s="16"/>
      <c r="H1134" s="12"/>
      <c r="I1134" s="12"/>
      <c r="J1134" s="12"/>
      <c r="K1134" s="12"/>
      <c r="L1134" s="12"/>
      <c r="M1134" s="11"/>
      <c r="N1134" s="11"/>
      <c r="O1134" s="11"/>
      <c r="P1134" s="11"/>
    </row>
    <row r="1135" spans="7:16" hidden="1" x14ac:dyDescent="0.25">
      <c r="G1135" s="16"/>
      <c r="H1135" s="12"/>
      <c r="I1135" s="12"/>
      <c r="J1135" s="12"/>
      <c r="K1135" s="12"/>
      <c r="L1135" s="12"/>
      <c r="M1135" s="11"/>
      <c r="N1135" s="11"/>
      <c r="O1135" s="11"/>
      <c r="P1135" s="11"/>
    </row>
    <row r="1136" spans="7:16" hidden="1" x14ac:dyDescent="0.25">
      <c r="G1136" s="16"/>
      <c r="H1136" s="12"/>
      <c r="I1136" s="12"/>
      <c r="J1136" s="12"/>
      <c r="K1136" s="12"/>
      <c r="L1136" s="12"/>
      <c r="M1136" s="11"/>
      <c r="N1136" s="11"/>
      <c r="O1136" s="11"/>
      <c r="P1136" s="11"/>
    </row>
    <row r="1137" spans="7:16" hidden="1" x14ac:dyDescent="0.25">
      <c r="G1137" s="16"/>
      <c r="H1137" s="12"/>
      <c r="I1137" s="12"/>
      <c r="J1137" s="12"/>
      <c r="K1137" s="12"/>
      <c r="L1137" s="12"/>
      <c r="M1137" s="11"/>
      <c r="N1137" s="11"/>
      <c r="O1137" s="11"/>
      <c r="P1137" s="11"/>
    </row>
    <row r="1138" spans="7:16" hidden="1" x14ac:dyDescent="0.25">
      <c r="G1138" s="16"/>
      <c r="H1138" s="12"/>
      <c r="I1138" s="12"/>
      <c r="J1138" s="12"/>
      <c r="K1138" s="12"/>
      <c r="L1138" s="12"/>
      <c r="M1138" s="11"/>
      <c r="N1138" s="11"/>
      <c r="O1138" s="11"/>
      <c r="P1138" s="11"/>
    </row>
    <row r="1139" spans="7:16" hidden="1" x14ac:dyDescent="0.25">
      <c r="G1139" s="16"/>
      <c r="H1139" s="12"/>
      <c r="I1139" s="12"/>
      <c r="J1139" s="12"/>
      <c r="K1139" s="12"/>
      <c r="L1139" s="12"/>
      <c r="M1139" s="11"/>
      <c r="N1139" s="11"/>
      <c r="O1139" s="11"/>
      <c r="P1139" s="11"/>
    </row>
    <row r="1140" spans="7:16" hidden="1" x14ac:dyDescent="0.25">
      <c r="G1140" s="16"/>
      <c r="H1140" s="12"/>
      <c r="I1140" s="12"/>
      <c r="J1140" s="12"/>
      <c r="K1140" s="12"/>
      <c r="L1140" s="12"/>
      <c r="M1140" s="11"/>
      <c r="N1140" s="11"/>
      <c r="O1140" s="11"/>
      <c r="P1140" s="11"/>
    </row>
    <row r="1141" spans="7:16" hidden="1" x14ac:dyDescent="0.25">
      <c r="G1141" s="16"/>
      <c r="H1141" s="12"/>
      <c r="I1141" s="12"/>
      <c r="J1141" s="12"/>
      <c r="K1141" s="12"/>
      <c r="L1141" s="12"/>
      <c r="M1141" s="11"/>
      <c r="N1141" s="11"/>
      <c r="O1141" s="11"/>
      <c r="P1141" s="11"/>
    </row>
    <row r="1142" spans="7:16" hidden="1" x14ac:dyDescent="0.25">
      <c r="G1142" s="16"/>
      <c r="H1142" s="12"/>
      <c r="I1142" s="12"/>
      <c r="J1142" s="12"/>
      <c r="K1142" s="12"/>
      <c r="L1142" s="12"/>
      <c r="M1142" s="11"/>
      <c r="N1142" s="11"/>
      <c r="O1142" s="11"/>
      <c r="P1142" s="11"/>
    </row>
    <row r="1143" spans="7:16" hidden="1" x14ac:dyDescent="0.25">
      <c r="G1143" s="16"/>
      <c r="H1143" s="12"/>
      <c r="I1143" s="12"/>
      <c r="J1143" s="12"/>
      <c r="K1143" s="12"/>
      <c r="L1143" s="12"/>
      <c r="M1143" s="11"/>
      <c r="N1143" s="11"/>
      <c r="O1143" s="11"/>
      <c r="P1143" s="11"/>
    </row>
    <row r="1144" spans="7:16" hidden="1" x14ac:dyDescent="0.25">
      <c r="G1144" s="16"/>
      <c r="H1144" s="12"/>
      <c r="I1144" s="12"/>
      <c r="J1144" s="12"/>
      <c r="K1144" s="12"/>
      <c r="L1144" s="12"/>
      <c r="M1144" s="11"/>
      <c r="N1144" s="11"/>
      <c r="O1144" s="11"/>
      <c r="P1144" s="11"/>
    </row>
    <row r="1145" spans="7:16" hidden="1" x14ac:dyDescent="0.25">
      <c r="G1145" s="16"/>
      <c r="H1145" s="12"/>
      <c r="I1145" s="12"/>
      <c r="J1145" s="12"/>
      <c r="K1145" s="12"/>
      <c r="L1145" s="12"/>
      <c r="M1145" s="11"/>
      <c r="N1145" s="11"/>
      <c r="O1145" s="11"/>
      <c r="P1145" s="11"/>
    </row>
    <row r="1146" spans="7:16" hidden="1" x14ac:dyDescent="0.25">
      <c r="G1146" s="16"/>
      <c r="H1146" s="12"/>
      <c r="I1146" s="12"/>
      <c r="J1146" s="12"/>
      <c r="K1146" s="12"/>
      <c r="L1146" s="12"/>
      <c r="M1146" s="11"/>
      <c r="N1146" s="11"/>
      <c r="O1146" s="11"/>
      <c r="P1146" s="11"/>
    </row>
    <row r="1147" spans="7:16" hidden="1" x14ac:dyDescent="0.25">
      <c r="G1147" s="16"/>
      <c r="H1147" s="12"/>
      <c r="I1147" s="12"/>
      <c r="J1147" s="12"/>
      <c r="K1147" s="12"/>
      <c r="L1147" s="12"/>
      <c r="M1147" s="11"/>
      <c r="N1147" s="11"/>
      <c r="O1147" s="11"/>
      <c r="P1147" s="11"/>
    </row>
    <row r="1148" spans="7:16" hidden="1" x14ac:dyDescent="0.25">
      <c r="G1148" s="16"/>
      <c r="H1148" s="12"/>
      <c r="I1148" s="12"/>
      <c r="J1148" s="12"/>
      <c r="K1148" s="12"/>
      <c r="L1148" s="12"/>
      <c r="M1148" s="11"/>
      <c r="N1148" s="11"/>
      <c r="O1148" s="11"/>
      <c r="P1148" s="11"/>
    </row>
    <row r="1149" spans="7:16" hidden="1" x14ac:dyDescent="0.25">
      <c r="G1149" s="16"/>
      <c r="H1149" s="12"/>
      <c r="I1149" s="12"/>
      <c r="J1149" s="12"/>
      <c r="K1149" s="12"/>
      <c r="L1149" s="12"/>
      <c r="M1149" s="11"/>
      <c r="N1149" s="11"/>
      <c r="O1149" s="11"/>
      <c r="P1149" s="11"/>
    </row>
    <row r="1150" spans="7:16" hidden="1" x14ac:dyDescent="0.25">
      <c r="G1150" s="16"/>
      <c r="H1150" s="12"/>
      <c r="I1150" s="12"/>
      <c r="J1150" s="12"/>
      <c r="K1150" s="12"/>
      <c r="L1150" s="12"/>
      <c r="M1150" s="11"/>
      <c r="N1150" s="11"/>
      <c r="O1150" s="11"/>
      <c r="P1150" s="11"/>
    </row>
    <row r="1151" spans="7:16" hidden="1" x14ac:dyDescent="0.25">
      <c r="G1151" s="16"/>
      <c r="H1151" s="12"/>
      <c r="I1151" s="12"/>
      <c r="J1151" s="12"/>
      <c r="K1151" s="12"/>
      <c r="L1151" s="12"/>
      <c r="M1151" s="11"/>
      <c r="N1151" s="11"/>
      <c r="O1151" s="11"/>
      <c r="P1151" s="11"/>
    </row>
    <row r="1152" spans="7:16" hidden="1" x14ac:dyDescent="0.25">
      <c r="G1152" s="16"/>
      <c r="H1152" s="12"/>
      <c r="I1152" s="12"/>
      <c r="J1152" s="12"/>
      <c r="K1152" s="12"/>
      <c r="L1152" s="12"/>
      <c r="M1152" s="11"/>
      <c r="N1152" s="11"/>
      <c r="O1152" s="11"/>
      <c r="P1152" s="11"/>
    </row>
    <row r="1153" spans="7:16" hidden="1" x14ac:dyDescent="0.25">
      <c r="G1153" s="16"/>
      <c r="H1153" s="12"/>
      <c r="I1153" s="12"/>
      <c r="J1153" s="12"/>
      <c r="K1153" s="12"/>
      <c r="L1153" s="12"/>
      <c r="M1153" s="11"/>
      <c r="N1153" s="11"/>
      <c r="O1153" s="11"/>
      <c r="P1153" s="11"/>
    </row>
    <row r="1154" spans="7:16" hidden="1" x14ac:dyDescent="0.25">
      <c r="G1154" s="16"/>
      <c r="H1154" s="12"/>
      <c r="I1154" s="12"/>
      <c r="J1154" s="12"/>
      <c r="K1154" s="12"/>
      <c r="L1154" s="12"/>
      <c r="M1154" s="11"/>
      <c r="N1154" s="11"/>
      <c r="O1154" s="11"/>
      <c r="P1154" s="11"/>
    </row>
    <row r="1155" spans="7:16" hidden="1" x14ac:dyDescent="0.25">
      <c r="G1155" s="16"/>
      <c r="H1155" s="12"/>
      <c r="I1155" s="12"/>
      <c r="J1155" s="12"/>
      <c r="K1155" s="12"/>
      <c r="L1155" s="12"/>
      <c r="M1155" s="11"/>
      <c r="N1155" s="11"/>
      <c r="O1155" s="11"/>
      <c r="P1155" s="11"/>
    </row>
    <row r="1156" spans="7:16" hidden="1" x14ac:dyDescent="0.25">
      <c r="G1156" s="16"/>
      <c r="H1156" s="12"/>
      <c r="I1156" s="12"/>
      <c r="J1156" s="12"/>
      <c r="K1156" s="12"/>
      <c r="L1156" s="12"/>
      <c r="M1156" s="11"/>
      <c r="N1156" s="11"/>
      <c r="O1156" s="11"/>
      <c r="P1156" s="11"/>
    </row>
    <row r="1157" spans="7:16" hidden="1" x14ac:dyDescent="0.25">
      <c r="G1157" s="16"/>
      <c r="H1157" s="12"/>
      <c r="I1157" s="12"/>
      <c r="J1157" s="12"/>
      <c r="K1157" s="12"/>
      <c r="L1157" s="12"/>
      <c r="M1157" s="11"/>
      <c r="N1157" s="11"/>
      <c r="O1157" s="11"/>
      <c r="P1157" s="11"/>
    </row>
    <row r="1158" spans="7:16" hidden="1" x14ac:dyDescent="0.25">
      <c r="G1158" s="16"/>
      <c r="H1158" s="12"/>
      <c r="I1158" s="12"/>
      <c r="J1158" s="12"/>
      <c r="K1158" s="12"/>
      <c r="L1158" s="12"/>
      <c r="M1158" s="11"/>
      <c r="N1158" s="11"/>
      <c r="O1158" s="11"/>
      <c r="P1158" s="11"/>
    </row>
    <row r="1159" spans="7:16" hidden="1" x14ac:dyDescent="0.25">
      <c r="G1159" s="16"/>
      <c r="H1159" s="12"/>
      <c r="I1159" s="12"/>
      <c r="J1159" s="12"/>
      <c r="K1159" s="12"/>
      <c r="L1159" s="12"/>
      <c r="M1159" s="11"/>
      <c r="N1159" s="11"/>
      <c r="O1159" s="11"/>
      <c r="P1159" s="11"/>
    </row>
    <row r="1160" spans="7:16" hidden="1" x14ac:dyDescent="0.25">
      <c r="G1160" s="16"/>
      <c r="H1160" s="12"/>
      <c r="I1160" s="12"/>
      <c r="J1160" s="12"/>
      <c r="K1160" s="12"/>
      <c r="L1160" s="12"/>
      <c r="M1160" s="11"/>
      <c r="N1160" s="11"/>
      <c r="O1160" s="11"/>
      <c r="P1160" s="11"/>
    </row>
    <row r="1161" spans="7:16" hidden="1" x14ac:dyDescent="0.25">
      <c r="G1161" s="16"/>
      <c r="H1161" s="12"/>
      <c r="I1161" s="12"/>
      <c r="J1161" s="12"/>
      <c r="K1161" s="12"/>
      <c r="L1161" s="12"/>
      <c r="M1161" s="11"/>
      <c r="N1161" s="11"/>
      <c r="O1161" s="11"/>
      <c r="P1161" s="11"/>
    </row>
    <row r="1162" spans="7:16" hidden="1" x14ac:dyDescent="0.25">
      <c r="G1162" s="16"/>
      <c r="H1162" s="12"/>
      <c r="I1162" s="12"/>
      <c r="J1162" s="12"/>
      <c r="K1162" s="12"/>
      <c r="L1162" s="12"/>
      <c r="M1162" s="11"/>
      <c r="N1162" s="11"/>
      <c r="O1162" s="11"/>
      <c r="P1162" s="11"/>
    </row>
    <row r="1163" spans="7:16" hidden="1" x14ac:dyDescent="0.25">
      <c r="G1163" s="16"/>
      <c r="H1163" s="12"/>
      <c r="I1163" s="12"/>
      <c r="J1163" s="12"/>
      <c r="K1163" s="12"/>
      <c r="L1163" s="12"/>
      <c r="M1163" s="11"/>
      <c r="N1163" s="11"/>
      <c r="O1163" s="11"/>
      <c r="P1163" s="11"/>
    </row>
    <row r="1164" spans="7:16" hidden="1" x14ac:dyDescent="0.25">
      <c r="G1164" s="16"/>
      <c r="H1164" s="12"/>
      <c r="I1164" s="12"/>
      <c r="J1164" s="12"/>
      <c r="K1164" s="12"/>
      <c r="L1164" s="12"/>
      <c r="M1164" s="11"/>
      <c r="N1164" s="11"/>
      <c r="O1164" s="11"/>
      <c r="P1164" s="11"/>
    </row>
    <row r="1165" spans="7:16" hidden="1" x14ac:dyDescent="0.25">
      <c r="G1165" s="16"/>
      <c r="H1165" s="12"/>
      <c r="I1165" s="12"/>
      <c r="J1165" s="12"/>
      <c r="K1165" s="12"/>
      <c r="L1165" s="12"/>
      <c r="M1165" s="11"/>
      <c r="N1165" s="11"/>
      <c r="O1165" s="11"/>
      <c r="P1165" s="11"/>
    </row>
    <row r="1166" spans="7:16" hidden="1" x14ac:dyDescent="0.25">
      <c r="G1166" s="16"/>
      <c r="H1166" s="12"/>
      <c r="I1166" s="12"/>
      <c r="J1166" s="12"/>
      <c r="K1166" s="12"/>
      <c r="L1166" s="12"/>
      <c r="M1166" s="11"/>
      <c r="N1166" s="11"/>
      <c r="O1166" s="11"/>
      <c r="P1166" s="11"/>
    </row>
    <row r="1167" spans="7:16" hidden="1" x14ac:dyDescent="0.25">
      <c r="G1167" s="16"/>
      <c r="H1167" s="12"/>
      <c r="I1167" s="12"/>
      <c r="J1167" s="12"/>
      <c r="K1167" s="12"/>
      <c r="L1167" s="12"/>
      <c r="M1167" s="11"/>
      <c r="N1167" s="11"/>
      <c r="O1167" s="11"/>
      <c r="P1167" s="11"/>
    </row>
    <row r="1168" spans="7:16" hidden="1" x14ac:dyDescent="0.25">
      <c r="G1168" s="16"/>
      <c r="H1168" s="12"/>
      <c r="I1168" s="12"/>
      <c r="J1168" s="12"/>
      <c r="K1168" s="12"/>
      <c r="L1168" s="12"/>
      <c r="M1168" s="11"/>
      <c r="N1168" s="11"/>
      <c r="O1168" s="11"/>
      <c r="P1168" s="11"/>
    </row>
    <row r="1169" spans="7:16" hidden="1" x14ac:dyDescent="0.25">
      <c r="G1169" s="16"/>
      <c r="H1169" s="12"/>
      <c r="I1169" s="12"/>
      <c r="J1169" s="12"/>
      <c r="K1169" s="12"/>
      <c r="L1169" s="12"/>
      <c r="M1169" s="11"/>
      <c r="N1169" s="11"/>
      <c r="O1169" s="11"/>
      <c r="P1169" s="11"/>
    </row>
    <row r="1170" spans="7:16" hidden="1" x14ac:dyDescent="0.25">
      <c r="G1170" s="16"/>
      <c r="H1170" s="12"/>
      <c r="I1170" s="12"/>
      <c r="J1170" s="12"/>
      <c r="K1170" s="12"/>
      <c r="L1170" s="12"/>
      <c r="M1170" s="11"/>
      <c r="N1170" s="11"/>
      <c r="O1170" s="11"/>
      <c r="P1170" s="11"/>
    </row>
    <row r="1171" spans="7:16" hidden="1" x14ac:dyDescent="0.25">
      <c r="G1171" s="16"/>
      <c r="H1171" s="12"/>
      <c r="I1171" s="12"/>
      <c r="J1171" s="12"/>
      <c r="K1171" s="12"/>
      <c r="L1171" s="12"/>
      <c r="M1171" s="11"/>
      <c r="N1171" s="11"/>
      <c r="O1171" s="11"/>
      <c r="P1171" s="11"/>
    </row>
    <row r="1172" spans="7:16" hidden="1" x14ac:dyDescent="0.25">
      <c r="G1172" s="16"/>
      <c r="H1172" s="12"/>
      <c r="I1172" s="12"/>
      <c r="J1172" s="12"/>
      <c r="K1172" s="12"/>
      <c r="L1172" s="12"/>
      <c r="M1172" s="11"/>
      <c r="N1172" s="11"/>
      <c r="O1172" s="11"/>
      <c r="P1172" s="11"/>
    </row>
    <row r="1173" spans="7:16" hidden="1" x14ac:dyDescent="0.25">
      <c r="G1173" s="16"/>
      <c r="H1173" s="12"/>
      <c r="I1173" s="12"/>
      <c r="J1173" s="12"/>
      <c r="K1173" s="12"/>
      <c r="L1173" s="12"/>
      <c r="M1173" s="11"/>
      <c r="N1173" s="11"/>
      <c r="O1173" s="11"/>
      <c r="P1173" s="11"/>
    </row>
    <row r="1174" spans="7:16" hidden="1" x14ac:dyDescent="0.25">
      <c r="G1174" s="16"/>
      <c r="H1174" s="12"/>
      <c r="I1174" s="12"/>
      <c r="J1174" s="12"/>
      <c r="K1174" s="12"/>
      <c r="L1174" s="12"/>
      <c r="M1174" s="11"/>
      <c r="N1174" s="11"/>
      <c r="O1174" s="11"/>
      <c r="P1174" s="11"/>
    </row>
    <row r="1175" spans="7:16" hidden="1" x14ac:dyDescent="0.25">
      <c r="G1175" s="16"/>
      <c r="H1175" s="12"/>
      <c r="I1175" s="12"/>
      <c r="J1175" s="12"/>
      <c r="K1175" s="12"/>
      <c r="L1175" s="12"/>
      <c r="M1175" s="11"/>
      <c r="N1175" s="11"/>
      <c r="O1175" s="11"/>
      <c r="P1175" s="11"/>
    </row>
    <row r="1176" spans="7:16" hidden="1" x14ac:dyDescent="0.25">
      <c r="G1176" s="16"/>
      <c r="H1176" s="12"/>
      <c r="I1176" s="12"/>
      <c r="J1176" s="12"/>
      <c r="K1176" s="12"/>
      <c r="L1176" s="12"/>
      <c r="M1176" s="11"/>
      <c r="N1176" s="11"/>
      <c r="O1176" s="11"/>
      <c r="P1176" s="11"/>
    </row>
    <row r="1177" spans="7:16" hidden="1" x14ac:dyDescent="0.25">
      <c r="G1177" s="16"/>
      <c r="H1177" s="12"/>
      <c r="I1177" s="12"/>
      <c r="J1177" s="12"/>
      <c r="K1177" s="12"/>
      <c r="L1177" s="12"/>
      <c r="M1177" s="11"/>
      <c r="N1177" s="11"/>
      <c r="O1177" s="11"/>
      <c r="P1177" s="11"/>
    </row>
    <row r="1178" spans="7:16" hidden="1" x14ac:dyDescent="0.25">
      <c r="G1178" s="16"/>
      <c r="H1178" s="12"/>
      <c r="I1178" s="12"/>
      <c r="J1178" s="12"/>
      <c r="K1178" s="12"/>
      <c r="L1178" s="12"/>
      <c r="M1178" s="11"/>
      <c r="N1178" s="11"/>
      <c r="O1178" s="11"/>
      <c r="P1178" s="11"/>
    </row>
    <row r="1179" spans="7:16" hidden="1" x14ac:dyDescent="0.25">
      <c r="G1179" s="16"/>
      <c r="H1179" s="12"/>
      <c r="I1179" s="12"/>
      <c r="J1179" s="12"/>
      <c r="K1179" s="12"/>
      <c r="L1179" s="12"/>
      <c r="M1179" s="11"/>
      <c r="N1179" s="11"/>
      <c r="O1179" s="11"/>
      <c r="P1179" s="11"/>
    </row>
    <row r="1180" spans="7:16" hidden="1" x14ac:dyDescent="0.25">
      <c r="G1180" s="16"/>
      <c r="H1180" s="12"/>
      <c r="I1180" s="12"/>
      <c r="J1180" s="12"/>
      <c r="K1180" s="12"/>
      <c r="L1180" s="12"/>
      <c r="M1180" s="11"/>
      <c r="N1180" s="11"/>
      <c r="O1180" s="11"/>
      <c r="P1180" s="11"/>
    </row>
    <row r="1181" spans="7:16" hidden="1" x14ac:dyDescent="0.25">
      <c r="G1181" s="16"/>
      <c r="H1181" s="12"/>
      <c r="I1181" s="12"/>
      <c r="J1181" s="12"/>
      <c r="K1181" s="12"/>
      <c r="L1181" s="12"/>
      <c r="M1181" s="11"/>
      <c r="N1181" s="11"/>
      <c r="O1181" s="11"/>
      <c r="P1181" s="11"/>
    </row>
    <row r="1182" spans="7:16" hidden="1" x14ac:dyDescent="0.25">
      <c r="G1182" s="16"/>
      <c r="H1182" s="12"/>
      <c r="I1182" s="12"/>
      <c r="J1182" s="12"/>
      <c r="K1182" s="12"/>
      <c r="L1182" s="12"/>
      <c r="M1182" s="11"/>
      <c r="N1182" s="11"/>
      <c r="O1182" s="11"/>
      <c r="P1182" s="11"/>
    </row>
    <row r="1183" spans="7:16" hidden="1" x14ac:dyDescent="0.25">
      <c r="G1183" s="16"/>
      <c r="H1183" s="12"/>
      <c r="I1183" s="12"/>
      <c r="J1183" s="12"/>
      <c r="K1183" s="12"/>
      <c r="L1183" s="12"/>
      <c r="M1183" s="11"/>
      <c r="N1183" s="11"/>
      <c r="O1183" s="11"/>
      <c r="P1183" s="11"/>
    </row>
    <row r="1184" spans="7:16" hidden="1" x14ac:dyDescent="0.25">
      <c r="G1184" s="16"/>
      <c r="H1184" s="12"/>
      <c r="I1184" s="12"/>
      <c r="J1184" s="12"/>
      <c r="K1184" s="12"/>
      <c r="L1184" s="12"/>
      <c r="M1184" s="11"/>
      <c r="N1184" s="11"/>
      <c r="O1184" s="11"/>
      <c r="P1184" s="11"/>
    </row>
    <row r="1185" spans="7:16" hidden="1" x14ac:dyDescent="0.25">
      <c r="G1185" s="16"/>
      <c r="H1185" s="12"/>
      <c r="I1185" s="12"/>
      <c r="J1185" s="12"/>
      <c r="K1185" s="12"/>
      <c r="L1185" s="12"/>
      <c r="M1185" s="11"/>
      <c r="N1185" s="11"/>
      <c r="O1185" s="11"/>
      <c r="P1185" s="11"/>
    </row>
    <row r="1186" spans="7:16" hidden="1" x14ac:dyDescent="0.25">
      <c r="G1186" s="16"/>
      <c r="H1186" s="12"/>
      <c r="I1186" s="12"/>
      <c r="J1186" s="12"/>
      <c r="K1186" s="12"/>
      <c r="L1186" s="12"/>
      <c r="M1186" s="11"/>
      <c r="N1186" s="11"/>
      <c r="O1186" s="11"/>
      <c r="P1186" s="11"/>
    </row>
    <row r="1187" spans="7:16" hidden="1" x14ac:dyDescent="0.25">
      <c r="G1187" s="16"/>
      <c r="H1187" s="12"/>
      <c r="I1187" s="12"/>
      <c r="J1187" s="12"/>
      <c r="K1187" s="12"/>
      <c r="L1187" s="12"/>
      <c r="M1187" s="11"/>
      <c r="N1187" s="11"/>
      <c r="O1187" s="11"/>
      <c r="P1187" s="11"/>
    </row>
    <row r="1188" spans="7:16" hidden="1" x14ac:dyDescent="0.25">
      <c r="G1188" s="16"/>
      <c r="H1188" s="12"/>
      <c r="I1188" s="12"/>
      <c r="J1188" s="12"/>
      <c r="K1188" s="12"/>
      <c r="L1188" s="12"/>
      <c r="M1188" s="11"/>
      <c r="N1188" s="11"/>
      <c r="O1188" s="11"/>
      <c r="P1188" s="11"/>
    </row>
    <row r="1189" spans="7:16" hidden="1" x14ac:dyDescent="0.25">
      <c r="G1189" s="16"/>
      <c r="H1189" s="12"/>
      <c r="I1189" s="12"/>
      <c r="J1189" s="12"/>
      <c r="K1189" s="12"/>
      <c r="L1189" s="12"/>
      <c r="M1189" s="11"/>
      <c r="N1189" s="11"/>
      <c r="O1189" s="11"/>
      <c r="P1189" s="11"/>
    </row>
    <row r="1190" spans="7:16" hidden="1" x14ac:dyDescent="0.25">
      <c r="G1190" s="16"/>
      <c r="H1190" s="12"/>
      <c r="I1190" s="12"/>
      <c r="J1190" s="12"/>
      <c r="K1190" s="12"/>
      <c r="L1190" s="12"/>
      <c r="M1190" s="11"/>
      <c r="N1190" s="11"/>
      <c r="O1190" s="11"/>
      <c r="P1190" s="11"/>
    </row>
    <row r="1191" spans="7:16" hidden="1" x14ac:dyDescent="0.25">
      <c r="G1191" s="16"/>
      <c r="H1191" s="12"/>
      <c r="I1191" s="12"/>
      <c r="J1191" s="12"/>
      <c r="K1191" s="12"/>
      <c r="L1191" s="12"/>
      <c r="M1191" s="11"/>
      <c r="N1191" s="11"/>
      <c r="O1191" s="11"/>
      <c r="P1191" s="11"/>
    </row>
    <row r="1192" spans="7:16" hidden="1" x14ac:dyDescent="0.25">
      <c r="G1192" s="16"/>
      <c r="H1192" s="12"/>
      <c r="I1192" s="12"/>
      <c r="J1192" s="12"/>
      <c r="K1192" s="12"/>
      <c r="L1192" s="12"/>
      <c r="M1192" s="11"/>
      <c r="N1192" s="11"/>
      <c r="O1192" s="11"/>
      <c r="P1192" s="11"/>
    </row>
    <row r="1193" spans="7:16" hidden="1" x14ac:dyDescent="0.25">
      <c r="G1193" s="16"/>
      <c r="H1193" s="12"/>
      <c r="I1193" s="12"/>
      <c r="J1193" s="12"/>
      <c r="K1193" s="12"/>
      <c r="L1193" s="12"/>
      <c r="M1193" s="11"/>
      <c r="N1193" s="11"/>
      <c r="O1193" s="11"/>
      <c r="P1193" s="11"/>
    </row>
    <row r="1194" spans="7:16" hidden="1" x14ac:dyDescent="0.25">
      <c r="G1194" s="16"/>
      <c r="H1194" s="12"/>
      <c r="I1194" s="12"/>
      <c r="J1194" s="12"/>
      <c r="K1194" s="12"/>
      <c r="L1194" s="12"/>
      <c r="M1194" s="11"/>
      <c r="N1194" s="11"/>
      <c r="O1194" s="11"/>
      <c r="P1194" s="11"/>
    </row>
    <row r="1195" spans="7:16" hidden="1" x14ac:dyDescent="0.25">
      <c r="G1195" s="16"/>
      <c r="H1195" s="12"/>
      <c r="I1195" s="12"/>
      <c r="J1195" s="12"/>
      <c r="K1195" s="12"/>
      <c r="L1195" s="12"/>
      <c r="M1195" s="11"/>
      <c r="N1195" s="11"/>
      <c r="O1195" s="11"/>
      <c r="P1195" s="11"/>
    </row>
    <row r="1196" spans="7:16" hidden="1" x14ac:dyDescent="0.25">
      <c r="G1196" s="16"/>
      <c r="H1196" s="12"/>
      <c r="I1196" s="12"/>
      <c r="J1196" s="12"/>
      <c r="K1196" s="12"/>
      <c r="L1196" s="12"/>
      <c r="M1196" s="11"/>
      <c r="N1196" s="11"/>
      <c r="O1196" s="11"/>
      <c r="P1196" s="11"/>
    </row>
    <row r="1197" spans="7:16" hidden="1" x14ac:dyDescent="0.25">
      <c r="G1197" s="16"/>
      <c r="H1197" s="12"/>
      <c r="I1197" s="12"/>
      <c r="J1197" s="12"/>
      <c r="K1197" s="12"/>
      <c r="L1197" s="12"/>
      <c r="M1197" s="11"/>
      <c r="N1197" s="11"/>
      <c r="O1197" s="11"/>
      <c r="P1197" s="11"/>
    </row>
    <row r="1198" spans="7:16" hidden="1" x14ac:dyDescent="0.25">
      <c r="G1198" s="16"/>
      <c r="H1198" s="12"/>
      <c r="I1198" s="12"/>
      <c r="J1198" s="12"/>
      <c r="K1198" s="12"/>
      <c r="L1198" s="12"/>
      <c r="M1198" s="11"/>
      <c r="N1198" s="11"/>
      <c r="O1198" s="11"/>
      <c r="P1198" s="11"/>
    </row>
    <row r="1199" spans="7:16" hidden="1" x14ac:dyDescent="0.25">
      <c r="G1199" s="16"/>
      <c r="H1199" s="12"/>
      <c r="I1199" s="12"/>
      <c r="J1199" s="12"/>
      <c r="K1199" s="12"/>
      <c r="L1199" s="12"/>
      <c r="M1199" s="11"/>
      <c r="N1199" s="11"/>
      <c r="O1199" s="11"/>
      <c r="P1199" s="11"/>
    </row>
    <row r="1200" spans="7:16" hidden="1" x14ac:dyDescent="0.25">
      <c r="G1200" s="16"/>
      <c r="H1200" s="12"/>
      <c r="I1200" s="12"/>
      <c r="J1200" s="12"/>
      <c r="K1200" s="12"/>
      <c r="L1200" s="12"/>
      <c r="M1200" s="11"/>
      <c r="N1200" s="11"/>
      <c r="O1200" s="11"/>
      <c r="P1200" s="11"/>
    </row>
    <row r="1201" spans="7:16" hidden="1" x14ac:dyDescent="0.25">
      <c r="G1201" s="16"/>
      <c r="H1201" s="12"/>
      <c r="I1201" s="12"/>
      <c r="J1201" s="12"/>
      <c r="K1201" s="12"/>
      <c r="L1201" s="12"/>
      <c r="M1201" s="11"/>
      <c r="N1201" s="11"/>
      <c r="O1201" s="11"/>
      <c r="P1201" s="11"/>
    </row>
    <row r="1202" spans="7:16" hidden="1" x14ac:dyDescent="0.25">
      <c r="G1202" s="16"/>
      <c r="H1202" s="12"/>
      <c r="I1202" s="12"/>
      <c r="J1202" s="12"/>
      <c r="K1202" s="12"/>
      <c r="L1202" s="12"/>
      <c r="M1202" s="11"/>
      <c r="N1202" s="11"/>
      <c r="O1202" s="11"/>
      <c r="P1202" s="11"/>
    </row>
    <row r="1203" spans="7:16" hidden="1" x14ac:dyDescent="0.25">
      <c r="G1203" s="16"/>
      <c r="H1203" s="12"/>
      <c r="I1203" s="12"/>
      <c r="J1203" s="12"/>
      <c r="K1203" s="12"/>
      <c r="L1203" s="12"/>
      <c r="M1203" s="11"/>
      <c r="N1203" s="11"/>
      <c r="O1203" s="11"/>
      <c r="P1203" s="11"/>
    </row>
    <row r="1204" spans="7:16" hidden="1" x14ac:dyDescent="0.25">
      <c r="G1204" s="16"/>
      <c r="H1204" s="12"/>
      <c r="I1204" s="12"/>
      <c r="J1204" s="12"/>
      <c r="K1204" s="12"/>
      <c r="L1204" s="12"/>
      <c r="M1204" s="11"/>
      <c r="N1204" s="11"/>
      <c r="O1204" s="11"/>
      <c r="P1204" s="11"/>
    </row>
    <row r="1205" spans="7:16" hidden="1" x14ac:dyDescent="0.25">
      <c r="G1205" s="16"/>
      <c r="H1205" s="12"/>
      <c r="I1205" s="12"/>
      <c r="J1205" s="12"/>
      <c r="K1205" s="12"/>
      <c r="L1205" s="12"/>
      <c r="M1205" s="11"/>
      <c r="N1205" s="11"/>
      <c r="O1205" s="11"/>
      <c r="P1205" s="11"/>
    </row>
    <row r="1206" spans="7:16" hidden="1" x14ac:dyDescent="0.25">
      <c r="G1206" s="16"/>
      <c r="H1206" s="12"/>
      <c r="I1206" s="12"/>
      <c r="J1206" s="12"/>
      <c r="K1206" s="12"/>
      <c r="L1206" s="12"/>
      <c r="M1206" s="11"/>
      <c r="N1206" s="11"/>
      <c r="O1206" s="11"/>
      <c r="P1206" s="11"/>
    </row>
    <row r="1207" spans="7:16" hidden="1" x14ac:dyDescent="0.25">
      <c r="G1207" s="16"/>
      <c r="H1207" s="12"/>
      <c r="I1207" s="12"/>
      <c r="J1207" s="12"/>
      <c r="K1207" s="12"/>
      <c r="L1207" s="12"/>
      <c r="M1207" s="11"/>
      <c r="N1207" s="11"/>
      <c r="O1207" s="11"/>
      <c r="P1207" s="11"/>
    </row>
    <row r="1208" spans="7:16" hidden="1" x14ac:dyDescent="0.25">
      <c r="G1208" s="16"/>
      <c r="H1208" s="12"/>
      <c r="I1208" s="12"/>
      <c r="J1208" s="12"/>
      <c r="K1208" s="12"/>
      <c r="L1208" s="12"/>
      <c r="M1208" s="11"/>
      <c r="N1208" s="11"/>
      <c r="O1208" s="11"/>
      <c r="P1208" s="11"/>
    </row>
    <row r="1209" spans="7:16" hidden="1" x14ac:dyDescent="0.25">
      <c r="G1209" s="16"/>
      <c r="H1209" s="12"/>
      <c r="I1209" s="12"/>
      <c r="J1209" s="12"/>
      <c r="K1209" s="12"/>
      <c r="L1209" s="12"/>
      <c r="M1209" s="11"/>
      <c r="N1209" s="11"/>
      <c r="O1209" s="11"/>
      <c r="P1209" s="11"/>
    </row>
    <row r="1210" spans="7:16" hidden="1" x14ac:dyDescent="0.25">
      <c r="G1210" s="16"/>
      <c r="H1210" s="12"/>
      <c r="I1210" s="12"/>
      <c r="J1210" s="12"/>
      <c r="K1210" s="12"/>
      <c r="L1210" s="12"/>
      <c r="M1210" s="11"/>
      <c r="N1210" s="11"/>
      <c r="O1210" s="11"/>
      <c r="P1210" s="11"/>
    </row>
    <row r="1211" spans="7:16" hidden="1" x14ac:dyDescent="0.25">
      <c r="G1211" s="16"/>
      <c r="H1211" s="12"/>
      <c r="I1211" s="12"/>
      <c r="J1211" s="12"/>
      <c r="K1211" s="12"/>
      <c r="L1211" s="12"/>
      <c r="M1211" s="11"/>
      <c r="N1211" s="11"/>
      <c r="O1211" s="11"/>
      <c r="P1211" s="11"/>
    </row>
    <row r="1212" spans="7:16" hidden="1" x14ac:dyDescent="0.25">
      <c r="G1212" s="16"/>
      <c r="H1212" s="12"/>
      <c r="I1212" s="12"/>
      <c r="J1212" s="12"/>
      <c r="K1212" s="12"/>
      <c r="L1212" s="12"/>
      <c r="M1212" s="11"/>
      <c r="N1212" s="11"/>
      <c r="O1212" s="11"/>
      <c r="P1212" s="11"/>
    </row>
    <row r="1213" spans="7:16" hidden="1" x14ac:dyDescent="0.25">
      <c r="G1213" s="16"/>
      <c r="H1213" s="12"/>
      <c r="I1213" s="12"/>
      <c r="J1213" s="12"/>
      <c r="K1213" s="12"/>
      <c r="L1213" s="12"/>
      <c r="M1213" s="11"/>
      <c r="N1213" s="11"/>
      <c r="O1213" s="11"/>
      <c r="P1213" s="11"/>
    </row>
    <row r="1214" spans="7:16" hidden="1" x14ac:dyDescent="0.25">
      <c r="G1214" s="16"/>
      <c r="H1214" s="12"/>
      <c r="I1214" s="12"/>
      <c r="J1214" s="12"/>
      <c r="K1214" s="12"/>
      <c r="L1214" s="12"/>
      <c r="M1214" s="11"/>
      <c r="N1214" s="11"/>
      <c r="O1214" s="11"/>
      <c r="P1214" s="11"/>
    </row>
    <row r="1215" spans="7:16" hidden="1" x14ac:dyDescent="0.25">
      <c r="G1215" s="16"/>
      <c r="H1215" s="12"/>
      <c r="I1215" s="12"/>
      <c r="J1215" s="12"/>
      <c r="K1215" s="12"/>
      <c r="L1215" s="12"/>
      <c r="M1215" s="11"/>
      <c r="N1215" s="11"/>
      <c r="O1215" s="11"/>
      <c r="P1215" s="11"/>
    </row>
    <row r="1216" spans="7:16" hidden="1" x14ac:dyDescent="0.25">
      <c r="G1216" s="16"/>
      <c r="H1216" s="12"/>
      <c r="I1216" s="12"/>
      <c r="J1216" s="12"/>
      <c r="K1216" s="12"/>
      <c r="L1216" s="12"/>
      <c r="M1216" s="11"/>
      <c r="N1216" s="11"/>
      <c r="O1216" s="11"/>
      <c r="P1216" s="11"/>
    </row>
    <row r="1217" spans="7:16" hidden="1" x14ac:dyDescent="0.25">
      <c r="G1217" s="16"/>
      <c r="H1217" s="12"/>
      <c r="I1217" s="12"/>
      <c r="J1217" s="12"/>
      <c r="K1217" s="12"/>
      <c r="L1217" s="12"/>
      <c r="M1217" s="11"/>
      <c r="N1217" s="11"/>
      <c r="O1217" s="11"/>
      <c r="P1217" s="11"/>
    </row>
    <row r="1218" spans="7:16" hidden="1" x14ac:dyDescent="0.25">
      <c r="G1218" s="16"/>
      <c r="H1218" s="12"/>
      <c r="I1218" s="12"/>
      <c r="J1218" s="12"/>
      <c r="K1218" s="12"/>
      <c r="L1218" s="12"/>
      <c r="M1218" s="11"/>
      <c r="N1218" s="11"/>
      <c r="O1218" s="11"/>
      <c r="P1218" s="11"/>
    </row>
    <row r="1219" spans="7:16" hidden="1" x14ac:dyDescent="0.25">
      <c r="G1219" s="16"/>
      <c r="H1219" s="12"/>
      <c r="I1219" s="12"/>
      <c r="J1219" s="12"/>
      <c r="K1219" s="12"/>
      <c r="L1219" s="12"/>
      <c r="M1219" s="11"/>
      <c r="N1219" s="11"/>
      <c r="O1219" s="11"/>
      <c r="P1219" s="11"/>
    </row>
    <row r="1220" spans="7:16" hidden="1" x14ac:dyDescent="0.25">
      <c r="G1220" s="16"/>
      <c r="H1220" s="12"/>
      <c r="I1220" s="12"/>
      <c r="J1220" s="12"/>
      <c r="K1220" s="12"/>
      <c r="L1220" s="12"/>
      <c r="M1220" s="11"/>
      <c r="N1220" s="11"/>
      <c r="O1220" s="11"/>
      <c r="P1220" s="11"/>
    </row>
    <row r="1221" spans="7:16" hidden="1" x14ac:dyDescent="0.25">
      <c r="G1221" s="16"/>
      <c r="H1221" s="12"/>
      <c r="I1221" s="12"/>
      <c r="J1221" s="12"/>
      <c r="K1221" s="12"/>
      <c r="L1221" s="12"/>
      <c r="M1221" s="11"/>
      <c r="N1221" s="11"/>
      <c r="O1221" s="11"/>
      <c r="P1221" s="11"/>
    </row>
    <row r="1222" spans="7:16" hidden="1" x14ac:dyDescent="0.25">
      <c r="G1222" s="16"/>
      <c r="H1222" s="12"/>
      <c r="I1222" s="12"/>
      <c r="J1222" s="12"/>
      <c r="K1222" s="12"/>
      <c r="L1222" s="12"/>
      <c r="M1222" s="11"/>
      <c r="N1222" s="11"/>
      <c r="O1222" s="11"/>
      <c r="P1222" s="11"/>
    </row>
    <row r="1223" spans="7:16" hidden="1" x14ac:dyDescent="0.25">
      <c r="G1223" s="16"/>
      <c r="H1223" s="12"/>
      <c r="I1223" s="12"/>
      <c r="J1223" s="12"/>
      <c r="K1223" s="12"/>
      <c r="L1223" s="12"/>
      <c r="M1223" s="11"/>
      <c r="N1223" s="11"/>
      <c r="O1223" s="11"/>
      <c r="P1223" s="11"/>
    </row>
    <row r="1224" spans="7:16" hidden="1" x14ac:dyDescent="0.25">
      <c r="G1224" s="16"/>
      <c r="H1224" s="12"/>
      <c r="I1224" s="12"/>
      <c r="J1224" s="12"/>
      <c r="K1224" s="12"/>
      <c r="L1224" s="12"/>
      <c r="M1224" s="11"/>
      <c r="N1224" s="11"/>
      <c r="O1224" s="11"/>
      <c r="P1224" s="11"/>
    </row>
    <row r="1225" spans="7:16" hidden="1" x14ac:dyDescent="0.25">
      <c r="G1225" s="16"/>
      <c r="H1225" s="12"/>
      <c r="I1225" s="12"/>
      <c r="J1225" s="12"/>
      <c r="K1225" s="12"/>
      <c r="L1225" s="12"/>
      <c r="M1225" s="11"/>
      <c r="N1225" s="11"/>
      <c r="O1225" s="11"/>
      <c r="P1225" s="11"/>
    </row>
    <row r="1226" spans="7:16" hidden="1" x14ac:dyDescent="0.25">
      <c r="G1226" s="16"/>
      <c r="H1226" s="12"/>
      <c r="I1226" s="12"/>
      <c r="J1226" s="12"/>
      <c r="K1226" s="12"/>
      <c r="L1226" s="12"/>
      <c r="M1226" s="11"/>
      <c r="N1226" s="11"/>
      <c r="O1226" s="11"/>
      <c r="P1226" s="11"/>
    </row>
    <row r="1227" spans="7:16" hidden="1" x14ac:dyDescent="0.25">
      <c r="G1227" s="16"/>
      <c r="H1227" s="12"/>
      <c r="I1227" s="12"/>
      <c r="J1227" s="12"/>
      <c r="K1227" s="12"/>
      <c r="L1227" s="12"/>
      <c r="M1227" s="11"/>
      <c r="N1227" s="11"/>
      <c r="O1227" s="11"/>
      <c r="P1227" s="11"/>
    </row>
    <row r="1228" spans="7:16" hidden="1" x14ac:dyDescent="0.25">
      <c r="G1228" s="16"/>
      <c r="H1228" s="12"/>
      <c r="I1228" s="12"/>
      <c r="J1228" s="12"/>
      <c r="K1228" s="12"/>
      <c r="L1228" s="12"/>
      <c r="M1228" s="11"/>
      <c r="N1228" s="11"/>
      <c r="O1228" s="11"/>
      <c r="P1228" s="11"/>
    </row>
    <row r="1229" spans="7:16" hidden="1" x14ac:dyDescent="0.25">
      <c r="G1229" s="16"/>
      <c r="H1229" s="12"/>
      <c r="I1229" s="12"/>
      <c r="J1229" s="12"/>
      <c r="K1229" s="12"/>
      <c r="L1229" s="12"/>
      <c r="M1229" s="11"/>
      <c r="N1229" s="11"/>
      <c r="O1229" s="11"/>
      <c r="P1229" s="11"/>
    </row>
    <row r="1230" spans="7:16" hidden="1" x14ac:dyDescent="0.25">
      <c r="G1230" s="16"/>
      <c r="H1230" s="12"/>
      <c r="I1230" s="12"/>
      <c r="J1230" s="12"/>
      <c r="K1230" s="12"/>
      <c r="L1230" s="12"/>
      <c r="M1230" s="11"/>
      <c r="N1230" s="11"/>
      <c r="O1230" s="11"/>
      <c r="P1230" s="11"/>
    </row>
    <row r="1231" spans="7:16" hidden="1" x14ac:dyDescent="0.25">
      <c r="G1231" s="16"/>
      <c r="H1231" s="12"/>
      <c r="I1231" s="12"/>
      <c r="J1231" s="12"/>
      <c r="K1231" s="12"/>
      <c r="L1231" s="12"/>
      <c r="M1231" s="11"/>
      <c r="N1231" s="11"/>
      <c r="O1231" s="11"/>
      <c r="P1231" s="11"/>
    </row>
    <row r="1232" spans="7:16" hidden="1" x14ac:dyDescent="0.25">
      <c r="G1232" s="16"/>
      <c r="H1232" s="12"/>
      <c r="I1232" s="12"/>
      <c r="J1232" s="12"/>
      <c r="K1232" s="12"/>
      <c r="L1232" s="12"/>
      <c r="M1232" s="11"/>
      <c r="N1232" s="11"/>
      <c r="O1232" s="11"/>
      <c r="P1232" s="11"/>
    </row>
    <row r="1233" spans="7:16" hidden="1" x14ac:dyDescent="0.25">
      <c r="G1233" s="16"/>
      <c r="H1233" s="12"/>
      <c r="I1233" s="12"/>
      <c r="J1233" s="12"/>
      <c r="K1233" s="12"/>
      <c r="L1233" s="12"/>
      <c r="M1233" s="11"/>
      <c r="N1233" s="11"/>
      <c r="O1233" s="11"/>
      <c r="P1233" s="11"/>
    </row>
    <row r="1234" spans="7:16" hidden="1" x14ac:dyDescent="0.25">
      <c r="G1234" s="16"/>
      <c r="H1234" s="12"/>
      <c r="I1234" s="12"/>
      <c r="J1234" s="12"/>
      <c r="K1234" s="12"/>
      <c r="L1234" s="12"/>
      <c r="M1234" s="11"/>
      <c r="N1234" s="11"/>
      <c r="O1234" s="11"/>
      <c r="P1234" s="11"/>
    </row>
    <row r="1235" spans="7:16" hidden="1" x14ac:dyDescent="0.25">
      <c r="G1235" s="16"/>
      <c r="H1235" s="12"/>
      <c r="I1235" s="12"/>
      <c r="J1235" s="12"/>
      <c r="K1235" s="12"/>
      <c r="L1235" s="12"/>
      <c r="M1235" s="11"/>
      <c r="N1235" s="11"/>
      <c r="O1235" s="11"/>
      <c r="P1235" s="11"/>
    </row>
    <row r="1236" spans="7:16" hidden="1" x14ac:dyDescent="0.25">
      <c r="G1236" s="16"/>
      <c r="H1236" s="12"/>
      <c r="I1236" s="12"/>
      <c r="J1236" s="12"/>
      <c r="K1236" s="12"/>
      <c r="L1236" s="12"/>
      <c r="M1236" s="11"/>
      <c r="N1236" s="11"/>
      <c r="O1236" s="11"/>
      <c r="P1236" s="11"/>
    </row>
    <row r="1237" spans="7:16" hidden="1" x14ac:dyDescent="0.25">
      <c r="G1237" s="16"/>
      <c r="H1237" s="12"/>
      <c r="I1237" s="12"/>
      <c r="J1237" s="12"/>
      <c r="K1237" s="12"/>
      <c r="L1237" s="12"/>
      <c r="M1237" s="11"/>
      <c r="N1237" s="11"/>
      <c r="O1237" s="11"/>
      <c r="P1237" s="11"/>
    </row>
    <row r="1238" spans="7:16" hidden="1" x14ac:dyDescent="0.25">
      <c r="G1238" s="16"/>
      <c r="H1238" s="12"/>
      <c r="I1238" s="12"/>
      <c r="J1238" s="12"/>
      <c r="K1238" s="12"/>
      <c r="L1238" s="12"/>
      <c r="M1238" s="11"/>
      <c r="N1238" s="11"/>
      <c r="O1238" s="11"/>
      <c r="P1238" s="11"/>
    </row>
    <row r="1239" spans="7:16" hidden="1" x14ac:dyDescent="0.25">
      <c r="G1239" s="16"/>
      <c r="H1239" s="12"/>
      <c r="I1239" s="12"/>
      <c r="J1239" s="12"/>
      <c r="K1239" s="12"/>
      <c r="L1239" s="12"/>
      <c r="M1239" s="11"/>
      <c r="N1239" s="11"/>
      <c r="O1239" s="11"/>
      <c r="P1239" s="11"/>
    </row>
    <row r="1240" spans="7:16" hidden="1" x14ac:dyDescent="0.25">
      <c r="G1240" s="16"/>
      <c r="H1240" s="12"/>
      <c r="I1240" s="12"/>
      <c r="J1240" s="12"/>
      <c r="K1240" s="12"/>
      <c r="L1240" s="12"/>
      <c r="M1240" s="11"/>
      <c r="N1240" s="11"/>
      <c r="O1240" s="11"/>
      <c r="P1240" s="11"/>
    </row>
    <row r="1241" spans="7:16" hidden="1" x14ac:dyDescent="0.25">
      <c r="G1241" s="16"/>
      <c r="H1241" s="12"/>
      <c r="I1241" s="12"/>
      <c r="J1241" s="12"/>
      <c r="K1241" s="12"/>
      <c r="L1241" s="12"/>
      <c r="M1241" s="11"/>
      <c r="N1241" s="11"/>
      <c r="O1241" s="11"/>
      <c r="P1241" s="11"/>
    </row>
    <row r="1242" spans="7:16" hidden="1" x14ac:dyDescent="0.25">
      <c r="G1242" s="16"/>
      <c r="H1242" s="12"/>
      <c r="I1242" s="12"/>
      <c r="J1242" s="12"/>
      <c r="K1242" s="12"/>
      <c r="L1242" s="12"/>
      <c r="M1242" s="11"/>
      <c r="N1242" s="11"/>
      <c r="O1242" s="11"/>
      <c r="P1242" s="11"/>
    </row>
    <row r="1243" spans="7:16" hidden="1" x14ac:dyDescent="0.25">
      <c r="G1243" s="16"/>
      <c r="H1243" s="12"/>
      <c r="I1243" s="12"/>
      <c r="J1243" s="12"/>
      <c r="K1243" s="12"/>
      <c r="L1243" s="12"/>
      <c r="M1243" s="11"/>
      <c r="N1243" s="11"/>
      <c r="O1243" s="11"/>
      <c r="P1243" s="11"/>
    </row>
    <row r="1244" spans="7:16" hidden="1" x14ac:dyDescent="0.25">
      <c r="G1244" s="16"/>
      <c r="H1244" s="12"/>
      <c r="I1244" s="12"/>
      <c r="J1244" s="12"/>
      <c r="K1244" s="12"/>
      <c r="L1244" s="12"/>
      <c r="M1244" s="11"/>
      <c r="N1244" s="11"/>
      <c r="O1244" s="11"/>
      <c r="P1244" s="11"/>
    </row>
    <row r="1245" spans="7:16" hidden="1" x14ac:dyDescent="0.25">
      <c r="G1245" s="16"/>
      <c r="H1245" s="12"/>
      <c r="I1245" s="12"/>
      <c r="J1245" s="12"/>
      <c r="K1245" s="12"/>
      <c r="L1245" s="12"/>
      <c r="M1245" s="11"/>
      <c r="N1245" s="11"/>
      <c r="O1245" s="11"/>
      <c r="P1245" s="11"/>
    </row>
    <row r="1246" spans="7:16" hidden="1" x14ac:dyDescent="0.25">
      <c r="G1246" s="16"/>
      <c r="H1246" s="12"/>
      <c r="I1246" s="12"/>
      <c r="J1246" s="12"/>
      <c r="K1246" s="12"/>
      <c r="L1246" s="12"/>
      <c r="M1246" s="11"/>
      <c r="N1246" s="11"/>
      <c r="O1246" s="11"/>
      <c r="P1246" s="11"/>
    </row>
    <row r="1247" spans="7:16" hidden="1" x14ac:dyDescent="0.25">
      <c r="G1247" s="16"/>
      <c r="H1247" s="12"/>
      <c r="I1247" s="12"/>
      <c r="J1247" s="12"/>
      <c r="K1247" s="12"/>
      <c r="L1247" s="12"/>
      <c r="M1247" s="11"/>
      <c r="N1247" s="11"/>
      <c r="O1247" s="11"/>
      <c r="P1247" s="11"/>
    </row>
    <row r="1248" spans="7:16" hidden="1" x14ac:dyDescent="0.25">
      <c r="G1248" s="16"/>
      <c r="H1248" s="12"/>
      <c r="I1248" s="12"/>
      <c r="J1248" s="12"/>
      <c r="K1248" s="12"/>
      <c r="L1248" s="12"/>
      <c r="M1248" s="11"/>
      <c r="N1248" s="11"/>
      <c r="O1248" s="11"/>
      <c r="P1248" s="11"/>
    </row>
    <row r="1249" spans="7:16" hidden="1" x14ac:dyDescent="0.25">
      <c r="G1249" s="16"/>
      <c r="H1249" s="12"/>
      <c r="I1249" s="12"/>
      <c r="J1249" s="12"/>
      <c r="K1249" s="12"/>
      <c r="L1249" s="12"/>
      <c r="M1249" s="11"/>
      <c r="N1249" s="11"/>
      <c r="O1249" s="11"/>
      <c r="P1249" s="11"/>
    </row>
    <row r="1250" spans="7:16" hidden="1" x14ac:dyDescent="0.25">
      <c r="G1250" s="16"/>
      <c r="H1250" s="12"/>
      <c r="I1250" s="12"/>
      <c r="J1250" s="12"/>
      <c r="K1250" s="12"/>
      <c r="L1250" s="12"/>
      <c r="M1250" s="11"/>
      <c r="N1250" s="11"/>
      <c r="O1250" s="11"/>
      <c r="P1250" s="11"/>
    </row>
    <row r="1251" spans="7:16" hidden="1" x14ac:dyDescent="0.25">
      <c r="G1251" s="16"/>
      <c r="H1251" s="12"/>
      <c r="I1251" s="12"/>
      <c r="J1251" s="12"/>
      <c r="K1251" s="12"/>
      <c r="L1251" s="12"/>
      <c r="M1251" s="11"/>
      <c r="N1251" s="11"/>
      <c r="O1251" s="11"/>
      <c r="P1251" s="11"/>
    </row>
    <row r="1252" spans="7:16" hidden="1" x14ac:dyDescent="0.25">
      <c r="G1252" s="16"/>
      <c r="H1252" s="12"/>
      <c r="I1252" s="12"/>
      <c r="J1252" s="12"/>
      <c r="K1252" s="12"/>
      <c r="L1252" s="12"/>
      <c r="M1252" s="11"/>
      <c r="N1252" s="11"/>
      <c r="O1252" s="11"/>
      <c r="P1252" s="11"/>
    </row>
    <row r="1253" spans="7:16" hidden="1" x14ac:dyDescent="0.25">
      <c r="G1253" s="16"/>
      <c r="H1253" s="12"/>
      <c r="I1253" s="12"/>
      <c r="J1253" s="12"/>
      <c r="K1253" s="12"/>
      <c r="L1253" s="12"/>
      <c r="M1253" s="11"/>
      <c r="N1253" s="11"/>
      <c r="O1253" s="11"/>
      <c r="P1253" s="11"/>
    </row>
    <row r="1254" spans="7:16" hidden="1" x14ac:dyDescent="0.25">
      <c r="G1254" s="16"/>
      <c r="H1254" s="12"/>
      <c r="I1254" s="12"/>
      <c r="J1254" s="12"/>
      <c r="K1254" s="12"/>
      <c r="L1254" s="12"/>
      <c r="M1254" s="11"/>
      <c r="N1254" s="11"/>
      <c r="O1254" s="11"/>
      <c r="P1254" s="11"/>
    </row>
    <row r="1255" spans="7:16" hidden="1" x14ac:dyDescent="0.25">
      <c r="G1255" s="16"/>
      <c r="H1255" s="12"/>
      <c r="I1255" s="12"/>
      <c r="J1255" s="12"/>
      <c r="K1255" s="12"/>
      <c r="L1255" s="12"/>
      <c r="M1255" s="11"/>
      <c r="N1255" s="11"/>
      <c r="O1255" s="11"/>
      <c r="P1255" s="11"/>
    </row>
    <row r="1256" spans="7:16" hidden="1" x14ac:dyDescent="0.25">
      <c r="G1256" s="16"/>
      <c r="H1256" s="12"/>
      <c r="I1256" s="12"/>
      <c r="J1256" s="12"/>
      <c r="K1256" s="12"/>
      <c r="L1256" s="12"/>
      <c r="M1256" s="11"/>
      <c r="N1256" s="11"/>
      <c r="O1256" s="11"/>
      <c r="P1256" s="11"/>
    </row>
    <row r="1257" spans="7:16" hidden="1" x14ac:dyDescent="0.25">
      <c r="G1257" s="16"/>
      <c r="H1257" s="12"/>
      <c r="I1257" s="12"/>
      <c r="J1257" s="12"/>
      <c r="K1257" s="12"/>
      <c r="L1257" s="12"/>
      <c r="M1257" s="11"/>
      <c r="N1257" s="11"/>
      <c r="O1257" s="11"/>
      <c r="P1257" s="11"/>
    </row>
    <row r="1258" spans="7:16" hidden="1" x14ac:dyDescent="0.25">
      <c r="G1258" s="16"/>
      <c r="H1258" s="12"/>
      <c r="I1258" s="12"/>
      <c r="J1258" s="12"/>
      <c r="K1258" s="12"/>
      <c r="L1258" s="12"/>
      <c r="M1258" s="11"/>
      <c r="N1258" s="11"/>
      <c r="O1258" s="11"/>
      <c r="P1258" s="11"/>
    </row>
    <row r="1259" spans="7:16" hidden="1" x14ac:dyDescent="0.25">
      <c r="G1259" s="16"/>
      <c r="H1259" s="12"/>
      <c r="I1259" s="12"/>
      <c r="J1259" s="12"/>
      <c r="K1259" s="12"/>
      <c r="L1259" s="12"/>
      <c r="M1259" s="11"/>
      <c r="N1259" s="11"/>
      <c r="O1259" s="11"/>
      <c r="P1259" s="11"/>
    </row>
    <row r="1260" spans="7:16" hidden="1" x14ac:dyDescent="0.25">
      <c r="G1260" s="16"/>
      <c r="H1260" s="12"/>
      <c r="I1260" s="12"/>
      <c r="J1260" s="12"/>
      <c r="K1260" s="12"/>
      <c r="L1260" s="12"/>
      <c r="M1260" s="11"/>
      <c r="N1260" s="11"/>
      <c r="O1260" s="11"/>
      <c r="P1260" s="11"/>
    </row>
    <row r="1261" spans="7:16" hidden="1" x14ac:dyDescent="0.25">
      <c r="G1261" s="16"/>
      <c r="H1261" s="12"/>
      <c r="I1261" s="12"/>
      <c r="J1261" s="12"/>
      <c r="K1261" s="12"/>
      <c r="L1261" s="12"/>
      <c r="M1261" s="11"/>
      <c r="N1261" s="11"/>
      <c r="O1261" s="11"/>
      <c r="P1261" s="11"/>
    </row>
    <row r="1262" spans="7:16" hidden="1" x14ac:dyDescent="0.25">
      <c r="G1262" s="16"/>
      <c r="H1262" s="12"/>
      <c r="I1262" s="12"/>
      <c r="J1262" s="12"/>
      <c r="K1262" s="12"/>
      <c r="L1262" s="12"/>
      <c r="M1262" s="11"/>
      <c r="N1262" s="11"/>
      <c r="O1262" s="11"/>
      <c r="P1262" s="11"/>
    </row>
    <row r="1263" spans="7:16" hidden="1" x14ac:dyDescent="0.25">
      <c r="G1263" s="16"/>
      <c r="H1263" s="12"/>
      <c r="I1263" s="12"/>
      <c r="J1263" s="12"/>
      <c r="K1263" s="12"/>
      <c r="L1263" s="12"/>
      <c r="M1263" s="11"/>
      <c r="N1263" s="11"/>
      <c r="O1263" s="11"/>
      <c r="P1263" s="11"/>
    </row>
    <row r="1264" spans="7:16" hidden="1" x14ac:dyDescent="0.25">
      <c r="G1264" s="16"/>
      <c r="H1264" s="12"/>
      <c r="I1264" s="12"/>
      <c r="J1264" s="12"/>
      <c r="K1264" s="12"/>
      <c r="L1264" s="12"/>
      <c r="M1264" s="11"/>
      <c r="N1264" s="11"/>
      <c r="O1264" s="11"/>
      <c r="P1264" s="11"/>
    </row>
    <row r="1265" spans="7:16" hidden="1" x14ac:dyDescent="0.25">
      <c r="G1265" s="16"/>
      <c r="H1265" s="12"/>
      <c r="I1265" s="12"/>
      <c r="J1265" s="12"/>
      <c r="K1265" s="12"/>
      <c r="L1265" s="12"/>
      <c r="M1265" s="11"/>
      <c r="N1265" s="11"/>
      <c r="O1265" s="11"/>
      <c r="P1265" s="11"/>
    </row>
    <row r="1266" spans="7:16" hidden="1" x14ac:dyDescent="0.25">
      <c r="G1266" s="16"/>
      <c r="H1266" s="12"/>
      <c r="I1266" s="12"/>
      <c r="J1266" s="12"/>
      <c r="K1266" s="12"/>
      <c r="L1266" s="12"/>
      <c r="M1266" s="11"/>
      <c r="N1266" s="11"/>
      <c r="O1266" s="11"/>
      <c r="P1266" s="11"/>
    </row>
    <row r="1267" spans="7:16" hidden="1" x14ac:dyDescent="0.25">
      <c r="G1267" s="16"/>
      <c r="H1267" s="12"/>
      <c r="I1267" s="12"/>
      <c r="J1267" s="12"/>
      <c r="K1267" s="12"/>
      <c r="L1267" s="12"/>
      <c r="M1267" s="11"/>
      <c r="N1267" s="11"/>
      <c r="O1267" s="11"/>
      <c r="P1267" s="11"/>
    </row>
    <row r="1268" spans="7:16" hidden="1" x14ac:dyDescent="0.25">
      <c r="G1268" s="16"/>
      <c r="H1268" s="12"/>
      <c r="I1268" s="12"/>
      <c r="J1268" s="12"/>
      <c r="K1268" s="12"/>
      <c r="L1268" s="12"/>
      <c r="M1268" s="11"/>
      <c r="N1268" s="11"/>
      <c r="O1268" s="11"/>
      <c r="P1268" s="11"/>
    </row>
    <row r="1269" spans="7:16" hidden="1" x14ac:dyDescent="0.25">
      <c r="G1269" s="16"/>
      <c r="H1269" s="12"/>
      <c r="I1269" s="12"/>
      <c r="J1269" s="12"/>
      <c r="K1269" s="12"/>
      <c r="L1269" s="12"/>
      <c r="M1269" s="11"/>
      <c r="N1269" s="11"/>
      <c r="O1269" s="11"/>
      <c r="P1269" s="11"/>
    </row>
    <row r="1270" spans="7:16" hidden="1" x14ac:dyDescent="0.25">
      <c r="G1270" s="16"/>
      <c r="H1270" s="12"/>
      <c r="I1270" s="12"/>
      <c r="J1270" s="12"/>
      <c r="K1270" s="12"/>
      <c r="L1270" s="12"/>
      <c r="M1270" s="11"/>
      <c r="N1270" s="11"/>
      <c r="O1270" s="11"/>
      <c r="P1270" s="11"/>
    </row>
    <row r="1271" spans="7:16" hidden="1" x14ac:dyDescent="0.25">
      <c r="G1271" s="16"/>
      <c r="H1271" s="12"/>
      <c r="I1271" s="12"/>
      <c r="J1271" s="12"/>
      <c r="K1271" s="12"/>
      <c r="L1271" s="12"/>
      <c r="M1271" s="11"/>
      <c r="N1271" s="11"/>
      <c r="O1271" s="11"/>
      <c r="P1271" s="11"/>
    </row>
    <row r="1272" spans="7:16" hidden="1" x14ac:dyDescent="0.25">
      <c r="G1272" s="16"/>
      <c r="H1272" s="12"/>
      <c r="I1272" s="12"/>
      <c r="J1272" s="12"/>
      <c r="K1272" s="12"/>
      <c r="L1272" s="12"/>
      <c r="M1272" s="11"/>
      <c r="N1272" s="11"/>
      <c r="O1272" s="11"/>
      <c r="P1272" s="11"/>
    </row>
    <row r="1273" spans="7:16" hidden="1" x14ac:dyDescent="0.25">
      <c r="G1273" s="16"/>
      <c r="H1273" s="12"/>
      <c r="I1273" s="12"/>
      <c r="J1273" s="12"/>
      <c r="K1273" s="12"/>
      <c r="L1273" s="12"/>
      <c r="M1273" s="11"/>
      <c r="N1273" s="11"/>
      <c r="O1273" s="11"/>
      <c r="P1273" s="11"/>
    </row>
    <row r="1274" spans="7:16" hidden="1" x14ac:dyDescent="0.25">
      <c r="G1274" s="16"/>
      <c r="H1274" s="12"/>
      <c r="I1274" s="12"/>
      <c r="J1274" s="12"/>
      <c r="K1274" s="12"/>
      <c r="L1274" s="12"/>
      <c r="M1274" s="11"/>
      <c r="N1274" s="11"/>
      <c r="O1274" s="11"/>
      <c r="P1274" s="11"/>
    </row>
    <row r="1275" spans="7:16" hidden="1" x14ac:dyDescent="0.25">
      <c r="G1275" s="16"/>
      <c r="H1275" s="12"/>
      <c r="I1275" s="12"/>
      <c r="J1275" s="12"/>
      <c r="K1275" s="12"/>
      <c r="L1275" s="12"/>
      <c r="M1275" s="11"/>
      <c r="N1275" s="11"/>
      <c r="O1275" s="11"/>
      <c r="P1275" s="11"/>
    </row>
    <row r="1276" spans="7:16" hidden="1" x14ac:dyDescent="0.25">
      <c r="G1276" s="16"/>
      <c r="H1276" s="12"/>
      <c r="I1276" s="12"/>
      <c r="J1276" s="12"/>
      <c r="K1276" s="12"/>
      <c r="L1276" s="12"/>
      <c r="M1276" s="11"/>
      <c r="N1276" s="11"/>
      <c r="O1276" s="11"/>
      <c r="P1276" s="11"/>
    </row>
    <row r="1277" spans="7:16" hidden="1" x14ac:dyDescent="0.25">
      <c r="G1277" s="16"/>
      <c r="H1277" s="12"/>
      <c r="I1277" s="12"/>
      <c r="J1277" s="12"/>
      <c r="K1277" s="12"/>
      <c r="L1277" s="12"/>
      <c r="M1277" s="11"/>
      <c r="N1277" s="11"/>
      <c r="O1277" s="11"/>
      <c r="P1277" s="11"/>
    </row>
    <row r="1278" spans="7:16" hidden="1" x14ac:dyDescent="0.25">
      <c r="G1278" s="16"/>
      <c r="H1278" s="12"/>
      <c r="I1278" s="12"/>
      <c r="J1278" s="12"/>
      <c r="K1278" s="12"/>
      <c r="L1278" s="12"/>
      <c r="M1278" s="11"/>
      <c r="N1278" s="11"/>
      <c r="O1278" s="11"/>
      <c r="P1278" s="11"/>
    </row>
    <row r="1279" spans="7:16" hidden="1" x14ac:dyDescent="0.25">
      <c r="G1279" s="16"/>
      <c r="H1279" s="12"/>
      <c r="I1279" s="12"/>
      <c r="J1279" s="12"/>
      <c r="K1279" s="12"/>
      <c r="L1279" s="12"/>
      <c r="M1279" s="11"/>
      <c r="N1279" s="11"/>
      <c r="O1279" s="11"/>
      <c r="P1279" s="11"/>
    </row>
    <row r="1280" spans="7:16" hidden="1" x14ac:dyDescent="0.25">
      <c r="G1280" s="16"/>
      <c r="H1280" s="12"/>
      <c r="I1280" s="12"/>
      <c r="J1280" s="12"/>
      <c r="K1280" s="12"/>
      <c r="L1280" s="12"/>
      <c r="M1280" s="11"/>
      <c r="N1280" s="11"/>
      <c r="O1280" s="11"/>
      <c r="P1280" s="11"/>
    </row>
    <row r="1281" spans="7:16" hidden="1" x14ac:dyDescent="0.25">
      <c r="G1281" s="16"/>
      <c r="H1281" s="12"/>
      <c r="I1281" s="12"/>
      <c r="J1281" s="12"/>
      <c r="K1281" s="12"/>
      <c r="L1281" s="12"/>
      <c r="M1281" s="11"/>
      <c r="N1281" s="11"/>
      <c r="O1281" s="11"/>
      <c r="P1281" s="11"/>
    </row>
    <row r="1282" spans="7:16" hidden="1" x14ac:dyDescent="0.25">
      <c r="G1282" s="16"/>
      <c r="H1282" s="12"/>
      <c r="I1282" s="12"/>
      <c r="J1282" s="12"/>
      <c r="K1282" s="12"/>
      <c r="L1282" s="12"/>
      <c r="M1282" s="11"/>
      <c r="N1282" s="11"/>
      <c r="O1282" s="11"/>
      <c r="P1282" s="11"/>
    </row>
    <row r="1283" spans="7:16" hidden="1" x14ac:dyDescent="0.25">
      <c r="G1283" s="16"/>
      <c r="H1283" s="12"/>
      <c r="I1283" s="12"/>
      <c r="J1283" s="12"/>
      <c r="K1283" s="12"/>
      <c r="L1283" s="12"/>
      <c r="M1283" s="11"/>
      <c r="N1283" s="11"/>
      <c r="O1283" s="11"/>
      <c r="P1283" s="11"/>
    </row>
    <row r="1284" spans="7:16" hidden="1" x14ac:dyDescent="0.25">
      <c r="G1284" s="16"/>
      <c r="H1284" s="12"/>
      <c r="I1284" s="12"/>
      <c r="J1284" s="12"/>
      <c r="K1284" s="12"/>
      <c r="L1284" s="12"/>
      <c r="M1284" s="11"/>
      <c r="N1284" s="11"/>
      <c r="O1284" s="11"/>
      <c r="P1284" s="11"/>
    </row>
    <row r="1285" spans="7:16" hidden="1" x14ac:dyDescent="0.25">
      <c r="G1285" s="16"/>
      <c r="H1285" s="12"/>
      <c r="I1285" s="12"/>
      <c r="J1285" s="12"/>
      <c r="K1285" s="12"/>
      <c r="L1285" s="12"/>
      <c r="M1285" s="11"/>
      <c r="N1285" s="11"/>
      <c r="O1285" s="11"/>
      <c r="P1285" s="11"/>
    </row>
    <row r="1286" spans="7:16" hidden="1" x14ac:dyDescent="0.25">
      <c r="G1286" s="16"/>
      <c r="H1286" s="12"/>
      <c r="I1286" s="12"/>
      <c r="J1286" s="12"/>
      <c r="K1286" s="12"/>
      <c r="L1286" s="12"/>
      <c r="M1286" s="11"/>
      <c r="N1286" s="11"/>
      <c r="O1286" s="11"/>
      <c r="P1286" s="11"/>
    </row>
    <row r="1287" spans="7:16" hidden="1" x14ac:dyDescent="0.25">
      <c r="G1287" s="16"/>
      <c r="H1287" s="12"/>
      <c r="I1287" s="12"/>
      <c r="J1287" s="12"/>
      <c r="K1287" s="12"/>
      <c r="L1287" s="12"/>
      <c r="M1287" s="11"/>
      <c r="N1287" s="11"/>
      <c r="O1287" s="11"/>
      <c r="P1287" s="11"/>
    </row>
    <row r="1288" spans="7:16" hidden="1" x14ac:dyDescent="0.25">
      <c r="G1288" s="16"/>
      <c r="H1288" s="12"/>
      <c r="I1288" s="12"/>
      <c r="J1288" s="12"/>
      <c r="K1288" s="12"/>
      <c r="L1288" s="12"/>
      <c r="M1288" s="11"/>
      <c r="N1288" s="11"/>
      <c r="O1288" s="11"/>
      <c r="P1288" s="11"/>
    </row>
    <row r="1289" spans="7:16" hidden="1" x14ac:dyDescent="0.25">
      <c r="G1289" s="16"/>
      <c r="H1289" s="12"/>
      <c r="I1289" s="12"/>
      <c r="J1289" s="12"/>
      <c r="K1289" s="12"/>
      <c r="L1289" s="12"/>
      <c r="M1289" s="11"/>
      <c r="N1289" s="11"/>
      <c r="O1289" s="11"/>
      <c r="P1289" s="11"/>
    </row>
    <row r="1290" spans="7:16" hidden="1" x14ac:dyDescent="0.25">
      <c r="G1290" s="16"/>
      <c r="H1290" s="12"/>
      <c r="I1290" s="12"/>
      <c r="J1290" s="12"/>
      <c r="K1290" s="12"/>
      <c r="L1290" s="12"/>
      <c r="M1290" s="11"/>
      <c r="N1290" s="11"/>
      <c r="O1290" s="11"/>
      <c r="P1290" s="11"/>
    </row>
    <row r="1291" spans="7:16" hidden="1" x14ac:dyDescent="0.25">
      <c r="G1291" s="16"/>
      <c r="H1291" s="12"/>
      <c r="I1291" s="12"/>
      <c r="J1291" s="12"/>
      <c r="K1291" s="12"/>
      <c r="L1291" s="12"/>
      <c r="M1291" s="11"/>
      <c r="N1291" s="11"/>
      <c r="O1291" s="11"/>
      <c r="P1291" s="11"/>
    </row>
    <row r="1292" spans="7:16" hidden="1" x14ac:dyDescent="0.25">
      <c r="G1292" s="16"/>
      <c r="H1292" s="12"/>
      <c r="I1292" s="12"/>
      <c r="J1292" s="12"/>
      <c r="K1292" s="12"/>
      <c r="L1292" s="12"/>
      <c r="M1292" s="11"/>
      <c r="N1292" s="11"/>
      <c r="O1292" s="11"/>
      <c r="P1292" s="11"/>
    </row>
    <row r="1293" spans="7:16" hidden="1" x14ac:dyDescent="0.25">
      <c r="G1293" s="16"/>
      <c r="H1293" s="12"/>
      <c r="I1293" s="12"/>
      <c r="J1293" s="12"/>
      <c r="K1293" s="12"/>
      <c r="L1293" s="12"/>
      <c r="M1293" s="11"/>
      <c r="N1293" s="11"/>
      <c r="O1293" s="11"/>
      <c r="P1293" s="11"/>
    </row>
    <row r="1294" spans="7:16" hidden="1" x14ac:dyDescent="0.25">
      <c r="G1294" s="16"/>
      <c r="H1294" s="12"/>
      <c r="I1294" s="12"/>
      <c r="J1294" s="12"/>
      <c r="K1294" s="12"/>
      <c r="L1294" s="12"/>
      <c r="M1294" s="11"/>
      <c r="N1294" s="11"/>
      <c r="O1294" s="11"/>
      <c r="P1294" s="11"/>
    </row>
    <row r="1295" spans="7:16" hidden="1" x14ac:dyDescent="0.25">
      <c r="G1295" s="16"/>
      <c r="H1295" s="12"/>
      <c r="I1295" s="12"/>
      <c r="J1295" s="12"/>
      <c r="K1295" s="12"/>
      <c r="L1295" s="12"/>
      <c r="M1295" s="11"/>
      <c r="N1295" s="11"/>
      <c r="O1295" s="11"/>
      <c r="P1295" s="11"/>
    </row>
    <row r="1296" spans="7:16" hidden="1" x14ac:dyDescent="0.25">
      <c r="G1296" s="16"/>
      <c r="H1296" s="12"/>
      <c r="I1296" s="12"/>
      <c r="J1296" s="12"/>
      <c r="K1296" s="12"/>
      <c r="L1296" s="12"/>
      <c r="M1296" s="11"/>
      <c r="N1296" s="11"/>
      <c r="O1296" s="11"/>
      <c r="P1296" s="11"/>
    </row>
    <row r="1297" spans="7:16" hidden="1" x14ac:dyDescent="0.25">
      <c r="G1297" s="16"/>
      <c r="H1297" s="12"/>
      <c r="I1297" s="12"/>
      <c r="J1297" s="12"/>
      <c r="K1297" s="12"/>
      <c r="L1297" s="12"/>
      <c r="M1297" s="11"/>
      <c r="N1297" s="11"/>
      <c r="O1297" s="11"/>
      <c r="P1297" s="11"/>
    </row>
    <row r="1298" spans="7:16" hidden="1" x14ac:dyDescent="0.25">
      <c r="G1298" s="16"/>
      <c r="H1298" s="12"/>
      <c r="I1298" s="12"/>
      <c r="J1298" s="12"/>
      <c r="K1298" s="12"/>
      <c r="L1298" s="12"/>
      <c r="M1298" s="11"/>
      <c r="N1298" s="11"/>
      <c r="O1298" s="11"/>
      <c r="P1298" s="11"/>
    </row>
    <row r="1299" spans="7:16" hidden="1" x14ac:dyDescent="0.25">
      <c r="G1299" s="16"/>
      <c r="H1299" s="12"/>
      <c r="I1299" s="12"/>
      <c r="J1299" s="12"/>
      <c r="K1299" s="12"/>
      <c r="L1299" s="12"/>
      <c r="M1299" s="11"/>
      <c r="N1299" s="11"/>
      <c r="O1299" s="11"/>
      <c r="P1299" s="11"/>
    </row>
    <row r="1300" spans="7:16" hidden="1" x14ac:dyDescent="0.25">
      <c r="G1300" s="16"/>
      <c r="H1300" s="12"/>
      <c r="I1300" s="12"/>
      <c r="J1300" s="12"/>
      <c r="K1300" s="12"/>
      <c r="L1300" s="12"/>
      <c r="M1300" s="11"/>
      <c r="N1300" s="11"/>
      <c r="O1300" s="11"/>
      <c r="P1300" s="11"/>
    </row>
    <row r="1301" spans="7:16" hidden="1" x14ac:dyDescent="0.25">
      <c r="G1301" s="16"/>
      <c r="H1301" s="12"/>
      <c r="I1301" s="12"/>
      <c r="J1301" s="12"/>
      <c r="K1301" s="12"/>
      <c r="L1301" s="12"/>
      <c r="M1301" s="11"/>
      <c r="N1301" s="11"/>
      <c r="O1301" s="11"/>
      <c r="P1301" s="11"/>
    </row>
    <row r="1302" spans="7:16" hidden="1" x14ac:dyDescent="0.25">
      <c r="G1302" s="16"/>
      <c r="H1302" s="12"/>
      <c r="I1302" s="12"/>
      <c r="J1302" s="12"/>
      <c r="K1302" s="12"/>
      <c r="L1302" s="12"/>
      <c r="M1302" s="11"/>
      <c r="N1302" s="11"/>
      <c r="O1302" s="11"/>
      <c r="P1302" s="11"/>
    </row>
    <row r="1303" spans="7:16" hidden="1" x14ac:dyDescent="0.25">
      <c r="G1303" s="16"/>
      <c r="H1303" s="12"/>
      <c r="I1303" s="12"/>
      <c r="J1303" s="12"/>
      <c r="K1303" s="12"/>
      <c r="L1303" s="12"/>
      <c r="M1303" s="11"/>
      <c r="N1303" s="11"/>
      <c r="O1303" s="11"/>
      <c r="P1303" s="11"/>
    </row>
    <row r="1304" spans="7:16" hidden="1" x14ac:dyDescent="0.25">
      <c r="G1304" s="16"/>
      <c r="H1304" s="12"/>
      <c r="I1304" s="12"/>
      <c r="J1304" s="12"/>
      <c r="K1304" s="12"/>
      <c r="L1304" s="12"/>
      <c r="M1304" s="11"/>
      <c r="N1304" s="11"/>
      <c r="O1304" s="11"/>
      <c r="P1304" s="11"/>
    </row>
    <row r="1305" spans="7:16" hidden="1" x14ac:dyDescent="0.25">
      <c r="G1305" s="16"/>
      <c r="H1305" s="12"/>
      <c r="I1305" s="12"/>
      <c r="J1305" s="12"/>
      <c r="K1305" s="12"/>
      <c r="L1305" s="12"/>
      <c r="M1305" s="11"/>
      <c r="N1305" s="11"/>
      <c r="O1305" s="11"/>
      <c r="P1305" s="11"/>
    </row>
    <row r="1306" spans="7:16" hidden="1" x14ac:dyDescent="0.25">
      <c r="G1306" s="16"/>
      <c r="H1306" s="12"/>
      <c r="I1306" s="12"/>
      <c r="J1306" s="12"/>
      <c r="K1306" s="12"/>
      <c r="L1306" s="12"/>
      <c r="M1306" s="11"/>
      <c r="N1306" s="11"/>
      <c r="O1306" s="11"/>
      <c r="P1306" s="11"/>
    </row>
    <row r="1307" spans="7:16" hidden="1" x14ac:dyDescent="0.25">
      <c r="G1307" s="16"/>
      <c r="H1307" s="12"/>
      <c r="I1307" s="12"/>
      <c r="J1307" s="12"/>
      <c r="K1307" s="12"/>
      <c r="L1307" s="12"/>
      <c r="M1307" s="11"/>
      <c r="N1307" s="11"/>
      <c r="O1307" s="11"/>
      <c r="P1307" s="11"/>
    </row>
    <row r="1308" spans="7:16" hidden="1" x14ac:dyDescent="0.25">
      <c r="G1308" s="16"/>
      <c r="H1308" s="12"/>
      <c r="I1308" s="12"/>
      <c r="J1308" s="12"/>
      <c r="K1308" s="12"/>
      <c r="L1308" s="12"/>
      <c r="M1308" s="11"/>
      <c r="N1308" s="11"/>
      <c r="O1308" s="11"/>
      <c r="P1308" s="11"/>
    </row>
    <row r="1309" spans="7:16" hidden="1" x14ac:dyDescent="0.25">
      <c r="G1309" s="16"/>
      <c r="H1309" s="12"/>
      <c r="I1309" s="12"/>
      <c r="J1309" s="12"/>
      <c r="K1309" s="12"/>
      <c r="L1309" s="12"/>
      <c r="M1309" s="11"/>
      <c r="N1309" s="11"/>
      <c r="O1309" s="11"/>
      <c r="P1309" s="11"/>
    </row>
    <row r="1310" spans="7:16" hidden="1" x14ac:dyDescent="0.25">
      <c r="G1310" s="16"/>
      <c r="H1310" s="12"/>
      <c r="I1310" s="12"/>
      <c r="J1310" s="12"/>
      <c r="K1310" s="12"/>
      <c r="L1310" s="12"/>
      <c r="M1310" s="11"/>
      <c r="N1310" s="11"/>
      <c r="O1310" s="11"/>
      <c r="P1310" s="11"/>
    </row>
    <row r="1311" spans="7:16" hidden="1" x14ac:dyDescent="0.25">
      <c r="G1311" s="16"/>
      <c r="H1311" s="12"/>
      <c r="I1311" s="12"/>
      <c r="J1311" s="12"/>
      <c r="K1311" s="12"/>
      <c r="L1311" s="12"/>
      <c r="M1311" s="11"/>
      <c r="N1311" s="11"/>
      <c r="O1311" s="11"/>
      <c r="P1311" s="11"/>
    </row>
    <row r="1312" spans="7:16" hidden="1" x14ac:dyDescent="0.25">
      <c r="G1312" s="16"/>
      <c r="H1312" s="12"/>
      <c r="I1312" s="12"/>
      <c r="J1312" s="12"/>
      <c r="K1312" s="12"/>
      <c r="L1312" s="12"/>
      <c r="M1312" s="11"/>
      <c r="N1312" s="11"/>
      <c r="O1312" s="11"/>
      <c r="P1312" s="11"/>
    </row>
    <row r="1313" spans="7:16" hidden="1" x14ac:dyDescent="0.25">
      <c r="G1313" s="16"/>
      <c r="H1313" s="12"/>
      <c r="I1313" s="12"/>
      <c r="J1313" s="12"/>
      <c r="K1313" s="12"/>
      <c r="L1313" s="12"/>
      <c r="M1313" s="11"/>
      <c r="N1313" s="11"/>
      <c r="O1313" s="11"/>
      <c r="P1313" s="11"/>
    </row>
    <row r="1314" spans="7:16" hidden="1" x14ac:dyDescent="0.25">
      <c r="G1314" s="16"/>
      <c r="H1314" s="12"/>
      <c r="I1314" s="12"/>
      <c r="J1314" s="12"/>
      <c r="K1314" s="12"/>
      <c r="L1314" s="12"/>
      <c r="M1314" s="11"/>
      <c r="N1314" s="11"/>
      <c r="O1314" s="11"/>
      <c r="P1314" s="11"/>
    </row>
    <row r="1315" spans="7:16" hidden="1" x14ac:dyDescent="0.25">
      <c r="G1315" s="16"/>
      <c r="H1315" s="12"/>
      <c r="I1315" s="12"/>
      <c r="J1315" s="12"/>
      <c r="K1315" s="12"/>
      <c r="L1315" s="12"/>
      <c r="M1315" s="11"/>
      <c r="N1315" s="11"/>
      <c r="O1315" s="11"/>
      <c r="P1315" s="11"/>
    </row>
    <row r="1316" spans="7:16" hidden="1" x14ac:dyDescent="0.25">
      <c r="G1316" s="16"/>
      <c r="H1316" s="12"/>
      <c r="I1316" s="12"/>
      <c r="J1316" s="12"/>
      <c r="K1316" s="12"/>
      <c r="L1316" s="12"/>
      <c r="M1316" s="11"/>
      <c r="N1316" s="11"/>
      <c r="O1316" s="11"/>
      <c r="P1316" s="11"/>
    </row>
    <row r="1317" spans="7:16" hidden="1" x14ac:dyDescent="0.25">
      <c r="G1317" s="16"/>
      <c r="H1317" s="12"/>
      <c r="I1317" s="12"/>
      <c r="J1317" s="12"/>
      <c r="K1317" s="12"/>
      <c r="L1317" s="12"/>
      <c r="M1317" s="11"/>
      <c r="N1317" s="11"/>
      <c r="O1317" s="11"/>
      <c r="P1317" s="11"/>
    </row>
    <row r="1318" spans="7:16" hidden="1" x14ac:dyDescent="0.25">
      <c r="G1318" s="16"/>
      <c r="H1318" s="12"/>
      <c r="I1318" s="12"/>
      <c r="J1318" s="12"/>
      <c r="K1318" s="12"/>
      <c r="L1318" s="12"/>
      <c r="M1318" s="11"/>
      <c r="N1318" s="11"/>
      <c r="O1318" s="11"/>
      <c r="P1318" s="11"/>
    </row>
    <row r="1319" spans="7:16" hidden="1" x14ac:dyDescent="0.25">
      <c r="G1319" s="16"/>
      <c r="H1319" s="12"/>
      <c r="I1319" s="12"/>
      <c r="J1319" s="12"/>
      <c r="K1319" s="12"/>
      <c r="L1319" s="12"/>
      <c r="M1319" s="11"/>
      <c r="N1319" s="11"/>
      <c r="O1319" s="11"/>
      <c r="P1319" s="11"/>
    </row>
    <row r="1320" spans="7:16" hidden="1" x14ac:dyDescent="0.25">
      <c r="G1320" s="16"/>
      <c r="H1320" s="12"/>
      <c r="I1320" s="12"/>
      <c r="J1320" s="12"/>
      <c r="K1320" s="12"/>
      <c r="L1320" s="12"/>
      <c r="M1320" s="11"/>
      <c r="N1320" s="11"/>
      <c r="O1320" s="11"/>
      <c r="P1320" s="11"/>
    </row>
    <row r="1321" spans="7:16" hidden="1" x14ac:dyDescent="0.25">
      <c r="G1321" s="16"/>
      <c r="H1321" s="12"/>
      <c r="I1321" s="12"/>
      <c r="J1321" s="12"/>
      <c r="K1321" s="12"/>
      <c r="L1321" s="12"/>
      <c r="M1321" s="11"/>
      <c r="N1321" s="11"/>
      <c r="O1321" s="11"/>
      <c r="P1321" s="11"/>
    </row>
    <row r="1322" spans="7:16" hidden="1" x14ac:dyDescent="0.25">
      <c r="G1322" s="16"/>
      <c r="H1322" s="12"/>
      <c r="I1322" s="12"/>
      <c r="J1322" s="12"/>
      <c r="K1322" s="12"/>
      <c r="L1322" s="12"/>
      <c r="M1322" s="11"/>
      <c r="N1322" s="11"/>
      <c r="O1322" s="11"/>
      <c r="P1322" s="11"/>
    </row>
    <row r="1323" spans="7:16" hidden="1" x14ac:dyDescent="0.25">
      <c r="G1323" s="16"/>
      <c r="H1323" s="12"/>
      <c r="I1323" s="12"/>
      <c r="J1323" s="12"/>
      <c r="K1323" s="12"/>
      <c r="L1323" s="12"/>
      <c r="M1323" s="11"/>
      <c r="N1323" s="11"/>
      <c r="O1323" s="11"/>
      <c r="P1323" s="11"/>
    </row>
    <row r="1324" spans="7:16" hidden="1" x14ac:dyDescent="0.25">
      <c r="G1324" s="16"/>
      <c r="H1324" s="12"/>
      <c r="I1324" s="12"/>
      <c r="J1324" s="12"/>
      <c r="K1324" s="12"/>
      <c r="L1324" s="12"/>
      <c r="M1324" s="11"/>
      <c r="N1324" s="11"/>
      <c r="O1324" s="11"/>
      <c r="P1324" s="11"/>
    </row>
    <row r="1325" spans="7:16" hidden="1" x14ac:dyDescent="0.25">
      <c r="G1325" s="16"/>
      <c r="H1325" s="12"/>
      <c r="I1325" s="12"/>
      <c r="J1325" s="12"/>
      <c r="K1325" s="12"/>
      <c r="L1325" s="12"/>
      <c r="M1325" s="11"/>
      <c r="N1325" s="11"/>
      <c r="O1325" s="11"/>
      <c r="P1325" s="11"/>
    </row>
    <row r="1326" spans="7:16" hidden="1" x14ac:dyDescent="0.25">
      <c r="G1326" s="16"/>
      <c r="H1326" s="12"/>
      <c r="I1326" s="12"/>
      <c r="J1326" s="12"/>
      <c r="K1326" s="12"/>
      <c r="L1326" s="12"/>
      <c r="M1326" s="11"/>
      <c r="N1326" s="11"/>
      <c r="O1326" s="11"/>
      <c r="P1326" s="11"/>
    </row>
    <row r="1327" spans="7:16" hidden="1" x14ac:dyDescent="0.25">
      <c r="G1327" s="16"/>
      <c r="H1327" s="12"/>
      <c r="I1327" s="12"/>
      <c r="J1327" s="12"/>
      <c r="K1327" s="12"/>
      <c r="L1327" s="12"/>
      <c r="M1327" s="11"/>
      <c r="N1327" s="11"/>
      <c r="O1327" s="11"/>
      <c r="P1327" s="11"/>
    </row>
    <row r="1328" spans="7:16" hidden="1" x14ac:dyDescent="0.25">
      <c r="G1328" s="16"/>
      <c r="H1328" s="12"/>
      <c r="I1328" s="12"/>
      <c r="J1328" s="12"/>
      <c r="K1328" s="12"/>
      <c r="L1328" s="12"/>
      <c r="M1328" s="11"/>
      <c r="N1328" s="11"/>
      <c r="O1328" s="11"/>
      <c r="P1328" s="11"/>
    </row>
    <row r="1329" spans="7:16" hidden="1" x14ac:dyDescent="0.25">
      <c r="G1329" s="16"/>
      <c r="H1329" s="12"/>
      <c r="I1329" s="12"/>
      <c r="J1329" s="12"/>
      <c r="K1329" s="12"/>
      <c r="L1329" s="12"/>
      <c r="M1329" s="11"/>
      <c r="N1329" s="11"/>
      <c r="O1329" s="11"/>
      <c r="P1329" s="11"/>
    </row>
    <row r="1330" spans="7:16" hidden="1" x14ac:dyDescent="0.25">
      <c r="G1330" s="16"/>
      <c r="H1330" s="12"/>
      <c r="I1330" s="12"/>
      <c r="J1330" s="12"/>
      <c r="K1330" s="12"/>
      <c r="L1330" s="12"/>
      <c r="M1330" s="11"/>
      <c r="N1330" s="11"/>
      <c r="O1330" s="11"/>
      <c r="P1330" s="11"/>
    </row>
    <row r="1331" spans="7:16" hidden="1" x14ac:dyDescent="0.25">
      <c r="G1331" s="16"/>
      <c r="H1331" s="12"/>
      <c r="I1331" s="12"/>
      <c r="J1331" s="12"/>
      <c r="K1331" s="12"/>
      <c r="L1331" s="12"/>
      <c r="M1331" s="11"/>
      <c r="N1331" s="11"/>
      <c r="O1331" s="11"/>
      <c r="P1331" s="11"/>
    </row>
    <row r="1332" spans="7:16" hidden="1" x14ac:dyDescent="0.25">
      <c r="G1332" s="16"/>
      <c r="H1332" s="12"/>
      <c r="I1332" s="12"/>
      <c r="J1332" s="12"/>
      <c r="K1332" s="12"/>
      <c r="L1332" s="12"/>
      <c r="M1332" s="11"/>
      <c r="N1332" s="11"/>
      <c r="O1332" s="11"/>
      <c r="P1332" s="11"/>
    </row>
    <row r="1333" spans="7:16" hidden="1" x14ac:dyDescent="0.25">
      <c r="G1333" s="16"/>
      <c r="H1333" s="12"/>
      <c r="I1333" s="12"/>
      <c r="J1333" s="12"/>
      <c r="K1333" s="12"/>
      <c r="L1333" s="12"/>
      <c r="M1333" s="11"/>
      <c r="N1333" s="11"/>
      <c r="O1333" s="11"/>
      <c r="P1333" s="11"/>
    </row>
    <row r="1334" spans="7:16" hidden="1" x14ac:dyDescent="0.25">
      <c r="G1334" s="16"/>
      <c r="H1334" s="12"/>
      <c r="I1334" s="12"/>
      <c r="J1334" s="12"/>
      <c r="K1334" s="12"/>
      <c r="L1334" s="12"/>
      <c r="M1334" s="11"/>
      <c r="N1334" s="11"/>
      <c r="O1334" s="11"/>
      <c r="P1334" s="11"/>
    </row>
    <row r="1335" spans="7:16" hidden="1" x14ac:dyDescent="0.25">
      <c r="G1335" s="16"/>
      <c r="H1335" s="12"/>
      <c r="I1335" s="12"/>
      <c r="J1335" s="12"/>
      <c r="K1335" s="12"/>
      <c r="L1335" s="12"/>
      <c r="M1335" s="11"/>
      <c r="N1335" s="11"/>
      <c r="O1335" s="11"/>
      <c r="P1335" s="11"/>
    </row>
    <row r="1336" spans="7:16" hidden="1" x14ac:dyDescent="0.25">
      <c r="G1336" s="16"/>
      <c r="H1336" s="12"/>
      <c r="I1336" s="12"/>
      <c r="J1336" s="12"/>
      <c r="K1336" s="12"/>
      <c r="L1336" s="12"/>
      <c r="M1336" s="11"/>
      <c r="N1336" s="11"/>
      <c r="O1336" s="11"/>
      <c r="P1336" s="11"/>
    </row>
    <row r="1337" spans="7:16" hidden="1" x14ac:dyDescent="0.25">
      <c r="G1337" s="16"/>
      <c r="H1337" s="12"/>
      <c r="I1337" s="12"/>
      <c r="J1337" s="12"/>
      <c r="K1337" s="12"/>
      <c r="L1337" s="12"/>
      <c r="M1337" s="11"/>
      <c r="N1337" s="11"/>
      <c r="O1337" s="11"/>
      <c r="P1337" s="11"/>
    </row>
    <row r="1338" spans="7:16" hidden="1" x14ac:dyDescent="0.25">
      <c r="G1338" s="16"/>
      <c r="H1338" s="12"/>
      <c r="I1338" s="12"/>
      <c r="J1338" s="12"/>
      <c r="K1338" s="12"/>
      <c r="L1338" s="12"/>
      <c r="M1338" s="11"/>
      <c r="N1338" s="11"/>
      <c r="O1338" s="11"/>
      <c r="P1338" s="11"/>
    </row>
    <row r="1339" spans="7:16" hidden="1" x14ac:dyDescent="0.25">
      <c r="G1339" s="16"/>
      <c r="H1339" s="12"/>
      <c r="I1339" s="12"/>
      <c r="J1339" s="12"/>
      <c r="K1339" s="12"/>
      <c r="L1339" s="12"/>
      <c r="M1339" s="11"/>
      <c r="N1339" s="11"/>
      <c r="O1339" s="11"/>
      <c r="P1339" s="11"/>
    </row>
    <row r="1340" spans="7:16" hidden="1" x14ac:dyDescent="0.25">
      <c r="G1340" s="16"/>
      <c r="H1340" s="12"/>
      <c r="I1340" s="12"/>
      <c r="J1340" s="12"/>
      <c r="K1340" s="12"/>
      <c r="L1340" s="12"/>
      <c r="M1340" s="11"/>
      <c r="N1340" s="11"/>
      <c r="O1340" s="11"/>
      <c r="P1340" s="11"/>
    </row>
    <row r="1341" spans="7:16" hidden="1" x14ac:dyDescent="0.25">
      <c r="G1341" s="16"/>
      <c r="H1341" s="12"/>
      <c r="I1341" s="12"/>
      <c r="J1341" s="12"/>
      <c r="K1341" s="12"/>
      <c r="L1341" s="12"/>
      <c r="M1341" s="11"/>
      <c r="N1341" s="11"/>
      <c r="O1341" s="11"/>
      <c r="P1341" s="11"/>
    </row>
    <row r="1342" spans="7:16" hidden="1" x14ac:dyDescent="0.25">
      <c r="G1342" s="16"/>
      <c r="H1342" s="12"/>
      <c r="I1342" s="12"/>
      <c r="J1342" s="12"/>
      <c r="K1342" s="12"/>
      <c r="L1342" s="12"/>
      <c r="M1342" s="11"/>
      <c r="N1342" s="11"/>
      <c r="O1342" s="11"/>
      <c r="P1342" s="11"/>
    </row>
    <row r="1343" spans="7:16" hidden="1" x14ac:dyDescent="0.25">
      <c r="G1343" s="16"/>
      <c r="H1343" s="12"/>
      <c r="I1343" s="12"/>
      <c r="J1343" s="12"/>
      <c r="K1343" s="12"/>
      <c r="L1343" s="12"/>
      <c r="M1343" s="11"/>
      <c r="N1343" s="11"/>
      <c r="O1343" s="11"/>
      <c r="P1343" s="11"/>
    </row>
    <row r="1344" spans="7:16" hidden="1" x14ac:dyDescent="0.25">
      <c r="G1344" s="16"/>
      <c r="H1344" s="12"/>
      <c r="I1344" s="12"/>
      <c r="J1344" s="12"/>
      <c r="K1344" s="12"/>
      <c r="L1344" s="12"/>
      <c r="M1344" s="11"/>
      <c r="N1344" s="11"/>
      <c r="O1344" s="11"/>
      <c r="P1344" s="11"/>
    </row>
    <row r="1345" spans="7:16" hidden="1" x14ac:dyDescent="0.25">
      <c r="G1345" s="16"/>
      <c r="H1345" s="12"/>
      <c r="I1345" s="12"/>
      <c r="J1345" s="12"/>
      <c r="K1345" s="12"/>
      <c r="L1345" s="12"/>
      <c r="M1345" s="11"/>
      <c r="N1345" s="11"/>
      <c r="O1345" s="11"/>
      <c r="P1345" s="11"/>
    </row>
    <row r="1346" spans="7:16" hidden="1" x14ac:dyDescent="0.25">
      <c r="G1346" s="16"/>
      <c r="H1346" s="12"/>
      <c r="I1346" s="12"/>
      <c r="J1346" s="12"/>
      <c r="K1346" s="12"/>
      <c r="L1346" s="12"/>
      <c r="M1346" s="11"/>
      <c r="N1346" s="11"/>
      <c r="O1346" s="11"/>
      <c r="P1346" s="11"/>
    </row>
    <row r="1347" spans="7:16" hidden="1" x14ac:dyDescent="0.25">
      <c r="G1347" s="16"/>
      <c r="H1347" s="12"/>
      <c r="I1347" s="12"/>
      <c r="J1347" s="12"/>
      <c r="K1347" s="12"/>
      <c r="L1347" s="12"/>
      <c r="M1347" s="11"/>
      <c r="N1347" s="11"/>
      <c r="O1347" s="11"/>
      <c r="P1347" s="11"/>
    </row>
    <row r="1348" spans="7:16" hidden="1" x14ac:dyDescent="0.25">
      <c r="G1348" s="16"/>
      <c r="H1348" s="12"/>
      <c r="I1348" s="12"/>
      <c r="J1348" s="12"/>
      <c r="K1348" s="12"/>
      <c r="L1348" s="12"/>
      <c r="M1348" s="11"/>
      <c r="N1348" s="11"/>
      <c r="O1348" s="11"/>
      <c r="P1348" s="11"/>
    </row>
    <row r="1349" spans="7:16" hidden="1" x14ac:dyDescent="0.25">
      <c r="G1349" s="16"/>
      <c r="H1349" s="12"/>
      <c r="I1349" s="12"/>
      <c r="J1349" s="12"/>
      <c r="K1349" s="12"/>
      <c r="L1349" s="12"/>
      <c r="M1349" s="11"/>
      <c r="N1349" s="11"/>
      <c r="O1349" s="11"/>
      <c r="P1349" s="11"/>
    </row>
    <row r="1350" spans="7:16" hidden="1" x14ac:dyDescent="0.25">
      <c r="G1350" s="16"/>
      <c r="H1350" s="12"/>
      <c r="I1350" s="12"/>
      <c r="J1350" s="12"/>
      <c r="K1350" s="12"/>
      <c r="L1350" s="12"/>
      <c r="M1350" s="11"/>
      <c r="N1350" s="11"/>
      <c r="O1350" s="11"/>
      <c r="P1350" s="11"/>
    </row>
    <row r="1351" spans="7:16" hidden="1" x14ac:dyDescent="0.25">
      <c r="G1351" s="16"/>
      <c r="H1351" s="12"/>
      <c r="I1351" s="12"/>
      <c r="J1351" s="12"/>
      <c r="K1351" s="12"/>
      <c r="L1351" s="12"/>
      <c r="M1351" s="11"/>
      <c r="N1351" s="11"/>
      <c r="O1351" s="11"/>
      <c r="P1351" s="11"/>
    </row>
    <row r="1352" spans="7:16" hidden="1" x14ac:dyDescent="0.25">
      <c r="G1352" s="16"/>
      <c r="H1352" s="12"/>
      <c r="I1352" s="12"/>
      <c r="J1352" s="12"/>
      <c r="K1352" s="12"/>
      <c r="L1352" s="12"/>
      <c r="M1352" s="11"/>
      <c r="N1352" s="11"/>
      <c r="O1352" s="11"/>
      <c r="P1352" s="11"/>
    </row>
    <row r="1353" spans="7:16" hidden="1" x14ac:dyDescent="0.25">
      <c r="G1353" s="16"/>
      <c r="H1353" s="12"/>
      <c r="I1353" s="12"/>
      <c r="J1353" s="12"/>
      <c r="K1353" s="12"/>
      <c r="L1353" s="12"/>
      <c r="M1353" s="11"/>
      <c r="N1353" s="11"/>
      <c r="O1353" s="11"/>
      <c r="P1353" s="11"/>
    </row>
    <row r="1354" spans="7:16" hidden="1" x14ac:dyDescent="0.25">
      <c r="G1354" s="16"/>
      <c r="H1354" s="12"/>
      <c r="I1354" s="12"/>
      <c r="J1354" s="12"/>
      <c r="K1354" s="12"/>
      <c r="L1354" s="12"/>
      <c r="M1354" s="11"/>
      <c r="N1354" s="11"/>
      <c r="O1354" s="11"/>
      <c r="P1354" s="11"/>
    </row>
    <row r="1355" spans="7:16" hidden="1" x14ac:dyDescent="0.25">
      <c r="G1355" s="16"/>
      <c r="H1355" s="12"/>
      <c r="I1355" s="12"/>
      <c r="J1355" s="12"/>
      <c r="K1355" s="12"/>
      <c r="L1355" s="12"/>
      <c r="M1355" s="11"/>
      <c r="N1355" s="11"/>
      <c r="O1355" s="11"/>
      <c r="P1355" s="11"/>
    </row>
    <row r="1356" spans="7:16" hidden="1" x14ac:dyDescent="0.25">
      <c r="G1356" s="16"/>
      <c r="H1356" s="12"/>
      <c r="I1356" s="12"/>
      <c r="J1356" s="12"/>
      <c r="K1356" s="12"/>
      <c r="L1356" s="12"/>
      <c r="M1356" s="11"/>
      <c r="N1356" s="11"/>
      <c r="O1356" s="11"/>
      <c r="P1356" s="11"/>
    </row>
    <row r="1357" spans="7:16" hidden="1" x14ac:dyDescent="0.25">
      <c r="G1357" s="16"/>
      <c r="H1357" s="12"/>
      <c r="I1357" s="12"/>
      <c r="J1357" s="12"/>
      <c r="K1357" s="12"/>
      <c r="L1357" s="12"/>
      <c r="M1357" s="11"/>
      <c r="N1357" s="11"/>
      <c r="O1357" s="11"/>
      <c r="P1357" s="11"/>
    </row>
    <row r="1358" spans="7:16" hidden="1" x14ac:dyDescent="0.25">
      <c r="G1358" s="16"/>
      <c r="H1358" s="12"/>
      <c r="I1358" s="12"/>
      <c r="J1358" s="12"/>
      <c r="K1358" s="12"/>
      <c r="L1358" s="12"/>
      <c r="M1358" s="11"/>
      <c r="N1358" s="11"/>
      <c r="O1358" s="11"/>
      <c r="P1358" s="11"/>
    </row>
    <row r="1359" spans="7:16" hidden="1" x14ac:dyDescent="0.25">
      <c r="G1359" s="16"/>
      <c r="H1359" s="12"/>
      <c r="I1359" s="12"/>
      <c r="J1359" s="12"/>
      <c r="K1359" s="12"/>
      <c r="L1359" s="12"/>
      <c r="M1359" s="11"/>
      <c r="N1359" s="11"/>
      <c r="O1359" s="11"/>
      <c r="P1359" s="11"/>
    </row>
    <row r="1360" spans="7:16" hidden="1" x14ac:dyDescent="0.25">
      <c r="G1360" s="16"/>
      <c r="H1360" s="12"/>
      <c r="I1360" s="12"/>
      <c r="J1360" s="12"/>
      <c r="K1360" s="12"/>
      <c r="L1360" s="12"/>
      <c r="M1360" s="11"/>
      <c r="N1360" s="11"/>
      <c r="O1360" s="11"/>
      <c r="P1360" s="11"/>
    </row>
    <row r="1361" spans="7:16" hidden="1" x14ac:dyDescent="0.25">
      <c r="G1361" s="16"/>
      <c r="H1361" s="12"/>
      <c r="I1361" s="12"/>
      <c r="J1361" s="12"/>
      <c r="K1361" s="12"/>
      <c r="L1361" s="12"/>
      <c r="M1361" s="11"/>
      <c r="N1361" s="11"/>
      <c r="O1361" s="11"/>
      <c r="P1361" s="11"/>
    </row>
    <row r="1362" spans="7:16" hidden="1" x14ac:dyDescent="0.25">
      <c r="G1362" s="16"/>
      <c r="H1362" s="12"/>
      <c r="I1362" s="12"/>
      <c r="J1362" s="12"/>
      <c r="K1362" s="12"/>
      <c r="L1362" s="12"/>
      <c r="M1362" s="11"/>
      <c r="N1362" s="11"/>
      <c r="O1362" s="11"/>
      <c r="P1362" s="11"/>
    </row>
    <row r="1363" spans="7:16" hidden="1" x14ac:dyDescent="0.25">
      <c r="G1363" s="16"/>
      <c r="H1363" s="12"/>
      <c r="I1363" s="12"/>
      <c r="J1363" s="12"/>
      <c r="K1363" s="12"/>
      <c r="L1363" s="12"/>
      <c r="M1363" s="11"/>
      <c r="N1363" s="11"/>
      <c r="O1363" s="11"/>
      <c r="P1363" s="11"/>
    </row>
    <row r="1364" spans="7:16" hidden="1" x14ac:dyDescent="0.25">
      <c r="G1364" s="16"/>
      <c r="H1364" s="12"/>
      <c r="I1364" s="12"/>
      <c r="J1364" s="12"/>
      <c r="K1364" s="12"/>
      <c r="L1364" s="12"/>
      <c r="M1364" s="11"/>
      <c r="N1364" s="11"/>
      <c r="O1364" s="11"/>
      <c r="P1364" s="11"/>
    </row>
    <row r="1365" spans="7:16" hidden="1" x14ac:dyDescent="0.25">
      <c r="G1365" s="16"/>
      <c r="H1365" s="12"/>
      <c r="I1365" s="12"/>
      <c r="J1365" s="12"/>
      <c r="K1365" s="12"/>
      <c r="L1365" s="12"/>
      <c r="M1365" s="11"/>
      <c r="N1365" s="11"/>
      <c r="O1365" s="11"/>
      <c r="P1365" s="11"/>
    </row>
    <row r="1366" spans="7:16" hidden="1" x14ac:dyDescent="0.25">
      <c r="G1366" s="16"/>
      <c r="H1366" s="12"/>
      <c r="I1366" s="12"/>
      <c r="J1366" s="12"/>
      <c r="K1366" s="12"/>
      <c r="L1366" s="12"/>
      <c r="M1366" s="11"/>
      <c r="N1366" s="11"/>
      <c r="O1366" s="11"/>
      <c r="P1366" s="11"/>
    </row>
    <row r="1367" spans="7:16" hidden="1" x14ac:dyDescent="0.25">
      <c r="G1367" s="16"/>
      <c r="H1367" s="12"/>
      <c r="I1367" s="12"/>
      <c r="J1367" s="12"/>
      <c r="K1367" s="12"/>
      <c r="L1367" s="12"/>
      <c r="M1367" s="11"/>
      <c r="N1367" s="11"/>
      <c r="O1367" s="11"/>
      <c r="P1367" s="11"/>
    </row>
    <row r="1368" spans="7:16" hidden="1" x14ac:dyDescent="0.25">
      <c r="G1368" s="16"/>
      <c r="H1368" s="12"/>
      <c r="I1368" s="12"/>
      <c r="J1368" s="12"/>
      <c r="K1368" s="12"/>
      <c r="L1368" s="12"/>
      <c r="M1368" s="11"/>
      <c r="N1368" s="11"/>
      <c r="O1368" s="11"/>
      <c r="P1368" s="11"/>
    </row>
    <row r="1369" spans="7:16" hidden="1" x14ac:dyDescent="0.25">
      <c r="G1369" s="16"/>
      <c r="H1369" s="12"/>
      <c r="I1369" s="12"/>
      <c r="J1369" s="12"/>
      <c r="K1369" s="12"/>
      <c r="L1369" s="12"/>
      <c r="M1369" s="11"/>
      <c r="N1369" s="11"/>
      <c r="O1369" s="11"/>
      <c r="P1369" s="11"/>
    </row>
    <row r="1370" spans="7:16" hidden="1" x14ac:dyDescent="0.25">
      <c r="G1370" s="16"/>
      <c r="H1370" s="12"/>
      <c r="I1370" s="12"/>
      <c r="J1370" s="12"/>
      <c r="K1370" s="12"/>
      <c r="L1370" s="12"/>
      <c r="M1370" s="11"/>
      <c r="N1370" s="11"/>
      <c r="O1370" s="11"/>
      <c r="P1370" s="11"/>
    </row>
    <row r="1371" spans="7:16" hidden="1" x14ac:dyDescent="0.25">
      <c r="G1371" s="16"/>
      <c r="H1371" s="12"/>
      <c r="I1371" s="12"/>
      <c r="J1371" s="12"/>
      <c r="K1371" s="12"/>
      <c r="L1371" s="12"/>
      <c r="M1371" s="11"/>
      <c r="N1371" s="11"/>
      <c r="O1371" s="11"/>
      <c r="P1371" s="11"/>
    </row>
    <row r="1372" spans="7:16" hidden="1" x14ac:dyDescent="0.25">
      <c r="G1372" s="16"/>
      <c r="H1372" s="12"/>
      <c r="I1372" s="12"/>
      <c r="J1372" s="12"/>
      <c r="K1372" s="12"/>
      <c r="L1372" s="12"/>
      <c r="M1372" s="11"/>
      <c r="N1372" s="11"/>
      <c r="O1372" s="11"/>
      <c r="P1372" s="11"/>
    </row>
    <row r="1373" spans="7:16" hidden="1" x14ac:dyDescent="0.25">
      <c r="G1373" s="16"/>
      <c r="H1373" s="12"/>
      <c r="I1373" s="12"/>
      <c r="J1373" s="12"/>
      <c r="K1373" s="12"/>
      <c r="L1373" s="12"/>
      <c r="M1373" s="11"/>
      <c r="N1373" s="11"/>
      <c r="O1373" s="11"/>
      <c r="P1373" s="11"/>
    </row>
    <row r="1374" spans="7:16" hidden="1" x14ac:dyDescent="0.25">
      <c r="G1374" s="16"/>
      <c r="H1374" s="12"/>
      <c r="I1374" s="12"/>
      <c r="J1374" s="12"/>
      <c r="K1374" s="12"/>
      <c r="L1374" s="12"/>
      <c r="M1374" s="11"/>
      <c r="N1374" s="11"/>
      <c r="O1374" s="11"/>
      <c r="P1374" s="11"/>
    </row>
    <row r="1375" spans="7:16" hidden="1" x14ac:dyDescent="0.25">
      <c r="G1375" s="16"/>
      <c r="H1375" s="12"/>
      <c r="I1375" s="12"/>
      <c r="J1375" s="12"/>
      <c r="K1375" s="12"/>
      <c r="L1375" s="12"/>
      <c r="M1375" s="11"/>
      <c r="N1375" s="11"/>
      <c r="O1375" s="11"/>
      <c r="P1375" s="11"/>
    </row>
    <row r="1376" spans="7:16" hidden="1" x14ac:dyDescent="0.25">
      <c r="G1376" s="16"/>
      <c r="H1376" s="12"/>
      <c r="I1376" s="12"/>
      <c r="J1376" s="12"/>
      <c r="K1376" s="12"/>
      <c r="L1376" s="12"/>
      <c r="M1376" s="11"/>
      <c r="N1376" s="11"/>
      <c r="O1376" s="11"/>
      <c r="P1376" s="11"/>
    </row>
    <row r="1377" spans="7:16" hidden="1" x14ac:dyDescent="0.25">
      <c r="G1377" s="16"/>
      <c r="H1377" s="12"/>
      <c r="I1377" s="12"/>
      <c r="J1377" s="12"/>
      <c r="K1377" s="12"/>
      <c r="L1377" s="12"/>
      <c r="M1377" s="11"/>
      <c r="N1377" s="11"/>
      <c r="O1377" s="11"/>
      <c r="P1377" s="11"/>
    </row>
    <row r="1378" spans="7:16" hidden="1" x14ac:dyDescent="0.25">
      <c r="G1378" s="16"/>
      <c r="H1378" s="12"/>
      <c r="I1378" s="12"/>
      <c r="J1378" s="12"/>
      <c r="K1378" s="12"/>
      <c r="L1378" s="12"/>
      <c r="M1378" s="11"/>
      <c r="N1378" s="11"/>
      <c r="O1378" s="11"/>
      <c r="P1378" s="11"/>
    </row>
    <row r="1379" spans="7:16" hidden="1" x14ac:dyDescent="0.25">
      <c r="G1379" s="16"/>
      <c r="H1379" s="12"/>
      <c r="I1379" s="12"/>
      <c r="J1379" s="12"/>
      <c r="K1379" s="12"/>
      <c r="L1379" s="12"/>
      <c r="M1379" s="11"/>
      <c r="N1379" s="11"/>
      <c r="O1379" s="11"/>
      <c r="P1379" s="11"/>
    </row>
    <row r="1380" spans="7:16" hidden="1" x14ac:dyDescent="0.25">
      <c r="G1380" s="16"/>
      <c r="H1380" s="12"/>
      <c r="I1380" s="12"/>
      <c r="J1380" s="12"/>
      <c r="K1380" s="12"/>
      <c r="L1380" s="12"/>
      <c r="M1380" s="11"/>
      <c r="N1380" s="11"/>
      <c r="O1380" s="11"/>
      <c r="P1380" s="11"/>
    </row>
    <row r="1381" spans="7:16" hidden="1" x14ac:dyDescent="0.25">
      <c r="G1381" s="16"/>
      <c r="H1381" s="12"/>
      <c r="I1381" s="12"/>
      <c r="J1381" s="12"/>
      <c r="K1381" s="12"/>
      <c r="L1381" s="12"/>
      <c r="M1381" s="11"/>
      <c r="N1381" s="11"/>
      <c r="O1381" s="11"/>
      <c r="P1381" s="11"/>
    </row>
    <row r="1382" spans="7:16" hidden="1" x14ac:dyDescent="0.25">
      <c r="G1382" s="16"/>
      <c r="H1382" s="12"/>
      <c r="I1382" s="12"/>
      <c r="J1382" s="12"/>
      <c r="K1382" s="12"/>
      <c r="L1382" s="12"/>
      <c r="M1382" s="11"/>
      <c r="N1382" s="11"/>
      <c r="O1382" s="11"/>
      <c r="P1382" s="11"/>
    </row>
    <row r="1383" spans="7:16" hidden="1" x14ac:dyDescent="0.25">
      <c r="G1383" s="16"/>
      <c r="H1383" s="12"/>
      <c r="I1383" s="12"/>
      <c r="J1383" s="12"/>
      <c r="K1383" s="12"/>
      <c r="L1383" s="12"/>
      <c r="M1383" s="11"/>
      <c r="N1383" s="11"/>
      <c r="O1383" s="11"/>
      <c r="P1383" s="11"/>
    </row>
    <row r="1384" spans="7:16" hidden="1" x14ac:dyDescent="0.25">
      <c r="G1384" s="16"/>
      <c r="H1384" s="12"/>
      <c r="I1384" s="12"/>
      <c r="J1384" s="12"/>
      <c r="K1384" s="12"/>
      <c r="L1384" s="12"/>
      <c r="M1384" s="11"/>
      <c r="N1384" s="11"/>
      <c r="O1384" s="11"/>
      <c r="P1384" s="11"/>
    </row>
    <row r="1385" spans="7:16" hidden="1" x14ac:dyDescent="0.25">
      <c r="G1385" s="16"/>
      <c r="H1385" s="12"/>
      <c r="I1385" s="12"/>
      <c r="J1385" s="12"/>
      <c r="K1385" s="12"/>
      <c r="L1385" s="12"/>
      <c r="M1385" s="11"/>
      <c r="N1385" s="11"/>
      <c r="O1385" s="11"/>
      <c r="P1385" s="11"/>
    </row>
    <row r="1386" spans="7:16" hidden="1" x14ac:dyDescent="0.25">
      <c r="G1386" s="16"/>
      <c r="H1386" s="12"/>
      <c r="I1386" s="12"/>
      <c r="J1386" s="12"/>
      <c r="K1386" s="12"/>
      <c r="L1386" s="12"/>
      <c r="M1386" s="11"/>
      <c r="N1386" s="11"/>
      <c r="O1386" s="11"/>
      <c r="P1386" s="11"/>
    </row>
    <row r="1387" spans="7:16" hidden="1" x14ac:dyDescent="0.25">
      <c r="G1387" s="16"/>
      <c r="H1387" s="12"/>
      <c r="I1387" s="12"/>
      <c r="J1387" s="12"/>
      <c r="K1387" s="12"/>
      <c r="L1387" s="12"/>
      <c r="M1387" s="11"/>
      <c r="N1387" s="11"/>
      <c r="O1387" s="11"/>
      <c r="P1387" s="11"/>
    </row>
    <row r="1388" spans="7:16" hidden="1" x14ac:dyDescent="0.25">
      <c r="G1388" s="16"/>
      <c r="H1388" s="12"/>
      <c r="I1388" s="12"/>
      <c r="J1388" s="12"/>
      <c r="K1388" s="12"/>
      <c r="L1388" s="12"/>
      <c r="M1388" s="11"/>
      <c r="N1388" s="11"/>
      <c r="O1388" s="11"/>
      <c r="P1388" s="11"/>
    </row>
    <row r="1389" spans="7:16" hidden="1" x14ac:dyDescent="0.25">
      <c r="G1389" s="16"/>
      <c r="H1389" s="12"/>
      <c r="I1389" s="12"/>
      <c r="J1389" s="12"/>
      <c r="K1389" s="12"/>
      <c r="L1389" s="12"/>
      <c r="M1389" s="11"/>
      <c r="N1389" s="11"/>
      <c r="O1389" s="11"/>
      <c r="P1389" s="11"/>
    </row>
    <row r="1390" spans="7:16" hidden="1" x14ac:dyDescent="0.25">
      <c r="G1390" s="16"/>
      <c r="H1390" s="12"/>
      <c r="I1390" s="12"/>
      <c r="J1390" s="12"/>
      <c r="K1390" s="12"/>
      <c r="L1390" s="12"/>
      <c r="M1390" s="11"/>
      <c r="N1390" s="11"/>
      <c r="O1390" s="11"/>
      <c r="P1390" s="11"/>
    </row>
    <row r="1391" spans="7:16" hidden="1" x14ac:dyDescent="0.25">
      <c r="G1391" s="16"/>
      <c r="H1391" s="12"/>
      <c r="I1391" s="12"/>
      <c r="J1391" s="12"/>
      <c r="K1391" s="12"/>
      <c r="L1391" s="12"/>
      <c r="M1391" s="11"/>
      <c r="N1391" s="11"/>
      <c r="O1391" s="11"/>
      <c r="P1391" s="11"/>
    </row>
    <row r="1392" spans="7:16" hidden="1" x14ac:dyDescent="0.25">
      <c r="G1392" s="16"/>
      <c r="H1392" s="12"/>
      <c r="I1392" s="12"/>
      <c r="J1392" s="12"/>
      <c r="K1392" s="12"/>
      <c r="L1392" s="12"/>
      <c r="M1392" s="11"/>
      <c r="N1392" s="11"/>
      <c r="O1392" s="11"/>
      <c r="P1392" s="11"/>
    </row>
    <row r="1393" spans="7:16" hidden="1" x14ac:dyDescent="0.25">
      <c r="G1393" s="16"/>
      <c r="H1393" s="12"/>
      <c r="I1393" s="12"/>
      <c r="J1393" s="12"/>
      <c r="K1393" s="12"/>
      <c r="L1393" s="12"/>
      <c r="M1393" s="11"/>
      <c r="N1393" s="11"/>
      <c r="O1393" s="11"/>
      <c r="P1393" s="11"/>
    </row>
    <row r="1394" spans="7:16" hidden="1" x14ac:dyDescent="0.25">
      <c r="G1394" s="16"/>
      <c r="H1394" s="12"/>
      <c r="I1394" s="12"/>
      <c r="J1394" s="12"/>
      <c r="K1394" s="12"/>
      <c r="L1394" s="12"/>
      <c r="M1394" s="11"/>
      <c r="N1394" s="11"/>
      <c r="O1394" s="11"/>
      <c r="P1394" s="11"/>
    </row>
    <row r="1395" spans="7:16" hidden="1" x14ac:dyDescent="0.25">
      <c r="G1395" s="16"/>
      <c r="H1395" s="12"/>
      <c r="I1395" s="12"/>
      <c r="J1395" s="12"/>
      <c r="K1395" s="12"/>
      <c r="L1395" s="12"/>
      <c r="M1395" s="11"/>
      <c r="N1395" s="11"/>
      <c r="O1395" s="11"/>
      <c r="P1395" s="11"/>
    </row>
    <row r="1396" spans="7:16" hidden="1" x14ac:dyDescent="0.25">
      <c r="G1396" s="16"/>
      <c r="H1396" s="12"/>
      <c r="I1396" s="12"/>
      <c r="J1396" s="12"/>
      <c r="K1396" s="12"/>
      <c r="L1396" s="12"/>
      <c r="M1396" s="11"/>
      <c r="N1396" s="11"/>
      <c r="O1396" s="11"/>
      <c r="P1396" s="11"/>
    </row>
    <row r="1397" spans="7:16" hidden="1" x14ac:dyDescent="0.25">
      <c r="G1397" s="16"/>
      <c r="H1397" s="12"/>
      <c r="I1397" s="12"/>
      <c r="J1397" s="12"/>
      <c r="K1397" s="12"/>
      <c r="L1397" s="12"/>
      <c r="M1397" s="11"/>
      <c r="N1397" s="11"/>
      <c r="O1397" s="11"/>
      <c r="P1397" s="11"/>
    </row>
    <row r="1398" spans="7:16" hidden="1" x14ac:dyDescent="0.25">
      <c r="G1398" s="16"/>
      <c r="H1398" s="12"/>
      <c r="I1398" s="12"/>
      <c r="J1398" s="12"/>
      <c r="K1398" s="12"/>
      <c r="L1398" s="12"/>
      <c r="M1398" s="11"/>
      <c r="N1398" s="11"/>
      <c r="O1398" s="11"/>
      <c r="P1398" s="11"/>
    </row>
    <row r="1399" spans="7:16" hidden="1" x14ac:dyDescent="0.25">
      <c r="G1399" s="16"/>
      <c r="H1399" s="12"/>
      <c r="I1399" s="12"/>
      <c r="J1399" s="12"/>
      <c r="K1399" s="12"/>
      <c r="L1399" s="12"/>
      <c r="M1399" s="11"/>
      <c r="N1399" s="11"/>
      <c r="O1399" s="11"/>
      <c r="P1399" s="11"/>
    </row>
    <row r="1400" spans="7:16" hidden="1" x14ac:dyDescent="0.25">
      <c r="G1400" s="16"/>
      <c r="H1400" s="12"/>
      <c r="I1400" s="12"/>
      <c r="J1400" s="12"/>
      <c r="K1400" s="12"/>
      <c r="L1400" s="12"/>
      <c r="M1400" s="11"/>
      <c r="N1400" s="11"/>
      <c r="O1400" s="11"/>
      <c r="P1400" s="11"/>
    </row>
    <row r="1401" spans="7:16" hidden="1" x14ac:dyDescent="0.25">
      <c r="G1401" s="16"/>
      <c r="H1401" s="12"/>
      <c r="I1401" s="12"/>
      <c r="J1401" s="12"/>
      <c r="K1401" s="12"/>
      <c r="L1401" s="12"/>
      <c r="M1401" s="11"/>
      <c r="N1401" s="11"/>
      <c r="O1401" s="11"/>
      <c r="P1401" s="11"/>
    </row>
    <row r="1402" spans="7:16" hidden="1" x14ac:dyDescent="0.25">
      <c r="G1402" s="16"/>
      <c r="H1402" s="12"/>
      <c r="I1402" s="12"/>
      <c r="J1402" s="12"/>
      <c r="K1402" s="12"/>
      <c r="L1402" s="12"/>
      <c r="M1402" s="11"/>
      <c r="N1402" s="11"/>
      <c r="O1402" s="11"/>
      <c r="P1402" s="11"/>
    </row>
    <row r="1403" spans="7:16" hidden="1" x14ac:dyDescent="0.25">
      <c r="G1403" s="16"/>
      <c r="H1403" s="12"/>
      <c r="I1403" s="12"/>
      <c r="J1403" s="12"/>
      <c r="K1403" s="12"/>
      <c r="L1403" s="12"/>
      <c r="M1403" s="11"/>
      <c r="N1403" s="11"/>
      <c r="O1403" s="11"/>
      <c r="P1403" s="11"/>
    </row>
    <row r="1404" spans="7:16" hidden="1" x14ac:dyDescent="0.25">
      <c r="G1404" s="16"/>
      <c r="H1404" s="12"/>
      <c r="I1404" s="12"/>
      <c r="J1404" s="12"/>
      <c r="K1404" s="12"/>
      <c r="L1404" s="12"/>
      <c r="M1404" s="11"/>
      <c r="N1404" s="11"/>
      <c r="O1404" s="11"/>
      <c r="P1404" s="11"/>
    </row>
    <row r="1405" spans="7:16" hidden="1" x14ac:dyDescent="0.25">
      <c r="G1405" s="16"/>
      <c r="H1405" s="12"/>
      <c r="I1405" s="12"/>
      <c r="J1405" s="12"/>
      <c r="K1405" s="12"/>
      <c r="L1405" s="12"/>
      <c r="M1405" s="11"/>
      <c r="N1405" s="11"/>
      <c r="O1405" s="11"/>
      <c r="P1405" s="11"/>
    </row>
    <row r="1406" spans="7:16" hidden="1" x14ac:dyDescent="0.25">
      <c r="G1406" s="16"/>
      <c r="H1406" s="12"/>
      <c r="I1406" s="12"/>
      <c r="J1406" s="12"/>
      <c r="K1406" s="12"/>
      <c r="L1406" s="12"/>
      <c r="M1406" s="11"/>
      <c r="N1406" s="11"/>
      <c r="O1406" s="11"/>
      <c r="P1406" s="11"/>
    </row>
    <row r="1407" spans="7:16" hidden="1" x14ac:dyDescent="0.25">
      <c r="G1407" s="16"/>
      <c r="H1407" s="12"/>
      <c r="I1407" s="12"/>
      <c r="J1407" s="12"/>
      <c r="K1407" s="12"/>
      <c r="L1407" s="12"/>
      <c r="M1407" s="11"/>
      <c r="N1407" s="11"/>
      <c r="O1407" s="11"/>
      <c r="P1407" s="11"/>
    </row>
    <row r="1408" spans="7:16" hidden="1" x14ac:dyDescent="0.25">
      <c r="G1408" s="16"/>
      <c r="H1408" s="12"/>
      <c r="I1408" s="12"/>
      <c r="J1408" s="12"/>
      <c r="K1408" s="12"/>
      <c r="L1408" s="12"/>
      <c r="M1408" s="11"/>
      <c r="N1408" s="11"/>
      <c r="O1408" s="11"/>
      <c r="P1408" s="11"/>
    </row>
    <row r="1409" spans="7:16" hidden="1" x14ac:dyDescent="0.25">
      <c r="G1409" s="16"/>
      <c r="H1409" s="12"/>
      <c r="I1409" s="12"/>
      <c r="J1409" s="12"/>
      <c r="K1409" s="12"/>
      <c r="L1409" s="12"/>
      <c r="M1409" s="11"/>
      <c r="N1409" s="11"/>
      <c r="O1409" s="11"/>
      <c r="P1409" s="11"/>
    </row>
    <row r="1410" spans="7:16" hidden="1" x14ac:dyDescent="0.25">
      <c r="G1410" s="16"/>
      <c r="H1410" s="12"/>
      <c r="I1410" s="12"/>
      <c r="J1410" s="12"/>
      <c r="K1410" s="12"/>
      <c r="L1410" s="12"/>
      <c r="M1410" s="11"/>
      <c r="N1410" s="11"/>
      <c r="O1410" s="11"/>
      <c r="P1410" s="11"/>
    </row>
    <row r="1411" spans="7:16" hidden="1" x14ac:dyDescent="0.25">
      <c r="G1411" s="16"/>
      <c r="H1411" s="12"/>
      <c r="I1411" s="12"/>
      <c r="J1411" s="12"/>
      <c r="K1411" s="12"/>
      <c r="L1411" s="12"/>
      <c r="M1411" s="11"/>
      <c r="N1411" s="11"/>
      <c r="O1411" s="11"/>
      <c r="P1411" s="11"/>
    </row>
    <row r="1412" spans="7:16" hidden="1" x14ac:dyDescent="0.25">
      <c r="G1412" s="16"/>
      <c r="H1412" s="12"/>
      <c r="I1412" s="12"/>
      <c r="J1412" s="12"/>
      <c r="K1412" s="12"/>
      <c r="L1412" s="12"/>
      <c r="M1412" s="11"/>
      <c r="N1412" s="11"/>
      <c r="O1412" s="11"/>
      <c r="P1412" s="11"/>
    </row>
    <row r="1413" spans="7:16" hidden="1" x14ac:dyDescent="0.25">
      <c r="G1413" s="16"/>
      <c r="H1413" s="12"/>
      <c r="I1413" s="12"/>
      <c r="J1413" s="12"/>
      <c r="K1413" s="12"/>
      <c r="L1413" s="12"/>
      <c r="M1413" s="11"/>
      <c r="N1413" s="11"/>
      <c r="O1413" s="11"/>
      <c r="P1413" s="11"/>
    </row>
    <row r="1414" spans="7:16" hidden="1" x14ac:dyDescent="0.25">
      <c r="G1414" s="16"/>
      <c r="H1414" s="12"/>
      <c r="I1414" s="12"/>
      <c r="J1414" s="12"/>
      <c r="K1414" s="12"/>
      <c r="L1414" s="12"/>
      <c r="M1414" s="11"/>
      <c r="N1414" s="11"/>
      <c r="O1414" s="11"/>
      <c r="P1414" s="11"/>
    </row>
    <row r="1415" spans="7:16" hidden="1" x14ac:dyDescent="0.25">
      <c r="G1415" s="16"/>
      <c r="H1415" s="12"/>
      <c r="I1415" s="12"/>
      <c r="J1415" s="12"/>
      <c r="K1415" s="12"/>
      <c r="L1415" s="12"/>
      <c r="M1415" s="11"/>
      <c r="N1415" s="11"/>
      <c r="O1415" s="11"/>
      <c r="P1415" s="11"/>
    </row>
    <row r="1416" spans="7:16" hidden="1" x14ac:dyDescent="0.25">
      <c r="G1416" s="16"/>
      <c r="H1416" s="12"/>
      <c r="I1416" s="12"/>
      <c r="J1416" s="12"/>
      <c r="K1416" s="12"/>
      <c r="L1416" s="12"/>
      <c r="M1416" s="11"/>
      <c r="N1416" s="11"/>
      <c r="O1416" s="11"/>
      <c r="P1416" s="11"/>
    </row>
    <row r="1417" spans="7:16" hidden="1" x14ac:dyDescent="0.25">
      <c r="G1417" s="16"/>
      <c r="H1417" s="12"/>
      <c r="I1417" s="12"/>
      <c r="J1417" s="12"/>
      <c r="K1417" s="12"/>
      <c r="L1417" s="12"/>
      <c r="M1417" s="11"/>
      <c r="N1417" s="11"/>
      <c r="O1417" s="11"/>
      <c r="P1417" s="11"/>
    </row>
    <row r="1418" spans="7:16" hidden="1" x14ac:dyDescent="0.25">
      <c r="G1418" s="16"/>
      <c r="H1418" s="12"/>
      <c r="I1418" s="12"/>
      <c r="J1418" s="12"/>
      <c r="K1418" s="12"/>
      <c r="L1418" s="12"/>
      <c r="M1418" s="11"/>
      <c r="N1418" s="11"/>
      <c r="O1418" s="11"/>
      <c r="P1418" s="11"/>
    </row>
    <row r="1419" spans="7:16" hidden="1" x14ac:dyDescent="0.25">
      <c r="G1419" s="16"/>
      <c r="H1419" s="12"/>
      <c r="I1419" s="12"/>
      <c r="J1419" s="12"/>
      <c r="K1419" s="12"/>
      <c r="L1419" s="12"/>
      <c r="M1419" s="11"/>
      <c r="N1419" s="11"/>
      <c r="O1419" s="11"/>
      <c r="P1419" s="11"/>
    </row>
    <row r="1420" spans="7:16" hidden="1" x14ac:dyDescent="0.25">
      <c r="G1420" s="16"/>
      <c r="H1420" s="12"/>
      <c r="I1420" s="12"/>
      <c r="J1420" s="12"/>
      <c r="K1420" s="12"/>
      <c r="L1420" s="12"/>
      <c r="M1420" s="11"/>
      <c r="N1420" s="11"/>
      <c r="O1420" s="11"/>
      <c r="P1420" s="11"/>
    </row>
    <row r="1421" spans="7:16" hidden="1" x14ac:dyDescent="0.25">
      <c r="G1421" s="16"/>
      <c r="H1421" s="12"/>
      <c r="I1421" s="12"/>
      <c r="J1421" s="12"/>
      <c r="K1421" s="12"/>
      <c r="L1421" s="12"/>
      <c r="M1421" s="11"/>
      <c r="N1421" s="11"/>
      <c r="O1421" s="11"/>
      <c r="P1421" s="11"/>
    </row>
    <row r="1422" spans="7:16" hidden="1" x14ac:dyDescent="0.25">
      <c r="G1422" s="16"/>
      <c r="H1422" s="12"/>
      <c r="I1422" s="12"/>
      <c r="J1422" s="12"/>
      <c r="K1422" s="12"/>
      <c r="L1422" s="12"/>
      <c r="M1422" s="11"/>
      <c r="N1422" s="11"/>
      <c r="O1422" s="11"/>
      <c r="P1422" s="11"/>
    </row>
    <row r="1423" spans="7:16" hidden="1" x14ac:dyDescent="0.25">
      <c r="G1423" s="16"/>
      <c r="H1423" s="12"/>
      <c r="I1423" s="12"/>
      <c r="J1423" s="12"/>
      <c r="K1423" s="12"/>
      <c r="L1423" s="12"/>
      <c r="M1423" s="11"/>
      <c r="N1423" s="11"/>
      <c r="O1423" s="11"/>
      <c r="P1423" s="11"/>
    </row>
    <row r="1424" spans="7:16" hidden="1" x14ac:dyDescent="0.25">
      <c r="G1424" s="16"/>
      <c r="H1424" s="12"/>
      <c r="I1424" s="12"/>
      <c r="J1424" s="12"/>
      <c r="K1424" s="12"/>
      <c r="L1424" s="12"/>
      <c r="M1424" s="11"/>
      <c r="N1424" s="11"/>
      <c r="O1424" s="11"/>
      <c r="P1424" s="11"/>
    </row>
    <row r="1425" spans="7:16" hidden="1" x14ac:dyDescent="0.25">
      <c r="G1425" s="16"/>
      <c r="H1425" s="12"/>
      <c r="I1425" s="12"/>
      <c r="J1425" s="12"/>
      <c r="K1425" s="12"/>
      <c r="L1425" s="12"/>
      <c r="M1425" s="11"/>
      <c r="N1425" s="11"/>
      <c r="O1425" s="11"/>
      <c r="P1425" s="11"/>
    </row>
    <row r="1426" spans="7:16" hidden="1" x14ac:dyDescent="0.25">
      <c r="G1426" s="16"/>
      <c r="H1426" s="12"/>
      <c r="I1426" s="12"/>
      <c r="J1426" s="12"/>
      <c r="K1426" s="12"/>
      <c r="L1426" s="12"/>
      <c r="M1426" s="11"/>
      <c r="N1426" s="11"/>
      <c r="O1426" s="11"/>
      <c r="P1426" s="11"/>
    </row>
    <row r="1427" spans="7:16" hidden="1" x14ac:dyDescent="0.25">
      <c r="G1427" s="16"/>
      <c r="H1427" s="12"/>
      <c r="I1427" s="12"/>
      <c r="J1427" s="12"/>
      <c r="K1427" s="12"/>
      <c r="L1427" s="12"/>
      <c r="M1427" s="11"/>
      <c r="N1427" s="11"/>
      <c r="O1427" s="11"/>
      <c r="P1427" s="11"/>
    </row>
    <row r="1428" spans="7:16" hidden="1" x14ac:dyDescent="0.25">
      <c r="G1428" s="16"/>
      <c r="H1428" s="12"/>
      <c r="I1428" s="12"/>
      <c r="J1428" s="12"/>
      <c r="K1428" s="12"/>
      <c r="L1428" s="12"/>
      <c r="M1428" s="11"/>
      <c r="N1428" s="11"/>
      <c r="O1428" s="11"/>
      <c r="P1428" s="11"/>
    </row>
    <row r="1429" spans="7:16" hidden="1" x14ac:dyDescent="0.25">
      <c r="G1429" s="16"/>
      <c r="H1429" s="12"/>
      <c r="I1429" s="12"/>
      <c r="J1429" s="12"/>
      <c r="K1429" s="12"/>
      <c r="L1429" s="12"/>
      <c r="M1429" s="11"/>
      <c r="N1429" s="11"/>
      <c r="O1429" s="11"/>
      <c r="P1429" s="11"/>
    </row>
    <row r="1430" spans="7:16" hidden="1" x14ac:dyDescent="0.25">
      <c r="G1430" s="16"/>
      <c r="H1430" s="12"/>
      <c r="I1430" s="12"/>
      <c r="J1430" s="12"/>
      <c r="K1430" s="12"/>
      <c r="L1430" s="12"/>
      <c r="M1430" s="11"/>
      <c r="N1430" s="11"/>
      <c r="O1430" s="11"/>
      <c r="P1430" s="11"/>
    </row>
    <row r="1431" spans="7:16" hidden="1" x14ac:dyDescent="0.25">
      <c r="G1431" s="16"/>
      <c r="H1431" s="12"/>
      <c r="I1431" s="12"/>
      <c r="J1431" s="12"/>
      <c r="K1431" s="12"/>
      <c r="L1431" s="12"/>
      <c r="M1431" s="11"/>
      <c r="N1431" s="11"/>
      <c r="O1431" s="11"/>
      <c r="P1431" s="11"/>
    </row>
    <row r="1432" spans="7:16" hidden="1" x14ac:dyDescent="0.25">
      <c r="G1432" s="16"/>
      <c r="H1432" s="12"/>
      <c r="I1432" s="12"/>
      <c r="J1432" s="12"/>
      <c r="K1432" s="12"/>
      <c r="L1432" s="12"/>
      <c r="M1432" s="11"/>
      <c r="N1432" s="11"/>
      <c r="O1432" s="11"/>
      <c r="P1432" s="11"/>
    </row>
    <row r="1433" spans="7:16" hidden="1" x14ac:dyDescent="0.25">
      <c r="G1433" s="16"/>
      <c r="H1433" s="12"/>
      <c r="I1433" s="12"/>
      <c r="J1433" s="12"/>
      <c r="K1433" s="12"/>
      <c r="L1433" s="12"/>
      <c r="M1433" s="11"/>
      <c r="N1433" s="11"/>
      <c r="O1433" s="11"/>
      <c r="P1433" s="11"/>
    </row>
    <row r="1434" spans="7:16" hidden="1" x14ac:dyDescent="0.25">
      <c r="G1434" s="16"/>
      <c r="H1434" s="12"/>
      <c r="I1434" s="12"/>
      <c r="J1434" s="12"/>
      <c r="K1434" s="12"/>
      <c r="L1434" s="12"/>
      <c r="M1434" s="11"/>
      <c r="N1434" s="11"/>
      <c r="O1434" s="11"/>
      <c r="P1434" s="11"/>
    </row>
    <row r="1435" spans="7:16" hidden="1" x14ac:dyDescent="0.25">
      <c r="G1435" s="16"/>
      <c r="H1435" s="12"/>
      <c r="I1435" s="12"/>
      <c r="J1435" s="12"/>
      <c r="K1435" s="12"/>
      <c r="L1435" s="12"/>
      <c r="M1435" s="11"/>
      <c r="N1435" s="11"/>
      <c r="O1435" s="11"/>
      <c r="P1435" s="11"/>
    </row>
    <row r="1436" spans="7:16" hidden="1" x14ac:dyDescent="0.25">
      <c r="G1436" s="16"/>
      <c r="H1436" s="12"/>
      <c r="I1436" s="12"/>
      <c r="J1436" s="12"/>
      <c r="K1436" s="12"/>
      <c r="L1436" s="12"/>
      <c r="M1436" s="11"/>
      <c r="N1436" s="11"/>
      <c r="O1436" s="11"/>
      <c r="P1436" s="11"/>
    </row>
    <row r="1437" spans="7:16" hidden="1" x14ac:dyDescent="0.25">
      <c r="G1437" s="16"/>
      <c r="H1437" s="12"/>
      <c r="I1437" s="12"/>
      <c r="J1437" s="12"/>
      <c r="K1437" s="12"/>
      <c r="L1437" s="12"/>
      <c r="M1437" s="11"/>
      <c r="N1437" s="11"/>
      <c r="O1437" s="11"/>
      <c r="P1437" s="11"/>
    </row>
    <row r="1438" spans="7:16" hidden="1" x14ac:dyDescent="0.25">
      <c r="G1438" s="16"/>
      <c r="H1438" s="12"/>
      <c r="I1438" s="12"/>
      <c r="J1438" s="12"/>
      <c r="K1438" s="12"/>
      <c r="L1438" s="12"/>
      <c r="M1438" s="11"/>
      <c r="N1438" s="11"/>
      <c r="O1438" s="11"/>
      <c r="P1438" s="11"/>
    </row>
    <row r="1439" spans="7:16" hidden="1" x14ac:dyDescent="0.25">
      <c r="G1439" s="16"/>
      <c r="H1439" s="12"/>
      <c r="I1439" s="12"/>
      <c r="J1439" s="12"/>
      <c r="K1439" s="12"/>
      <c r="L1439" s="12"/>
      <c r="M1439" s="11"/>
      <c r="N1439" s="11"/>
      <c r="O1439" s="11"/>
      <c r="P1439" s="11"/>
    </row>
    <row r="1440" spans="7:16" hidden="1" x14ac:dyDescent="0.25">
      <c r="G1440" s="16"/>
      <c r="H1440" s="12"/>
      <c r="I1440" s="12"/>
      <c r="J1440" s="12"/>
      <c r="K1440" s="12"/>
      <c r="L1440" s="12"/>
      <c r="M1440" s="11"/>
      <c r="N1440" s="11"/>
      <c r="O1440" s="11"/>
      <c r="P1440" s="11"/>
    </row>
    <row r="1441" spans="7:16" hidden="1" x14ac:dyDescent="0.25">
      <c r="G1441" s="16"/>
      <c r="H1441" s="12"/>
      <c r="I1441" s="12"/>
      <c r="J1441" s="12"/>
      <c r="K1441" s="12"/>
      <c r="L1441" s="12"/>
      <c r="M1441" s="11"/>
      <c r="N1441" s="11"/>
      <c r="O1441" s="11"/>
      <c r="P1441" s="11"/>
    </row>
    <row r="1442" spans="7:16" hidden="1" x14ac:dyDescent="0.25">
      <c r="G1442" s="16"/>
      <c r="H1442" s="12"/>
      <c r="I1442" s="12"/>
      <c r="J1442" s="12"/>
      <c r="K1442" s="12"/>
      <c r="L1442" s="12"/>
      <c r="M1442" s="11"/>
      <c r="N1442" s="11"/>
      <c r="O1442" s="11"/>
      <c r="P1442" s="11"/>
    </row>
    <row r="1443" spans="7:16" hidden="1" x14ac:dyDescent="0.25">
      <c r="G1443" s="16"/>
      <c r="H1443" s="12"/>
      <c r="I1443" s="12"/>
      <c r="J1443" s="12"/>
      <c r="K1443" s="12"/>
      <c r="L1443" s="12"/>
      <c r="M1443" s="11"/>
      <c r="N1443" s="11"/>
      <c r="O1443" s="11"/>
      <c r="P1443" s="11"/>
    </row>
    <row r="1444" spans="7:16" hidden="1" x14ac:dyDescent="0.25">
      <c r="G1444" s="16"/>
      <c r="H1444" s="12"/>
      <c r="I1444" s="12"/>
      <c r="J1444" s="12"/>
      <c r="K1444" s="12"/>
      <c r="L1444" s="12"/>
      <c r="M1444" s="11"/>
      <c r="N1444" s="11"/>
      <c r="O1444" s="11"/>
      <c r="P1444" s="11"/>
    </row>
    <row r="1445" spans="7:16" hidden="1" x14ac:dyDescent="0.25">
      <c r="G1445" s="16"/>
      <c r="H1445" s="12"/>
      <c r="I1445" s="12"/>
      <c r="J1445" s="12"/>
      <c r="K1445" s="12"/>
      <c r="L1445" s="12"/>
      <c r="M1445" s="11"/>
      <c r="N1445" s="11"/>
      <c r="O1445" s="11"/>
      <c r="P1445" s="11"/>
    </row>
    <row r="1446" spans="7:16" hidden="1" x14ac:dyDescent="0.25">
      <c r="G1446" s="16"/>
      <c r="H1446" s="12"/>
      <c r="I1446" s="12"/>
      <c r="J1446" s="12"/>
      <c r="K1446" s="12"/>
      <c r="L1446" s="12"/>
      <c r="M1446" s="11"/>
      <c r="N1446" s="11"/>
      <c r="O1446" s="11"/>
      <c r="P1446" s="11"/>
    </row>
    <row r="1447" spans="7:16" hidden="1" x14ac:dyDescent="0.25">
      <c r="G1447" s="16"/>
      <c r="H1447" s="12"/>
      <c r="I1447" s="12"/>
      <c r="J1447" s="12"/>
      <c r="K1447" s="12"/>
      <c r="L1447" s="12"/>
      <c r="M1447" s="11"/>
      <c r="N1447" s="11"/>
      <c r="O1447" s="11"/>
      <c r="P1447" s="11"/>
    </row>
    <row r="1448" spans="7:16" hidden="1" x14ac:dyDescent="0.25">
      <c r="G1448" s="16"/>
      <c r="H1448" s="12"/>
      <c r="I1448" s="12"/>
      <c r="J1448" s="12"/>
      <c r="K1448" s="12"/>
      <c r="L1448" s="12"/>
      <c r="M1448" s="11"/>
      <c r="N1448" s="11"/>
      <c r="O1448" s="11"/>
      <c r="P1448" s="11"/>
    </row>
    <row r="1449" spans="7:16" hidden="1" x14ac:dyDescent="0.25">
      <c r="G1449" s="16"/>
      <c r="H1449" s="12"/>
      <c r="I1449" s="12"/>
      <c r="J1449" s="12"/>
      <c r="K1449" s="12"/>
      <c r="L1449" s="12"/>
      <c r="M1449" s="11"/>
      <c r="N1449" s="11"/>
      <c r="O1449" s="11"/>
      <c r="P1449" s="11"/>
    </row>
    <row r="1450" spans="7:16" hidden="1" x14ac:dyDescent="0.25">
      <c r="G1450" s="16"/>
      <c r="H1450" s="12"/>
      <c r="I1450" s="12"/>
      <c r="J1450" s="12"/>
      <c r="K1450" s="12"/>
      <c r="L1450" s="12"/>
      <c r="M1450" s="11"/>
      <c r="N1450" s="11"/>
      <c r="O1450" s="11"/>
      <c r="P1450" s="11"/>
    </row>
    <row r="1451" spans="7:16" hidden="1" x14ac:dyDescent="0.25">
      <c r="G1451" s="16"/>
      <c r="H1451" s="12"/>
      <c r="I1451" s="12"/>
      <c r="J1451" s="12"/>
      <c r="K1451" s="12"/>
      <c r="L1451" s="12"/>
      <c r="M1451" s="11"/>
      <c r="N1451" s="11"/>
      <c r="O1451" s="11"/>
      <c r="P1451" s="11"/>
    </row>
    <row r="1452" spans="7:16" hidden="1" x14ac:dyDescent="0.25">
      <c r="G1452" s="16"/>
      <c r="H1452" s="12"/>
      <c r="I1452" s="12"/>
      <c r="J1452" s="12"/>
      <c r="K1452" s="12"/>
      <c r="L1452" s="12"/>
      <c r="M1452" s="11"/>
      <c r="N1452" s="11"/>
      <c r="O1452" s="11"/>
      <c r="P1452" s="11"/>
    </row>
    <row r="1453" spans="7:16" hidden="1" x14ac:dyDescent="0.25">
      <c r="G1453" s="16"/>
      <c r="H1453" s="12"/>
      <c r="I1453" s="12"/>
      <c r="J1453" s="12"/>
      <c r="K1453" s="12"/>
      <c r="L1453" s="12"/>
      <c r="M1453" s="11"/>
      <c r="N1453" s="11"/>
      <c r="O1453" s="11"/>
      <c r="P1453" s="11"/>
    </row>
    <row r="1454" spans="7:16" hidden="1" x14ac:dyDescent="0.25">
      <c r="G1454" s="16"/>
      <c r="H1454" s="12"/>
      <c r="I1454" s="12"/>
      <c r="J1454" s="12"/>
      <c r="K1454" s="12"/>
      <c r="L1454" s="12"/>
      <c r="M1454" s="11"/>
      <c r="N1454" s="11"/>
      <c r="O1454" s="11"/>
      <c r="P1454" s="11"/>
    </row>
    <row r="1455" spans="7:16" hidden="1" x14ac:dyDescent="0.25">
      <c r="G1455" s="16"/>
      <c r="H1455" s="12"/>
      <c r="I1455" s="12"/>
      <c r="J1455" s="12"/>
      <c r="K1455" s="12"/>
      <c r="L1455" s="12"/>
      <c r="M1455" s="11"/>
      <c r="N1455" s="11"/>
      <c r="O1455" s="11"/>
      <c r="P1455" s="11"/>
    </row>
    <row r="1456" spans="7:16" hidden="1" x14ac:dyDescent="0.25">
      <c r="G1456" s="16"/>
      <c r="H1456" s="12"/>
      <c r="I1456" s="12"/>
      <c r="J1456" s="12"/>
      <c r="K1456" s="12"/>
      <c r="L1456" s="12"/>
      <c r="M1456" s="11"/>
      <c r="N1456" s="11"/>
      <c r="O1456" s="11"/>
      <c r="P1456" s="11"/>
    </row>
    <row r="1457" spans="7:16" hidden="1" x14ac:dyDescent="0.25">
      <c r="G1457" s="16"/>
      <c r="H1457" s="12"/>
      <c r="I1457" s="12"/>
      <c r="J1457" s="12"/>
      <c r="K1457" s="12"/>
      <c r="L1457" s="12"/>
      <c r="M1457" s="11"/>
      <c r="N1457" s="11"/>
      <c r="O1457" s="11"/>
      <c r="P1457" s="11"/>
    </row>
    <row r="1458" spans="7:16" hidden="1" x14ac:dyDescent="0.25">
      <c r="G1458" s="16"/>
      <c r="H1458" s="12"/>
      <c r="I1458" s="12"/>
      <c r="J1458" s="12"/>
      <c r="K1458" s="12"/>
      <c r="L1458" s="12"/>
      <c r="M1458" s="11"/>
      <c r="N1458" s="11"/>
      <c r="O1458" s="11"/>
      <c r="P1458" s="11"/>
    </row>
    <row r="1459" spans="7:16" hidden="1" x14ac:dyDescent="0.25">
      <c r="G1459" s="16"/>
      <c r="H1459" s="12"/>
      <c r="I1459" s="12"/>
      <c r="J1459" s="12"/>
      <c r="K1459" s="12"/>
      <c r="L1459" s="12"/>
      <c r="M1459" s="11"/>
      <c r="N1459" s="11"/>
      <c r="O1459" s="11"/>
      <c r="P1459" s="11"/>
    </row>
    <row r="1460" spans="7:16" hidden="1" x14ac:dyDescent="0.25">
      <c r="G1460" s="16"/>
      <c r="H1460" s="12"/>
      <c r="I1460" s="12"/>
      <c r="J1460" s="12"/>
      <c r="K1460" s="12"/>
      <c r="L1460" s="12"/>
      <c r="M1460" s="11"/>
      <c r="N1460" s="11"/>
      <c r="O1460" s="11"/>
      <c r="P1460" s="11"/>
    </row>
    <row r="1461" spans="7:16" hidden="1" x14ac:dyDescent="0.25">
      <c r="G1461" s="16"/>
      <c r="H1461" s="12"/>
      <c r="I1461" s="12"/>
      <c r="J1461" s="12"/>
      <c r="K1461" s="12"/>
      <c r="L1461" s="12"/>
      <c r="M1461" s="11"/>
      <c r="N1461" s="11"/>
      <c r="O1461" s="11"/>
      <c r="P1461" s="11"/>
    </row>
    <row r="1462" spans="7:16" hidden="1" x14ac:dyDescent="0.25">
      <c r="G1462" s="16"/>
      <c r="H1462" s="12"/>
      <c r="I1462" s="12"/>
      <c r="J1462" s="12"/>
      <c r="K1462" s="12"/>
      <c r="L1462" s="12"/>
      <c r="M1462" s="11"/>
      <c r="N1462" s="11"/>
      <c r="O1462" s="11"/>
      <c r="P1462" s="11"/>
    </row>
    <row r="1463" spans="7:16" hidden="1" x14ac:dyDescent="0.25">
      <c r="G1463" s="16"/>
      <c r="H1463" s="12"/>
      <c r="I1463" s="12"/>
      <c r="J1463" s="12"/>
      <c r="K1463" s="12"/>
      <c r="L1463" s="12"/>
      <c r="M1463" s="11"/>
      <c r="N1463" s="11"/>
      <c r="O1463" s="11"/>
      <c r="P1463" s="11"/>
    </row>
    <row r="1464" spans="7:16" hidden="1" x14ac:dyDescent="0.25">
      <c r="G1464" s="16"/>
      <c r="H1464" s="12"/>
      <c r="I1464" s="12"/>
      <c r="J1464" s="12"/>
      <c r="K1464" s="12"/>
      <c r="L1464" s="12"/>
      <c r="M1464" s="11"/>
      <c r="N1464" s="11"/>
      <c r="O1464" s="11"/>
      <c r="P1464" s="11"/>
    </row>
    <row r="1465" spans="7:16" hidden="1" x14ac:dyDescent="0.25">
      <c r="G1465" s="16"/>
      <c r="H1465" s="12"/>
      <c r="I1465" s="12"/>
      <c r="J1465" s="12"/>
      <c r="K1465" s="12"/>
      <c r="L1465" s="12"/>
      <c r="M1465" s="11"/>
      <c r="N1465" s="11"/>
      <c r="O1465" s="11"/>
      <c r="P1465" s="11"/>
    </row>
    <row r="1466" spans="7:16" hidden="1" x14ac:dyDescent="0.25">
      <c r="G1466" s="16"/>
      <c r="H1466" s="12"/>
      <c r="I1466" s="12"/>
      <c r="J1466" s="12"/>
      <c r="K1466" s="12"/>
      <c r="L1466" s="12"/>
      <c r="M1466" s="11"/>
      <c r="N1466" s="11"/>
      <c r="O1466" s="11"/>
      <c r="P1466" s="11"/>
    </row>
    <row r="1467" spans="7:16" hidden="1" x14ac:dyDescent="0.25">
      <c r="G1467" s="16"/>
      <c r="H1467" s="12"/>
      <c r="I1467" s="12"/>
      <c r="J1467" s="12"/>
      <c r="K1467" s="12"/>
      <c r="L1467" s="12"/>
      <c r="M1467" s="11"/>
      <c r="N1467" s="11"/>
      <c r="O1467" s="11"/>
      <c r="P1467" s="11"/>
    </row>
    <row r="1468" spans="7:16" hidden="1" x14ac:dyDescent="0.25">
      <c r="G1468" s="16"/>
      <c r="H1468" s="12"/>
      <c r="I1468" s="12"/>
      <c r="J1468" s="12"/>
      <c r="K1468" s="12"/>
      <c r="L1468" s="12"/>
      <c r="M1468" s="11"/>
      <c r="N1468" s="11"/>
      <c r="O1468" s="11"/>
      <c r="P1468" s="11"/>
    </row>
    <row r="1469" spans="7:16" hidden="1" x14ac:dyDescent="0.25">
      <c r="G1469" s="16"/>
      <c r="H1469" s="12"/>
      <c r="I1469" s="12"/>
      <c r="J1469" s="12"/>
      <c r="K1469" s="12"/>
      <c r="L1469" s="12"/>
      <c r="M1469" s="11"/>
      <c r="N1469" s="11"/>
      <c r="O1469" s="11"/>
      <c r="P1469" s="11"/>
    </row>
    <row r="1470" spans="7:16" hidden="1" x14ac:dyDescent="0.25">
      <c r="G1470" s="16"/>
      <c r="H1470" s="12"/>
      <c r="I1470" s="12"/>
      <c r="J1470" s="12"/>
      <c r="K1470" s="12"/>
      <c r="L1470" s="12"/>
      <c r="M1470" s="11"/>
      <c r="N1470" s="11"/>
      <c r="O1470" s="11"/>
      <c r="P1470" s="11"/>
    </row>
    <row r="1471" spans="7:16" hidden="1" x14ac:dyDescent="0.25">
      <c r="G1471" s="16"/>
      <c r="H1471" s="12"/>
      <c r="I1471" s="12"/>
      <c r="J1471" s="12"/>
      <c r="K1471" s="12"/>
      <c r="L1471" s="12"/>
      <c r="M1471" s="11"/>
      <c r="N1471" s="11"/>
      <c r="O1471" s="11"/>
      <c r="P1471" s="11"/>
    </row>
    <row r="1472" spans="7:16" hidden="1" x14ac:dyDescent="0.25">
      <c r="G1472" s="16"/>
      <c r="H1472" s="12"/>
      <c r="I1472" s="12"/>
      <c r="J1472" s="12"/>
      <c r="K1472" s="12"/>
      <c r="L1472" s="12"/>
      <c r="M1472" s="11"/>
      <c r="N1472" s="11"/>
      <c r="O1472" s="11"/>
      <c r="P1472" s="11"/>
    </row>
    <row r="1473" spans="7:16" hidden="1" x14ac:dyDescent="0.25">
      <c r="G1473" s="16"/>
      <c r="H1473" s="12"/>
      <c r="I1473" s="12"/>
      <c r="J1473" s="12"/>
      <c r="K1473" s="12"/>
      <c r="L1473" s="12"/>
      <c r="M1473" s="11"/>
      <c r="N1473" s="11"/>
      <c r="O1473" s="11"/>
      <c r="P1473" s="11"/>
    </row>
    <row r="1474" spans="7:16" hidden="1" x14ac:dyDescent="0.25">
      <c r="G1474" s="16"/>
      <c r="H1474" s="12"/>
      <c r="I1474" s="12"/>
      <c r="J1474" s="12"/>
      <c r="K1474" s="12"/>
      <c r="L1474" s="12"/>
      <c r="M1474" s="11"/>
      <c r="N1474" s="11"/>
      <c r="O1474" s="11"/>
      <c r="P1474" s="11"/>
    </row>
    <row r="1475" spans="7:16" hidden="1" x14ac:dyDescent="0.25">
      <c r="G1475" s="16"/>
      <c r="H1475" s="12"/>
      <c r="I1475" s="12"/>
      <c r="J1475" s="12"/>
      <c r="K1475" s="12"/>
      <c r="L1475" s="12"/>
      <c r="M1475" s="11"/>
      <c r="N1475" s="11"/>
      <c r="O1475" s="11"/>
      <c r="P1475" s="11"/>
    </row>
    <row r="1476" spans="7:16" hidden="1" x14ac:dyDescent="0.25">
      <c r="G1476" s="16"/>
      <c r="H1476" s="12"/>
      <c r="I1476" s="12"/>
      <c r="J1476" s="12"/>
      <c r="K1476" s="12"/>
      <c r="L1476" s="12"/>
      <c r="M1476" s="11"/>
      <c r="N1476" s="11"/>
      <c r="O1476" s="11"/>
      <c r="P1476" s="11"/>
    </row>
    <row r="1477" spans="7:16" hidden="1" x14ac:dyDescent="0.25">
      <c r="G1477" s="16"/>
      <c r="H1477" s="12"/>
      <c r="I1477" s="12"/>
      <c r="J1477" s="12"/>
      <c r="K1477" s="12"/>
      <c r="L1477" s="12"/>
      <c r="M1477" s="11"/>
      <c r="N1477" s="11"/>
      <c r="O1477" s="11"/>
      <c r="P1477" s="11"/>
    </row>
    <row r="1478" spans="7:16" hidden="1" x14ac:dyDescent="0.25">
      <c r="G1478" s="16"/>
      <c r="H1478" s="12"/>
      <c r="I1478" s="12"/>
      <c r="J1478" s="12"/>
      <c r="K1478" s="12"/>
      <c r="L1478" s="12"/>
      <c r="M1478" s="11"/>
      <c r="N1478" s="11"/>
      <c r="O1478" s="11"/>
      <c r="P1478" s="11"/>
    </row>
    <row r="1479" spans="7:16" hidden="1" x14ac:dyDescent="0.25">
      <c r="G1479" s="16"/>
      <c r="H1479" s="12"/>
      <c r="I1479" s="12"/>
      <c r="J1479" s="12"/>
      <c r="K1479" s="12"/>
      <c r="L1479" s="12"/>
      <c r="M1479" s="11"/>
      <c r="N1479" s="11"/>
      <c r="O1479" s="11"/>
      <c r="P1479" s="11"/>
    </row>
    <row r="1480" spans="7:16" hidden="1" x14ac:dyDescent="0.25">
      <c r="G1480" s="16"/>
      <c r="H1480" s="12"/>
      <c r="I1480" s="12"/>
      <c r="J1480" s="12"/>
      <c r="K1480" s="12"/>
      <c r="L1480" s="12"/>
      <c r="M1480" s="11"/>
      <c r="N1480" s="11"/>
      <c r="O1480" s="11"/>
      <c r="P1480" s="11"/>
    </row>
    <row r="1481" spans="7:16" hidden="1" x14ac:dyDescent="0.25">
      <c r="G1481" s="16"/>
      <c r="H1481" s="12"/>
      <c r="I1481" s="12"/>
      <c r="J1481" s="12"/>
      <c r="K1481" s="12"/>
      <c r="L1481" s="12"/>
      <c r="M1481" s="11"/>
      <c r="N1481" s="11"/>
      <c r="O1481" s="11"/>
      <c r="P1481" s="11"/>
    </row>
    <row r="1482" spans="7:16" hidden="1" x14ac:dyDescent="0.25">
      <c r="G1482" s="16"/>
      <c r="H1482" s="12"/>
      <c r="I1482" s="12"/>
      <c r="J1482" s="12"/>
      <c r="K1482" s="12"/>
      <c r="L1482" s="12"/>
      <c r="M1482" s="11"/>
      <c r="N1482" s="11"/>
      <c r="O1482" s="11"/>
      <c r="P1482" s="11"/>
    </row>
    <row r="1483" spans="7:16" hidden="1" x14ac:dyDescent="0.25">
      <c r="G1483" s="16"/>
      <c r="H1483" s="12"/>
      <c r="I1483" s="12"/>
      <c r="J1483" s="12"/>
      <c r="K1483" s="12"/>
      <c r="L1483" s="12"/>
      <c r="M1483" s="11"/>
      <c r="N1483" s="11"/>
      <c r="O1483" s="11"/>
      <c r="P1483" s="11"/>
    </row>
    <row r="1484" spans="7:16" hidden="1" x14ac:dyDescent="0.25">
      <c r="G1484" s="16"/>
      <c r="H1484" s="12"/>
      <c r="I1484" s="12"/>
      <c r="J1484" s="12"/>
      <c r="K1484" s="12"/>
      <c r="L1484" s="12"/>
      <c r="M1484" s="11"/>
      <c r="N1484" s="11"/>
      <c r="O1484" s="11"/>
      <c r="P1484" s="11"/>
    </row>
    <row r="1485" spans="7:16" hidden="1" x14ac:dyDescent="0.25">
      <c r="G1485" s="16"/>
      <c r="H1485" s="12"/>
      <c r="I1485" s="12"/>
      <c r="J1485" s="12"/>
      <c r="K1485" s="12"/>
      <c r="L1485" s="12"/>
      <c r="M1485" s="11"/>
      <c r="N1485" s="11"/>
      <c r="O1485" s="11"/>
      <c r="P1485" s="11"/>
    </row>
    <row r="1486" spans="7:16" hidden="1" x14ac:dyDescent="0.25">
      <c r="G1486" s="16"/>
      <c r="H1486" s="12"/>
      <c r="I1486" s="12"/>
      <c r="J1486" s="12"/>
      <c r="K1486" s="12"/>
      <c r="L1486" s="12"/>
      <c r="M1486" s="11"/>
      <c r="N1486" s="11"/>
      <c r="O1486" s="11"/>
      <c r="P1486" s="11"/>
    </row>
    <row r="1487" spans="7:16" hidden="1" x14ac:dyDescent="0.25">
      <c r="G1487" s="16"/>
      <c r="H1487" s="12"/>
      <c r="I1487" s="12"/>
      <c r="J1487" s="12"/>
      <c r="K1487" s="12"/>
      <c r="L1487" s="12"/>
      <c r="M1487" s="11"/>
      <c r="N1487" s="11"/>
      <c r="O1487" s="11"/>
      <c r="P1487" s="11"/>
    </row>
    <row r="1488" spans="7:16" hidden="1" x14ac:dyDescent="0.25">
      <c r="G1488" s="16"/>
      <c r="H1488" s="12"/>
      <c r="I1488" s="12"/>
      <c r="J1488" s="12"/>
      <c r="K1488" s="12"/>
      <c r="L1488" s="12"/>
      <c r="M1488" s="11"/>
      <c r="N1488" s="11"/>
      <c r="O1488" s="11"/>
      <c r="P1488" s="11"/>
    </row>
    <row r="1489" spans="7:16" hidden="1" x14ac:dyDescent="0.25">
      <c r="G1489" s="16"/>
      <c r="H1489" s="12"/>
      <c r="I1489" s="12"/>
      <c r="J1489" s="12"/>
      <c r="K1489" s="12"/>
      <c r="L1489" s="12"/>
      <c r="M1489" s="11"/>
      <c r="N1489" s="11"/>
      <c r="O1489" s="11"/>
      <c r="P1489" s="11"/>
    </row>
    <row r="1490" spans="7:16" hidden="1" x14ac:dyDescent="0.25">
      <c r="G1490" s="16"/>
      <c r="H1490" s="12"/>
      <c r="I1490" s="12"/>
      <c r="J1490" s="12"/>
      <c r="K1490" s="12"/>
      <c r="L1490" s="12"/>
      <c r="M1490" s="11"/>
      <c r="N1490" s="11"/>
      <c r="O1490" s="11"/>
      <c r="P1490" s="11"/>
    </row>
    <row r="1491" spans="7:16" hidden="1" x14ac:dyDescent="0.25">
      <c r="G1491" s="16"/>
      <c r="H1491" s="12"/>
      <c r="I1491" s="12"/>
      <c r="J1491" s="12"/>
      <c r="K1491" s="12"/>
      <c r="L1491" s="12"/>
      <c r="M1491" s="11"/>
      <c r="N1491" s="11"/>
      <c r="O1491" s="11"/>
      <c r="P1491" s="11"/>
    </row>
    <row r="1492" spans="7:16" hidden="1" x14ac:dyDescent="0.25">
      <c r="G1492" s="16"/>
      <c r="H1492" s="12"/>
      <c r="I1492" s="12"/>
      <c r="J1492" s="12"/>
      <c r="K1492" s="12"/>
      <c r="L1492" s="12"/>
      <c r="M1492" s="11"/>
      <c r="N1492" s="11"/>
      <c r="O1492" s="11"/>
      <c r="P1492" s="11"/>
    </row>
    <row r="1493" spans="7:16" hidden="1" x14ac:dyDescent="0.25">
      <c r="G1493" s="16"/>
      <c r="H1493" s="12"/>
      <c r="I1493" s="12"/>
      <c r="J1493" s="12"/>
      <c r="K1493" s="12"/>
      <c r="L1493" s="12"/>
      <c r="M1493" s="11"/>
      <c r="N1493" s="11"/>
      <c r="O1493" s="11"/>
      <c r="P1493" s="11"/>
    </row>
    <row r="1494" spans="7:16" hidden="1" x14ac:dyDescent="0.25">
      <c r="G1494" s="16"/>
      <c r="H1494" s="12"/>
      <c r="I1494" s="12"/>
      <c r="J1494" s="12"/>
      <c r="K1494" s="12"/>
      <c r="L1494" s="12"/>
      <c r="M1494" s="11"/>
      <c r="N1494" s="11"/>
      <c r="O1494" s="11"/>
      <c r="P1494" s="11"/>
    </row>
    <row r="1495" spans="7:16" hidden="1" x14ac:dyDescent="0.25">
      <c r="G1495" s="16"/>
      <c r="H1495" s="12"/>
      <c r="I1495" s="12"/>
      <c r="J1495" s="12"/>
      <c r="K1495" s="12"/>
      <c r="L1495" s="12"/>
      <c r="M1495" s="11"/>
      <c r="N1495" s="11"/>
      <c r="O1495" s="11"/>
      <c r="P1495" s="11"/>
    </row>
    <row r="1496" spans="7:16" hidden="1" x14ac:dyDescent="0.25">
      <c r="G1496" s="16"/>
      <c r="H1496" s="12"/>
      <c r="I1496" s="12"/>
      <c r="J1496" s="12"/>
      <c r="K1496" s="12"/>
      <c r="L1496" s="12"/>
      <c r="M1496" s="11"/>
      <c r="N1496" s="11"/>
      <c r="O1496" s="11"/>
      <c r="P1496" s="11"/>
    </row>
    <row r="1497" spans="7:16" hidden="1" x14ac:dyDescent="0.25">
      <c r="G1497" s="16"/>
      <c r="H1497" s="12"/>
      <c r="I1497" s="12"/>
      <c r="J1497" s="12"/>
      <c r="K1497" s="12"/>
      <c r="L1497" s="12"/>
      <c r="M1497" s="11"/>
      <c r="N1497" s="11"/>
      <c r="O1497" s="11"/>
      <c r="P1497" s="11"/>
    </row>
    <row r="1498" spans="7:16" hidden="1" x14ac:dyDescent="0.25">
      <c r="G1498" s="16"/>
      <c r="H1498" s="12"/>
      <c r="I1498" s="12"/>
      <c r="J1498" s="12"/>
      <c r="K1498" s="12"/>
      <c r="L1498" s="12"/>
      <c r="M1498" s="11"/>
      <c r="N1498" s="11"/>
      <c r="O1498" s="11"/>
      <c r="P1498" s="11"/>
    </row>
    <row r="1499" spans="7:16" hidden="1" x14ac:dyDescent="0.25">
      <c r="G1499" s="16"/>
      <c r="H1499" s="12"/>
      <c r="I1499" s="12"/>
      <c r="J1499" s="12"/>
      <c r="K1499" s="12"/>
      <c r="L1499" s="12"/>
      <c r="M1499" s="11"/>
      <c r="N1499" s="11"/>
      <c r="O1499" s="11"/>
      <c r="P1499" s="11"/>
    </row>
    <row r="1500" spans="7:16" hidden="1" x14ac:dyDescent="0.25">
      <c r="G1500" s="16"/>
      <c r="H1500" s="12"/>
      <c r="I1500" s="12"/>
      <c r="J1500" s="12"/>
      <c r="K1500" s="12"/>
      <c r="L1500" s="12"/>
      <c r="M1500" s="11"/>
      <c r="N1500" s="11"/>
      <c r="O1500" s="11"/>
      <c r="P1500" s="11"/>
    </row>
    <row r="1501" spans="7:16" hidden="1" x14ac:dyDescent="0.25">
      <c r="G1501" s="16"/>
      <c r="H1501" s="12"/>
      <c r="I1501" s="12"/>
      <c r="J1501" s="12"/>
      <c r="K1501" s="12"/>
      <c r="L1501" s="12"/>
      <c r="M1501" s="11"/>
      <c r="N1501" s="11"/>
      <c r="O1501" s="11"/>
      <c r="P1501" s="11"/>
    </row>
    <row r="1502" spans="7:16" hidden="1" x14ac:dyDescent="0.25">
      <c r="G1502" s="16"/>
      <c r="H1502" s="12"/>
      <c r="I1502" s="12"/>
      <c r="J1502" s="12"/>
      <c r="K1502" s="12"/>
      <c r="L1502" s="12"/>
      <c r="M1502" s="11"/>
      <c r="N1502" s="11"/>
      <c r="O1502" s="11"/>
      <c r="P1502" s="11"/>
    </row>
    <row r="1503" spans="7:16" hidden="1" x14ac:dyDescent="0.25">
      <c r="G1503" s="16"/>
      <c r="H1503" s="12"/>
      <c r="I1503" s="12"/>
      <c r="J1503" s="12"/>
      <c r="K1503" s="12"/>
      <c r="L1503" s="12"/>
      <c r="M1503" s="11"/>
      <c r="N1503" s="11"/>
      <c r="O1503" s="11"/>
      <c r="P1503" s="11"/>
    </row>
    <row r="1504" spans="7:16" hidden="1" x14ac:dyDescent="0.25">
      <c r="G1504" s="16"/>
      <c r="H1504" s="12"/>
      <c r="I1504" s="12"/>
      <c r="J1504" s="12"/>
      <c r="K1504" s="12"/>
      <c r="L1504" s="12"/>
      <c r="M1504" s="11"/>
      <c r="N1504" s="11"/>
      <c r="O1504" s="11"/>
      <c r="P1504" s="11"/>
    </row>
    <row r="1505" spans="7:16" hidden="1" x14ac:dyDescent="0.25">
      <c r="G1505" s="16"/>
      <c r="H1505" s="12"/>
      <c r="I1505" s="12"/>
      <c r="J1505" s="12"/>
      <c r="K1505" s="12"/>
      <c r="L1505" s="12"/>
      <c r="M1505" s="11"/>
      <c r="N1505" s="11"/>
      <c r="O1505" s="11"/>
      <c r="P1505" s="11"/>
    </row>
    <row r="1506" spans="7:16" hidden="1" x14ac:dyDescent="0.25">
      <c r="G1506" s="16"/>
      <c r="H1506" s="12"/>
      <c r="I1506" s="12"/>
      <c r="J1506" s="12"/>
      <c r="K1506" s="12"/>
      <c r="L1506" s="12"/>
      <c r="M1506" s="11"/>
      <c r="N1506" s="11"/>
      <c r="O1506" s="11"/>
      <c r="P1506" s="11"/>
    </row>
    <row r="1507" spans="7:16" hidden="1" x14ac:dyDescent="0.25">
      <c r="G1507" s="16"/>
      <c r="H1507" s="12"/>
      <c r="I1507" s="12"/>
      <c r="J1507" s="12"/>
      <c r="K1507" s="12"/>
      <c r="L1507" s="12"/>
      <c r="M1507" s="11"/>
      <c r="N1507" s="11"/>
      <c r="O1507" s="11"/>
      <c r="P1507" s="11"/>
    </row>
    <row r="1508" spans="7:16" hidden="1" x14ac:dyDescent="0.25">
      <c r="G1508" s="16"/>
      <c r="H1508" s="12"/>
      <c r="I1508" s="12"/>
      <c r="J1508" s="12"/>
      <c r="K1508" s="12"/>
      <c r="L1508" s="12"/>
      <c r="M1508" s="11"/>
      <c r="N1508" s="11"/>
      <c r="O1508" s="11"/>
      <c r="P1508" s="11"/>
    </row>
    <row r="1509" spans="7:16" hidden="1" x14ac:dyDescent="0.25">
      <c r="G1509" s="16"/>
      <c r="H1509" s="12"/>
      <c r="I1509" s="12"/>
      <c r="J1509" s="12"/>
      <c r="K1509" s="12"/>
      <c r="L1509" s="12"/>
      <c r="M1509" s="11"/>
      <c r="N1509" s="11"/>
      <c r="O1509" s="11"/>
      <c r="P1509" s="11"/>
    </row>
    <row r="1510" spans="7:16" hidden="1" x14ac:dyDescent="0.25">
      <c r="G1510" s="16"/>
      <c r="H1510" s="12"/>
      <c r="I1510" s="12"/>
      <c r="J1510" s="12"/>
      <c r="K1510" s="12"/>
      <c r="L1510" s="12"/>
      <c r="M1510" s="11"/>
      <c r="N1510" s="11"/>
      <c r="O1510" s="11"/>
      <c r="P1510" s="11"/>
    </row>
    <row r="1511" spans="7:16" hidden="1" x14ac:dyDescent="0.25">
      <c r="G1511" s="16"/>
      <c r="H1511" s="12"/>
      <c r="I1511" s="12"/>
      <c r="J1511" s="12"/>
      <c r="K1511" s="12"/>
      <c r="L1511" s="12"/>
      <c r="M1511" s="11"/>
      <c r="N1511" s="11"/>
      <c r="O1511" s="11"/>
      <c r="P1511" s="11"/>
    </row>
    <row r="1512" spans="7:16" hidden="1" x14ac:dyDescent="0.25">
      <c r="G1512" s="16"/>
      <c r="H1512" s="12"/>
      <c r="I1512" s="12"/>
      <c r="J1512" s="12"/>
      <c r="K1512" s="12"/>
      <c r="L1512" s="12"/>
      <c r="M1512" s="11"/>
      <c r="N1512" s="11"/>
      <c r="O1512" s="11"/>
      <c r="P1512" s="11"/>
    </row>
    <row r="1513" spans="7:16" hidden="1" x14ac:dyDescent="0.25">
      <c r="G1513" s="16"/>
      <c r="H1513" s="12"/>
      <c r="I1513" s="12"/>
      <c r="J1513" s="12"/>
      <c r="K1513" s="12"/>
      <c r="L1513" s="12"/>
      <c r="M1513" s="11"/>
      <c r="N1513" s="11"/>
      <c r="O1513" s="11"/>
      <c r="P1513" s="11"/>
    </row>
    <row r="1514" spans="7:16" hidden="1" x14ac:dyDescent="0.25">
      <c r="G1514" s="16"/>
      <c r="H1514" s="12"/>
      <c r="I1514" s="12"/>
      <c r="J1514" s="12"/>
      <c r="K1514" s="12"/>
      <c r="L1514" s="12"/>
      <c r="M1514" s="11"/>
      <c r="N1514" s="11"/>
      <c r="O1514" s="11"/>
      <c r="P1514" s="11"/>
    </row>
    <row r="1515" spans="7:16" hidden="1" x14ac:dyDescent="0.25">
      <c r="G1515" s="16"/>
      <c r="H1515" s="12"/>
      <c r="I1515" s="12"/>
      <c r="J1515" s="12"/>
      <c r="K1515" s="12"/>
      <c r="L1515" s="12"/>
      <c r="M1515" s="11"/>
      <c r="N1515" s="11"/>
      <c r="O1515" s="11"/>
      <c r="P1515" s="11"/>
    </row>
    <row r="1516" spans="7:16" hidden="1" x14ac:dyDescent="0.25">
      <c r="G1516" s="16"/>
      <c r="H1516" s="12"/>
      <c r="I1516" s="12"/>
      <c r="J1516" s="12"/>
      <c r="K1516" s="12"/>
      <c r="L1516" s="12"/>
      <c r="M1516" s="11"/>
      <c r="N1516" s="11"/>
      <c r="O1516" s="11"/>
      <c r="P1516" s="11"/>
    </row>
    <row r="1517" spans="7:16" hidden="1" x14ac:dyDescent="0.25">
      <c r="G1517" s="16"/>
      <c r="H1517" s="12"/>
      <c r="I1517" s="12"/>
      <c r="J1517" s="12"/>
      <c r="K1517" s="12"/>
      <c r="L1517" s="12"/>
      <c r="M1517" s="11"/>
      <c r="N1517" s="11"/>
      <c r="O1517" s="11"/>
      <c r="P1517" s="11"/>
    </row>
    <row r="1518" spans="7:16" hidden="1" x14ac:dyDescent="0.25">
      <c r="G1518" s="16"/>
      <c r="H1518" s="12"/>
      <c r="I1518" s="12"/>
      <c r="J1518" s="12"/>
      <c r="K1518" s="12"/>
      <c r="L1518" s="12"/>
      <c r="M1518" s="11"/>
      <c r="N1518" s="11"/>
      <c r="O1518" s="11"/>
      <c r="P1518" s="11"/>
    </row>
    <row r="1519" spans="7:16" hidden="1" x14ac:dyDescent="0.25">
      <c r="G1519" s="16"/>
      <c r="H1519" s="12"/>
      <c r="I1519" s="12"/>
      <c r="J1519" s="12"/>
      <c r="K1519" s="12"/>
      <c r="L1519" s="12"/>
      <c r="M1519" s="11"/>
      <c r="N1519" s="11"/>
      <c r="O1519" s="11"/>
      <c r="P1519" s="11"/>
    </row>
    <row r="1520" spans="7:16" hidden="1" x14ac:dyDescent="0.25">
      <c r="G1520" s="16"/>
      <c r="H1520" s="12"/>
      <c r="I1520" s="12"/>
      <c r="J1520" s="12"/>
      <c r="K1520" s="12"/>
      <c r="L1520" s="12"/>
      <c r="M1520" s="11"/>
      <c r="N1520" s="11"/>
      <c r="O1520" s="11"/>
      <c r="P1520" s="11"/>
    </row>
    <row r="1521" spans="7:16" hidden="1" x14ac:dyDescent="0.25">
      <c r="G1521" s="16"/>
      <c r="H1521" s="12"/>
      <c r="I1521" s="12"/>
      <c r="J1521" s="12"/>
      <c r="K1521" s="12"/>
      <c r="L1521" s="12"/>
      <c r="M1521" s="11"/>
      <c r="N1521" s="11"/>
      <c r="O1521" s="11"/>
      <c r="P1521" s="11"/>
    </row>
    <row r="1522" spans="7:16" hidden="1" x14ac:dyDescent="0.25">
      <c r="G1522" s="16"/>
      <c r="H1522" s="12"/>
      <c r="I1522" s="12"/>
      <c r="J1522" s="12"/>
      <c r="K1522" s="12"/>
      <c r="L1522" s="12"/>
      <c r="M1522" s="11"/>
      <c r="N1522" s="11"/>
      <c r="O1522" s="11"/>
      <c r="P1522" s="11"/>
    </row>
    <row r="1523" spans="7:16" hidden="1" x14ac:dyDescent="0.25">
      <c r="G1523" s="16"/>
      <c r="H1523" s="12"/>
      <c r="I1523" s="12"/>
      <c r="J1523" s="12"/>
      <c r="K1523" s="12"/>
      <c r="L1523" s="12"/>
      <c r="M1523" s="11"/>
      <c r="N1523" s="11"/>
      <c r="O1523" s="11"/>
      <c r="P1523" s="11"/>
    </row>
    <row r="1524" spans="7:16" hidden="1" x14ac:dyDescent="0.25">
      <c r="G1524" s="16"/>
      <c r="H1524" s="12"/>
      <c r="I1524" s="12"/>
      <c r="J1524" s="12"/>
      <c r="K1524" s="12"/>
      <c r="L1524" s="12"/>
      <c r="M1524" s="11"/>
      <c r="N1524" s="11"/>
      <c r="O1524" s="11"/>
      <c r="P1524" s="11"/>
    </row>
    <row r="1525" spans="7:16" hidden="1" x14ac:dyDescent="0.25">
      <c r="G1525" s="16"/>
      <c r="H1525" s="12"/>
      <c r="I1525" s="12"/>
      <c r="J1525" s="12"/>
      <c r="K1525" s="12"/>
      <c r="L1525" s="12"/>
      <c r="M1525" s="11"/>
      <c r="N1525" s="11"/>
      <c r="O1525" s="11"/>
      <c r="P1525" s="11"/>
    </row>
    <row r="1526" spans="7:16" hidden="1" x14ac:dyDescent="0.25">
      <c r="G1526" s="16"/>
      <c r="H1526" s="12"/>
      <c r="I1526" s="12"/>
      <c r="J1526" s="12"/>
      <c r="K1526" s="12"/>
      <c r="L1526" s="12"/>
      <c r="M1526" s="11"/>
      <c r="N1526" s="11"/>
      <c r="O1526" s="11"/>
      <c r="P1526" s="11"/>
    </row>
    <row r="1527" spans="7:16" hidden="1" x14ac:dyDescent="0.25">
      <c r="G1527" s="16"/>
      <c r="H1527" s="12"/>
      <c r="I1527" s="12"/>
      <c r="J1527" s="12"/>
      <c r="K1527" s="12"/>
      <c r="L1527" s="12"/>
      <c r="M1527" s="11"/>
      <c r="N1527" s="11"/>
      <c r="O1527" s="11"/>
      <c r="P1527" s="11"/>
    </row>
    <row r="1528" spans="7:16" hidden="1" x14ac:dyDescent="0.25">
      <c r="G1528" s="16"/>
      <c r="H1528" s="12"/>
      <c r="I1528" s="12"/>
      <c r="J1528" s="12"/>
      <c r="K1528" s="12"/>
      <c r="L1528" s="12"/>
      <c r="M1528" s="11"/>
      <c r="N1528" s="11"/>
      <c r="O1528" s="11"/>
      <c r="P1528" s="11"/>
    </row>
    <row r="1529" spans="7:16" hidden="1" x14ac:dyDescent="0.25">
      <c r="G1529" s="16"/>
      <c r="H1529" s="12"/>
      <c r="I1529" s="12"/>
      <c r="J1529" s="12"/>
      <c r="K1529" s="12"/>
      <c r="L1529" s="12"/>
      <c r="M1529" s="11"/>
      <c r="N1529" s="11"/>
      <c r="O1529" s="11"/>
      <c r="P1529" s="11"/>
    </row>
    <row r="1530" spans="7:16" hidden="1" x14ac:dyDescent="0.25">
      <c r="G1530" s="16"/>
      <c r="H1530" s="12"/>
      <c r="I1530" s="12"/>
      <c r="J1530" s="12"/>
      <c r="K1530" s="12"/>
      <c r="L1530" s="12"/>
      <c r="M1530" s="11"/>
      <c r="N1530" s="11"/>
      <c r="O1530" s="11"/>
      <c r="P1530" s="11"/>
    </row>
    <row r="1531" spans="7:16" hidden="1" x14ac:dyDescent="0.25">
      <c r="G1531" s="16"/>
      <c r="H1531" s="12"/>
      <c r="I1531" s="12"/>
      <c r="J1531" s="12"/>
      <c r="K1531" s="12"/>
      <c r="L1531" s="12"/>
      <c r="M1531" s="11"/>
      <c r="N1531" s="11"/>
      <c r="O1531" s="11"/>
      <c r="P1531" s="11"/>
    </row>
    <row r="1532" spans="7:16" hidden="1" x14ac:dyDescent="0.25">
      <c r="G1532" s="16"/>
      <c r="H1532" s="12"/>
      <c r="I1532" s="12"/>
      <c r="J1532" s="12"/>
      <c r="K1532" s="12"/>
      <c r="L1532" s="12"/>
      <c r="M1532" s="11"/>
      <c r="N1532" s="11"/>
      <c r="O1532" s="11"/>
      <c r="P1532" s="11"/>
    </row>
    <row r="1533" spans="7:16" hidden="1" x14ac:dyDescent="0.25">
      <c r="G1533" s="16"/>
      <c r="H1533" s="12"/>
      <c r="I1533" s="12"/>
      <c r="J1533" s="12"/>
      <c r="K1533" s="12"/>
      <c r="L1533" s="12"/>
      <c r="M1533" s="11"/>
      <c r="N1533" s="11"/>
      <c r="O1533" s="11"/>
      <c r="P1533" s="11"/>
    </row>
    <row r="1534" spans="7:16" hidden="1" x14ac:dyDescent="0.25">
      <c r="G1534" s="16"/>
      <c r="H1534" s="12"/>
      <c r="I1534" s="12"/>
      <c r="J1534" s="12"/>
      <c r="K1534" s="12"/>
      <c r="L1534" s="12"/>
      <c r="M1534" s="11"/>
      <c r="N1534" s="11"/>
      <c r="O1534" s="11"/>
      <c r="P1534" s="11"/>
    </row>
    <row r="1535" spans="7:16" hidden="1" x14ac:dyDescent="0.25">
      <c r="G1535" s="16"/>
      <c r="H1535" s="12"/>
      <c r="I1535" s="12"/>
      <c r="J1535" s="12"/>
      <c r="K1535" s="12"/>
      <c r="L1535" s="12"/>
      <c r="M1535" s="11"/>
      <c r="N1535" s="11"/>
      <c r="O1535" s="11"/>
      <c r="P1535" s="11"/>
    </row>
    <row r="1536" spans="7:16" hidden="1" x14ac:dyDescent="0.25">
      <c r="G1536" s="16"/>
      <c r="H1536" s="12"/>
      <c r="I1536" s="12"/>
      <c r="J1536" s="12"/>
      <c r="K1536" s="12"/>
      <c r="L1536" s="12"/>
      <c r="M1536" s="11"/>
      <c r="N1536" s="11"/>
      <c r="O1536" s="11"/>
      <c r="P1536" s="11"/>
    </row>
    <row r="1537" spans="7:16" hidden="1" x14ac:dyDescent="0.25">
      <c r="G1537" s="16"/>
      <c r="H1537" s="12"/>
      <c r="I1537" s="12"/>
      <c r="J1537" s="12"/>
      <c r="K1537" s="12"/>
      <c r="L1537" s="12"/>
      <c r="M1537" s="11"/>
      <c r="N1537" s="11"/>
      <c r="O1537" s="11"/>
      <c r="P1537" s="11"/>
    </row>
    <row r="1538" spans="7:16" hidden="1" x14ac:dyDescent="0.25">
      <c r="G1538" s="16"/>
      <c r="H1538" s="12"/>
      <c r="I1538" s="12"/>
      <c r="J1538" s="12"/>
      <c r="K1538" s="12"/>
      <c r="L1538" s="12"/>
      <c r="M1538" s="11"/>
      <c r="N1538" s="11"/>
      <c r="O1538" s="11"/>
      <c r="P1538" s="11"/>
    </row>
    <row r="1539" spans="7:16" hidden="1" x14ac:dyDescent="0.25">
      <c r="G1539" s="16"/>
      <c r="H1539" s="12"/>
      <c r="I1539" s="12"/>
      <c r="J1539" s="12"/>
      <c r="K1539" s="12"/>
      <c r="L1539" s="12"/>
      <c r="M1539" s="11"/>
      <c r="N1539" s="11"/>
      <c r="O1539" s="11"/>
      <c r="P1539" s="11"/>
    </row>
    <row r="1540" spans="7:16" hidden="1" x14ac:dyDescent="0.25">
      <c r="G1540" s="16"/>
      <c r="H1540" s="12"/>
      <c r="I1540" s="12"/>
      <c r="J1540" s="12"/>
      <c r="K1540" s="12"/>
      <c r="L1540" s="12"/>
      <c r="M1540" s="11"/>
      <c r="N1540" s="11"/>
      <c r="O1540" s="11"/>
      <c r="P1540" s="11"/>
    </row>
    <row r="1541" spans="7:16" hidden="1" x14ac:dyDescent="0.25">
      <c r="G1541" s="16"/>
      <c r="H1541" s="12"/>
      <c r="I1541" s="12"/>
      <c r="J1541" s="12"/>
      <c r="K1541" s="12"/>
      <c r="L1541" s="12"/>
      <c r="M1541" s="11"/>
      <c r="N1541" s="11"/>
      <c r="O1541" s="11"/>
      <c r="P1541" s="11"/>
    </row>
    <row r="1542" spans="7:16" hidden="1" x14ac:dyDescent="0.25">
      <c r="G1542" s="16"/>
      <c r="H1542" s="12"/>
      <c r="I1542" s="12"/>
      <c r="J1542" s="12"/>
      <c r="K1542" s="12"/>
      <c r="L1542" s="12"/>
      <c r="M1542" s="11"/>
      <c r="N1542" s="11"/>
      <c r="O1542" s="11"/>
      <c r="P1542" s="11"/>
    </row>
    <row r="1543" spans="7:16" hidden="1" x14ac:dyDescent="0.25">
      <c r="G1543" s="16"/>
      <c r="H1543" s="12"/>
      <c r="I1543" s="12"/>
      <c r="J1543" s="12"/>
      <c r="K1543" s="12"/>
      <c r="L1543" s="12"/>
      <c r="M1543" s="11"/>
      <c r="N1543" s="11"/>
      <c r="O1543" s="11"/>
      <c r="P1543" s="11"/>
    </row>
    <row r="1544" spans="7:16" hidden="1" x14ac:dyDescent="0.25">
      <c r="G1544" s="16"/>
      <c r="H1544" s="12"/>
      <c r="I1544" s="12"/>
      <c r="J1544" s="12"/>
      <c r="K1544" s="12"/>
      <c r="L1544" s="12"/>
      <c r="M1544" s="11"/>
      <c r="N1544" s="11"/>
      <c r="O1544" s="11"/>
      <c r="P1544" s="11"/>
    </row>
    <row r="1545" spans="7:16" hidden="1" x14ac:dyDescent="0.25">
      <c r="G1545" s="16"/>
      <c r="H1545" s="12"/>
      <c r="I1545" s="12"/>
      <c r="J1545" s="12"/>
      <c r="K1545" s="12"/>
      <c r="L1545" s="12"/>
      <c r="M1545" s="11"/>
      <c r="N1545" s="11"/>
      <c r="O1545" s="11"/>
      <c r="P1545" s="11"/>
    </row>
    <row r="1546" spans="7:16" hidden="1" x14ac:dyDescent="0.25">
      <c r="G1546" s="16"/>
      <c r="H1546" s="12"/>
      <c r="I1546" s="12"/>
      <c r="J1546" s="12"/>
      <c r="K1546" s="12"/>
      <c r="L1546" s="12"/>
      <c r="M1546" s="11"/>
      <c r="N1546" s="11"/>
      <c r="O1546" s="11"/>
      <c r="P1546" s="11"/>
    </row>
    <row r="1547" spans="7:16" hidden="1" x14ac:dyDescent="0.25">
      <c r="G1547" s="16"/>
      <c r="H1547" s="12"/>
      <c r="I1547" s="12"/>
      <c r="J1547" s="12"/>
      <c r="K1547" s="12"/>
      <c r="L1547" s="12"/>
      <c r="M1547" s="11"/>
      <c r="N1547" s="11"/>
      <c r="O1547" s="11"/>
      <c r="P1547" s="11"/>
    </row>
    <row r="1548" spans="7:16" hidden="1" x14ac:dyDescent="0.25">
      <c r="G1548" s="16"/>
      <c r="H1548" s="12"/>
      <c r="I1548" s="12"/>
      <c r="J1548" s="12"/>
      <c r="K1548" s="12"/>
      <c r="L1548" s="12"/>
      <c r="M1548" s="11"/>
      <c r="N1548" s="11"/>
      <c r="O1548" s="11"/>
      <c r="P1548" s="11"/>
    </row>
    <row r="1549" spans="7:16" hidden="1" x14ac:dyDescent="0.25">
      <c r="G1549" s="16"/>
      <c r="H1549" s="12"/>
      <c r="I1549" s="12"/>
      <c r="J1549" s="12"/>
      <c r="K1549" s="12"/>
      <c r="L1549" s="12"/>
      <c r="M1549" s="11"/>
      <c r="N1549" s="11"/>
      <c r="O1549" s="11"/>
      <c r="P1549" s="11"/>
    </row>
    <row r="1550" spans="7:16" hidden="1" x14ac:dyDescent="0.25">
      <c r="G1550" s="16"/>
      <c r="H1550" s="12"/>
      <c r="I1550" s="12"/>
      <c r="J1550" s="12"/>
      <c r="K1550" s="12"/>
      <c r="L1550" s="12"/>
      <c r="M1550" s="11"/>
      <c r="N1550" s="11"/>
      <c r="O1550" s="11"/>
      <c r="P1550" s="11"/>
    </row>
    <row r="1551" spans="7:16" hidden="1" x14ac:dyDescent="0.25">
      <c r="G1551" s="16"/>
      <c r="H1551" s="12"/>
      <c r="I1551" s="12"/>
      <c r="J1551" s="12"/>
      <c r="K1551" s="12"/>
      <c r="L1551" s="12"/>
      <c r="M1551" s="11"/>
      <c r="N1551" s="11"/>
      <c r="O1551" s="11"/>
      <c r="P1551" s="11"/>
    </row>
    <row r="1552" spans="7:16" hidden="1" x14ac:dyDescent="0.25">
      <c r="G1552" s="16"/>
      <c r="H1552" s="12"/>
      <c r="I1552" s="12"/>
      <c r="J1552" s="12"/>
      <c r="K1552" s="12"/>
      <c r="L1552" s="12"/>
      <c r="M1552" s="11"/>
      <c r="N1552" s="11"/>
      <c r="O1552" s="11"/>
      <c r="P1552" s="11"/>
    </row>
    <row r="1553" spans="7:16" hidden="1" x14ac:dyDescent="0.25">
      <c r="G1553" s="16"/>
      <c r="H1553" s="12"/>
      <c r="I1553" s="12"/>
      <c r="J1553" s="12"/>
      <c r="K1553" s="12"/>
      <c r="L1553" s="12"/>
      <c r="M1553" s="11"/>
      <c r="N1553" s="11"/>
      <c r="O1553" s="11"/>
      <c r="P1553" s="11"/>
    </row>
    <row r="1554" spans="7:16" hidden="1" x14ac:dyDescent="0.25">
      <c r="G1554" s="16"/>
      <c r="H1554" s="12"/>
      <c r="I1554" s="12"/>
      <c r="J1554" s="12"/>
      <c r="K1554" s="12"/>
      <c r="L1554" s="12"/>
      <c r="M1554" s="11"/>
      <c r="N1554" s="11"/>
      <c r="O1554" s="11"/>
      <c r="P1554" s="11"/>
    </row>
    <row r="1555" spans="7:16" hidden="1" x14ac:dyDescent="0.25">
      <c r="G1555" s="16"/>
      <c r="H1555" s="12"/>
      <c r="I1555" s="12"/>
      <c r="J1555" s="12"/>
      <c r="K1555" s="12"/>
      <c r="L1555" s="12"/>
      <c r="M1555" s="11"/>
      <c r="N1555" s="11"/>
      <c r="O1555" s="11"/>
      <c r="P1555" s="11"/>
    </row>
    <row r="1556" spans="7:16" hidden="1" x14ac:dyDescent="0.25">
      <c r="G1556" s="16"/>
      <c r="H1556" s="12"/>
      <c r="I1556" s="12"/>
      <c r="J1556" s="12"/>
      <c r="K1556" s="12"/>
      <c r="L1556" s="12"/>
      <c r="M1556" s="11"/>
      <c r="N1556" s="11"/>
      <c r="O1556" s="11"/>
      <c r="P1556" s="11"/>
    </row>
    <row r="1557" spans="7:16" hidden="1" x14ac:dyDescent="0.25">
      <c r="G1557" s="16"/>
      <c r="H1557" s="12"/>
      <c r="I1557" s="12"/>
      <c r="J1557" s="12"/>
      <c r="K1557" s="12"/>
      <c r="L1557" s="12"/>
      <c r="M1557" s="11"/>
      <c r="N1557" s="11"/>
      <c r="O1557" s="11"/>
      <c r="P1557" s="11"/>
    </row>
    <row r="1558" spans="7:16" hidden="1" x14ac:dyDescent="0.25">
      <c r="G1558" s="16"/>
      <c r="H1558" s="12"/>
      <c r="I1558" s="12"/>
      <c r="J1558" s="12"/>
      <c r="K1558" s="12"/>
      <c r="L1558" s="12"/>
      <c r="M1558" s="11"/>
      <c r="N1558" s="11"/>
      <c r="O1558" s="11"/>
      <c r="P1558" s="11"/>
    </row>
    <row r="1559" spans="7:16" hidden="1" x14ac:dyDescent="0.25">
      <c r="G1559" s="16"/>
      <c r="H1559" s="12"/>
      <c r="I1559" s="12"/>
      <c r="J1559" s="12"/>
      <c r="K1559" s="12"/>
      <c r="L1559" s="12"/>
      <c r="M1559" s="11"/>
      <c r="N1559" s="11"/>
      <c r="O1559" s="11"/>
      <c r="P1559" s="11"/>
    </row>
    <row r="1560" spans="7:16" hidden="1" x14ac:dyDescent="0.25">
      <c r="G1560" s="16"/>
      <c r="H1560" s="12"/>
      <c r="I1560" s="12"/>
      <c r="J1560" s="12"/>
      <c r="K1560" s="12"/>
      <c r="L1560" s="12"/>
      <c r="M1560" s="11"/>
      <c r="N1560" s="11"/>
      <c r="O1560" s="11"/>
      <c r="P1560" s="11"/>
    </row>
    <row r="1561" spans="7:16" hidden="1" x14ac:dyDescent="0.25">
      <c r="G1561" s="16"/>
      <c r="H1561" s="12"/>
      <c r="I1561" s="12"/>
      <c r="J1561" s="12"/>
      <c r="K1561" s="12"/>
      <c r="L1561" s="12"/>
      <c r="M1561" s="11"/>
      <c r="N1561" s="11"/>
      <c r="O1561" s="11"/>
      <c r="P1561" s="11"/>
    </row>
    <row r="1562" spans="7:16" hidden="1" x14ac:dyDescent="0.25">
      <c r="G1562" s="16"/>
      <c r="H1562" s="12"/>
      <c r="I1562" s="12"/>
      <c r="J1562" s="12"/>
      <c r="K1562" s="12"/>
      <c r="L1562" s="12"/>
      <c r="M1562" s="11"/>
      <c r="N1562" s="11"/>
      <c r="O1562" s="11"/>
      <c r="P1562" s="11"/>
    </row>
    <row r="1563" spans="7:16" hidden="1" x14ac:dyDescent="0.25">
      <c r="G1563" s="16"/>
      <c r="H1563" s="12"/>
      <c r="I1563" s="12"/>
      <c r="J1563" s="12"/>
      <c r="K1563" s="12"/>
      <c r="L1563" s="12"/>
      <c r="M1563" s="11"/>
      <c r="N1563" s="11"/>
      <c r="O1563" s="11"/>
      <c r="P1563" s="11"/>
    </row>
    <row r="1564" spans="7:16" hidden="1" x14ac:dyDescent="0.25">
      <c r="G1564" s="16"/>
      <c r="H1564" s="12"/>
      <c r="I1564" s="12"/>
      <c r="J1564" s="12"/>
      <c r="K1564" s="12"/>
      <c r="L1564" s="12"/>
      <c r="M1564" s="11"/>
      <c r="N1564" s="11"/>
      <c r="O1564" s="11"/>
      <c r="P1564" s="11"/>
    </row>
    <row r="1565" spans="7:16" hidden="1" x14ac:dyDescent="0.25">
      <c r="G1565" s="16"/>
      <c r="H1565" s="12"/>
      <c r="I1565" s="12"/>
      <c r="J1565" s="12"/>
      <c r="K1565" s="12"/>
      <c r="L1565" s="12"/>
      <c r="M1565" s="11"/>
      <c r="N1565" s="11"/>
      <c r="O1565" s="11"/>
      <c r="P1565" s="11"/>
    </row>
    <row r="1566" spans="7:16" hidden="1" x14ac:dyDescent="0.25">
      <c r="G1566" s="16"/>
      <c r="H1566" s="12"/>
      <c r="I1566" s="12"/>
      <c r="J1566" s="12"/>
      <c r="K1566" s="12"/>
      <c r="L1566" s="12"/>
      <c r="M1566" s="11"/>
      <c r="N1566" s="11"/>
      <c r="O1566" s="11"/>
      <c r="P1566" s="11"/>
    </row>
    <row r="1567" spans="7:16" hidden="1" x14ac:dyDescent="0.25">
      <c r="G1567" s="16"/>
      <c r="H1567" s="12"/>
      <c r="I1567" s="12"/>
      <c r="J1567" s="12"/>
      <c r="K1567" s="12"/>
      <c r="L1567" s="12"/>
      <c r="M1567" s="11"/>
      <c r="N1567" s="11"/>
      <c r="O1567" s="11"/>
      <c r="P1567" s="11"/>
    </row>
    <row r="1568" spans="7:16" hidden="1" x14ac:dyDescent="0.25">
      <c r="G1568" s="16"/>
      <c r="H1568" s="12"/>
      <c r="I1568" s="12"/>
      <c r="J1568" s="12"/>
      <c r="K1568" s="12"/>
      <c r="L1568" s="12"/>
      <c r="M1568" s="11"/>
      <c r="N1568" s="11"/>
      <c r="O1568" s="11"/>
      <c r="P1568" s="11"/>
    </row>
    <row r="1569" spans="7:16" hidden="1" x14ac:dyDescent="0.25">
      <c r="G1569" s="16"/>
      <c r="H1569" s="12"/>
      <c r="I1569" s="12"/>
      <c r="J1569" s="12"/>
      <c r="K1569" s="12"/>
      <c r="L1569" s="12"/>
      <c r="M1569" s="11"/>
      <c r="N1569" s="11"/>
      <c r="O1569" s="11"/>
      <c r="P1569" s="11"/>
    </row>
    <row r="1570" spans="7:16" hidden="1" x14ac:dyDescent="0.25">
      <c r="G1570" s="16"/>
      <c r="H1570" s="12"/>
      <c r="I1570" s="12"/>
      <c r="J1570" s="12"/>
      <c r="K1570" s="12"/>
      <c r="L1570" s="12"/>
      <c r="M1570" s="11"/>
      <c r="N1570" s="11"/>
      <c r="O1570" s="11"/>
      <c r="P1570" s="11"/>
    </row>
    <row r="1571" spans="7:16" hidden="1" x14ac:dyDescent="0.25">
      <c r="G1571" s="16"/>
      <c r="H1571" s="12"/>
      <c r="I1571" s="12"/>
      <c r="J1571" s="12"/>
      <c r="K1571" s="12"/>
      <c r="L1571" s="12"/>
      <c r="M1571" s="11"/>
      <c r="N1571" s="11"/>
      <c r="O1571" s="11"/>
      <c r="P1571" s="11"/>
    </row>
    <row r="1572" spans="7:16" hidden="1" x14ac:dyDescent="0.25">
      <c r="G1572" s="16"/>
      <c r="H1572" s="12"/>
      <c r="I1572" s="12"/>
      <c r="J1572" s="12"/>
      <c r="K1572" s="12"/>
      <c r="L1572" s="12"/>
      <c r="M1572" s="11"/>
      <c r="N1572" s="11"/>
      <c r="O1572" s="11"/>
      <c r="P1572" s="11"/>
    </row>
    <row r="1573" spans="7:16" hidden="1" x14ac:dyDescent="0.25">
      <c r="G1573" s="16"/>
      <c r="H1573" s="12"/>
      <c r="I1573" s="12"/>
      <c r="J1573" s="12"/>
      <c r="K1573" s="12"/>
      <c r="L1573" s="12"/>
      <c r="M1573" s="11"/>
      <c r="N1573" s="11"/>
      <c r="O1573" s="11"/>
      <c r="P1573" s="11"/>
    </row>
    <row r="1574" spans="7:16" hidden="1" x14ac:dyDescent="0.25">
      <c r="G1574" s="16"/>
      <c r="H1574" s="12"/>
      <c r="I1574" s="12"/>
      <c r="J1574" s="12"/>
      <c r="K1574" s="12"/>
      <c r="L1574" s="12"/>
      <c r="M1574" s="11"/>
      <c r="N1574" s="11"/>
      <c r="O1574" s="11"/>
      <c r="P1574" s="11"/>
    </row>
    <row r="1575" spans="7:16" hidden="1" x14ac:dyDescent="0.25">
      <c r="G1575" s="16"/>
      <c r="H1575" s="12"/>
      <c r="I1575" s="12"/>
      <c r="J1575" s="12"/>
      <c r="K1575" s="12"/>
      <c r="L1575" s="12"/>
      <c r="M1575" s="11"/>
      <c r="N1575" s="11"/>
      <c r="O1575" s="11"/>
      <c r="P1575" s="11"/>
    </row>
    <row r="1576" spans="7:16" hidden="1" x14ac:dyDescent="0.25">
      <c r="G1576" s="16"/>
      <c r="H1576" s="12"/>
      <c r="I1576" s="12"/>
      <c r="J1576" s="12"/>
      <c r="K1576" s="12"/>
      <c r="L1576" s="12"/>
      <c r="M1576" s="11"/>
      <c r="N1576" s="11"/>
      <c r="O1576" s="11"/>
      <c r="P1576" s="11"/>
    </row>
    <row r="1577" spans="7:16" hidden="1" x14ac:dyDescent="0.25">
      <c r="G1577" s="16"/>
      <c r="H1577" s="12"/>
      <c r="I1577" s="12"/>
      <c r="J1577" s="12"/>
      <c r="K1577" s="12"/>
      <c r="L1577" s="12"/>
      <c r="M1577" s="11"/>
      <c r="N1577" s="11"/>
      <c r="O1577" s="11"/>
      <c r="P1577" s="11"/>
    </row>
    <row r="1578" spans="7:16" hidden="1" x14ac:dyDescent="0.25">
      <c r="G1578" s="16"/>
      <c r="H1578" s="12"/>
      <c r="I1578" s="12"/>
      <c r="J1578" s="12"/>
      <c r="K1578" s="12"/>
      <c r="L1578" s="12"/>
      <c r="M1578" s="11"/>
      <c r="N1578" s="11"/>
      <c r="O1578" s="11"/>
      <c r="P1578" s="11"/>
    </row>
    <row r="1579" spans="7:16" hidden="1" x14ac:dyDescent="0.25">
      <c r="G1579" s="16"/>
      <c r="H1579" s="12"/>
      <c r="I1579" s="12"/>
      <c r="J1579" s="12"/>
      <c r="K1579" s="12"/>
      <c r="L1579" s="12"/>
      <c r="M1579" s="11"/>
      <c r="N1579" s="11"/>
      <c r="O1579" s="11"/>
      <c r="P1579" s="11"/>
    </row>
    <row r="1580" spans="7:16" hidden="1" x14ac:dyDescent="0.25">
      <c r="G1580" s="16"/>
      <c r="H1580" s="12"/>
      <c r="I1580" s="12"/>
      <c r="J1580" s="12"/>
      <c r="K1580" s="12"/>
      <c r="L1580" s="12"/>
      <c r="M1580" s="11"/>
      <c r="N1580" s="11"/>
      <c r="O1580" s="11"/>
      <c r="P1580" s="11"/>
    </row>
    <row r="1581" spans="7:16" hidden="1" x14ac:dyDescent="0.25">
      <c r="G1581" s="16"/>
      <c r="H1581" s="12"/>
      <c r="I1581" s="12"/>
      <c r="J1581" s="12"/>
      <c r="K1581" s="12"/>
      <c r="L1581" s="12"/>
      <c r="M1581" s="11"/>
      <c r="N1581" s="11"/>
      <c r="O1581" s="11"/>
      <c r="P1581" s="11"/>
    </row>
    <row r="1582" spans="7:16" hidden="1" x14ac:dyDescent="0.25">
      <c r="G1582" s="16"/>
      <c r="H1582" s="12"/>
      <c r="I1582" s="12"/>
      <c r="J1582" s="12"/>
      <c r="K1582" s="12"/>
      <c r="L1582" s="12"/>
      <c r="M1582" s="11"/>
      <c r="N1582" s="11"/>
      <c r="O1582" s="11"/>
      <c r="P1582" s="11"/>
    </row>
    <row r="1583" spans="7:16" hidden="1" x14ac:dyDescent="0.25">
      <c r="G1583" s="16"/>
      <c r="H1583" s="12"/>
      <c r="I1583" s="12"/>
      <c r="J1583" s="12"/>
      <c r="K1583" s="12"/>
      <c r="L1583" s="12"/>
      <c r="M1583" s="11"/>
      <c r="N1583" s="11"/>
      <c r="O1583" s="11"/>
      <c r="P1583" s="11"/>
    </row>
    <row r="1584" spans="7:16" hidden="1" x14ac:dyDescent="0.25">
      <c r="G1584" s="16"/>
      <c r="H1584" s="12"/>
      <c r="I1584" s="12"/>
      <c r="J1584" s="12"/>
      <c r="K1584" s="12"/>
      <c r="L1584" s="12"/>
      <c r="M1584" s="11"/>
      <c r="N1584" s="11"/>
      <c r="O1584" s="11"/>
      <c r="P1584" s="11"/>
    </row>
    <row r="1585" spans="7:16" hidden="1" x14ac:dyDescent="0.25">
      <c r="G1585" s="16"/>
      <c r="H1585" s="12"/>
      <c r="I1585" s="12"/>
      <c r="J1585" s="12"/>
      <c r="K1585" s="12"/>
      <c r="L1585" s="12"/>
      <c r="M1585" s="11"/>
      <c r="N1585" s="11"/>
      <c r="O1585" s="11"/>
      <c r="P1585" s="11"/>
    </row>
    <row r="1586" spans="7:16" hidden="1" x14ac:dyDescent="0.25">
      <c r="G1586" s="16"/>
      <c r="H1586" s="12"/>
      <c r="I1586" s="12"/>
      <c r="J1586" s="12"/>
      <c r="K1586" s="12"/>
      <c r="L1586" s="12"/>
      <c r="M1586" s="11"/>
      <c r="N1586" s="11"/>
      <c r="O1586" s="11"/>
      <c r="P1586" s="11"/>
    </row>
    <row r="1587" spans="7:16" hidden="1" x14ac:dyDescent="0.25">
      <c r="G1587" s="16"/>
      <c r="H1587" s="12"/>
      <c r="I1587" s="12"/>
      <c r="J1587" s="12"/>
      <c r="K1587" s="12"/>
      <c r="L1587" s="12"/>
      <c r="M1587" s="11"/>
      <c r="N1587" s="11"/>
      <c r="O1587" s="11"/>
      <c r="P1587" s="11"/>
    </row>
    <row r="1588" spans="7:16" hidden="1" x14ac:dyDescent="0.25">
      <c r="G1588" s="16"/>
      <c r="H1588" s="12"/>
      <c r="I1588" s="12"/>
      <c r="J1588" s="12"/>
      <c r="K1588" s="12"/>
      <c r="L1588" s="12"/>
      <c r="M1588" s="11"/>
      <c r="N1588" s="11"/>
      <c r="O1588" s="11"/>
      <c r="P1588" s="11"/>
    </row>
    <row r="1589" spans="7:16" hidden="1" x14ac:dyDescent="0.25">
      <c r="G1589" s="16"/>
      <c r="H1589" s="12"/>
      <c r="I1589" s="12"/>
      <c r="J1589" s="12"/>
      <c r="K1589" s="12"/>
      <c r="L1589" s="12"/>
      <c r="M1589" s="11"/>
      <c r="N1589" s="11"/>
      <c r="O1589" s="11"/>
      <c r="P1589" s="11"/>
    </row>
    <row r="1590" spans="7:16" hidden="1" x14ac:dyDescent="0.25">
      <c r="G1590" s="16"/>
      <c r="H1590" s="12"/>
      <c r="I1590" s="12"/>
      <c r="J1590" s="12"/>
      <c r="K1590" s="12"/>
      <c r="L1590" s="12"/>
      <c r="M1590" s="11"/>
      <c r="N1590" s="11"/>
      <c r="O1590" s="11"/>
      <c r="P1590" s="11"/>
    </row>
    <row r="1591" spans="7:16" hidden="1" x14ac:dyDescent="0.25">
      <c r="G1591" s="16"/>
      <c r="H1591" s="12"/>
      <c r="I1591" s="12"/>
      <c r="J1591" s="12"/>
      <c r="K1591" s="12"/>
      <c r="L1591" s="12"/>
      <c r="M1591" s="11"/>
      <c r="N1591" s="11"/>
      <c r="O1591" s="11"/>
      <c r="P1591" s="11"/>
    </row>
    <row r="1592" spans="7:16" hidden="1" x14ac:dyDescent="0.25">
      <c r="G1592" s="16"/>
      <c r="H1592" s="12"/>
      <c r="I1592" s="12"/>
      <c r="J1592" s="12"/>
      <c r="K1592" s="12"/>
      <c r="L1592" s="12"/>
      <c r="M1592" s="11"/>
      <c r="N1592" s="11"/>
      <c r="O1592" s="11"/>
      <c r="P1592" s="11"/>
    </row>
    <row r="1593" spans="7:16" hidden="1" x14ac:dyDescent="0.25">
      <c r="G1593" s="16"/>
      <c r="H1593" s="12"/>
      <c r="I1593" s="12"/>
      <c r="J1593" s="12"/>
      <c r="K1593" s="12"/>
      <c r="L1593" s="12"/>
      <c r="M1593" s="11"/>
      <c r="N1593" s="11"/>
      <c r="O1593" s="11"/>
      <c r="P1593" s="11"/>
    </row>
    <row r="1594" spans="7:16" hidden="1" x14ac:dyDescent="0.25">
      <c r="G1594" s="16"/>
      <c r="H1594" s="12"/>
      <c r="I1594" s="12"/>
      <c r="J1594" s="12"/>
      <c r="K1594" s="12"/>
      <c r="L1594" s="12"/>
      <c r="M1594" s="11"/>
      <c r="N1594" s="11"/>
      <c r="O1594" s="11"/>
      <c r="P1594" s="11"/>
    </row>
    <row r="1595" spans="7:16" hidden="1" x14ac:dyDescent="0.25">
      <c r="G1595" s="16"/>
      <c r="H1595" s="12"/>
      <c r="I1595" s="12"/>
      <c r="J1595" s="12"/>
      <c r="K1595" s="12"/>
      <c r="L1595" s="12"/>
      <c r="M1595" s="11"/>
      <c r="N1595" s="11"/>
      <c r="O1595" s="11"/>
      <c r="P1595" s="11"/>
    </row>
    <row r="1596" spans="7:16" hidden="1" x14ac:dyDescent="0.25">
      <c r="G1596" s="16"/>
      <c r="H1596" s="12"/>
      <c r="I1596" s="12"/>
      <c r="J1596" s="12"/>
      <c r="K1596" s="12"/>
      <c r="L1596" s="12"/>
      <c r="M1596" s="11"/>
      <c r="N1596" s="11"/>
      <c r="O1596" s="11"/>
      <c r="P1596" s="11"/>
    </row>
    <row r="1597" spans="7:16" hidden="1" x14ac:dyDescent="0.25">
      <c r="G1597" s="16"/>
      <c r="H1597" s="12"/>
      <c r="I1597" s="12"/>
      <c r="J1597" s="12"/>
      <c r="K1597" s="12"/>
      <c r="L1597" s="12"/>
      <c r="M1597" s="11"/>
      <c r="N1597" s="11"/>
      <c r="O1597" s="11"/>
      <c r="P1597" s="11"/>
    </row>
    <row r="1598" spans="7:16" hidden="1" x14ac:dyDescent="0.25">
      <c r="G1598" s="16"/>
      <c r="H1598" s="12"/>
      <c r="I1598" s="12"/>
      <c r="J1598" s="12"/>
      <c r="K1598" s="12"/>
      <c r="L1598" s="12"/>
      <c r="M1598" s="11"/>
      <c r="N1598" s="11"/>
      <c r="O1598" s="11"/>
      <c r="P1598" s="11"/>
    </row>
    <row r="1599" spans="7:16" hidden="1" x14ac:dyDescent="0.25">
      <c r="G1599" s="16"/>
      <c r="H1599" s="12"/>
      <c r="I1599" s="12"/>
      <c r="J1599" s="12"/>
      <c r="K1599" s="12"/>
      <c r="L1599" s="12"/>
      <c r="M1599" s="11"/>
      <c r="N1599" s="11"/>
      <c r="O1599" s="11"/>
      <c r="P1599" s="11"/>
    </row>
    <row r="1600" spans="7:16" hidden="1" x14ac:dyDescent="0.25">
      <c r="G1600" s="16"/>
      <c r="H1600" s="12"/>
      <c r="I1600" s="12"/>
      <c r="J1600" s="12"/>
      <c r="K1600" s="12"/>
      <c r="L1600" s="12"/>
      <c r="M1600" s="11"/>
      <c r="N1600" s="11"/>
      <c r="O1600" s="11"/>
      <c r="P1600" s="11"/>
    </row>
    <row r="1601" spans="7:16" hidden="1" x14ac:dyDescent="0.25">
      <c r="G1601" s="16"/>
      <c r="H1601" s="12"/>
      <c r="I1601" s="12"/>
      <c r="J1601" s="12"/>
      <c r="K1601" s="12"/>
      <c r="L1601" s="12"/>
      <c r="M1601" s="11"/>
      <c r="N1601" s="11"/>
      <c r="O1601" s="11"/>
      <c r="P1601" s="11"/>
    </row>
    <row r="1602" spans="7:16" hidden="1" x14ac:dyDescent="0.25">
      <c r="G1602" s="16"/>
      <c r="H1602" s="12"/>
      <c r="I1602" s="12"/>
      <c r="J1602" s="12"/>
      <c r="K1602" s="12"/>
      <c r="L1602" s="12"/>
      <c r="M1602" s="11"/>
      <c r="N1602" s="11"/>
      <c r="O1602" s="11"/>
      <c r="P1602" s="11"/>
    </row>
    <row r="1603" spans="7:16" hidden="1" x14ac:dyDescent="0.25">
      <c r="G1603" s="16"/>
      <c r="H1603" s="12"/>
      <c r="I1603" s="12"/>
      <c r="J1603" s="12"/>
      <c r="K1603" s="12"/>
      <c r="L1603" s="12"/>
      <c r="M1603" s="11"/>
      <c r="N1603" s="11"/>
      <c r="O1603" s="11"/>
      <c r="P1603" s="11"/>
    </row>
    <row r="1604" spans="7:16" hidden="1" x14ac:dyDescent="0.25">
      <c r="G1604" s="16"/>
      <c r="H1604" s="12"/>
      <c r="I1604" s="12"/>
      <c r="J1604" s="12"/>
      <c r="K1604" s="12"/>
      <c r="L1604" s="12"/>
      <c r="M1604" s="11"/>
      <c r="N1604" s="11"/>
      <c r="O1604" s="11"/>
      <c r="P1604" s="11"/>
    </row>
    <row r="1605" spans="7:16" hidden="1" x14ac:dyDescent="0.25">
      <c r="G1605" s="16"/>
      <c r="H1605" s="12"/>
      <c r="I1605" s="12"/>
      <c r="J1605" s="12"/>
      <c r="K1605" s="12"/>
      <c r="L1605" s="12"/>
      <c r="M1605" s="11"/>
      <c r="N1605" s="11"/>
      <c r="O1605" s="11"/>
      <c r="P1605" s="11"/>
    </row>
    <row r="1606" spans="7:16" hidden="1" x14ac:dyDescent="0.25">
      <c r="G1606" s="16"/>
      <c r="H1606" s="12"/>
      <c r="I1606" s="12"/>
      <c r="J1606" s="12"/>
      <c r="K1606" s="12"/>
      <c r="L1606" s="12"/>
      <c r="M1606" s="11"/>
      <c r="N1606" s="11"/>
      <c r="O1606" s="11"/>
      <c r="P1606" s="11"/>
    </row>
    <row r="1607" spans="7:16" hidden="1" x14ac:dyDescent="0.25">
      <c r="G1607" s="16"/>
      <c r="H1607" s="12"/>
      <c r="I1607" s="12"/>
      <c r="J1607" s="12"/>
      <c r="K1607" s="12"/>
      <c r="L1607" s="12"/>
      <c r="M1607" s="11"/>
      <c r="N1607" s="11"/>
      <c r="O1607" s="11"/>
      <c r="P1607" s="11"/>
    </row>
    <row r="1608" spans="7:16" hidden="1" x14ac:dyDescent="0.25">
      <c r="G1608" s="16"/>
      <c r="H1608" s="12"/>
      <c r="I1608" s="12"/>
      <c r="J1608" s="12"/>
      <c r="K1608" s="12"/>
      <c r="L1608" s="12"/>
      <c r="M1608" s="11"/>
      <c r="N1608" s="11"/>
      <c r="O1608" s="11"/>
      <c r="P1608" s="11"/>
    </row>
    <row r="1609" spans="7:16" hidden="1" x14ac:dyDescent="0.25">
      <c r="G1609" s="16"/>
      <c r="H1609" s="12"/>
      <c r="I1609" s="12"/>
      <c r="J1609" s="12"/>
      <c r="K1609" s="12"/>
      <c r="L1609" s="12"/>
      <c r="M1609" s="11"/>
      <c r="N1609" s="11"/>
      <c r="O1609" s="11"/>
      <c r="P1609" s="11"/>
    </row>
    <row r="1610" spans="7:16" hidden="1" x14ac:dyDescent="0.25">
      <c r="H1610" s="12"/>
      <c r="I1610" s="12"/>
      <c r="J1610" s="12"/>
      <c r="K1610" s="12"/>
      <c r="L1610" s="12"/>
      <c r="M1610" s="11"/>
      <c r="N1610" s="11"/>
      <c r="O1610" s="11"/>
      <c r="P1610" s="11"/>
    </row>
    <row r="1611" spans="7:16" hidden="1" x14ac:dyDescent="0.25">
      <c r="H1611" s="12"/>
      <c r="I1611" s="12"/>
      <c r="J1611" s="12"/>
      <c r="K1611" s="12"/>
      <c r="L1611" s="12"/>
      <c r="M1611" s="11"/>
      <c r="N1611" s="11"/>
      <c r="O1611" s="11"/>
      <c r="P1611" s="11"/>
    </row>
    <row r="1612" spans="7:16" hidden="1" x14ac:dyDescent="0.25">
      <c r="H1612" s="12"/>
      <c r="I1612" s="12"/>
      <c r="J1612" s="12"/>
      <c r="K1612" s="12"/>
      <c r="L1612" s="12"/>
      <c r="M1612" s="11"/>
      <c r="N1612" s="11"/>
      <c r="O1612" s="11"/>
      <c r="P1612" s="11"/>
    </row>
    <row r="1613" spans="7:16" hidden="1" x14ac:dyDescent="0.25">
      <c r="H1613" s="12"/>
      <c r="I1613" s="12"/>
      <c r="J1613" s="12"/>
      <c r="K1613" s="12"/>
      <c r="L1613" s="12"/>
      <c r="M1613" s="11"/>
      <c r="N1613" s="11"/>
      <c r="O1613" s="11"/>
      <c r="P1613" s="11"/>
    </row>
    <row r="1614" spans="7:16" hidden="1" x14ac:dyDescent="0.25">
      <c r="H1614" s="12"/>
      <c r="I1614" s="12"/>
      <c r="J1614" s="12"/>
      <c r="K1614" s="12"/>
      <c r="L1614" s="12"/>
      <c r="M1614" s="11"/>
      <c r="N1614" s="11"/>
      <c r="O1614" s="11"/>
      <c r="P1614" s="11"/>
    </row>
    <row r="1615" spans="7:16" hidden="1" x14ac:dyDescent="0.25">
      <c r="H1615" s="12"/>
      <c r="I1615" s="12"/>
      <c r="J1615" s="12"/>
      <c r="K1615" s="12"/>
      <c r="L1615" s="12"/>
      <c r="M1615" s="11"/>
      <c r="N1615" s="11"/>
      <c r="O1615" s="11"/>
      <c r="P1615" s="11"/>
    </row>
    <row r="1616" spans="7:16" hidden="1" x14ac:dyDescent="0.25">
      <c r="H1616" s="12"/>
      <c r="I1616" s="12"/>
      <c r="J1616" s="12"/>
      <c r="K1616" s="12"/>
      <c r="L1616" s="12"/>
      <c r="M1616" s="11"/>
      <c r="N1616" s="11"/>
      <c r="O1616" s="11"/>
      <c r="P1616" s="11"/>
    </row>
    <row r="1617" spans="8:16" hidden="1" x14ac:dyDescent="0.25">
      <c r="H1617" s="12"/>
      <c r="I1617" s="12"/>
      <c r="J1617" s="12"/>
      <c r="K1617" s="12"/>
      <c r="L1617" s="12"/>
      <c r="M1617" s="11"/>
      <c r="N1617" s="11"/>
      <c r="O1617" s="11"/>
      <c r="P1617" s="11"/>
    </row>
    <row r="1618" spans="8:16" hidden="1" x14ac:dyDescent="0.25">
      <c r="H1618" s="12"/>
      <c r="I1618" s="12"/>
      <c r="J1618" s="12"/>
      <c r="K1618" s="12"/>
      <c r="L1618" s="12"/>
      <c r="M1618" s="11"/>
      <c r="N1618" s="11"/>
      <c r="O1618" s="11"/>
      <c r="P1618" s="11"/>
    </row>
    <row r="1619" spans="8:16" hidden="1" x14ac:dyDescent="0.25">
      <c r="H1619" s="12"/>
      <c r="I1619" s="12"/>
      <c r="J1619" s="12"/>
      <c r="K1619" s="12"/>
      <c r="L1619" s="12"/>
      <c r="M1619" s="11"/>
      <c r="N1619" s="11"/>
      <c r="O1619" s="11"/>
      <c r="P1619" s="11"/>
    </row>
    <row r="1620" spans="8:16" hidden="1" x14ac:dyDescent="0.25">
      <c r="H1620" s="12"/>
      <c r="I1620" s="12"/>
      <c r="J1620" s="12"/>
      <c r="K1620" s="12"/>
      <c r="L1620" s="12"/>
      <c r="M1620" s="11"/>
      <c r="N1620" s="11"/>
      <c r="O1620" s="11"/>
      <c r="P1620" s="11"/>
    </row>
    <row r="1621" spans="8:16" hidden="1" x14ac:dyDescent="0.25">
      <c r="H1621" s="12"/>
      <c r="I1621" s="12"/>
      <c r="J1621" s="12"/>
      <c r="K1621" s="12"/>
      <c r="L1621" s="12"/>
      <c r="M1621" s="11"/>
      <c r="N1621" s="11"/>
      <c r="O1621" s="11"/>
      <c r="P1621" s="11"/>
    </row>
    <row r="1622" spans="8:16" hidden="1" x14ac:dyDescent="0.25">
      <c r="H1622" s="12"/>
      <c r="I1622" s="12"/>
      <c r="J1622" s="12"/>
      <c r="K1622" s="12"/>
      <c r="L1622" s="12"/>
      <c r="M1622" s="11"/>
      <c r="N1622" s="11"/>
      <c r="O1622" s="11"/>
      <c r="P1622" s="11"/>
    </row>
    <row r="1623" spans="8:16" hidden="1" x14ac:dyDescent="0.25">
      <c r="H1623" s="12"/>
      <c r="I1623" s="12"/>
      <c r="J1623" s="12"/>
      <c r="K1623" s="12"/>
      <c r="L1623" s="12"/>
      <c r="M1623" s="11"/>
      <c r="N1623" s="11"/>
      <c r="O1623" s="11"/>
      <c r="P1623" s="11"/>
    </row>
    <row r="1624" spans="8:16" hidden="1" x14ac:dyDescent="0.25">
      <c r="H1624" s="12"/>
      <c r="I1624" s="12"/>
      <c r="J1624" s="12"/>
      <c r="K1624" s="12"/>
      <c r="L1624" s="12"/>
      <c r="M1624" s="11"/>
      <c r="N1624" s="11"/>
      <c r="O1624" s="11"/>
      <c r="P1624" s="11"/>
    </row>
    <row r="1625" spans="8:16" hidden="1" x14ac:dyDescent="0.25">
      <c r="H1625" s="12"/>
      <c r="I1625" s="12"/>
      <c r="J1625" s="12"/>
      <c r="K1625" s="12"/>
      <c r="L1625" s="12"/>
      <c r="M1625" s="11"/>
      <c r="N1625" s="11"/>
      <c r="O1625" s="11"/>
      <c r="P1625" s="11"/>
    </row>
    <row r="1626" spans="8:16" hidden="1" x14ac:dyDescent="0.25">
      <c r="H1626" s="12"/>
      <c r="I1626" s="12"/>
      <c r="J1626" s="12"/>
      <c r="K1626" s="12"/>
      <c r="L1626" s="12"/>
      <c r="M1626" s="11"/>
      <c r="N1626" s="11"/>
      <c r="O1626" s="11"/>
      <c r="P1626" s="11"/>
    </row>
    <row r="1627" spans="8:16" hidden="1" x14ac:dyDescent="0.25">
      <c r="H1627" s="12"/>
      <c r="I1627" s="12"/>
      <c r="J1627" s="12"/>
      <c r="K1627" s="12"/>
      <c r="L1627" s="12"/>
      <c r="M1627" s="11"/>
      <c r="N1627" s="11"/>
      <c r="O1627" s="11"/>
      <c r="P1627" s="11"/>
    </row>
    <row r="1628" spans="8:16" hidden="1" x14ac:dyDescent="0.25">
      <c r="H1628" s="12"/>
      <c r="I1628" s="12"/>
      <c r="J1628" s="12"/>
      <c r="K1628" s="12"/>
      <c r="L1628" s="12"/>
      <c r="M1628" s="11"/>
      <c r="N1628" s="11"/>
      <c r="O1628" s="11"/>
      <c r="P1628" s="11"/>
    </row>
    <row r="1629" spans="8:16" hidden="1" x14ac:dyDescent="0.25">
      <c r="H1629" s="12"/>
      <c r="I1629" s="12"/>
      <c r="J1629" s="12"/>
      <c r="K1629" s="12"/>
      <c r="L1629" s="12"/>
      <c r="M1629" s="11"/>
      <c r="N1629" s="11"/>
      <c r="O1629" s="11"/>
      <c r="P1629" s="11"/>
    </row>
    <row r="1630" spans="8:16" hidden="1" x14ac:dyDescent="0.25">
      <c r="H1630" s="12"/>
      <c r="I1630" s="12"/>
      <c r="J1630" s="12"/>
      <c r="K1630" s="12"/>
      <c r="L1630" s="12"/>
      <c r="M1630" s="11"/>
      <c r="N1630" s="11"/>
      <c r="O1630" s="11"/>
      <c r="P1630" s="11"/>
    </row>
    <row r="1631" spans="8:16" hidden="1" x14ac:dyDescent="0.25">
      <c r="H1631" s="12"/>
      <c r="I1631" s="12"/>
      <c r="J1631" s="12"/>
      <c r="K1631" s="12"/>
      <c r="L1631" s="12"/>
      <c r="M1631" s="11"/>
      <c r="N1631" s="11"/>
      <c r="O1631" s="11"/>
      <c r="P1631" s="11"/>
    </row>
    <row r="1632" spans="8:16" hidden="1" x14ac:dyDescent="0.25">
      <c r="H1632" s="12"/>
      <c r="I1632" s="12"/>
      <c r="J1632" s="12"/>
      <c r="K1632" s="12"/>
      <c r="L1632" s="12"/>
      <c r="M1632" s="11"/>
      <c r="N1632" s="11"/>
      <c r="O1632" s="11"/>
      <c r="P1632" s="11"/>
    </row>
    <row r="1633" spans="8:16" hidden="1" x14ac:dyDescent="0.25">
      <c r="H1633" s="12"/>
      <c r="I1633" s="12"/>
      <c r="J1633" s="12"/>
      <c r="K1633" s="12"/>
      <c r="L1633" s="12"/>
      <c r="M1633" s="11"/>
      <c r="N1633" s="11"/>
      <c r="O1633" s="11"/>
      <c r="P1633" s="11"/>
    </row>
    <row r="1634" spans="8:16" hidden="1" x14ac:dyDescent="0.25">
      <c r="H1634" s="12"/>
      <c r="I1634" s="12"/>
      <c r="J1634" s="12"/>
      <c r="K1634" s="12"/>
      <c r="L1634" s="12"/>
      <c r="M1634" s="11"/>
      <c r="N1634" s="11"/>
      <c r="O1634" s="11"/>
      <c r="P1634" s="11"/>
    </row>
    <row r="1635" spans="8:16" hidden="1" x14ac:dyDescent="0.25">
      <c r="H1635" s="12"/>
      <c r="I1635" s="12"/>
      <c r="J1635" s="12"/>
      <c r="K1635" s="12"/>
      <c r="L1635" s="12"/>
      <c r="M1635" s="11"/>
      <c r="N1635" s="11"/>
      <c r="O1635" s="11"/>
      <c r="P1635" s="11"/>
    </row>
    <row r="1636" spans="8:16" hidden="1" x14ac:dyDescent="0.25">
      <c r="H1636" s="12"/>
      <c r="I1636" s="12"/>
      <c r="J1636" s="12"/>
      <c r="K1636" s="12"/>
      <c r="L1636" s="12"/>
      <c r="M1636" s="11"/>
      <c r="N1636" s="11"/>
      <c r="O1636" s="11"/>
      <c r="P1636" s="11"/>
    </row>
    <row r="1637" spans="8:16" hidden="1" x14ac:dyDescent="0.25">
      <c r="H1637" s="12"/>
      <c r="I1637" s="12"/>
      <c r="J1637" s="12"/>
      <c r="K1637" s="12"/>
      <c r="L1637" s="12"/>
      <c r="M1637" s="11"/>
      <c r="N1637" s="11"/>
      <c r="O1637" s="11"/>
      <c r="P1637" s="11"/>
    </row>
    <row r="1638" spans="8:16" hidden="1" x14ac:dyDescent="0.25">
      <c r="H1638" s="12"/>
      <c r="I1638" s="12"/>
      <c r="J1638" s="12"/>
      <c r="K1638" s="12"/>
      <c r="L1638" s="12"/>
      <c r="M1638" s="11"/>
      <c r="N1638" s="11"/>
      <c r="O1638" s="11"/>
      <c r="P1638" s="11"/>
    </row>
    <row r="1639" spans="8:16" hidden="1" x14ac:dyDescent="0.25">
      <c r="H1639" s="12"/>
      <c r="I1639" s="12"/>
      <c r="J1639" s="12"/>
      <c r="K1639" s="12"/>
      <c r="L1639" s="12"/>
      <c r="M1639" s="11"/>
      <c r="N1639" s="11"/>
      <c r="O1639" s="11"/>
      <c r="P1639" s="11"/>
    </row>
    <row r="1640" spans="8:16" hidden="1" x14ac:dyDescent="0.25">
      <c r="H1640" s="12"/>
      <c r="I1640" s="12"/>
      <c r="J1640" s="12"/>
      <c r="K1640" s="12"/>
      <c r="L1640" s="12"/>
      <c r="M1640" s="11"/>
      <c r="N1640" s="11"/>
      <c r="O1640" s="11"/>
      <c r="P1640" s="11"/>
    </row>
    <row r="1641" spans="8:16" hidden="1" x14ac:dyDescent="0.25">
      <c r="H1641" s="12"/>
      <c r="I1641" s="12"/>
      <c r="J1641" s="12"/>
      <c r="K1641" s="12"/>
      <c r="L1641" s="12"/>
      <c r="M1641" s="11"/>
      <c r="N1641" s="11"/>
      <c r="O1641" s="11"/>
      <c r="P1641" s="11"/>
    </row>
    <row r="1642" spans="8:16" hidden="1" x14ac:dyDescent="0.25">
      <c r="H1642" s="12"/>
      <c r="I1642" s="12"/>
      <c r="J1642" s="12"/>
      <c r="K1642" s="12"/>
      <c r="L1642" s="12"/>
      <c r="M1642" s="11"/>
      <c r="N1642" s="11"/>
      <c r="O1642" s="11"/>
      <c r="P1642" s="11"/>
    </row>
    <row r="1643" spans="8:16" hidden="1" x14ac:dyDescent="0.25">
      <c r="H1643" s="12"/>
      <c r="I1643" s="12"/>
      <c r="J1643" s="12"/>
      <c r="K1643" s="12"/>
      <c r="L1643" s="12"/>
      <c r="M1643" s="11"/>
      <c r="N1643" s="11"/>
      <c r="O1643" s="11"/>
      <c r="P1643" s="11"/>
    </row>
    <row r="1644" spans="8:16" hidden="1" x14ac:dyDescent="0.25">
      <c r="H1644" s="12"/>
      <c r="I1644" s="12"/>
      <c r="J1644" s="12"/>
      <c r="K1644" s="12"/>
      <c r="L1644" s="12"/>
      <c r="M1644" s="11"/>
      <c r="N1644" s="11"/>
      <c r="O1644" s="11"/>
      <c r="P1644" s="11"/>
    </row>
    <row r="1645" spans="8:16" hidden="1" x14ac:dyDescent="0.25">
      <c r="H1645" s="12"/>
      <c r="I1645" s="12"/>
      <c r="J1645" s="12"/>
      <c r="K1645" s="12"/>
      <c r="L1645" s="12"/>
      <c r="M1645" s="11"/>
      <c r="N1645" s="11"/>
      <c r="O1645" s="11"/>
      <c r="P1645" s="11"/>
    </row>
    <row r="1646" spans="8:16" hidden="1" x14ac:dyDescent="0.25">
      <c r="H1646" s="12"/>
      <c r="I1646" s="12"/>
      <c r="J1646" s="12"/>
      <c r="K1646" s="12"/>
      <c r="L1646" s="12"/>
      <c r="M1646" s="11"/>
      <c r="N1646" s="11"/>
      <c r="O1646" s="11"/>
      <c r="P1646" s="11"/>
    </row>
    <row r="1647" spans="8:16" hidden="1" x14ac:dyDescent="0.25">
      <c r="H1647" s="12"/>
      <c r="I1647" s="12"/>
      <c r="J1647" s="12"/>
      <c r="K1647" s="12"/>
      <c r="L1647" s="12"/>
      <c r="M1647" s="11"/>
      <c r="N1647" s="11"/>
      <c r="O1647" s="11"/>
      <c r="P1647" s="11"/>
    </row>
    <row r="1648" spans="8:16" hidden="1" x14ac:dyDescent="0.25">
      <c r="H1648" s="12"/>
      <c r="I1648" s="12"/>
      <c r="J1648" s="12"/>
      <c r="K1648" s="12"/>
      <c r="L1648" s="12"/>
      <c r="M1648" s="11"/>
      <c r="N1648" s="11"/>
      <c r="O1648" s="11"/>
      <c r="P1648" s="11"/>
    </row>
    <row r="1649" spans="8:16" hidden="1" x14ac:dyDescent="0.25">
      <c r="H1649" s="12"/>
      <c r="I1649" s="12"/>
      <c r="J1649" s="12"/>
      <c r="K1649" s="12"/>
      <c r="L1649" s="12"/>
      <c r="M1649" s="11"/>
      <c r="N1649" s="11"/>
      <c r="O1649" s="11"/>
      <c r="P1649" s="11"/>
    </row>
    <row r="1650" spans="8:16" hidden="1" x14ac:dyDescent="0.25">
      <c r="H1650" s="12"/>
      <c r="I1650" s="12"/>
      <c r="J1650" s="12"/>
      <c r="K1650" s="12"/>
      <c r="L1650" s="12"/>
      <c r="M1650" s="11"/>
      <c r="N1650" s="11"/>
      <c r="O1650" s="11"/>
      <c r="P1650" s="11"/>
    </row>
    <row r="1651" spans="8:16" hidden="1" x14ac:dyDescent="0.25">
      <c r="H1651" s="12"/>
      <c r="I1651" s="12"/>
      <c r="J1651" s="12"/>
      <c r="K1651" s="12"/>
      <c r="L1651" s="12"/>
      <c r="M1651" s="11"/>
      <c r="N1651" s="11"/>
      <c r="O1651" s="11"/>
      <c r="P1651" s="11"/>
    </row>
    <row r="1652" spans="8:16" hidden="1" x14ac:dyDescent="0.25">
      <c r="H1652" s="12"/>
      <c r="I1652" s="12"/>
      <c r="J1652" s="12"/>
      <c r="K1652" s="12"/>
      <c r="L1652" s="12"/>
      <c r="M1652" s="11"/>
      <c r="N1652" s="11"/>
      <c r="O1652" s="11"/>
      <c r="P1652" s="11"/>
    </row>
    <row r="1653" spans="8:16" hidden="1" x14ac:dyDescent="0.25">
      <c r="H1653" s="12"/>
      <c r="I1653" s="12"/>
      <c r="J1653" s="12"/>
      <c r="K1653" s="12"/>
      <c r="L1653" s="12"/>
      <c r="M1653" s="11"/>
      <c r="N1653" s="11"/>
      <c r="O1653" s="11"/>
      <c r="P1653" s="11"/>
    </row>
    <row r="1654" spans="8:16" hidden="1" x14ac:dyDescent="0.25">
      <c r="H1654" s="12"/>
      <c r="I1654" s="12"/>
      <c r="J1654" s="12"/>
      <c r="K1654" s="12"/>
      <c r="L1654" s="12"/>
      <c r="M1654" s="11"/>
      <c r="N1654" s="11"/>
      <c r="O1654" s="11"/>
      <c r="P1654" s="11"/>
    </row>
    <row r="1655" spans="8:16" hidden="1" x14ac:dyDescent="0.25">
      <c r="H1655" s="12"/>
      <c r="I1655" s="12"/>
      <c r="J1655" s="12"/>
      <c r="K1655" s="12"/>
      <c r="L1655" s="12"/>
      <c r="M1655" s="11"/>
      <c r="N1655" s="11"/>
      <c r="O1655" s="11"/>
      <c r="P1655" s="11"/>
    </row>
    <row r="1656" spans="8:16" hidden="1" x14ac:dyDescent="0.25">
      <c r="H1656" s="12"/>
      <c r="I1656" s="12"/>
      <c r="J1656" s="12"/>
      <c r="K1656" s="12"/>
      <c r="L1656" s="12"/>
      <c r="M1656" s="11"/>
      <c r="N1656" s="11"/>
      <c r="O1656" s="11"/>
      <c r="P1656" s="11"/>
    </row>
    <row r="1657" spans="8:16" hidden="1" x14ac:dyDescent="0.25">
      <c r="H1657" s="12"/>
      <c r="I1657" s="12"/>
      <c r="J1657" s="12"/>
      <c r="K1657" s="12"/>
      <c r="L1657" s="12"/>
      <c r="M1657" s="11"/>
      <c r="N1657" s="11"/>
      <c r="O1657" s="11"/>
      <c r="P1657" s="11"/>
    </row>
    <row r="1658" spans="8:16" hidden="1" x14ac:dyDescent="0.25">
      <c r="H1658" s="12"/>
      <c r="I1658" s="12"/>
      <c r="J1658" s="12"/>
      <c r="K1658" s="12"/>
      <c r="L1658" s="12"/>
      <c r="M1658" s="11"/>
      <c r="N1658" s="11"/>
      <c r="O1658" s="11"/>
      <c r="P1658" s="11"/>
    </row>
    <row r="1659" spans="8:16" hidden="1" x14ac:dyDescent="0.25">
      <c r="H1659" s="12"/>
      <c r="I1659" s="12"/>
      <c r="J1659" s="12"/>
      <c r="K1659" s="12"/>
      <c r="L1659" s="12"/>
      <c r="M1659" s="11"/>
      <c r="N1659" s="11"/>
      <c r="O1659" s="11"/>
      <c r="P1659" s="11"/>
    </row>
    <row r="1660" spans="8:16" hidden="1" x14ac:dyDescent="0.25">
      <c r="H1660" s="12"/>
      <c r="I1660" s="12"/>
      <c r="J1660" s="12"/>
      <c r="K1660" s="12"/>
      <c r="L1660" s="12"/>
      <c r="M1660" s="11"/>
      <c r="N1660" s="11"/>
      <c r="O1660" s="11"/>
      <c r="P1660" s="11"/>
    </row>
    <row r="1661" spans="8:16" hidden="1" x14ac:dyDescent="0.25">
      <c r="H1661" s="12"/>
      <c r="I1661" s="12"/>
      <c r="J1661" s="12"/>
      <c r="K1661" s="12"/>
      <c r="L1661" s="12"/>
      <c r="M1661" s="11"/>
      <c r="N1661" s="11"/>
      <c r="O1661" s="11"/>
      <c r="P1661" s="11"/>
    </row>
    <row r="1662" spans="8:16" hidden="1" x14ac:dyDescent="0.25">
      <c r="H1662" s="12"/>
      <c r="I1662" s="12"/>
      <c r="J1662" s="12"/>
      <c r="K1662" s="12"/>
      <c r="L1662" s="12"/>
      <c r="M1662" s="11"/>
      <c r="N1662" s="11"/>
      <c r="O1662" s="11"/>
      <c r="P1662" s="11"/>
    </row>
    <row r="1663" spans="8:16" hidden="1" x14ac:dyDescent="0.25">
      <c r="H1663" s="12"/>
      <c r="I1663" s="12"/>
      <c r="J1663" s="12"/>
      <c r="K1663" s="12"/>
      <c r="L1663" s="12"/>
      <c r="M1663" s="11"/>
      <c r="N1663" s="11"/>
      <c r="O1663" s="11"/>
      <c r="P1663" s="11"/>
    </row>
    <row r="1664" spans="8:16" hidden="1" x14ac:dyDescent="0.25">
      <c r="H1664" s="12"/>
      <c r="I1664" s="12"/>
      <c r="J1664" s="12"/>
      <c r="K1664" s="12"/>
      <c r="L1664" s="12"/>
      <c r="M1664" s="11"/>
      <c r="N1664" s="11"/>
      <c r="O1664" s="11"/>
      <c r="P1664" s="11"/>
    </row>
    <row r="1665" spans="8:16" hidden="1" x14ac:dyDescent="0.25">
      <c r="H1665" s="12"/>
      <c r="I1665" s="12"/>
      <c r="J1665" s="12"/>
      <c r="K1665" s="12"/>
      <c r="L1665" s="12"/>
      <c r="M1665" s="11"/>
      <c r="N1665" s="11"/>
      <c r="O1665" s="11"/>
      <c r="P1665" s="11"/>
    </row>
    <row r="1666" spans="8:16" hidden="1" x14ac:dyDescent="0.25">
      <c r="H1666" s="12"/>
      <c r="I1666" s="12"/>
      <c r="J1666" s="12"/>
      <c r="K1666" s="12"/>
      <c r="L1666" s="12"/>
      <c r="M1666" s="11"/>
      <c r="N1666" s="11"/>
      <c r="O1666" s="11"/>
      <c r="P1666" s="11"/>
    </row>
    <row r="1667" spans="8:16" hidden="1" x14ac:dyDescent="0.25">
      <c r="H1667" s="12"/>
      <c r="I1667" s="12"/>
      <c r="J1667" s="12"/>
      <c r="K1667" s="12"/>
      <c r="L1667" s="12"/>
      <c r="M1667" s="11"/>
      <c r="N1667" s="11"/>
      <c r="O1667" s="11"/>
      <c r="P1667" s="11"/>
    </row>
    <row r="1668" spans="8:16" hidden="1" x14ac:dyDescent="0.25">
      <c r="H1668" s="12"/>
      <c r="I1668" s="12"/>
      <c r="J1668" s="12"/>
      <c r="K1668" s="12"/>
      <c r="L1668" s="12"/>
      <c r="M1668" s="11"/>
      <c r="N1668" s="11"/>
      <c r="O1668" s="11"/>
      <c r="P1668" s="11"/>
    </row>
    <row r="1669" spans="8:16" hidden="1" x14ac:dyDescent="0.25">
      <c r="H1669" s="12"/>
      <c r="I1669" s="12"/>
      <c r="J1669" s="12"/>
      <c r="K1669" s="12"/>
      <c r="L1669" s="12"/>
      <c r="M1669" s="11"/>
      <c r="N1669" s="11"/>
      <c r="O1669" s="11"/>
      <c r="P1669" s="11"/>
    </row>
    <row r="1670" spans="8:16" hidden="1" x14ac:dyDescent="0.25">
      <c r="H1670" s="12"/>
      <c r="I1670" s="12"/>
      <c r="J1670" s="12"/>
      <c r="K1670" s="12"/>
      <c r="L1670" s="12"/>
      <c r="M1670" s="11"/>
      <c r="N1670" s="11"/>
      <c r="O1670" s="11"/>
      <c r="P1670" s="11"/>
    </row>
    <row r="1671" spans="8:16" hidden="1" x14ac:dyDescent="0.25">
      <c r="H1671" s="12"/>
      <c r="I1671" s="12"/>
      <c r="J1671" s="12"/>
      <c r="K1671" s="12"/>
      <c r="L1671" s="12"/>
      <c r="M1671" s="11"/>
      <c r="N1671" s="11"/>
      <c r="O1671" s="11"/>
      <c r="P1671" s="11"/>
    </row>
    <row r="1672" spans="8:16" hidden="1" x14ac:dyDescent="0.25">
      <c r="H1672" s="12"/>
      <c r="I1672" s="12"/>
      <c r="J1672" s="12"/>
      <c r="K1672" s="12"/>
      <c r="L1672" s="12"/>
      <c r="M1672" s="11"/>
      <c r="N1672" s="11"/>
      <c r="O1672" s="11"/>
      <c r="P1672" s="11"/>
    </row>
    <row r="1673" spans="8:16" hidden="1" x14ac:dyDescent="0.25">
      <c r="H1673" s="12"/>
      <c r="I1673" s="12"/>
      <c r="J1673" s="12"/>
      <c r="K1673" s="12"/>
      <c r="L1673" s="12"/>
      <c r="M1673" s="11"/>
      <c r="N1673" s="11"/>
      <c r="O1673" s="11"/>
      <c r="P1673" s="11"/>
    </row>
    <row r="1674" spans="8:16" hidden="1" x14ac:dyDescent="0.25">
      <c r="H1674" s="12"/>
      <c r="I1674" s="12"/>
      <c r="J1674" s="12"/>
      <c r="K1674" s="12"/>
      <c r="L1674" s="12"/>
      <c r="M1674" s="11"/>
      <c r="N1674" s="11"/>
      <c r="O1674" s="11"/>
      <c r="P1674" s="11"/>
    </row>
    <row r="1675" spans="8:16" hidden="1" x14ac:dyDescent="0.25">
      <c r="H1675" s="12"/>
      <c r="I1675" s="12"/>
      <c r="J1675" s="12"/>
      <c r="K1675" s="12"/>
      <c r="L1675" s="12"/>
      <c r="M1675" s="11"/>
      <c r="N1675" s="11"/>
      <c r="O1675" s="11"/>
      <c r="P1675" s="11"/>
    </row>
    <row r="1676" spans="8:16" hidden="1" x14ac:dyDescent="0.25">
      <c r="H1676" s="12"/>
      <c r="I1676" s="12"/>
      <c r="J1676" s="12"/>
      <c r="K1676" s="12"/>
      <c r="L1676" s="12"/>
      <c r="M1676" s="11"/>
      <c r="N1676" s="11"/>
      <c r="O1676" s="11"/>
      <c r="P1676" s="11"/>
    </row>
    <row r="1677" spans="8:16" hidden="1" x14ac:dyDescent="0.25">
      <c r="H1677" s="12"/>
      <c r="I1677" s="12"/>
      <c r="J1677" s="12"/>
      <c r="K1677" s="12"/>
      <c r="L1677" s="12"/>
      <c r="M1677" s="11"/>
      <c r="N1677" s="11"/>
      <c r="O1677" s="11"/>
      <c r="P1677" s="11"/>
    </row>
    <row r="1678" spans="8:16" hidden="1" x14ac:dyDescent="0.25">
      <c r="H1678" s="12"/>
      <c r="I1678" s="12"/>
      <c r="J1678" s="12"/>
      <c r="K1678" s="12"/>
      <c r="L1678" s="12"/>
      <c r="M1678" s="11"/>
      <c r="N1678" s="11"/>
      <c r="O1678" s="11"/>
      <c r="P1678" s="11"/>
    </row>
    <row r="1679" spans="8:16" hidden="1" x14ac:dyDescent="0.25">
      <c r="H1679" s="12"/>
      <c r="I1679" s="12"/>
      <c r="J1679" s="12"/>
      <c r="K1679" s="12"/>
      <c r="L1679" s="12"/>
      <c r="M1679" s="11"/>
      <c r="N1679" s="11"/>
      <c r="O1679" s="11"/>
      <c r="P1679" s="11"/>
    </row>
    <row r="1680" spans="8:16" hidden="1" x14ac:dyDescent="0.25">
      <c r="H1680" s="12"/>
      <c r="I1680" s="12"/>
      <c r="J1680" s="12"/>
      <c r="K1680" s="12"/>
      <c r="L1680" s="12"/>
      <c r="M1680" s="11"/>
      <c r="N1680" s="11"/>
      <c r="O1680" s="11"/>
      <c r="P1680" s="11"/>
    </row>
    <row r="1681" spans="8:16" hidden="1" x14ac:dyDescent="0.25">
      <c r="H1681" s="12"/>
      <c r="I1681" s="12"/>
      <c r="J1681" s="12"/>
      <c r="K1681" s="12"/>
      <c r="L1681" s="12"/>
      <c r="M1681" s="11"/>
      <c r="N1681" s="11"/>
      <c r="O1681" s="11"/>
      <c r="P1681" s="11"/>
    </row>
    <row r="1682" spans="8:16" hidden="1" x14ac:dyDescent="0.25">
      <c r="H1682" s="12"/>
      <c r="I1682" s="12"/>
      <c r="J1682" s="12"/>
      <c r="K1682" s="12"/>
      <c r="L1682" s="12"/>
      <c r="M1682" s="11"/>
      <c r="N1682" s="11"/>
      <c r="O1682" s="11"/>
      <c r="P1682" s="11"/>
    </row>
    <row r="1683" spans="8:16" hidden="1" x14ac:dyDescent="0.25">
      <c r="H1683" s="12"/>
      <c r="I1683" s="12"/>
      <c r="J1683" s="12"/>
      <c r="K1683" s="12"/>
      <c r="L1683" s="12"/>
      <c r="M1683" s="11"/>
      <c r="N1683" s="11"/>
      <c r="O1683" s="11"/>
      <c r="P1683" s="11"/>
    </row>
    <row r="1684" spans="8:16" hidden="1" x14ac:dyDescent="0.25">
      <c r="H1684" s="12"/>
      <c r="I1684" s="12"/>
      <c r="J1684" s="12"/>
      <c r="K1684" s="12"/>
      <c r="L1684" s="12"/>
      <c r="M1684" s="11"/>
      <c r="N1684" s="11"/>
      <c r="O1684" s="11"/>
      <c r="P1684" s="11"/>
    </row>
    <row r="1685" spans="8:16" hidden="1" x14ac:dyDescent="0.25">
      <c r="H1685" s="12"/>
      <c r="I1685" s="12"/>
      <c r="J1685" s="12"/>
      <c r="K1685" s="12"/>
      <c r="L1685" s="12"/>
      <c r="M1685" s="11"/>
      <c r="N1685" s="11"/>
      <c r="O1685" s="11"/>
      <c r="P1685" s="11"/>
    </row>
    <row r="1686" spans="8:16" hidden="1" x14ac:dyDescent="0.25">
      <c r="H1686" s="12"/>
      <c r="I1686" s="12"/>
      <c r="J1686" s="12"/>
      <c r="K1686" s="12"/>
      <c r="L1686" s="12"/>
      <c r="M1686" s="11"/>
      <c r="N1686" s="11"/>
      <c r="O1686" s="11"/>
      <c r="P1686" s="11"/>
    </row>
    <row r="1687" spans="8:16" hidden="1" x14ac:dyDescent="0.25">
      <c r="H1687" s="12"/>
      <c r="I1687" s="12"/>
      <c r="J1687" s="12"/>
      <c r="K1687" s="12"/>
      <c r="L1687" s="12"/>
      <c r="M1687" s="11"/>
      <c r="N1687" s="11"/>
      <c r="O1687" s="11"/>
      <c r="P1687" s="11"/>
    </row>
    <row r="1688" spans="8:16" hidden="1" x14ac:dyDescent="0.25">
      <c r="H1688" s="12"/>
      <c r="I1688" s="12"/>
      <c r="J1688" s="12"/>
      <c r="K1688" s="12"/>
      <c r="L1688" s="12"/>
      <c r="M1688" s="11"/>
      <c r="N1688" s="11"/>
      <c r="O1688" s="11"/>
      <c r="P1688" s="11"/>
    </row>
    <row r="1689" spans="8:16" hidden="1" x14ac:dyDescent="0.25">
      <c r="H1689" s="12"/>
      <c r="I1689" s="12"/>
      <c r="J1689" s="12"/>
      <c r="K1689" s="12"/>
      <c r="L1689" s="12"/>
      <c r="M1689" s="11"/>
      <c r="N1689" s="11"/>
      <c r="O1689" s="11"/>
      <c r="P1689" s="11"/>
    </row>
    <row r="1690" spans="8:16" hidden="1" x14ac:dyDescent="0.25">
      <c r="H1690" s="12"/>
      <c r="I1690" s="12"/>
      <c r="J1690" s="12"/>
      <c r="K1690" s="12"/>
      <c r="L1690" s="12"/>
      <c r="M1690" s="11"/>
      <c r="N1690" s="11"/>
      <c r="O1690" s="11"/>
      <c r="P1690" s="11"/>
    </row>
    <row r="1691" spans="8:16" hidden="1" x14ac:dyDescent="0.25">
      <c r="H1691" s="12"/>
      <c r="I1691" s="12"/>
      <c r="J1691" s="12"/>
      <c r="K1691" s="12"/>
      <c r="L1691" s="12"/>
      <c r="M1691" s="11"/>
      <c r="N1691" s="11"/>
      <c r="O1691" s="11"/>
      <c r="P1691" s="11"/>
    </row>
    <row r="1692" spans="8:16" hidden="1" x14ac:dyDescent="0.25">
      <c r="H1692" s="12"/>
      <c r="I1692" s="12"/>
      <c r="J1692" s="12"/>
      <c r="K1692" s="12"/>
      <c r="L1692" s="12"/>
      <c r="M1692" s="11"/>
      <c r="N1692" s="11"/>
      <c r="O1692" s="11"/>
      <c r="P1692" s="11"/>
    </row>
    <row r="1693" spans="8:16" hidden="1" x14ac:dyDescent="0.25">
      <c r="H1693" s="12"/>
      <c r="I1693" s="12"/>
      <c r="J1693" s="12"/>
      <c r="K1693" s="12"/>
      <c r="L1693" s="12"/>
      <c r="M1693" s="11"/>
      <c r="N1693" s="11"/>
      <c r="O1693" s="11"/>
      <c r="P1693" s="11"/>
    </row>
    <row r="1694" spans="8:16" hidden="1" x14ac:dyDescent="0.25">
      <c r="H1694" s="12"/>
      <c r="I1694" s="12"/>
      <c r="J1694" s="12"/>
      <c r="K1694" s="12"/>
      <c r="L1694" s="12"/>
      <c r="M1694" s="11"/>
      <c r="N1694" s="11"/>
      <c r="O1694" s="11"/>
      <c r="P1694" s="11"/>
    </row>
    <row r="1695" spans="8:16" hidden="1" x14ac:dyDescent="0.25">
      <c r="H1695" s="12"/>
      <c r="I1695" s="12"/>
      <c r="J1695" s="12"/>
      <c r="K1695" s="12"/>
      <c r="L1695" s="12"/>
      <c r="M1695" s="11"/>
      <c r="N1695" s="11"/>
      <c r="O1695" s="11"/>
      <c r="P1695" s="11"/>
    </row>
    <row r="1696" spans="8:16" hidden="1" x14ac:dyDescent="0.25">
      <c r="H1696" s="12"/>
      <c r="I1696" s="12"/>
      <c r="J1696" s="12"/>
      <c r="K1696" s="12"/>
      <c r="L1696" s="12"/>
      <c r="M1696" s="11"/>
      <c r="N1696" s="11"/>
      <c r="O1696" s="11"/>
      <c r="P1696" s="11"/>
    </row>
    <row r="1697" spans="8:16" hidden="1" x14ac:dyDescent="0.25">
      <c r="H1697" s="12"/>
      <c r="I1697" s="12"/>
      <c r="J1697" s="12"/>
      <c r="K1697" s="12"/>
      <c r="L1697" s="12"/>
      <c r="M1697" s="11"/>
      <c r="N1697" s="11"/>
      <c r="O1697" s="11"/>
      <c r="P1697" s="11"/>
    </row>
    <row r="1698" spans="8:16" hidden="1" x14ac:dyDescent="0.25">
      <c r="H1698" s="12"/>
      <c r="I1698" s="12"/>
      <c r="J1698" s="12"/>
      <c r="K1698" s="12"/>
      <c r="L1698" s="12"/>
      <c r="M1698" s="11"/>
      <c r="N1698" s="11"/>
      <c r="O1698" s="11"/>
      <c r="P1698" s="11"/>
    </row>
    <row r="1699" spans="8:16" hidden="1" x14ac:dyDescent="0.25">
      <c r="H1699" s="12"/>
      <c r="I1699" s="12"/>
      <c r="J1699" s="12"/>
      <c r="K1699" s="12"/>
      <c r="L1699" s="12"/>
      <c r="M1699" s="11"/>
      <c r="N1699" s="11"/>
      <c r="O1699" s="11"/>
      <c r="P1699" s="11"/>
    </row>
    <row r="1700" spans="8:16" hidden="1" x14ac:dyDescent="0.25">
      <c r="H1700" s="12"/>
      <c r="I1700" s="12"/>
      <c r="J1700" s="12"/>
      <c r="K1700" s="12"/>
      <c r="L1700" s="12"/>
      <c r="M1700" s="11"/>
      <c r="N1700" s="11"/>
      <c r="O1700" s="11"/>
      <c r="P1700" s="11"/>
    </row>
    <row r="1701" spans="8:16" hidden="1" x14ac:dyDescent="0.25">
      <c r="H1701" s="12"/>
      <c r="I1701" s="12"/>
      <c r="J1701" s="12"/>
      <c r="K1701" s="12"/>
      <c r="L1701" s="12"/>
      <c r="M1701" s="11"/>
      <c r="N1701" s="11"/>
      <c r="O1701" s="11"/>
      <c r="P1701" s="11"/>
    </row>
    <row r="1702" spans="8:16" hidden="1" x14ac:dyDescent="0.25">
      <c r="H1702" s="12"/>
      <c r="I1702" s="12"/>
      <c r="J1702" s="12"/>
      <c r="K1702" s="12"/>
      <c r="L1702" s="12"/>
      <c r="M1702" s="11"/>
      <c r="N1702" s="11"/>
      <c r="O1702" s="11"/>
      <c r="P1702" s="11"/>
    </row>
    <row r="1703" spans="8:16" hidden="1" x14ac:dyDescent="0.25">
      <c r="H1703" s="12"/>
      <c r="I1703" s="12"/>
      <c r="J1703" s="12"/>
      <c r="K1703" s="12"/>
      <c r="L1703" s="12"/>
      <c r="M1703" s="11"/>
      <c r="N1703" s="11"/>
      <c r="O1703" s="11"/>
      <c r="P1703" s="11"/>
    </row>
    <row r="1704" spans="8:16" hidden="1" x14ac:dyDescent="0.25">
      <c r="H1704" s="12"/>
      <c r="I1704" s="12"/>
      <c r="J1704" s="12"/>
      <c r="K1704" s="12"/>
      <c r="L1704" s="12"/>
      <c r="M1704" s="11"/>
      <c r="N1704" s="11"/>
      <c r="O1704" s="11"/>
      <c r="P1704" s="11"/>
    </row>
    <row r="1705" spans="8:16" hidden="1" x14ac:dyDescent="0.25">
      <c r="H1705" s="12"/>
      <c r="I1705" s="12"/>
      <c r="J1705" s="12"/>
      <c r="K1705" s="12"/>
      <c r="L1705" s="12"/>
      <c r="M1705" s="11"/>
      <c r="N1705" s="11"/>
      <c r="O1705" s="11"/>
      <c r="P1705" s="11"/>
    </row>
    <row r="1706" spans="8:16" hidden="1" x14ac:dyDescent="0.25">
      <c r="H1706" s="12"/>
      <c r="I1706" s="12"/>
      <c r="J1706" s="12"/>
      <c r="K1706" s="12"/>
      <c r="L1706" s="12"/>
      <c r="M1706" s="11"/>
      <c r="N1706" s="11"/>
      <c r="O1706" s="11"/>
      <c r="P1706" s="11"/>
    </row>
    <row r="1707" spans="8:16" hidden="1" x14ac:dyDescent="0.25">
      <c r="H1707" s="12"/>
      <c r="I1707" s="12"/>
      <c r="J1707" s="12"/>
      <c r="K1707" s="12"/>
      <c r="L1707" s="12"/>
      <c r="M1707" s="11"/>
      <c r="N1707" s="11"/>
      <c r="O1707" s="11"/>
      <c r="P1707" s="11"/>
    </row>
    <row r="1708" spans="8:16" hidden="1" x14ac:dyDescent="0.25">
      <c r="H1708" s="12"/>
      <c r="I1708" s="12"/>
      <c r="J1708" s="12"/>
      <c r="K1708" s="12"/>
      <c r="L1708" s="12"/>
      <c r="M1708" s="11"/>
      <c r="N1708" s="11"/>
      <c r="O1708" s="11"/>
      <c r="P1708" s="11"/>
    </row>
    <row r="1709" spans="8:16" hidden="1" x14ac:dyDescent="0.25">
      <c r="H1709" s="12"/>
      <c r="I1709" s="12"/>
      <c r="J1709" s="12"/>
      <c r="K1709" s="12"/>
      <c r="L1709" s="12"/>
      <c r="M1709" s="11"/>
      <c r="N1709" s="11"/>
      <c r="O1709" s="11"/>
      <c r="P1709" s="11"/>
    </row>
    <row r="1710" spans="8:16" hidden="1" x14ac:dyDescent="0.25">
      <c r="H1710" s="12"/>
      <c r="I1710" s="12"/>
      <c r="J1710" s="12"/>
      <c r="K1710" s="12"/>
      <c r="L1710" s="12"/>
      <c r="M1710" s="11"/>
      <c r="N1710" s="11"/>
      <c r="O1710" s="11"/>
      <c r="P1710" s="11"/>
    </row>
    <row r="1711" spans="8:16" hidden="1" x14ac:dyDescent="0.25">
      <c r="H1711" s="12"/>
      <c r="I1711" s="12"/>
      <c r="J1711" s="12"/>
      <c r="K1711" s="12"/>
      <c r="L1711" s="12"/>
      <c r="M1711" s="11"/>
      <c r="N1711" s="11"/>
      <c r="O1711" s="11"/>
      <c r="P1711" s="11"/>
    </row>
    <row r="1712" spans="8:16" hidden="1" x14ac:dyDescent="0.25">
      <c r="H1712" s="12"/>
      <c r="I1712" s="12"/>
      <c r="J1712" s="12"/>
      <c r="K1712" s="12"/>
      <c r="L1712" s="12"/>
      <c r="M1712" s="11"/>
      <c r="N1712" s="11"/>
      <c r="O1712" s="11"/>
      <c r="P1712" s="11"/>
    </row>
    <row r="1713" spans="8:16" hidden="1" x14ac:dyDescent="0.25">
      <c r="H1713" s="12"/>
      <c r="I1713" s="12"/>
      <c r="J1713" s="12"/>
      <c r="K1713" s="12"/>
      <c r="L1713" s="12"/>
      <c r="M1713" s="11"/>
      <c r="N1713" s="11"/>
      <c r="O1713" s="11"/>
      <c r="P1713" s="11"/>
    </row>
    <row r="1714" spans="8:16" hidden="1" x14ac:dyDescent="0.25">
      <c r="H1714" s="12"/>
      <c r="I1714" s="12"/>
      <c r="J1714" s="12"/>
      <c r="K1714" s="12"/>
      <c r="L1714" s="12"/>
      <c r="M1714" s="11"/>
      <c r="N1714" s="11"/>
      <c r="O1714" s="11"/>
      <c r="P1714" s="11"/>
    </row>
    <row r="1715" spans="8:16" hidden="1" x14ac:dyDescent="0.25">
      <c r="H1715" s="12"/>
      <c r="I1715" s="12"/>
      <c r="J1715" s="12"/>
      <c r="K1715" s="12"/>
      <c r="L1715" s="12"/>
      <c r="M1715" s="11"/>
      <c r="N1715" s="11"/>
      <c r="O1715" s="11"/>
      <c r="P1715" s="11"/>
    </row>
    <row r="1716" spans="8:16" hidden="1" x14ac:dyDescent="0.25">
      <c r="H1716" s="12"/>
      <c r="I1716" s="12"/>
      <c r="J1716" s="12"/>
      <c r="K1716" s="12"/>
      <c r="L1716" s="12"/>
      <c r="M1716" s="11"/>
      <c r="N1716" s="11"/>
      <c r="O1716" s="11"/>
      <c r="P1716" s="11"/>
    </row>
    <row r="1717" spans="8:16" hidden="1" x14ac:dyDescent="0.25">
      <c r="H1717" s="12"/>
      <c r="I1717" s="12"/>
      <c r="J1717" s="12"/>
      <c r="K1717" s="12"/>
      <c r="L1717" s="12"/>
      <c r="M1717" s="11"/>
      <c r="N1717" s="11"/>
      <c r="O1717" s="11"/>
      <c r="P1717" s="11"/>
    </row>
    <row r="1718" spans="8:16" hidden="1" x14ac:dyDescent="0.25">
      <c r="H1718" s="12"/>
      <c r="I1718" s="12"/>
      <c r="J1718" s="12"/>
      <c r="K1718" s="12"/>
      <c r="L1718" s="12"/>
      <c r="M1718" s="11"/>
      <c r="N1718" s="11"/>
      <c r="O1718" s="11"/>
      <c r="P1718" s="11"/>
    </row>
    <row r="1719" spans="8:16" hidden="1" x14ac:dyDescent="0.25">
      <c r="H1719" s="12"/>
      <c r="I1719" s="12"/>
      <c r="J1719" s="12"/>
      <c r="K1719" s="12"/>
      <c r="L1719" s="12"/>
      <c r="M1719" s="11"/>
      <c r="N1719" s="11"/>
      <c r="O1719" s="11"/>
      <c r="P1719" s="11"/>
    </row>
    <row r="1720" spans="8:16" hidden="1" x14ac:dyDescent="0.25">
      <c r="H1720" s="12"/>
      <c r="I1720" s="12"/>
      <c r="J1720" s="12"/>
      <c r="K1720" s="12"/>
      <c r="L1720" s="12"/>
      <c r="M1720" s="11"/>
      <c r="N1720" s="11"/>
      <c r="O1720" s="11"/>
      <c r="P1720" s="11"/>
    </row>
    <row r="1721" spans="8:16" hidden="1" x14ac:dyDescent="0.25">
      <c r="H1721" s="12"/>
      <c r="I1721" s="12"/>
      <c r="J1721" s="12"/>
      <c r="K1721" s="12"/>
      <c r="L1721" s="12"/>
      <c r="M1721" s="11"/>
      <c r="N1721" s="11"/>
      <c r="O1721" s="11"/>
      <c r="P1721" s="11"/>
    </row>
    <row r="1722" spans="8:16" hidden="1" x14ac:dyDescent="0.25">
      <c r="H1722" s="12"/>
      <c r="I1722" s="12"/>
      <c r="J1722" s="12"/>
      <c r="K1722" s="12"/>
      <c r="L1722" s="12"/>
      <c r="M1722" s="11"/>
      <c r="N1722" s="11"/>
      <c r="O1722" s="11"/>
      <c r="P1722" s="11"/>
    </row>
    <row r="1723" spans="8:16" hidden="1" x14ac:dyDescent="0.25">
      <c r="H1723" s="12"/>
      <c r="I1723" s="12"/>
      <c r="J1723" s="12"/>
      <c r="K1723" s="12"/>
      <c r="L1723" s="12"/>
      <c r="M1723" s="11"/>
      <c r="N1723" s="11"/>
      <c r="O1723" s="11"/>
      <c r="P1723" s="11"/>
    </row>
    <row r="1724" spans="8:16" hidden="1" x14ac:dyDescent="0.25">
      <c r="H1724" s="12"/>
      <c r="I1724" s="12"/>
      <c r="J1724" s="12"/>
      <c r="K1724" s="12"/>
      <c r="L1724" s="12"/>
      <c r="M1724" s="11"/>
      <c r="N1724" s="11"/>
      <c r="O1724" s="11"/>
      <c r="P1724" s="11"/>
    </row>
    <row r="1725" spans="8:16" hidden="1" x14ac:dyDescent="0.25">
      <c r="H1725" s="12"/>
      <c r="I1725" s="12"/>
      <c r="J1725" s="12"/>
      <c r="K1725" s="12"/>
      <c r="L1725" s="12"/>
      <c r="M1725" s="11"/>
      <c r="N1725" s="11"/>
      <c r="O1725" s="11"/>
      <c r="P1725" s="11"/>
    </row>
    <row r="1726" spans="8:16" hidden="1" x14ac:dyDescent="0.25">
      <c r="H1726" s="12"/>
      <c r="I1726" s="12"/>
      <c r="J1726" s="12"/>
      <c r="K1726" s="12"/>
      <c r="L1726" s="12"/>
      <c r="M1726" s="11"/>
      <c r="N1726" s="11"/>
      <c r="O1726" s="11"/>
      <c r="P1726" s="11"/>
    </row>
    <row r="1727" spans="8:16" hidden="1" x14ac:dyDescent="0.25">
      <c r="H1727" s="12"/>
      <c r="I1727" s="12"/>
      <c r="J1727" s="12"/>
      <c r="K1727" s="12"/>
      <c r="L1727" s="12"/>
      <c r="M1727" s="11"/>
      <c r="N1727" s="11"/>
      <c r="O1727" s="11"/>
      <c r="P1727" s="11"/>
    </row>
    <row r="1728" spans="8:16" hidden="1" x14ac:dyDescent="0.25">
      <c r="H1728" s="12"/>
      <c r="I1728" s="12"/>
      <c r="J1728" s="12"/>
      <c r="K1728" s="12"/>
      <c r="L1728" s="12"/>
      <c r="M1728" s="11"/>
      <c r="N1728" s="11"/>
      <c r="O1728" s="11"/>
      <c r="P1728" s="11"/>
    </row>
    <row r="1729" spans="8:16" hidden="1" x14ac:dyDescent="0.25">
      <c r="H1729" s="12"/>
      <c r="I1729" s="12"/>
      <c r="J1729" s="12"/>
      <c r="K1729" s="12"/>
      <c r="L1729" s="12"/>
      <c r="M1729" s="11"/>
      <c r="N1729" s="11"/>
      <c r="O1729" s="11"/>
      <c r="P1729" s="11"/>
    </row>
    <row r="1730" spans="8:16" hidden="1" x14ac:dyDescent="0.25">
      <c r="H1730" s="12"/>
      <c r="I1730" s="12"/>
      <c r="J1730" s="12"/>
      <c r="K1730" s="12"/>
      <c r="L1730" s="12"/>
      <c r="M1730" s="11"/>
      <c r="N1730" s="11"/>
      <c r="O1730" s="11"/>
      <c r="P1730" s="11"/>
    </row>
    <row r="1731" spans="8:16" hidden="1" x14ac:dyDescent="0.25">
      <c r="H1731" s="12"/>
      <c r="I1731" s="12"/>
      <c r="J1731" s="12"/>
      <c r="K1731" s="12"/>
      <c r="L1731" s="12"/>
      <c r="M1731" s="11"/>
      <c r="N1731" s="11"/>
      <c r="O1731" s="11"/>
      <c r="P1731" s="11"/>
    </row>
    <row r="1732" spans="8:16" hidden="1" x14ac:dyDescent="0.25">
      <c r="H1732" s="12"/>
      <c r="I1732" s="12"/>
      <c r="J1732" s="12"/>
      <c r="K1732" s="12"/>
      <c r="L1732" s="12"/>
      <c r="M1732" s="11"/>
      <c r="N1732" s="11"/>
      <c r="O1732" s="11"/>
      <c r="P1732" s="11"/>
    </row>
    <row r="1733" spans="8:16" hidden="1" x14ac:dyDescent="0.25">
      <c r="H1733" s="12"/>
      <c r="I1733" s="12"/>
      <c r="J1733" s="12"/>
      <c r="K1733" s="12"/>
      <c r="L1733" s="12"/>
      <c r="M1733" s="11"/>
      <c r="N1733" s="11"/>
      <c r="O1733" s="11"/>
      <c r="P1733" s="11"/>
    </row>
    <row r="1734" spans="8:16" hidden="1" x14ac:dyDescent="0.25">
      <c r="H1734" s="12"/>
      <c r="I1734" s="12"/>
      <c r="J1734" s="12"/>
      <c r="K1734" s="12"/>
      <c r="L1734" s="12"/>
      <c r="M1734" s="11"/>
      <c r="N1734" s="11"/>
      <c r="O1734" s="11"/>
      <c r="P1734" s="11"/>
    </row>
    <row r="1735" spans="8:16" hidden="1" x14ac:dyDescent="0.25">
      <c r="H1735" s="12"/>
      <c r="I1735" s="12"/>
      <c r="J1735" s="12"/>
      <c r="K1735" s="12"/>
      <c r="L1735" s="12"/>
      <c r="M1735" s="11"/>
      <c r="N1735" s="11"/>
      <c r="O1735" s="11"/>
      <c r="P1735" s="11"/>
    </row>
    <row r="1736" spans="8:16" hidden="1" x14ac:dyDescent="0.25">
      <c r="H1736" s="12"/>
      <c r="I1736" s="12"/>
      <c r="J1736" s="12"/>
      <c r="K1736" s="12"/>
      <c r="L1736" s="12"/>
      <c r="M1736" s="11"/>
      <c r="N1736" s="11"/>
      <c r="O1736" s="11"/>
      <c r="P1736" s="11"/>
    </row>
    <row r="1737" spans="8:16" hidden="1" x14ac:dyDescent="0.25">
      <c r="H1737" s="12"/>
      <c r="I1737" s="12"/>
      <c r="J1737" s="12"/>
      <c r="K1737" s="12"/>
      <c r="L1737" s="12"/>
      <c r="M1737" s="11"/>
      <c r="N1737" s="11"/>
      <c r="O1737" s="11"/>
      <c r="P1737" s="11"/>
    </row>
    <row r="1738" spans="8:16" hidden="1" x14ac:dyDescent="0.25">
      <c r="H1738" s="12"/>
      <c r="I1738" s="12"/>
      <c r="J1738" s="12"/>
      <c r="K1738" s="12"/>
      <c r="L1738" s="12"/>
      <c r="M1738" s="11"/>
      <c r="N1738" s="11"/>
      <c r="O1738" s="11"/>
      <c r="P1738" s="11"/>
    </row>
    <row r="1739" spans="8:16" hidden="1" x14ac:dyDescent="0.25">
      <c r="H1739" s="12"/>
      <c r="I1739" s="12"/>
      <c r="J1739" s="12"/>
      <c r="K1739" s="12"/>
      <c r="L1739" s="12"/>
      <c r="M1739" s="11"/>
      <c r="N1739" s="11"/>
      <c r="O1739" s="11"/>
      <c r="P1739" s="11"/>
    </row>
    <row r="1740" spans="8:16" hidden="1" x14ac:dyDescent="0.25">
      <c r="H1740" s="12"/>
      <c r="I1740" s="12"/>
      <c r="J1740" s="12"/>
      <c r="K1740" s="12"/>
      <c r="L1740" s="12"/>
      <c r="M1740" s="11"/>
      <c r="N1740" s="11"/>
      <c r="O1740" s="11"/>
      <c r="P1740" s="11"/>
    </row>
    <row r="1741" spans="8:16" hidden="1" x14ac:dyDescent="0.25">
      <c r="H1741" s="12"/>
      <c r="I1741" s="12"/>
      <c r="J1741" s="12"/>
      <c r="K1741" s="12"/>
      <c r="L1741" s="12"/>
      <c r="M1741" s="11"/>
      <c r="N1741" s="11"/>
      <c r="O1741" s="11"/>
      <c r="P1741" s="11"/>
    </row>
    <row r="1742" spans="8:16" hidden="1" x14ac:dyDescent="0.25">
      <c r="H1742" s="12"/>
      <c r="I1742" s="12"/>
      <c r="J1742" s="12"/>
      <c r="K1742" s="12"/>
      <c r="L1742" s="12"/>
      <c r="M1742" s="11"/>
      <c r="N1742" s="11"/>
      <c r="O1742" s="11"/>
      <c r="P1742" s="11"/>
    </row>
    <row r="1743" spans="8:16" hidden="1" x14ac:dyDescent="0.25">
      <c r="H1743" s="12"/>
      <c r="I1743" s="12"/>
      <c r="J1743" s="12"/>
      <c r="K1743" s="12"/>
      <c r="L1743" s="12"/>
      <c r="M1743" s="11"/>
      <c r="N1743" s="11"/>
      <c r="O1743" s="11"/>
      <c r="P1743" s="11"/>
    </row>
    <row r="1744" spans="8:16" hidden="1" x14ac:dyDescent="0.25">
      <c r="H1744" s="12"/>
      <c r="I1744" s="12"/>
      <c r="J1744" s="12"/>
      <c r="K1744" s="12"/>
      <c r="L1744" s="12"/>
      <c r="M1744" s="11"/>
      <c r="N1744" s="11"/>
      <c r="O1744" s="11"/>
      <c r="P1744" s="11"/>
    </row>
    <row r="1745" spans="8:16" hidden="1" x14ac:dyDescent="0.25">
      <c r="H1745" s="12"/>
      <c r="I1745" s="12"/>
      <c r="J1745" s="12"/>
      <c r="K1745" s="12"/>
      <c r="L1745" s="12"/>
      <c r="M1745" s="11"/>
      <c r="N1745" s="11"/>
      <c r="O1745" s="11"/>
      <c r="P1745" s="11"/>
    </row>
    <row r="1746" spans="8:16" hidden="1" x14ac:dyDescent="0.25">
      <c r="H1746" s="12"/>
      <c r="I1746" s="12"/>
      <c r="J1746" s="12"/>
      <c r="K1746" s="12"/>
      <c r="L1746" s="12"/>
      <c r="M1746" s="11"/>
      <c r="N1746" s="11"/>
      <c r="O1746" s="11"/>
      <c r="P1746" s="11"/>
    </row>
    <row r="1747" spans="8:16" hidden="1" x14ac:dyDescent="0.25">
      <c r="H1747" s="12"/>
      <c r="I1747" s="12"/>
      <c r="J1747" s="12"/>
      <c r="K1747" s="12"/>
      <c r="L1747" s="12"/>
      <c r="M1747" s="11"/>
      <c r="N1747" s="11"/>
      <c r="O1747" s="11"/>
      <c r="P1747" s="11"/>
    </row>
    <row r="1748" spans="8:16" hidden="1" x14ac:dyDescent="0.25">
      <c r="H1748" s="12"/>
      <c r="I1748" s="12"/>
      <c r="J1748" s="12"/>
      <c r="K1748" s="12"/>
      <c r="L1748" s="12"/>
      <c r="M1748" s="11"/>
      <c r="N1748" s="11"/>
      <c r="O1748" s="11"/>
      <c r="P1748" s="11"/>
    </row>
    <row r="1749" spans="8:16" hidden="1" x14ac:dyDescent="0.25">
      <c r="H1749" s="12"/>
      <c r="I1749" s="12"/>
      <c r="J1749" s="12"/>
      <c r="K1749" s="12"/>
      <c r="L1749" s="12"/>
      <c r="M1749" s="11"/>
      <c r="N1749" s="11"/>
      <c r="O1749" s="11"/>
      <c r="P1749" s="11"/>
    </row>
    <row r="1750" spans="8:16" hidden="1" x14ac:dyDescent="0.25">
      <c r="H1750" s="12"/>
      <c r="I1750" s="12"/>
      <c r="J1750" s="12"/>
      <c r="K1750" s="12"/>
      <c r="L1750" s="12"/>
      <c r="M1750" s="11"/>
      <c r="N1750" s="11"/>
      <c r="O1750" s="11"/>
      <c r="P1750" s="11"/>
    </row>
    <row r="1751" spans="8:16" hidden="1" x14ac:dyDescent="0.25">
      <c r="H1751" s="12"/>
      <c r="I1751" s="12"/>
      <c r="J1751" s="12"/>
      <c r="K1751" s="12"/>
      <c r="L1751" s="12"/>
      <c r="M1751" s="11"/>
      <c r="N1751" s="11"/>
      <c r="O1751" s="11"/>
      <c r="P1751" s="11"/>
    </row>
    <row r="1752" spans="8:16" hidden="1" x14ac:dyDescent="0.25">
      <c r="H1752" s="12"/>
      <c r="I1752" s="12"/>
      <c r="J1752" s="12"/>
      <c r="K1752" s="12"/>
      <c r="L1752" s="12"/>
      <c r="M1752" s="11"/>
      <c r="N1752" s="11"/>
      <c r="O1752" s="11"/>
      <c r="P1752" s="11"/>
    </row>
    <row r="1753" spans="8:16" hidden="1" x14ac:dyDescent="0.25">
      <c r="H1753" s="12"/>
      <c r="I1753" s="12"/>
      <c r="J1753" s="12"/>
      <c r="K1753" s="12"/>
      <c r="L1753" s="12"/>
      <c r="M1753" s="11"/>
      <c r="N1753" s="11"/>
      <c r="O1753" s="11"/>
      <c r="P1753" s="11"/>
    </row>
    <row r="1754" spans="8:16" hidden="1" x14ac:dyDescent="0.25">
      <c r="H1754" s="12"/>
      <c r="I1754" s="12"/>
      <c r="J1754" s="12"/>
      <c r="K1754" s="12"/>
      <c r="L1754" s="12"/>
      <c r="M1754" s="11"/>
      <c r="N1754" s="11"/>
      <c r="O1754" s="11"/>
      <c r="P1754" s="11"/>
    </row>
    <row r="1755" spans="8:16" hidden="1" x14ac:dyDescent="0.25">
      <c r="H1755" s="12"/>
      <c r="I1755" s="12"/>
      <c r="J1755" s="12"/>
      <c r="K1755" s="12"/>
      <c r="L1755" s="12"/>
      <c r="M1755" s="11"/>
      <c r="N1755" s="11"/>
      <c r="O1755" s="11"/>
      <c r="P1755" s="11"/>
    </row>
    <row r="1756" spans="8:16" hidden="1" x14ac:dyDescent="0.25">
      <c r="H1756" s="12"/>
      <c r="I1756" s="12"/>
      <c r="J1756" s="12"/>
      <c r="K1756" s="12"/>
      <c r="L1756" s="12"/>
      <c r="M1756" s="11"/>
      <c r="N1756" s="11"/>
      <c r="O1756" s="11"/>
      <c r="P1756" s="11"/>
    </row>
    <row r="1757" spans="8:16" hidden="1" x14ac:dyDescent="0.25">
      <c r="H1757" s="12"/>
      <c r="I1757" s="12"/>
      <c r="J1757" s="12"/>
      <c r="K1757" s="12"/>
      <c r="L1757" s="12"/>
      <c r="M1757" s="11"/>
      <c r="N1757" s="11"/>
      <c r="O1757" s="11"/>
      <c r="P1757" s="11"/>
    </row>
    <row r="1758" spans="8:16" hidden="1" x14ac:dyDescent="0.25">
      <c r="H1758" s="12"/>
      <c r="I1758" s="12"/>
      <c r="J1758" s="12"/>
      <c r="K1758" s="12"/>
      <c r="L1758" s="12"/>
      <c r="M1758" s="11"/>
      <c r="N1758" s="11"/>
      <c r="O1758" s="11"/>
      <c r="P1758" s="11"/>
    </row>
    <row r="1759" spans="8:16" hidden="1" x14ac:dyDescent="0.25">
      <c r="H1759" s="12"/>
      <c r="I1759" s="12"/>
      <c r="J1759" s="12"/>
      <c r="K1759" s="12"/>
      <c r="L1759" s="12"/>
      <c r="M1759" s="11"/>
      <c r="N1759" s="11"/>
      <c r="O1759" s="11"/>
      <c r="P1759" s="11"/>
    </row>
    <row r="1760" spans="8:16" hidden="1" x14ac:dyDescent="0.25">
      <c r="H1760" s="12"/>
      <c r="I1760" s="12"/>
      <c r="J1760" s="12"/>
      <c r="K1760" s="12"/>
      <c r="L1760" s="12"/>
      <c r="M1760" s="11"/>
      <c r="N1760" s="11"/>
      <c r="O1760" s="11"/>
      <c r="P1760" s="11"/>
    </row>
    <row r="1761" spans="8:16" hidden="1" x14ac:dyDescent="0.25">
      <c r="H1761" s="12"/>
      <c r="I1761" s="12"/>
      <c r="J1761" s="12"/>
      <c r="K1761" s="12"/>
      <c r="L1761" s="12"/>
      <c r="M1761" s="11"/>
      <c r="N1761" s="11"/>
      <c r="O1761" s="11"/>
      <c r="P1761" s="11"/>
    </row>
    <row r="1762" spans="8:16" hidden="1" x14ac:dyDescent="0.25">
      <c r="H1762" s="12"/>
      <c r="I1762" s="12"/>
      <c r="J1762" s="12"/>
      <c r="K1762" s="12"/>
      <c r="L1762" s="12"/>
      <c r="M1762" s="11"/>
      <c r="N1762" s="11"/>
      <c r="O1762" s="11"/>
      <c r="P1762" s="11"/>
    </row>
    <row r="1763" spans="8:16" hidden="1" x14ac:dyDescent="0.25">
      <c r="H1763" s="12"/>
      <c r="I1763" s="12"/>
      <c r="J1763" s="12"/>
      <c r="K1763" s="12"/>
      <c r="L1763" s="12"/>
      <c r="M1763" s="11"/>
      <c r="N1763" s="11"/>
      <c r="O1763" s="11"/>
      <c r="P1763" s="11"/>
    </row>
    <row r="1764" spans="8:16" hidden="1" x14ac:dyDescent="0.25">
      <c r="H1764" s="12"/>
      <c r="I1764" s="12"/>
      <c r="J1764" s="12"/>
      <c r="K1764" s="12"/>
      <c r="L1764" s="12"/>
      <c r="M1764" s="11"/>
      <c r="N1764" s="11"/>
      <c r="O1764" s="11"/>
      <c r="P1764" s="11"/>
    </row>
    <row r="1765" spans="8:16" hidden="1" x14ac:dyDescent="0.25">
      <c r="H1765" s="12"/>
      <c r="I1765" s="12"/>
      <c r="J1765" s="12"/>
      <c r="K1765" s="12"/>
      <c r="L1765" s="12"/>
      <c r="M1765" s="11"/>
      <c r="N1765" s="11"/>
      <c r="O1765" s="11"/>
      <c r="P1765" s="11"/>
    </row>
    <row r="1766" spans="8:16" hidden="1" x14ac:dyDescent="0.25">
      <c r="H1766" s="12"/>
      <c r="I1766" s="12"/>
      <c r="J1766" s="12"/>
      <c r="K1766" s="12"/>
      <c r="L1766" s="12"/>
      <c r="M1766" s="11"/>
      <c r="N1766" s="11"/>
      <c r="O1766" s="11"/>
      <c r="P1766" s="11"/>
    </row>
    <row r="1767" spans="8:16" hidden="1" x14ac:dyDescent="0.25">
      <c r="H1767" s="12"/>
      <c r="I1767" s="12"/>
      <c r="J1767" s="12"/>
      <c r="K1767" s="12"/>
      <c r="L1767" s="12"/>
      <c r="M1767" s="11"/>
      <c r="N1767" s="11"/>
      <c r="O1767" s="11"/>
      <c r="P1767" s="11"/>
    </row>
    <row r="1768" spans="8:16" hidden="1" x14ac:dyDescent="0.25">
      <c r="H1768" s="12"/>
      <c r="I1768" s="12"/>
      <c r="J1768" s="12"/>
      <c r="K1768" s="12"/>
      <c r="L1768" s="12"/>
      <c r="M1768" s="11"/>
      <c r="N1768" s="11"/>
      <c r="O1768" s="11"/>
      <c r="P1768" s="11"/>
    </row>
    <row r="1769" spans="8:16" hidden="1" x14ac:dyDescent="0.25">
      <c r="H1769" s="12"/>
      <c r="I1769" s="12"/>
      <c r="J1769" s="12"/>
      <c r="K1769" s="12"/>
      <c r="L1769" s="12"/>
      <c r="M1769" s="11"/>
      <c r="N1769" s="11"/>
      <c r="O1769" s="11"/>
      <c r="P1769" s="11"/>
    </row>
    <row r="1770" spans="8:16" hidden="1" x14ac:dyDescent="0.25">
      <c r="H1770" s="12"/>
      <c r="I1770" s="12"/>
      <c r="J1770" s="12"/>
      <c r="K1770" s="12"/>
      <c r="L1770" s="12"/>
      <c r="M1770" s="11"/>
      <c r="N1770" s="11"/>
      <c r="O1770" s="11"/>
      <c r="P1770" s="11"/>
    </row>
    <row r="1771" spans="8:16" hidden="1" x14ac:dyDescent="0.25">
      <c r="H1771" s="12"/>
      <c r="I1771" s="12"/>
      <c r="J1771" s="12"/>
      <c r="K1771" s="12"/>
      <c r="L1771" s="12"/>
      <c r="M1771" s="11"/>
      <c r="N1771" s="11"/>
      <c r="O1771" s="11"/>
      <c r="P1771" s="11"/>
    </row>
    <row r="1772" spans="8:16" hidden="1" x14ac:dyDescent="0.25">
      <c r="H1772" s="12"/>
      <c r="I1772" s="12"/>
      <c r="J1772" s="12"/>
      <c r="K1772" s="12"/>
      <c r="L1772" s="12"/>
      <c r="M1772" s="11"/>
      <c r="N1772" s="11"/>
      <c r="O1772" s="11"/>
      <c r="P1772" s="11"/>
    </row>
    <row r="1773" spans="8:16" hidden="1" x14ac:dyDescent="0.25">
      <c r="H1773" s="12"/>
      <c r="I1773" s="12"/>
      <c r="J1773" s="12"/>
      <c r="K1773" s="12"/>
      <c r="L1773" s="12"/>
      <c r="M1773" s="11"/>
      <c r="N1773" s="11"/>
      <c r="O1773" s="11"/>
      <c r="P1773" s="11"/>
    </row>
    <row r="1774" spans="8:16" hidden="1" x14ac:dyDescent="0.25">
      <c r="H1774" s="12"/>
      <c r="I1774" s="12"/>
      <c r="J1774" s="12"/>
      <c r="K1774" s="12"/>
      <c r="L1774" s="12"/>
      <c r="M1774" s="11"/>
      <c r="N1774" s="11"/>
      <c r="O1774" s="11"/>
      <c r="P1774" s="11"/>
    </row>
    <row r="1775" spans="8:16" hidden="1" x14ac:dyDescent="0.25">
      <c r="H1775" s="12"/>
      <c r="I1775" s="12"/>
      <c r="J1775" s="12"/>
      <c r="K1775" s="12"/>
      <c r="L1775" s="12"/>
      <c r="M1775" s="11"/>
      <c r="N1775" s="11"/>
      <c r="O1775" s="11"/>
      <c r="P1775" s="11"/>
    </row>
    <row r="1776" spans="8:16" hidden="1" x14ac:dyDescent="0.25">
      <c r="H1776" s="12"/>
      <c r="I1776" s="12"/>
      <c r="J1776" s="12"/>
      <c r="K1776" s="12"/>
      <c r="L1776" s="12"/>
      <c r="M1776" s="11"/>
      <c r="N1776" s="11"/>
      <c r="O1776" s="11"/>
      <c r="P1776" s="11"/>
    </row>
    <row r="1777" spans="8:16" hidden="1" x14ac:dyDescent="0.25">
      <c r="H1777" s="12"/>
      <c r="I1777" s="12"/>
      <c r="J1777" s="12"/>
      <c r="K1777" s="12"/>
      <c r="L1777" s="12"/>
      <c r="M1777" s="11"/>
      <c r="N1777" s="11"/>
      <c r="O1777" s="11"/>
      <c r="P1777" s="11"/>
    </row>
    <row r="1778" spans="8:16" hidden="1" x14ac:dyDescent="0.25">
      <c r="H1778" s="12"/>
      <c r="I1778" s="12"/>
      <c r="J1778" s="12"/>
      <c r="K1778" s="12"/>
      <c r="L1778" s="12"/>
      <c r="M1778" s="11"/>
      <c r="N1778" s="11"/>
      <c r="O1778" s="11"/>
      <c r="P1778" s="11"/>
    </row>
    <row r="1779" spans="8:16" hidden="1" x14ac:dyDescent="0.25">
      <c r="H1779" s="12"/>
      <c r="I1779" s="12"/>
      <c r="J1779" s="12"/>
      <c r="K1779" s="12"/>
      <c r="L1779" s="12"/>
      <c r="M1779" s="11"/>
      <c r="N1779" s="11"/>
      <c r="O1779" s="11"/>
      <c r="P1779" s="11"/>
    </row>
    <row r="1780" spans="8:16" hidden="1" x14ac:dyDescent="0.25">
      <c r="H1780" s="12"/>
      <c r="I1780" s="12"/>
      <c r="J1780" s="12"/>
      <c r="K1780" s="12"/>
      <c r="L1780" s="12"/>
      <c r="M1780" s="11"/>
      <c r="N1780" s="11"/>
      <c r="O1780" s="11"/>
      <c r="P1780" s="11"/>
    </row>
    <row r="1781" spans="8:16" hidden="1" x14ac:dyDescent="0.25">
      <c r="H1781" s="12"/>
      <c r="I1781" s="12"/>
      <c r="J1781" s="12"/>
      <c r="K1781" s="12"/>
      <c r="L1781" s="12"/>
      <c r="M1781" s="11"/>
      <c r="N1781" s="11"/>
      <c r="O1781" s="11"/>
      <c r="P1781" s="11"/>
    </row>
    <row r="1782" spans="8:16" hidden="1" x14ac:dyDescent="0.25">
      <c r="H1782" s="12"/>
      <c r="I1782" s="12"/>
      <c r="J1782" s="12"/>
      <c r="K1782" s="12"/>
      <c r="L1782" s="12"/>
      <c r="M1782" s="11"/>
      <c r="N1782" s="11"/>
      <c r="O1782" s="11"/>
      <c r="P1782" s="11"/>
    </row>
    <row r="1783" spans="8:16" hidden="1" x14ac:dyDescent="0.25">
      <c r="H1783" s="12"/>
      <c r="I1783" s="12"/>
      <c r="J1783" s="12"/>
      <c r="K1783" s="12"/>
      <c r="L1783" s="12"/>
      <c r="M1783" s="11"/>
      <c r="N1783" s="11"/>
      <c r="O1783" s="11"/>
      <c r="P1783" s="11"/>
    </row>
    <row r="1784" spans="8:16" hidden="1" x14ac:dyDescent="0.25">
      <c r="H1784" s="12"/>
      <c r="I1784" s="12"/>
      <c r="J1784" s="12"/>
      <c r="K1784" s="12"/>
      <c r="L1784" s="12"/>
      <c r="M1784" s="11"/>
      <c r="N1784" s="11"/>
      <c r="O1784" s="11"/>
      <c r="P1784" s="11"/>
    </row>
    <row r="1785" spans="8:16" hidden="1" x14ac:dyDescent="0.25">
      <c r="H1785" s="12"/>
      <c r="I1785" s="12"/>
      <c r="J1785" s="12"/>
      <c r="K1785" s="12"/>
      <c r="L1785" s="12"/>
      <c r="M1785" s="11"/>
      <c r="N1785" s="11"/>
      <c r="O1785" s="11"/>
      <c r="P1785" s="11"/>
    </row>
    <row r="1786" spans="8:16" hidden="1" x14ac:dyDescent="0.25">
      <c r="H1786" s="12"/>
      <c r="I1786" s="12"/>
      <c r="J1786" s="12"/>
      <c r="K1786" s="12"/>
      <c r="L1786" s="12"/>
      <c r="M1786" s="11"/>
      <c r="N1786" s="11"/>
      <c r="O1786" s="11"/>
      <c r="P1786" s="11"/>
    </row>
    <row r="1787" spans="8:16" hidden="1" x14ac:dyDescent="0.25">
      <c r="H1787" s="12"/>
      <c r="I1787" s="12"/>
      <c r="J1787" s="12"/>
      <c r="K1787" s="12"/>
      <c r="L1787" s="12"/>
      <c r="M1787" s="11"/>
      <c r="N1787" s="11"/>
      <c r="O1787" s="11"/>
      <c r="P1787" s="11"/>
    </row>
    <row r="1788" spans="8:16" hidden="1" x14ac:dyDescent="0.25">
      <c r="H1788" s="12"/>
      <c r="I1788" s="12"/>
      <c r="J1788" s="12"/>
      <c r="K1788" s="12"/>
      <c r="L1788" s="12"/>
      <c r="M1788" s="11"/>
      <c r="N1788" s="11"/>
      <c r="O1788" s="11"/>
      <c r="P1788" s="11"/>
    </row>
    <row r="1789" spans="8:16" hidden="1" x14ac:dyDescent="0.25">
      <c r="H1789" s="12"/>
      <c r="I1789" s="12"/>
      <c r="J1789" s="12"/>
      <c r="K1789" s="12"/>
      <c r="L1789" s="12"/>
      <c r="M1789" s="11"/>
      <c r="N1789" s="11"/>
      <c r="O1789" s="11"/>
      <c r="P1789" s="11"/>
    </row>
    <row r="1790" spans="8:16" hidden="1" x14ac:dyDescent="0.25">
      <c r="H1790" s="12"/>
      <c r="I1790" s="12"/>
      <c r="J1790" s="12"/>
      <c r="K1790" s="12"/>
      <c r="L1790" s="12"/>
      <c r="M1790" s="11"/>
      <c r="N1790" s="11"/>
      <c r="O1790" s="11"/>
      <c r="P1790" s="11"/>
    </row>
    <row r="1791" spans="8:16" hidden="1" x14ac:dyDescent="0.25">
      <c r="H1791" s="12"/>
      <c r="I1791" s="12"/>
      <c r="J1791" s="12"/>
      <c r="K1791" s="12"/>
      <c r="L1791" s="12"/>
      <c r="M1791" s="11"/>
      <c r="N1791" s="11"/>
      <c r="O1791" s="11"/>
      <c r="P1791" s="11"/>
    </row>
    <row r="1792" spans="8:16" hidden="1" x14ac:dyDescent="0.25">
      <c r="H1792" s="12"/>
      <c r="I1792" s="12"/>
      <c r="J1792" s="12"/>
      <c r="K1792" s="12"/>
      <c r="L1792" s="12"/>
      <c r="M1792" s="11"/>
      <c r="N1792" s="11"/>
      <c r="O1792" s="11"/>
      <c r="P1792" s="11"/>
    </row>
    <row r="1793" spans="8:16" hidden="1" x14ac:dyDescent="0.25">
      <c r="H1793" s="12"/>
      <c r="I1793" s="12"/>
      <c r="J1793" s="12"/>
      <c r="K1793" s="12"/>
      <c r="L1793" s="12"/>
      <c r="M1793" s="11"/>
      <c r="N1793" s="11"/>
      <c r="O1793" s="11"/>
      <c r="P1793" s="11"/>
    </row>
    <row r="1794" spans="8:16" hidden="1" x14ac:dyDescent="0.25">
      <c r="H1794" s="12"/>
      <c r="I1794" s="12"/>
      <c r="J1794" s="12"/>
      <c r="K1794" s="12"/>
      <c r="L1794" s="12"/>
      <c r="M1794" s="11"/>
      <c r="N1794" s="11"/>
      <c r="O1794" s="11"/>
      <c r="P1794" s="11"/>
    </row>
    <row r="1795" spans="8:16" hidden="1" x14ac:dyDescent="0.25">
      <c r="H1795" s="12"/>
      <c r="I1795" s="12"/>
      <c r="J1795" s="12"/>
      <c r="K1795" s="12"/>
      <c r="L1795" s="12"/>
      <c r="M1795" s="11"/>
      <c r="N1795" s="11"/>
      <c r="O1795" s="11"/>
      <c r="P1795" s="11"/>
    </row>
    <row r="1796" spans="8:16" hidden="1" x14ac:dyDescent="0.25">
      <c r="H1796" s="12"/>
      <c r="I1796" s="12"/>
      <c r="J1796" s="12"/>
      <c r="K1796" s="12"/>
      <c r="L1796" s="12"/>
      <c r="M1796" s="11"/>
      <c r="N1796" s="11"/>
      <c r="O1796" s="11"/>
      <c r="P1796" s="11"/>
    </row>
    <row r="1797" spans="8:16" hidden="1" x14ac:dyDescent="0.25">
      <c r="H1797" s="12"/>
      <c r="I1797" s="12"/>
      <c r="J1797" s="12"/>
      <c r="K1797" s="12"/>
      <c r="L1797" s="12"/>
      <c r="M1797" s="11"/>
      <c r="N1797" s="11"/>
      <c r="O1797" s="11"/>
      <c r="P1797" s="11"/>
    </row>
    <row r="1798" spans="8:16" hidden="1" x14ac:dyDescent="0.25">
      <c r="H1798" s="12"/>
      <c r="I1798" s="12"/>
      <c r="J1798" s="12"/>
      <c r="K1798" s="12"/>
      <c r="L1798" s="12"/>
      <c r="M1798" s="11"/>
      <c r="N1798" s="11"/>
      <c r="O1798" s="11"/>
      <c r="P1798" s="11"/>
    </row>
    <row r="1799" spans="8:16" hidden="1" x14ac:dyDescent="0.25">
      <c r="H1799" s="12"/>
      <c r="I1799" s="12"/>
      <c r="J1799" s="12"/>
      <c r="K1799" s="12"/>
      <c r="L1799" s="12"/>
      <c r="M1799" s="11"/>
      <c r="N1799" s="11"/>
      <c r="O1799" s="11"/>
      <c r="P1799" s="11"/>
    </row>
    <row r="1800" spans="8:16" hidden="1" x14ac:dyDescent="0.25">
      <c r="H1800" s="12"/>
      <c r="I1800" s="12"/>
      <c r="J1800" s="12"/>
      <c r="K1800" s="12"/>
      <c r="L1800" s="12"/>
      <c r="M1800" s="11"/>
      <c r="N1800" s="11"/>
      <c r="O1800" s="11"/>
      <c r="P1800" s="11"/>
    </row>
    <row r="1801" spans="8:16" hidden="1" x14ac:dyDescent="0.25">
      <c r="H1801" s="12"/>
      <c r="I1801" s="12"/>
      <c r="J1801" s="12"/>
      <c r="K1801" s="12"/>
      <c r="L1801" s="12"/>
      <c r="M1801" s="11"/>
      <c r="N1801" s="11"/>
      <c r="O1801" s="11"/>
      <c r="P1801" s="11"/>
    </row>
    <row r="1802" spans="8:16" hidden="1" x14ac:dyDescent="0.25">
      <c r="H1802" s="12"/>
      <c r="I1802" s="12"/>
      <c r="J1802" s="12"/>
      <c r="K1802" s="12"/>
      <c r="L1802" s="12"/>
      <c r="M1802" s="11"/>
      <c r="N1802" s="11"/>
      <c r="O1802" s="11"/>
      <c r="P1802" s="11"/>
    </row>
    <row r="1803" spans="8:16" hidden="1" x14ac:dyDescent="0.25">
      <c r="H1803" s="12"/>
      <c r="I1803" s="12"/>
      <c r="J1803" s="12"/>
      <c r="K1803" s="12"/>
      <c r="L1803" s="12"/>
      <c r="M1803" s="11"/>
      <c r="N1803" s="11"/>
      <c r="O1803" s="11"/>
      <c r="P1803" s="11"/>
    </row>
    <row r="1804" spans="8:16" hidden="1" x14ac:dyDescent="0.25">
      <c r="H1804" s="12"/>
      <c r="I1804" s="12"/>
      <c r="J1804" s="12"/>
      <c r="K1804" s="12"/>
      <c r="L1804" s="12"/>
      <c r="M1804" s="11"/>
      <c r="N1804" s="11"/>
      <c r="O1804" s="11"/>
      <c r="P1804" s="11"/>
    </row>
    <row r="1805" spans="8:16" hidden="1" x14ac:dyDescent="0.25">
      <c r="H1805" s="12"/>
      <c r="I1805" s="12"/>
      <c r="J1805" s="12"/>
      <c r="K1805" s="12"/>
      <c r="L1805" s="12"/>
      <c r="M1805" s="11"/>
      <c r="N1805" s="11"/>
      <c r="O1805" s="11"/>
      <c r="P1805" s="11"/>
    </row>
    <row r="1806" spans="8:16" hidden="1" x14ac:dyDescent="0.25">
      <c r="H1806" s="12"/>
      <c r="I1806" s="12"/>
      <c r="J1806" s="12"/>
      <c r="K1806" s="12"/>
      <c r="L1806" s="12"/>
      <c r="M1806" s="11"/>
      <c r="N1806" s="11"/>
      <c r="O1806" s="11"/>
      <c r="P1806" s="11"/>
    </row>
    <row r="1807" spans="8:16" hidden="1" x14ac:dyDescent="0.25">
      <c r="H1807" s="12"/>
      <c r="I1807" s="12"/>
      <c r="J1807" s="12"/>
      <c r="K1807" s="12"/>
      <c r="L1807" s="12"/>
      <c r="M1807" s="11"/>
      <c r="N1807" s="11"/>
      <c r="O1807" s="11"/>
      <c r="P1807" s="11"/>
    </row>
    <row r="1808" spans="8:16" hidden="1" x14ac:dyDescent="0.25">
      <c r="H1808" s="12"/>
      <c r="I1808" s="12"/>
      <c r="J1808" s="12"/>
      <c r="K1808" s="12"/>
      <c r="L1808" s="12"/>
      <c r="M1808" s="11"/>
      <c r="N1808" s="11"/>
      <c r="O1808" s="11"/>
      <c r="P1808" s="11"/>
    </row>
    <row r="1809" spans="8:16" hidden="1" x14ac:dyDescent="0.25">
      <c r="H1809" s="12"/>
      <c r="I1809" s="12"/>
      <c r="J1809" s="12"/>
      <c r="K1809" s="12"/>
      <c r="L1809" s="12"/>
      <c r="M1809" s="11"/>
      <c r="N1809" s="11"/>
      <c r="O1809" s="11"/>
      <c r="P1809" s="11"/>
    </row>
    <row r="1810" spans="8:16" hidden="1" x14ac:dyDescent="0.25">
      <c r="H1810" s="12"/>
      <c r="I1810" s="12"/>
      <c r="J1810" s="12"/>
      <c r="K1810" s="12"/>
      <c r="L1810" s="12"/>
      <c r="M1810" s="11"/>
      <c r="N1810" s="11"/>
      <c r="O1810" s="11"/>
      <c r="P1810" s="11"/>
    </row>
    <row r="1811" spans="8:16" hidden="1" x14ac:dyDescent="0.25">
      <c r="H1811" s="12"/>
      <c r="I1811" s="12"/>
      <c r="J1811" s="12"/>
      <c r="K1811" s="12"/>
      <c r="L1811" s="12"/>
      <c r="M1811" s="11"/>
      <c r="N1811" s="11"/>
      <c r="O1811" s="11"/>
      <c r="P1811" s="11"/>
    </row>
    <row r="1812" spans="8:16" hidden="1" x14ac:dyDescent="0.25">
      <c r="H1812" s="12"/>
      <c r="I1812" s="12"/>
      <c r="J1812" s="12"/>
      <c r="K1812" s="12"/>
      <c r="L1812" s="12"/>
      <c r="M1812" s="11"/>
      <c r="N1812" s="11"/>
      <c r="O1812" s="11"/>
      <c r="P1812" s="11"/>
    </row>
    <row r="1813" spans="8:16" hidden="1" x14ac:dyDescent="0.25">
      <c r="H1813" s="12"/>
      <c r="I1813" s="12"/>
      <c r="J1813" s="12"/>
      <c r="K1813" s="12"/>
      <c r="L1813" s="12"/>
      <c r="M1813" s="11"/>
      <c r="N1813" s="11"/>
      <c r="O1813" s="11"/>
      <c r="P1813" s="11"/>
    </row>
    <row r="1814" spans="8:16" hidden="1" x14ac:dyDescent="0.25">
      <c r="H1814" s="12"/>
      <c r="I1814" s="12"/>
      <c r="J1814" s="12"/>
      <c r="K1814" s="12"/>
      <c r="L1814" s="12"/>
      <c r="M1814" s="11"/>
      <c r="N1814" s="11"/>
      <c r="O1814" s="11"/>
      <c r="P1814" s="11"/>
    </row>
    <row r="1815" spans="8:16" hidden="1" x14ac:dyDescent="0.25">
      <c r="H1815" s="12"/>
      <c r="I1815" s="12"/>
      <c r="J1815" s="12"/>
      <c r="K1815" s="12"/>
      <c r="L1815" s="12"/>
      <c r="M1815" s="11"/>
      <c r="N1815" s="11"/>
      <c r="O1815" s="11"/>
      <c r="P1815" s="11"/>
    </row>
    <row r="1816" spans="8:16" hidden="1" x14ac:dyDescent="0.25">
      <c r="H1816" s="12"/>
      <c r="I1816" s="12"/>
      <c r="J1816" s="12"/>
      <c r="K1816" s="12"/>
      <c r="L1816" s="12"/>
      <c r="M1816" s="11"/>
      <c r="N1816" s="11"/>
      <c r="O1816" s="11"/>
      <c r="P1816" s="11"/>
    </row>
    <row r="1817" spans="8:16" hidden="1" x14ac:dyDescent="0.25">
      <c r="H1817" s="12"/>
      <c r="I1817" s="12"/>
      <c r="J1817" s="12"/>
      <c r="K1817" s="12"/>
      <c r="L1817" s="12"/>
      <c r="M1817" s="11"/>
      <c r="N1817" s="11"/>
      <c r="O1817" s="11"/>
      <c r="P1817" s="11"/>
    </row>
    <row r="1818" spans="8:16" hidden="1" x14ac:dyDescent="0.25">
      <c r="H1818" s="12"/>
      <c r="I1818" s="12"/>
      <c r="J1818" s="12"/>
      <c r="K1818" s="12"/>
      <c r="L1818" s="12"/>
      <c r="M1818" s="11"/>
      <c r="N1818" s="11"/>
      <c r="O1818" s="11"/>
      <c r="P1818" s="11"/>
    </row>
    <row r="1819" spans="8:16" hidden="1" x14ac:dyDescent="0.25">
      <c r="H1819" s="12"/>
      <c r="I1819" s="12"/>
      <c r="J1819" s="12"/>
      <c r="K1819" s="12"/>
      <c r="L1819" s="12"/>
      <c r="M1819" s="11"/>
      <c r="N1819" s="11"/>
      <c r="O1819" s="11"/>
      <c r="P1819" s="11"/>
    </row>
    <row r="1820" spans="8:16" hidden="1" x14ac:dyDescent="0.25">
      <c r="H1820" s="12"/>
      <c r="I1820" s="12"/>
      <c r="J1820" s="12"/>
      <c r="K1820" s="12"/>
      <c r="L1820" s="12"/>
      <c r="M1820" s="11"/>
      <c r="N1820" s="11"/>
      <c r="O1820" s="11"/>
      <c r="P1820" s="11"/>
    </row>
    <row r="1821" spans="8:16" hidden="1" x14ac:dyDescent="0.25">
      <c r="H1821" s="12"/>
      <c r="I1821" s="12"/>
      <c r="J1821" s="12"/>
      <c r="K1821" s="12"/>
      <c r="L1821" s="12"/>
      <c r="M1821" s="11"/>
      <c r="N1821" s="11"/>
      <c r="O1821" s="11"/>
      <c r="P1821" s="11"/>
    </row>
    <row r="1822" spans="8:16" hidden="1" x14ac:dyDescent="0.25">
      <c r="H1822" s="12"/>
      <c r="I1822" s="12"/>
      <c r="J1822" s="12"/>
      <c r="K1822" s="12"/>
      <c r="L1822" s="12"/>
      <c r="M1822" s="11"/>
      <c r="N1822" s="11"/>
      <c r="O1822" s="11"/>
      <c r="P1822" s="11"/>
    </row>
    <row r="1823" spans="8:16" hidden="1" x14ac:dyDescent="0.25">
      <c r="H1823" s="12"/>
      <c r="I1823" s="12"/>
      <c r="J1823" s="12"/>
      <c r="K1823" s="12"/>
      <c r="L1823" s="12"/>
      <c r="M1823" s="11"/>
      <c r="N1823" s="11"/>
      <c r="O1823" s="11"/>
      <c r="P1823" s="11"/>
    </row>
    <row r="1824" spans="8:16" hidden="1" x14ac:dyDescent="0.25">
      <c r="H1824" s="12"/>
      <c r="I1824" s="12"/>
      <c r="J1824" s="12"/>
      <c r="K1824" s="12"/>
      <c r="L1824" s="12"/>
      <c r="M1824" s="11"/>
      <c r="N1824" s="11"/>
      <c r="O1824" s="11"/>
      <c r="P1824" s="11"/>
    </row>
    <row r="1825" spans="8:16" hidden="1" x14ac:dyDescent="0.25">
      <c r="H1825" s="12"/>
      <c r="I1825" s="12"/>
      <c r="J1825" s="12"/>
      <c r="K1825" s="12"/>
      <c r="L1825" s="12"/>
      <c r="M1825" s="11"/>
      <c r="N1825" s="11"/>
      <c r="O1825" s="11"/>
      <c r="P1825" s="11"/>
    </row>
    <row r="1826" spans="8:16" hidden="1" x14ac:dyDescent="0.25">
      <c r="H1826" s="12"/>
      <c r="I1826" s="12"/>
      <c r="J1826" s="12"/>
      <c r="K1826" s="12"/>
      <c r="L1826" s="12"/>
      <c r="M1826" s="11"/>
      <c r="N1826" s="11"/>
      <c r="O1826" s="11"/>
      <c r="P1826" s="11"/>
    </row>
    <row r="1827" spans="8:16" hidden="1" x14ac:dyDescent="0.25">
      <c r="H1827" s="12"/>
      <c r="I1827" s="12"/>
      <c r="J1827" s="12"/>
      <c r="K1827" s="12"/>
      <c r="L1827" s="12"/>
      <c r="M1827" s="11"/>
      <c r="N1827" s="11"/>
      <c r="O1827" s="11"/>
      <c r="P1827" s="11"/>
    </row>
    <row r="1828" spans="8:16" hidden="1" x14ac:dyDescent="0.25">
      <c r="H1828" s="12"/>
      <c r="I1828" s="12"/>
      <c r="J1828" s="12"/>
      <c r="K1828" s="12"/>
      <c r="L1828" s="12"/>
      <c r="M1828" s="11"/>
      <c r="N1828" s="11"/>
      <c r="O1828" s="11"/>
      <c r="P1828" s="11"/>
    </row>
    <row r="1829" spans="8:16" hidden="1" x14ac:dyDescent="0.25">
      <c r="H1829" s="12"/>
      <c r="I1829" s="12"/>
      <c r="J1829" s="12"/>
      <c r="K1829" s="12"/>
      <c r="L1829" s="12"/>
      <c r="M1829" s="11"/>
      <c r="N1829" s="11"/>
      <c r="O1829" s="11"/>
      <c r="P1829" s="11"/>
    </row>
    <row r="1830" spans="8:16" hidden="1" x14ac:dyDescent="0.25">
      <c r="H1830" s="12"/>
      <c r="I1830" s="12"/>
      <c r="J1830" s="12"/>
      <c r="K1830" s="12"/>
      <c r="L1830" s="12"/>
      <c r="M1830" s="11"/>
      <c r="N1830" s="11"/>
      <c r="O1830" s="11"/>
      <c r="P1830" s="11"/>
    </row>
    <row r="1831" spans="8:16" hidden="1" x14ac:dyDescent="0.25">
      <c r="H1831" s="12"/>
      <c r="I1831" s="12"/>
      <c r="J1831" s="12"/>
      <c r="K1831" s="12"/>
      <c r="L1831" s="12"/>
      <c r="M1831" s="11"/>
      <c r="N1831" s="11"/>
      <c r="O1831" s="11"/>
      <c r="P1831" s="11"/>
    </row>
    <row r="1832" spans="8:16" hidden="1" x14ac:dyDescent="0.25">
      <c r="H1832" s="12"/>
      <c r="I1832" s="12"/>
      <c r="J1832" s="12"/>
      <c r="K1832" s="12"/>
      <c r="L1832" s="12"/>
      <c r="M1832" s="11"/>
      <c r="N1832" s="11"/>
      <c r="O1832" s="11"/>
      <c r="P1832" s="11"/>
    </row>
    <row r="1833" spans="8:16" hidden="1" x14ac:dyDescent="0.25">
      <c r="H1833" s="12"/>
      <c r="I1833" s="12"/>
      <c r="J1833" s="12"/>
      <c r="K1833" s="12"/>
      <c r="L1833" s="12"/>
      <c r="M1833" s="11"/>
      <c r="N1833" s="11"/>
      <c r="O1833" s="11"/>
      <c r="P1833" s="11"/>
    </row>
    <row r="1834" spans="8:16" hidden="1" x14ac:dyDescent="0.25">
      <c r="H1834" s="12"/>
      <c r="I1834" s="12"/>
      <c r="J1834" s="12"/>
      <c r="K1834" s="12"/>
      <c r="L1834" s="12"/>
      <c r="M1834" s="11"/>
      <c r="N1834" s="11"/>
      <c r="O1834" s="11"/>
      <c r="P1834" s="11"/>
    </row>
    <row r="1835" spans="8:16" hidden="1" x14ac:dyDescent="0.25">
      <c r="H1835" s="12"/>
      <c r="I1835" s="12"/>
      <c r="J1835" s="12"/>
      <c r="K1835" s="12"/>
      <c r="L1835" s="12"/>
      <c r="M1835" s="11"/>
      <c r="N1835" s="11"/>
      <c r="O1835" s="11"/>
      <c r="P1835" s="11"/>
    </row>
    <row r="1836" spans="8:16" hidden="1" x14ac:dyDescent="0.25">
      <c r="H1836" s="12"/>
      <c r="I1836" s="12"/>
      <c r="J1836" s="12"/>
      <c r="K1836" s="12"/>
      <c r="L1836" s="12"/>
      <c r="M1836" s="11"/>
      <c r="N1836" s="11"/>
      <c r="O1836" s="11"/>
      <c r="P1836" s="11"/>
    </row>
    <row r="1837" spans="8:16" hidden="1" x14ac:dyDescent="0.25">
      <c r="H1837" s="12"/>
      <c r="I1837" s="12"/>
      <c r="J1837" s="12"/>
      <c r="K1837" s="12"/>
      <c r="L1837" s="12"/>
      <c r="M1837" s="11"/>
      <c r="N1837" s="11"/>
      <c r="O1837" s="11"/>
      <c r="P1837" s="11"/>
    </row>
    <row r="1838" spans="8:16" hidden="1" x14ac:dyDescent="0.25">
      <c r="H1838" s="12"/>
      <c r="I1838" s="12"/>
      <c r="J1838" s="12"/>
      <c r="K1838" s="12"/>
      <c r="L1838" s="12"/>
      <c r="M1838" s="11"/>
      <c r="N1838" s="11"/>
      <c r="O1838" s="11"/>
      <c r="P1838" s="11"/>
    </row>
    <row r="1839" spans="8:16" hidden="1" x14ac:dyDescent="0.25">
      <c r="H1839" s="12"/>
      <c r="I1839" s="12"/>
      <c r="J1839" s="12"/>
      <c r="K1839" s="12"/>
      <c r="L1839" s="12"/>
      <c r="M1839" s="11"/>
      <c r="N1839" s="11"/>
      <c r="O1839" s="11"/>
      <c r="P1839" s="11"/>
    </row>
    <row r="1840" spans="8:16" hidden="1" x14ac:dyDescent="0.25">
      <c r="H1840" s="12"/>
      <c r="I1840" s="12"/>
      <c r="J1840" s="12"/>
      <c r="K1840" s="12"/>
      <c r="L1840" s="12"/>
      <c r="M1840" s="11"/>
      <c r="N1840" s="11"/>
      <c r="O1840" s="11"/>
      <c r="P1840" s="11"/>
    </row>
    <row r="1841" spans="8:16" hidden="1" x14ac:dyDescent="0.25">
      <c r="H1841" s="12"/>
      <c r="I1841" s="12"/>
      <c r="J1841" s="12"/>
      <c r="K1841" s="12"/>
      <c r="L1841" s="12"/>
      <c r="M1841" s="11"/>
      <c r="N1841" s="11"/>
      <c r="O1841" s="11"/>
      <c r="P1841" s="11"/>
    </row>
    <row r="1842" spans="8:16" hidden="1" x14ac:dyDescent="0.25">
      <c r="H1842" s="12"/>
      <c r="I1842" s="12"/>
      <c r="J1842" s="12"/>
      <c r="K1842" s="12"/>
      <c r="L1842" s="12"/>
      <c r="M1842" s="11"/>
      <c r="N1842" s="11"/>
      <c r="O1842" s="11"/>
      <c r="P1842" s="11"/>
    </row>
    <row r="1843" spans="8:16" hidden="1" x14ac:dyDescent="0.25">
      <c r="H1843" s="12"/>
      <c r="I1843" s="12"/>
      <c r="J1843" s="12"/>
      <c r="K1843" s="12"/>
      <c r="L1843" s="12"/>
      <c r="M1843" s="11"/>
      <c r="N1843" s="11"/>
      <c r="O1843" s="11"/>
      <c r="P1843" s="11"/>
    </row>
    <row r="1844" spans="8:16" hidden="1" x14ac:dyDescent="0.25">
      <c r="H1844" s="12"/>
      <c r="I1844" s="12"/>
      <c r="J1844" s="12"/>
      <c r="K1844" s="12"/>
      <c r="L1844" s="12"/>
      <c r="M1844" s="11"/>
      <c r="N1844" s="11"/>
      <c r="O1844" s="11"/>
      <c r="P1844" s="11"/>
    </row>
    <row r="1845" spans="8:16" hidden="1" x14ac:dyDescent="0.25">
      <c r="H1845" s="12"/>
      <c r="I1845" s="12"/>
      <c r="J1845" s="12"/>
      <c r="K1845" s="12"/>
      <c r="L1845" s="12"/>
      <c r="M1845" s="11"/>
      <c r="N1845" s="11"/>
      <c r="O1845" s="11"/>
      <c r="P1845" s="11"/>
    </row>
    <row r="1846" spans="8:16" hidden="1" x14ac:dyDescent="0.25">
      <c r="H1846" s="12"/>
      <c r="I1846" s="12"/>
      <c r="J1846" s="12"/>
      <c r="K1846" s="12"/>
      <c r="L1846" s="12"/>
      <c r="M1846" s="11"/>
      <c r="N1846" s="11"/>
      <c r="O1846" s="11"/>
      <c r="P1846" s="11"/>
    </row>
    <row r="1847" spans="8:16" hidden="1" x14ac:dyDescent="0.25">
      <c r="H1847" s="12"/>
      <c r="I1847" s="12"/>
      <c r="J1847" s="12"/>
      <c r="K1847" s="12"/>
      <c r="L1847" s="12"/>
      <c r="M1847" s="11"/>
      <c r="N1847" s="11"/>
      <c r="O1847" s="11"/>
      <c r="P1847" s="11"/>
    </row>
    <row r="1848" spans="8:16" hidden="1" x14ac:dyDescent="0.25">
      <c r="H1848" s="12"/>
      <c r="I1848" s="12"/>
      <c r="J1848" s="12"/>
      <c r="K1848" s="12"/>
      <c r="L1848" s="12"/>
      <c r="M1848" s="11"/>
      <c r="N1848" s="11"/>
      <c r="O1848" s="11"/>
      <c r="P1848" s="11"/>
    </row>
    <row r="1849" spans="8:16" hidden="1" x14ac:dyDescent="0.25">
      <c r="H1849" s="12"/>
      <c r="I1849" s="12"/>
      <c r="J1849" s="12"/>
      <c r="K1849" s="12"/>
      <c r="L1849" s="12"/>
      <c r="M1849" s="11"/>
      <c r="N1849" s="11"/>
      <c r="O1849" s="11"/>
      <c r="P1849" s="11"/>
    </row>
    <row r="1850" spans="8:16" hidden="1" x14ac:dyDescent="0.25">
      <c r="H1850" s="12"/>
      <c r="I1850" s="12"/>
      <c r="J1850" s="12"/>
      <c r="K1850" s="12"/>
      <c r="L1850" s="12"/>
      <c r="M1850" s="11"/>
      <c r="N1850" s="11"/>
      <c r="O1850" s="11"/>
      <c r="P1850" s="11"/>
    </row>
    <row r="1851" spans="8:16" hidden="1" x14ac:dyDescent="0.25">
      <c r="H1851" s="12"/>
      <c r="I1851" s="12"/>
      <c r="J1851" s="12"/>
      <c r="K1851" s="12"/>
      <c r="L1851" s="12"/>
      <c r="M1851" s="11"/>
      <c r="N1851" s="11"/>
      <c r="O1851" s="11"/>
      <c r="P1851" s="11"/>
    </row>
    <row r="1852" spans="8:16" hidden="1" x14ac:dyDescent="0.25">
      <c r="H1852" s="12"/>
      <c r="I1852" s="12"/>
      <c r="J1852" s="12"/>
      <c r="K1852" s="12"/>
      <c r="L1852" s="12"/>
      <c r="M1852" s="11"/>
      <c r="N1852" s="11"/>
      <c r="O1852" s="11"/>
      <c r="P1852" s="11"/>
    </row>
    <row r="1853" spans="8:16" hidden="1" x14ac:dyDescent="0.25">
      <c r="H1853" s="12"/>
      <c r="I1853" s="12"/>
      <c r="J1853" s="12"/>
      <c r="K1853" s="12"/>
      <c r="L1853" s="12"/>
      <c r="M1853" s="11"/>
      <c r="N1853" s="11"/>
      <c r="O1853" s="11"/>
      <c r="P1853" s="11"/>
    </row>
    <row r="1854" spans="8:16" hidden="1" x14ac:dyDescent="0.25">
      <c r="H1854" s="12"/>
      <c r="I1854" s="12"/>
      <c r="J1854" s="12"/>
      <c r="K1854" s="12"/>
      <c r="L1854" s="12"/>
      <c r="M1854" s="11"/>
      <c r="N1854" s="11"/>
      <c r="O1854" s="11"/>
      <c r="P1854" s="11"/>
    </row>
    <row r="1855" spans="8:16" hidden="1" x14ac:dyDescent="0.25">
      <c r="H1855" s="12"/>
      <c r="I1855" s="12"/>
      <c r="J1855" s="12"/>
      <c r="K1855" s="12"/>
      <c r="L1855" s="12"/>
      <c r="M1855" s="11"/>
      <c r="N1855" s="11"/>
      <c r="O1855" s="11"/>
      <c r="P1855" s="11"/>
    </row>
    <row r="1856" spans="8:16" hidden="1" x14ac:dyDescent="0.25">
      <c r="H1856" s="12"/>
      <c r="I1856" s="12"/>
      <c r="J1856" s="12"/>
      <c r="K1856" s="12"/>
      <c r="L1856" s="12"/>
      <c r="M1856" s="11"/>
      <c r="N1856" s="11"/>
      <c r="O1856" s="11"/>
      <c r="P1856" s="11"/>
    </row>
    <row r="1857" spans="8:16" hidden="1" x14ac:dyDescent="0.25">
      <c r="H1857" s="12"/>
      <c r="I1857" s="12"/>
      <c r="J1857" s="12"/>
      <c r="K1857" s="12"/>
      <c r="L1857" s="12"/>
      <c r="M1857" s="11"/>
      <c r="N1857" s="11"/>
      <c r="O1857" s="11"/>
      <c r="P1857" s="11"/>
    </row>
    <row r="1858" spans="8:16" hidden="1" x14ac:dyDescent="0.25">
      <c r="H1858" s="12"/>
      <c r="I1858" s="12"/>
      <c r="J1858" s="12"/>
      <c r="K1858" s="12"/>
      <c r="L1858" s="12"/>
      <c r="M1858" s="11"/>
      <c r="N1858" s="11"/>
      <c r="O1858" s="11"/>
      <c r="P1858" s="11"/>
    </row>
    <row r="1859" spans="8:16" hidden="1" x14ac:dyDescent="0.25">
      <c r="H1859" s="12"/>
      <c r="I1859" s="12"/>
      <c r="J1859" s="12"/>
      <c r="K1859" s="12"/>
      <c r="L1859" s="12"/>
      <c r="M1859" s="11"/>
      <c r="N1859" s="11"/>
      <c r="O1859" s="11"/>
      <c r="P1859" s="11"/>
    </row>
    <row r="1860" spans="8:16" hidden="1" x14ac:dyDescent="0.25">
      <c r="H1860" s="12"/>
      <c r="I1860" s="12"/>
      <c r="J1860" s="12"/>
      <c r="K1860" s="12"/>
      <c r="L1860" s="12"/>
      <c r="M1860" s="11"/>
      <c r="N1860" s="11"/>
      <c r="O1860" s="11"/>
      <c r="P1860" s="11"/>
    </row>
    <row r="1861" spans="8:16" hidden="1" x14ac:dyDescent="0.25">
      <c r="H1861" s="12"/>
      <c r="I1861" s="12"/>
      <c r="J1861" s="12"/>
      <c r="K1861" s="12"/>
      <c r="L1861" s="12"/>
      <c r="M1861" s="11"/>
      <c r="N1861" s="11"/>
      <c r="O1861" s="11"/>
      <c r="P1861" s="11"/>
    </row>
    <row r="1862" spans="8:16" hidden="1" x14ac:dyDescent="0.25">
      <c r="H1862" s="12"/>
      <c r="I1862" s="12"/>
      <c r="J1862" s="12"/>
      <c r="K1862" s="12"/>
      <c r="L1862" s="12"/>
      <c r="M1862" s="11"/>
      <c r="N1862" s="11"/>
      <c r="O1862" s="11"/>
      <c r="P1862" s="11"/>
    </row>
    <row r="1863" spans="8:16" hidden="1" x14ac:dyDescent="0.25">
      <c r="H1863" s="12"/>
      <c r="I1863" s="12"/>
      <c r="J1863" s="12"/>
      <c r="K1863" s="12"/>
      <c r="L1863" s="12"/>
      <c r="M1863" s="11"/>
      <c r="N1863" s="11"/>
      <c r="O1863" s="11"/>
      <c r="P1863" s="11"/>
    </row>
    <row r="1864" spans="8:16" hidden="1" x14ac:dyDescent="0.25">
      <c r="H1864" s="12"/>
      <c r="I1864" s="12"/>
      <c r="J1864" s="12"/>
      <c r="K1864" s="12"/>
      <c r="L1864" s="12"/>
      <c r="M1864" s="11"/>
      <c r="N1864" s="11"/>
      <c r="O1864" s="11"/>
      <c r="P1864" s="11"/>
    </row>
    <row r="1865" spans="8:16" hidden="1" x14ac:dyDescent="0.25">
      <c r="H1865" s="12"/>
      <c r="I1865" s="12"/>
      <c r="J1865" s="12"/>
      <c r="K1865" s="12"/>
      <c r="L1865" s="12"/>
      <c r="M1865" s="11"/>
      <c r="N1865" s="11"/>
      <c r="O1865" s="11"/>
      <c r="P1865" s="11"/>
    </row>
    <row r="1866" spans="8:16" hidden="1" x14ac:dyDescent="0.25">
      <c r="H1866" s="12"/>
      <c r="I1866" s="12"/>
      <c r="J1866" s="12"/>
      <c r="K1866" s="12"/>
      <c r="L1866" s="12"/>
      <c r="M1866" s="11"/>
      <c r="N1866" s="11"/>
      <c r="O1866" s="11"/>
      <c r="P1866" s="11"/>
    </row>
    <row r="1867" spans="8:16" hidden="1" x14ac:dyDescent="0.25">
      <c r="H1867" s="12"/>
      <c r="I1867" s="12"/>
      <c r="J1867" s="12"/>
      <c r="K1867" s="12"/>
      <c r="L1867" s="12"/>
      <c r="M1867" s="11"/>
      <c r="N1867" s="11"/>
      <c r="O1867" s="11"/>
      <c r="P1867" s="11"/>
    </row>
    <row r="1868" spans="8:16" hidden="1" x14ac:dyDescent="0.25">
      <c r="H1868" s="12"/>
      <c r="I1868" s="12"/>
      <c r="J1868" s="12"/>
      <c r="K1868" s="12"/>
      <c r="L1868" s="12"/>
      <c r="M1868" s="11"/>
      <c r="N1868" s="11"/>
      <c r="O1868" s="11"/>
      <c r="P1868" s="11"/>
    </row>
    <row r="1869" spans="8:16" hidden="1" x14ac:dyDescent="0.25">
      <c r="H1869" s="12"/>
      <c r="I1869" s="12"/>
      <c r="J1869" s="12"/>
      <c r="K1869" s="12"/>
      <c r="L1869" s="12"/>
      <c r="M1869" s="11"/>
      <c r="N1869" s="11"/>
      <c r="O1869" s="11"/>
      <c r="P1869" s="11"/>
    </row>
    <row r="1870" spans="8:16" hidden="1" x14ac:dyDescent="0.25">
      <c r="H1870" s="12"/>
      <c r="I1870" s="12"/>
      <c r="J1870" s="12"/>
      <c r="K1870" s="12"/>
      <c r="L1870" s="12"/>
      <c r="M1870" s="11"/>
      <c r="N1870" s="11"/>
      <c r="O1870" s="11"/>
      <c r="P1870" s="11"/>
    </row>
    <row r="1871" spans="8:16" hidden="1" x14ac:dyDescent="0.25">
      <c r="H1871" s="12"/>
      <c r="I1871" s="12"/>
      <c r="J1871" s="12"/>
      <c r="K1871" s="12"/>
      <c r="L1871" s="12"/>
      <c r="M1871" s="11"/>
      <c r="N1871" s="11"/>
      <c r="O1871" s="11"/>
      <c r="P1871" s="11"/>
    </row>
    <row r="1872" spans="8:16" hidden="1" x14ac:dyDescent="0.25">
      <c r="H1872" s="12"/>
      <c r="I1872" s="12"/>
      <c r="J1872" s="12"/>
      <c r="K1872" s="12"/>
      <c r="L1872" s="12"/>
      <c r="M1872" s="11"/>
      <c r="N1872" s="11"/>
      <c r="O1872" s="11"/>
      <c r="P1872" s="11"/>
    </row>
    <row r="1873" spans="8:16" hidden="1" x14ac:dyDescent="0.25">
      <c r="H1873" s="12"/>
      <c r="I1873" s="12"/>
      <c r="J1873" s="12"/>
      <c r="K1873" s="12"/>
      <c r="L1873" s="12"/>
      <c r="M1873" s="11"/>
      <c r="N1873" s="11"/>
      <c r="O1873" s="11"/>
      <c r="P1873" s="11"/>
    </row>
    <row r="1874" spans="8:16" hidden="1" x14ac:dyDescent="0.25">
      <c r="H1874" s="12"/>
      <c r="I1874" s="12"/>
      <c r="J1874" s="12"/>
      <c r="K1874" s="12"/>
      <c r="L1874" s="12"/>
      <c r="M1874" s="11"/>
      <c r="N1874" s="11"/>
      <c r="O1874" s="11"/>
      <c r="P1874" s="11"/>
    </row>
    <row r="1875" spans="8:16" hidden="1" x14ac:dyDescent="0.25">
      <c r="H1875" s="12"/>
      <c r="I1875" s="12"/>
      <c r="J1875" s="12"/>
      <c r="K1875" s="12"/>
      <c r="L1875" s="12"/>
      <c r="M1875" s="11"/>
      <c r="N1875" s="11"/>
      <c r="O1875" s="11"/>
      <c r="P1875" s="11"/>
    </row>
    <row r="1876" spans="8:16" hidden="1" x14ac:dyDescent="0.25">
      <c r="H1876" s="12"/>
      <c r="I1876" s="12"/>
      <c r="J1876" s="12"/>
      <c r="K1876" s="12"/>
      <c r="L1876" s="12"/>
      <c r="M1876" s="11"/>
      <c r="N1876" s="11"/>
      <c r="O1876" s="11"/>
      <c r="P1876" s="11"/>
    </row>
    <row r="1877" spans="8:16" hidden="1" x14ac:dyDescent="0.25">
      <c r="H1877" s="12"/>
      <c r="I1877" s="12"/>
      <c r="J1877" s="12"/>
      <c r="K1877" s="12"/>
      <c r="L1877" s="12"/>
      <c r="M1877" s="11"/>
      <c r="N1877" s="11"/>
      <c r="O1877" s="11"/>
      <c r="P1877" s="11"/>
    </row>
    <row r="1878" spans="8:16" hidden="1" x14ac:dyDescent="0.25">
      <c r="H1878" s="12"/>
      <c r="I1878" s="12"/>
      <c r="J1878" s="12"/>
      <c r="K1878" s="12"/>
      <c r="L1878" s="12"/>
      <c r="M1878" s="11"/>
      <c r="N1878" s="11"/>
      <c r="O1878" s="11"/>
      <c r="P1878" s="11"/>
    </row>
    <row r="1879" spans="8:16" hidden="1" x14ac:dyDescent="0.25">
      <c r="H1879" s="12"/>
      <c r="I1879" s="12"/>
      <c r="J1879" s="12"/>
      <c r="K1879" s="12"/>
      <c r="L1879" s="12"/>
      <c r="M1879" s="11"/>
      <c r="N1879" s="11"/>
      <c r="O1879" s="11"/>
      <c r="P1879" s="11"/>
    </row>
    <row r="1880" spans="8:16" hidden="1" x14ac:dyDescent="0.25">
      <c r="H1880" s="12"/>
      <c r="I1880" s="12"/>
      <c r="J1880" s="12"/>
      <c r="K1880" s="12"/>
      <c r="L1880" s="12"/>
      <c r="M1880" s="11"/>
      <c r="N1880" s="11"/>
      <c r="O1880" s="11"/>
      <c r="P1880" s="11"/>
    </row>
    <row r="1881" spans="8:16" hidden="1" x14ac:dyDescent="0.25">
      <c r="H1881" s="12"/>
      <c r="I1881" s="12"/>
      <c r="J1881" s="12"/>
      <c r="K1881" s="12"/>
      <c r="L1881" s="12"/>
      <c r="M1881" s="11"/>
      <c r="N1881" s="11"/>
      <c r="O1881" s="11"/>
      <c r="P1881" s="11"/>
    </row>
    <row r="1882" spans="8:16" hidden="1" x14ac:dyDescent="0.25">
      <c r="H1882" s="12"/>
      <c r="I1882" s="12"/>
      <c r="J1882" s="12"/>
      <c r="K1882" s="12"/>
      <c r="L1882" s="12"/>
      <c r="M1882" s="11"/>
      <c r="N1882" s="11"/>
      <c r="O1882" s="11"/>
      <c r="P1882" s="11"/>
    </row>
    <row r="1883" spans="8:16" hidden="1" x14ac:dyDescent="0.25">
      <c r="H1883" s="12"/>
      <c r="I1883" s="12"/>
      <c r="J1883" s="12"/>
      <c r="K1883" s="12"/>
      <c r="L1883" s="12"/>
      <c r="M1883" s="11"/>
      <c r="N1883" s="11"/>
      <c r="O1883" s="11"/>
      <c r="P1883" s="11"/>
    </row>
    <row r="1884" spans="8:16" hidden="1" x14ac:dyDescent="0.25">
      <c r="H1884" s="12"/>
      <c r="I1884" s="12"/>
      <c r="J1884" s="12"/>
      <c r="K1884" s="12"/>
      <c r="L1884" s="12"/>
      <c r="M1884" s="11"/>
      <c r="N1884" s="11"/>
      <c r="O1884" s="11"/>
      <c r="P1884" s="11"/>
    </row>
    <row r="1885" spans="8:16" hidden="1" x14ac:dyDescent="0.25">
      <c r="H1885" s="12"/>
      <c r="I1885" s="12"/>
      <c r="J1885" s="12"/>
      <c r="K1885" s="12"/>
      <c r="L1885" s="12"/>
      <c r="M1885" s="11"/>
      <c r="N1885" s="11"/>
      <c r="O1885" s="11"/>
      <c r="P1885" s="11"/>
    </row>
    <row r="1886" spans="8:16" hidden="1" x14ac:dyDescent="0.25">
      <c r="H1886" s="12"/>
      <c r="I1886" s="12"/>
      <c r="J1886" s="12"/>
      <c r="K1886" s="12"/>
      <c r="L1886" s="12"/>
      <c r="M1886" s="11"/>
      <c r="N1886" s="11"/>
      <c r="O1886" s="11"/>
      <c r="P1886" s="11"/>
    </row>
    <row r="1887" spans="8:16" hidden="1" x14ac:dyDescent="0.25">
      <c r="H1887" s="12"/>
      <c r="I1887" s="12"/>
      <c r="J1887" s="12"/>
      <c r="K1887" s="12"/>
      <c r="L1887" s="12"/>
      <c r="M1887" s="11"/>
      <c r="N1887" s="11"/>
      <c r="O1887" s="11"/>
      <c r="P1887" s="11"/>
    </row>
    <row r="1888" spans="8:16" hidden="1" x14ac:dyDescent="0.25">
      <c r="H1888" s="12"/>
      <c r="I1888" s="12"/>
      <c r="J1888" s="12"/>
      <c r="K1888" s="12"/>
      <c r="L1888" s="12"/>
      <c r="M1888" s="11"/>
      <c r="N1888" s="11"/>
      <c r="O1888" s="11"/>
      <c r="P1888" s="11"/>
    </row>
    <row r="1889" spans="8:16" hidden="1" x14ac:dyDescent="0.25">
      <c r="H1889" s="12"/>
      <c r="I1889" s="12"/>
      <c r="J1889" s="12"/>
      <c r="K1889" s="12"/>
      <c r="L1889" s="12"/>
      <c r="M1889" s="11"/>
      <c r="N1889" s="11"/>
      <c r="O1889" s="11"/>
      <c r="P1889" s="11"/>
    </row>
    <row r="1890" spans="8:16" hidden="1" x14ac:dyDescent="0.25">
      <c r="H1890" s="12"/>
      <c r="I1890" s="12"/>
      <c r="J1890" s="12"/>
      <c r="K1890" s="12"/>
      <c r="L1890" s="12"/>
      <c r="M1890" s="11"/>
      <c r="N1890" s="11"/>
      <c r="O1890" s="11"/>
      <c r="P1890" s="11"/>
    </row>
    <row r="1891" spans="8:16" hidden="1" x14ac:dyDescent="0.25">
      <c r="H1891" s="12"/>
      <c r="I1891" s="12"/>
      <c r="J1891" s="12"/>
      <c r="K1891" s="12"/>
      <c r="L1891" s="12"/>
      <c r="M1891" s="11"/>
      <c r="N1891" s="11"/>
      <c r="O1891" s="11"/>
      <c r="P1891" s="11"/>
    </row>
    <row r="1892" spans="8:16" hidden="1" x14ac:dyDescent="0.25">
      <c r="H1892" s="12"/>
      <c r="I1892" s="12"/>
      <c r="J1892" s="12"/>
      <c r="K1892" s="12"/>
      <c r="L1892" s="12"/>
      <c r="M1892" s="11"/>
      <c r="N1892" s="11"/>
      <c r="O1892" s="11"/>
      <c r="P1892" s="11"/>
    </row>
    <row r="1893" spans="8:16" hidden="1" x14ac:dyDescent="0.25">
      <c r="H1893" s="12"/>
      <c r="I1893" s="12"/>
      <c r="J1893" s="12"/>
      <c r="K1893" s="12"/>
      <c r="L1893" s="12"/>
      <c r="M1893" s="11"/>
      <c r="N1893" s="11"/>
      <c r="O1893" s="11"/>
      <c r="P1893" s="11"/>
    </row>
    <row r="1894" spans="8:16" hidden="1" x14ac:dyDescent="0.25">
      <c r="H1894" s="12"/>
      <c r="I1894" s="12"/>
      <c r="J1894" s="12"/>
      <c r="K1894" s="12"/>
      <c r="L1894" s="12"/>
      <c r="M1894" s="11"/>
      <c r="N1894" s="11"/>
      <c r="O1894" s="11"/>
      <c r="P1894" s="11"/>
    </row>
    <row r="1895" spans="8:16" hidden="1" x14ac:dyDescent="0.25">
      <c r="H1895" s="12"/>
      <c r="I1895" s="12"/>
      <c r="J1895" s="12"/>
      <c r="K1895" s="12"/>
      <c r="L1895" s="12"/>
      <c r="M1895" s="11"/>
      <c r="N1895" s="11"/>
      <c r="O1895" s="11"/>
      <c r="P1895" s="11"/>
    </row>
    <row r="1896" spans="8:16" hidden="1" x14ac:dyDescent="0.25">
      <c r="H1896" s="12"/>
      <c r="I1896" s="12"/>
      <c r="J1896" s="12"/>
      <c r="K1896" s="12"/>
      <c r="L1896" s="12"/>
      <c r="M1896" s="11"/>
      <c r="N1896" s="11"/>
      <c r="O1896" s="11"/>
      <c r="P1896" s="11"/>
    </row>
    <row r="1897" spans="8:16" hidden="1" x14ac:dyDescent="0.25">
      <c r="H1897" s="12"/>
      <c r="I1897" s="12"/>
      <c r="J1897" s="12"/>
      <c r="K1897" s="12"/>
      <c r="L1897" s="12"/>
      <c r="M1897" s="11"/>
      <c r="N1897" s="11"/>
      <c r="O1897" s="11"/>
      <c r="P1897" s="11"/>
    </row>
    <row r="1898" spans="8:16" hidden="1" x14ac:dyDescent="0.25">
      <c r="H1898" s="12"/>
      <c r="I1898" s="12"/>
      <c r="J1898" s="12"/>
      <c r="K1898" s="12"/>
      <c r="L1898" s="12"/>
      <c r="M1898" s="11"/>
      <c r="N1898" s="11"/>
      <c r="O1898" s="11"/>
      <c r="P1898" s="11"/>
    </row>
    <row r="1899" spans="8:16" hidden="1" x14ac:dyDescent="0.25">
      <c r="H1899" s="12"/>
      <c r="I1899" s="12"/>
      <c r="J1899" s="12"/>
      <c r="K1899" s="12"/>
      <c r="L1899" s="12"/>
      <c r="M1899" s="11"/>
      <c r="N1899" s="11"/>
      <c r="O1899" s="11"/>
      <c r="P1899" s="11"/>
    </row>
    <row r="1900" spans="8:16" hidden="1" x14ac:dyDescent="0.25">
      <c r="H1900" s="12"/>
      <c r="I1900" s="12"/>
      <c r="J1900" s="12"/>
      <c r="K1900" s="12"/>
      <c r="L1900" s="12"/>
      <c r="M1900" s="11"/>
      <c r="N1900" s="11"/>
      <c r="O1900" s="11"/>
      <c r="P1900" s="11"/>
    </row>
    <row r="1901" spans="8:16" hidden="1" x14ac:dyDescent="0.25">
      <c r="H1901" s="12"/>
      <c r="I1901" s="12"/>
      <c r="J1901" s="12"/>
      <c r="K1901" s="12"/>
      <c r="L1901" s="12"/>
      <c r="M1901" s="11"/>
      <c r="N1901" s="11"/>
      <c r="O1901" s="11"/>
      <c r="P1901" s="11"/>
    </row>
    <row r="1902" spans="8:16" hidden="1" x14ac:dyDescent="0.25">
      <c r="H1902" s="12"/>
      <c r="I1902" s="12"/>
      <c r="J1902" s="12"/>
      <c r="K1902" s="12"/>
      <c r="L1902" s="12"/>
      <c r="M1902" s="11"/>
      <c r="N1902" s="11"/>
      <c r="O1902" s="11"/>
      <c r="P1902" s="11"/>
    </row>
    <row r="1903" spans="8:16" hidden="1" x14ac:dyDescent="0.25">
      <c r="H1903" s="12"/>
      <c r="I1903" s="12"/>
      <c r="J1903" s="12"/>
      <c r="K1903" s="12"/>
      <c r="L1903" s="12"/>
      <c r="M1903" s="11"/>
      <c r="N1903" s="11"/>
      <c r="O1903" s="11"/>
      <c r="P1903" s="11"/>
    </row>
    <row r="1904" spans="8:16" hidden="1" x14ac:dyDescent="0.25">
      <c r="H1904" s="12"/>
      <c r="I1904" s="12"/>
      <c r="J1904" s="12"/>
      <c r="K1904" s="12"/>
      <c r="L1904" s="12"/>
      <c r="M1904" s="11"/>
      <c r="N1904" s="11"/>
      <c r="O1904" s="11"/>
      <c r="P1904" s="11"/>
    </row>
    <row r="1905" spans="8:16" hidden="1" x14ac:dyDescent="0.25">
      <c r="H1905" s="12"/>
      <c r="I1905" s="12"/>
      <c r="J1905" s="12"/>
      <c r="K1905" s="12"/>
      <c r="L1905" s="12"/>
      <c r="M1905" s="11"/>
      <c r="N1905" s="11"/>
      <c r="O1905" s="11"/>
      <c r="P1905" s="11"/>
    </row>
    <row r="1906" spans="8:16" hidden="1" x14ac:dyDescent="0.25">
      <c r="H1906" s="12"/>
      <c r="I1906" s="12"/>
      <c r="J1906" s="12"/>
      <c r="K1906" s="12"/>
      <c r="L1906" s="12"/>
      <c r="M1906" s="11"/>
      <c r="N1906" s="11"/>
      <c r="O1906" s="11"/>
      <c r="P1906" s="11"/>
    </row>
    <row r="1907" spans="8:16" hidden="1" x14ac:dyDescent="0.25">
      <c r="H1907" s="12"/>
      <c r="I1907" s="12"/>
      <c r="J1907" s="12"/>
      <c r="K1907" s="12"/>
      <c r="L1907" s="12"/>
      <c r="M1907" s="11"/>
      <c r="N1907" s="11"/>
      <c r="O1907" s="11"/>
      <c r="P1907" s="11"/>
    </row>
    <row r="1908" spans="8:16" hidden="1" x14ac:dyDescent="0.25">
      <c r="H1908" s="12"/>
      <c r="I1908" s="12"/>
      <c r="J1908" s="12"/>
      <c r="K1908" s="12"/>
      <c r="L1908" s="12"/>
      <c r="M1908" s="11"/>
      <c r="N1908" s="11"/>
      <c r="O1908" s="11"/>
      <c r="P1908" s="11"/>
    </row>
    <row r="1909" spans="8:16" hidden="1" x14ac:dyDescent="0.25">
      <c r="H1909" s="12"/>
      <c r="I1909" s="12"/>
      <c r="J1909" s="12"/>
      <c r="K1909" s="12"/>
      <c r="L1909" s="12"/>
      <c r="M1909" s="11"/>
      <c r="N1909" s="11"/>
      <c r="O1909" s="11"/>
      <c r="P1909" s="11"/>
    </row>
    <row r="1910" spans="8:16" hidden="1" x14ac:dyDescent="0.25">
      <c r="H1910" s="12"/>
      <c r="I1910" s="12"/>
      <c r="J1910" s="12"/>
      <c r="K1910" s="12"/>
      <c r="L1910" s="12"/>
      <c r="M1910" s="11"/>
      <c r="N1910" s="11"/>
      <c r="O1910" s="11"/>
      <c r="P1910" s="11"/>
    </row>
    <row r="1911" spans="8:16" hidden="1" x14ac:dyDescent="0.25">
      <c r="H1911" s="12"/>
      <c r="I1911" s="12"/>
      <c r="J1911" s="12"/>
      <c r="K1911" s="12"/>
      <c r="L1911" s="12"/>
      <c r="M1911" s="11"/>
      <c r="N1911" s="11"/>
      <c r="O1911" s="11"/>
      <c r="P1911" s="11"/>
    </row>
    <row r="1912" spans="8:16" hidden="1" x14ac:dyDescent="0.25">
      <c r="H1912" s="12"/>
      <c r="I1912" s="12"/>
      <c r="J1912" s="12"/>
      <c r="K1912" s="12"/>
      <c r="L1912" s="12"/>
      <c r="M1912" s="11"/>
      <c r="N1912" s="11"/>
      <c r="O1912" s="11"/>
      <c r="P1912" s="11"/>
    </row>
    <row r="1913" spans="8:16" hidden="1" x14ac:dyDescent="0.25">
      <c r="H1913" s="12"/>
      <c r="I1913" s="12"/>
      <c r="J1913" s="12"/>
      <c r="K1913" s="12"/>
      <c r="L1913" s="12"/>
      <c r="M1913" s="11"/>
      <c r="N1913" s="11"/>
      <c r="O1913" s="11"/>
      <c r="P1913" s="11"/>
    </row>
    <row r="1914" spans="8:16" hidden="1" x14ac:dyDescent="0.25">
      <c r="H1914" s="12"/>
      <c r="I1914" s="12"/>
      <c r="J1914" s="12"/>
      <c r="K1914" s="12"/>
      <c r="L1914" s="12"/>
      <c r="M1914" s="11"/>
      <c r="N1914" s="11"/>
      <c r="O1914" s="11"/>
      <c r="P1914" s="11"/>
    </row>
    <row r="1915" spans="8:16" hidden="1" x14ac:dyDescent="0.25">
      <c r="H1915" s="12"/>
      <c r="I1915" s="12"/>
      <c r="J1915" s="12"/>
      <c r="K1915" s="12"/>
      <c r="L1915" s="12"/>
      <c r="M1915" s="11"/>
      <c r="N1915" s="11"/>
      <c r="O1915" s="11"/>
      <c r="P1915" s="11"/>
    </row>
    <row r="1916" spans="8:16" hidden="1" x14ac:dyDescent="0.25">
      <c r="H1916" s="12"/>
      <c r="I1916" s="12"/>
      <c r="J1916" s="12"/>
      <c r="K1916" s="12"/>
      <c r="L1916" s="12"/>
      <c r="M1916" s="11"/>
      <c r="N1916" s="11"/>
      <c r="O1916" s="11"/>
      <c r="P1916" s="11"/>
    </row>
    <row r="1917" spans="8:16" hidden="1" x14ac:dyDescent="0.25">
      <c r="H1917" s="12"/>
      <c r="I1917" s="12"/>
      <c r="J1917" s="12"/>
      <c r="K1917" s="12"/>
      <c r="L1917" s="12"/>
      <c r="M1917" s="11"/>
      <c r="N1917" s="11"/>
      <c r="O1917" s="11"/>
      <c r="P1917" s="11"/>
    </row>
    <row r="1918" spans="8:16" hidden="1" x14ac:dyDescent="0.25">
      <c r="H1918" s="12"/>
      <c r="I1918" s="12"/>
      <c r="J1918" s="12"/>
      <c r="K1918" s="12"/>
      <c r="L1918" s="12"/>
      <c r="M1918" s="11"/>
      <c r="N1918" s="11"/>
      <c r="O1918" s="11"/>
      <c r="P1918" s="11"/>
    </row>
    <row r="1919" spans="8:16" hidden="1" x14ac:dyDescent="0.25">
      <c r="H1919" s="12"/>
      <c r="I1919" s="12"/>
      <c r="J1919" s="12"/>
      <c r="K1919" s="12"/>
      <c r="L1919" s="12"/>
      <c r="M1919" s="11"/>
      <c r="N1919" s="11"/>
      <c r="O1919" s="11"/>
      <c r="P1919" s="11"/>
    </row>
    <row r="1920" spans="8:16" hidden="1" x14ac:dyDescent="0.25">
      <c r="H1920" s="12"/>
      <c r="I1920" s="12"/>
      <c r="J1920" s="12"/>
      <c r="K1920" s="12"/>
      <c r="L1920" s="12"/>
      <c r="M1920" s="11"/>
      <c r="N1920" s="11"/>
      <c r="O1920" s="11"/>
      <c r="P1920" s="11"/>
    </row>
    <row r="1921" spans="8:16" hidden="1" x14ac:dyDescent="0.25">
      <c r="H1921" s="12"/>
      <c r="I1921" s="12"/>
      <c r="J1921" s="12"/>
      <c r="K1921" s="12"/>
      <c r="L1921" s="12"/>
      <c r="M1921" s="11"/>
      <c r="N1921" s="11"/>
      <c r="O1921" s="11"/>
      <c r="P1921" s="11"/>
    </row>
    <row r="1922" spans="8:16" hidden="1" x14ac:dyDescent="0.25">
      <c r="H1922" s="12"/>
      <c r="I1922" s="12"/>
      <c r="J1922" s="12"/>
      <c r="K1922" s="12"/>
      <c r="L1922" s="12"/>
      <c r="M1922" s="11"/>
      <c r="N1922" s="11"/>
      <c r="O1922" s="11"/>
      <c r="P1922" s="11"/>
    </row>
    <row r="1923" spans="8:16" hidden="1" x14ac:dyDescent="0.25">
      <c r="H1923" s="12"/>
      <c r="I1923" s="12"/>
      <c r="J1923" s="12"/>
      <c r="K1923" s="12"/>
      <c r="L1923" s="12"/>
      <c r="M1923" s="11"/>
      <c r="N1923" s="11"/>
      <c r="O1923" s="11"/>
      <c r="P1923" s="11"/>
    </row>
    <row r="1924" spans="8:16" hidden="1" x14ac:dyDescent="0.25">
      <c r="H1924" s="12"/>
      <c r="I1924" s="12"/>
      <c r="J1924" s="12"/>
      <c r="K1924" s="12"/>
      <c r="L1924" s="12"/>
      <c r="M1924" s="11"/>
      <c r="N1924" s="11"/>
      <c r="O1924" s="11"/>
      <c r="P1924" s="11"/>
    </row>
    <row r="1925" spans="8:16" hidden="1" x14ac:dyDescent="0.25">
      <c r="H1925" s="12"/>
      <c r="I1925" s="12"/>
      <c r="J1925" s="12"/>
      <c r="K1925" s="12"/>
      <c r="L1925" s="12"/>
      <c r="M1925" s="11"/>
      <c r="N1925" s="11"/>
      <c r="O1925" s="11"/>
      <c r="P1925" s="11"/>
    </row>
    <row r="1926" spans="8:16" hidden="1" x14ac:dyDescent="0.25">
      <c r="H1926" s="12"/>
      <c r="I1926" s="12"/>
      <c r="J1926" s="12"/>
      <c r="K1926" s="12"/>
      <c r="L1926" s="12"/>
      <c r="M1926" s="11"/>
      <c r="N1926" s="11"/>
      <c r="O1926" s="11"/>
      <c r="P1926" s="11"/>
    </row>
    <row r="1927" spans="8:16" hidden="1" x14ac:dyDescent="0.25">
      <c r="H1927" s="12"/>
      <c r="I1927" s="12"/>
      <c r="J1927" s="12"/>
      <c r="K1927" s="12"/>
      <c r="L1927" s="12"/>
      <c r="M1927" s="11"/>
      <c r="N1927" s="11"/>
      <c r="O1927" s="11"/>
      <c r="P1927" s="11"/>
    </row>
    <row r="1928" spans="8:16" hidden="1" x14ac:dyDescent="0.25">
      <c r="H1928" s="12"/>
      <c r="I1928" s="12"/>
      <c r="J1928" s="12"/>
      <c r="K1928" s="12"/>
      <c r="L1928" s="12"/>
      <c r="M1928" s="11"/>
      <c r="N1928" s="11"/>
      <c r="O1928" s="11"/>
      <c r="P1928" s="11"/>
    </row>
    <row r="1929" spans="8:16" hidden="1" x14ac:dyDescent="0.25">
      <c r="H1929" s="12"/>
      <c r="I1929" s="12"/>
      <c r="J1929" s="12"/>
      <c r="K1929" s="12"/>
      <c r="L1929" s="12"/>
      <c r="M1929" s="11"/>
      <c r="N1929" s="11"/>
      <c r="O1929" s="11"/>
      <c r="P1929" s="11"/>
    </row>
    <row r="1930" spans="8:16" hidden="1" x14ac:dyDescent="0.25">
      <c r="H1930" s="12"/>
      <c r="I1930" s="12"/>
      <c r="J1930" s="12"/>
      <c r="K1930" s="12"/>
      <c r="L1930" s="12"/>
      <c r="M1930" s="11"/>
      <c r="N1930" s="11"/>
      <c r="O1930" s="11"/>
      <c r="P1930" s="11"/>
    </row>
    <row r="1931" spans="8:16" hidden="1" x14ac:dyDescent="0.25">
      <c r="H1931" s="12"/>
      <c r="I1931" s="12"/>
      <c r="J1931" s="12"/>
      <c r="K1931" s="12"/>
      <c r="L1931" s="12"/>
      <c r="M1931" s="11"/>
      <c r="N1931" s="11"/>
      <c r="O1931" s="11"/>
      <c r="P1931" s="11"/>
    </row>
    <row r="1932" spans="8:16" hidden="1" x14ac:dyDescent="0.25">
      <c r="H1932" s="12"/>
      <c r="I1932" s="12"/>
      <c r="J1932" s="12"/>
      <c r="K1932" s="12"/>
      <c r="L1932" s="12"/>
      <c r="M1932" s="11"/>
      <c r="N1932" s="11"/>
      <c r="O1932" s="11"/>
      <c r="P1932" s="11"/>
    </row>
    <row r="1933" spans="8:16" hidden="1" x14ac:dyDescent="0.25">
      <c r="H1933" s="12"/>
      <c r="I1933" s="12"/>
      <c r="J1933" s="12"/>
      <c r="K1933" s="12"/>
      <c r="L1933" s="12"/>
      <c r="M1933" s="11"/>
      <c r="N1933" s="11"/>
      <c r="O1933" s="11"/>
      <c r="P1933" s="11"/>
    </row>
    <row r="1934" spans="8:16" hidden="1" x14ac:dyDescent="0.25">
      <c r="H1934" s="12"/>
      <c r="I1934" s="12"/>
      <c r="J1934" s="12"/>
      <c r="K1934" s="12"/>
      <c r="L1934" s="12"/>
      <c r="M1934" s="11"/>
      <c r="N1934" s="11"/>
      <c r="O1934" s="11"/>
      <c r="P1934" s="11"/>
    </row>
    <row r="1935" spans="8:16" hidden="1" x14ac:dyDescent="0.25">
      <c r="H1935" s="12"/>
      <c r="I1935" s="12"/>
      <c r="J1935" s="12"/>
      <c r="K1935" s="12"/>
      <c r="L1935" s="12"/>
      <c r="M1935" s="11"/>
      <c r="N1935" s="11"/>
      <c r="O1935" s="11"/>
      <c r="P1935" s="11"/>
    </row>
    <row r="1936" spans="8:16" hidden="1" x14ac:dyDescent="0.25">
      <c r="H1936" s="12"/>
      <c r="I1936" s="12"/>
      <c r="J1936" s="12"/>
      <c r="K1936" s="12"/>
      <c r="L1936" s="12"/>
      <c r="M1936" s="11"/>
      <c r="N1936" s="11"/>
      <c r="O1936" s="11"/>
      <c r="P1936" s="11"/>
    </row>
    <row r="1937" spans="8:16" hidden="1" x14ac:dyDescent="0.25">
      <c r="H1937" s="12"/>
      <c r="I1937" s="12"/>
      <c r="J1937" s="12"/>
      <c r="K1937" s="12"/>
      <c r="L1937" s="12"/>
      <c r="M1937" s="11"/>
      <c r="N1937" s="11"/>
      <c r="O1937" s="11"/>
      <c r="P1937" s="11"/>
    </row>
    <row r="1938" spans="8:16" hidden="1" x14ac:dyDescent="0.25">
      <c r="H1938" s="12"/>
      <c r="I1938" s="12"/>
      <c r="J1938" s="12"/>
      <c r="K1938" s="12"/>
      <c r="L1938" s="12"/>
      <c r="M1938" s="11"/>
      <c r="N1938" s="11"/>
      <c r="O1938" s="11"/>
      <c r="P1938" s="11"/>
    </row>
    <row r="1939" spans="8:16" hidden="1" x14ac:dyDescent="0.25">
      <c r="H1939" s="12"/>
      <c r="I1939" s="12"/>
      <c r="J1939" s="12"/>
      <c r="K1939" s="12"/>
      <c r="L1939" s="12"/>
      <c r="M1939" s="11"/>
      <c r="N1939" s="11"/>
      <c r="O1939" s="11"/>
      <c r="P1939" s="11"/>
    </row>
    <row r="1940" spans="8:16" hidden="1" x14ac:dyDescent="0.25">
      <c r="H1940" s="12"/>
      <c r="I1940" s="12"/>
      <c r="J1940" s="12"/>
      <c r="K1940" s="12"/>
      <c r="L1940" s="12"/>
      <c r="M1940" s="11"/>
      <c r="N1940" s="11"/>
      <c r="O1940" s="11"/>
      <c r="P1940" s="11"/>
    </row>
    <row r="1941" spans="8:16" hidden="1" x14ac:dyDescent="0.25">
      <c r="H1941" s="12"/>
      <c r="I1941" s="12"/>
      <c r="J1941" s="12"/>
      <c r="K1941" s="12"/>
      <c r="L1941" s="12"/>
      <c r="M1941" s="11"/>
      <c r="N1941" s="11"/>
      <c r="O1941" s="11"/>
      <c r="P1941" s="11"/>
    </row>
    <row r="1942" spans="8:16" hidden="1" x14ac:dyDescent="0.25">
      <c r="H1942" s="12"/>
      <c r="I1942" s="12"/>
      <c r="J1942" s="12"/>
      <c r="K1942" s="12"/>
      <c r="L1942" s="12"/>
      <c r="M1942" s="11"/>
      <c r="N1942" s="11"/>
      <c r="O1942" s="11"/>
      <c r="P1942" s="11"/>
    </row>
    <row r="1943" spans="8:16" hidden="1" x14ac:dyDescent="0.25">
      <c r="H1943" s="12"/>
      <c r="I1943" s="12"/>
      <c r="J1943" s="12"/>
      <c r="K1943" s="12"/>
      <c r="L1943" s="12"/>
      <c r="M1943" s="11"/>
      <c r="N1943" s="11"/>
      <c r="O1943" s="11"/>
      <c r="P1943" s="11"/>
    </row>
    <row r="1944" spans="8:16" hidden="1" x14ac:dyDescent="0.25">
      <c r="H1944" s="12"/>
      <c r="I1944" s="12"/>
      <c r="J1944" s="12"/>
      <c r="K1944" s="12"/>
      <c r="L1944" s="12"/>
      <c r="M1944" s="11"/>
      <c r="N1944" s="11"/>
      <c r="O1944" s="11"/>
      <c r="P1944" s="11"/>
    </row>
    <row r="1945" spans="8:16" hidden="1" x14ac:dyDescent="0.25">
      <c r="H1945" s="12"/>
      <c r="I1945" s="12"/>
      <c r="J1945" s="12"/>
      <c r="K1945" s="12"/>
      <c r="L1945" s="12"/>
      <c r="M1945" s="11"/>
      <c r="N1945" s="11"/>
      <c r="O1945" s="11"/>
      <c r="P1945" s="11"/>
    </row>
    <row r="1946" spans="8:16" hidden="1" x14ac:dyDescent="0.25">
      <c r="H1946" s="12"/>
      <c r="I1946" s="12"/>
      <c r="J1946" s="12"/>
      <c r="K1946" s="12"/>
      <c r="L1946" s="12"/>
      <c r="M1946" s="11"/>
      <c r="N1946" s="11"/>
      <c r="O1946" s="11"/>
      <c r="P1946" s="11"/>
    </row>
    <row r="1947" spans="8:16" hidden="1" x14ac:dyDescent="0.25">
      <c r="H1947" s="12"/>
      <c r="I1947" s="12"/>
      <c r="J1947" s="12"/>
      <c r="K1947" s="12"/>
      <c r="L1947" s="12"/>
      <c r="M1947" s="11"/>
      <c r="N1947" s="11"/>
      <c r="O1947" s="11"/>
      <c r="P1947" s="11"/>
    </row>
    <row r="1948" spans="8:16" hidden="1" x14ac:dyDescent="0.25">
      <c r="H1948" s="12"/>
      <c r="I1948" s="12"/>
      <c r="J1948" s="12"/>
      <c r="K1948" s="12"/>
      <c r="L1948" s="12"/>
      <c r="M1948" s="11"/>
      <c r="N1948" s="11"/>
      <c r="O1948" s="11"/>
      <c r="P1948" s="11"/>
    </row>
    <row r="1949" spans="8:16" hidden="1" x14ac:dyDescent="0.25">
      <c r="H1949" s="12"/>
      <c r="I1949" s="12"/>
      <c r="J1949" s="12"/>
      <c r="K1949" s="12"/>
      <c r="L1949" s="12"/>
      <c r="M1949" s="11"/>
      <c r="N1949" s="11"/>
      <c r="O1949" s="11"/>
      <c r="P1949" s="11"/>
    </row>
    <row r="1950" spans="8:16" hidden="1" x14ac:dyDescent="0.25">
      <c r="H1950" s="12"/>
      <c r="I1950" s="12"/>
      <c r="J1950" s="12"/>
      <c r="K1950" s="12"/>
      <c r="L1950" s="12"/>
      <c r="M1950" s="11"/>
      <c r="N1950" s="11"/>
      <c r="O1950" s="11"/>
      <c r="P1950" s="11"/>
    </row>
    <row r="1951" spans="8:16" hidden="1" x14ac:dyDescent="0.25">
      <c r="H1951" s="12"/>
      <c r="I1951" s="12"/>
      <c r="J1951" s="12"/>
      <c r="K1951" s="12"/>
      <c r="L1951" s="12"/>
      <c r="M1951" s="11"/>
      <c r="N1951" s="11"/>
      <c r="O1951" s="11"/>
      <c r="P1951" s="11"/>
    </row>
    <row r="1952" spans="8:16" hidden="1" x14ac:dyDescent="0.25">
      <c r="H1952" s="12"/>
      <c r="I1952" s="12"/>
      <c r="J1952" s="12"/>
      <c r="K1952" s="12"/>
      <c r="L1952" s="12"/>
      <c r="M1952" s="11"/>
      <c r="N1952" s="11"/>
      <c r="O1952" s="11"/>
      <c r="P1952" s="11"/>
    </row>
    <row r="1953" spans="8:16" hidden="1" x14ac:dyDescent="0.25">
      <c r="H1953" s="12"/>
      <c r="I1953" s="12"/>
      <c r="J1953" s="12"/>
      <c r="K1953" s="12"/>
      <c r="L1953" s="12"/>
      <c r="M1953" s="11"/>
      <c r="N1953" s="11"/>
      <c r="O1953" s="11"/>
      <c r="P1953" s="11"/>
    </row>
    <row r="1954" spans="8:16" hidden="1" x14ac:dyDescent="0.25">
      <c r="H1954" s="12"/>
      <c r="I1954" s="12"/>
      <c r="J1954" s="12"/>
      <c r="K1954" s="12"/>
      <c r="L1954" s="12"/>
      <c r="M1954" s="11"/>
      <c r="N1954" s="11"/>
      <c r="O1954" s="11"/>
      <c r="P1954" s="11"/>
    </row>
    <row r="1955" spans="8:16" hidden="1" x14ac:dyDescent="0.25">
      <c r="H1955" s="12"/>
      <c r="I1955" s="12"/>
      <c r="J1955" s="12"/>
      <c r="K1955" s="12"/>
      <c r="L1955" s="12"/>
      <c r="M1955" s="11"/>
      <c r="N1955" s="11"/>
      <c r="O1955" s="11"/>
      <c r="P1955" s="11"/>
    </row>
    <row r="1956" spans="8:16" hidden="1" x14ac:dyDescent="0.25">
      <c r="H1956" s="12"/>
      <c r="I1956" s="12"/>
      <c r="J1956" s="12"/>
      <c r="K1956" s="12"/>
      <c r="L1956" s="12"/>
      <c r="M1956" s="11"/>
      <c r="N1956" s="11"/>
      <c r="O1956" s="11"/>
      <c r="P1956" s="11"/>
    </row>
    <row r="1957" spans="8:16" hidden="1" x14ac:dyDescent="0.25">
      <c r="H1957" s="12"/>
      <c r="I1957" s="12"/>
      <c r="J1957" s="12"/>
      <c r="K1957" s="12"/>
      <c r="L1957" s="12"/>
      <c r="M1957" s="11"/>
      <c r="N1957" s="11"/>
      <c r="O1957" s="11"/>
      <c r="P1957" s="11"/>
    </row>
    <row r="1958" spans="8:16" hidden="1" x14ac:dyDescent="0.25">
      <c r="H1958" s="12"/>
      <c r="I1958" s="12"/>
      <c r="J1958" s="12"/>
      <c r="K1958" s="12"/>
      <c r="L1958" s="12"/>
      <c r="M1958" s="11"/>
      <c r="N1958" s="11"/>
      <c r="O1958" s="11"/>
      <c r="P1958" s="11"/>
    </row>
    <row r="1959" spans="8:16" hidden="1" x14ac:dyDescent="0.25">
      <c r="H1959" s="12"/>
      <c r="I1959" s="12"/>
      <c r="J1959" s="12"/>
      <c r="K1959" s="12"/>
      <c r="L1959" s="12"/>
      <c r="M1959" s="11"/>
      <c r="N1959" s="11"/>
      <c r="O1959" s="11"/>
      <c r="P1959" s="11"/>
    </row>
    <row r="1960" spans="8:16" hidden="1" x14ac:dyDescent="0.25">
      <c r="H1960" s="12"/>
      <c r="I1960" s="12"/>
      <c r="J1960" s="12"/>
      <c r="K1960" s="12"/>
      <c r="L1960" s="12"/>
      <c r="M1960" s="11"/>
      <c r="N1960" s="11"/>
      <c r="O1960" s="11"/>
      <c r="P1960" s="11"/>
    </row>
    <row r="1961" spans="8:16" hidden="1" x14ac:dyDescent="0.25">
      <c r="H1961" s="12"/>
      <c r="I1961" s="12"/>
      <c r="J1961" s="12"/>
      <c r="K1961" s="12"/>
      <c r="L1961" s="12"/>
      <c r="M1961" s="11"/>
      <c r="N1961" s="11"/>
      <c r="O1961" s="11"/>
      <c r="P1961" s="11"/>
    </row>
    <row r="1962" spans="8:16" hidden="1" x14ac:dyDescent="0.25">
      <c r="H1962" s="12"/>
      <c r="I1962" s="12"/>
      <c r="J1962" s="12"/>
      <c r="K1962" s="12"/>
      <c r="L1962" s="12"/>
      <c r="M1962" s="11"/>
      <c r="N1962" s="11"/>
      <c r="O1962" s="11"/>
      <c r="P1962" s="11"/>
    </row>
    <row r="1963" spans="8:16" hidden="1" x14ac:dyDescent="0.25">
      <c r="H1963" s="12"/>
      <c r="I1963" s="12"/>
      <c r="J1963" s="12"/>
      <c r="K1963" s="12"/>
      <c r="L1963" s="12"/>
      <c r="M1963" s="11"/>
      <c r="N1963" s="11"/>
      <c r="O1963" s="11"/>
      <c r="P1963" s="11"/>
    </row>
    <row r="1964" spans="8:16" hidden="1" x14ac:dyDescent="0.25">
      <c r="H1964" s="12"/>
      <c r="I1964" s="12"/>
      <c r="J1964" s="12"/>
      <c r="K1964" s="12"/>
      <c r="L1964" s="12"/>
      <c r="M1964" s="11"/>
      <c r="N1964" s="11"/>
      <c r="O1964" s="11"/>
      <c r="P1964" s="11"/>
    </row>
    <row r="1965" spans="8:16" hidden="1" x14ac:dyDescent="0.25">
      <c r="H1965" s="12"/>
      <c r="I1965" s="12"/>
      <c r="J1965" s="12"/>
      <c r="K1965" s="12"/>
      <c r="L1965" s="12"/>
      <c r="M1965" s="11"/>
      <c r="N1965" s="11"/>
      <c r="O1965" s="11"/>
      <c r="P1965" s="11"/>
    </row>
    <row r="1966" spans="8:16" hidden="1" x14ac:dyDescent="0.25">
      <c r="H1966" s="12"/>
      <c r="I1966" s="12"/>
      <c r="J1966" s="12"/>
      <c r="K1966" s="12"/>
      <c r="L1966" s="12"/>
      <c r="M1966" s="11"/>
      <c r="N1966" s="11"/>
      <c r="O1966" s="11"/>
      <c r="P1966" s="11"/>
    </row>
    <row r="1967" spans="8:16" hidden="1" x14ac:dyDescent="0.25">
      <c r="H1967" s="12"/>
      <c r="I1967" s="12"/>
      <c r="J1967" s="12"/>
      <c r="K1967" s="12"/>
      <c r="L1967" s="12"/>
      <c r="M1967" s="11"/>
      <c r="N1967" s="11"/>
      <c r="O1967" s="11"/>
      <c r="P1967" s="11"/>
    </row>
    <row r="1968" spans="8:16" hidden="1" x14ac:dyDescent="0.25">
      <c r="H1968" s="12"/>
      <c r="I1968" s="12"/>
      <c r="J1968" s="12"/>
      <c r="K1968" s="12"/>
      <c r="L1968" s="12"/>
      <c r="M1968" s="11"/>
      <c r="N1968" s="11"/>
      <c r="O1968" s="11"/>
      <c r="P1968" s="11"/>
    </row>
    <row r="1969" spans="8:16" hidden="1" x14ac:dyDescent="0.25">
      <c r="H1969" s="12"/>
      <c r="I1969" s="12"/>
      <c r="J1969" s="12"/>
      <c r="K1969" s="12"/>
      <c r="L1969" s="12"/>
      <c r="M1969" s="11"/>
      <c r="N1969" s="11"/>
      <c r="O1969" s="11"/>
      <c r="P1969" s="11"/>
    </row>
    <row r="1970" spans="8:16" hidden="1" x14ac:dyDescent="0.25">
      <c r="H1970" s="12"/>
      <c r="I1970" s="12"/>
      <c r="J1970" s="12"/>
      <c r="K1970" s="12"/>
      <c r="L1970" s="12"/>
      <c r="M1970" s="11"/>
      <c r="N1970" s="11"/>
      <c r="O1970" s="11"/>
      <c r="P1970" s="11"/>
    </row>
    <row r="1971" spans="8:16" hidden="1" x14ac:dyDescent="0.25">
      <c r="H1971" s="12"/>
      <c r="I1971" s="12"/>
      <c r="J1971" s="12"/>
      <c r="K1971" s="12"/>
      <c r="L1971" s="12"/>
      <c r="M1971" s="11"/>
      <c r="N1971" s="11"/>
      <c r="O1971" s="11"/>
      <c r="P1971" s="11"/>
    </row>
    <row r="1972" spans="8:16" hidden="1" x14ac:dyDescent="0.25">
      <c r="H1972" s="12"/>
      <c r="I1972" s="12"/>
      <c r="J1972" s="12"/>
      <c r="K1972" s="12"/>
      <c r="L1972" s="12"/>
      <c r="M1972" s="11"/>
      <c r="N1972" s="11"/>
      <c r="O1972" s="11"/>
      <c r="P1972" s="11"/>
    </row>
    <row r="1973" spans="8:16" hidden="1" x14ac:dyDescent="0.25">
      <c r="H1973" s="12"/>
      <c r="I1973" s="12"/>
      <c r="J1973" s="12"/>
      <c r="K1973" s="12"/>
      <c r="L1973" s="12"/>
      <c r="M1973" s="11"/>
      <c r="N1973" s="11"/>
      <c r="O1973" s="11"/>
      <c r="P1973" s="11"/>
    </row>
    <row r="1974" spans="8:16" hidden="1" x14ac:dyDescent="0.25">
      <c r="H1974" s="12"/>
      <c r="I1974" s="12"/>
      <c r="J1974" s="12"/>
      <c r="K1974" s="12"/>
      <c r="L1974" s="12"/>
      <c r="M1974" s="11"/>
      <c r="N1974" s="11"/>
      <c r="O1974" s="11"/>
      <c r="P1974" s="11"/>
    </row>
    <row r="1975" spans="8:16" hidden="1" x14ac:dyDescent="0.25">
      <c r="H1975" s="12"/>
      <c r="I1975" s="12"/>
      <c r="J1975" s="12"/>
      <c r="K1975" s="12"/>
      <c r="L1975" s="12"/>
      <c r="M1975" s="11"/>
      <c r="N1975" s="11"/>
      <c r="O1975" s="11"/>
      <c r="P1975" s="11"/>
    </row>
    <row r="1976" spans="8:16" hidden="1" x14ac:dyDescent="0.25">
      <c r="H1976" s="12"/>
      <c r="I1976" s="12"/>
      <c r="J1976" s="12"/>
      <c r="K1976" s="12"/>
      <c r="L1976" s="12"/>
      <c r="M1976" s="11"/>
      <c r="N1976" s="11"/>
      <c r="O1976" s="11"/>
      <c r="P1976" s="11"/>
    </row>
    <row r="1977" spans="8:16" hidden="1" x14ac:dyDescent="0.25">
      <c r="H1977" s="12"/>
      <c r="I1977" s="12"/>
      <c r="J1977" s="12"/>
      <c r="K1977" s="12"/>
      <c r="L1977" s="12"/>
      <c r="M1977" s="11"/>
      <c r="N1977" s="11"/>
      <c r="O1977" s="11"/>
      <c r="P1977" s="11"/>
    </row>
    <row r="1978" spans="8:16" hidden="1" x14ac:dyDescent="0.25">
      <c r="H1978" s="12"/>
      <c r="I1978" s="12"/>
      <c r="J1978" s="12"/>
      <c r="K1978" s="12"/>
      <c r="L1978" s="12"/>
      <c r="M1978" s="11"/>
      <c r="N1978" s="11"/>
      <c r="O1978" s="11"/>
      <c r="P1978" s="11"/>
    </row>
    <row r="1979" spans="8:16" hidden="1" x14ac:dyDescent="0.25">
      <c r="H1979" s="12"/>
      <c r="I1979" s="12"/>
      <c r="J1979" s="12"/>
      <c r="K1979" s="12"/>
      <c r="L1979" s="12"/>
      <c r="M1979" s="11"/>
      <c r="N1979" s="11"/>
      <c r="O1979" s="11"/>
      <c r="P1979" s="11"/>
    </row>
    <row r="1980" spans="8:16" hidden="1" x14ac:dyDescent="0.25">
      <c r="H1980" s="12"/>
      <c r="I1980" s="12"/>
      <c r="J1980" s="12"/>
      <c r="K1980" s="12"/>
      <c r="L1980" s="12"/>
      <c r="M1980" s="11"/>
      <c r="N1980" s="11"/>
      <c r="O1980" s="11"/>
      <c r="P1980" s="11"/>
    </row>
    <row r="1981" spans="8:16" hidden="1" x14ac:dyDescent="0.25">
      <c r="H1981" s="12"/>
      <c r="I1981" s="12"/>
      <c r="J1981" s="12"/>
      <c r="K1981" s="12"/>
      <c r="L1981" s="12"/>
      <c r="M1981" s="11"/>
      <c r="N1981" s="11"/>
      <c r="O1981" s="11"/>
      <c r="P1981" s="11"/>
    </row>
    <row r="1982" spans="8:16" hidden="1" x14ac:dyDescent="0.25">
      <c r="H1982" s="12"/>
      <c r="I1982" s="12"/>
      <c r="J1982" s="12"/>
      <c r="K1982" s="12"/>
      <c r="L1982" s="12"/>
      <c r="M1982" s="11"/>
      <c r="N1982" s="11"/>
      <c r="O1982" s="11"/>
      <c r="P1982" s="11"/>
    </row>
    <row r="1983" spans="8:16" hidden="1" x14ac:dyDescent="0.25">
      <c r="H1983" s="12"/>
      <c r="I1983" s="12"/>
      <c r="J1983" s="12"/>
      <c r="K1983" s="12"/>
      <c r="L1983" s="12"/>
      <c r="M1983" s="11"/>
      <c r="N1983" s="11"/>
      <c r="O1983" s="11"/>
      <c r="P1983" s="11"/>
    </row>
    <row r="1984" spans="8:16" hidden="1" x14ac:dyDescent="0.25">
      <c r="H1984" s="12"/>
      <c r="I1984" s="12"/>
      <c r="J1984" s="12"/>
      <c r="K1984" s="12"/>
      <c r="L1984" s="12"/>
      <c r="M1984" s="11"/>
      <c r="N1984" s="11"/>
      <c r="O1984" s="11"/>
      <c r="P1984" s="11"/>
    </row>
    <row r="1985" spans="8:16" hidden="1" x14ac:dyDescent="0.25">
      <c r="H1985" s="12"/>
      <c r="I1985" s="12"/>
      <c r="J1985" s="12"/>
      <c r="K1985" s="12"/>
      <c r="L1985" s="12"/>
      <c r="M1985" s="11"/>
      <c r="N1985" s="11"/>
      <c r="O1985" s="11"/>
      <c r="P1985" s="11"/>
    </row>
    <row r="1986" spans="8:16" hidden="1" x14ac:dyDescent="0.25">
      <c r="H1986" s="12"/>
      <c r="I1986" s="12"/>
      <c r="J1986" s="12"/>
      <c r="K1986" s="12"/>
      <c r="L1986" s="12"/>
      <c r="M1986" s="11"/>
      <c r="N1986" s="11"/>
      <c r="O1986" s="11"/>
      <c r="P1986" s="11"/>
    </row>
    <row r="1987" spans="8:16" hidden="1" x14ac:dyDescent="0.25">
      <c r="H1987" s="12"/>
      <c r="I1987" s="12"/>
      <c r="J1987" s="12"/>
      <c r="K1987" s="12"/>
      <c r="L1987" s="12"/>
      <c r="M1987" s="11"/>
      <c r="N1987" s="11"/>
      <c r="O1987" s="11"/>
      <c r="P1987" s="11"/>
    </row>
    <row r="1988" spans="8:16" hidden="1" x14ac:dyDescent="0.25">
      <c r="H1988" s="12"/>
      <c r="I1988" s="12"/>
      <c r="J1988" s="12"/>
      <c r="K1988" s="12"/>
      <c r="L1988" s="12"/>
      <c r="M1988" s="11"/>
      <c r="N1988" s="11"/>
      <c r="O1988" s="11"/>
      <c r="P1988" s="11"/>
    </row>
    <row r="1989" spans="8:16" hidden="1" x14ac:dyDescent="0.25">
      <c r="H1989" s="12"/>
      <c r="I1989" s="12"/>
      <c r="J1989" s="12"/>
      <c r="K1989" s="12"/>
      <c r="L1989" s="12"/>
      <c r="M1989" s="11"/>
      <c r="N1989" s="11"/>
      <c r="O1989" s="11"/>
      <c r="P1989" s="11"/>
    </row>
    <row r="1990" spans="8:16" hidden="1" x14ac:dyDescent="0.25">
      <c r="H1990" s="12"/>
      <c r="I1990" s="12"/>
      <c r="J1990" s="12"/>
      <c r="K1990" s="12"/>
      <c r="L1990" s="12"/>
      <c r="M1990" s="11"/>
      <c r="N1990" s="11"/>
      <c r="O1990" s="11"/>
      <c r="P1990" s="11"/>
    </row>
    <row r="1991" spans="8:16" hidden="1" x14ac:dyDescent="0.25">
      <c r="H1991" s="12"/>
      <c r="I1991" s="12"/>
      <c r="J1991" s="12"/>
      <c r="K1991" s="12"/>
      <c r="L1991" s="12"/>
      <c r="M1991" s="11"/>
      <c r="N1991" s="11"/>
      <c r="O1991" s="11"/>
      <c r="P1991" s="11"/>
    </row>
    <row r="1992" spans="8:16" hidden="1" x14ac:dyDescent="0.25">
      <c r="H1992" s="12"/>
      <c r="I1992" s="12"/>
      <c r="J1992" s="12"/>
      <c r="K1992" s="12"/>
      <c r="L1992" s="12"/>
      <c r="M1992" s="11"/>
      <c r="N1992" s="11"/>
      <c r="O1992" s="11"/>
      <c r="P1992" s="11"/>
    </row>
    <row r="1993" spans="8:16" hidden="1" x14ac:dyDescent="0.25">
      <c r="H1993" s="12"/>
      <c r="I1993" s="12"/>
      <c r="J1993" s="12"/>
      <c r="K1993" s="12"/>
      <c r="L1993" s="12"/>
      <c r="M1993" s="11"/>
      <c r="N1993" s="11"/>
      <c r="O1993" s="11"/>
      <c r="P1993" s="11"/>
    </row>
    <row r="1994" spans="8:16" hidden="1" x14ac:dyDescent="0.25">
      <c r="H1994" s="12"/>
      <c r="I1994" s="12"/>
      <c r="J1994" s="12"/>
      <c r="K1994" s="12"/>
      <c r="L1994" s="12"/>
      <c r="M1994" s="11"/>
      <c r="N1994" s="11"/>
      <c r="O1994" s="11"/>
      <c r="P1994" s="11"/>
    </row>
    <row r="1995" spans="8:16" hidden="1" x14ac:dyDescent="0.25">
      <c r="H1995" s="12"/>
      <c r="I1995" s="12"/>
      <c r="J1995" s="12"/>
      <c r="K1995" s="12"/>
      <c r="L1995" s="12"/>
      <c r="M1995" s="11"/>
      <c r="N1995" s="11"/>
      <c r="O1995" s="11"/>
      <c r="P1995" s="11"/>
    </row>
    <row r="1996" spans="8:16" hidden="1" x14ac:dyDescent="0.25">
      <c r="H1996" s="12"/>
      <c r="I1996" s="12"/>
      <c r="J1996" s="12"/>
      <c r="K1996" s="12"/>
      <c r="L1996" s="12"/>
      <c r="M1996" s="11"/>
      <c r="N1996" s="11"/>
      <c r="O1996" s="11"/>
      <c r="P1996" s="11"/>
    </row>
    <row r="1997" spans="8:16" hidden="1" x14ac:dyDescent="0.25">
      <c r="H1997" s="12"/>
      <c r="I1997" s="12"/>
      <c r="J1997" s="12"/>
      <c r="K1997" s="12"/>
      <c r="L1997" s="12"/>
      <c r="M1997" s="11"/>
      <c r="N1997" s="11"/>
      <c r="O1997" s="11"/>
      <c r="P1997" s="11"/>
    </row>
    <row r="1998" spans="8:16" hidden="1" x14ac:dyDescent="0.25">
      <c r="H1998" s="12"/>
      <c r="I1998" s="12"/>
      <c r="J1998" s="12"/>
      <c r="K1998" s="12"/>
      <c r="L1998" s="12"/>
      <c r="M1998" s="11"/>
      <c r="N1998" s="11"/>
      <c r="O1998" s="11"/>
      <c r="P1998" s="11"/>
    </row>
    <row r="1999" spans="8:16" hidden="1" x14ac:dyDescent="0.25">
      <c r="H1999" s="12"/>
      <c r="I1999" s="12"/>
      <c r="J1999" s="12"/>
      <c r="K1999" s="12"/>
      <c r="L1999" s="12"/>
      <c r="M1999" s="11"/>
      <c r="N1999" s="11"/>
      <c r="O1999" s="11"/>
      <c r="P1999" s="11"/>
    </row>
    <row r="2000" spans="8:16" hidden="1" x14ac:dyDescent="0.25">
      <c r="H2000" s="12"/>
      <c r="I2000" s="12"/>
      <c r="J2000" s="12"/>
      <c r="K2000" s="12"/>
      <c r="L2000" s="12"/>
      <c r="M2000" s="11"/>
      <c r="N2000" s="11"/>
      <c r="O2000" s="11"/>
      <c r="P2000" s="11"/>
    </row>
    <row r="2001" spans="8:16" hidden="1" x14ac:dyDescent="0.25">
      <c r="H2001" s="12"/>
      <c r="I2001" s="12"/>
      <c r="J2001" s="12"/>
      <c r="K2001" s="12"/>
      <c r="L2001" s="12"/>
      <c r="M2001" s="11"/>
      <c r="N2001" s="11"/>
      <c r="O2001" s="11"/>
      <c r="P2001" s="11"/>
    </row>
    <row r="2002" spans="8:16" hidden="1" x14ac:dyDescent="0.25">
      <c r="H2002" s="12"/>
      <c r="I2002" s="12"/>
      <c r="J2002" s="12"/>
      <c r="K2002" s="12"/>
      <c r="L2002" s="12"/>
      <c r="M2002" s="11"/>
      <c r="N2002" s="11"/>
      <c r="O2002" s="11"/>
      <c r="P2002" s="11"/>
    </row>
    <row r="2003" spans="8:16" hidden="1" x14ac:dyDescent="0.25">
      <c r="H2003" s="12"/>
      <c r="I2003" s="12"/>
      <c r="J2003" s="12"/>
      <c r="K2003" s="12"/>
      <c r="L2003" s="12"/>
      <c r="M2003" s="11"/>
      <c r="N2003" s="11"/>
      <c r="O2003" s="11"/>
      <c r="P2003" s="11"/>
    </row>
    <row r="2004" spans="8:16" hidden="1" x14ac:dyDescent="0.25">
      <c r="H2004" s="12"/>
      <c r="I2004" s="12"/>
      <c r="J2004" s="12"/>
      <c r="K2004" s="12"/>
      <c r="L2004" s="12"/>
      <c r="M2004" s="11"/>
      <c r="N2004" s="11"/>
      <c r="O2004" s="11"/>
      <c r="P2004" s="11"/>
    </row>
    <row r="2005" spans="8:16" hidden="1" x14ac:dyDescent="0.25">
      <c r="H2005" s="12"/>
      <c r="I2005" s="12"/>
      <c r="J2005" s="12"/>
      <c r="K2005" s="12"/>
      <c r="L2005" s="12"/>
      <c r="M2005" s="11"/>
      <c r="N2005" s="11"/>
      <c r="O2005" s="11"/>
      <c r="P2005" s="11"/>
    </row>
    <row r="2006" spans="8:16" hidden="1" x14ac:dyDescent="0.25">
      <c r="H2006" s="12"/>
      <c r="I2006" s="12"/>
      <c r="J2006" s="12"/>
      <c r="K2006" s="12"/>
      <c r="L2006" s="12"/>
      <c r="M2006" s="11"/>
      <c r="N2006" s="11"/>
      <c r="O2006" s="11"/>
      <c r="P2006" s="11"/>
    </row>
    <row r="2007" spans="8:16" hidden="1" x14ac:dyDescent="0.25">
      <c r="H2007" s="12"/>
      <c r="I2007" s="12"/>
      <c r="J2007" s="12"/>
      <c r="K2007" s="12"/>
      <c r="L2007" s="12"/>
      <c r="M2007" s="11"/>
      <c r="N2007" s="11"/>
      <c r="O2007" s="11"/>
      <c r="P2007" s="11"/>
    </row>
    <row r="2008" spans="8:16" hidden="1" x14ac:dyDescent="0.25">
      <c r="H2008" s="12"/>
      <c r="I2008" s="12"/>
      <c r="J2008" s="12"/>
      <c r="K2008" s="12"/>
      <c r="L2008" s="12"/>
      <c r="M2008" s="11"/>
      <c r="N2008" s="11"/>
      <c r="O2008" s="11"/>
      <c r="P2008" s="11"/>
    </row>
    <row r="2009" spans="8:16" hidden="1" x14ac:dyDescent="0.25">
      <c r="H2009" s="12"/>
      <c r="I2009" s="12"/>
      <c r="J2009" s="12"/>
      <c r="K2009" s="12"/>
      <c r="L2009" s="12"/>
      <c r="M2009" s="11"/>
      <c r="N2009" s="11"/>
      <c r="O2009" s="11"/>
      <c r="P2009" s="11"/>
    </row>
    <row r="2010" spans="8:16" hidden="1" x14ac:dyDescent="0.25">
      <c r="H2010" s="12"/>
      <c r="I2010" s="12"/>
      <c r="J2010" s="12"/>
      <c r="K2010" s="12"/>
      <c r="L2010" s="12"/>
      <c r="M2010" s="11"/>
      <c r="N2010" s="11"/>
      <c r="O2010" s="11"/>
      <c r="P2010" s="11"/>
    </row>
    <row r="2011" spans="8:16" hidden="1" x14ac:dyDescent="0.25">
      <c r="H2011" s="12"/>
      <c r="I2011" s="12"/>
      <c r="J2011" s="12"/>
      <c r="K2011" s="12"/>
      <c r="L2011" s="12"/>
      <c r="M2011" s="11"/>
      <c r="N2011" s="11"/>
      <c r="O2011" s="11"/>
      <c r="P2011" s="11"/>
    </row>
    <row r="2012" spans="8:16" hidden="1" x14ac:dyDescent="0.25">
      <c r="H2012" s="12"/>
      <c r="I2012" s="12"/>
      <c r="J2012" s="12"/>
      <c r="K2012" s="12"/>
      <c r="L2012" s="12"/>
      <c r="M2012" s="11"/>
      <c r="N2012" s="11"/>
      <c r="O2012" s="11"/>
      <c r="P2012" s="11"/>
    </row>
    <row r="2013" spans="8:16" hidden="1" x14ac:dyDescent="0.25">
      <c r="H2013" s="12"/>
      <c r="I2013" s="12"/>
      <c r="J2013" s="12"/>
      <c r="K2013" s="12"/>
      <c r="L2013" s="12"/>
      <c r="M2013" s="11"/>
      <c r="N2013" s="11"/>
      <c r="O2013" s="11"/>
      <c r="P2013" s="11"/>
    </row>
    <row r="2014" spans="8:16" hidden="1" x14ac:dyDescent="0.25">
      <c r="H2014" s="12"/>
      <c r="I2014" s="12"/>
      <c r="J2014" s="12"/>
      <c r="K2014" s="12"/>
      <c r="L2014" s="12"/>
      <c r="M2014" s="11"/>
      <c r="N2014" s="11"/>
      <c r="O2014" s="11"/>
      <c r="P2014" s="11"/>
    </row>
    <row r="2015" spans="8:16" hidden="1" x14ac:dyDescent="0.25">
      <c r="H2015" s="12"/>
      <c r="I2015" s="12"/>
      <c r="J2015" s="12"/>
      <c r="K2015" s="12"/>
      <c r="L2015" s="12"/>
      <c r="M2015" s="11"/>
      <c r="N2015" s="11"/>
      <c r="O2015" s="11"/>
      <c r="P2015" s="11"/>
    </row>
    <row r="2016" spans="8:16" hidden="1" x14ac:dyDescent="0.25">
      <c r="H2016" s="12"/>
      <c r="I2016" s="12"/>
      <c r="J2016" s="12"/>
      <c r="K2016" s="12"/>
      <c r="L2016" s="12"/>
      <c r="M2016" s="11"/>
      <c r="N2016" s="11"/>
      <c r="O2016" s="11"/>
      <c r="P2016" s="11"/>
    </row>
    <row r="2017" spans="8:16" hidden="1" x14ac:dyDescent="0.25">
      <c r="H2017" s="12"/>
      <c r="I2017" s="12"/>
      <c r="J2017" s="12"/>
      <c r="K2017" s="12"/>
      <c r="L2017" s="12"/>
      <c r="M2017" s="11"/>
      <c r="N2017" s="11"/>
      <c r="O2017" s="11"/>
      <c r="P2017" s="11"/>
    </row>
    <row r="2018" spans="8:16" hidden="1" x14ac:dyDescent="0.25">
      <c r="H2018" s="12"/>
      <c r="I2018" s="12"/>
      <c r="J2018" s="12"/>
      <c r="K2018" s="12"/>
      <c r="L2018" s="12"/>
      <c r="M2018" s="11"/>
      <c r="N2018" s="11"/>
      <c r="O2018" s="11"/>
      <c r="P2018" s="11"/>
    </row>
    <row r="2019" spans="8:16" hidden="1" x14ac:dyDescent="0.25">
      <c r="H2019" s="12"/>
      <c r="I2019" s="12"/>
      <c r="J2019" s="12"/>
      <c r="K2019" s="12"/>
      <c r="L2019" s="12"/>
      <c r="M2019" s="11"/>
      <c r="N2019" s="11"/>
      <c r="O2019" s="11"/>
      <c r="P2019" s="11"/>
    </row>
    <row r="2020" spans="8:16" hidden="1" x14ac:dyDescent="0.25">
      <c r="H2020" s="12"/>
      <c r="I2020" s="12"/>
      <c r="J2020" s="12"/>
      <c r="K2020" s="12"/>
      <c r="L2020" s="12"/>
      <c r="M2020" s="11"/>
      <c r="N2020" s="11"/>
      <c r="O2020" s="11"/>
      <c r="P2020" s="11"/>
    </row>
    <row r="2021" spans="8:16" hidden="1" x14ac:dyDescent="0.25">
      <c r="H2021" s="12"/>
      <c r="I2021" s="12"/>
      <c r="J2021" s="12"/>
      <c r="K2021" s="12"/>
      <c r="L2021" s="12"/>
      <c r="M2021" s="11"/>
      <c r="N2021" s="11"/>
      <c r="O2021" s="11"/>
      <c r="P2021" s="11"/>
    </row>
    <row r="2022" spans="8:16" hidden="1" x14ac:dyDescent="0.25">
      <c r="H2022" s="12"/>
      <c r="I2022" s="12"/>
      <c r="J2022" s="12"/>
      <c r="K2022" s="12"/>
      <c r="L2022" s="12"/>
      <c r="M2022" s="11"/>
      <c r="N2022" s="11"/>
      <c r="O2022" s="11"/>
      <c r="P2022" s="11"/>
    </row>
    <row r="2023" spans="8:16" hidden="1" x14ac:dyDescent="0.25">
      <c r="H2023" s="12"/>
      <c r="I2023" s="12"/>
      <c r="J2023" s="12"/>
      <c r="K2023" s="12"/>
      <c r="L2023" s="12"/>
      <c r="M2023" s="11"/>
      <c r="N2023" s="11"/>
      <c r="O2023" s="11"/>
      <c r="P2023" s="11"/>
    </row>
    <row r="2024" spans="8:16" hidden="1" x14ac:dyDescent="0.25">
      <c r="H2024" s="12"/>
      <c r="I2024" s="12"/>
      <c r="J2024" s="12"/>
      <c r="K2024" s="12"/>
      <c r="L2024" s="12"/>
      <c r="M2024" s="11"/>
      <c r="N2024" s="11"/>
      <c r="O2024" s="11"/>
      <c r="P2024" s="11"/>
    </row>
    <row r="2025" spans="8:16" hidden="1" x14ac:dyDescent="0.25">
      <c r="H2025" s="12"/>
      <c r="I2025" s="12"/>
      <c r="J2025" s="12"/>
      <c r="K2025" s="12"/>
      <c r="L2025" s="12"/>
      <c r="M2025" s="11"/>
      <c r="N2025" s="11"/>
      <c r="O2025" s="11"/>
      <c r="P2025" s="11"/>
    </row>
    <row r="2026" spans="8:16" hidden="1" x14ac:dyDescent="0.25">
      <c r="H2026" s="12"/>
      <c r="I2026" s="12"/>
      <c r="J2026" s="12"/>
      <c r="K2026" s="12"/>
      <c r="L2026" s="12"/>
      <c r="M2026" s="11"/>
      <c r="N2026" s="11"/>
      <c r="O2026" s="11"/>
      <c r="P2026" s="11"/>
    </row>
    <row r="2027" spans="8:16" hidden="1" x14ac:dyDescent="0.25">
      <c r="H2027" s="12"/>
      <c r="I2027" s="12"/>
      <c r="J2027" s="12"/>
      <c r="K2027" s="12"/>
      <c r="L2027" s="12"/>
      <c r="M2027" s="11"/>
      <c r="N2027" s="11"/>
      <c r="O2027" s="11"/>
      <c r="P2027" s="11"/>
    </row>
    <row r="2028" spans="8:16" hidden="1" x14ac:dyDescent="0.25">
      <c r="H2028" s="12"/>
      <c r="I2028" s="12"/>
      <c r="J2028" s="12"/>
      <c r="K2028" s="12"/>
      <c r="L2028" s="12"/>
      <c r="M2028" s="11"/>
      <c r="N2028" s="11"/>
      <c r="O2028" s="11"/>
      <c r="P2028" s="11"/>
    </row>
    <row r="2029" spans="8:16" hidden="1" x14ac:dyDescent="0.25">
      <c r="H2029" s="12"/>
      <c r="I2029" s="12"/>
      <c r="J2029" s="12"/>
      <c r="K2029" s="12"/>
      <c r="L2029" s="12"/>
      <c r="M2029" s="11"/>
      <c r="N2029" s="11"/>
      <c r="O2029" s="11"/>
      <c r="P2029" s="11"/>
    </row>
    <row r="2030" spans="8:16" hidden="1" x14ac:dyDescent="0.25">
      <c r="H2030" s="12"/>
      <c r="I2030" s="12"/>
      <c r="J2030" s="12"/>
      <c r="K2030" s="12"/>
      <c r="L2030" s="12"/>
      <c r="M2030" s="11"/>
      <c r="N2030" s="11"/>
      <c r="O2030" s="11"/>
      <c r="P2030" s="11"/>
    </row>
    <row r="2031" spans="8:16" hidden="1" x14ac:dyDescent="0.25">
      <c r="H2031" s="12"/>
      <c r="I2031" s="12"/>
      <c r="J2031" s="12"/>
      <c r="K2031" s="12"/>
      <c r="L2031" s="12"/>
      <c r="M2031" s="11"/>
      <c r="N2031" s="11"/>
      <c r="O2031" s="11"/>
      <c r="P2031" s="11"/>
    </row>
    <row r="2032" spans="8:16" hidden="1" x14ac:dyDescent="0.25">
      <c r="H2032" s="12"/>
      <c r="I2032" s="12"/>
      <c r="J2032" s="12"/>
      <c r="K2032" s="12"/>
      <c r="L2032" s="12"/>
      <c r="M2032" s="11"/>
      <c r="N2032" s="11"/>
      <c r="O2032" s="11"/>
      <c r="P2032" s="11"/>
    </row>
    <row r="2033" spans="8:16" hidden="1" x14ac:dyDescent="0.25">
      <c r="H2033" s="12"/>
      <c r="I2033" s="12"/>
      <c r="J2033" s="12"/>
      <c r="K2033" s="12"/>
      <c r="L2033" s="12"/>
      <c r="M2033" s="11"/>
      <c r="N2033" s="11"/>
      <c r="O2033" s="11"/>
      <c r="P2033" s="11"/>
    </row>
    <row r="2034" spans="8:16" hidden="1" x14ac:dyDescent="0.25">
      <c r="H2034" s="12"/>
      <c r="I2034" s="12"/>
      <c r="J2034" s="12"/>
      <c r="K2034" s="12"/>
      <c r="L2034" s="12"/>
      <c r="M2034" s="11"/>
      <c r="N2034" s="11"/>
      <c r="O2034" s="11"/>
      <c r="P2034" s="11"/>
    </row>
    <row r="2035" spans="8:16" hidden="1" x14ac:dyDescent="0.25">
      <c r="H2035" s="12"/>
      <c r="I2035" s="12"/>
      <c r="J2035" s="12"/>
      <c r="K2035" s="12"/>
      <c r="L2035" s="12"/>
      <c r="M2035" s="11"/>
      <c r="N2035" s="11"/>
      <c r="O2035" s="11"/>
      <c r="P2035" s="11"/>
    </row>
    <row r="2036" spans="8:16" hidden="1" x14ac:dyDescent="0.25">
      <c r="H2036" s="12"/>
      <c r="I2036" s="12"/>
      <c r="J2036" s="12"/>
      <c r="K2036" s="12"/>
      <c r="L2036" s="12"/>
      <c r="M2036" s="11"/>
      <c r="N2036" s="11"/>
      <c r="O2036" s="11"/>
      <c r="P2036" s="11"/>
    </row>
    <row r="2037" spans="8:16" hidden="1" x14ac:dyDescent="0.25">
      <c r="H2037" s="12"/>
      <c r="I2037" s="12"/>
      <c r="J2037" s="12"/>
      <c r="K2037" s="12"/>
      <c r="L2037" s="12"/>
      <c r="M2037" s="11"/>
      <c r="N2037" s="11"/>
      <c r="O2037" s="11"/>
      <c r="P2037" s="11"/>
    </row>
    <row r="2038" spans="8:16" hidden="1" x14ac:dyDescent="0.25">
      <c r="H2038" s="12"/>
      <c r="I2038" s="12"/>
      <c r="J2038" s="12"/>
      <c r="K2038" s="12"/>
      <c r="L2038" s="12"/>
      <c r="M2038" s="11"/>
      <c r="N2038" s="11"/>
      <c r="O2038" s="11"/>
      <c r="P2038" s="11"/>
    </row>
    <row r="2039" spans="8:16" hidden="1" x14ac:dyDescent="0.25">
      <c r="H2039" s="12"/>
      <c r="I2039" s="12"/>
      <c r="J2039" s="12"/>
      <c r="K2039" s="12"/>
      <c r="L2039" s="12"/>
      <c r="M2039" s="11"/>
      <c r="N2039" s="11"/>
      <c r="O2039" s="11"/>
      <c r="P2039" s="11"/>
    </row>
    <row r="2040" spans="8:16" hidden="1" x14ac:dyDescent="0.25">
      <c r="H2040" s="12"/>
      <c r="I2040" s="12"/>
      <c r="J2040" s="12"/>
      <c r="K2040" s="12"/>
      <c r="L2040" s="12"/>
      <c r="M2040" s="11"/>
      <c r="N2040" s="11"/>
      <c r="O2040" s="11"/>
      <c r="P2040" s="11"/>
    </row>
    <row r="2041" spans="8:16" hidden="1" x14ac:dyDescent="0.25">
      <c r="H2041" s="12"/>
      <c r="I2041" s="12"/>
      <c r="J2041" s="12"/>
      <c r="K2041" s="12"/>
      <c r="L2041" s="12"/>
      <c r="M2041" s="11"/>
      <c r="N2041" s="11"/>
      <c r="O2041" s="11"/>
      <c r="P2041" s="11"/>
    </row>
    <row r="2042" spans="8:16" hidden="1" x14ac:dyDescent="0.25">
      <c r="H2042" s="12"/>
      <c r="I2042" s="12"/>
      <c r="J2042" s="12"/>
      <c r="K2042" s="12"/>
      <c r="L2042" s="12"/>
      <c r="M2042" s="11"/>
      <c r="N2042" s="11"/>
      <c r="O2042" s="11"/>
      <c r="P2042" s="11"/>
    </row>
    <row r="2043" spans="8:16" hidden="1" x14ac:dyDescent="0.25">
      <c r="H2043" s="12"/>
      <c r="I2043" s="12"/>
      <c r="J2043" s="12"/>
      <c r="K2043" s="12"/>
      <c r="L2043" s="12"/>
      <c r="M2043" s="11"/>
      <c r="N2043" s="11"/>
      <c r="O2043" s="11"/>
      <c r="P2043" s="11"/>
    </row>
    <row r="2044" spans="8:16" hidden="1" x14ac:dyDescent="0.25">
      <c r="H2044" s="12"/>
      <c r="I2044" s="12"/>
      <c r="J2044" s="12"/>
      <c r="K2044" s="12"/>
      <c r="L2044" s="12"/>
      <c r="M2044" s="11"/>
      <c r="N2044" s="11"/>
      <c r="O2044" s="11"/>
      <c r="P2044" s="11"/>
    </row>
    <row r="2045" spans="8:16" hidden="1" x14ac:dyDescent="0.25">
      <c r="H2045" s="12"/>
      <c r="I2045" s="12"/>
      <c r="J2045" s="12"/>
      <c r="K2045" s="12"/>
      <c r="L2045" s="12"/>
      <c r="M2045" s="11"/>
      <c r="N2045" s="11"/>
      <c r="O2045" s="11"/>
      <c r="P2045" s="11"/>
    </row>
    <row r="2046" spans="8:16" hidden="1" x14ac:dyDescent="0.25">
      <c r="H2046" s="12"/>
      <c r="I2046" s="12"/>
      <c r="J2046" s="12"/>
      <c r="K2046" s="12"/>
      <c r="L2046" s="12"/>
      <c r="M2046" s="11"/>
      <c r="N2046" s="11"/>
      <c r="O2046" s="11"/>
      <c r="P2046" s="11"/>
    </row>
    <row r="2047" spans="8:16" hidden="1" x14ac:dyDescent="0.25">
      <c r="H2047" s="12"/>
      <c r="I2047" s="12"/>
      <c r="J2047" s="12"/>
      <c r="K2047" s="12"/>
      <c r="L2047" s="12"/>
      <c r="M2047" s="11"/>
      <c r="N2047" s="11"/>
      <c r="O2047" s="11"/>
      <c r="P2047" s="11"/>
    </row>
    <row r="2048" spans="8:16" hidden="1" x14ac:dyDescent="0.25">
      <c r="H2048" s="12"/>
      <c r="I2048" s="12"/>
      <c r="J2048" s="12"/>
      <c r="K2048" s="12"/>
      <c r="L2048" s="12"/>
      <c r="M2048" s="11"/>
      <c r="N2048" s="11"/>
      <c r="O2048" s="11"/>
      <c r="P2048" s="11"/>
    </row>
    <row r="2049" spans="8:16" hidden="1" x14ac:dyDescent="0.25">
      <c r="H2049" s="12"/>
      <c r="I2049" s="12"/>
      <c r="J2049" s="12"/>
      <c r="K2049" s="12"/>
      <c r="L2049" s="12"/>
      <c r="M2049" s="11"/>
      <c r="N2049" s="11"/>
      <c r="O2049" s="11"/>
      <c r="P2049" s="11"/>
    </row>
    <row r="2050" spans="8:16" hidden="1" x14ac:dyDescent="0.25">
      <c r="H2050" s="12"/>
      <c r="I2050" s="12"/>
      <c r="J2050" s="12"/>
      <c r="K2050" s="12"/>
      <c r="L2050" s="12"/>
      <c r="M2050" s="11"/>
      <c r="N2050" s="11"/>
      <c r="O2050" s="11"/>
      <c r="P2050" s="11"/>
    </row>
    <row r="2051" spans="8:16" hidden="1" x14ac:dyDescent="0.25">
      <c r="H2051" s="12"/>
      <c r="I2051" s="12"/>
      <c r="J2051" s="12"/>
      <c r="K2051" s="12"/>
      <c r="L2051" s="12"/>
      <c r="M2051" s="11"/>
      <c r="N2051" s="11"/>
      <c r="O2051" s="11"/>
      <c r="P2051" s="11"/>
    </row>
    <row r="2052" spans="8:16" hidden="1" x14ac:dyDescent="0.25">
      <c r="H2052" s="12"/>
      <c r="I2052" s="12"/>
      <c r="J2052" s="12"/>
      <c r="K2052" s="12"/>
      <c r="L2052" s="12"/>
      <c r="M2052" s="11"/>
      <c r="N2052" s="11"/>
      <c r="O2052" s="11"/>
      <c r="P2052" s="11"/>
    </row>
    <row r="2053" spans="8:16" hidden="1" x14ac:dyDescent="0.25">
      <c r="H2053" s="12"/>
      <c r="I2053" s="12"/>
      <c r="J2053" s="12"/>
      <c r="K2053" s="12"/>
      <c r="L2053" s="12"/>
      <c r="M2053" s="11"/>
      <c r="N2053" s="11"/>
      <c r="O2053" s="11"/>
      <c r="P2053" s="11"/>
    </row>
    <row r="2054" spans="8:16" hidden="1" x14ac:dyDescent="0.25">
      <c r="H2054" s="12"/>
      <c r="I2054" s="12"/>
      <c r="J2054" s="12"/>
      <c r="K2054" s="12"/>
      <c r="L2054" s="12"/>
      <c r="M2054" s="11"/>
      <c r="N2054" s="11"/>
      <c r="O2054" s="11"/>
      <c r="P2054" s="11"/>
    </row>
    <row r="2055" spans="8:16" hidden="1" x14ac:dyDescent="0.25">
      <c r="H2055" s="12"/>
      <c r="I2055" s="12"/>
      <c r="J2055" s="12"/>
      <c r="K2055" s="12"/>
      <c r="L2055" s="12"/>
      <c r="M2055" s="11"/>
      <c r="N2055" s="11"/>
      <c r="O2055" s="11"/>
      <c r="P2055" s="11"/>
    </row>
    <row r="2056" spans="8:16" hidden="1" x14ac:dyDescent="0.25">
      <c r="H2056" s="12"/>
      <c r="I2056" s="12"/>
      <c r="J2056" s="12"/>
      <c r="K2056" s="12"/>
      <c r="L2056" s="12"/>
      <c r="M2056" s="11"/>
      <c r="N2056" s="11"/>
      <c r="O2056" s="11"/>
      <c r="P2056" s="11"/>
    </row>
    <row r="2057" spans="8:16" hidden="1" x14ac:dyDescent="0.25">
      <c r="H2057" s="12"/>
      <c r="I2057" s="12"/>
      <c r="J2057" s="12"/>
      <c r="K2057" s="12"/>
      <c r="L2057" s="12"/>
      <c r="M2057" s="11"/>
      <c r="N2057" s="11"/>
      <c r="O2057" s="11"/>
      <c r="P2057" s="11"/>
    </row>
    <row r="2058" spans="8:16" hidden="1" x14ac:dyDescent="0.25">
      <c r="H2058" s="12"/>
      <c r="I2058" s="12"/>
      <c r="J2058" s="12"/>
      <c r="K2058" s="12"/>
      <c r="L2058" s="12"/>
      <c r="M2058" s="11"/>
      <c r="N2058" s="11"/>
      <c r="O2058" s="11"/>
      <c r="P2058" s="11"/>
    </row>
    <row r="2059" spans="8:16" hidden="1" x14ac:dyDescent="0.25">
      <c r="H2059" s="12"/>
      <c r="I2059" s="12"/>
      <c r="J2059" s="12"/>
      <c r="K2059" s="12"/>
      <c r="L2059" s="12"/>
      <c r="M2059" s="11"/>
      <c r="N2059" s="11"/>
      <c r="O2059" s="11"/>
      <c r="P2059" s="11"/>
    </row>
    <row r="2060" spans="8:16" hidden="1" x14ac:dyDescent="0.25">
      <c r="H2060" s="12"/>
      <c r="I2060" s="12"/>
      <c r="J2060" s="12"/>
      <c r="K2060" s="12"/>
      <c r="L2060" s="12"/>
      <c r="M2060" s="11"/>
      <c r="N2060" s="11"/>
      <c r="O2060" s="11"/>
      <c r="P2060" s="11"/>
    </row>
    <row r="2061" spans="8:16" hidden="1" x14ac:dyDescent="0.25">
      <c r="H2061" s="12"/>
      <c r="I2061" s="12"/>
      <c r="J2061" s="12"/>
      <c r="K2061" s="12"/>
      <c r="L2061" s="12"/>
      <c r="M2061" s="11"/>
      <c r="N2061" s="11"/>
      <c r="O2061" s="11"/>
      <c r="P2061" s="11"/>
    </row>
    <row r="2062" spans="8:16" hidden="1" x14ac:dyDescent="0.25">
      <c r="H2062" s="12"/>
      <c r="I2062" s="12"/>
      <c r="J2062" s="12"/>
      <c r="K2062" s="12"/>
      <c r="L2062" s="12"/>
      <c r="M2062" s="11"/>
      <c r="N2062" s="11"/>
      <c r="O2062" s="11"/>
      <c r="P2062" s="11"/>
    </row>
    <row r="2063" spans="8:16" hidden="1" x14ac:dyDescent="0.25">
      <c r="H2063" s="12"/>
      <c r="I2063" s="12"/>
      <c r="J2063" s="12"/>
      <c r="K2063" s="12"/>
      <c r="L2063" s="12"/>
      <c r="M2063" s="11"/>
      <c r="N2063" s="11"/>
      <c r="O2063" s="11"/>
      <c r="P2063" s="11"/>
    </row>
    <row r="2064" spans="8:16" hidden="1" x14ac:dyDescent="0.25">
      <c r="H2064" s="12"/>
      <c r="I2064" s="12"/>
      <c r="J2064" s="12"/>
      <c r="K2064" s="12"/>
      <c r="L2064" s="12"/>
      <c r="M2064" s="11"/>
      <c r="N2064" s="11"/>
      <c r="O2064" s="11"/>
      <c r="P2064" s="11"/>
    </row>
    <row r="2065" spans="8:16" hidden="1" x14ac:dyDescent="0.25">
      <c r="H2065" s="12"/>
      <c r="I2065" s="12"/>
      <c r="J2065" s="12"/>
      <c r="K2065" s="12"/>
      <c r="L2065" s="12"/>
      <c r="M2065" s="11"/>
      <c r="N2065" s="11"/>
      <c r="O2065" s="11"/>
      <c r="P2065" s="11"/>
    </row>
    <row r="2066" spans="8:16" hidden="1" x14ac:dyDescent="0.25">
      <c r="H2066" s="12"/>
      <c r="I2066" s="12"/>
      <c r="J2066" s="12"/>
      <c r="K2066" s="12"/>
      <c r="L2066" s="12"/>
      <c r="M2066" s="11"/>
      <c r="N2066" s="11"/>
      <c r="O2066" s="11"/>
      <c r="P2066" s="11"/>
    </row>
    <row r="2067" spans="8:16" hidden="1" x14ac:dyDescent="0.25">
      <c r="H2067" s="12"/>
      <c r="I2067" s="12"/>
      <c r="J2067" s="12"/>
      <c r="K2067" s="12"/>
      <c r="L2067" s="12"/>
      <c r="M2067" s="11"/>
      <c r="N2067" s="11"/>
      <c r="O2067" s="11"/>
      <c r="P2067" s="11"/>
    </row>
    <row r="2068" spans="8:16" hidden="1" x14ac:dyDescent="0.25">
      <c r="H2068" s="12"/>
      <c r="I2068" s="12"/>
      <c r="J2068" s="12"/>
      <c r="K2068" s="12"/>
      <c r="L2068" s="12"/>
      <c r="M2068" s="11"/>
      <c r="N2068" s="11"/>
      <c r="O2068" s="11"/>
      <c r="P2068" s="11"/>
    </row>
    <row r="2069" spans="8:16" hidden="1" x14ac:dyDescent="0.25">
      <c r="H2069" s="12"/>
      <c r="I2069" s="12"/>
      <c r="J2069" s="12"/>
      <c r="K2069" s="12"/>
      <c r="L2069" s="12"/>
      <c r="M2069" s="11"/>
      <c r="N2069" s="11"/>
      <c r="O2069" s="11"/>
      <c r="P2069" s="11"/>
    </row>
    <row r="2070" spans="8:16" hidden="1" x14ac:dyDescent="0.25">
      <c r="H2070" s="12"/>
      <c r="I2070" s="12"/>
      <c r="J2070" s="12"/>
      <c r="K2070" s="12"/>
      <c r="L2070" s="12"/>
      <c r="M2070" s="11"/>
      <c r="N2070" s="11"/>
      <c r="O2070" s="11"/>
      <c r="P2070" s="11"/>
    </row>
    <row r="2071" spans="8:16" hidden="1" x14ac:dyDescent="0.25">
      <c r="H2071" s="12"/>
      <c r="I2071" s="12"/>
      <c r="J2071" s="12"/>
      <c r="K2071" s="12"/>
      <c r="L2071" s="12"/>
      <c r="M2071" s="11"/>
      <c r="N2071" s="11"/>
      <c r="O2071" s="11"/>
      <c r="P2071" s="11"/>
    </row>
    <row r="2072" spans="8:16" hidden="1" x14ac:dyDescent="0.25">
      <c r="H2072" s="12"/>
      <c r="I2072" s="12"/>
      <c r="J2072" s="12"/>
      <c r="K2072" s="12"/>
      <c r="L2072" s="12"/>
      <c r="M2072" s="11"/>
      <c r="N2072" s="11"/>
      <c r="O2072" s="11"/>
      <c r="P2072" s="11"/>
    </row>
    <row r="2073" spans="8:16" hidden="1" x14ac:dyDescent="0.25">
      <c r="H2073" s="12"/>
      <c r="I2073" s="12"/>
      <c r="J2073" s="12"/>
      <c r="K2073" s="12"/>
      <c r="L2073" s="12"/>
      <c r="M2073" s="11"/>
      <c r="N2073" s="11"/>
      <c r="O2073" s="11"/>
      <c r="P2073" s="11"/>
    </row>
    <row r="2074" spans="8:16" hidden="1" x14ac:dyDescent="0.25">
      <c r="H2074" s="12"/>
      <c r="I2074" s="12"/>
      <c r="J2074" s="12"/>
      <c r="K2074" s="12"/>
      <c r="L2074" s="12"/>
      <c r="M2074" s="11"/>
      <c r="N2074" s="11"/>
      <c r="O2074" s="11"/>
      <c r="P2074" s="11"/>
    </row>
    <row r="2075" spans="8:16" hidden="1" x14ac:dyDescent="0.25">
      <c r="H2075" s="12"/>
      <c r="I2075" s="12"/>
      <c r="J2075" s="12"/>
      <c r="K2075" s="12"/>
      <c r="L2075" s="12"/>
      <c r="M2075" s="11"/>
      <c r="N2075" s="11"/>
      <c r="O2075" s="11"/>
      <c r="P2075" s="11"/>
    </row>
    <row r="2076" spans="8:16" hidden="1" x14ac:dyDescent="0.25">
      <c r="H2076" s="12"/>
      <c r="I2076" s="12"/>
      <c r="J2076" s="12"/>
      <c r="K2076" s="12"/>
      <c r="L2076" s="12"/>
      <c r="M2076" s="11"/>
      <c r="N2076" s="11"/>
      <c r="O2076" s="11"/>
      <c r="P2076" s="11"/>
    </row>
    <row r="2077" spans="8:16" hidden="1" x14ac:dyDescent="0.25">
      <c r="H2077" s="12"/>
      <c r="I2077" s="12"/>
      <c r="J2077" s="12"/>
      <c r="K2077" s="12"/>
      <c r="L2077" s="12"/>
      <c r="M2077" s="11"/>
      <c r="N2077" s="11"/>
      <c r="O2077" s="11"/>
      <c r="P2077" s="11"/>
    </row>
    <row r="2078" spans="8:16" hidden="1" x14ac:dyDescent="0.25">
      <c r="H2078" s="12"/>
      <c r="I2078" s="12"/>
      <c r="J2078" s="12"/>
      <c r="K2078" s="12"/>
      <c r="L2078" s="12"/>
      <c r="M2078" s="11"/>
      <c r="N2078" s="11"/>
      <c r="O2078" s="11"/>
      <c r="P2078" s="11"/>
    </row>
    <row r="2079" spans="8:16" hidden="1" x14ac:dyDescent="0.25">
      <c r="H2079" s="12"/>
      <c r="I2079" s="12"/>
      <c r="J2079" s="12"/>
      <c r="K2079" s="12"/>
      <c r="L2079" s="12"/>
      <c r="M2079" s="11"/>
      <c r="N2079" s="11"/>
      <c r="O2079" s="11"/>
      <c r="P2079" s="11"/>
    </row>
    <row r="2080" spans="8:16" hidden="1" x14ac:dyDescent="0.25">
      <c r="H2080" s="12"/>
      <c r="I2080" s="12"/>
      <c r="J2080" s="12"/>
      <c r="K2080" s="12"/>
      <c r="L2080" s="12"/>
      <c r="M2080" s="11"/>
      <c r="N2080" s="11"/>
      <c r="O2080" s="11"/>
      <c r="P2080" s="11"/>
    </row>
    <row r="2081" spans="8:16" hidden="1" x14ac:dyDescent="0.25">
      <c r="H2081" s="12"/>
      <c r="I2081" s="12"/>
      <c r="J2081" s="12"/>
      <c r="K2081" s="12"/>
      <c r="L2081" s="12"/>
      <c r="M2081" s="11"/>
      <c r="N2081" s="11"/>
      <c r="O2081" s="11"/>
      <c r="P2081" s="11"/>
    </row>
    <row r="2082" spans="8:16" hidden="1" x14ac:dyDescent="0.25">
      <c r="H2082" s="12"/>
      <c r="I2082" s="12"/>
      <c r="J2082" s="12"/>
      <c r="K2082" s="12"/>
      <c r="L2082" s="12"/>
      <c r="M2082" s="11"/>
      <c r="N2082" s="11"/>
      <c r="O2082" s="11"/>
      <c r="P2082" s="11"/>
    </row>
    <row r="2083" spans="8:16" hidden="1" x14ac:dyDescent="0.25">
      <c r="H2083" s="12"/>
      <c r="I2083" s="12"/>
      <c r="J2083" s="12"/>
      <c r="K2083" s="12"/>
      <c r="L2083" s="12"/>
      <c r="M2083" s="11"/>
      <c r="N2083" s="11"/>
      <c r="O2083" s="11"/>
      <c r="P2083" s="11"/>
    </row>
    <row r="2084" spans="8:16" hidden="1" x14ac:dyDescent="0.25">
      <c r="H2084" s="12"/>
      <c r="I2084" s="12"/>
      <c r="J2084" s="12"/>
      <c r="K2084" s="12"/>
      <c r="L2084" s="12"/>
      <c r="M2084" s="11"/>
      <c r="N2084" s="11"/>
      <c r="O2084" s="11"/>
      <c r="P2084" s="11"/>
    </row>
    <row r="2085" spans="8:16" hidden="1" x14ac:dyDescent="0.25">
      <c r="H2085" s="12"/>
      <c r="I2085" s="12"/>
      <c r="J2085" s="12"/>
      <c r="K2085" s="12"/>
      <c r="L2085" s="12"/>
      <c r="M2085" s="11"/>
      <c r="N2085" s="11"/>
      <c r="O2085" s="11"/>
      <c r="P2085" s="11"/>
    </row>
    <row r="2086" spans="8:16" hidden="1" x14ac:dyDescent="0.25">
      <c r="H2086" s="12"/>
      <c r="I2086" s="12"/>
      <c r="J2086" s="12"/>
      <c r="K2086" s="12"/>
      <c r="L2086" s="12"/>
      <c r="M2086" s="11"/>
      <c r="N2086" s="11"/>
      <c r="O2086" s="11"/>
      <c r="P2086" s="11"/>
    </row>
    <row r="2087" spans="8:16" hidden="1" x14ac:dyDescent="0.25">
      <c r="H2087" s="12"/>
      <c r="I2087" s="12"/>
      <c r="J2087" s="12"/>
      <c r="K2087" s="12"/>
      <c r="L2087" s="12"/>
      <c r="M2087" s="11"/>
      <c r="N2087" s="11"/>
      <c r="O2087" s="11"/>
      <c r="P2087" s="11"/>
    </row>
    <row r="2088" spans="8:16" hidden="1" x14ac:dyDescent="0.25">
      <c r="H2088" s="12"/>
      <c r="I2088" s="12"/>
      <c r="J2088" s="12"/>
      <c r="K2088" s="12"/>
      <c r="L2088" s="12"/>
      <c r="M2088" s="11"/>
      <c r="N2088" s="11"/>
      <c r="O2088" s="11"/>
      <c r="P2088" s="11"/>
    </row>
    <row r="2089" spans="8:16" hidden="1" x14ac:dyDescent="0.25">
      <c r="H2089" s="12"/>
      <c r="I2089" s="12"/>
      <c r="J2089" s="12"/>
      <c r="K2089" s="12"/>
      <c r="L2089" s="12"/>
      <c r="M2089" s="11"/>
      <c r="N2089" s="11"/>
      <c r="O2089" s="11"/>
      <c r="P2089" s="11"/>
    </row>
    <row r="2090" spans="8:16" hidden="1" x14ac:dyDescent="0.25">
      <c r="H2090" s="12"/>
      <c r="I2090" s="12"/>
      <c r="J2090" s="12"/>
      <c r="K2090" s="12"/>
      <c r="L2090" s="12"/>
      <c r="M2090" s="11"/>
      <c r="N2090" s="11"/>
      <c r="O2090" s="11"/>
      <c r="P2090" s="11"/>
    </row>
    <row r="2091" spans="8:16" hidden="1" x14ac:dyDescent="0.25">
      <c r="H2091" s="12"/>
      <c r="I2091" s="12"/>
      <c r="J2091" s="12"/>
      <c r="K2091" s="12"/>
      <c r="L2091" s="12"/>
      <c r="M2091" s="11"/>
      <c r="N2091" s="11"/>
      <c r="O2091" s="11"/>
      <c r="P2091" s="11"/>
    </row>
    <row r="2092" spans="8:16" hidden="1" x14ac:dyDescent="0.25">
      <c r="H2092" s="12"/>
      <c r="I2092" s="12"/>
      <c r="J2092" s="12"/>
      <c r="K2092" s="12"/>
      <c r="L2092" s="12"/>
      <c r="M2092" s="11"/>
      <c r="N2092" s="11"/>
      <c r="O2092" s="11"/>
      <c r="P2092" s="11"/>
    </row>
    <row r="2093" spans="8:16" hidden="1" x14ac:dyDescent="0.25">
      <c r="H2093" s="12"/>
      <c r="I2093" s="12"/>
      <c r="J2093" s="12"/>
      <c r="K2093" s="12"/>
      <c r="L2093" s="12"/>
      <c r="M2093" s="11"/>
      <c r="N2093" s="11"/>
      <c r="O2093" s="11"/>
      <c r="P2093" s="11"/>
    </row>
    <row r="2094" spans="8:16" hidden="1" x14ac:dyDescent="0.25">
      <c r="H2094" s="12"/>
      <c r="I2094" s="12"/>
      <c r="J2094" s="12"/>
      <c r="K2094" s="12"/>
      <c r="L2094" s="12"/>
      <c r="M2094" s="11"/>
      <c r="N2094" s="11"/>
      <c r="O2094" s="11"/>
      <c r="P2094" s="11"/>
    </row>
    <row r="2095" spans="8:16" hidden="1" x14ac:dyDescent="0.25">
      <c r="H2095" s="12"/>
      <c r="I2095" s="12"/>
      <c r="J2095" s="12"/>
      <c r="K2095" s="12"/>
      <c r="L2095" s="12"/>
      <c r="M2095" s="11"/>
      <c r="N2095" s="11"/>
      <c r="O2095" s="11"/>
      <c r="P2095" s="11"/>
    </row>
    <row r="2096" spans="8:16" hidden="1" x14ac:dyDescent="0.25">
      <c r="H2096" s="12"/>
      <c r="I2096" s="12"/>
      <c r="J2096" s="12"/>
      <c r="K2096" s="12"/>
      <c r="L2096" s="12"/>
      <c r="M2096" s="11"/>
      <c r="N2096" s="11"/>
      <c r="O2096" s="11"/>
      <c r="P2096" s="11"/>
    </row>
    <row r="2097" spans="8:16" hidden="1" x14ac:dyDescent="0.25">
      <c r="H2097" s="12"/>
      <c r="I2097" s="12"/>
      <c r="J2097" s="12"/>
      <c r="K2097" s="12"/>
      <c r="L2097" s="12"/>
      <c r="M2097" s="11"/>
      <c r="N2097" s="11"/>
      <c r="O2097" s="11"/>
      <c r="P2097" s="11"/>
    </row>
    <row r="2098" spans="8:16" hidden="1" x14ac:dyDescent="0.25">
      <c r="H2098" s="12"/>
      <c r="I2098" s="12"/>
      <c r="J2098" s="12"/>
      <c r="K2098" s="12"/>
      <c r="L2098" s="12"/>
      <c r="M2098" s="11"/>
      <c r="N2098" s="11"/>
      <c r="O2098" s="11"/>
      <c r="P2098" s="11"/>
    </row>
    <row r="2099" spans="8:16" hidden="1" x14ac:dyDescent="0.25">
      <c r="H2099" s="12"/>
      <c r="I2099" s="12"/>
      <c r="J2099" s="12"/>
      <c r="K2099" s="12"/>
      <c r="L2099" s="12"/>
      <c r="M2099" s="11"/>
      <c r="N2099" s="11"/>
      <c r="O2099" s="11"/>
      <c r="P2099" s="11"/>
    </row>
    <row r="2100" spans="8:16" hidden="1" x14ac:dyDescent="0.25">
      <c r="H2100" s="12"/>
      <c r="I2100" s="12"/>
      <c r="J2100" s="12"/>
      <c r="K2100" s="12"/>
      <c r="L2100" s="12"/>
      <c r="M2100" s="11"/>
      <c r="N2100" s="11"/>
      <c r="O2100" s="11"/>
      <c r="P2100" s="11"/>
    </row>
    <row r="2101" spans="8:16" hidden="1" x14ac:dyDescent="0.25">
      <c r="H2101" s="12"/>
      <c r="I2101" s="12"/>
      <c r="J2101" s="12"/>
      <c r="K2101" s="12"/>
      <c r="L2101" s="12"/>
      <c r="M2101" s="11"/>
      <c r="N2101" s="11"/>
      <c r="O2101" s="11"/>
      <c r="P2101" s="11"/>
    </row>
    <row r="2102" spans="8:16" hidden="1" x14ac:dyDescent="0.25">
      <c r="H2102" s="12"/>
      <c r="I2102" s="12"/>
      <c r="J2102" s="12"/>
      <c r="K2102" s="12"/>
      <c r="L2102" s="12"/>
      <c r="M2102" s="11"/>
      <c r="N2102" s="11"/>
      <c r="O2102" s="11"/>
      <c r="P2102" s="11"/>
    </row>
    <row r="2103" spans="8:16" hidden="1" x14ac:dyDescent="0.25">
      <c r="H2103" s="12"/>
      <c r="I2103" s="12"/>
      <c r="J2103" s="12"/>
      <c r="K2103" s="12"/>
      <c r="L2103" s="12"/>
      <c r="M2103" s="11"/>
      <c r="N2103" s="11"/>
      <c r="O2103" s="11"/>
      <c r="P2103" s="11"/>
    </row>
    <row r="2104" spans="8:16" hidden="1" x14ac:dyDescent="0.25">
      <c r="H2104" s="12"/>
      <c r="I2104" s="12"/>
      <c r="J2104" s="12"/>
      <c r="K2104" s="12"/>
      <c r="L2104" s="12"/>
      <c r="M2104" s="11"/>
      <c r="N2104" s="11"/>
      <c r="O2104" s="11"/>
      <c r="P2104" s="11"/>
    </row>
    <row r="2105" spans="8:16" hidden="1" x14ac:dyDescent="0.25">
      <c r="H2105" s="12"/>
      <c r="I2105" s="12"/>
      <c r="J2105" s="12"/>
      <c r="K2105" s="12"/>
      <c r="L2105" s="12"/>
      <c r="M2105" s="11"/>
      <c r="N2105" s="11"/>
      <c r="O2105" s="11"/>
      <c r="P2105" s="11"/>
    </row>
    <row r="2106" spans="8:16" hidden="1" x14ac:dyDescent="0.25">
      <c r="H2106" s="12"/>
      <c r="I2106" s="12"/>
      <c r="J2106" s="12"/>
      <c r="K2106" s="12"/>
      <c r="L2106" s="12"/>
      <c r="M2106" s="11"/>
      <c r="N2106" s="11"/>
      <c r="O2106" s="11"/>
      <c r="P2106" s="11"/>
    </row>
    <row r="2107" spans="8:16" hidden="1" x14ac:dyDescent="0.25">
      <c r="H2107" s="12"/>
      <c r="I2107" s="12"/>
      <c r="J2107" s="12"/>
      <c r="K2107" s="12"/>
      <c r="L2107" s="12"/>
      <c r="M2107" s="11"/>
      <c r="N2107" s="11"/>
      <c r="O2107" s="11"/>
      <c r="P2107" s="11"/>
    </row>
    <row r="2108" spans="8:16" hidden="1" x14ac:dyDescent="0.25">
      <c r="H2108" s="12"/>
      <c r="I2108" s="12"/>
      <c r="J2108" s="12"/>
      <c r="K2108" s="12"/>
      <c r="L2108" s="12"/>
      <c r="M2108" s="11"/>
      <c r="N2108" s="11"/>
      <c r="O2108" s="11"/>
      <c r="P2108" s="11"/>
    </row>
    <row r="2109" spans="8:16" hidden="1" x14ac:dyDescent="0.25">
      <c r="H2109" s="12"/>
      <c r="I2109" s="12"/>
      <c r="J2109" s="12"/>
      <c r="K2109" s="12"/>
      <c r="L2109" s="12"/>
      <c r="M2109" s="11"/>
      <c r="N2109" s="11"/>
      <c r="O2109" s="11"/>
      <c r="P2109" s="11"/>
    </row>
    <row r="2110" spans="8:16" hidden="1" x14ac:dyDescent="0.25">
      <c r="H2110" s="12"/>
      <c r="I2110" s="12"/>
      <c r="J2110" s="12"/>
      <c r="K2110" s="12"/>
      <c r="L2110" s="12"/>
      <c r="M2110" s="11"/>
      <c r="N2110" s="11"/>
      <c r="O2110" s="11"/>
      <c r="P2110" s="11"/>
    </row>
    <row r="2111" spans="8:16" hidden="1" x14ac:dyDescent="0.25">
      <c r="H2111" s="12"/>
      <c r="I2111" s="12"/>
      <c r="J2111" s="12"/>
      <c r="K2111" s="12"/>
      <c r="L2111" s="12"/>
      <c r="M2111" s="11"/>
      <c r="N2111" s="11"/>
      <c r="O2111" s="11"/>
      <c r="P2111" s="11"/>
    </row>
    <row r="2112" spans="8:16" hidden="1" x14ac:dyDescent="0.25">
      <c r="H2112" s="12"/>
      <c r="I2112" s="12"/>
      <c r="J2112" s="12"/>
      <c r="K2112" s="12"/>
      <c r="L2112" s="12"/>
      <c r="M2112" s="11"/>
      <c r="N2112" s="11"/>
      <c r="O2112" s="11"/>
      <c r="P2112" s="11"/>
    </row>
    <row r="2113" spans="8:16" hidden="1" x14ac:dyDescent="0.25">
      <c r="H2113" s="12"/>
      <c r="I2113" s="12"/>
      <c r="J2113" s="12"/>
      <c r="K2113" s="12"/>
      <c r="L2113" s="12"/>
      <c r="M2113" s="11"/>
      <c r="N2113" s="11"/>
      <c r="O2113" s="11"/>
      <c r="P2113" s="11"/>
    </row>
    <row r="2114" spans="8:16" hidden="1" x14ac:dyDescent="0.25">
      <c r="H2114" s="12"/>
      <c r="I2114" s="12"/>
      <c r="J2114" s="12"/>
      <c r="K2114" s="12"/>
      <c r="L2114" s="12"/>
      <c r="M2114" s="11"/>
      <c r="N2114" s="11"/>
      <c r="O2114" s="11"/>
      <c r="P2114" s="11"/>
    </row>
    <row r="2115" spans="8:16" hidden="1" x14ac:dyDescent="0.25">
      <c r="H2115" s="12"/>
      <c r="I2115" s="12"/>
      <c r="J2115" s="12"/>
      <c r="K2115" s="12"/>
      <c r="L2115" s="12"/>
      <c r="M2115" s="11"/>
      <c r="N2115" s="11"/>
      <c r="O2115" s="11"/>
      <c r="P2115" s="11"/>
    </row>
    <row r="2116" spans="8:16" hidden="1" x14ac:dyDescent="0.25">
      <c r="H2116" s="12"/>
      <c r="I2116" s="12"/>
      <c r="J2116" s="12"/>
      <c r="K2116" s="12"/>
      <c r="L2116" s="12"/>
      <c r="M2116" s="11"/>
      <c r="N2116" s="11"/>
      <c r="O2116" s="11"/>
      <c r="P2116" s="11"/>
    </row>
    <row r="2117" spans="8:16" hidden="1" x14ac:dyDescent="0.25">
      <c r="H2117" s="12"/>
      <c r="I2117" s="12"/>
      <c r="J2117" s="12"/>
      <c r="K2117" s="12"/>
      <c r="L2117" s="12"/>
      <c r="M2117" s="11"/>
      <c r="N2117" s="11"/>
      <c r="O2117" s="11"/>
      <c r="P2117" s="11"/>
    </row>
    <row r="2118" spans="8:16" hidden="1" x14ac:dyDescent="0.25">
      <c r="H2118" s="12"/>
      <c r="I2118" s="12"/>
      <c r="J2118" s="12"/>
      <c r="K2118" s="12"/>
      <c r="L2118" s="12"/>
      <c r="M2118" s="11"/>
      <c r="N2118" s="11"/>
      <c r="O2118" s="11"/>
      <c r="P2118" s="11"/>
    </row>
    <row r="2119" spans="8:16" hidden="1" x14ac:dyDescent="0.25">
      <c r="H2119" s="12"/>
      <c r="I2119" s="12"/>
      <c r="J2119" s="12"/>
      <c r="K2119" s="12"/>
      <c r="L2119" s="12"/>
      <c r="M2119" s="11"/>
      <c r="N2119" s="11"/>
      <c r="O2119" s="11"/>
      <c r="P2119" s="11"/>
    </row>
    <row r="2120" spans="8:16" hidden="1" x14ac:dyDescent="0.25">
      <c r="H2120" s="12"/>
      <c r="I2120" s="12"/>
      <c r="J2120" s="12"/>
      <c r="K2120" s="12"/>
      <c r="L2120" s="12"/>
      <c r="M2120" s="11"/>
      <c r="N2120" s="11"/>
      <c r="O2120" s="11"/>
      <c r="P2120" s="11"/>
    </row>
    <row r="2121" spans="8:16" hidden="1" x14ac:dyDescent="0.25">
      <c r="H2121" s="12"/>
      <c r="I2121" s="12"/>
      <c r="J2121" s="12"/>
      <c r="K2121" s="12"/>
      <c r="L2121" s="12"/>
      <c r="M2121" s="11"/>
      <c r="N2121" s="11"/>
      <c r="O2121" s="11"/>
      <c r="P2121" s="11"/>
    </row>
    <row r="2122" spans="8:16" hidden="1" x14ac:dyDescent="0.25">
      <c r="H2122" s="12"/>
      <c r="I2122" s="12"/>
      <c r="J2122" s="12"/>
      <c r="K2122" s="12"/>
      <c r="L2122" s="12"/>
      <c r="M2122" s="11"/>
      <c r="N2122" s="11"/>
      <c r="O2122" s="11"/>
      <c r="P2122" s="11"/>
    </row>
    <row r="2123" spans="8:16" hidden="1" x14ac:dyDescent="0.25">
      <c r="H2123" s="12"/>
      <c r="I2123" s="12"/>
      <c r="J2123" s="12"/>
      <c r="K2123" s="12"/>
      <c r="L2123" s="12"/>
      <c r="M2123" s="11"/>
      <c r="N2123" s="11"/>
      <c r="O2123" s="11"/>
      <c r="P2123" s="11"/>
    </row>
    <row r="2124" spans="8:16" hidden="1" x14ac:dyDescent="0.25">
      <c r="H2124" s="12"/>
      <c r="I2124" s="12"/>
      <c r="J2124" s="12"/>
      <c r="K2124" s="12"/>
      <c r="L2124" s="12"/>
      <c r="M2124" s="11"/>
      <c r="N2124" s="11"/>
      <c r="O2124" s="11"/>
      <c r="P2124" s="11"/>
    </row>
    <row r="2125" spans="8:16" hidden="1" x14ac:dyDescent="0.25">
      <c r="H2125" s="12"/>
      <c r="I2125" s="12"/>
      <c r="J2125" s="12"/>
      <c r="K2125" s="12"/>
      <c r="L2125" s="12"/>
      <c r="M2125" s="11"/>
      <c r="N2125" s="11"/>
      <c r="O2125" s="11"/>
      <c r="P2125" s="11"/>
    </row>
    <row r="2126" spans="8:16" hidden="1" x14ac:dyDescent="0.25">
      <c r="H2126" s="12"/>
      <c r="I2126" s="12"/>
      <c r="J2126" s="12"/>
      <c r="K2126" s="12"/>
      <c r="L2126" s="12"/>
      <c r="M2126" s="11"/>
      <c r="N2126" s="11"/>
      <c r="O2126" s="11"/>
      <c r="P2126" s="11"/>
    </row>
    <row r="2127" spans="8:16" hidden="1" x14ac:dyDescent="0.25">
      <c r="H2127" s="12"/>
      <c r="I2127" s="12"/>
      <c r="J2127" s="12"/>
      <c r="K2127" s="12"/>
      <c r="L2127" s="12"/>
      <c r="M2127" s="11"/>
      <c r="N2127" s="11"/>
      <c r="O2127" s="11"/>
      <c r="P2127" s="11"/>
    </row>
    <row r="2128" spans="8:16" hidden="1" x14ac:dyDescent="0.25">
      <c r="H2128" s="12"/>
      <c r="I2128" s="12"/>
      <c r="J2128" s="12"/>
      <c r="K2128" s="12"/>
      <c r="L2128" s="12"/>
      <c r="M2128" s="11"/>
      <c r="N2128" s="11"/>
      <c r="O2128" s="11"/>
      <c r="P2128" s="11"/>
    </row>
    <row r="2129" spans="8:16" hidden="1" x14ac:dyDescent="0.25">
      <c r="H2129" s="12"/>
      <c r="I2129" s="12"/>
      <c r="J2129" s="12"/>
      <c r="K2129" s="12"/>
      <c r="L2129" s="12"/>
      <c r="M2129" s="11"/>
      <c r="N2129" s="11"/>
      <c r="O2129" s="11"/>
      <c r="P2129" s="11"/>
    </row>
    <row r="2130" spans="8:16" hidden="1" x14ac:dyDescent="0.25">
      <c r="H2130" s="12"/>
      <c r="I2130" s="12"/>
      <c r="J2130" s="12"/>
      <c r="K2130" s="12"/>
      <c r="L2130" s="12"/>
      <c r="M2130" s="11"/>
      <c r="N2130" s="11"/>
      <c r="O2130" s="11"/>
      <c r="P2130" s="11"/>
    </row>
    <row r="2131" spans="8:16" hidden="1" x14ac:dyDescent="0.25">
      <c r="H2131" s="12"/>
      <c r="I2131" s="12"/>
      <c r="J2131" s="12"/>
      <c r="K2131" s="12"/>
      <c r="L2131" s="12"/>
      <c r="M2131" s="11"/>
      <c r="N2131" s="11"/>
      <c r="O2131" s="11"/>
      <c r="P2131" s="11"/>
    </row>
    <row r="2132" spans="8:16" hidden="1" x14ac:dyDescent="0.25">
      <c r="H2132" s="12"/>
      <c r="I2132" s="12"/>
      <c r="J2132" s="12"/>
      <c r="K2132" s="12"/>
      <c r="L2132" s="12"/>
      <c r="M2132" s="11"/>
      <c r="N2132" s="11"/>
      <c r="O2132" s="11"/>
      <c r="P2132" s="11"/>
    </row>
    <row r="2133" spans="8:16" hidden="1" x14ac:dyDescent="0.25">
      <c r="H2133" s="12"/>
      <c r="I2133" s="12"/>
      <c r="J2133" s="12"/>
      <c r="K2133" s="12"/>
      <c r="L2133" s="12"/>
      <c r="M2133" s="11"/>
      <c r="N2133" s="11"/>
      <c r="O2133" s="11"/>
      <c r="P2133" s="11"/>
    </row>
    <row r="2134" spans="8:16" hidden="1" x14ac:dyDescent="0.25">
      <c r="H2134" s="12"/>
      <c r="I2134" s="12"/>
      <c r="J2134" s="12"/>
      <c r="K2134" s="12"/>
      <c r="L2134" s="12"/>
      <c r="M2134" s="11"/>
      <c r="N2134" s="11"/>
      <c r="O2134" s="11"/>
      <c r="P2134" s="11"/>
    </row>
    <row r="2135" spans="8:16" hidden="1" x14ac:dyDescent="0.25">
      <c r="H2135" s="12"/>
      <c r="I2135" s="12"/>
      <c r="J2135" s="12"/>
      <c r="K2135" s="12"/>
      <c r="L2135" s="12"/>
      <c r="M2135" s="11"/>
      <c r="N2135" s="11"/>
      <c r="O2135" s="11"/>
      <c r="P2135" s="11"/>
    </row>
    <row r="2136" spans="8:16" hidden="1" x14ac:dyDescent="0.25">
      <c r="H2136" s="12"/>
      <c r="I2136" s="12"/>
      <c r="J2136" s="12"/>
      <c r="K2136" s="12"/>
      <c r="L2136" s="12"/>
      <c r="M2136" s="11"/>
      <c r="N2136" s="11"/>
      <c r="O2136" s="11"/>
      <c r="P2136" s="11"/>
    </row>
    <row r="2137" spans="8:16" hidden="1" x14ac:dyDescent="0.25">
      <c r="H2137" s="12"/>
      <c r="I2137" s="12"/>
      <c r="J2137" s="12"/>
      <c r="K2137" s="12"/>
      <c r="L2137" s="12"/>
      <c r="M2137" s="11"/>
      <c r="N2137" s="11"/>
      <c r="O2137" s="11"/>
      <c r="P2137" s="11"/>
    </row>
    <row r="2138" spans="8:16" hidden="1" x14ac:dyDescent="0.25">
      <c r="H2138" s="12"/>
      <c r="I2138" s="12"/>
      <c r="J2138" s="12"/>
      <c r="K2138" s="12"/>
      <c r="L2138" s="12"/>
      <c r="M2138" s="11"/>
      <c r="N2138" s="11"/>
      <c r="O2138" s="11"/>
      <c r="P2138" s="11"/>
    </row>
    <row r="2139" spans="8:16" hidden="1" x14ac:dyDescent="0.25">
      <c r="H2139" s="12"/>
      <c r="I2139" s="12"/>
      <c r="J2139" s="12"/>
      <c r="K2139" s="12"/>
      <c r="L2139" s="12"/>
      <c r="M2139" s="11"/>
      <c r="N2139" s="11"/>
      <c r="O2139" s="11"/>
      <c r="P2139" s="11"/>
    </row>
    <row r="2140" spans="8:16" hidden="1" x14ac:dyDescent="0.25">
      <c r="H2140" s="12"/>
      <c r="I2140" s="12"/>
      <c r="J2140" s="12"/>
      <c r="K2140" s="12"/>
      <c r="L2140" s="12"/>
      <c r="M2140" s="11"/>
      <c r="N2140" s="11"/>
      <c r="O2140" s="11"/>
      <c r="P2140" s="11"/>
    </row>
    <row r="2141" spans="8:16" hidden="1" x14ac:dyDescent="0.25">
      <c r="H2141" s="12"/>
      <c r="I2141" s="12"/>
      <c r="J2141" s="12"/>
      <c r="K2141" s="12"/>
      <c r="L2141" s="12"/>
      <c r="M2141" s="11"/>
      <c r="N2141" s="11"/>
      <c r="O2141" s="11"/>
      <c r="P2141" s="11"/>
    </row>
    <row r="2142" spans="8:16" hidden="1" x14ac:dyDescent="0.25">
      <c r="H2142" s="12"/>
      <c r="I2142" s="12"/>
      <c r="J2142" s="12"/>
      <c r="K2142" s="12"/>
      <c r="L2142" s="12"/>
      <c r="M2142" s="11"/>
      <c r="N2142" s="11"/>
      <c r="O2142" s="11"/>
      <c r="P2142" s="11"/>
    </row>
    <row r="2143" spans="8:16" hidden="1" x14ac:dyDescent="0.25">
      <c r="H2143" s="12"/>
      <c r="I2143" s="12"/>
      <c r="J2143" s="12"/>
      <c r="K2143" s="12"/>
      <c r="L2143" s="12"/>
      <c r="M2143" s="11"/>
      <c r="N2143" s="11"/>
      <c r="O2143" s="11"/>
      <c r="P2143" s="11"/>
    </row>
    <row r="2144" spans="8:16" hidden="1" x14ac:dyDescent="0.25">
      <c r="H2144" s="12"/>
      <c r="I2144" s="12"/>
      <c r="J2144" s="12"/>
      <c r="K2144" s="12"/>
      <c r="L2144" s="12"/>
      <c r="M2144" s="11"/>
      <c r="N2144" s="11"/>
      <c r="O2144" s="11"/>
      <c r="P2144" s="11"/>
    </row>
    <row r="2145" spans="8:16" hidden="1" x14ac:dyDescent="0.25">
      <c r="H2145" s="12"/>
      <c r="I2145" s="12"/>
      <c r="J2145" s="12"/>
      <c r="K2145" s="12"/>
      <c r="L2145" s="12"/>
      <c r="M2145" s="11"/>
      <c r="N2145" s="11"/>
      <c r="O2145" s="11"/>
      <c r="P2145" s="11"/>
    </row>
    <row r="2146" spans="8:16" hidden="1" x14ac:dyDescent="0.25">
      <c r="H2146" s="12"/>
      <c r="I2146" s="12"/>
      <c r="J2146" s="12"/>
      <c r="K2146" s="12"/>
      <c r="L2146" s="12"/>
      <c r="M2146" s="11"/>
      <c r="N2146" s="11"/>
      <c r="O2146" s="11"/>
      <c r="P2146" s="11"/>
    </row>
    <row r="2147" spans="8:16" hidden="1" x14ac:dyDescent="0.25">
      <c r="H2147" s="12"/>
      <c r="I2147" s="12"/>
      <c r="J2147" s="12"/>
      <c r="K2147" s="12"/>
      <c r="L2147" s="12"/>
      <c r="M2147" s="11"/>
      <c r="N2147" s="11"/>
      <c r="O2147" s="11"/>
      <c r="P2147" s="11"/>
    </row>
    <row r="2148" spans="8:16" hidden="1" x14ac:dyDescent="0.25">
      <c r="H2148" s="12"/>
      <c r="I2148" s="12"/>
      <c r="J2148" s="12"/>
      <c r="K2148" s="12"/>
      <c r="L2148" s="12"/>
      <c r="M2148" s="11"/>
      <c r="N2148" s="11"/>
      <c r="O2148" s="11"/>
      <c r="P2148" s="11"/>
    </row>
    <row r="2149" spans="8:16" hidden="1" x14ac:dyDescent="0.25">
      <c r="H2149" s="12"/>
      <c r="I2149" s="12"/>
      <c r="J2149" s="12"/>
      <c r="K2149" s="12"/>
      <c r="L2149" s="12"/>
      <c r="M2149" s="11"/>
      <c r="N2149" s="11"/>
      <c r="O2149" s="11"/>
      <c r="P2149" s="11"/>
    </row>
    <row r="2150" spans="8:16" hidden="1" x14ac:dyDescent="0.25">
      <c r="H2150" s="12"/>
      <c r="I2150" s="12"/>
      <c r="J2150" s="12"/>
      <c r="K2150" s="12"/>
      <c r="L2150" s="12"/>
      <c r="M2150" s="11"/>
      <c r="N2150" s="11"/>
      <c r="O2150" s="11"/>
      <c r="P2150" s="11"/>
    </row>
    <row r="2151" spans="8:16" hidden="1" x14ac:dyDescent="0.25">
      <c r="H2151" s="12"/>
      <c r="I2151" s="12"/>
      <c r="J2151" s="12"/>
      <c r="K2151" s="12"/>
      <c r="L2151" s="12"/>
      <c r="M2151" s="11"/>
      <c r="N2151" s="11"/>
      <c r="O2151" s="11"/>
      <c r="P2151" s="11"/>
    </row>
    <row r="2152" spans="8:16" hidden="1" x14ac:dyDescent="0.25">
      <c r="H2152" s="12"/>
      <c r="I2152" s="12"/>
      <c r="J2152" s="12"/>
      <c r="K2152" s="12"/>
      <c r="L2152" s="12"/>
      <c r="M2152" s="11"/>
      <c r="N2152" s="11"/>
      <c r="O2152" s="11"/>
      <c r="P2152" s="11"/>
    </row>
    <row r="2153" spans="8:16" hidden="1" x14ac:dyDescent="0.25">
      <c r="H2153" s="12"/>
      <c r="I2153" s="12"/>
      <c r="J2153" s="12"/>
      <c r="K2153" s="12"/>
      <c r="L2153" s="12"/>
      <c r="M2153" s="11"/>
      <c r="N2153" s="11"/>
      <c r="O2153" s="11"/>
      <c r="P2153" s="11"/>
    </row>
    <row r="2154" spans="8:16" hidden="1" x14ac:dyDescent="0.25">
      <c r="H2154" s="12"/>
      <c r="I2154" s="12"/>
      <c r="J2154" s="12"/>
      <c r="K2154" s="12"/>
      <c r="L2154" s="12"/>
      <c r="M2154" s="11"/>
      <c r="N2154" s="11"/>
      <c r="O2154" s="11"/>
      <c r="P2154" s="11"/>
    </row>
    <row r="2155" spans="8:16" hidden="1" x14ac:dyDescent="0.25">
      <c r="H2155" s="12"/>
      <c r="I2155" s="12"/>
      <c r="J2155" s="12"/>
      <c r="K2155" s="12"/>
      <c r="L2155" s="12"/>
      <c r="M2155" s="11"/>
      <c r="N2155" s="11"/>
      <c r="O2155" s="11"/>
      <c r="P2155" s="11"/>
    </row>
    <row r="2156" spans="8:16" hidden="1" x14ac:dyDescent="0.25">
      <c r="H2156" s="12"/>
      <c r="I2156" s="12"/>
      <c r="J2156" s="12"/>
      <c r="K2156" s="12"/>
      <c r="L2156" s="12"/>
      <c r="M2156" s="11"/>
      <c r="N2156" s="11"/>
      <c r="O2156" s="11"/>
      <c r="P2156" s="11"/>
    </row>
    <row r="2157" spans="8:16" hidden="1" x14ac:dyDescent="0.25">
      <c r="H2157" s="12"/>
      <c r="I2157" s="12"/>
      <c r="J2157" s="12"/>
      <c r="K2157" s="12"/>
      <c r="L2157" s="12"/>
      <c r="M2157" s="11"/>
      <c r="N2157" s="11"/>
      <c r="O2157" s="11"/>
      <c r="P2157" s="11"/>
    </row>
    <row r="2158" spans="8:16" hidden="1" x14ac:dyDescent="0.25">
      <c r="H2158" s="12"/>
      <c r="I2158" s="12"/>
      <c r="J2158" s="12"/>
      <c r="K2158" s="12"/>
      <c r="L2158" s="12"/>
      <c r="M2158" s="11"/>
      <c r="N2158" s="11"/>
      <c r="O2158" s="11"/>
      <c r="P2158" s="11"/>
    </row>
    <row r="2159" spans="8:16" hidden="1" x14ac:dyDescent="0.25">
      <c r="H2159" s="12"/>
      <c r="I2159" s="12"/>
      <c r="J2159" s="12"/>
      <c r="K2159" s="12"/>
      <c r="L2159" s="12"/>
      <c r="M2159" s="11"/>
      <c r="N2159" s="11"/>
      <c r="O2159" s="11"/>
      <c r="P2159" s="11"/>
    </row>
    <row r="2160" spans="8:16" hidden="1" x14ac:dyDescent="0.25">
      <c r="H2160" s="12"/>
      <c r="I2160" s="12"/>
      <c r="J2160" s="12"/>
      <c r="K2160" s="12"/>
      <c r="L2160" s="12"/>
      <c r="M2160" s="11"/>
      <c r="N2160" s="11"/>
      <c r="O2160" s="11"/>
      <c r="P2160" s="11"/>
    </row>
    <row r="2161" spans="8:16" hidden="1" x14ac:dyDescent="0.25">
      <c r="H2161" s="12"/>
      <c r="I2161" s="12"/>
      <c r="J2161" s="12"/>
      <c r="K2161" s="12"/>
      <c r="L2161" s="12"/>
      <c r="M2161" s="11"/>
      <c r="N2161" s="11"/>
      <c r="O2161" s="11"/>
      <c r="P2161" s="11"/>
    </row>
    <row r="2162" spans="8:16" hidden="1" x14ac:dyDescent="0.25">
      <c r="H2162" s="12"/>
      <c r="I2162" s="12"/>
      <c r="J2162" s="12"/>
      <c r="K2162" s="12"/>
      <c r="L2162" s="12"/>
      <c r="M2162" s="11"/>
      <c r="N2162" s="11"/>
      <c r="O2162" s="11"/>
      <c r="P2162" s="11"/>
    </row>
    <row r="2163" spans="8:16" hidden="1" x14ac:dyDescent="0.25">
      <c r="H2163" s="12"/>
      <c r="I2163" s="12"/>
      <c r="J2163" s="12"/>
      <c r="K2163" s="12"/>
      <c r="L2163" s="12"/>
      <c r="M2163" s="11"/>
      <c r="N2163" s="11"/>
      <c r="O2163" s="11"/>
      <c r="P2163" s="11"/>
    </row>
    <row r="2164" spans="8:16" hidden="1" x14ac:dyDescent="0.25">
      <c r="H2164" s="12"/>
      <c r="I2164" s="12"/>
      <c r="J2164" s="12"/>
      <c r="K2164" s="12"/>
      <c r="L2164" s="12"/>
      <c r="M2164" s="11"/>
      <c r="N2164" s="11"/>
      <c r="O2164" s="11"/>
      <c r="P2164" s="11"/>
    </row>
    <row r="2165" spans="8:16" hidden="1" x14ac:dyDescent="0.25">
      <c r="H2165" s="12"/>
      <c r="I2165" s="12"/>
      <c r="J2165" s="12"/>
      <c r="K2165" s="12"/>
      <c r="L2165" s="12"/>
      <c r="M2165" s="11"/>
      <c r="N2165" s="11"/>
      <c r="O2165" s="11"/>
      <c r="P2165" s="11"/>
    </row>
    <row r="2166" spans="8:16" hidden="1" x14ac:dyDescent="0.25">
      <c r="H2166" s="12"/>
      <c r="I2166" s="12"/>
      <c r="J2166" s="12"/>
      <c r="K2166" s="12"/>
      <c r="L2166" s="12"/>
      <c r="M2166" s="11"/>
      <c r="N2166" s="11"/>
      <c r="O2166" s="11"/>
      <c r="P2166" s="11"/>
    </row>
    <row r="2167" spans="8:16" hidden="1" x14ac:dyDescent="0.25">
      <c r="H2167" s="12"/>
      <c r="I2167" s="12"/>
      <c r="J2167" s="12"/>
      <c r="K2167" s="12"/>
      <c r="L2167" s="12"/>
      <c r="M2167" s="11"/>
      <c r="N2167" s="11"/>
      <c r="O2167" s="11"/>
      <c r="P2167" s="11"/>
    </row>
    <row r="2168" spans="8:16" hidden="1" x14ac:dyDescent="0.25">
      <c r="H2168" s="12"/>
      <c r="I2168" s="12"/>
      <c r="J2168" s="12"/>
      <c r="K2168" s="12"/>
      <c r="L2168" s="12"/>
      <c r="M2168" s="11"/>
      <c r="N2168" s="11"/>
      <c r="O2168" s="11"/>
      <c r="P2168" s="11"/>
    </row>
    <row r="2169" spans="8:16" hidden="1" x14ac:dyDescent="0.25">
      <c r="H2169" s="12"/>
      <c r="I2169" s="12"/>
      <c r="J2169" s="12"/>
      <c r="K2169" s="12"/>
      <c r="L2169" s="12"/>
      <c r="M2169" s="11"/>
      <c r="N2169" s="11"/>
      <c r="O2169" s="11"/>
      <c r="P2169" s="11"/>
    </row>
    <row r="2170" spans="8:16" hidden="1" x14ac:dyDescent="0.25">
      <c r="H2170" s="12"/>
      <c r="I2170" s="12"/>
      <c r="J2170" s="12"/>
      <c r="K2170" s="12"/>
      <c r="L2170" s="12"/>
      <c r="M2170" s="11"/>
      <c r="N2170" s="11"/>
      <c r="O2170" s="11"/>
      <c r="P2170" s="11"/>
    </row>
    <row r="2171" spans="8:16" hidden="1" x14ac:dyDescent="0.25">
      <c r="H2171" s="12"/>
      <c r="I2171" s="12"/>
      <c r="J2171" s="12"/>
      <c r="K2171" s="12"/>
      <c r="L2171" s="12"/>
      <c r="M2171" s="11"/>
      <c r="N2171" s="11"/>
      <c r="O2171" s="11"/>
      <c r="P2171" s="11"/>
    </row>
    <row r="2172" spans="8:16" hidden="1" x14ac:dyDescent="0.25">
      <c r="H2172" s="12"/>
      <c r="I2172" s="12"/>
      <c r="J2172" s="12"/>
      <c r="K2172" s="12"/>
      <c r="L2172" s="12"/>
      <c r="M2172" s="11"/>
      <c r="N2172" s="11"/>
      <c r="O2172" s="11"/>
      <c r="P2172" s="11"/>
    </row>
    <row r="2173" spans="8:16" hidden="1" x14ac:dyDescent="0.25">
      <c r="H2173" s="12"/>
      <c r="I2173" s="12"/>
      <c r="J2173" s="12"/>
      <c r="K2173" s="12"/>
      <c r="L2173" s="12"/>
      <c r="M2173" s="11"/>
      <c r="N2173" s="11"/>
      <c r="O2173" s="11"/>
      <c r="P2173" s="11"/>
    </row>
    <row r="2174" spans="8:16" hidden="1" x14ac:dyDescent="0.25">
      <c r="H2174" s="12"/>
      <c r="I2174" s="12"/>
      <c r="J2174" s="12"/>
      <c r="K2174" s="12"/>
      <c r="L2174" s="12"/>
      <c r="M2174" s="11"/>
      <c r="N2174" s="11"/>
      <c r="O2174" s="11"/>
      <c r="P2174" s="11"/>
    </row>
    <row r="2175" spans="8:16" hidden="1" x14ac:dyDescent="0.25">
      <c r="H2175" s="12"/>
      <c r="I2175" s="12"/>
      <c r="J2175" s="12"/>
      <c r="K2175" s="12"/>
      <c r="L2175" s="12"/>
      <c r="M2175" s="11"/>
      <c r="N2175" s="11"/>
      <c r="O2175" s="11"/>
      <c r="P2175" s="11"/>
    </row>
    <row r="2176" spans="8:16" hidden="1" x14ac:dyDescent="0.25">
      <c r="H2176" s="12"/>
      <c r="I2176" s="12"/>
      <c r="J2176" s="12"/>
      <c r="K2176" s="12"/>
      <c r="L2176" s="12"/>
      <c r="M2176" s="11"/>
      <c r="N2176" s="11"/>
      <c r="O2176" s="11"/>
      <c r="P2176" s="11"/>
    </row>
    <row r="2177" spans="8:16" hidden="1" x14ac:dyDescent="0.25">
      <c r="H2177" s="12"/>
      <c r="I2177" s="12"/>
      <c r="J2177" s="12"/>
      <c r="K2177" s="12"/>
      <c r="L2177" s="12"/>
      <c r="M2177" s="11"/>
      <c r="N2177" s="11"/>
      <c r="O2177" s="11"/>
      <c r="P2177" s="11"/>
    </row>
    <row r="2178" spans="8:16" hidden="1" x14ac:dyDescent="0.25">
      <c r="H2178" s="12"/>
      <c r="I2178" s="12"/>
      <c r="J2178" s="12"/>
      <c r="K2178" s="12"/>
      <c r="L2178" s="12"/>
      <c r="M2178" s="11"/>
      <c r="N2178" s="11"/>
      <c r="O2178" s="11"/>
      <c r="P2178" s="11"/>
    </row>
    <row r="2179" spans="8:16" hidden="1" x14ac:dyDescent="0.25">
      <c r="H2179" s="12"/>
      <c r="I2179" s="12"/>
      <c r="J2179" s="12"/>
      <c r="K2179" s="12"/>
      <c r="L2179" s="12"/>
      <c r="M2179" s="11"/>
      <c r="N2179" s="11"/>
      <c r="O2179" s="11"/>
      <c r="P2179" s="11"/>
    </row>
    <row r="2180" spans="8:16" hidden="1" x14ac:dyDescent="0.25">
      <c r="H2180" s="12"/>
      <c r="I2180" s="12"/>
      <c r="J2180" s="12"/>
      <c r="K2180" s="12"/>
      <c r="L2180" s="12"/>
      <c r="M2180" s="11"/>
      <c r="N2180" s="11"/>
      <c r="O2180" s="11"/>
      <c r="P2180" s="11"/>
    </row>
    <row r="2181" spans="8:16" hidden="1" x14ac:dyDescent="0.25">
      <c r="H2181" s="12"/>
      <c r="I2181" s="12"/>
      <c r="J2181" s="12"/>
      <c r="K2181" s="12"/>
      <c r="L2181" s="12"/>
      <c r="M2181" s="11"/>
      <c r="N2181" s="11"/>
      <c r="O2181" s="11"/>
      <c r="P2181" s="11"/>
    </row>
    <row r="2182" spans="8:16" hidden="1" x14ac:dyDescent="0.25">
      <c r="H2182" s="12"/>
      <c r="I2182" s="12"/>
      <c r="J2182" s="12"/>
      <c r="K2182" s="12"/>
      <c r="L2182" s="12"/>
      <c r="M2182" s="11"/>
      <c r="N2182" s="11"/>
      <c r="O2182" s="11"/>
      <c r="P2182" s="11"/>
    </row>
    <row r="2183" spans="8:16" hidden="1" x14ac:dyDescent="0.25">
      <c r="H2183" s="12"/>
      <c r="I2183" s="12"/>
      <c r="J2183" s="12"/>
      <c r="K2183" s="12"/>
      <c r="L2183" s="12"/>
      <c r="M2183" s="11"/>
      <c r="N2183" s="11"/>
      <c r="O2183" s="11"/>
      <c r="P2183" s="11"/>
    </row>
    <row r="2184" spans="8:16" hidden="1" x14ac:dyDescent="0.25">
      <c r="H2184" s="12"/>
      <c r="I2184" s="12"/>
      <c r="J2184" s="12"/>
      <c r="K2184" s="12"/>
      <c r="L2184" s="12"/>
      <c r="M2184" s="11"/>
      <c r="N2184" s="11"/>
      <c r="O2184" s="11"/>
      <c r="P2184" s="11"/>
    </row>
    <row r="2185" spans="8:16" hidden="1" x14ac:dyDescent="0.25">
      <c r="H2185" s="12"/>
      <c r="I2185" s="12"/>
      <c r="J2185" s="12"/>
      <c r="K2185" s="12"/>
      <c r="L2185" s="12"/>
      <c r="M2185" s="11"/>
      <c r="N2185" s="11"/>
      <c r="O2185" s="11"/>
      <c r="P2185" s="11"/>
    </row>
    <row r="2186" spans="8:16" hidden="1" x14ac:dyDescent="0.25">
      <c r="H2186" s="12"/>
      <c r="I2186" s="12"/>
      <c r="J2186" s="12"/>
      <c r="K2186" s="12"/>
      <c r="L2186" s="12"/>
      <c r="M2186" s="11"/>
      <c r="N2186" s="11"/>
      <c r="O2186" s="11"/>
      <c r="P2186" s="11"/>
    </row>
    <row r="2187" spans="8:16" hidden="1" x14ac:dyDescent="0.25">
      <c r="H2187" s="12"/>
      <c r="I2187" s="12"/>
      <c r="J2187" s="12"/>
      <c r="K2187" s="12"/>
      <c r="L2187" s="12"/>
      <c r="M2187" s="11"/>
      <c r="N2187" s="11"/>
      <c r="O2187" s="11"/>
      <c r="P2187" s="11"/>
    </row>
    <row r="2188" spans="8:16" hidden="1" x14ac:dyDescent="0.25">
      <c r="H2188" s="12"/>
      <c r="I2188" s="12"/>
      <c r="J2188" s="12"/>
      <c r="K2188" s="12"/>
      <c r="L2188" s="12"/>
      <c r="M2188" s="11"/>
      <c r="N2188" s="11"/>
      <c r="O2188" s="11"/>
      <c r="P2188" s="11"/>
    </row>
    <row r="2189" spans="8:16" hidden="1" x14ac:dyDescent="0.25">
      <c r="H2189" s="12"/>
      <c r="I2189" s="12"/>
      <c r="J2189" s="12"/>
      <c r="K2189" s="12"/>
      <c r="L2189" s="12"/>
      <c r="M2189" s="11"/>
      <c r="N2189" s="11"/>
      <c r="O2189" s="11"/>
      <c r="P2189" s="11"/>
    </row>
    <row r="2190" spans="8:16" hidden="1" x14ac:dyDescent="0.25">
      <c r="H2190" s="12"/>
      <c r="I2190" s="12"/>
      <c r="J2190" s="12"/>
      <c r="K2190" s="12"/>
      <c r="L2190" s="12"/>
      <c r="M2190" s="11"/>
      <c r="N2190" s="11"/>
      <c r="O2190" s="11"/>
      <c r="P2190" s="11"/>
    </row>
    <row r="2191" spans="8:16" hidden="1" x14ac:dyDescent="0.25">
      <c r="H2191" s="12"/>
      <c r="I2191" s="12"/>
      <c r="J2191" s="12"/>
      <c r="K2191" s="12"/>
      <c r="L2191" s="12"/>
      <c r="M2191" s="11"/>
      <c r="N2191" s="11"/>
      <c r="O2191" s="11"/>
      <c r="P2191" s="11"/>
    </row>
    <row r="2192" spans="8:16" hidden="1" x14ac:dyDescent="0.25">
      <c r="H2192" s="12"/>
      <c r="I2192" s="12"/>
      <c r="J2192" s="12"/>
      <c r="K2192" s="12"/>
      <c r="L2192" s="12"/>
      <c r="M2192" s="11"/>
      <c r="N2192" s="11"/>
      <c r="O2192" s="11"/>
      <c r="P2192" s="11"/>
    </row>
    <row r="2193" spans="8:16" hidden="1" x14ac:dyDescent="0.25">
      <c r="H2193" s="12"/>
      <c r="I2193" s="12"/>
      <c r="J2193" s="12"/>
      <c r="K2193" s="12"/>
      <c r="L2193" s="12"/>
      <c r="M2193" s="11"/>
      <c r="N2193" s="11"/>
      <c r="O2193" s="11"/>
      <c r="P2193" s="11"/>
    </row>
    <row r="2194" spans="8:16" hidden="1" x14ac:dyDescent="0.25">
      <c r="H2194" s="12"/>
      <c r="I2194" s="12"/>
      <c r="J2194" s="12"/>
      <c r="K2194" s="12"/>
      <c r="L2194" s="12"/>
      <c r="M2194" s="11"/>
      <c r="N2194" s="11"/>
      <c r="O2194" s="11"/>
      <c r="P2194" s="11"/>
    </row>
    <row r="2195" spans="8:16" hidden="1" x14ac:dyDescent="0.25">
      <c r="H2195" s="12"/>
      <c r="I2195" s="12"/>
      <c r="J2195" s="12"/>
      <c r="K2195" s="12"/>
      <c r="L2195" s="12"/>
      <c r="M2195" s="11"/>
      <c r="N2195" s="11"/>
      <c r="O2195" s="11"/>
      <c r="P2195" s="11"/>
    </row>
    <row r="2196" spans="8:16" hidden="1" x14ac:dyDescent="0.25">
      <c r="H2196" s="12"/>
      <c r="I2196" s="12"/>
      <c r="J2196" s="12"/>
      <c r="K2196" s="12"/>
      <c r="L2196" s="12"/>
      <c r="M2196" s="11"/>
      <c r="N2196" s="11"/>
      <c r="O2196" s="11"/>
      <c r="P2196" s="11"/>
    </row>
    <row r="2197" spans="8:16" hidden="1" x14ac:dyDescent="0.25">
      <c r="H2197" s="12"/>
      <c r="I2197" s="12"/>
      <c r="J2197" s="12"/>
      <c r="K2197" s="12"/>
      <c r="L2197" s="12"/>
      <c r="M2197" s="11"/>
      <c r="N2197" s="11"/>
      <c r="O2197" s="11"/>
      <c r="P2197" s="11"/>
    </row>
    <row r="2198" spans="8:16" hidden="1" x14ac:dyDescent="0.25">
      <c r="H2198" s="12"/>
      <c r="I2198" s="12"/>
      <c r="J2198" s="12"/>
      <c r="K2198" s="12"/>
      <c r="L2198" s="12"/>
      <c r="M2198" s="11"/>
      <c r="N2198" s="11"/>
      <c r="O2198" s="11"/>
      <c r="P2198" s="11"/>
    </row>
    <row r="2199" spans="8:16" hidden="1" x14ac:dyDescent="0.25">
      <c r="H2199" s="12"/>
      <c r="I2199" s="12"/>
      <c r="J2199" s="12"/>
      <c r="K2199" s="12"/>
      <c r="L2199" s="12"/>
      <c r="M2199" s="11"/>
      <c r="N2199" s="11"/>
      <c r="O2199" s="11"/>
      <c r="P2199" s="11"/>
    </row>
    <row r="2200" spans="8:16" hidden="1" x14ac:dyDescent="0.25">
      <c r="H2200" s="12"/>
      <c r="I2200" s="12"/>
      <c r="J2200" s="12"/>
      <c r="K2200" s="12"/>
      <c r="L2200" s="12"/>
      <c r="M2200" s="11"/>
      <c r="N2200" s="11"/>
      <c r="O2200" s="11"/>
      <c r="P2200" s="11"/>
    </row>
    <row r="2201" spans="8:16" hidden="1" x14ac:dyDescent="0.25">
      <c r="H2201" s="12"/>
      <c r="I2201" s="12"/>
      <c r="J2201" s="12"/>
      <c r="K2201" s="12"/>
      <c r="L2201" s="12"/>
      <c r="M2201" s="11"/>
      <c r="N2201" s="11"/>
      <c r="O2201" s="11"/>
      <c r="P2201" s="11"/>
    </row>
    <row r="2202" spans="8:16" hidden="1" x14ac:dyDescent="0.25">
      <c r="H2202" s="12"/>
      <c r="I2202" s="12"/>
      <c r="J2202" s="12"/>
      <c r="K2202" s="12"/>
      <c r="L2202" s="12"/>
      <c r="M2202" s="11"/>
      <c r="N2202" s="11"/>
      <c r="O2202" s="11"/>
      <c r="P2202" s="11"/>
    </row>
    <row r="2203" spans="8:16" hidden="1" x14ac:dyDescent="0.25">
      <c r="H2203" s="12"/>
      <c r="I2203" s="12"/>
      <c r="J2203" s="12"/>
      <c r="K2203" s="12"/>
      <c r="L2203" s="12"/>
      <c r="M2203" s="11"/>
      <c r="N2203" s="11"/>
      <c r="O2203" s="11"/>
      <c r="P2203" s="11"/>
    </row>
    <row r="2204" spans="8:16" hidden="1" x14ac:dyDescent="0.25">
      <c r="H2204" s="12"/>
      <c r="I2204" s="12"/>
      <c r="J2204" s="12"/>
      <c r="K2204" s="12"/>
      <c r="L2204" s="12"/>
      <c r="M2204" s="11"/>
      <c r="N2204" s="11"/>
      <c r="O2204" s="11"/>
      <c r="P2204" s="11"/>
    </row>
    <row r="2205" spans="8:16" hidden="1" x14ac:dyDescent="0.25">
      <c r="H2205" s="12"/>
      <c r="I2205" s="12"/>
      <c r="J2205" s="12"/>
      <c r="K2205" s="12"/>
      <c r="L2205" s="12"/>
      <c r="M2205" s="11"/>
      <c r="N2205" s="11"/>
      <c r="O2205" s="11"/>
      <c r="P2205" s="11"/>
    </row>
    <row r="2206" spans="8:16" hidden="1" x14ac:dyDescent="0.25">
      <c r="H2206" s="12"/>
      <c r="I2206" s="12"/>
      <c r="J2206" s="12"/>
      <c r="K2206" s="12"/>
      <c r="L2206" s="12"/>
      <c r="M2206" s="11"/>
      <c r="N2206" s="11"/>
      <c r="O2206" s="11"/>
      <c r="P2206" s="11"/>
    </row>
    <row r="2207" spans="8:16" hidden="1" x14ac:dyDescent="0.25">
      <c r="H2207" s="12"/>
      <c r="I2207" s="12"/>
      <c r="J2207" s="12"/>
      <c r="K2207" s="12"/>
      <c r="L2207" s="12"/>
      <c r="M2207" s="11"/>
      <c r="N2207" s="11"/>
      <c r="O2207" s="11"/>
      <c r="P2207" s="11"/>
    </row>
    <row r="2208" spans="8:16" hidden="1" x14ac:dyDescent="0.25">
      <c r="H2208" s="12"/>
      <c r="I2208" s="12"/>
      <c r="J2208" s="12"/>
      <c r="K2208" s="12"/>
      <c r="L2208" s="12"/>
      <c r="M2208" s="11"/>
      <c r="N2208" s="11"/>
      <c r="O2208" s="11"/>
      <c r="P2208" s="11"/>
    </row>
    <row r="2209" spans="8:16" hidden="1" x14ac:dyDescent="0.25">
      <c r="H2209" s="12"/>
      <c r="I2209" s="12"/>
      <c r="J2209" s="12"/>
      <c r="K2209" s="12"/>
      <c r="L2209" s="12"/>
      <c r="M2209" s="11"/>
      <c r="N2209" s="11"/>
      <c r="O2209" s="11"/>
      <c r="P2209" s="11"/>
    </row>
    <row r="2210" spans="8:16" hidden="1" x14ac:dyDescent="0.25">
      <c r="H2210" s="12"/>
      <c r="I2210" s="12"/>
      <c r="J2210" s="12"/>
      <c r="K2210" s="12"/>
      <c r="L2210" s="12"/>
      <c r="M2210" s="11"/>
      <c r="N2210" s="11"/>
      <c r="O2210" s="11"/>
      <c r="P2210" s="11"/>
    </row>
    <row r="2211" spans="8:16" hidden="1" x14ac:dyDescent="0.25">
      <c r="H2211" s="12"/>
      <c r="I2211" s="12"/>
      <c r="J2211" s="12"/>
      <c r="K2211" s="12"/>
      <c r="L2211" s="12"/>
      <c r="M2211" s="11"/>
      <c r="N2211" s="11"/>
      <c r="O2211" s="11"/>
      <c r="P2211" s="11"/>
    </row>
    <row r="2212" spans="8:16" hidden="1" x14ac:dyDescent="0.25">
      <c r="H2212" s="12"/>
      <c r="I2212" s="12"/>
      <c r="J2212" s="12"/>
      <c r="K2212" s="12"/>
      <c r="L2212" s="12"/>
      <c r="M2212" s="11"/>
      <c r="N2212" s="11"/>
      <c r="O2212" s="11"/>
      <c r="P2212" s="11"/>
    </row>
    <row r="2213" spans="8:16" hidden="1" x14ac:dyDescent="0.25">
      <c r="H2213" s="12"/>
      <c r="I2213" s="12"/>
      <c r="J2213" s="12"/>
      <c r="K2213" s="12"/>
      <c r="L2213" s="12"/>
      <c r="M2213" s="11"/>
      <c r="N2213" s="11"/>
      <c r="O2213" s="11"/>
      <c r="P2213" s="11"/>
    </row>
    <row r="2214" spans="8:16" hidden="1" x14ac:dyDescent="0.25">
      <c r="H2214" s="12"/>
      <c r="I2214" s="12"/>
      <c r="J2214" s="12"/>
      <c r="K2214" s="12"/>
      <c r="L2214" s="12"/>
      <c r="M2214" s="11"/>
      <c r="N2214" s="11"/>
      <c r="O2214" s="11"/>
      <c r="P2214" s="11"/>
    </row>
    <row r="2215" spans="8:16" hidden="1" x14ac:dyDescent="0.25">
      <c r="H2215" s="12"/>
      <c r="I2215" s="12"/>
      <c r="J2215" s="12"/>
      <c r="K2215" s="12"/>
      <c r="L2215" s="12"/>
      <c r="M2215" s="11"/>
      <c r="N2215" s="11"/>
      <c r="O2215" s="11"/>
      <c r="P2215" s="11"/>
    </row>
    <row r="2216" spans="8:16" hidden="1" x14ac:dyDescent="0.25">
      <c r="H2216" s="12"/>
      <c r="I2216" s="12"/>
      <c r="J2216" s="12"/>
      <c r="K2216" s="12"/>
      <c r="L2216" s="12"/>
      <c r="M2216" s="11"/>
      <c r="N2216" s="11"/>
      <c r="O2216" s="11"/>
      <c r="P2216" s="11"/>
    </row>
    <row r="2217" spans="8:16" hidden="1" x14ac:dyDescent="0.25">
      <c r="H2217" s="12"/>
      <c r="I2217" s="12"/>
      <c r="J2217" s="12"/>
      <c r="K2217" s="12"/>
      <c r="L2217" s="12"/>
      <c r="M2217" s="11"/>
      <c r="N2217" s="11"/>
      <c r="O2217" s="11"/>
      <c r="P2217" s="11"/>
    </row>
    <row r="2218" spans="8:16" hidden="1" x14ac:dyDescent="0.25">
      <c r="H2218" s="12"/>
      <c r="I2218" s="12"/>
      <c r="J2218" s="12"/>
      <c r="K2218" s="12"/>
      <c r="L2218" s="12"/>
      <c r="M2218" s="11"/>
      <c r="N2218" s="11"/>
      <c r="O2218" s="11"/>
      <c r="P2218" s="11"/>
    </row>
    <row r="2219" spans="8:16" hidden="1" x14ac:dyDescent="0.25">
      <c r="H2219" s="12"/>
      <c r="I2219" s="12"/>
      <c r="J2219" s="12"/>
      <c r="K2219" s="12"/>
      <c r="L2219" s="12"/>
      <c r="M2219" s="11"/>
      <c r="N2219" s="11"/>
      <c r="O2219" s="11"/>
      <c r="P2219" s="11"/>
    </row>
    <row r="2220" spans="8:16" hidden="1" x14ac:dyDescent="0.25">
      <c r="H2220" s="12"/>
      <c r="I2220" s="12"/>
      <c r="J2220" s="12"/>
      <c r="K2220" s="12"/>
      <c r="L2220" s="12"/>
      <c r="M2220" s="11"/>
      <c r="N2220" s="11"/>
      <c r="O2220" s="11"/>
      <c r="P2220" s="11"/>
    </row>
    <row r="2221" spans="8:16" hidden="1" x14ac:dyDescent="0.25">
      <c r="H2221" s="12"/>
      <c r="I2221" s="12"/>
      <c r="J2221" s="12"/>
      <c r="K2221" s="12"/>
      <c r="L2221" s="12"/>
      <c r="M2221" s="11"/>
      <c r="N2221" s="11"/>
      <c r="O2221" s="11"/>
      <c r="P2221" s="11"/>
    </row>
    <row r="2222" spans="8:16" hidden="1" x14ac:dyDescent="0.25">
      <c r="H2222" s="12"/>
      <c r="I2222" s="12"/>
      <c r="J2222" s="12"/>
      <c r="K2222" s="12"/>
      <c r="L2222" s="12"/>
      <c r="M2222" s="11"/>
      <c r="N2222" s="11"/>
      <c r="O2222" s="11"/>
      <c r="P2222" s="11"/>
    </row>
    <row r="2223" spans="8:16" hidden="1" x14ac:dyDescent="0.25">
      <c r="H2223" s="12"/>
      <c r="I2223" s="12"/>
      <c r="J2223" s="12"/>
      <c r="K2223" s="12"/>
      <c r="L2223" s="12"/>
      <c r="M2223" s="11"/>
      <c r="N2223" s="11"/>
      <c r="O2223" s="11"/>
      <c r="P2223" s="11"/>
    </row>
    <row r="2224" spans="8:16" hidden="1" x14ac:dyDescent="0.25">
      <c r="H2224" s="12"/>
      <c r="I2224" s="12"/>
      <c r="J2224" s="12"/>
      <c r="K2224" s="12"/>
      <c r="L2224" s="12"/>
      <c r="M2224" s="11"/>
      <c r="N2224" s="11"/>
      <c r="O2224" s="11"/>
      <c r="P2224" s="11"/>
    </row>
    <row r="2225" spans="8:16" hidden="1" x14ac:dyDescent="0.25">
      <c r="H2225" s="12"/>
      <c r="I2225" s="12"/>
      <c r="J2225" s="12"/>
      <c r="K2225" s="12"/>
      <c r="L2225" s="12"/>
      <c r="M2225" s="11"/>
      <c r="N2225" s="11"/>
      <c r="O2225" s="11"/>
      <c r="P2225" s="11"/>
    </row>
    <row r="2226" spans="8:16" hidden="1" x14ac:dyDescent="0.25">
      <c r="H2226" s="12"/>
      <c r="I2226" s="12"/>
      <c r="J2226" s="12"/>
      <c r="K2226" s="12"/>
      <c r="L2226" s="12"/>
      <c r="M2226" s="11"/>
      <c r="N2226" s="11"/>
      <c r="O2226" s="11"/>
      <c r="P2226" s="11"/>
    </row>
    <row r="2227" spans="8:16" hidden="1" x14ac:dyDescent="0.25">
      <c r="H2227" s="12"/>
      <c r="I2227" s="12"/>
      <c r="J2227" s="12"/>
      <c r="K2227" s="12"/>
      <c r="L2227" s="12"/>
      <c r="M2227" s="11"/>
      <c r="N2227" s="11"/>
      <c r="O2227" s="11"/>
      <c r="P2227" s="11"/>
    </row>
    <row r="2228" spans="8:16" hidden="1" x14ac:dyDescent="0.25">
      <c r="H2228" s="12"/>
      <c r="I2228" s="12"/>
      <c r="J2228" s="12"/>
      <c r="K2228" s="12"/>
      <c r="L2228" s="12"/>
      <c r="M2228" s="11"/>
      <c r="N2228" s="11"/>
      <c r="O2228" s="11"/>
      <c r="P2228" s="11"/>
    </row>
    <row r="2229" spans="8:16" hidden="1" x14ac:dyDescent="0.25">
      <c r="H2229" s="12"/>
      <c r="I2229" s="12"/>
      <c r="J2229" s="12"/>
      <c r="K2229" s="12"/>
      <c r="L2229" s="12"/>
      <c r="M2229" s="11"/>
      <c r="N2229" s="11"/>
      <c r="O2229" s="11"/>
      <c r="P2229" s="11"/>
    </row>
    <row r="2230" spans="8:16" hidden="1" x14ac:dyDescent="0.25">
      <c r="H2230" s="12"/>
      <c r="I2230" s="12"/>
      <c r="J2230" s="12"/>
      <c r="K2230" s="12"/>
      <c r="L2230" s="12"/>
      <c r="M2230" s="11"/>
      <c r="N2230" s="11"/>
      <c r="O2230" s="11"/>
      <c r="P2230" s="11"/>
    </row>
    <row r="2231" spans="8:16" hidden="1" x14ac:dyDescent="0.25">
      <c r="H2231" s="12"/>
      <c r="I2231" s="12"/>
      <c r="J2231" s="12"/>
      <c r="K2231" s="12"/>
      <c r="L2231" s="12"/>
      <c r="M2231" s="11"/>
      <c r="N2231" s="11"/>
      <c r="O2231" s="11"/>
      <c r="P2231" s="11"/>
    </row>
    <row r="2232" spans="8:16" hidden="1" x14ac:dyDescent="0.25">
      <c r="H2232" s="12"/>
      <c r="I2232" s="12"/>
      <c r="J2232" s="12"/>
      <c r="K2232" s="12"/>
      <c r="L2232" s="12"/>
      <c r="M2232" s="11"/>
      <c r="N2232" s="11"/>
      <c r="O2232" s="11"/>
      <c r="P2232" s="11"/>
    </row>
    <row r="2233" spans="8:16" hidden="1" x14ac:dyDescent="0.25">
      <c r="H2233" s="12"/>
      <c r="I2233" s="12"/>
      <c r="J2233" s="12"/>
      <c r="K2233" s="12"/>
      <c r="L2233" s="12"/>
      <c r="M2233" s="11"/>
      <c r="N2233" s="11"/>
      <c r="O2233" s="11"/>
      <c r="P2233" s="11"/>
    </row>
    <row r="2234" spans="8:16" hidden="1" x14ac:dyDescent="0.25">
      <c r="H2234" s="12"/>
      <c r="I2234" s="12"/>
      <c r="J2234" s="12"/>
      <c r="K2234" s="12"/>
      <c r="L2234" s="12"/>
      <c r="M2234" s="11"/>
      <c r="N2234" s="11"/>
      <c r="O2234" s="11"/>
      <c r="P2234" s="11"/>
    </row>
    <row r="2235" spans="8:16" hidden="1" x14ac:dyDescent="0.25">
      <c r="H2235" s="12"/>
      <c r="I2235" s="12"/>
      <c r="J2235" s="12"/>
      <c r="K2235" s="12"/>
      <c r="L2235" s="12"/>
      <c r="M2235" s="11"/>
      <c r="N2235" s="11"/>
      <c r="O2235" s="11"/>
      <c r="P2235" s="11"/>
    </row>
    <row r="2236" spans="8:16" hidden="1" x14ac:dyDescent="0.25">
      <c r="H2236" s="12"/>
      <c r="I2236" s="12"/>
      <c r="J2236" s="12"/>
      <c r="K2236" s="12"/>
      <c r="L2236" s="12"/>
      <c r="M2236" s="11"/>
      <c r="N2236" s="11"/>
      <c r="O2236" s="11"/>
      <c r="P2236" s="11"/>
    </row>
    <row r="2237" spans="8:16" hidden="1" x14ac:dyDescent="0.25">
      <c r="H2237" s="12"/>
      <c r="I2237" s="12"/>
      <c r="J2237" s="12"/>
      <c r="K2237" s="12"/>
      <c r="L2237" s="12"/>
      <c r="M2237" s="11"/>
      <c r="N2237" s="11"/>
      <c r="O2237" s="11"/>
      <c r="P2237" s="11"/>
    </row>
    <row r="2238" spans="8:16" hidden="1" x14ac:dyDescent="0.25">
      <c r="H2238" s="12"/>
      <c r="I2238" s="12"/>
      <c r="J2238" s="12"/>
      <c r="K2238" s="12"/>
      <c r="L2238" s="12"/>
      <c r="M2238" s="11"/>
      <c r="N2238" s="11"/>
      <c r="O2238" s="11"/>
      <c r="P2238" s="11"/>
    </row>
    <row r="2239" spans="8:16" hidden="1" x14ac:dyDescent="0.25">
      <c r="H2239" s="12"/>
      <c r="I2239" s="12"/>
      <c r="J2239" s="12"/>
      <c r="K2239" s="12"/>
      <c r="L2239" s="12"/>
      <c r="M2239" s="11"/>
      <c r="N2239" s="11"/>
      <c r="O2239" s="11"/>
      <c r="P2239" s="11"/>
    </row>
    <row r="2240" spans="8:16" hidden="1" x14ac:dyDescent="0.25">
      <c r="H2240" s="12"/>
      <c r="I2240" s="12"/>
      <c r="J2240" s="12"/>
      <c r="K2240" s="12"/>
      <c r="L2240" s="12"/>
      <c r="M2240" s="11"/>
      <c r="N2240" s="11"/>
      <c r="O2240" s="11"/>
      <c r="P2240" s="11"/>
    </row>
    <row r="2241" spans="8:16" hidden="1" x14ac:dyDescent="0.25">
      <c r="H2241" s="12"/>
      <c r="I2241" s="12"/>
      <c r="J2241" s="12"/>
      <c r="K2241" s="12"/>
      <c r="L2241" s="12"/>
      <c r="M2241" s="11"/>
      <c r="N2241" s="11"/>
      <c r="O2241" s="11"/>
      <c r="P2241" s="11"/>
    </row>
    <row r="2242" spans="8:16" hidden="1" x14ac:dyDescent="0.25">
      <c r="H2242" s="12"/>
      <c r="I2242" s="12"/>
      <c r="J2242" s="12"/>
      <c r="K2242" s="12"/>
      <c r="L2242" s="12"/>
      <c r="M2242" s="11"/>
      <c r="N2242" s="11"/>
      <c r="O2242" s="11"/>
      <c r="P2242" s="11"/>
    </row>
    <row r="2243" spans="8:16" hidden="1" x14ac:dyDescent="0.25">
      <c r="H2243" s="12"/>
      <c r="I2243" s="12"/>
      <c r="J2243" s="12"/>
      <c r="K2243" s="12"/>
      <c r="L2243" s="12"/>
      <c r="M2243" s="11"/>
      <c r="N2243" s="11"/>
      <c r="O2243" s="11"/>
      <c r="P2243" s="11"/>
    </row>
    <row r="2244" spans="8:16" hidden="1" x14ac:dyDescent="0.25">
      <c r="H2244" s="12"/>
      <c r="I2244" s="12"/>
      <c r="J2244" s="12"/>
      <c r="K2244" s="12"/>
      <c r="L2244" s="12"/>
      <c r="M2244" s="11"/>
      <c r="N2244" s="11"/>
      <c r="O2244" s="11"/>
      <c r="P2244" s="11"/>
    </row>
    <row r="2245" spans="8:16" hidden="1" x14ac:dyDescent="0.25">
      <c r="H2245" s="12"/>
      <c r="I2245" s="12"/>
      <c r="J2245" s="12"/>
      <c r="K2245" s="12"/>
      <c r="L2245" s="12"/>
      <c r="M2245" s="11"/>
      <c r="N2245" s="11"/>
      <c r="O2245" s="11"/>
      <c r="P2245" s="11"/>
    </row>
    <row r="2246" spans="8:16" hidden="1" x14ac:dyDescent="0.25">
      <c r="H2246" s="12"/>
      <c r="I2246" s="12"/>
      <c r="J2246" s="12"/>
      <c r="K2246" s="12"/>
      <c r="L2246" s="12"/>
      <c r="M2246" s="11"/>
      <c r="N2246" s="11"/>
      <c r="O2246" s="11"/>
      <c r="P2246" s="11"/>
    </row>
    <row r="2247" spans="8:16" hidden="1" x14ac:dyDescent="0.25">
      <c r="H2247" s="12"/>
      <c r="I2247" s="12"/>
      <c r="J2247" s="12"/>
      <c r="K2247" s="12"/>
      <c r="L2247" s="12"/>
      <c r="M2247" s="11"/>
      <c r="N2247" s="11"/>
      <c r="O2247" s="11"/>
      <c r="P2247" s="11"/>
    </row>
    <row r="2248" spans="8:16" hidden="1" x14ac:dyDescent="0.25">
      <c r="H2248" s="12"/>
      <c r="I2248" s="12"/>
      <c r="J2248" s="12"/>
      <c r="K2248" s="12"/>
      <c r="L2248" s="12"/>
      <c r="M2248" s="11"/>
      <c r="N2248" s="11"/>
      <c r="O2248" s="11"/>
      <c r="P2248" s="11"/>
    </row>
    <row r="2249" spans="8:16" hidden="1" x14ac:dyDescent="0.25">
      <c r="H2249" s="12"/>
      <c r="I2249" s="12"/>
      <c r="J2249" s="12"/>
      <c r="K2249" s="12"/>
      <c r="L2249" s="12"/>
      <c r="M2249" s="11"/>
      <c r="N2249" s="11"/>
      <c r="O2249" s="11"/>
      <c r="P2249" s="11"/>
    </row>
    <row r="2250" spans="8:16" hidden="1" x14ac:dyDescent="0.25">
      <c r="H2250" s="12"/>
      <c r="I2250" s="12"/>
      <c r="J2250" s="12"/>
      <c r="K2250" s="12"/>
      <c r="L2250" s="12"/>
      <c r="M2250" s="11"/>
      <c r="N2250" s="11"/>
      <c r="O2250" s="11"/>
      <c r="P2250" s="11"/>
    </row>
    <row r="2251" spans="8:16" hidden="1" x14ac:dyDescent="0.25">
      <c r="H2251" s="12"/>
      <c r="I2251" s="12"/>
      <c r="J2251" s="12"/>
      <c r="K2251" s="12"/>
      <c r="L2251" s="12"/>
      <c r="M2251" s="11"/>
      <c r="N2251" s="11"/>
      <c r="O2251" s="11"/>
      <c r="P2251" s="11"/>
    </row>
    <row r="2252" spans="8:16" hidden="1" x14ac:dyDescent="0.25">
      <c r="H2252" s="12"/>
      <c r="I2252" s="12"/>
      <c r="J2252" s="12"/>
      <c r="K2252" s="12"/>
      <c r="L2252" s="12"/>
      <c r="M2252" s="11"/>
      <c r="N2252" s="11"/>
      <c r="O2252" s="11"/>
      <c r="P2252" s="11"/>
    </row>
    <row r="2253" spans="8:16" hidden="1" x14ac:dyDescent="0.25">
      <c r="H2253" s="12"/>
      <c r="I2253" s="12"/>
      <c r="J2253" s="12"/>
      <c r="K2253" s="12"/>
      <c r="L2253" s="12"/>
      <c r="M2253" s="11"/>
      <c r="N2253" s="11"/>
      <c r="O2253" s="11"/>
      <c r="P2253" s="11"/>
    </row>
    <row r="2254" spans="8:16" hidden="1" x14ac:dyDescent="0.25">
      <c r="H2254" s="12"/>
      <c r="I2254" s="12"/>
      <c r="J2254" s="12"/>
      <c r="K2254" s="12"/>
      <c r="L2254" s="12"/>
      <c r="M2254" s="11"/>
      <c r="N2254" s="11"/>
      <c r="O2254" s="11"/>
      <c r="P2254" s="11"/>
    </row>
    <row r="2255" spans="8:16" hidden="1" x14ac:dyDescent="0.25">
      <c r="H2255" s="12"/>
      <c r="I2255" s="12"/>
      <c r="J2255" s="12"/>
      <c r="K2255" s="12"/>
      <c r="L2255" s="12"/>
      <c r="M2255" s="11"/>
      <c r="N2255" s="11"/>
      <c r="O2255" s="11"/>
      <c r="P2255" s="11"/>
    </row>
    <row r="2256" spans="8:16" hidden="1" x14ac:dyDescent="0.25">
      <c r="H2256" s="12"/>
      <c r="I2256" s="12"/>
      <c r="J2256" s="12"/>
      <c r="K2256" s="12"/>
      <c r="L2256" s="12"/>
      <c r="M2256" s="11"/>
      <c r="N2256" s="11"/>
      <c r="O2256" s="11"/>
      <c r="P2256" s="11"/>
    </row>
    <row r="2257" spans="8:16" hidden="1" x14ac:dyDescent="0.25">
      <c r="H2257" s="12"/>
      <c r="I2257" s="12"/>
      <c r="J2257" s="12"/>
      <c r="K2257" s="12"/>
      <c r="L2257" s="12"/>
      <c r="M2257" s="11"/>
      <c r="N2257" s="11"/>
      <c r="O2257" s="11"/>
      <c r="P2257" s="11"/>
    </row>
    <row r="2258" spans="8:16" hidden="1" x14ac:dyDescent="0.25">
      <c r="H2258" s="12"/>
      <c r="I2258" s="12"/>
      <c r="J2258" s="12"/>
      <c r="K2258" s="12"/>
      <c r="L2258" s="12"/>
      <c r="M2258" s="11"/>
      <c r="N2258" s="11"/>
      <c r="O2258" s="11"/>
      <c r="P2258" s="11"/>
    </row>
    <row r="2259" spans="8:16" hidden="1" x14ac:dyDescent="0.25">
      <c r="H2259" s="12"/>
      <c r="I2259" s="12"/>
      <c r="J2259" s="12"/>
      <c r="K2259" s="12"/>
      <c r="L2259" s="12"/>
      <c r="M2259" s="11"/>
      <c r="N2259" s="11"/>
      <c r="O2259" s="11"/>
      <c r="P2259" s="11"/>
    </row>
    <row r="2260" spans="8:16" hidden="1" x14ac:dyDescent="0.25">
      <c r="H2260" s="12"/>
      <c r="I2260" s="12"/>
      <c r="J2260" s="12"/>
      <c r="K2260" s="12"/>
      <c r="L2260" s="12"/>
      <c r="M2260" s="11"/>
      <c r="N2260" s="11"/>
      <c r="O2260" s="11"/>
      <c r="P2260" s="11"/>
    </row>
    <row r="2261" spans="8:16" hidden="1" x14ac:dyDescent="0.25">
      <c r="H2261" s="12"/>
      <c r="I2261" s="12"/>
      <c r="J2261" s="12"/>
      <c r="K2261" s="12"/>
      <c r="L2261" s="12"/>
      <c r="M2261" s="11"/>
      <c r="N2261" s="11"/>
      <c r="O2261" s="11"/>
      <c r="P2261" s="11"/>
    </row>
    <row r="2262" spans="8:16" hidden="1" x14ac:dyDescent="0.25">
      <c r="H2262" s="12"/>
      <c r="I2262" s="12"/>
      <c r="J2262" s="12"/>
      <c r="K2262" s="12"/>
      <c r="L2262" s="12"/>
      <c r="M2262" s="11"/>
      <c r="N2262" s="11"/>
      <c r="O2262" s="11"/>
      <c r="P2262" s="11"/>
    </row>
    <row r="2263" spans="8:16" hidden="1" x14ac:dyDescent="0.25">
      <c r="H2263" s="12"/>
      <c r="I2263" s="12"/>
      <c r="J2263" s="12"/>
      <c r="K2263" s="12"/>
      <c r="L2263" s="12"/>
      <c r="M2263" s="11"/>
      <c r="N2263" s="11"/>
      <c r="O2263" s="11"/>
      <c r="P2263" s="11"/>
    </row>
    <row r="2264" spans="8:16" hidden="1" x14ac:dyDescent="0.25">
      <c r="H2264" s="12"/>
      <c r="I2264" s="12"/>
      <c r="J2264" s="12"/>
      <c r="K2264" s="12"/>
      <c r="L2264" s="12"/>
      <c r="M2264" s="11"/>
      <c r="N2264" s="11"/>
      <c r="O2264" s="11"/>
      <c r="P2264" s="11"/>
    </row>
    <row r="2265" spans="8:16" hidden="1" x14ac:dyDescent="0.25">
      <c r="H2265" s="12"/>
      <c r="I2265" s="12"/>
      <c r="J2265" s="12"/>
      <c r="K2265" s="12"/>
      <c r="L2265" s="12"/>
      <c r="M2265" s="11"/>
      <c r="N2265" s="11"/>
      <c r="O2265" s="11"/>
      <c r="P2265" s="11"/>
    </row>
    <row r="2266" spans="8:16" hidden="1" x14ac:dyDescent="0.25">
      <c r="H2266" s="12"/>
      <c r="I2266" s="12"/>
      <c r="J2266" s="12"/>
      <c r="K2266" s="12"/>
      <c r="L2266" s="12"/>
      <c r="M2266" s="11"/>
      <c r="N2266" s="11"/>
      <c r="O2266" s="11"/>
      <c r="P2266" s="11"/>
    </row>
    <row r="2267" spans="8:16" hidden="1" x14ac:dyDescent="0.25">
      <c r="H2267" s="12"/>
      <c r="I2267" s="12"/>
      <c r="J2267" s="12"/>
      <c r="K2267" s="12"/>
      <c r="L2267" s="12"/>
      <c r="M2267" s="11"/>
      <c r="N2267" s="11"/>
      <c r="O2267" s="11"/>
      <c r="P2267" s="11"/>
    </row>
    <row r="2268" spans="8:16" hidden="1" x14ac:dyDescent="0.25">
      <c r="H2268" s="12"/>
      <c r="I2268" s="12"/>
      <c r="J2268" s="12"/>
      <c r="K2268" s="12"/>
      <c r="L2268" s="12"/>
      <c r="M2268" s="11"/>
      <c r="N2268" s="11"/>
      <c r="O2268" s="11"/>
      <c r="P2268" s="11"/>
    </row>
    <row r="2269" spans="8:16" hidden="1" x14ac:dyDescent="0.25">
      <c r="H2269" s="12"/>
      <c r="I2269" s="12"/>
      <c r="J2269" s="12"/>
      <c r="K2269" s="12"/>
      <c r="L2269" s="12"/>
      <c r="M2269" s="11"/>
      <c r="N2269" s="11"/>
      <c r="O2269" s="11"/>
      <c r="P2269" s="11"/>
    </row>
    <row r="2270" spans="8:16" hidden="1" x14ac:dyDescent="0.25">
      <c r="H2270" s="12"/>
      <c r="I2270" s="12"/>
      <c r="J2270" s="12"/>
      <c r="K2270" s="12"/>
      <c r="L2270" s="12"/>
      <c r="M2270" s="11"/>
      <c r="N2270" s="11"/>
      <c r="O2270" s="11"/>
      <c r="P2270" s="11"/>
    </row>
    <row r="2271" spans="8:16" hidden="1" x14ac:dyDescent="0.25">
      <c r="H2271" s="12"/>
      <c r="I2271" s="12"/>
      <c r="J2271" s="12"/>
      <c r="K2271" s="12"/>
      <c r="L2271" s="12"/>
      <c r="M2271" s="11"/>
      <c r="N2271" s="11"/>
      <c r="O2271" s="11"/>
      <c r="P2271" s="11"/>
    </row>
    <row r="2272" spans="8:16" hidden="1" x14ac:dyDescent="0.25">
      <c r="H2272" s="12"/>
      <c r="I2272" s="12"/>
      <c r="J2272" s="12"/>
      <c r="K2272" s="12"/>
      <c r="L2272" s="12"/>
      <c r="M2272" s="11"/>
      <c r="N2272" s="11"/>
      <c r="O2272" s="11"/>
      <c r="P2272" s="11"/>
    </row>
    <row r="2273" spans="8:16" hidden="1" x14ac:dyDescent="0.25">
      <c r="H2273" s="12"/>
      <c r="I2273" s="12"/>
      <c r="J2273" s="12"/>
      <c r="K2273" s="12"/>
      <c r="L2273" s="12"/>
      <c r="M2273" s="11"/>
      <c r="N2273" s="11"/>
      <c r="O2273" s="11"/>
      <c r="P2273" s="11"/>
    </row>
    <row r="2274" spans="8:16" hidden="1" x14ac:dyDescent="0.25">
      <c r="H2274" s="12"/>
      <c r="I2274" s="12"/>
      <c r="J2274" s="12"/>
      <c r="K2274" s="12"/>
      <c r="L2274" s="12"/>
      <c r="M2274" s="11"/>
      <c r="N2274" s="11"/>
      <c r="O2274" s="11"/>
      <c r="P2274" s="11"/>
    </row>
    <row r="2275" spans="8:16" hidden="1" x14ac:dyDescent="0.25">
      <c r="H2275" s="12"/>
      <c r="I2275" s="12"/>
      <c r="J2275" s="12"/>
      <c r="K2275" s="12"/>
      <c r="L2275" s="12"/>
      <c r="M2275" s="11"/>
      <c r="N2275" s="11"/>
      <c r="O2275" s="11"/>
      <c r="P2275" s="11"/>
    </row>
    <row r="2276" spans="8:16" hidden="1" x14ac:dyDescent="0.25">
      <c r="H2276" s="12"/>
      <c r="I2276" s="12"/>
      <c r="J2276" s="12"/>
      <c r="K2276" s="12"/>
      <c r="L2276" s="12"/>
      <c r="M2276" s="11"/>
      <c r="N2276" s="11"/>
      <c r="O2276" s="11"/>
      <c r="P2276" s="11"/>
    </row>
    <row r="2277" spans="8:16" hidden="1" x14ac:dyDescent="0.25">
      <c r="H2277" s="12"/>
      <c r="I2277" s="12"/>
      <c r="J2277" s="12"/>
      <c r="K2277" s="12"/>
      <c r="L2277" s="12"/>
      <c r="M2277" s="11"/>
      <c r="N2277" s="11"/>
      <c r="O2277" s="11"/>
      <c r="P2277" s="11"/>
    </row>
    <row r="2278" spans="8:16" hidden="1" x14ac:dyDescent="0.25">
      <c r="H2278" s="12"/>
      <c r="I2278" s="12"/>
      <c r="J2278" s="12"/>
      <c r="K2278" s="12"/>
      <c r="L2278" s="12"/>
      <c r="M2278" s="11"/>
      <c r="N2278" s="11"/>
      <c r="O2278" s="11"/>
      <c r="P2278" s="11"/>
    </row>
    <row r="2279" spans="8:16" hidden="1" x14ac:dyDescent="0.25">
      <c r="H2279" s="12"/>
      <c r="I2279" s="12"/>
      <c r="J2279" s="12"/>
      <c r="K2279" s="12"/>
      <c r="L2279" s="12"/>
      <c r="M2279" s="11"/>
      <c r="N2279" s="11"/>
      <c r="O2279" s="11"/>
      <c r="P2279" s="11"/>
    </row>
    <row r="2280" spans="8:16" hidden="1" x14ac:dyDescent="0.25">
      <c r="H2280" s="12"/>
      <c r="I2280" s="12"/>
      <c r="J2280" s="12"/>
      <c r="K2280" s="12"/>
      <c r="L2280" s="12"/>
      <c r="M2280" s="11"/>
      <c r="N2280" s="11"/>
      <c r="O2280" s="11"/>
      <c r="P2280" s="11"/>
    </row>
    <row r="2281" spans="8:16" hidden="1" x14ac:dyDescent="0.25">
      <c r="H2281" s="12"/>
      <c r="I2281" s="12"/>
      <c r="J2281" s="12"/>
      <c r="K2281" s="12"/>
      <c r="L2281" s="12"/>
      <c r="M2281" s="11"/>
      <c r="N2281" s="11"/>
      <c r="O2281" s="11"/>
      <c r="P2281" s="11"/>
    </row>
    <row r="2282" spans="8:16" hidden="1" x14ac:dyDescent="0.25">
      <c r="H2282" s="12"/>
      <c r="I2282" s="12"/>
      <c r="J2282" s="12"/>
      <c r="K2282" s="12"/>
      <c r="L2282" s="12"/>
      <c r="M2282" s="11"/>
      <c r="N2282" s="11"/>
      <c r="O2282" s="11"/>
      <c r="P2282" s="11"/>
    </row>
    <row r="2283" spans="8:16" hidden="1" x14ac:dyDescent="0.25">
      <c r="H2283" s="12"/>
      <c r="I2283" s="12"/>
      <c r="J2283" s="12"/>
      <c r="K2283" s="12"/>
      <c r="L2283" s="12"/>
      <c r="M2283" s="11"/>
      <c r="N2283" s="11"/>
      <c r="O2283" s="11"/>
      <c r="P2283" s="11"/>
    </row>
    <row r="2284" spans="8:16" hidden="1" x14ac:dyDescent="0.25">
      <c r="H2284" s="12"/>
      <c r="I2284" s="12"/>
      <c r="J2284" s="12"/>
      <c r="K2284" s="12"/>
      <c r="L2284" s="12"/>
      <c r="M2284" s="11"/>
      <c r="N2284" s="11"/>
      <c r="O2284" s="11"/>
      <c r="P2284" s="11"/>
    </row>
    <row r="2285" spans="8:16" hidden="1" x14ac:dyDescent="0.25">
      <c r="H2285" s="12"/>
      <c r="I2285" s="12"/>
      <c r="J2285" s="12"/>
      <c r="K2285" s="12"/>
      <c r="L2285" s="12"/>
      <c r="M2285" s="11"/>
      <c r="N2285" s="11"/>
      <c r="O2285" s="11"/>
      <c r="P2285" s="11"/>
    </row>
    <row r="2286" spans="8:16" hidden="1" x14ac:dyDescent="0.25">
      <c r="H2286" s="12"/>
      <c r="I2286" s="12"/>
      <c r="J2286" s="12"/>
      <c r="K2286" s="12"/>
      <c r="L2286" s="12"/>
      <c r="M2286" s="11"/>
      <c r="N2286" s="11"/>
      <c r="O2286" s="11"/>
      <c r="P2286" s="11"/>
    </row>
    <row r="2287" spans="8:16" hidden="1" x14ac:dyDescent="0.25">
      <c r="H2287" s="12"/>
      <c r="I2287" s="12"/>
      <c r="J2287" s="12"/>
      <c r="K2287" s="12"/>
      <c r="L2287" s="12"/>
      <c r="M2287" s="11"/>
      <c r="N2287" s="11"/>
      <c r="O2287" s="11"/>
      <c r="P2287" s="11"/>
    </row>
    <row r="2288" spans="8:16" hidden="1" x14ac:dyDescent="0.25">
      <c r="H2288" s="12"/>
      <c r="I2288" s="12"/>
      <c r="J2288" s="12"/>
      <c r="K2288" s="12"/>
      <c r="L2288" s="12"/>
      <c r="M2288" s="11"/>
      <c r="N2288" s="11"/>
      <c r="O2288" s="11"/>
      <c r="P2288" s="11"/>
    </row>
    <row r="2289" spans="8:16" hidden="1" x14ac:dyDescent="0.25">
      <c r="H2289" s="12"/>
      <c r="I2289" s="12"/>
      <c r="J2289" s="12"/>
      <c r="K2289" s="12"/>
      <c r="L2289" s="12"/>
      <c r="M2289" s="11"/>
      <c r="N2289" s="11"/>
      <c r="O2289" s="11"/>
      <c r="P2289" s="11"/>
    </row>
    <row r="2290" spans="8:16" hidden="1" x14ac:dyDescent="0.25">
      <c r="H2290" s="12"/>
      <c r="I2290" s="12"/>
      <c r="J2290" s="12"/>
      <c r="K2290" s="12"/>
      <c r="L2290" s="12"/>
      <c r="M2290" s="11"/>
      <c r="N2290" s="11"/>
      <c r="O2290" s="11"/>
      <c r="P2290" s="11"/>
    </row>
    <row r="2291" spans="8:16" hidden="1" x14ac:dyDescent="0.25">
      <c r="H2291" s="12"/>
      <c r="I2291" s="12"/>
      <c r="J2291" s="12"/>
      <c r="K2291" s="12"/>
      <c r="L2291" s="12"/>
      <c r="M2291" s="11"/>
      <c r="N2291" s="11"/>
      <c r="O2291" s="11"/>
      <c r="P2291" s="11"/>
    </row>
    <row r="2292" spans="8:16" hidden="1" x14ac:dyDescent="0.25">
      <c r="H2292" s="12"/>
      <c r="I2292" s="12"/>
      <c r="J2292" s="12"/>
      <c r="K2292" s="12"/>
      <c r="L2292" s="12"/>
      <c r="M2292" s="11"/>
      <c r="N2292" s="11"/>
      <c r="O2292" s="11"/>
      <c r="P2292" s="11"/>
    </row>
    <row r="2293" spans="8:16" hidden="1" x14ac:dyDescent="0.25">
      <c r="H2293" s="12"/>
      <c r="I2293" s="12"/>
      <c r="J2293" s="12"/>
      <c r="K2293" s="12"/>
      <c r="L2293" s="12"/>
      <c r="M2293" s="11"/>
      <c r="N2293" s="11"/>
      <c r="O2293" s="11"/>
      <c r="P2293" s="11"/>
    </row>
    <row r="2294" spans="8:16" hidden="1" x14ac:dyDescent="0.25">
      <c r="H2294" s="12"/>
      <c r="I2294" s="12"/>
      <c r="J2294" s="12"/>
      <c r="K2294" s="12"/>
      <c r="L2294" s="12"/>
      <c r="M2294" s="11"/>
      <c r="N2294" s="11"/>
      <c r="O2294" s="11"/>
      <c r="P2294" s="11"/>
    </row>
    <row r="2295" spans="8:16" hidden="1" x14ac:dyDescent="0.25">
      <c r="H2295" s="12"/>
      <c r="I2295" s="12"/>
      <c r="J2295" s="12"/>
      <c r="K2295" s="12"/>
      <c r="L2295" s="12"/>
      <c r="M2295" s="11"/>
      <c r="N2295" s="11"/>
      <c r="O2295" s="11"/>
      <c r="P2295" s="11"/>
    </row>
    <row r="2296" spans="8:16" hidden="1" x14ac:dyDescent="0.25">
      <c r="H2296" s="12"/>
      <c r="I2296" s="12"/>
      <c r="J2296" s="12"/>
      <c r="K2296" s="12"/>
      <c r="L2296" s="12"/>
      <c r="M2296" s="11"/>
      <c r="N2296" s="11"/>
      <c r="O2296" s="11"/>
      <c r="P2296" s="11"/>
    </row>
    <row r="2297" spans="8:16" hidden="1" x14ac:dyDescent="0.25">
      <c r="H2297" s="12"/>
      <c r="I2297" s="12"/>
      <c r="J2297" s="12"/>
      <c r="K2297" s="12"/>
      <c r="L2297" s="12"/>
      <c r="M2297" s="11"/>
      <c r="N2297" s="11"/>
      <c r="O2297" s="11"/>
      <c r="P2297" s="11"/>
    </row>
    <row r="2298" spans="8:16" hidden="1" x14ac:dyDescent="0.25">
      <c r="H2298" s="12"/>
      <c r="I2298" s="12"/>
      <c r="J2298" s="12"/>
      <c r="K2298" s="12"/>
      <c r="L2298" s="12"/>
      <c r="M2298" s="11"/>
      <c r="N2298" s="11"/>
      <c r="O2298" s="11"/>
      <c r="P2298" s="11"/>
    </row>
    <row r="2299" spans="8:16" hidden="1" x14ac:dyDescent="0.25">
      <c r="H2299" s="12"/>
      <c r="I2299" s="12"/>
      <c r="J2299" s="12"/>
      <c r="K2299" s="12"/>
      <c r="L2299" s="12"/>
      <c r="M2299" s="11"/>
      <c r="N2299" s="11"/>
      <c r="O2299" s="11"/>
      <c r="P2299" s="11"/>
    </row>
    <row r="2300" spans="8:16" hidden="1" x14ac:dyDescent="0.25">
      <c r="H2300" s="12"/>
      <c r="I2300" s="12"/>
      <c r="J2300" s="12"/>
      <c r="K2300" s="12"/>
      <c r="L2300" s="12"/>
      <c r="M2300" s="11"/>
      <c r="N2300" s="11"/>
      <c r="O2300" s="11"/>
      <c r="P2300" s="11"/>
    </row>
    <row r="2301" spans="8:16" hidden="1" x14ac:dyDescent="0.25">
      <c r="H2301" s="12"/>
      <c r="I2301" s="12"/>
      <c r="J2301" s="12"/>
      <c r="K2301" s="12"/>
      <c r="L2301" s="12"/>
      <c r="M2301" s="11"/>
      <c r="N2301" s="11"/>
      <c r="O2301" s="11"/>
      <c r="P2301" s="11"/>
    </row>
    <row r="2302" spans="8:16" hidden="1" x14ac:dyDescent="0.25">
      <c r="H2302" s="12"/>
      <c r="I2302" s="12"/>
      <c r="J2302" s="12"/>
      <c r="K2302" s="12"/>
      <c r="L2302" s="12"/>
      <c r="M2302" s="11"/>
      <c r="N2302" s="11"/>
      <c r="O2302" s="11"/>
      <c r="P2302" s="11"/>
    </row>
    <row r="2303" spans="8:16" hidden="1" x14ac:dyDescent="0.25">
      <c r="H2303" s="12"/>
      <c r="I2303" s="12"/>
      <c r="J2303" s="12"/>
      <c r="K2303" s="12"/>
      <c r="L2303" s="12"/>
      <c r="M2303" s="11"/>
      <c r="N2303" s="11"/>
      <c r="O2303" s="11"/>
      <c r="P2303" s="11"/>
    </row>
    <row r="2304" spans="8:16" hidden="1" x14ac:dyDescent="0.25">
      <c r="H2304" s="12"/>
      <c r="I2304" s="12"/>
      <c r="J2304" s="12"/>
      <c r="K2304" s="12"/>
      <c r="L2304" s="12"/>
      <c r="M2304" s="11"/>
      <c r="N2304" s="11"/>
      <c r="O2304" s="11"/>
      <c r="P2304" s="11"/>
    </row>
    <row r="2305" spans="8:16" hidden="1" x14ac:dyDescent="0.25">
      <c r="H2305" s="12"/>
      <c r="I2305" s="12"/>
      <c r="J2305" s="12"/>
      <c r="K2305" s="12"/>
      <c r="L2305" s="12"/>
      <c r="M2305" s="11"/>
      <c r="N2305" s="11"/>
      <c r="O2305" s="11"/>
      <c r="P2305" s="11"/>
    </row>
    <row r="2306" spans="8:16" hidden="1" x14ac:dyDescent="0.25">
      <c r="H2306" s="12"/>
      <c r="I2306" s="12"/>
      <c r="J2306" s="12"/>
      <c r="K2306" s="12"/>
      <c r="L2306" s="12"/>
      <c r="M2306" s="11"/>
      <c r="N2306" s="11"/>
      <c r="O2306" s="11"/>
      <c r="P2306" s="11"/>
    </row>
    <row r="2307" spans="8:16" hidden="1" x14ac:dyDescent="0.25">
      <c r="H2307" s="12"/>
      <c r="I2307" s="12"/>
      <c r="J2307" s="12"/>
      <c r="K2307" s="12"/>
      <c r="L2307" s="12"/>
      <c r="M2307" s="11"/>
      <c r="N2307" s="11"/>
      <c r="O2307" s="11"/>
      <c r="P2307" s="11"/>
    </row>
    <row r="2308" spans="8:16" hidden="1" x14ac:dyDescent="0.25">
      <c r="H2308" s="12"/>
      <c r="I2308" s="12"/>
      <c r="J2308" s="12"/>
      <c r="K2308" s="12"/>
      <c r="L2308" s="12"/>
      <c r="M2308" s="11"/>
      <c r="N2308" s="11"/>
      <c r="O2308" s="11"/>
      <c r="P2308" s="11"/>
    </row>
    <row r="2309" spans="8:16" hidden="1" x14ac:dyDescent="0.25">
      <c r="H2309" s="12"/>
      <c r="I2309" s="12"/>
      <c r="J2309" s="12"/>
      <c r="K2309" s="12"/>
      <c r="L2309" s="12"/>
      <c r="M2309" s="11"/>
      <c r="N2309" s="11"/>
      <c r="O2309" s="11"/>
      <c r="P2309" s="11"/>
    </row>
    <row r="2310" spans="8:16" hidden="1" x14ac:dyDescent="0.25">
      <c r="H2310" s="12"/>
      <c r="I2310" s="12"/>
      <c r="J2310" s="12"/>
      <c r="K2310" s="12"/>
      <c r="L2310" s="12"/>
      <c r="M2310" s="11"/>
      <c r="N2310" s="11"/>
      <c r="O2310" s="11"/>
      <c r="P2310" s="11"/>
    </row>
    <row r="2311" spans="8:16" hidden="1" x14ac:dyDescent="0.25">
      <c r="H2311" s="12"/>
      <c r="I2311" s="12"/>
      <c r="J2311" s="12"/>
      <c r="K2311" s="12"/>
      <c r="L2311" s="12"/>
      <c r="M2311" s="11"/>
      <c r="N2311" s="11"/>
      <c r="O2311" s="11"/>
      <c r="P2311" s="11"/>
    </row>
    <row r="2312" spans="8:16" hidden="1" x14ac:dyDescent="0.25">
      <c r="H2312" s="12"/>
      <c r="I2312" s="12"/>
      <c r="J2312" s="12"/>
      <c r="K2312" s="12"/>
      <c r="L2312" s="12"/>
      <c r="M2312" s="11"/>
      <c r="N2312" s="11"/>
      <c r="O2312" s="11"/>
      <c r="P2312" s="11"/>
    </row>
    <row r="2313" spans="8:16" hidden="1" x14ac:dyDescent="0.25">
      <c r="H2313" s="12"/>
      <c r="I2313" s="12"/>
      <c r="J2313" s="12"/>
      <c r="K2313" s="12"/>
      <c r="L2313" s="12"/>
      <c r="M2313" s="11"/>
      <c r="N2313" s="11"/>
      <c r="O2313" s="11"/>
      <c r="P2313" s="11"/>
    </row>
    <row r="2314" spans="8:16" hidden="1" x14ac:dyDescent="0.25">
      <c r="H2314" s="12"/>
      <c r="I2314" s="12"/>
      <c r="J2314" s="12"/>
      <c r="K2314" s="12"/>
      <c r="L2314" s="12"/>
      <c r="M2314" s="11"/>
      <c r="N2314" s="11"/>
      <c r="O2314" s="11"/>
      <c r="P2314" s="11"/>
    </row>
    <row r="2315" spans="8:16" hidden="1" x14ac:dyDescent="0.25">
      <c r="H2315" s="12"/>
      <c r="I2315" s="12"/>
      <c r="J2315" s="12"/>
      <c r="K2315" s="12"/>
      <c r="L2315" s="12"/>
      <c r="M2315" s="11"/>
      <c r="N2315" s="11"/>
      <c r="O2315" s="11"/>
      <c r="P2315" s="11"/>
    </row>
    <row r="2316" spans="8:16" hidden="1" x14ac:dyDescent="0.25">
      <c r="H2316" s="12"/>
      <c r="I2316" s="12"/>
      <c r="J2316" s="12"/>
      <c r="K2316" s="12"/>
      <c r="L2316" s="12"/>
      <c r="M2316" s="11"/>
      <c r="N2316" s="11"/>
      <c r="O2316" s="11"/>
      <c r="P2316" s="11"/>
    </row>
    <row r="2317" spans="8:16" hidden="1" x14ac:dyDescent="0.25">
      <c r="H2317" s="12"/>
      <c r="I2317" s="12"/>
      <c r="J2317" s="12"/>
      <c r="K2317" s="12"/>
      <c r="L2317" s="12"/>
      <c r="M2317" s="11"/>
      <c r="N2317" s="11"/>
      <c r="O2317" s="11"/>
      <c r="P2317" s="11"/>
    </row>
    <row r="2318" spans="8:16" hidden="1" x14ac:dyDescent="0.25">
      <c r="H2318" s="12"/>
      <c r="I2318" s="12"/>
      <c r="J2318" s="12"/>
      <c r="K2318" s="12"/>
      <c r="L2318" s="12"/>
      <c r="M2318" s="11"/>
      <c r="N2318" s="11"/>
      <c r="O2318" s="11"/>
      <c r="P2318" s="11"/>
    </row>
    <row r="2319" spans="8:16" hidden="1" x14ac:dyDescent="0.25">
      <c r="H2319" s="12"/>
      <c r="I2319" s="12"/>
      <c r="J2319" s="12"/>
      <c r="K2319" s="12"/>
      <c r="L2319" s="12"/>
      <c r="M2319" s="11"/>
      <c r="N2319" s="11"/>
      <c r="O2319" s="11"/>
      <c r="P2319" s="11"/>
    </row>
    <row r="2320" spans="8:16" hidden="1" x14ac:dyDescent="0.25">
      <c r="H2320" s="12"/>
      <c r="I2320" s="12"/>
      <c r="J2320" s="12"/>
      <c r="K2320" s="12"/>
      <c r="L2320" s="12"/>
      <c r="M2320" s="11"/>
      <c r="N2320" s="11"/>
      <c r="O2320" s="11"/>
      <c r="P2320" s="11"/>
    </row>
    <row r="2321" spans="8:16" hidden="1" x14ac:dyDescent="0.25">
      <c r="H2321" s="12"/>
      <c r="I2321" s="12"/>
      <c r="J2321" s="12"/>
      <c r="K2321" s="12"/>
      <c r="L2321" s="12"/>
      <c r="M2321" s="11"/>
      <c r="N2321" s="11"/>
      <c r="O2321" s="11"/>
      <c r="P2321" s="11"/>
    </row>
    <row r="2322" spans="8:16" hidden="1" x14ac:dyDescent="0.25">
      <c r="H2322" s="12"/>
      <c r="I2322" s="12"/>
      <c r="J2322" s="12"/>
      <c r="K2322" s="12"/>
      <c r="L2322" s="12"/>
      <c r="M2322" s="11"/>
      <c r="N2322" s="11"/>
      <c r="O2322" s="11"/>
      <c r="P2322" s="11"/>
    </row>
    <row r="2323" spans="8:16" hidden="1" x14ac:dyDescent="0.25">
      <c r="H2323" s="12"/>
      <c r="I2323" s="12"/>
      <c r="J2323" s="12"/>
      <c r="K2323" s="12"/>
      <c r="L2323" s="12"/>
      <c r="M2323" s="11"/>
      <c r="N2323" s="11"/>
      <c r="O2323" s="11"/>
      <c r="P2323" s="11"/>
    </row>
    <row r="2324" spans="8:16" hidden="1" x14ac:dyDescent="0.25">
      <c r="H2324" s="12"/>
      <c r="I2324" s="12"/>
      <c r="J2324" s="12"/>
      <c r="K2324" s="12"/>
      <c r="L2324" s="12"/>
      <c r="M2324" s="11"/>
      <c r="N2324" s="11"/>
      <c r="O2324" s="11"/>
      <c r="P2324" s="11"/>
    </row>
    <row r="2325" spans="8:16" hidden="1" x14ac:dyDescent="0.25">
      <c r="H2325" s="12"/>
      <c r="I2325" s="12"/>
      <c r="J2325" s="12"/>
      <c r="K2325" s="12"/>
      <c r="L2325" s="12"/>
      <c r="M2325" s="11"/>
      <c r="N2325" s="11"/>
      <c r="O2325" s="11"/>
      <c r="P2325" s="11"/>
    </row>
    <row r="2326" spans="8:16" hidden="1" x14ac:dyDescent="0.25">
      <c r="H2326" s="12"/>
      <c r="I2326" s="12"/>
      <c r="J2326" s="12"/>
      <c r="K2326" s="12"/>
      <c r="L2326" s="12"/>
      <c r="M2326" s="11"/>
      <c r="N2326" s="11"/>
      <c r="O2326" s="11"/>
      <c r="P2326" s="11"/>
    </row>
    <row r="2327" spans="8:16" hidden="1" x14ac:dyDescent="0.25">
      <c r="H2327" s="12"/>
      <c r="I2327" s="12"/>
      <c r="J2327" s="12"/>
      <c r="K2327" s="12"/>
      <c r="L2327" s="12"/>
      <c r="M2327" s="11"/>
      <c r="N2327" s="11"/>
      <c r="O2327" s="11"/>
      <c r="P2327" s="11"/>
    </row>
    <row r="2328" spans="8:16" hidden="1" x14ac:dyDescent="0.25">
      <c r="H2328" s="12"/>
      <c r="I2328" s="12"/>
      <c r="J2328" s="12"/>
      <c r="K2328" s="12"/>
      <c r="L2328" s="12"/>
      <c r="M2328" s="11"/>
      <c r="N2328" s="11"/>
      <c r="O2328" s="11"/>
      <c r="P2328" s="11"/>
    </row>
    <row r="2329" spans="8:16" hidden="1" x14ac:dyDescent="0.25">
      <c r="H2329" s="12"/>
      <c r="I2329" s="12"/>
      <c r="J2329" s="12"/>
      <c r="K2329" s="12"/>
      <c r="L2329" s="12"/>
      <c r="M2329" s="11"/>
      <c r="N2329" s="11"/>
      <c r="O2329" s="11"/>
      <c r="P2329" s="11"/>
    </row>
    <row r="2330" spans="8:16" hidden="1" x14ac:dyDescent="0.25">
      <c r="H2330" s="12"/>
      <c r="I2330" s="12"/>
      <c r="J2330" s="12"/>
      <c r="K2330" s="12"/>
      <c r="L2330" s="12"/>
      <c r="M2330" s="11"/>
      <c r="N2330" s="11"/>
      <c r="O2330" s="11"/>
      <c r="P2330" s="11"/>
    </row>
    <row r="2331" spans="8:16" hidden="1" x14ac:dyDescent="0.25">
      <c r="H2331" s="12"/>
      <c r="I2331" s="12"/>
      <c r="J2331" s="12"/>
      <c r="K2331" s="12"/>
      <c r="L2331" s="12"/>
      <c r="M2331" s="11"/>
      <c r="N2331" s="11"/>
      <c r="O2331" s="11"/>
      <c r="P2331" s="11"/>
    </row>
    <row r="2332" spans="8:16" hidden="1" x14ac:dyDescent="0.25">
      <c r="H2332" s="12"/>
      <c r="I2332" s="12"/>
      <c r="J2332" s="12"/>
      <c r="K2332" s="12"/>
      <c r="L2332" s="12"/>
      <c r="M2332" s="11"/>
      <c r="N2332" s="11"/>
      <c r="O2332" s="11"/>
      <c r="P2332" s="11"/>
    </row>
    <row r="2333" spans="8:16" hidden="1" x14ac:dyDescent="0.25">
      <c r="H2333" s="12"/>
      <c r="I2333" s="12"/>
      <c r="J2333" s="12"/>
      <c r="K2333" s="12"/>
      <c r="L2333" s="12"/>
      <c r="M2333" s="11"/>
      <c r="N2333" s="11"/>
      <c r="O2333" s="11"/>
      <c r="P2333" s="11"/>
    </row>
    <row r="2334" spans="8:16" hidden="1" x14ac:dyDescent="0.25">
      <c r="H2334" s="12"/>
      <c r="I2334" s="12"/>
      <c r="J2334" s="12"/>
      <c r="K2334" s="12"/>
      <c r="L2334" s="12"/>
      <c r="M2334" s="11"/>
      <c r="N2334" s="11"/>
      <c r="O2334" s="11"/>
      <c r="P2334" s="11"/>
    </row>
    <row r="2335" spans="8:16" hidden="1" x14ac:dyDescent="0.25">
      <c r="H2335" s="12"/>
      <c r="I2335" s="12"/>
      <c r="J2335" s="12"/>
      <c r="K2335" s="12"/>
      <c r="L2335" s="12"/>
      <c r="M2335" s="11"/>
      <c r="N2335" s="11"/>
      <c r="O2335" s="11"/>
      <c r="P2335" s="11"/>
    </row>
    <row r="2336" spans="8:16" hidden="1" x14ac:dyDescent="0.25">
      <c r="H2336" s="12"/>
      <c r="I2336" s="12"/>
      <c r="J2336" s="12"/>
      <c r="K2336" s="12"/>
      <c r="L2336" s="12"/>
      <c r="M2336" s="11"/>
      <c r="N2336" s="11"/>
      <c r="O2336" s="11"/>
      <c r="P2336" s="11"/>
    </row>
    <row r="2337" spans="8:16" hidden="1" x14ac:dyDescent="0.25">
      <c r="H2337" s="12"/>
      <c r="I2337" s="12"/>
      <c r="J2337" s="12"/>
      <c r="K2337" s="12"/>
      <c r="L2337" s="12"/>
      <c r="M2337" s="11"/>
      <c r="N2337" s="11"/>
      <c r="O2337" s="11"/>
      <c r="P2337" s="11"/>
    </row>
    <row r="2338" spans="8:16" hidden="1" x14ac:dyDescent="0.25">
      <c r="H2338" s="12"/>
      <c r="I2338" s="12"/>
      <c r="J2338" s="12"/>
      <c r="K2338" s="12"/>
      <c r="L2338" s="12"/>
      <c r="M2338" s="11"/>
      <c r="N2338" s="11"/>
      <c r="O2338" s="11"/>
      <c r="P2338" s="11"/>
    </row>
    <row r="2339" spans="8:16" hidden="1" x14ac:dyDescent="0.25">
      <c r="H2339" s="12"/>
      <c r="I2339" s="12"/>
      <c r="J2339" s="12"/>
      <c r="K2339" s="12"/>
      <c r="L2339" s="12"/>
      <c r="M2339" s="11"/>
      <c r="N2339" s="11"/>
      <c r="O2339" s="11"/>
      <c r="P2339" s="11"/>
    </row>
    <row r="2340" spans="8:16" hidden="1" x14ac:dyDescent="0.25">
      <c r="H2340" s="12"/>
      <c r="I2340" s="12"/>
      <c r="J2340" s="12"/>
      <c r="K2340" s="12"/>
      <c r="L2340" s="12"/>
      <c r="M2340" s="11"/>
      <c r="N2340" s="11"/>
      <c r="O2340" s="11"/>
      <c r="P2340" s="11"/>
    </row>
    <row r="2341" spans="8:16" hidden="1" x14ac:dyDescent="0.25">
      <c r="H2341" s="12"/>
      <c r="I2341" s="12"/>
      <c r="J2341" s="12"/>
      <c r="K2341" s="12"/>
      <c r="L2341" s="12"/>
      <c r="M2341" s="11"/>
      <c r="N2341" s="11"/>
      <c r="O2341" s="11"/>
      <c r="P2341" s="11"/>
    </row>
    <row r="2342" spans="8:16" hidden="1" x14ac:dyDescent="0.25">
      <c r="H2342" s="12"/>
      <c r="I2342" s="12"/>
      <c r="J2342" s="12"/>
      <c r="K2342" s="12"/>
      <c r="L2342" s="12"/>
      <c r="M2342" s="11"/>
      <c r="N2342" s="11"/>
      <c r="O2342" s="11"/>
      <c r="P2342" s="11"/>
    </row>
    <row r="2343" spans="8:16" hidden="1" x14ac:dyDescent="0.25">
      <c r="H2343" s="12"/>
      <c r="I2343" s="12"/>
      <c r="J2343" s="12"/>
      <c r="K2343" s="12"/>
      <c r="L2343" s="12"/>
      <c r="M2343" s="11"/>
      <c r="N2343" s="11"/>
      <c r="O2343" s="11"/>
      <c r="P2343" s="11"/>
    </row>
    <row r="2344" spans="8:16" hidden="1" x14ac:dyDescent="0.25">
      <c r="H2344" s="12"/>
      <c r="I2344" s="12"/>
      <c r="J2344" s="12"/>
      <c r="K2344" s="12"/>
      <c r="L2344" s="12"/>
      <c r="M2344" s="11"/>
      <c r="N2344" s="11"/>
      <c r="O2344" s="11"/>
      <c r="P2344" s="11"/>
    </row>
    <row r="2345" spans="8:16" hidden="1" x14ac:dyDescent="0.25">
      <c r="H2345" s="12"/>
      <c r="I2345" s="12"/>
      <c r="J2345" s="12"/>
      <c r="K2345" s="12"/>
      <c r="L2345" s="12"/>
      <c r="M2345" s="11"/>
      <c r="N2345" s="11"/>
      <c r="O2345" s="11"/>
      <c r="P2345" s="11"/>
    </row>
    <row r="2346" spans="8:16" hidden="1" x14ac:dyDescent="0.25">
      <c r="H2346" s="12"/>
      <c r="I2346" s="12"/>
      <c r="J2346" s="12"/>
      <c r="K2346" s="12"/>
      <c r="L2346" s="12"/>
      <c r="M2346" s="11"/>
      <c r="N2346" s="11"/>
      <c r="O2346" s="11"/>
      <c r="P2346" s="11"/>
    </row>
    <row r="2347" spans="8:16" hidden="1" x14ac:dyDescent="0.25">
      <c r="H2347" s="12"/>
      <c r="I2347" s="12"/>
      <c r="J2347" s="12"/>
      <c r="K2347" s="12"/>
      <c r="L2347" s="12"/>
      <c r="M2347" s="11"/>
      <c r="N2347" s="11"/>
      <c r="O2347" s="11"/>
      <c r="P2347" s="11"/>
    </row>
    <row r="2348" spans="8:16" hidden="1" x14ac:dyDescent="0.25">
      <c r="H2348" s="12"/>
      <c r="I2348" s="12"/>
      <c r="J2348" s="12"/>
      <c r="K2348" s="12"/>
      <c r="L2348" s="12"/>
      <c r="M2348" s="11"/>
      <c r="N2348" s="11"/>
      <c r="O2348" s="11"/>
      <c r="P2348" s="11"/>
    </row>
    <row r="2349" spans="8:16" hidden="1" x14ac:dyDescent="0.25">
      <c r="H2349" s="12"/>
      <c r="I2349" s="12"/>
      <c r="J2349" s="12"/>
      <c r="K2349" s="12"/>
      <c r="L2349" s="12"/>
      <c r="M2349" s="11"/>
      <c r="N2349" s="11"/>
      <c r="O2349" s="11"/>
      <c r="P2349" s="11"/>
    </row>
    <row r="2350" spans="8:16" hidden="1" x14ac:dyDescent="0.25">
      <c r="H2350" s="12"/>
      <c r="I2350" s="12"/>
      <c r="J2350" s="12"/>
      <c r="K2350" s="12"/>
      <c r="L2350" s="12"/>
      <c r="M2350" s="11"/>
      <c r="N2350" s="11"/>
      <c r="O2350" s="11"/>
      <c r="P2350" s="11"/>
    </row>
    <row r="2351" spans="8:16" hidden="1" x14ac:dyDescent="0.25">
      <c r="H2351" s="12"/>
      <c r="I2351" s="12"/>
      <c r="J2351" s="12"/>
      <c r="K2351" s="12"/>
      <c r="L2351" s="12"/>
      <c r="M2351" s="11"/>
      <c r="N2351" s="11"/>
      <c r="O2351" s="11"/>
      <c r="P2351" s="11"/>
    </row>
    <row r="2352" spans="8:16" hidden="1" x14ac:dyDescent="0.25">
      <c r="H2352" s="12"/>
      <c r="I2352" s="12"/>
      <c r="J2352" s="12"/>
      <c r="K2352" s="12"/>
      <c r="L2352" s="12"/>
      <c r="M2352" s="11"/>
      <c r="N2352" s="11"/>
      <c r="O2352" s="11"/>
      <c r="P2352" s="11"/>
    </row>
    <row r="2353" spans="8:16" hidden="1" x14ac:dyDescent="0.25">
      <c r="H2353" s="12"/>
      <c r="I2353" s="12"/>
      <c r="J2353" s="12"/>
      <c r="K2353" s="12"/>
      <c r="L2353" s="12"/>
      <c r="M2353" s="11"/>
      <c r="N2353" s="11"/>
      <c r="O2353" s="11"/>
      <c r="P2353" s="11"/>
    </row>
    <row r="2354" spans="8:16" hidden="1" x14ac:dyDescent="0.25">
      <c r="H2354" s="12"/>
      <c r="I2354" s="12"/>
      <c r="J2354" s="12"/>
      <c r="K2354" s="12"/>
      <c r="L2354" s="12"/>
      <c r="M2354" s="11"/>
      <c r="N2354" s="11"/>
      <c r="O2354" s="11"/>
      <c r="P2354" s="11"/>
    </row>
    <row r="2355" spans="8:16" hidden="1" x14ac:dyDescent="0.25">
      <c r="H2355" s="12"/>
      <c r="I2355" s="12"/>
      <c r="J2355" s="12"/>
      <c r="K2355" s="12"/>
      <c r="L2355" s="12"/>
      <c r="M2355" s="11"/>
      <c r="N2355" s="11"/>
      <c r="O2355" s="11"/>
      <c r="P2355" s="11"/>
    </row>
    <row r="2356" spans="8:16" hidden="1" x14ac:dyDescent="0.25">
      <c r="H2356" s="12"/>
      <c r="I2356" s="12"/>
      <c r="J2356" s="12"/>
      <c r="K2356" s="12"/>
      <c r="L2356" s="12"/>
      <c r="M2356" s="11"/>
      <c r="N2356" s="11"/>
      <c r="O2356" s="11"/>
      <c r="P2356" s="11"/>
    </row>
    <row r="2357" spans="8:16" hidden="1" x14ac:dyDescent="0.25">
      <c r="H2357" s="12"/>
      <c r="I2357" s="12"/>
      <c r="J2357" s="12"/>
      <c r="K2357" s="12"/>
      <c r="L2357" s="12"/>
      <c r="M2357" s="11"/>
      <c r="N2357" s="11"/>
      <c r="O2357" s="11"/>
      <c r="P2357" s="11"/>
    </row>
    <row r="2358" spans="8:16" hidden="1" x14ac:dyDescent="0.25">
      <c r="H2358" s="12"/>
      <c r="I2358" s="12"/>
      <c r="J2358" s="12"/>
      <c r="K2358" s="12"/>
      <c r="L2358" s="12"/>
      <c r="M2358" s="11"/>
      <c r="N2358" s="11"/>
      <c r="O2358" s="11"/>
      <c r="P2358" s="11"/>
    </row>
    <row r="2359" spans="8:16" hidden="1" x14ac:dyDescent="0.25">
      <c r="H2359" s="12"/>
      <c r="I2359" s="12"/>
      <c r="J2359" s="12"/>
      <c r="K2359" s="12"/>
      <c r="L2359" s="12"/>
      <c r="M2359" s="11"/>
      <c r="N2359" s="11"/>
      <c r="O2359" s="11"/>
      <c r="P2359" s="11"/>
    </row>
    <row r="2360" spans="8:16" hidden="1" x14ac:dyDescent="0.25">
      <c r="H2360" s="12"/>
      <c r="I2360" s="12"/>
      <c r="J2360" s="12"/>
      <c r="K2360" s="12"/>
      <c r="L2360" s="12"/>
      <c r="M2360" s="11"/>
      <c r="N2360" s="11"/>
      <c r="O2360" s="11"/>
      <c r="P2360" s="11"/>
    </row>
    <row r="2361" spans="8:16" hidden="1" x14ac:dyDescent="0.25">
      <c r="H2361" s="12"/>
      <c r="I2361" s="12"/>
      <c r="J2361" s="12"/>
      <c r="K2361" s="12"/>
      <c r="L2361" s="12"/>
      <c r="M2361" s="11"/>
      <c r="N2361" s="11"/>
      <c r="O2361" s="11"/>
      <c r="P2361" s="11"/>
    </row>
    <row r="2362" spans="8:16" hidden="1" x14ac:dyDescent="0.25">
      <c r="H2362" s="12"/>
      <c r="I2362" s="12"/>
      <c r="J2362" s="12"/>
      <c r="K2362" s="12"/>
      <c r="L2362" s="12"/>
      <c r="M2362" s="11"/>
      <c r="N2362" s="11"/>
      <c r="O2362" s="11"/>
      <c r="P2362" s="11"/>
    </row>
    <row r="2363" spans="8:16" hidden="1" x14ac:dyDescent="0.25">
      <c r="H2363" s="12"/>
      <c r="I2363" s="12"/>
      <c r="J2363" s="12"/>
      <c r="K2363" s="12"/>
      <c r="L2363" s="12"/>
      <c r="M2363" s="11"/>
      <c r="N2363" s="11"/>
      <c r="O2363" s="11"/>
      <c r="P2363" s="11"/>
    </row>
    <row r="2364" spans="8:16" hidden="1" x14ac:dyDescent="0.25">
      <c r="H2364" s="12"/>
      <c r="I2364" s="12"/>
      <c r="J2364" s="12"/>
      <c r="K2364" s="12"/>
      <c r="L2364" s="12"/>
      <c r="M2364" s="11"/>
      <c r="N2364" s="11"/>
      <c r="O2364" s="11"/>
      <c r="P2364" s="11"/>
    </row>
    <row r="2365" spans="8:16" hidden="1" x14ac:dyDescent="0.25">
      <c r="H2365" s="12"/>
      <c r="I2365" s="12"/>
      <c r="J2365" s="12"/>
      <c r="K2365" s="12"/>
      <c r="L2365" s="12"/>
      <c r="M2365" s="11"/>
      <c r="N2365" s="11"/>
      <c r="O2365" s="11"/>
      <c r="P2365" s="11"/>
    </row>
    <row r="2366" spans="8:16" hidden="1" x14ac:dyDescent="0.25">
      <c r="H2366" s="12"/>
      <c r="I2366" s="12"/>
      <c r="J2366" s="12"/>
      <c r="K2366" s="12"/>
      <c r="L2366" s="12"/>
      <c r="M2366" s="11"/>
      <c r="N2366" s="11"/>
      <c r="O2366" s="11"/>
      <c r="P2366" s="11"/>
    </row>
    <row r="2367" spans="8:16" hidden="1" x14ac:dyDescent="0.25">
      <c r="H2367" s="12"/>
      <c r="I2367" s="12"/>
      <c r="J2367" s="12"/>
      <c r="K2367" s="12"/>
      <c r="L2367" s="12"/>
      <c r="M2367" s="11"/>
      <c r="N2367" s="11"/>
      <c r="O2367" s="11"/>
      <c r="P2367" s="11"/>
    </row>
    <row r="2368" spans="8:16" hidden="1" x14ac:dyDescent="0.25">
      <c r="H2368" s="12"/>
      <c r="I2368" s="12"/>
      <c r="J2368" s="12"/>
      <c r="K2368" s="12"/>
      <c r="L2368" s="12"/>
      <c r="M2368" s="11"/>
      <c r="N2368" s="11"/>
      <c r="O2368" s="11"/>
      <c r="P2368" s="11"/>
    </row>
    <row r="2369" spans="8:16" hidden="1" x14ac:dyDescent="0.25">
      <c r="H2369" s="12"/>
      <c r="I2369" s="12"/>
      <c r="J2369" s="12"/>
      <c r="K2369" s="12"/>
      <c r="L2369" s="12"/>
      <c r="M2369" s="11"/>
      <c r="N2369" s="11"/>
      <c r="O2369" s="11"/>
      <c r="P2369" s="11"/>
    </row>
    <row r="2370" spans="8:16" hidden="1" x14ac:dyDescent="0.25">
      <c r="H2370" s="12"/>
      <c r="I2370" s="12"/>
      <c r="J2370" s="12"/>
      <c r="K2370" s="12"/>
      <c r="L2370" s="12"/>
      <c r="M2370" s="11"/>
      <c r="N2370" s="11"/>
      <c r="O2370" s="11"/>
      <c r="P2370" s="11"/>
    </row>
    <row r="2371" spans="8:16" hidden="1" x14ac:dyDescent="0.25">
      <c r="H2371" s="12"/>
      <c r="I2371" s="12"/>
      <c r="J2371" s="12"/>
      <c r="K2371" s="12"/>
      <c r="L2371" s="12"/>
      <c r="M2371" s="11"/>
      <c r="N2371" s="11"/>
      <c r="O2371" s="11"/>
      <c r="P2371" s="11"/>
    </row>
    <row r="2372" spans="8:16" hidden="1" x14ac:dyDescent="0.25">
      <c r="H2372" s="12"/>
      <c r="I2372" s="12"/>
      <c r="J2372" s="12"/>
      <c r="K2372" s="12"/>
      <c r="L2372" s="12"/>
      <c r="M2372" s="11"/>
      <c r="N2372" s="11"/>
      <c r="O2372" s="11"/>
      <c r="P2372" s="11"/>
    </row>
    <row r="2373" spans="8:16" hidden="1" x14ac:dyDescent="0.25">
      <c r="H2373" s="12"/>
      <c r="I2373" s="12"/>
      <c r="J2373" s="12"/>
      <c r="K2373" s="12"/>
      <c r="L2373" s="12"/>
      <c r="M2373" s="11"/>
      <c r="N2373" s="11"/>
      <c r="O2373" s="11"/>
      <c r="P2373" s="11"/>
    </row>
    <row r="2374" spans="8:16" hidden="1" x14ac:dyDescent="0.25">
      <c r="H2374" s="12"/>
      <c r="I2374" s="12"/>
      <c r="J2374" s="12"/>
      <c r="K2374" s="12"/>
      <c r="L2374" s="12"/>
      <c r="M2374" s="11"/>
      <c r="N2374" s="11"/>
      <c r="O2374" s="11"/>
      <c r="P2374" s="11"/>
    </row>
    <row r="2375" spans="8:16" hidden="1" x14ac:dyDescent="0.25">
      <c r="H2375" s="12"/>
      <c r="I2375" s="12"/>
      <c r="J2375" s="12"/>
      <c r="K2375" s="12"/>
      <c r="L2375" s="12"/>
      <c r="M2375" s="11"/>
      <c r="N2375" s="11"/>
      <c r="O2375" s="11"/>
      <c r="P2375" s="11"/>
    </row>
    <row r="2376" spans="8:16" hidden="1" x14ac:dyDescent="0.25">
      <c r="H2376" s="12"/>
      <c r="I2376" s="12"/>
      <c r="J2376" s="12"/>
      <c r="K2376" s="12"/>
      <c r="L2376" s="12"/>
      <c r="M2376" s="11"/>
      <c r="N2376" s="11"/>
      <c r="O2376" s="11"/>
      <c r="P2376" s="11"/>
    </row>
    <row r="2377" spans="8:16" hidden="1" x14ac:dyDescent="0.25">
      <c r="H2377" s="12"/>
      <c r="I2377" s="12"/>
      <c r="J2377" s="12"/>
      <c r="K2377" s="12"/>
      <c r="L2377" s="12"/>
      <c r="M2377" s="11"/>
      <c r="N2377" s="11"/>
      <c r="O2377" s="11"/>
      <c r="P2377" s="11"/>
    </row>
    <row r="2378" spans="8:16" hidden="1" x14ac:dyDescent="0.25">
      <c r="H2378" s="12"/>
      <c r="I2378" s="12"/>
      <c r="J2378" s="12"/>
      <c r="K2378" s="12"/>
      <c r="L2378" s="12"/>
      <c r="M2378" s="11"/>
      <c r="N2378" s="11"/>
      <c r="O2378" s="11"/>
      <c r="P2378" s="11"/>
    </row>
    <row r="2379" spans="8:16" hidden="1" x14ac:dyDescent="0.25">
      <c r="H2379" s="12"/>
      <c r="I2379" s="12"/>
      <c r="J2379" s="12"/>
      <c r="K2379" s="12"/>
      <c r="L2379" s="12"/>
      <c r="M2379" s="11"/>
      <c r="N2379" s="11"/>
      <c r="O2379" s="11"/>
      <c r="P2379" s="11"/>
    </row>
    <row r="2380" spans="8:16" hidden="1" x14ac:dyDescent="0.25">
      <c r="H2380" s="12"/>
      <c r="I2380" s="12"/>
      <c r="J2380" s="12"/>
      <c r="K2380" s="12"/>
      <c r="L2380" s="12"/>
      <c r="M2380" s="11"/>
      <c r="N2380" s="11"/>
      <c r="O2380" s="11"/>
      <c r="P2380" s="11"/>
    </row>
    <row r="2381" spans="8:16" hidden="1" x14ac:dyDescent="0.25">
      <c r="H2381" s="12"/>
      <c r="I2381" s="12"/>
      <c r="J2381" s="12"/>
      <c r="K2381" s="12"/>
      <c r="L2381" s="12"/>
      <c r="M2381" s="11"/>
      <c r="N2381" s="11"/>
      <c r="O2381" s="11"/>
      <c r="P2381" s="11"/>
    </row>
    <row r="2382" spans="8:16" hidden="1" x14ac:dyDescent="0.25">
      <c r="H2382" s="12"/>
      <c r="I2382" s="12"/>
      <c r="J2382" s="12"/>
      <c r="K2382" s="12"/>
      <c r="L2382" s="12"/>
      <c r="M2382" s="11"/>
      <c r="N2382" s="11"/>
      <c r="O2382" s="11"/>
      <c r="P2382" s="11"/>
    </row>
    <row r="2383" spans="8:16" hidden="1" x14ac:dyDescent="0.25">
      <c r="H2383" s="12"/>
      <c r="I2383" s="12"/>
      <c r="J2383" s="12"/>
      <c r="K2383" s="12"/>
      <c r="L2383" s="12"/>
      <c r="M2383" s="11"/>
      <c r="N2383" s="11"/>
      <c r="O2383" s="11"/>
      <c r="P2383" s="11"/>
    </row>
    <row r="2384" spans="8:16" hidden="1" x14ac:dyDescent="0.25">
      <c r="H2384" s="12"/>
      <c r="I2384" s="12"/>
      <c r="J2384" s="12"/>
      <c r="K2384" s="12"/>
      <c r="L2384" s="12"/>
      <c r="M2384" s="11"/>
      <c r="N2384" s="11"/>
      <c r="O2384" s="11"/>
      <c r="P2384" s="11"/>
    </row>
    <row r="2385" spans="8:16" hidden="1" x14ac:dyDescent="0.25">
      <c r="H2385" s="12"/>
      <c r="I2385" s="12"/>
      <c r="J2385" s="12"/>
      <c r="K2385" s="12"/>
      <c r="L2385" s="12"/>
      <c r="M2385" s="11"/>
      <c r="N2385" s="11"/>
      <c r="O2385" s="11"/>
      <c r="P2385" s="11"/>
    </row>
    <row r="2386" spans="8:16" hidden="1" x14ac:dyDescent="0.25">
      <c r="H2386" s="12"/>
      <c r="I2386" s="12"/>
      <c r="J2386" s="12"/>
      <c r="K2386" s="12"/>
      <c r="L2386" s="12"/>
      <c r="M2386" s="11"/>
      <c r="N2386" s="11"/>
      <c r="O2386" s="11"/>
      <c r="P2386" s="11"/>
    </row>
    <row r="2387" spans="8:16" hidden="1" x14ac:dyDescent="0.25">
      <c r="H2387" s="12"/>
      <c r="I2387" s="12"/>
      <c r="J2387" s="12"/>
      <c r="K2387" s="12"/>
      <c r="L2387" s="12"/>
      <c r="M2387" s="11"/>
      <c r="N2387" s="11"/>
      <c r="O2387" s="11"/>
      <c r="P2387" s="11"/>
    </row>
    <row r="2388" spans="8:16" hidden="1" x14ac:dyDescent="0.25">
      <c r="H2388" s="12"/>
      <c r="I2388" s="12"/>
      <c r="J2388" s="12"/>
      <c r="K2388" s="12"/>
      <c r="L2388" s="12"/>
      <c r="M2388" s="11"/>
      <c r="N2388" s="11"/>
      <c r="O2388" s="11"/>
      <c r="P2388" s="11"/>
    </row>
    <row r="2389" spans="8:16" hidden="1" x14ac:dyDescent="0.25">
      <c r="H2389" s="12"/>
      <c r="I2389" s="12"/>
      <c r="J2389" s="12"/>
      <c r="K2389" s="12"/>
      <c r="L2389" s="12"/>
      <c r="M2389" s="11"/>
      <c r="N2389" s="11"/>
      <c r="O2389" s="11"/>
      <c r="P2389" s="11"/>
    </row>
    <row r="2390" spans="8:16" hidden="1" x14ac:dyDescent="0.25">
      <c r="H2390" s="12"/>
      <c r="I2390" s="12"/>
      <c r="J2390" s="12"/>
      <c r="K2390" s="12"/>
      <c r="L2390" s="12"/>
      <c r="M2390" s="11"/>
      <c r="N2390" s="11"/>
      <c r="O2390" s="11"/>
      <c r="P2390" s="11"/>
    </row>
    <row r="2391" spans="8:16" hidden="1" x14ac:dyDescent="0.25">
      <c r="H2391" s="12"/>
      <c r="I2391" s="12"/>
      <c r="J2391" s="12"/>
      <c r="K2391" s="12"/>
      <c r="L2391" s="12"/>
      <c r="M2391" s="11"/>
      <c r="N2391" s="11"/>
      <c r="O2391" s="11"/>
      <c r="P2391" s="11"/>
    </row>
    <row r="2392" spans="8:16" hidden="1" x14ac:dyDescent="0.25">
      <c r="H2392" s="12"/>
      <c r="I2392" s="12"/>
      <c r="J2392" s="12"/>
      <c r="K2392" s="12"/>
      <c r="L2392" s="12"/>
      <c r="M2392" s="11"/>
      <c r="N2392" s="11"/>
      <c r="O2392" s="11"/>
      <c r="P2392" s="11"/>
    </row>
    <row r="2393" spans="8:16" hidden="1" x14ac:dyDescent="0.25">
      <c r="H2393" s="12"/>
      <c r="I2393" s="12"/>
      <c r="J2393" s="12"/>
      <c r="K2393" s="12"/>
      <c r="L2393" s="12"/>
      <c r="M2393" s="11"/>
      <c r="N2393" s="11"/>
      <c r="O2393" s="11"/>
      <c r="P2393" s="11"/>
    </row>
    <row r="2394" spans="8:16" hidden="1" x14ac:dyDescent="0.25">
      <c r="H2394" s="12"/>
      <c r="I2394" s="12"/>
      <c r="J2394" s="12"/>
      <c r="K2394" s="12"/>
      <c r="L2394" s="12"/>
      <c r="M2394" s="11"/>
      <c r="N2394" s="11"/>
      <c r="O2394" s="11"/>
      <c r="P2394" s="11"/>
    </row>
    <row r="2395" spans="8:16" hidden="1" x14ac:dyDescent="0.25">
      <c r="H2395" s="12"/>
      <c r="I2395" s="12"/>
      <c r="J2395" s="12"/>
      <c r="K2395" s="12"/>
      <c r="L2395" s="12"/>
      <c r="M2395" s="11"/>
      <c r="N2395" s="11"/>
      <c r="O2395" s="11"/>
      <c r="P2395" s="11"/>
    </row>
    <row r="2396" spans="8:16" hidden="1" x14ac:dyDescent="0.25">
      <c r="H2396" s="12"/>
      <c r="I2396" s="12"/>
      <c r="J2396" s="12"/>
      <c r="K2396" s="12"/>
      <c r="L2396" s="12"/>
      <c r="M2396" s="11"/>
      <c r="N2396" s="11"/>
      <c r="O2396" s="11"/>
      <c r="P2396" s="11"/>
    </row>
    <row r="2397" spans="8:16" hidden="1" x14ac:dyDescent="0.25">
      <c r="H2397" s="12"/>
      <c r="I2397" s="12"/>
      <c r="J2397" s="12"/>
      <c r="K2397" s="12"/>
      <c r="L2397" s="12"/>
      <c r="M2397" s="11"/>
      <c r="N2397" s="11"/>
      <c r="O2397" s="11"/>
      <c r="P2397" s="11"/>
    </row>
    <row r="2398" spans="8:16" hidden="1" x14ac:dyDescent="0.25">
      <c r="H2398" s="12"/>
      <c r="I2398" s="12"/>
      <c r="J2398" s="12"/>
      <c r="K2398" s="12"/>
      <c r="L2398" s="12"/>
      <c r="M2398" s="11"/>
      <c r="N2398" s="11"/>
      <c r="O2398" s="11"/>
      <c r="P2398" s="11"/>
    </row>
    <row r="2399" spans="8:16" hidden="1" x14ac:dyDescent="0.25">
      <c r="H2399" s="12"/>
      <c r="I2399" s="12"/>
      <c r="J2399" s="12"/>
      <c r="K2399" s="12"/>
      <c r="L2399" s="12"/>
      <c r="M2399" s="11"/>
      <c r="N2399" s="11"/>
      <c r="O2399" s="11"/>
      <c r="P2399" s="11"/>
    </row>
    <row r="2400" spans="8:16" hidden="1" x14ac:dyDescent="0.25">
      <c r="H2400" s="12"/>
      <c r="I2400" s="12"/>
      <c r="J2400" s="12"/>
      <c r="K2400" s="12"/>
      <c r="L2400" s="12"/>
      <c r="M2400" s="11"/>
      <c r="N2400" s="11"/>
      <c r="O2400" s="11"/>
      <c r="P2400" s="11"/>
    </row>
    <row r="2401" spans="8:16" hidden="1" x14ac:dyDescent="0.25">
      <c r="H2401" s="12"/>
      <c r="I2401" s="12"/>
      <c r="J2401" s="12"/>
      <c r="K2401" s="12"/>
      <c r="L2401" s="12"/>
      <c r="M2401" s="11"/>
      <c r="N2401" s="11"/>
      <c r="O2401" s="11"/>
      <c r="P2401" s="11"/>
    </row>
    <row r="2402" spans="8:16" hidden="1" x14ac:dyDescent="0.25">
      <c r="H2402" s="12"/>
      <c r="I2402" s="12"/>
      <c r="J2402" s="12"/>
      <c r="K2402" s="12"/>
      <c r="L2402" s="12"/>
      <c r="M2402" s="11"/>
      <c r="N2402" s="11"/>
      <c r="O2402" s="11"/>
      <c r="P2402" s="11"/>
    </row>
    <row r="2403" spans="8:16" hidden="1" x14ac:dyDescent="0.25">
      <c r="H2403" s="12"/>
      <c r="I2403" s="12"/>
      <c r="J2403" s="12"/>
      <c r="K2403" s="12"/>
      <c r="L2403" s="12"/>
      <c r="M2403" s="11"/>
      <c r="N2403" s="11"/>
      <c r="O2403" s="11"/>
      <c r="P2403" s="11"/>
    </row>
    <row r="2404" spans="8:16" hidden="1" x14ac:dyDescent="0.25">
      <c r="H2404" s="12"/>
      <c r="I2404" s="12"/>
      <c r="J2404" s="12"/>
      <c r="K2404" s="12"/>
      <c r="L2404" s="12"/>
      <c r="M2404" s="11"/>
      <c r="N2404" s="11"/>
      <c r="O2404" s="11"/>
      <c r="P2404" s="11"/>
    </row>
    <row r="2405" spans="8:16" hidden="1" x14ac:dyDescent="0.25">
      <c r="H2405" s="12"/>
      <c r="I2405" s="12"/>
      <c r="J2405" s="12"/>
      <c r="K2405" s="12"/>
      <c r="L2405" s="12"/>
      <c r="M2405" s="11"/>
      <c r="N2405" s="11"/>
      <c r="O2405" s="11"/>
      <c r="P2405" s="11"/>
    </row>
    <row r="2406" spans="8:16" hidden="1" x14ac:dyDescent="0.25">
      <c r="H2406" s="12"/>
      <c r="I2406" s="12"/>
      <c r="J2406" s="12"/>
      <c r="K2406" s="12"/>
      <c r="L2406" s="12"/>
      <c r="M2406" s="11"/>
      <c r="N2406" s="11"/>
      <c r="O2406" s="11"/>
      <c r="P2406" s="11"/>
    </row>
    <row r="2407" spans="8:16" hidden="1" x14ac:dyDescent="0.25">
      <c r="H2407" s="12"/>
      <c r="I2407" s="12"/>
      <c r="J2407" s="12"/>
      <c r="K2407" s="12"/>
      <c r="L2407" s="12"/>
      <c r="M2407" s="11"/>
      <c r="N2407" s="11"/>
      <c r="O2407" s="11"/>
      <c r="P2407" s="11"/>
    </row>
    <row r="2408" spans="8:16" hidden="1" x14ac:dyDescent="0.25">
      <c r="H2408" s="12"/>
      <c r="I2408" s="12"/>
      <c r="J2408" s="12"/>
      <c r="K2408" s="12"/>
      <c r="L2408" s="12"/>
      <c r="M2408" s="11"/>
      <c r="N2408" s="11"/>
      <c r="O2408" s="11"/>
      <c r="P2408" s="11"/>
    </row>
    <row r="2409" spans="8:16" hidden="1" x14ac:dyDescent="0.25">
      <c r="H2409" s="12"/>
      <c r="I2409" s="12"/>
      <c r="J2409" s="12"/>
      <c r="K2409" s="12"/>
      <c r="L2409" s="12"/>
      <c r="M2409" s="11"/>
      <c r="N2409" s="11"/>
      <c r="O2409" s="11"/>
      <c r="P2409" s="11"/>
    </row>
    <row r="2410" spans="8:16" hidden="1" x14ac:dyDescent="0.25">
      <c r="H2410" s="12"/>
      <c r="I2410" s="12"/>
      <c r="J2410" s="12"/>
      <c r="K2410" s="12"/>
      <c r="L2410" s="12"/>
      <c r="M2410" s="11"/>
      <c r="N2410" s="11"/>
      <c r="O2410" s="11"/>
      <c r="P2410" s="11"/>
    </row>
    <row r="2411" spans="8:16" hidden="1" x14ac:dyDescent="0.25">
      <c r="H2411" s="12"/>
      <c r="I2411" s="12"/>
      <c r="J2411" s="12"/>
      <c r="K2411" s="12"/>
      <c r="L2411" s="12"/>
      <c r="M2411" s="11"/>
      <c r="N2411" s="11"/>
      <c r="O2411" s="11"/>
      <c r="P2411" s="11"/>
    </row>
    <row r="2412" spans="8:16" hidden="1" x14ac:dyDescent="0.25">
      <c r="H2412" s="12"/>
      <c r="I2412" s="12"/>
      <c r="J2412" s="12"/>
      <c r="K2412" s="12"/>
      <c r="L2412" s="12"/>
      <c r="M2412" s="11"/>
      <c r="N2412" s="11"/>
      <c r="O2412" s="11"/>
      <c r="P2412" s="11"/>
    </row>
    <row r="2413" spans="8:16" hidden="1" x14ac:dyDescent="0.25">
      <c r="H2413" s="12"/>
      <c r="I2413" s="12"/>
      <c r="J2413" s="12"/>
      <c r="K2413" s="12"/>
      <c r="L2413" s="12"/>
      <c r="M2413" s="11"/>
      <c r="N2413" s="11"/>
      <c r="O2413" s="11"/>
      <c r="P2413" s="11"/>
    </row>
    <row r="2414" spans="8:16" hidden="1" x14ac:dyDescent="0.25">
      <c r="H2414" s="12"/>
      <c r="I2414" s="12"/>
      <c r="J2414" s="12"/>
      <c r="K2414" s="12"/>
      <c r="L2414" s="12"/>
      <c r="M2414" s="11"/>
      <c r="N2414" s="11"/>
      <c r="O2414" s="11"/>
      <c r="P2414" s="11"/>
    </row>
    <row r="2415" spans="8:16" hidden="1" x14ac:dyDescent="0.25">
      <c r="H2415" s="12"/>
      <c r="I2415" s="12"/>
      <c r="J2415" s="12"/>
      <c r="K2415" s="12"/>
      <c r="L2415" s="12"/>
      <c r="M2415" s="11"/>
      <c r="N2415" s="11"/>
      <c r="O2415" s="11"/>
      <c r="P2415" s="11"/>
    </row>
    <row r="2416" spans="8:16" hidden="1" x14ac:dyDescent="0.25">
      <c r="H2416" s="12"/>
      <c r="I2416" s="12"/>
      <c r="J2416" s="12"/>
      <c r="K2416" s="12"/>
      <c r="L2416" s="12"/>
      <c r="M2416" s="11"/>
      <c r="N2416" s="11"/>
      <c r="O2416" s="11"/>
      <c r="P2416" s="11"/>
    </row>
    <row r="2417" spans="8:16" hidden="1" x14ac:dyDescent="0.25">
      <c r="H2417" s="12"/>
      <c r="I2417" s="12"/>
      <c r="J2417" s="12"/>
      <c r="K2417" s="12"/>
      <c r="L2417" s="12"/>
      <c r="M2417" s="11"/>
      <c r="N2417" s="11"/>
      <c r="O2417" s="11"/>
      <c r="P2417" s="11"/>
    </row>
    <row r="2418" spans="8:16" hidden="1" x14ac:dyDescent="0.25">
      <c r="H2418" s="12"/>
      <c r="I2418" s="12"/>
      <c r="J2418" s="12"/>
      <c r="K2418" s="12"/>
      <c r="L2418" s="12"/>
      <c r="M2418" s="11"/>
      <c r="N2418" s="11"/>
      <c r="O2418" s="11"/>
      <c r="P2418" s="11"/>
    </row>
    <row r="2419" spans="8:16" hidden="1" x14ac:dyDescent="0.25">
      <c r="H2419" s="12"/>
      <c r="I2419" s="12"/>
      <c r="J2419" s="12"/>
      <c r="K2419" s="12"/>
      <c r="L2419" s="12"/>
      <c r="M2419" s="11"/>
      <c r="N2419" s="11"/>
      <c r="O2419" s="11"/>
      <c r="P2419" s="11"/>
    </row>
    <row r="2420" spans="8:16" hidden="1" x14ac:dyDescent="0.25">
      <c r="H2420" s="12"/>
      <c r="I2420" s="12"/>
      <c r="J2420" s="12"/>
      <c r="K2420" s="12"/>
      <c r="L2420" s="12"/>
      <c r="M2420" s="11"/>
      <c r="N2420" s="11"/>
      <c r="O2420" s="11"/>
      <c r="P2420" s="11"/>
    </row>
    <row r="2421" spans="8:16" hidden="1" x14ac:dyDescent="0.25">
      <c r="H2421" s="12"/>
      <c r="I2421" s="12"/>
      <c r="J2421" s="12"/>
      <c r="K2421" s="12"/>
      <c r="L2421" s="12"/>
      <c r="M2421" s="11"/>
      <c r="N2421" s="11"/>
      <c r="O2421" s="11"/>
      <c r="P2421" s="11"/>
    </row>
    <row r="2422" spans="8:16" hidden="1" x14ac:dyDescent="0.25">
      <c r="H2422" s="12"/>
      <c r="I2422" s="12"/>
      <c r="J2422" s="12"/>
      <c r="K2422" s="12"/>
      <c r="L2422" s="12"/>
      <c r="M2422" s="11"/>
      <c r="N2422" s="11"/>
      <c r="O2422" s="11"/>
      <c r="P2422" s="11"/>
    </row>
    <row r="2423" spans="8:16" hidden="1" x14ac:dyDescent="0.25">
      <c r="H2423" s="12"/>
      <c r="I2423" s="12"/>
      <c r="J2423" s="12"/>
      <c r="K2423" s="12"/>
      <c r="L2423" s="12"/>
      <c r="M2423" s="11"/>
      <c r="N2423" s="11"/>
      <c r="O2423" s="11"/>
      <c r="P2423" s="11"/>
    </row>
    <row r="2424" spans="8:16" hidden="1" x14ac:dyDescent="0.25">
      <c r="H2424" s="12"/>
      <c r="I2424" s="12"/>
      <c r="J2424" s="12"/>
      <c r="K2424" s="12"/>
      <c r="L2424" s="12"/>
      <c r="M2424" s="11"/>
      <c r="N2424" s="11"/>
      <c r="O2424" s="11"/>
      <c r="P2424" s="11"/>
    </row>
    <row r="2425" spans="8:16" hidden="1" x14ac:dyDescent="0.25">
      <c r="H2425" s="12"/>
      <c r="I2425" s="12"/>
      <c r="J2425" s="12"/>
      <c r="K2425" s="12"/>
      <c r="L2425" s="12"/>
      <c r="M2425" s="11"/>
      <c r="N2425" s="11"/>
      <c r="O2425" s="11"/>
      <c r="P2425" s="11"/>
    </row>
    <row r="2426" spans="8:16" hidden="1" x14ac:dyDescent="0.25">
      <c r="H2426" s="12"/>
      <c r="I2426" s="12"/>
      <c r="J2426" s="12"/>
      <c r="K2426" s="12"/>
      <c r="L2426" s="12"/>
      <c r="M2426" s="11"/>
      <c r="N2426" s="11"/>
      <c r="O2426" s="11"/>
      <c r="P2426" s="11"/>
    </row>
    <row r="2427" spans="8:16" hidden="1" x14ac:dyDescent="0.25">
      <c r="H2427" s="12"/>
      <c r="I2427" s="12"/>
      <c r="J2427" s="12"/>
      <c r="K2427" s="12"/>
      <c r="L2427" s="12"/>
      <c r="M2427" s="11"/>
      <c r="N2427" s="11"/>
      <c r="O2427" s="11"/>
      <c r="P2427" s="11"/>
    </row>
    <row r="2428" spans="8:16" hidden="1" x14ac:dyDescent="0.25">
      <c r="H2428" s="12"/>
      <c r="I2428" s="12"/>
      <c r="J2428" s="12"/>
      <c r="K2428" s="12"/>
      <c r="L2428" s="12"/>
      <c r="M2428" s="11"/>
      <c r="N2428" s="11"/>
      <c r="O2428" s="11"/>
      <c r="P2428" s="11"/>
    </row>
    <row r="2429" spans="8:16" hidden="1" x14ac:dyDescent="0.25">
      <c r="H2429" s="12"/>
      <c r="I2429" s="12"/>
      <c r="J2429" s="12"/>
      <c r="K2429" s="12"/>
      <c r="L2429" s="12"/>
      <c r="M2429" s="11"/>
      <c r="N2429" s="11"/>
      <c r="O2429" s="11"/>
      <c r="P2429" s="11"/>
    </row>
    <row r="2430" spans="8:16" hidden="1" x14ac:dyDescent="0.25">
      <c r="H2430" s="12"/>
      <c r="I2430" s="12"/>
      <c r="J2430" s="12"/>
      <c r="K2430" s="12"/>
      <c r="L2430" s="12"/>
      <c r="M2430" s="11"/>
      <c r="N2430" s="11"/>
      <c r="O2430" s="11"/>
      <c r="P2430" s="11"/>
    </row>
    <row r="2431" spans="8:16" hidden="1" x14ac:dyDescent="0.25">
      <c r="H2431" s="12"/>
      <c r="I2431" s="12"/>
      <c r="J2431" s="12"/>
      <c r="K2431" s="12"/>
      <c r="L2431" s="12"/>
      <c r="M2431" s="11"/>
      <c r="N2431" s="11"/>
      <c r="O2431" s="11"/>
      <c r="P2431" s="11"/>
    </row>
    <row r="2432" spans="8:16" hidden="1" x14ac:dyDescent="0.25">
      <c r="H2432" s="12"/>
      <c r="I2432" s="12"/>
      <c r="J2432" s="12"/>
      <c r="K2432" s="12"/>
      <c r="L2432" s="12"/>
      <c r="M2432" s="11"/>
      <c r="N2432" s="11"/>
      <c r="O2432" s="11"/>
      <c r="P2432" s="11"/>
    </row>
    <row r="2433" spans="8:16" hidden="1" x14ac:dyDescent="0.25">
      <c r="H2433" s="12"/>
      <c r="I2433" s="12"/>
      <c r="J2433" s="12"/>
      <c r="K2433" s="12"/>
      <c r="L2433" s="12"/>
      <c r="M2433" s="11"/>
      <c r="N2433" s="11"/>
      <c r="O2433" s="11"/>
      <c r="P2433" s="11"/>
    </row>
    <row r="2434" spans="8:16" hidden="1" x14ac:dyDescent="0.25">
      <c r="H2434" s="12"/>
      <c r="I2434" s="12"/>
      <c r="J2434" s="12"/>
      <c r="K2434" s="12"/>
      <c r="L2434" s="12"/>
      <c r="M2434" s="11"/>
      <c r="N2434" s="11"/>
      <c r="O2434" s="11"/>
      <c r="P2434" s="11"/>
    </row>
    <row r="2435" spans="8:16" hidden="1" x14ac:dyDescent="0.25">
      <c r="H2435" s="12"/>
      <c r="I2435" s="12"/>
      <c r="J2435" s="12"/>
      <c r="K2435" s="12"/>
      <c r="L2435" s="12"/>
      <c r="M2435" s="11"/>
      <c r="N2435" s="11"/>
      <c r="O2435" s="11"/>
      <c r="P2435" s="11"/>
    </row>
    <row r="2436" spans="8:16" hidden="1" x14ac:dyDescent="0.25">
      <c r="H2436" s="12"/>
      <c r="I2436" s="12"/>
      <c r="J2436" s="12"/>
      <c r="K2436" s="12"/>
      <c r="L2436" s="12"/>
      <c r="M2436" s="11"/>
      <c r="N2436" s="11"/>
      <c r="O2436" s="11"/>
      <c r="P2436" s="11"/>
    </row>
    <row r="2437" spans="8:16" hidden="1" x14ac:dyDescent="0.25">
      <c r="H2437" s="12"/>
      <c r="I2437" s="12"/>
      <c r="J2437" s="12"/>
      <c r="K2437" s="12"/>
      <c r="L2437" s="12"/>
      <c r="M2437" s="11"/>
      <c r="N2437" s="11"/>
      <c r="O2437" s="11"/>
      <c r="P2437" s="11"/>
    </row>
    <row r="2438" spans="8:16" hidden="1" x14ac:dyDescent="0.25">
      <c r="H2438" s="12"/>
      <c r="I2438" s="12"/>
      <c r="J2438" s="12"/>
      <c r="K2438" s="12"/>
      <c r="L2438" s="12"/>
      <c r="M2438" s="11"/>
      <c r="N2438" s="11"/>
      <c r="O2438" s="11"/>
      <c r="P2438" s="11"/>
    </row>
    <row r="2439" spans="8:16" hidden="1" x14ac:dyDescent="0.25">
      <c r="H2439" s="12"/>
      <c r="I2439" s="12"/>
      <c r="J2439" s="12"/>
      <c r="K2439" s="12"/>
      <c r="L2439" s="12"/>
      <c r="M2439" s="11"/>
      <c r="N2439" s="11"/>
      <c r="O2439" s="11"/>
      <c r="P2439" s="11"/>
    </row>
    <row r="2440" spans="8:16" hidden="1" x14ac:dyDescent="0.25">
      <c r="H2440" s="12"/>
      <c r="I2440" s="12"/>
      <c r="J2440" s="12"/>
      <c r="K2440" s="12"/>
      <c r="L2440" s="12"/>
      <c r="M2440" s="11"/>
      <c r="N2440" s="11"/>
      <c r="O2440" s="11"/>
      <c r="P2440" s="11"/>
    </row>
    <row r="2441" spans="8:16" hidden="1" x14ac:dyDescent="0.25">
      <c r="H2441" s="12"/>
      <c r="I2441" s="12"/>
      <c r="J2441" s="12"/>
      <c r="K2441" s="12"/>
      <c r="L2441" s="12"/>
      <c r="M2441" s="11"/>
      <c r="N2441" s="11"/>
      <c r="O2441" s="11"/>
      <c r="P2441" s="11"/>
    </row>
    <row r="2442" spans="8:16" hidden="1" x14ac:dyDescent="0.25">
      <c r="H2442" s="12"/>
      <c r="I2442" s="12"/>
      <c r="J2442" s="12"/>
      <c r="K2442" s="12"/>
      <c r="L2442" s="12"/>
      <c r="M2442" s="11"/>
      <c r="N2442" s="11"/>
      <c r="O2442" s="11"/>
      <c r="P2442" s="11"/>
    </row>
    <row r="2443" spans="8:16" hidden="1" x14ac:dyDescent="0.25">
      <c r="H2443" s="12"/>
      <c r="I2443" s="12"/>
      <c r="J2443" s="12"/>
      <c r="K2443" s="12"/>
      <c r="L2443" s="12"/>
      <c r="M2443" s="11"/>
      <c r="N2443" s="11"/>
      <c r="O2443" s="11"/>
      <c r="P2443" s="11"/>
    </row>
    <row r="2444" spans="8:16" hidden="1" x14ac:dyDescent="0.25">
      <c r="H2444" s="12"/>
      <c r="I2444" s="12"/>
      <c r="J2444" s="12"/>
      <c r="K2444" s="12"/>
      <c r="L2444" s="12"/>
      <c r="M2444" s="11"/>
      <c r="N2444" s="11"/>
      <c r="O2444" s="11"/>
      <c r="P2444" s="11"/>
    </row>
    <row r="2445" spans="8:16" hidden="1" x14ac:dyDescent="0.25">
      <c r="H2445" s="12"/>
      <c r="I2445" s="12"/>
      <c r="J2445" s="12"/>
      <c r="K2445" s="12"/>
      <c r="L2445" s="12"/>
      <c r="M2445" s="11"/>
      <c r="N2445" s="11"/>
      <c r="O2445" s="11"/>
      <c r="P2445" s="11"/>
    </row>
    <row r="2446" spans="8:16" hidden="1" x14ac:dyDescent="0.25">
      <c r="H2446" s="12"/>
      <c r="I2446" s="12"/>
      <c r="J2446" s="12"/>
      <c r="K2446" s="12"/>
      <c r="L2446" s="12"/>
      <c r="M2446" s="11"/>
      <c r="N2446" s="11"/>
      <c r="O2446" s="11"/>
      <c r="P2446" s="11"/>
    </row>
    <row r="2447" spans="8:16" hidden="1" x14ac:dyDescent="0.25">
      <c r="H2447" s="12"/>
      <c r="I2447" s="12"/>
      <c r="J2447" s="12"/>
      <c r="K2447" s="12"/>
      <c r="L2447" s="12"/>
      <c r="M2447" s="11"/>
      <c r="N2447" s="11"/>
      <c r="O2447" s="11"/>
      <c r="P2447" s="11"/>
    </row>
    <row r="2448" spans="8:16" hidden="1" x14ac:dyDescent="0.25">
      <c r="H2448" s="12"/>
      <c r="I2448" s="12"/>
      <c r="J2448" s="12"/>
      <c r="K2448" s="12"/>
      <c r="L2448" s="12"/>
      <c r="M2448" s="11"/>
      <c r="N2448" s="11"/>
      <c r="O2448" s="11"/>
      <c r="P2448" s="11"/>
    </row>
    <row r="2449" spans="8:16" hidden="1" x14ac:dyDescent="0.25">
      <c r="H2449" s="12"/>
      <c r="I2449" s="12"/>
      <c r="J2449" s="12"/>
      <c r="K2449" s="12"/>
      <c r="L2449" s="12"/>
      <c r="M2449" s="11"/>
      <c r="N2449" s="11"/>
      <c r="O2449" s="11"/>
      <c r="P2449" s="11"/>
    </row>
    <row r="2450" spans="8:16" hidden="1" x14ac:dyDescent="0.25">
      <c r="H2450" s="12"/>
      <c r="I2450" s="12"/>
      <c r="J2450" s="12"/>
      <c r="K2450" s="12"/>
      <c r="L2450" s="12"/>
      <c r="M2450" s="11"/>
      <c r="N2450" s="11"/>
      <c r="O2450" s="11"/>
      <c r="P2450" s="11"/>
    </row>
    <row r="2451" spans="8:16" hidden="1" x14ac:dyDescent="0.25">
      <c r="H2451" s="12"/>
      <c r="I2451" s="12"/>
      <c r="J2451" s="12"/>
      <c r="K2451" s="12"/>
      <c r="L2451" s="12"/>
      <c r="M2451" s="11"/>
      <c r="N2451" s="11"/>
      <c r="O2451" s="11"/>
      <c r="P2451" s="11"/>
    </row>
    <row r="2452" spans="8:16" hidden="1" x14ac:dyDescent="0.25">
      <c r="H2452" s="12"/>
      <c r="I2452" s="12"/>
      <c r="J2452" s="12"/>
      <c r="K2452" s="12"/>
      <c r="L2452" s="12"/>
      <c r="M2452" s="11"/>
      <c r="N2452" s="11"/>
      <c r="O2452" s="11"/>
      <c r="P2452" s="11"/>
    </row>
    <row r="2453" spans="8:16" hidden="1" x14ac:dyDescent="0.25">
      <c r="H2453" s="12"/>
      <c r="I2453" s="12"/>
      <c r="J2453" s="12"/>
      <c r="K2453" s="12"/>
      <c r="L2453" s="12"/>
      <c r="M2453" s="11"/>
      <c r="N2453" s="11"/>
      <c r="O2453" s="11"/>
      <c r="P2453" s="11"/>
    </row>
    <row r="2454" spans="8:16" hidden="1" x14ac:dyDescent="0.25">
      <c r="H2454" s="12"/>
      <c r="I2454" s="12"/>
      <c r="J2454" s="12"/>
      <c r="K2454" s="12"/>
      <c r="L2454" s="12"/>
      <c r="M2454" s="11"/>
      <c r="N2454" s="11"/>
      <c r="O2454" s="11"/>
      <c r="P2454" s="11"/>
    </row>
    <row r="2455" spans="8:16" hidden="1" x14ac:dyDescent="0.25">
      <c r="H2455" s="12"/>
      <c r="I2455" s="12"/>
      <c r="J2455" s="12"/>
      <c r="K2455" s="12"/>
      <c r="L2455" s="12"/>
      <c r="M2455" s="11"/>
      <c r="N2455" s="11"/>
      <c r="O2455" s="11"/>
      <c r="P2455" s="11"/>
    </row>
    <row r="2456" spans="8:16" hidden="1" x14ac:dyDescent="0.25">
      <c r="H2456" s="12"/>
      <c r="I2456" s="12"/>
      <c r="J2456" s="12"/>
      <c r="K2456" s="12"/>
      <c r="L2456" s="12"/>
      <c r="M2456" s="11"/>
      <c r="N2456" s="11"/>
      <c r="O2456" s="11"/>
      <c r="P2456" s="11"/>
    </row>
    <row r="2457" spans="8:16" hidden="1" x14ac:dyDescent="0.25">
      <c r="H2457" s="12"/>
      <c r="I2457" s="12"/>
      <c r="J2457" s="12"/>
      <c r="K2457" s="12"/>
      <c r="L2457" s="12"/>
      <c r="M2457" s="11"/>
      <c r="N2457" s="11"/>
      <c r="O2457" s="11"/>
      <c r="P2457" s="11"/>
    </row>
    <row r="2458" spans="8:16" hidden="1" x14ac:dyDescent="0.25">
      <c r="H2458" s="12"/>
      <c r="I2458" s="12"/>
      <c r="J2458" s="12"/>
      <c r="K2458" s="12"/>
      <c r="L2458" s="12"/>
      <c r="M2458" s="11"/>
      <c r="N2458" s="11"/>
      <c r="O2458" s="11"/>
      <c r="P2458" s="11"/>
    </row>
    <row r="2459" spans="8:16" hidden="1" x14ac:dyDescent="0.25">
      <c r="H2459" s="12"/>
      <c r="I2459" s="12"/>
      <c r="J2459" s="12"/>
      <c r="K2459" s="12"/>
      <c r="L2459" s="12"/>
      <c r="M2459" s="11"/>
      <c r="N2459" s="11"/>
      <c r="O2459" s="11"/>
      <c r="P2459" s="11"/>
    </row>
    <row r="2460" spans="8:16" hidden="1" x14ac:dyDescent="0.25">
      <c r="H2460" s="12"/>
      <c r="I2460" s="12"/>
      <c r="J2460" s="12"/>
      <c r="K2460" s="12"/>
      <c r="L2460" s="12"/>
      <c r="M2460" s="11"/>
      <c r="N2460" s="11"/>
      <c r="O2460" s="11"/>
      <c r="P2460" s="11"/>
    </row>
    <row r="2461" spans="8:16" hidden="1" x14ac:dyDescent="0.25">
      <c r="H2461" s="12"/>
      <c r="I2461" s="12"/>
      <c r="J2461" s="12"/>
      <c r="K2461" s="12"/>
      <c r="L2461" s="12"/>
      <c r="M2461" s="11"/>
      <c r="N2461" s="11"/>
      <c r="O2461" s="11"/>
      <c r="P2461" s="11"/>
    </row>
    <row r="2462" spans="8:16" hidden="1" x14ac:dyDescent="0.25">
      <c r="H2462" s="12"/>
      <c r="I2462" s="12"/>
      <c r="J2462" s="12"/>
      <c r="K2462" s="12"/>
      <c r="L2462" s="12"/>
      <c r="M2462" s="11"/>
      <c r="N2462" s="11"/>
      <c r="O2462" s="11"/>
      <c r="P2462" s="11"/>
    </row>
    <row r="2463" spans="8:16" hidden="1" x14ac:dyDescent="0.25">
      <c r="H2463" s="12"/>
      <c r="I2463" s="12"/>
      <c r="J2463" s="12"/>
      <c r="K2463" s="12"/>
      <c r="L2463" s="12"/>
      <c r="M2463" s="11"/>
      <c r="N2463" s="11"/>
      <c r="O2463" s="11"/>
      <c r="P2463" s="11"/>
    </row>
    <row r="2464" spans="8:16" hidden="1" x14ac:dyDescent="0.25">
      <c r="H2464" s="12"/>
      <c r="I2464" s="12"/>
      <c r="J2464" s="12"/>
      <c r="K2464" s="12"/>
      <c r="L2464" s="12"/>
      <c r="M2464" s="11"/>
      <c r="N2464" s="11"/>
      <c r="O2464" s="11"/>
      <c r="P2464" s="11"/>
    </row>
    <row r="2465" spans="8:16" hidden="1" x14ac:dyDescent="0.25">
      <c r="H2465" s="12"/>
      <c r="I2465" s="12"/>
      <c r="J2465" s="12"/>
      <c r="K2465" s="12"/>
      <c r="L2465" s="12"/>
      <c r="M2465" s="11"/>
      <c r="N2465" s="11"/>
      <c r="O2465" s="11"/>
      <c r="P2465" s="11"/>
    </row>
    <row r="2466" spans="8:16" hidden="1" x14ac:dyDescent="0.25">
      <c r="H2466" s="12"/>
      <c r="I2466" s="12"/>
      <c r="J2466" s="12"/>
      <c r="K2466" s="12"/>
      <c r="L2466" s="12"/>
      <c r="M2466" s="11"/>
      <c r="N2466" s="11"/>
      <c r="O2466" s="11"/>
      <c r="P2466" s="11"/>
    </row>
    <row r="2467" spans="8:16" hidden="1" x14ac:dyDescent="0.25">
      <c r="H2467" s="12"/>
      <c r="I2467" s="12"/>
      <c r="J2467" s="12"/>
      <c r="K2467" s="12"/>
      <c r="L2467" s="12"/>
      <c r="M2467" s="11"/>
      <c r="N2467" s="11"/>
      <c r="O2467" s="11"/>
      <c r="P2467" s="11"/>
    </row>
    <row r="2468" spans="8:16" hidden="1" x14ac:dyDescent="0.25">
      <c r="H2468" s="12"/>
      <c r="I2468" s="12"/>
      <c r="J2468" s="12"/>
      <c r="K2468" s="12"/>
      <c r="L2468" s="12"/>
      <c r="M2468" s="11"/>
      <c r="N2468" s="11"/>
      <c r="O2468" s="11"/>
      <c r="P2468" s="11"/>
    </row>
    <row r="2469" spans="8:16" hidden="1" x14ac:dyDescent="0.25">
      <c r="H2469" s="12"/>
      <c r="I2469" s="12"/>
      <c r="J2469" s="12"/>
      <c r="K2469" s="12"/>
      <c r="L2469" s="12"/>
      <c r="M2469" s="11"/>
      <c r="N2469" s="11"/>
      <c r="O2469" s="11"/>
      <c r="P2469" s="11"/>
    </row>
    <row r="2470" spans="8:16" hidden="1" x14ac:dyDescent="0.25">
      <c r="H2470" s="12"/>
      <c r="I2470" s="12"/>
      <c r="J2470" s="12"/>
      <c r="K2470" s="12"/>
      <c r="L2470" s="12"/>
      <c r="M2470" s="11"/>
      <c r="N2470" s="11"/>
      <c r="O2470" s="11"/>
      <c r="P2470" s="11"/>
    </row>
    <row r="2471" spans="8:16" hidden="1" x14ac:dyDescent="0.25">
      <c r="H2471" s="12"/>
      <c r="I2471" s="12"/>
      <c r="J2471" s="12"/>
      <c r="K2471" s="12"/>
      <c r="L2471" s="12"/>
      <c r="M2471" s="11"/>
      <c r="N2471" s="11"/>
      <c r="O2471" s="11"/>
      <c r="P2471" s="11"/>
    </row>
    <row r="2472" spans="8:16" hidden="1" x14ac:dyDescent="0.25">
      <c r="H2472" s="12"/>
      <c r="I2472" s="12"/>
      <c r="J2472" s="12"/>
      <c r="K2472" s="12"/>
      <c r="L2472" s="12"/>
      <c r="M2472" s="11"/>
      <c r="N2472" s="11"/>
      <c r="O2472" s="11"/>
      <c r="P2472" s="11"/>
    </row>
    <row r="2473" spans="8:16" hidden="1" x14ac:dyDescent="0.25">
      <c r="H2473" s="12"/>
      <c r="I2473" s="12"/>
      <c r="J2473" s="12"/>
      <c r="K2473" s="12"/>
      <c r="L2473" s="12"/>
      <c r="M2473" s="11"/>
      <c r="N2473" s="11"/>
      <c r="O2473" s="11"/>
      <c r="P2473" s="11"/>
    </row>
    <row r="2474" spans="8:16" hidden="1" x14ac:dyDescent="0.25">
      <c r="H2474" s="12"/>
      <c r="I2474" s="12"/>
      <c r="J2474" s="12"/>
      <c r="K2474" s="12"/>
      <c r="L2474" s="12"/>
      <c r="M2474" s="11"/>
      <c r="N2474" s="11"/>
      <c r="O2474" s="11"/>
      <c r="P2474" s="11"/>
    </row>
    <row r="2475" spans="8:16" hidden="1" x14ac:dyDescent="0.25">
      <c r="H2475" s="12"/>
      <c r="I2475" s="12"/>
      <c r="J2475" s="12"/>
      <c r="K2475" s="12"/>
      <c r="L2475" s="12"/>
      <c r="M2475" s="11"/>
      <c r="N2475" s="11"/>
      <c r="O2475" s="11"/>
      <c r="P2475" s="11"/>
    </row>
    <row r="2476" spans="8:16" hidden="1" x14ac:dyDescent="0.25">
      <c r="H2476" s="12"/>
      <c r="I2476" s="12"/>
      <c r="J2476" s="12"/>
      <c r="K2476" s="12"/>
      <c r="L2476" s="12"/>
      <c r="M2476" s="11"/>
      <c r="N2476" s="11"/>
      <c r="O2476" s="11"/>
      <c r="P2476" s="11"/>
    </row>
    <row r="2477" spans="8:16" hidden="1" x14ac:dyDescent="0.25">
      <c r="H2477" s="12"/>
      <c r="I2477" s="12"/>
      <c r="J2477" s="12"/>
      <c r="K2477" s="12"/>
      <c r="L2477" s="12"/>
      <c r="M2477" s="11"/>
      <c r="N2477" s="11"/>
      <c r="O2477" s="11"/>
      <c r="P2477" s="11"/>
    </row>
    <row r="2478" spans="8:16" hidden="1" x14ac:dyDescent="0.25">
      <c r="H2478" s="12"/>
      <c r="I2478" s="12"/>
      <c r="J2478" s="12"/>
      <c r="K2478" s="12"/>
      <c r="L2478" s="12"/>
      <c r="M2478" s="11"/>
      <c r="N2478" s="11"/>
      <c r="O2478" s="11"/>
      <c r="P2478" s="11"/>
    </row>
    <row r="2479" spans="8:16" hidden="1" x14ac:dyDescent="0.25">
      <c r="H2479" s="12"/>
      <c r="I2479" s="12"/>
      <c r="J2479" s="12"/>
      <c r="K2479" s="12"/>
      <c r="L2479" s="12"/>
      <c r="M2479" s="11"/>
      <c r="N2479" s="11"/>
      <c r="O2479" s="11"/>
      <c r="P2479" s="11"/>
    </row>
    <row r="2480" spans="8:16" hidden="1" x14ac:dyDescent="0.25">
      <c r="H2480" s="12"/>
      <c r="I2480" s="12"/>
      <c r="J2480" s="12"/>
      <c r="K2480" s="12"/>
      <c r="L2480" s="12"/>
      <c r="M2480" s="11"/>
      <c r="N2480" s="11"/>
      <c r="O2480" s="11"/>
      <c r="P2480" s="11"/>
    </row>
    <row r="2481" spans="8:16" hidden="1" x14ac:dyDescent="0.25">
      <c r="H2481" s="12"/>
      <c r="I2481" s="12"/>
      <c r="J2481" s="12"/>
      <c r="K2481" s="12"/>
      <c r="L2481" s="12"/>
      <c r="M2481" s="11"/>
      <c r="N2481" s="11"/>
      <c r="O2481" s="11"/>
      <c r="P2481" s="11"/>
    </row>
    <row r="2482" spans="8:16" hidden="1" x14ac:dyDescent="0.25">
      <c r="H2482" s="12"/>
      <c r="I2482" s="12"/>
      <c r="J2482" s="12"/>
      <c r="K2482" s="12"/>
      <c r="L2482" s="12"/>
      <c r="M2482" s="11"/>
      <c r="N2482" s="11"/>
      <c r="O2482" s="11"/>
      <c r="P2482" s="11"/>
    </row>
    <row r="2483" spans="8:16" hidden="1" x14ac:dyDescent="0.25">
      <c r="H2483" s="12"/>
      <c r="I2483" s="12"/>
      <c r="J2483" s="12"/>
      <c r="K2483" s="12"/>
      <c r="L2483" s="12"/>
      <c r="M2483" s="11"/>
      <c r="N2483" s="11"/>
      <c r="O2483" s="11"/>
      <c r="P2483" s="11"/>
    </row>
    <row r="2484" spans="8:16" hidden="1" x14ac:dyDescent="0.25">
      <c r="H2484" s="12"/>
      <c r="I2484" s="12"/>
      <c r="J2484" s="12"/>
      <c r="K2484" s="12"/>
      <c r="L2484" s="12"/>
      <c r="M2484" s="11"/>
      <c r="N2484" s="11"/>
      <c r="O2484" s="11"/>
      <c r="P2484" s="11"/>
    </row>
    <row r="2485" spans="8:16" hidden="1" x14ac:dyDescent="0.25">
      <c r="H2485" s="12"/>
      <c r="I2485" s="12"/>
      <c r="J2485" s="12"/>
      <c r="K2485" s="12"/>
      <c r="L2485" s="12"/>
      <c r="M2485" s="11"/>
      <c r="N2485" s="11"/>
      <c r="O2485" s="11"/>
      <c r="P2485" s="11"/>
    </row>
    <row r="2486" spans="8:16" hidden="1" x14ac:dyDescent="0.25">
      <c r="H2486" s="12"/>
      <c r="I2486" s="12"/>
      <c r="J2486" s="12"/>
      <c r="K2486" s="12"/>
      <c r="L2486" s="12"/>
      <c r="M2486" s="11"/>
      <c r="N2486" s="11"/>
      <c r="O2486" s="11"/>
      <c r="P2486" s="11"/>
    </row>
    <row r="2487" spans="8:16" hidden="1" x14ac:dyDescent="0.25">
      <c r="H2487" s="12"/>
      <c r="I2487" s="12"/>
      <c r="J2487" s="12"/>
      <c r="K2487" s="12"/>
      <c r="L2487" s="12"/>
      <c r="M2487" s="11"/>
      <c r="N2487" s="11"/>
      <c r="O2487" s="11"/>
      <c r="P2487" s="11"/>
    </row>
    <row r="2488" spans="8:16" hidden="1" x14ac:dyDescent="0.25">
      <c r="H2488" s="12"/>
      <c r="I2488" s="12"/>
      <c r="J2488" s="12"/>
      <c r="K2488" s="12"/>
      <c r="L2488" s="12"/>
      <c r="M2488" s="11"/>
      <c r="N2488" s="11"/>
      <c r="O2488" s="11"/>
      <c r="P2488" s="11"/>
    </row>
    <row r="2489" spans="8:16" hidden="1" x14ac:dyDescent="0.25">
      <c r="H2489" s="12"/>
      <c r="I2489" s="12"/>
      <c r="J2489" s="12"/>
      <c r="K2489" s="12"/>
      <c r="L2489" s="12"/>
      <c r="M2489" s="11"/>
      <c r="N2489" s="11"/>
      <c r="O2489" s="11"/>
      <c r="P2489" s="11"/>
    </row>
    <row r="2490" spans="8:16" hidden="1" x14ac:dyDescent="0.25">
      <c r="H2490" s="12"/>
      <c r="I2490" s="12"/>
      <c r="J2490" s="12"/>
      <c r="K2490" s="12"/>
      <c r="L2490" s="12"/>
      <c r="M2490" s="11"/>
      <c r="N2490" s="11"/>
      <c r="O2490" s="11"/>
      <c r="P2490" s="11"/>
    </row>
    <row r="2491" spans="8:16" hidden="1" x14ac:dyDescent="0.25">
      <c r="H2491" s="12"/>
      <c r="I2491" s="12"/>
      <c r="J2491" s="12"/>
      <c r="K2491" s="12"/>
      <c r="L2491" s="12"/>
      <c r="M2491" s="11"/>
      <c r="N2491" s="11"/>
      <c r="O2491" s="11"/>
      <c r="P2491" s="11"/>
    </row>
    <row r="2492" spans="8:16" hidden="1" x14ac:dyDescent="0.25">
      <c r="H2492" s="12"/>
      <c r="I2492" s="12"/>
      <c r="J2492" s="12"/>
      <c r="K2492" s="12"/>
      <c r="L2492" s="12"/>
      <c r="M2492" s="11"/>
      <c r="N2492" s="11"/>
      <c r="O2492" s="11"/>
      <c r="P2492" s="11"/>
    </row>
    <row r="2493" spans="8:16" hidden="1" x14ac:dyDescent="0.25">
      <c r="H2493" s="12"/>
      <c r="I2493" s="12"/>
      <c r="J2493" s="12"/>
      <c r="K2493" s="12"/>
      <c r="L2493" s="12"/>
      <c r="M2493" s="11"/>
      <c r="N2493" s="11"/>
      <c r="O2493" s="11"/>
      <c r="P2493" s="11"/>
    </row>
    <row r="2494" spans="8:16" hidden="1" x14ac:dyDescent="0.25">
      <c r="H2494" s="12"/>
      <c r="I2494" s="12"/>
      <c r="J2494" s="12"/>
      <c r="K2494" s="12"/>
      <c r="L2494" s="12"/>
      <c r="M2494" s="11"/>
      <c r="N2494" s="11"/>
      <c r="O2494" s="11"/>
      <c r="P2494" s="11"/>
    </row>
    <row r="2495" spans="8:16" hidden="1" x14ac:dyDescent="0.25">
      <c r="H2495" s="12"/>
      <c r="I2495" s="12"/>
      <c r="J2495" s="12"/>
      <c r="K2495" s="12"/>
      <c r="L2495" s="12"/>
      <c r="M2495" s="11"/>
      <c r="N2495" s="11"/>
      <c r="O2495" s="11"/>
      <c r="P2495" s="11"/>
    </row>
    <row r="2496" spans="8:16" hidden="1" x14ac:dyDescent="0.25">
      <c r="H2496" s="12"/>
      <c r="I2496" s="12"/>
      <c r="J2496" s="12"/>
      <c r="K2496" s="12"/>
      <c r="L2496" s="12"/>
      <c r="M2496" s="11"/>
      <c r="N2496" s="11"/>
      <c r="O2496" s="11"/>
      <c r="P2496" s="11"/>
    </row>
    <row r="2497" spans="8:16" hidden="1" x14ac:dyDescent="0.25">
      <c r="H2497" s="12"/>
      <c r="I2497" s="12"/>
      <c r="J2497" s="12"/>
      <c r="K2497" s="12"/>
      <c r="L2497" s="12"/>
      <c r="M2497" s="11"/>
      <c r="N2497" s="11"/>
      <c r="O2497" s="11"/>
      <c r="P2497" s="11"/>
    </row>
    <row r="2498" spans="8:16" hidden="1" x14ac:dyDescent="0.25">
      <c r="H2498" s="12"/>
      <c r="I2498" s="12"/>
      <c r="J2498" s="12"/>
      <c r="K2498" s="12"/>
      <c r="L2498" s="12"/>
      <c r="M2498" s="11"/>
      <c r="N2498" s="11"/>
      <c r="O2498" s="11"/>
      <c r="P2498" s="11"/>
    </row>
    <row r="2499" spans="8:16" hidden="1" x14ac:dyDescent="0.25">
      <c r="H2499" s="12"/>
      <c r="I2499" s="12"/>
      <c r="J2499" s="12"/>
      <c r="K2499" s="12"/>
      <c r="L2499" s="12"/>
      <c r="M2499" s="11"/>
      <c r="N2499" s="11"/>
      <c r="O2499" s="11"/>
      <c r="P2499" s="11"/>
    </row>
    <row r="2500" spans="8:16" hidden="1" x14ac:dyDescent="0.25">
      <c r="H2500" s="12"/>
      <c r="I2500" s="12"/>
      <c r="J2500" s="12"/>
      <c r="K2500" s="12"/>
      <c r="L2500" s="12"/>
      <c r="M2500" s="11"/>
      <c r="N2500" s="11"/>
      <c r="O2500" s="11"/>
      <c r="P2500" s="11"/>
    </row>
    <row r="2501" spans="8:16" hidden="1" x14ac:dyDescent="0.25">
      <c r="H2501" s="12"/>
      <c r="I2501" s="12"/>
      <c r="J2501" s="12"/>
      <c r="K2501" s="12"/>
      <c r="L2501" s="12"/>
      <c r="M2501" s="11"/>
      <c r="N2501" s="11"/>
      <c r="O2501" s="11"/>
      <c r="P2501" s="11"/>
    </row>
    <row r="2502" spans="8:16" hidden="1" x14ac:dyDescent="0.25">
      <c r="H2502" s="12"/>
      <c r="I2502" s="12"/>
      <c r="J2502" s="12"/>
      <c r="K2502" s="12"/>
      <c r="L2502" s="12"/>
      <c r="M2502" s="11"/>
      <c r="N2502" s="11"/>
      <c r="O2502" s="11"/>
      <c r="P2502" s="11"/>
    </row>
    <row r="2503" spans="8:16" hidden="1" x14ac:dyDescent="0.25">
      <c r="H2503" s="12"/>
      <c r="I2503" s="12"/>
      <c r="J2503" s="12"/>
      <c r="K2503" s="12"/>
      <c r="L2503" s="12"/>
      <c r="M2503" s="11"/>
      <c r="N2503" s="11"/>
      <c r="O2503" s="11"/>
      <c r="P2503" s="11"/>
    </row>
    <row r="2504" spans="8:16" hidden="1" x14ac:dyDescent="0.25">
      <c r="H2504" s="12"/>
      <c r="I2504" s="12"/>
      <c r="J2504" s="12"/>
      <c r="K2504" s="12"/>
      <c r="L2504" s="12"/>
      <c r="M2504" s="11"/>
      <c r="N2504" s="11"/>
      <c r="O2504" s="11"/>
      <c r="P2504" s="11"/>
    </row>
    <row r="2505" spans="8:16" hidden="1" x14ac:dyDescent="0.25">
      <c r="H2505" s="12"/>
      <c r="I2505" s="12"/>
      <c r="J2505" s="12"/>
      <c r="K2505" s="12"/>
      <c r="L2505" s="12"/>
      <c r="M2505" s="11"/>
      <c r="N2505" s="11"/>
      <c r="O2505" s="11"/>
      <c r="P2505" s="11"/>
    </row>
    <row r="2506" spans="8:16" hidden="1" x14ac:dyDescent="0.25">
      <c r="H2506" s="12"/>
      <c r="I2506" s="12"/>
      <c r="J2506" s="12"/>
      <c r="K2506" s="12"/>
      <c r="L2506" s="12"/>
      <c r="M2506" s="11"/>
      <c r="N2506" s="11"/>
      <c r="O2506" s="11"/>
      <c r="P2506" s="11"/>
    </row>
    <row r="2507" spans="8:16" hidden="1" x14ac:dyDescent="0.25">
      <c r="H2507" s="12"/>
      <c r="I2507" s="12"/>
      <c r="J2507" s="12"/>
      <c r="K2507" s="12"/>
      <c r="L2507" s="12"/>
      <c r="M2507" s="11"/>
      <c r="N2507" s="11"/>
      <c r="O2507" s="11"/>
      <c r="P2507" s="11"/>
    </row>
    <row r="2508" spans="8:16" hidden="1" x14ac:dyDescent="0.25">
      <c r="H2508" s="12"/>
      <c r="I2508" s="12"/>
      <c r="J2508" s="12"/>
      <c r="K2508" s="12"/>
      <c r="L2508" s="12"/>
      <c r="M2508" s="11"/>
      <c r="N2508" s="11"/>
      <c r="O2508" s="11"/>
      <c r="P2508" s="11"/>
    </row>
    <row r="2509" spans="8:16" hidden="1" x14ac:dyDescent="0.25">
      <c r="H2509" s="12"/>
      <c r="I2509" s="12"/>
      <c r="J2509" s="12"/>
      <c r="K2509" s="12"/>
      <c r="L2509" s="12"/>
      <c r="M2509" s="11"/>
      <c r="N2509" s="11"/>
      <c r="O2509" s="11"/>
      <c r="P2509" s="11"/>
    </row>
    <row r="2510" spans="8:16" hidden="1" x14ac:dyDescent="0.25">
      <c r="H2510" s="12"/>
      <c r="I2510" s="12"/>
      <c r="J2510" s="12"/>
      <c r="K2510" s="12"/>
      <c r="L2510" s="12"/>
      <c r="M2510" s="11"/>
      <c r="N2510" s="11"/>
      <c r="O2510" s="11"/>
      <c r="P2510" s="11"/>
    </row>
    <row r="2511" spans="8:16" hidden="1" x14ac:dyDescent="0.25">
      <c r="H2511" s="12"/>
      <c r="I2511" s="12"/>
      <c r="J2511" s="12"/>
      <c r="K2511" s="12"/>
      <c r="L2511" s="12"/>
      <c r="M2511" s="11"/>
      <c r="N2511" s="11"/>
      <c r="O2511" s="11"/>
      <c r="P2511" s="11"/>
    </row>
    <row r="2512" spans="8:16" hidden="1" x14ac:dyDescent="0.25">
      <c r="H2512" s="12"/>
      <c r="I2512" s="12"/>
      <c r="J2512" s="12"/>
      <c r="K2512" s="12"/>
      <c r="L2512" s="12"/>
      <c r="M2512" s="11"/>
      <c r="N2512" s="11"/>
      <c r="O2512" s="11"/>
      <c r="P2512" s="11"/>
    </row>
    <row r="2513" spans="8:16" hidden="1" x14ac:dyDescent="0.25">
      <c r="H2513" s="12"/>
      <c r="I2513" s="12"/>
      <c r="J2513" s="12"/>
      <c r="K2513" s="12"/>
      <c r="L2513" s="12"/>
      <c r="M2513" s="11"/>
      <c r="N2513" s="11"/>
      <c r="O2513" s="11"/>
      <c r="P2513" s="11"/>
    </row>
    <row r="2514" spans="8:16" hidden="1" x14ac:dyDescent="0.25">
      <c r="H2514" s="12"/>
      <c r="I2514" s="12"/>
      <c r="J2514" s="12"/>
      <c r="K2514" s="12"/>
      <c r="L2514" s="12"/>
      <c r="M2514" s="11"/>
      <c r="N2514" s="11"/>
      <c r="O2514" s="11"/>
      <c r="P2514" s="11"/>
    </row>
    <row r="2515" spans="8:16" hidden="1" x14ac:dyDescent="0.25">
      <c r="H2515" s="12"/>
      <c r="I2515" s="12"/>
      <c r="J2515" s="12"/>
      <c r="K2515" s="12"/>
      <c r="L2515" s="12"/>
      <c r="M2515" s="11"/>
      <c r="N2515" s="11"/>
      <c r="O2515" s="11"/>
      <c r="P2515" s="11"/>
    </row>
    <row r="2516" spans="8:16" hidden="1" x14ac:dyDescent="0.25">
      <c r="H2516" s="12"/>
      <c r="I2516" s="12"/>
      <c r="J2516" s="12"/>
      <c r="K2516" s="12"/>
      <c r="L2516" s="12"/>
      <c r="M2516" s="11"/>
      <c r="N2516" s="11"/>
      <c r="O2516" s="11"/>
      <c r="P2516" s="11"/>
    </row>
    <row r="2517" spans="8:16" hidden="1" x14ac:dyDescent="0.25">
      <c r="H2517" s="12"/>
      <c r="I2517" s="12"/>
      <c r="J2517" s="12"/>
      <c r="K2517" s="12"/>
      <c r="L2517" s="12"/>
      <c r="M2517" s="11"/>
      <c r="N2517" s="11"/>
      <c r="O2517" s="11"/>
      <c r="P2517" s="11"/>
    </row>
    <row r="2518" spans="8:16" hidden="1" x14ac:dyDescent="0.25">
      <c r="H2518" s="12"/>
      <c r="I2518" s="12"/>
      <c r="J2518" s="12"/>
      <c r="K2518" s="12"/>
      <c r="L2518" s="12"/>
      <c r="M2518" s="11"/>
      <c r="N2518" s="11"/>
      <c r="O2518" s="11"/>
      <c r="P2518" s="11"/>
    </row>
    <row r="2519" spans="8:16" hidden="1" x14ac:dyDescent="0.25">
      <c r="H2519" s="12"/>
      <c r="I2519" s="12"/>
      <c r="J2519" s="12"/>
      <c r="K2519" s="12"/>
      <c r="L2519" s="12"/>
      <c r="M2519" s="11"/>
      <c r="N2519" s="11"/>
      <c r="O2519" s="11"/>
      <c r="P2519" s="11"/>
    </row>
    <row r="2520" spans="8:16" hidden="1" x14ac:dyDescent="0.25">
      <c r="H2520" s="12"/>
      <c r="I2520" s="12"/>
      <c r="J2520" s="12"/>
      <c r="K2520" s="12"/>
      <c r="L2520" s="12"/>
      <c r="M2520" s="11"/>
      <c r="N2520" s="11"/>
      <c r="O2520" s="11"/>
      <c r="P2520" s="11"/>
    </row>
    <row r="2521" spans="8:16" hidden="1" x14ac:dyDescent="0.25">
      <c r="H2521" s="12"/>
      <c r="I2521" s="12"/>
      <c r="J2521" s="12"/>
      <c r="K2521" s="12"/>
      <c r="L2521" s="12"/>
      <c r="M2521" s="11"/>
      <c r="N2521" s="11"/>
      <c r="O2521" s="11"/>
      <c r="P2521" s="11"/>
    </row>
    <row r="2522" spans="8:16" hidden="1" x14ac:dyDescent="0.25">
      <c r="H2522" s="12"/>
      <c r="I2522" s="12"/>
      <c r="J2522" s="12"/>
      <c r="K2522" s="12"/>
      <c r="L2522" s="12"/>
      <c r="M2522" s="11"/>
      <c r="N2522" s="11"/>
      <c r="O2522" s="11"/>
      <c r="P2522" s="11"/>
    </row>
    <row r="2523" spans="8:16" hidden="1" x14ac:dyDescent="0.25">
      <c r="H2523" s="12"/>
      <c r="I2523" s="12"/>
      <c r="J2523" s="12"/>
      <c r="K2523" s="12"/>
      <c r="L2523" s="12"/>
      <c r="M2523" s="11"/>
      <c r="N2523" s="11"/>
      <c r="O2523" s="11"/>
      <c r="P2523" s="11"/>
    </row>
    <row r="2524" spans="8:16" hidden="1" x14ac:dyDescent="0.25">
      <c r="H2524" s="12"/>
      <c r="I2524" s="12"/>
      <c r="J2524" s="12"/>
      <c r="K2524" s="12"/>
      <c r="L2524" s="12"/>
      <c r="M2524" s="11"/>
      <c r="N2524" s="11"/>
      <c r="O2524" s="11"/>
      <c r="P2524" s="11"/>
    </row>
    <row r="2525" spans="8:16" hidden="1" x14ac:dyDescent="0.25">
      <c r="H2525" s="12"/>
      <c r="I2525" s="12"/>
      <c r="J2525" s="12"/>
      <c r="K2525" s="12"/>
      <c r="L2525" s="12"/>
      <c r="M2525" s="11"/>
      <c r="N2525" s="11"/>
      <c r="O2525" s="11"/>
      <c r="P2525" s="11"/>
    </row>
    <row r="2526" spans="8:16" hidden="1" x14ac:dyDescent="0.25">
      <c r="H2526" s="12"/>
      <c r="I2526" s="12"/>
      <c r="J2526" s="12"/>
      <c r="K2526" s="12"/>
      <c r="L2526" s="12"/>
      <c r="M2526" s="11"/>
      <c r="N2526" s="11"/>
      <c r="O2526" s="11"/>
      <c r="P2526" s="11"/>
    </row>
    <row r="2527" spans="8:16" hidden="1" x14ac:dyDescent="0.25">
      <c r="H2527" s="12"/>
      <c r="I2527" s="12"/>
      <c r="J2527" s="12"/>
      <c r="K2527" s="12"/>
      <c r="L2527" s="12"/>
      <c r="M2527" s="11"/>
      <c r="N2527" s="11"/>
      <c r="O2527" s="11"/>
      <c r="P2527" s="11"/>
    </row>
    <row r="2528" spans="8:16" hidden="1" x14ac:dyDescent="0.25">
      <c r="H2528" s="12"/>
      <c r="I2528" s="12"/>
      <c r="J2528" s="12"/>
      <c r="K2528" s="12"/>
      <c r="L2528" s="12"/>
      <c r="M2528" s="11"/>
      <c r="N2528" s="11"/>
      <c r="O2528" s="11"/>
      <c r="P2528" s="11"/>
    </row>
    <row r="2529" spans="8:16" hidden="1" x14ac:dyDescent="0.25">
      <c r="H2529" s="12"/>
      <c r="I2529" s="12"/>
      <c r="J2529" s="12"/>
      <c r="K2529" s="12"/>
      <c r="L2529" s="12"/>
      <c r="M2529" s="11"/>
      <c r="N2529" s="11"/>
      <c r="O2529" s="11"/>
      <c r="P2529" s="11"/>
    </row>
    <row r="2530" spans="8:16" hidden="1" x14ac:dyDescent="0.25">
      <c r="H2530" s="12"/>
      <c r="I2530" s="12"/>
      <c r="J2530" s="12"/>
      <c r="K2530" s="12"/>
      <c r="L2530" s="12"/>
      <c r="M2530" s="11"/>
      <c r="N2530" s="11"/>
      <c r="O2530" s="11"/>
      <c r="P2530" s="11"/>
    </row>
    <row r="2531" spans="8:16" hidden="1" x14ac:dyDescent="0.25">
      <c r="H2531" s="12"/>
      <c r="I2531" s="12"/>
      <c r="J2531" s="12"/>
      <c r="K2531" s="12"/>
      <c r="L2531" s="12"/>
      <c r="M2531" s="11"/>
      <c r="N2531" s="11"/>
      <c r="O2531" s="11"/>
      <c r="P2531" s="11"/>
    </row>
    <row r="2532" spans="8:16" hidden="1" x14ac:dyDescent="0.25">
      <c r="H2532" s="12"/>
      <c r="I2532" s="12"/>
      <c r="J2532" s="12"/>
      <c r="K2532" s="12"/>
      <c r="L2532" s="12"/>
      <c r="M2532" s="11"/>
      <c r="N2532" s="11"/>
      <c r="O2532" s="11"/>
      <c r="P2532" s="11"/>
    </row>
    <row r="2533" spans="8:16" hidden="1" x14ac:dyDescent="0.25">
      <c r="H2533" s="12"/>
      <c r="I2533" s="12"/>
      <c r="J2533" s="12"/>
      <c r="K2533" s="12"/>
      <c r="L2533" s="12"/>
      <c r="M2533" s="11"/>
      <c r="N2533" s="11"/>
      <c r="O2533" s="11"/>
      <c r="P2533" s="11"/>
    </row>
    <row r="2534" spans="8:16" hidden="1" x14ac:dyDescent="0.25">
      <c r="H2534" s="12"/>
      <c r="I2534" s="12"/>
      <c r="J2534" s="12"/>
      <c r="K2534" s="12"/>
      <c r="L2534" s="12"/>
      <c r="M2534" s="11"/>
      <c r="N2534" s="11"/>
      <c r="O2534" s="11"/>
      <c r="P2534" s="11"/>
    </row>
    <row r="2535" spans="8:16" hidden="1" x14ac:dyDescent="0.25">
      <c r="H2535" s="12"/>
      <c r="I2535" s="12"/>
      <c r="J2535" s="12"/>
      <c r="K2535" s="12"/>
      <c r="L2535" s="12"/>
      <c r="M2535" s="11"/>
      <c r="N2535" s="11"/>
      <c r="O2535" s="11"/>
      <c r="P2535" s="11"/>
    </row>
    <row r="2536" spans="8:16" hidden="1" x14ac:dyDescent="0.25">
      <c r="H2536" s="12"/>
      <c r="I2536" s="12"/>
      <c r="J2536" s="12"/>
      <c r="K2536" s="12"/>
      <c r="L2536" s="12"/>
      <c r="M2536" s="11"/>
      <c r="N2536" s="11"/>
      <c r="O2536" s="11"/>
      <c r="P2536" s="11"/>
    </row>
    <row r="2537" spans="8:16" hidden="1" x14ac:dyDescent="0.25">
      <c r="H2537" s="12"/>
      <c r="I2537" s="12"/>
      <c r="J2537" s="12"/>
      <c r="K2537" s="12"/>
      <c r="L2537" s="12"/>
      <c r="M2537" s="11"/>
      <c r="N2537" s="11"/>
      <c r="O2537" s="11"/>
      <c r="P2537" s="11"/>
    </row>
    <row r="2538" spans="8:16" hidden="1" x14ac:dyDescent="0.25">
      <c r="H2538" s="12"/>
      <c r="I2538" s="12"/>
      <c r="J2538" s="12"/>
      <c r="K2538" s="12"/>
      <c r="L2538" s="12"/>
      <c r="M2538" s="11"/>
      <c r="N2538" s="11"/>
      <c r="O2538" s="11"/>
      <c r="P2538" s="11"/>
    </row>
    <row r="2539" spans="8:16" hidden="1" x14ac:dyDescent="0.25">
      <c r="H2539" s="12"/>
      <c r="I2539" s="12"/>
      <c r="J2539" s="12"/>
      <c r="K2539" s="12"/>
      <c r="L2539" s="12"/>
      <c r="M2539" s="11"/>
      <c r="N2539" s="11"/>
      <c r="O2539" s="11"/>
      <c r="P2539" s="11"/>
    </row>
    <row r="2540" spans="8:16" hidden="1" x14ac:dyDescent="0.25">
      <c r="H2540" s="12"/>
      <c r="I2540" s="12"/>
      <c r="J2540" s="12"/>
      <c r="K2540" s="12"/>
      <c r="L2540" s="12"/>
      <c r="M2540" s="11"/>
      <c r="N2540" s="11"/>
      <c r="O2540" s="11"/>
      <c r="P2540" s="11"/>
    </row>
    <row r="2541" spans="8:16" hidden="1" x14ac:dyDescent="0.25">
      <c r="H2541" s="12"/>
      <c r="I2541" s="12"/>
      <c r="J2541" s="12"/>
      <c r="K2541" s="12"/>
      <c r="L2541" s="12"/>
      <c r="M2541" s="11"/>
      <c r="N2541" s="11"/>
      <c r="O2541" s="11"/>
      <c r="P2541" s="11"/>
    </row>
    <row r="2542" spans="8:16" hidden="1" x14ac:dyDescent="0.25">
      <c r="H2542" s="12"/>
      <c r="I2542" s="12"/>
      <c r="J2542" s="12"/>
      <c r="K2542" s="12"/>
      <c r="L2542" s="12"/>
      <c r="M2542" s="11"/>
      <c r="N2542" s="11"/>
      <c r="O2542" s="11"/>
      <c r="P2542" s="11"/>
    </row>
    <row r="2543" spans="8:16" hidden="1" x14ac:dyDescent="0.25">
      <c r="H2543" s="12"/>
      <c r="I2543" s="12"/>
      <c r="J2543" s="12"/>
      <c r="K2543" s="12"/>
      <c r="L2543" s="12"/>
      <c r="M2543" s="11"/>
      <c r="N2543" s="11"/>
      <c r="O2543" s="11"/>
      <c r="P2543" s="11"/>
    </row>
    <row r="2544" spans="8:16" hidden="1" x14ac:dyDescent="0.25">
      <c r="H2544" s="12"/>
      <c r="I2544" s="12"/>
      <c r="J2544" s="12"/>
      <c r="K2544" s="12"/>
      <c r="L2544" s="12"/>
      <c r="M2544" s="11"/>
      <c r="N2544" s="11"/>
      <c r="O2544" s="11"/>
      <c r="P2544" s="11"/>
    </row>
    <row r="2545" spans="8:16" hidden="1" x14ac:dyDescent="0.25">
      <c r="H2545" s="12"/>
      <c r="I2545" s="12"/>
      <c r="J2545" s="12"/>
      <c r="K2545" s="12"/>
      <c r="L2545" s="12"/>
      <c r="M2545" s="11"/>
      <c r="N2545" s="11"/>
      <c r="O2545" s="11"/>
      <c r="P2545" s="11"/>
    </row>
    <row r="2546" spans="8:16" hidden="1" x14ac:dyDescent="0.25">
      <c r="H2546" s="12"/>
      <c r="I2546" s="12"/>
      <c r="J2546" s="12"/>
      <c r="K2546" s="12"/>
      <c r="L2546" s="12"/>
      <c r="M2546" s="11"/>
      <c r="N2546" s="11"/>
      <c r="O2546" s="11"/>
      <c r="P2546" s="11"/>
    </row>
    <row r="2547" spans="8:16" hidden="1" x14ac:dyDescent="0.25">
      <c r="H2547" s="12"/>
      <c r="I2547" s="12"/>
      <c r="J2547" s="12"/>
      <c r="K2547" s="12"/>
      <c r="L2547" s="12"/>
      <c r="M2547" s="11"/>
      <c r="N2547" s="11"/>
      <c r="O2547" s="11"/>
      <c r="P2547" s="11"/>
    </row>
    <row r="2548" spans="8:16" hidden="1" x14ac:dyDescent="0.25">
      <c r="H2548" s="12"/>
      <c r="I2548" s="12"/>
      <c r="J2548" s="12"/>
      <c r="K2548" s="12"/>
      <c r="L2548" s="12"/>
      <c r="M2548" s="11"/>
      <c r="N2548" s="11"/>
      <c r="O2548" s="11"/>
      <c r="P2548" s="11"/>
    </row>
    <row r="2549" spans="8:16" hidden="1" x14ac:dyDescent="0.25">
      <c r="H2549" s="12"/>
      <c r="I2549" s="12"/>
      <c r="J2549" s="12"/>
      <c r="K2549" s="12"/>
      <c r="L2549" s="12"/>
      <c r="M2549" s="11"/>
      <c r="N2549" s="11"/>
      <c r="O2549" s="11"/>
      <c r="P2549" s="11"/>
    </row>
    <row r="2550" spans="8:16" hidden="1" x14ac:dyDescent="0.25">
      <c r="H2550" s="12"/>
      <c r="I2550" s="12"/>
      <c r="J2550" s="12"/>
      <c r="K2550" s="12"/>
      <c r="L2550" s="12"/>
      <c r="M2550" s="11"/>
      <c r="N2550" s="11"/>
      <c r="O2550" s="11"/>
      <c r="P2550" s="11"/>
    </row>
    <row r="2551" spans="8:16" hidden="1" x14ac:dyDescent="0.25">
      <c r="H2551" s="12"/>
      <c r="I2551" s="12"/>
      <c r="J2551" s="12"/>
      <c r="K2551" s="12"/>
      <c r="L2551" s="12"/>
      <c r="M2551" s="11"/>
      <c r="N2551" s="11"/>
      <c r="O2551" s="11"/>
      <c r="P2551" s="11"/>
    </row>
    <row r="2552" spans="8:16" hidden="1" x14ac:dyDescent="0.25">
      <c r="H2552" s="12"/>
      <c r="I2552" s="12"/>
      <c r="J2552" s="12"/>
      <c r="K2552" s="12"/>
      <c r="L2552" s="12"/>
      <c r="M2552" s="11"/>
      <c r="N2552" s="11"/>
      <c r="O2552" s="11"/>
      <c r="P2552" s="11"/>
    </row>
    <row r="2553" spans="8:16" hidden="1" x14ac:dyDescent="0.25">
      <c r="H2553" s="12"/>
      <c r="I2553" s="12"/>
      <c r="J2553" s="12"/>
      <c r="K2553" s="12"/>
      <c r="L2553" s="12"/>
      <c r="M2553" s="11"/>
      <c r="N2553" s="11"/>
      <c r="O2553" s="11"/>
      <c r="P2553" s="11"/>
    </row>
    <row r="2554" spans="8:16" hidden="1" x14ac:dyDescent="0.25">
      <c r="H2554" s="12"/>
      <c r="I2554" s="12"/>
      <c r="J2554" s="12"/>
      <c r="K2554" s="12"/>
      <c r="L2554" s="12"/>
      <c r="M2554" s="11"/>
      <c r="N2554" s="11"/>
      <c r="O2554" s="11"/>
      <c r="P2554" s="11"/>
    </row>
    <row r="2555" spans="8:16" hidden="1" x14ac:dyDescent="0.25">
      <c r="H2555" s="12"/>
      <c r="I2555" s="12"/>
      <c r="J2555" s="12"/>
      <c r="K2555" s="12"/>
      <c r="L2555" s="12"/>
      <c r="M2555" s="11"/>
      <c r="N2555" s="11"/>
      <c r="O2555" s="11"/>
      <c r="P2555" s="11"/>
    </row>
    <row r="2556" spans="8:16" hidden="1" x14ac:dyDescent="0.25">
      <c r="H2556" s="12"/>
      <c r="I2556" s="12"/>
      <c r="J2556" s="12"/>
      <c r="K2556" s="12"/>
      <c r="L2556" s="12"/>
      <c r="M2556" s="11"/>
      <c r="N2556" s="11"/>
      <c r="O2556" s="11"/>
      <c r="P2556" s="11"/>
    </row>
    <row r="2557" spans="8:16" hidden="1" x14ac:dyDescent="0.25">
      <c r="H2557" s="12"/>
      <c r="I2557" s="12"/>
      <c r="J2557" s="12"/>
      <c r="K2557" s="12"/>
      <c r="L2557" s="12"/>
      <c r="M2557" s="11"/>
      <c r="N2557" s="11"/>
      <c r="O2557" s="11"/>
      <c r="P2557" s="11"/>
    </row>
    <row r="2558" spans="8:16" hidden="1" x14ac:dyDescent="0.25">
      <c r="H2558" s="12"/>
      <c r="I2558" s="12"/>
      <c r="J2558" s="12"/>
      <c r="K2558" s="12"/>
      <c r="L2558" s="12"/>
      <c r="M2558" s="11"/>
      <c r="N2558" s="11"/>
      <c r="O2558" s="11"/>
      <c r="P2558" s="11"/>
    </row>
    <row r="2559" spans="8:16" hidden="1" x14ac:dyDescent="0.25">
      <c r="H2559" s="12"/>
      <c r="I2559" s="12"/>
      <c r="J2559" s="12"/>
      <c r="K2559" s="12"/>
      <c r="L2559" s="12"/>
      <c r="M2559" s="11"/>
      <c r="N2559" s="11"/>
      <c r="O2559" s="11"/>
      <c r="P2559" s="11"/>
    </row>
    <row r="2560" spans="8:16" hidden="1" x14ac:dyDescent="0.25">
      <c r="H2560" s="12"/>
      <c r="I2560" s="12"/>
      <c r="J2560" s="12"/>
      <c r="K2560" s="12"/>
      <c r="L2560" s="12"/>
      <c r="M2560" s="11"/>
      <c r="N2560" s="11"/>
      <c r="O2560" s="11"/>
      <c r="P2560" s="11"/>
    </row>
    <row r="2561" spans="8:16" hidden="1" x14ac:dyDescent="0.25">
      <c r="H2561" s="12"/>
      <c r="I2561" s="12"/>
      <c r="J2561" s="12"/>
      <c r="K2561" s="12"/>
      <c r="L2561" s="12"/>
      <c r="M2561" s="11"/>
      <c r="N2561" s="11"/>
      <c r="O2561" s="11"/>
      <c r="P2561" s="11"/>
    </row>
    <row r="2562" spans="8:16" hidden="1" x14ac:dyDescent="0.25">
      <c r="H2562" s="12"/>
      <c r="I2562" s="12"/>
      <c r="J2562" s="12"/>
      <c r="K2562" s="12"/>
      <c r="L2562" s="12"/>
      <c r="M2562" s="11"/>
      <c r="N2562" s="11"/>
      <c r="O2562" s="11"/>
      <c r="P2562" s="11"/>
    </row>
    <row r="2563" spans="8:16" hidden="1" x14ac:dyDescent="0.25">
      <c r="H2563" s="12"/>
      <c r="I2563" s="12"/>
      <c r="J2563" s="12"/>
      <c r="K2563" s="12"/>
      <c r="L2563" s="12"/>
      <c r="M2563" s="11"/>
      <c r="N2563" s="11"/>
      <c r="O2563" s="11"/>
      <c r="P2563" s="11"/>
    </row>
    <row r="2564" spans="8:16" hidden="1" x14ac:dyDescent="0.25">
      <c r="H2564" s="12"/>
      <c r="I2564" s="12"/>
      <c r="J2564" s="12"/>
      <c r="K2564" s="12"/>
      <c r="L2564" s="12"/>
      <c r="M2564" s="11"/>
      <c r="N2564" s="11"/>
      <c r="O2564" s="11"/>
      <c r="P2564" s="11"/>
    </row>
    <row r="2565" spans="8:16" hidden="1" x14ac:dyDescent="0.25">
      <c r="H2565" s="12"/>
      <c r="I2565" s="12"/>
      <c r="J2565" s="12"/>
      <c r="K2565" s="12"/>
      <c r="L2565" s="12"/>
      <c r="M2565" s="11"/>
      <c r="N2565" s="11"/>
      <c r="O2565" s="11"/>
      <c r="P2565" s="11"/>
    </row>
    <row r="2566" spans="8:16" hidden="1" x14ac:dyDescent="0.25">
      <c r="H2566" s="12"/>
      <c r="I2566" s="12"/>
      <c r="J2566" s="12"/>
      <c r="K2566" s="12"/>
      <c r="L2566" s="12"/>
      <c r="M2566" s="11"/>
      <c r="N2566" s="11"/>
      <c r="O2566" s="11"/>
      <c r="P2566" s="11"/>
    </row>
    <row r="2567" spans="8:16" hidden="1" x14ac:dyDescent="0.25">
      <c r="H2567" s="12"/>
      <c r="I2567" s="12"/>
      <c r="J2567" s="12"/>
      <c r="K2567" s="12"/>
      <c r="L2567" s="12"/>
      <c r="M2567" s="11"/>
      <c r="N2567" s="11"/>
      <c r="O2567" s="11"/>
      <c r="P2567" s="11"/>
    </row>
    <row r="2568" spans="8:16" hidden="1" x14ac:dyDescent="0.25">
      <c r="H2568" s="12"/>
      <c r="I2568" s="12"/>
      <c r="J2568" s="12"/>
      <c r="K2568" s="12"/>
      <c r="L2568" s="12"/>
      <c r="M2568" s="11"/>
      <c r="N2568" s="11"/>
      <c r="O2568" s="11"/>
      <c r="P2568" s="11"/>
    </row>
    <row r="2569" spans="8:16" hidden="1" x14ac:dyDescent="0.25">
      <c r="H2569" s="12"/>
      <c r="I2569" s="12"/>
      <c r="J2569" s="12"/>
      <c r="K2569" s="12"/>
      <c r="L2569" s="12"/>
      <c r="M2569" s="11"/>
      <c r="N2569" s="11"/>
      <c r="O2569" s="11"/>
      <c r="P2569" s="11"/>
    </row>
    <row r="2570" spans="8:16" hidden="1" x14ac:dyDescent="0.25">
      <c r="H2570" s="12"/>
      <c r="I2570" s="12"/>
      <c r="J2570" s="12"/>
      <c r="K2570" s="12"/>
      <c r="L2570" s="12"/>
      <c r="M2570" s="11"/>
      <c r="N2570" s="11"/>
      <c r="O2570" s="11"/>
      <c r="P2570" s="11"/>
    </row>
    <row r="2571" spans="8:16" hidden="1" x14ac:dyDescent="0.25">
      <c r="H2571" s="12"/>
      <c r="I2571" s="12"/>
      <c r="J2571" s="12"/>
      <c r="K2571" s="12"/>
      <c r="L2571" s="12"/>
      <c r="M2571" s="11"/>
      <c r="N2571" s="11"/>
      <c r="O2571" s="11"/>
      <c r="P2571" s="11"/>
    </row>
    <row r="2572" spans="8:16" hidden="1" x14ac:dyDescent="0.25">
      <c r="H2572" s="12"/>
      <c r="I2572" s="12"/>
      <c r="J2572" s="12"/>
      <c r="K2572" s="12"/>
      <c r="L2572" s="12"/>
      <c r="M2572" s="11"/>
      <c r="N2572" s="11"/>
      <c r="O2572" s="11"/>
      <c r="P2572" s="11"/>
    </row>
    <row r="2573" spans="8:16" hidden="1" x14ac:dyDescent="0.25">
      <c r="H2573" s="12"/>
      <c r="I2573" s="12"/>
      <c r="J2573" s="12"/>
      <c r="K2573" s="12"/>
      <c r="L2573" s="12"/>
      <c r="M2573" s="11"/>
      <c r="N2573" s="11"/>
      <c r="O2573" s="11"/>
      <c r="P2573" s="11"/>
    </row>
    <row r="2574" spans="8:16" hidden="1" x14ac:dyDescent="0.25">
      <c r="H2574" s="12"/>
      <c r="I2574" s="12"/>
      <c r="J2574" s="12"/>
      <c r="K2574" s="12"/>
      <c r="L2574" s="12"/>
      <c r="M2574" s="11"/>
      <c r="N2574" s="11"/>
      <c r="O2574" s="11"/>
      <c r="P2574" s="11"/>
    </row>
    <row r="2575" spans="8:16" hidden="1" x14ac:dyDescent="0.25">
      <c r="H2575" s="12"/>
      <c r="I2575" s="12"/>
      <c r="J2575" s="12"/>
      <c r="K2575" s="12"/>
      <c r="L2575" s="12"/>
      <c r="M2575" s="11"/>
      <c r="N2575" s="11"/>
      <c r="O2575" s="11"/>
      <c r="P2575" s="11"/>
    </row>
    <row r="2576" spans="8:16" hidden="1" x14ac:dyDescent="0.25">
      <c r="H2576" s="12"/>
      <c r="I2576" s="12"/>
      <c r="J2576" s="12"/>
      <c r="K2576" s="12"/>
      <c r="L2576" s="12"/>
      <c r="M2576" s="11"/>
      <c r="N2576" s="11"/>
      <c r="O2576" s="11"/>
      <c r="P2576" s="11"/>
    </row>
    <row r="2577" spans="8:16" hidden="1" x14ac:dyDescent="0.25">
      <c r="H2577" s="12"/>
      <c r="I2577" s="12"/>
      <c r="J2577" s="12"/>
      <c r="K2577" s="12"/>
      <c r="L2577" s="12"/>
      <c r="M2577" s="11"/>
      <c r="N2577" s="11"/>
      <c r="O2577" s="11"/>
      <c r="P2577" s="11"/>
    </row>
    <row r="2578" spans="8:16" hidden="1" x14ac:dyDescent="0.25">
      <c r="H2578" s="12"/>
      <c r="I2578" s="12"/>
      <c r="J2578" s="12"/>
      <c r="K2578" s="12"/>
      <c r="L2578" s="12"/>
      <c r="M2578" s="11"/>
      <c r="N2578" s="11"/>
      <c r="O2578" s="11"/>
      <c r="P2578" s="11"/>
    </row>
    <row r="2579" spans="8:16" hidden="1" x14ac:dyDescent="0.25">
      <c r="H2579" s="12"/>
      <c r="I2579" s="12"/>
      <c r="J2579" s="12"/>
      <c r="K2579" s="12"/>
      <c r="L2579" s="12"/>
      <c r="M2579" s="11"/>
      <c r="N2579" s="11"/>
      <c r="O2579" s="11"/>
      <c r="P2579" s="11"/>
    </row>
    <row r="2580" spans="8:16" hidden="1" x14ac:dyDescent="0.25">
      <c r="H2580" s="12"/>
      <c r="I2580" s="12"/>
      <c r="J2580" s="12"/>
      <c r="K2580" s="12"/>
      <c r="L2580" s="12"/>
      <c r="M2580" s="11"/>
      <c r="N2580" s="11"/>
      <c r="O2580" s="11"/>
      <c r="P2580" s="11"/>
    </row>
    <row r="2581" spans="8:16" hidden="1" x14ac:dyDescent="0.25">
      <c r="H2581" s="12"/>
      <c r="I2581" s="12"/>
      <c r="J2581" s="12"/>
      <c r="K2581" s="12"/>
      <c r="L2581" s="12"/>
      <c r="M2581" s="11"/>
      <c r="N2581" s="11"/>
      <c r="O2581" s="11"/>
      <c r="P2581" s="11"/>
    </row>
    <row r="2582" spans="8:16" hidden="1" x14ac:dyDescent="0.25">
      <c r="H2582" s="12"/>
      <c r="I2582" s="12"/>
      <c r="J2582" s="12"/>
      <c r="K2582" s="12"/>
      <c r="L2582" s="12"/>
      <c r="M2582" s="11"/>
      <c r="N2582" s="11"/>
      <c r="O2582" s="11"/>
      <c r="P2582" s="11"/>
    </row>
    <row r="2583" spans="8:16" hidden="1" x14ac:dyDescent="0.25">
      <c r="H2583" s="12"/>
      <c r="I2583" s="12"/>
      <c r="J2583" s="12"/>
      <c r="K2583" s="12"/>
      <c r="L2583" s="12"/>
      <c r="M2583" s="11"/>
      <c r="N2583" s="11"/>
      <c r="O2583" s="11"/>
      <c r="P2583" s="11"/>
    </row>
    <row r="2584" spans="8:16" hidden="1" x14ac:dyDescent="0.25">
      <c r="H2584" s="12"/>
      <c r="I2584" s="12"/>
      <c r="J2584" s="12"/>
      <c r="K2584" s="12"/>
      <c r="L2584" s="12"/>
      <c r="M2584" s="11"/>
      <c r="N2584" s="11"/>
      <c r="O2584" s="11"/>
      <c r="P2584" s="11"/>
    </row>
    <row r="2585" spans="8:16" hidden="1" x14ac:dyDescent="0.25">
      <c r="H2585" s="12"/>
      <c r="I2585" s="12"/>
      <c r="J2585" s="12"/>
      <c r="K2585" s="12"/>
      <c r="L2585" s="12"/>
      <c r="M2585" s="11"/>
      <c r="N2585" s="11"/>
      <c r="O2585" s="11"/>
      <c r="P2585" s="11"/>
    </row>
    <row r="2586" spans="8:16" hidden="1" x14ac:dyDescent="0.25">
      <c r="H2586" s="12"/>
      <c r="I2586" s="12"/>
      <c r="J2586" s="12"/>
      <c r="K2586" s="12"/>
      <c r="L2586" s="12"/>
      <c r="M2586" s="11"/>
      <c r="N2586" s="11"/>
      <c r="O2586" s="11"/>
      <c r="P2586" s="11"/>
    </row>
    <row r="2587" spans="8:16" hidden="1" x14ac:dyDescent="0.25">
      <c r="H2587" s="12"/>
      <c r="I2587" s="12"/>
      <c r="J2587" s="12"/>
      <c r="K2587" s="12"/>
      <c r="L2587" s="12"/>
      <c r="M2587" s="11"/>
      <c r="N2587" s="11"/>
      <c r="O2587" s="11"/>
      <c r="P2587" s="11"/>
    </row>
    <row r="2588" spans="8:16" hidden="1" x14ac:dyDescent="0.25">
      <c r="H2588" s="12"/>
      <c r="I2588" s="12"/>
      <c r="J2588" s="12"/>
      <c r="K2588" s="12"/>
      <c r="L2588" s="12"/>
      <c r="M2588" s="11"/>
      <c r="N2588" s="11"/>
      <c r="O2588" s="11"/>
      <c r="P2588" s="11"/>
    </row>
    <row r="2589" spans="8:16" hidden="1" x14ac:dyDescent="0.25">
      <c r="H2589" s="12"/>
      <c r="I2589" s="12"/>
      <c r="J2589" s="12"/>
      <c r="K2589" s="12"/>
      <c r="L2589" s="12"/>
      <c r="M2589" s="11"/>
      <c r="N2589" s="11"/>
      <c r="O2589" s="11"/>
      <c r="P2589" s="11"/>
    </row>
    <row r="2590" spans="8:16" hidden="1" x14ac:dyDescent="0.25">
      <c r="H2590" s="12"/>
      <c r="I2590" s="12"/>
      <c r="J2590" s="12"/>
      <c r="K2590" s="12"/>
      <c r="L2590" s="12"/>
      <c r="M2590" s="11"/>
      <c r="N2590" s="11"/>
      <c r="O2590" s="11"/>
      <c r="P2590" s="11"/>
    </row>
    <row r="2591" spans="8:16" hidden="1" x14ac:dyDescent="0.25">
      <c r="H2591" s="12"/>
      <c r="I2591" s="12"/>
      <c r="J2591" s="12"/>
      <c r="K2591" s="12"/>
      <c r="L2591" s="12"/>
      <c r="M2591" s="11"/>
      <c r="N2591" s="11"/>
      <c r="O2591" s="11"/>
      <c r="P2591" s="11"/>
    </row>
    <row r="2592" spans="8:16" hidden="1" x14ac:dyDescent="0.25">
      <c r="H2592" s="12"/>
      <c r="I2592" s="12"/>
      <c r="J2592" s="12"/>
      <c r="K2592" s="12"/>
      <c r="L2592" s="12"/>
      <c r="M2592" s="11"/>
      <c r="N2592" s="11"/>
      <c r="O2592" s="11"/>
      <c r="P2592" s="11"/>
    </row>
    <row r="2593" spans="8:16" hidden="1" x14ac:dyDescent="0.25">
      <c r="H2593" s="12"/>
      <c r="I2593" s="12"/>
      <c r="J2593" s="12"/>
      <c r="K2593" s="12"/>
      <c r="L2593" s="12"/>
      <c r="M2593" s="11"/>
      <c r="N2593" s="11"/>
      <c r="O2593" s="11"/>
      <c r="P2593" s="11"/>
    </row>
    <row r="2594" spans="8:16" hidden="1" x14ac:dyDescent="0.25">
      <c r="H2594" s="12"/>
      <c r="I2594" s="12"/>
      <c r="J2594" s="12"/>
      <c r="K2594" s="12"/>
      <c r="L2594" s="12"/>
      <c r="M2594" s="11"/>
      <c r="N2594" s="11"/>
      <c r="O2594" s="11"/>
      <c r="P2594" s="11"/>
    </row>
    <row r="2595" spans="8:16" hidden="1" x14ac:dyDescent="0.25">
      <c r="H2595" s="12"/>
      <c r="I2595" s="12"/>
      <c r="J2595" s="12"/>
      <c r="K2595" s="12"/>
      <c r="L2595" s="12"/>
      <c r="M2595" s="11"/>
      <c r="N2595" s="11"/>
      <c r="O2595" s="11"/>
      <c r="P2595" s="11"/>
    </row>
    <row r="2596" spans="8:16" hidden="1" x14ac:dyDescent="0.25">
      <c r="H2596" s="12"/>
      <c r="I2596" s="12"/>
      <c r="J2596" s="12"/>
      <c r="K2596" s="12"/>
      <c r="L2596" s="12"/>
      <c r="M2596" s="11"/>
      <c r="N2596" s="11"/>
      <c r="O2596" s="11"/>
      <c r="P2596" s="11"/>
    </row>
    <row r="2597" spans="8:16" hidden="1" x14ac:dyDescent="0.25">
      <c r="H2597" s="12"/>
      <c r="I2597" s="12"/>
      <c r="J2597" s="12"/>
      <c r="K2597" s="12"/>
      <c r="L2597" s="12"/>
      <c r="M2597" s="11"/>
      <c r="N2597" s="11"/>
      <c r="O2597" s="11"/>
      <c r="P2597" s="11"/>
    </row>
    <row r="2598" spans="8:16" hidden="1" x14ac:dyDescent="0.25">
      <c r="H2598" s="12"/>
      <c r="I2598" s="12"/>
      <c r="J2598" s="12"/>
      <c r="K2598" s="12"/>
      <c r="L2598" s="12"/>
      <c r="M2598" s="11"/>
      <c r="N2598" s="11"/>
      <c r="O2598" s="11"/>
      <c r="P2598" s="11"/>
    </row>
    <row r="2599" spans="8:16" hidden="1" x14ac:dyDescent="0.25">
      <c r="H2599" s="12"/>
      <c r="I2599" s="12"/>
      <c r="J2599" s="12"/>
      <c r="K2599" s="12"/>
      <c r="L2599" s="12"/>
      <c r="M2599" s="11"/>
      <c r="N2599" s="11"/>
      <c r="O2599" s="11"/>
      <c r="P2599" s="11"/>
    </row>
    <row r="2600" spans="8:16" hidden="1" x14ac:dyDescent="0.25">
      <c r="H2600" s="12"/>
      <c r="I2600" s="12"/>
      <c r="J2600" s="12"/>
      <c r="K2600" s="12"/>
      <c r="L2600" s="12"/>
      <c r="M2600" s="11"/>
      <c r="N2600" s="11"/>
      <c r="O2600" s="11"/>
      <c r="P2600" s="11"/>
    </row>
    <row r="2601" spans="8:16" hidden="1" x14ac:dyDescent="0.25">
      <c r="H2601" s="12"/>
      <c r="I2601" s="12"/>
      <c r="J2601" s="12"/>
      <c r="K2601" s="12"/>
      <c r="L2601" s="12"/>
      <c r="M2601" s="11"/>
      <c r="N2601" s="11"/>
      <c r="O2601" s="11"/>
      <c r="P2601" s="11"/>
    </row>
    <row r="2602" spans="8:16" hidden="1" x14ac:dyDescent="0.25">
      <c r="H2602" s="12"/>
      <c r="I2602" s="12"/>
      <c r="J2602" s="12"/>
      <c r="K2602" s="12"/>
      <c r="L2602" s="12"/>
      <c r="M2602" s="11"/>
      <c r="N2602" s="11"/>
      <c r="O2602" s="11"/>
      <c r="P2602" s="11"/>
    </row>
    <row r="2603" spans="8:16" hidden="1" x14ac:dyDescent="0.25">
      <c r="H2603" s="12"/>
      <c r="I2603" s="12"/>
      <c r="J2603" s="12"/>
      <c r="K2603" s="12"/>
      <c r="L2603" s="12"/>
      <c r="M2603" s="11"/>
      <c r="N2603" s="11"/>
      <c r="O2603" s="11"/>
      <c r="P2603" s="11"/>
    </row>
    <row r="2604" spans="8:16" hidden="1" x14ac:dyDescent="0.25">
      <c r="H2604" s="12"/>
      <c r="I2604" s="12"/>
      <c r="J2604" s="12"/>
      <c r="K2604" s="12"/>
      <c r="L2604" s="12"/>
      <c r="M2604" s="11"/>
      <c r="N2604" s="11"/>
      <c r="O2604" s="11"/>
      <c r="P2604" s="11"/>
    </row>
    <row r="2605" spans="8:16" hidden="1" x14ac:dyDescent="0.25">
      <c r="H2605" s="12"/>
      <c r="I2605" s="12"/>
      <c r="J2605" s="12"/>
      <c r="K2605" s="12"/>
      <c r="L2605" s="12"/>
      <c r="M2605" s="11"/>
      <c r="N2605" s="11"/>
      <c r="O2605" s="11"/>
      <c r="P2605" s="11"/>
    </row>
    <row r="2606" spans="8:16" hidden="1" x14ac:dyDescent="0.25">
      <c r="H2606" s="12"/>
      <c r="I2606" s="12"/>
      <c r="J2606" s="12"/>
      <c r="K2606" s="12"/>
      <c r="L2606" s="12"/>
      <c r="M2606" s="11"/>
      <c r="N2606" s="11"/>
      <c r="O2606" s="11"/>
      <c r="P2606" s="11"/>
    </row>
    <row r="2607" spans="8:16" hidden="1" x14ac:dyDescent="0.25">
      <c r="H2607" s="12"/>
      <c r="I2607" s="12"/>
      <c r="J2607" s="12"/>
      <c r="K2607" s="12"/>
      <c r="L2607" s="12"/>
      <c r="M2607" s="11"/>
      <c r="N2607" s="11"/>
      <c r="O2607" s="11"/>
      <c r="P2607" s="11"/>
    </row>
    <row r="2608" spans="8:16" hidden="1" x14ac:dyDescent="0.25">
      <c r="H2608" s="12"/>
      <c r="I2608" s="12"/>
      <c r="J2608" s="12"/>
      <c r="K2608" s="12"/>
      <c r="L2608" s="12"/>
      <c r="M2608" s="11"/>
      <c r="N2608" s="11"/>
      <c r="O2608" s="11"/>
      <c r="P2608" s="11"/>
    </row>
    <row r="2609" spans="8:16" hidden="1" x14ac:dyDescent="0.25">
      <c r="H2609" s="12"/>
      <c r="I2609" s="12"/>
      <c r="J2609" s="12"/>
      <c r="K2609" s="12"/>
      <c r="L2609" s="12"/>
      <c r="M2609" s="11"/>
      <c r="N2609" s="11"/>
      <c r="O2609" s="11"/>
      <c r="P2609" s="11"/>
    </row>
    <row r="2610" spans="8:16" hidden="1" x14ac:dyDescent="0.25">
      <c r="H2610" s="12"/>
      <c r="I2610" s="12"/>
      <c r="J2610" s="12"/>
      <c r="K2610" s="12"/>
      <c r="L2610" s="12"/>
      <c r="M2610" s="11"/>
      <c r="N2610" s="11"/>
      <c r="O2610" s="11"/>
      <c r="P2610" s="11"/>
    </row>
    <row r="2611" spans="8:16" hidden="1" x14ac:dyDescent="0.25">
      <c r="H2611" s="12"/>
      <c r="I2611" s="12"/>
      <c r="J2611" s="12"/>
      <c r="K2611" s="12"/>
      <c r="L2611" s="12"/>
      <c r="M2611" s="11"/>
      <c r="N2611" s="11"/>
      <c r="O2611" s="11"/>
      <c r="P2611" s="11"/>
    </row>
    <row r="2612" spans="8:16" hidden="1" x14ac:dyDescent="0.25">
      <c r="H2612" s="12"/>
      <c r="I2612" s="12"/>
      <c r="J2612" s="12"/>
      <c r="K2612" s="12"/>
      <c r="L2612" s="12"/>
      <c r="M2612" s="11"/>
      <c r="N2612" s="11"/>
      <c r="O2612" s="11"/>
      <c r="P2612" s="11"/>
    </row>
    <row r="2613" spans="8:16" hidden="1" x14ac:dyDescent="0.25">
      <c r="H2613" s="12"/>
      <c r="I2613" s="12"/>
      <c r="J2613" s="12"/>
      <c r="K2613" s="12"/>
      <c r="L2613" s="12"/>
      <c r="M2613" s="11"/>
      <c r="N2613" s="11"/>
      <c r="O2613" s="11"/>
      <c r="P2613" s="11"/>
    </row>
    <row r="2614" spans="8:16" hidden="1" x14ac:dyDescent="0.25">
      <c r="H2614" s="12"/>
      <c r="I2614" s="12"/>
      <c r="J2614" s="12"/>
      <c r="K2614" s="12"/>
      <c r="L2614" s="12"/>
      <c r="M2614" s="11"/>
      <c r="N2614" s="11"/>
      <c r="O2614" s="11"/>
      <c r="P2614" s="11"/>
    </row>
    <row r="2615" spans="8:16" hidden="1" x14ac:dyDescent="0.25">
      <c r="H2615" s="12"/>
      <c r="I2615" s="12"/>
      <c r="J2615" s="12"/>
      <c r="K2615" s="12"/>
      <c r="L2615" s="12"/>
      <c r="M2615" s="11"/>
      <c r="N2615" s="11"/>
      <c r="O2615" s="11"/>
      <c r="P2615" s="11"/>
    </row>
    <row r="2616" spans="8:16" hidden="1" x14ac:dyDescent="0.25">
      <c r="H2616" s="12"/>
      <c r="I2616" s="12"/>
      <c r="J2616" s="12"/>
      <c r="K2616" s="12"/>
      <c r="L2616" s="12"/>
      <c r="M2616" s="11"/>
      <c r="N2616" s="11"/>
      <c r="O2616" s="11"/>
      <c r="P2616" s="11"/>
    </row>
    <row r="2617" spans="8:16" hidden="1" x14ac:dyDescent="0.25">
      <c r="H2617" s="12"/>
      <c r="I2617" s="12"/>
      <c r="J2617" s="12"/>
      <c r="K2617" s="12"/>
      <c r="L2617" s="12"/>
      <c r="M2617" s="11"/>
      <c r="N2617" s="11"/>
      <c r="O2617" s="11"/>
      <c r="P2617" s="11"/>
    </row>
    <row r="2618" spans="8:16" hidden="1" x14ac:dyDescent="0.25">
      <c r="H2618" s="12"/>
      <c r="I2618" s="12"/>
      <c r="J2618" s="12"/>
      <c r="K2618" s="12"/>
      <c r="L2618" s="12"/>
      <c r="M2618" s="11"/>
      <c r="N2618" s="11"/>
      <c r="O2618" s="11"/>
      <c r="P2618" s="11"/>
    </row>
    <row r="2619" spans="8:16" hidden="1" x14ac:dyDescent="0.25">
      <c r="H2619" s="12"/>
      <c r="I2619" s="12"/>
      <c r="J2619" s="12"/>
      <c r="K2619" s="12"/>
      <c r="L2619" s="12"/>
      <c r="M2619" s="11"/>
      <c r="N2619" s="11"/>
      <c r="O2619" s="11"/>
      <c r="P2619" s="11"/>
    </row>
    <row r="2620" spans="8:16" hidden="1" x14ac:dyDescent="0.25">
      <c r="H2620" s="12"/>
      <c r="I2620" s="12"/>
      <c r="J2620" s="12"/>
      <c r="K2620" s="12"/>
      <c r="L2620" s="12"/>
      <c r="M2620" s="11"/>
      <c r="N2620" s="11"/>
      <c r="O2620" s="11"/>
      <c r="P2620" s="11"/>
    </row>
    <row r="2621" spans="8:16" hidden="1" x14ac:dyDescent="0.25">
      <c r="H2621" s="12"/>
      <c r="I2621" s="12"/>
      <c r="J2621" s="12"/>
      <c r="K2621" s="12"/>
      <c r="L2621" s="12"/>
      <c r="M2621" s="11"/>
      <c r="N2621" s="11"/>
      <c r="O2621" s="11"/>
      <c r="P2621" s="11"/>
    </row>
    <row r="2622" spans="8:16" hidden="1" x14ac:dyDescent="0.25">
      <c r="H2622" s="12"/>
      <c r="I2622" s="12"/>
      <c r="J2622" s="12"/>
      <c r="K2622" s="12"/>
      <c r="L2622" s="12"/>
      <c r="M2622" s="11"/>
      <c r="N2622" s="11"/>
      <c r="O2622" s="11"/>
      <c r="P2622" s="11"/>
    </row>
    <row r="2623" spans="8:16" hidden="1" x14ac:dyDescent="0.25">
      <c r="H2623" s="12"/>
      <c r="I2623" s="12"/>
      <c r="J2623" s="12"/>
      <c r="K2623" s="12"/>
      <c r="L2623" s="12"/>
      <c r="M2623" s="11"/>
      <c r="N2623" s="11"/>
      <c r="O2623" s="11"/>
      <c r="P2623" s="11"/>
    </row>
    <row r="2624" spans="8:16" hidden="1" x14ac:dyDescent="0.25">
      <c r="H2624" s="12"/>
      <c r="I2624" s="12"/>
      <c r="J2624" s="12"/>
      <c r="K2624" s="12"/>
      <c r="L2624" s="12"/>
      <c r="M2624" s="11"/>
      <c r="N2624" s="11"/>
      <c r="O2624" s="11"/>
      <c r="P2624" s="11"/>
    </row>
    <row r="2625" spans="8:16" hidden="1" x14ac:dyDescent="0.25">
      <c r="H2625" s="12"/>
      <c r="I2625" s="12"/>
      <c r="J2625" s="12"/>
      <c r="K2625" s="12"/>
      <c r="L2625" s="12"/>
      <c r="M2625" s="11"/>
      <c r="N2625" s="11"/>
      <c r="O2625" s="11"/>
      <c r="P2625" s="11"/>
    </row>
    <row r="2626" spans="8:16" hidden="1" x14ac:dyDescent="0.25">
      <c r="H2626" s="12"/>
      <c r="I2626" s="12"/>
      <c r="J2626" s="12"/>
      <c r="K2626" s="12"/>
      <c r="L2626" s="12"/>
      <c r="M2626" s="11"/>
      <c r="N2626" s="11"/>
      <c r="O2626" s="11"/>
      <c r="P2626" s="11"/>
    </row>
    <row r="2627" spans="8:16" hidden="1" x14ac:dyDescent="0.25">
      <c r="H2627" s="12"/>
      <c r="I2627" s="12"/>
      <c r="J2627" s="12"/>
      <c r="K2627" s="12"/>
      <c r="L2627" s="12"/>
      <c r="M2627" s="11"/>
      <c r="N2627" s="11"/>
      <c r="O2627" s="11"/>
      <c r="P2627" s="11"/>
    </row>
    <row r="2628" spans="8:16" hidden="1" x14ac:dyDescent="0.25">
      <c r="H2628" s="12"/>
      <c r="I2628" s="12"/>
      <c r="J2628" s="12"/>
      <c r="K2628" s="12"/>
      <c r="L2628" s="12"/>
      <c r="M2628" s="11"/>
      <c r="N2628" s="11"/>
      <c r="O2628" s="11"/>
      <c r="P2628" s="11"/>
    </row>
    <row r="2629" spans="8:16" hidden="1" x14ac:dyDescent="0.25">
      <c r="H2629" s="12"/>
      <c r="I2629" s="12"/>
      <c r="J2629" s="12"/>
      <c r="K2629" s="12"/>
      <c r="L2629" s="12"/>
      <c r="M2629" s="11"/>
      <c r="N2629" s="11"/>
      <c r="O2629" s="11"/>
      <c r="P2629" s="11"/>
    </row>
    <row r="2630" spans="8:16" hidden="1" x14ac:dyDescent="0.25">
      <c r="H2630" s="12"/>
      <c r="I2630" s="12"/>
      <c r="J2630" s="12"/>
      <c r="K2630" s="12"/>
      <c r="L2630" s="12"/>
      <c r="M2630" s="11"/>
      <c r="N2630" s="11"/>
      <c r="O2630" s="11"/>
      <c r="P2630" s="11"/>
    </row>
    <row r="2631" spans="8:16" hidden="1" x14ac:dyDescent="0.25">
      <c r="H2631" s="12"/>
      <c r="I2631" s="12"/>
      <c r="J2631" s="12"/>
      <c r="K2631" s="12"/>
      <c r="L2631" s="12"/>
      <c r="M2631" s="11"/>
      <c r="N2631" s="11"/>
      <c r="O2631" s="11"/>
      <c r="P2631" s="11"/>
    </row>
    <row r="2632" spans="8:16" hidden="1" x14ac:dyDescent="0.25">
      <c r="H2632" s="12"/>
      <c r="I2632" s="12"/>
      <c r="J2632" s="12"/>
      <c r="K2632" s="12"/>
      <c r="L2632" s="12"/>
      <c r="M2632" s="11"/>
      <c r="N2632" s="11"/>
      <c r="O2632" s="11"/>
      <c r="P2632" s="11"/>
    </row>
    <row r="2633" spans="8:16" hidden="1" x14ac:dyDescent="0.25">
      <c r="H2633" s="12"/>
      <c r="I2633" s="12"/>
      <c r="J2633" s="12"/>
      <c r="K2633" s="12"/>
      <c r="L2633" s="12"/>
      <c r="M2633" s="11"/>
      <c r="N2633" s="11"/>
      <c r="O2633" s="11"/>
      <c r="P2633" s="11"/>
    </row>
    <row r="2634" spans="8:16" hidden="1" x14ac:dyDescent="0.25">
      <c r="H2634" s="12"/>
      <c r="I2634" s="12"/>
      <c r="J2634" s="12"/>
      <c r="K2634" s="12"/>
      <c r="L2634" s="12"/>
      <c r="M2634" s="11"/>
      <c r="N2634" s="11"/>
      <c r="O2634" s="11"/>
      <c r="P2634" s="11"/>
    </row>
    <row r="2635" spans="8:16" hidden="1" x14ac:dyDescent="0.25">
      <c r="H2635" s="12"/>
      <c r="I2635" s="12"/>
      <c r="J2635" s="12"/>
      <c r="K2635" s="12"/>
      <c r="L2635" s="12"/>
      <c r="M2635" s="11"/>
      <c r="N2635" s="11"/>
      <c r="O2635" s="11"/>
      <c r="P2635" s="11"/>
    </row>
    <row r="2636" spans="8:16" hidden="1" x14ac:dyDescent="0.25">
      <c r="H2636" s="12"/>
      <c r="I2636" s="12"/>
      <c r="J2636" s="12"/>
      <c r="K2636" s="12"/>
      <c r="L2636" s="12"/>
      <c r="M2636" s="11"/>
      <c r="N2636" s="11"/>
      <c r="O2636" s="11"/>
      <c r="P2636" s="11"/>
    </row>
    <row r="2637" spans="8:16" hidden="1" x14ac:dyDescent="0.25">
      <c r="H2637" s="12"/>
      <c r="I2637" s="12"/>
      <c r="J2637" s="12"/>
      <c r="K2637" s="12"/>
      <c r="L2637" s="12"/>
      <c r="M2637" s="11"/>
      <c r="N2637" s="11"/>
      <c r="O2637" s="11"/>
      <c r="P2637" s="11"/>
    </row>
    <row r="2638" spans="8:16" hidden="1" x14ac:dyDescent="0.25">
      <c r="H2638" s="12"/>
      <c r="I2638" s="12"/>
      <c r="J2638" s="12"/>
      <c r="K2638" s="12"/>
      <c r="L2638" s="12"/>
      <c r="M2638" s="11"/>
      <c r="N2638" s="11"/>
      <c r="O2638" s="11"/>
      <c r="P2638" s="11"/>
    </row>
    <row r="2639" spans="8:16" hidden="1" x14ac:dyDescent="0.25">
      <c r="H2639" s="12"/>
      <c r="I2639" s="12"/>
      <c r="J2639" s="12"/>
      <c r="K2639" s="12"/>
      <c r="L2639" s="12"/>
      <c r="M2639" s="11"/>
      <c r="N2639" s="11"/>
      <c r="O2639" s="11"/>
      <c r="P2639" s="11"/>
    </row>
    <row r="2640" spans="8:16" hidden="1" x14ac:dyDescent="0.25">
      <c r="H2640" s="12"/>
      <c r="I2640" s="12"/>
      <c r="J2640" s="12"/>
      <c r="K2640" s="12"/>
      <c r="L2640" s="12"/>
      <c r="M2640" s="11"/>
      <c r="N2640" s="11"/>
      <c r="O2640" s="11"/>
      <c r="P2640" s="11"/>
    </row>
    <row r="2641" spans="8:16" hidden="1" x14ac:dyDescent="0.25">
      <c r="H2641" s="12"/>
      <c r="I2641" s="12"/>
      <c r="J2641" s="12"/>
      <c r="K2641" s="12"/>
      <c r="L2641" s="12"/>
      <c r="M2641" s="11"/>
      <c r="N2641" s="11"/>
      <c r="O2641" s="11"/>
      <c r="P2641" s="11"/>
    </row>
    <row r="2642" spans="8:16" hidden="1" x14ac:dyDescent="0.25">
      <c r="H2642" s="12"/>
      <c r="I2642" s="12"/>
      <c r="J2642" s="12"/>
      <c r="K2642" s="12"/>
      <c r="L2642" s="12"/>
      <c r="M2642" s="11"/>
      <c r="N2642" s="11"/>
      <c r="O2642" s="11"/>
      <c r="P2642" s="11"/>
    </row>
    <row r="2643" spans="8:16" hidden="1" x14ac:dyDescent="0.25">
      <c r="H2643" s="12"/>
      <c r="I2643" s="12"/>
      <c r="J2643" s="12"/>
      <c r="K2643" s="12"/>
      <c r="L2643" s="12"/>
      <c r="M2643" s="11"/>
      <c r="N2643" s="11"/>
      <c r="O2643" s="11"/>
      <c r="P2643" s="11"/>
    </row>
    <row r="2644" spans="8:16" hidden="1" x14ac:dyDescent="0.25">
      <c r="H2644" s="12"/>
      <c r="I2644" s="12"/>
      <c r="J2644" s="12"/>
      <c r="K2644" s="12"/>
      <c r="L2644" s="12"/>
      <c r="M2644" s="11"/>
      <c r="N2644" s="11"/>
      <c r="O2644" s="11"/>
      <c r="P2644" s="11"/>
    </row>
    <row r="2645" spans="8:16" hidden="1" x14ac:dyDescent="0.25">
      <c r="H2645" s="12"/>
      <c r="I2645" s="12"/>
      <c r="J2645" s="12"/>
      <c r="K2645" s="12"/>
      <c r="L2645" s="12"/>
      <c r="M2645" s="11"/>
      <c r="N2645" s="11"/>
      <c r="O2645" s="11"/>
      <c r="P2645" s="11"/>
    </row>
    <row r="2646" spans="8:16" hidden="1" x14ac:dyDescent="0.25">
      <c r="H2646" s="12"/>
      <c r="I2646" s="12"/>
      <c r="J2646" s="12"/>
      <c r="K2646" s="12"/>
      <c r="L2646" s="12"/>
      <c r="M2646" s="11"/>
      <c r="N2646" s="11"/>
      <c r="O2646" s="11"/>
      <c r="P2646" s="11"/>
    </row>
    <row r="2647" spans="8:16" hidden="1" x14ac:dyDescent="0.25">
      <c r="H2647" s="12"/>
      <c r="I2647" s="12"/>
      <c r="J2647" s="12"/>
      <c r="K2647" s="12"/>
      <c r="L2647" s="12"/>
      <c r="M2647" s="11"/>
      <c r="N2647" s="11"/>
      <c r="O2647" s="11"/>
      <c r="P2647" s="11"/>
    </row>
    <row r="2648" spans="8:16" hidden="1" x14ac:dyDescent="0.25">
      <c r="H2648" s="12"/>
      <c r="I2648" s="12"/>
      <c r="J2648" s="12"/>
      <c r="K2648" s="12"/>
      <c r="L2648" s="12"/>
      <c r="M2648" s="11"/>
      <c r="N2648" s="11"/>
      <c r="O2648" s="11"/>
      <c r="P2648" s="11"/>
    </row>
    <row r="2649" spans="8:16" hidden="1" x14ac:dyDescent="0.25">
      <c r="H2649" s="12"/>
      <c r="I2649" s="12"/>
      <c r="J2649" s="12"/>
      <c r="K2649" s="12"/>
      <c r="L2649" s="12"/>
      <c r="M2649" s="11"/>
      <c r="N2649" s="11"/>
      <c r="O2649" s="11"/>
      <c r="P2649" s="11"/>
    </row>
    <row r="2650" spans="8:16" hidden="1" x14ac:dyDescent="0.25">
      <c r="H2650" s="12"/>
      <c r="I2650" s="12"/>
      <c r="J2650" s="12"/>
      <c r="K2650" s="12"/>
      <c r="L2650" s="12"/>
      <c r="M2650" s="11"/>
      <c r="N2650" s="11"/>
      <c r="O2650" s="11"/>
      <c r="P2650" s="11"/>
    </row>
    <row r="2651" spans="8:16" hidden="1" x14ac:dyDescent="0.25">
      <c r="H2651" s="12"/>
      <c r="I2651" s="12"/>
      <c r="J2651" s="12"/>
      <c r="K2651" s="12"/>
      <c r="L2651" s="12"/>
      <c r="M2651" s="11"/>
      <c r="N2651" s="11"/>
      <c r="O2651" s="11"/>
      <c r="P2651" s="11"/>
    </row>
    <row r="2652" spans="8:16" hidden="1" x14ac:dyDescent="0.25">
      <c r="H2652" s="12"/>
      <c r="I2652" s="12"/>
      <c r="J2652" s="12"/>
      <c r="K2652" s="12"/>
      <c r="L2652" s="12"/>
      <c r="M2652" s="11"/>
      <c r="N2652" s="11"/>
      <c r="O2652" s="11"/>
      <c r="P2652" s="11"/>
    </row>
    <row r="2653" spans="8:16" hidden="1" x14ac:dyDescent="0.25">
      <c r="H2653" s="12"/>
      <c r="I2653" s="12"/>
      <c r="J2653" s="12"/>
      <c r="K2653" s="12"/>
      <c r="L2653" s="12"/>
      <c r="M2653" s="11"/>
      <c r="N2653" s="11"/>
      <c r="O2653" s="11"/>
      <c r="P2653" s="11"/>
    </row>
    <row r="2654" spans="8:16" hidden="1" x14ac:dyDescent="0.25">
      <c r="H2654" s="12"/>
      <c r="I2654" s="12"/>
      <c r="J2654" s="12"/>
      <c r="K2654" s="12"/>
      <c r="L2654" s="12"/>
      <c r="M2654" s="11"/>
      <c r="N2654" s="11"/>
      <c r="O2654" s="11"/>
      <c r="P2654" s="11"/>
    </row>
    <row r="2655" spans="8:16" hidden="1" x14ac:dyDescent="0.25">
      <c r="H2655" s="12"/>
      <c r="I2655" s="12"/>
      <c r="J2655" s="12"/>
      <c r="K2655" s="12"/>
      <c r="L2655" s="12"/>
      <c r="M2655" s="11"/>
      <c r="N2655" s="11"/>
      <c r="O2655" s="11"/>
      <c r="P2655" s="11"/>
    </row>
    <row r="2656" spans="8:16" hidden="1" x14ac:dyDescent="0.25">
      <c r="H2656" s="12"/>
      <c r="I2656" s="12"/>
      <c r="J2656" s="12"/>
      <c r="K2656" s="12"/>
      <c r="L2656" s="12"/>
      <c r="M2656" s="11"/>
      <c r="N2656" s="11"/>
      <c r="O2656" s="11"/>
      <c r="P2656" s="11"/>
    </row>
    <row r="2657" spans="8:16" hidden="1" x14ac:dyDescent="0.25">
      <c r="H2657" s="12"/>
      <c r="I2657" s="12"/>
      <c r="J2657" s="12"/>
      <c r="K2657" s="12"/>
      <c r="L2657" s="12"/>
      <c r="M2657" s="11"/>
      <c r="N2657" s="11"/>
      <c r="O2657" s="11"/>
      <c r="P2657" s="11"/>
    </row>
    <row r="2658" spans="8:16" hidden="1" x14ac:dyDescent="0.25">
      <c r="H2658" s="12"/>
      <c r="I2658" s="12"/>
      <c r="J2658" s="12"/>
      <c r="K2658" s="12"/>
      <c r="L2658" s="12"/>
      <c r="M2658" s="11"/>
      <c r="N2658" s="11"/>
      <c r="O2658" s="11"/>
      <c r="P2658" s="11"/>
    </row>
    <row r="2659" spans="8:16" hidden="1" x14ac:dyDescent="0.25">
      <c r="H2659" s="12"/>
      <c r="I2659" s="12"/>
      <c r="J2659" s="12"/>
      <c r="K2659" s="12"/>
      <c r="L2659" s="12"/>
      <c r="M2659" s="11"/>
      <c r="N2659" s="11"/>
      <c r="O2659" s="11"/>
      <c r="P2659" s="11"/>
    </row>
    <row r="2660" spans="8:16" hidden="1" x14ac:dyDescent="0.25">
      <c r="H2660" s="12"/>
      <c r="I2660" s="12"/>
      <c r="J2660" s="12"/>
      <c r="K2660" s="12"/>
      <c r="L2660" s="12"/>
      <c r="M2660" s="11"/>
      <c r="N2660" s="11"/>
      <c r="O2660" s="11"/>
      <c r="P2660" s="11"/>
    </row>
    <row r="2661" spans="8:16" hidden="1" x14ac:dyDescent="0.25">
      <c r="H2661" s="12"/>
      <c r="I2661" s="12"/>
      <c r="J2661" s="12"/>
      <c r="K2661" s="12"/>
      <c r="L2661" s="12"/>
      <c r="M2661" s="11"/>
      <c r="N2661" s="11"/>
      <c r="O2661" s="11"/>
      <c r="P2661" s="11"/>
    </row>
    <row r="2662" spans="8:16" hidden="1" x14ac:dyDescent="0.25">
      <c r="H2662" s="12"/>
      <c r="I2662" s="12"/>
      <c r="J2662" s="12"/>
      <c r="K2662" s="12"/>
      <c r="L2662" s="12"/>
      <c r="M2662" s="11"/>
      <c r="N2662" s="11"/>
      <c r="O2662" s="11"/>
      <c r="P2662" s="11"/>
    </row>
    <row r="2663" spans="8:16" hidden="1" x14ac:dyDescent="0.25">
      <c r="H2663" s="12"/>
      <c r="I2663" s="12"/>
      <c r="J2663" s="12"/>
      <c r="K2663" s="12"/>
      <c r="L2663" s="12"/>
      <c r="M2663" s="11"/>
      <c r="N2663" s="11"/>
      <c r="O2663" s="11"/>
      <c r="P2663" s="11"/>
    </row>
    <row r="2664" spans="8:16" hidden="1" x14ac:dyDescent="0.25">
      <c r="H2664" s="12"/>
      <c r="I2664" s="12"/>
      <c r="J2664" s="12"/>
      <c r="K2664" s="12"/>
      <c r="L2664" s="12"/>
      <c r="M2664" s="11"/>
      <c r="N2664" s="11"/>
      <c r="O2664" s="11"/>
      <c r="P2664" s="11"/>
    </row>
    <row r="2665" spans="8:16" hidden="1" x14ac:dyDescent="0.25">
      <c r="H2665" s="12"/>
      <c r="I2665" s="12"/>
      <c r="J2665" s="12"/>
      <c r="K2665" s="12"/>
      <c r="L2665" s="12"/>
      <c r="M2665" s="11"/>
      <c r="N2665" s="11"/>
      <c r="O2665" s="11"/>
      <c r="P2665" s="11"/>
    </row>
    <row r="2666" spans="8:16" hidden="1" x14ac:dyDescent="0.25">
      <c r="H2666" s="12"/>
      <c r="I2666" s="12"/>
      <c r="J2666" s="12"/>
      <c r="K2666" s="12"/>
      <c r="L2666" s="12"/>
      <c r="M2666" s="11"/>
      <c r="N2666" s="11"/>
      <c r="O2666" s="11"/>
      <c r="P2666" s="11"/>
    </row>
    <row r="2667" spans="8:16" hidden="1" x14ac:dyDescent="0.25">
      <c r="H2667" s="12"/>
      <c r="I2667" s="12"/>
      <c r="J2667" s="12"/>
      <c r="K2667" s="12"/>
      <c r="L2667" s="12"/>
      <c r="M2667" s="11"/>
      <c r="N2667" s="11"/>
      <c r="O2667" s="11"/>
      <c r="P2667" s="11"/>
    </row>
    <row r="2668" spans="8:16" hidden="1" x14ac:dyDescent="0.25">
      <c r="H2668" s="12"/>
      <c r="I2668" s="12"/>
      <c r="J2668" s="12"/>
      <c r="K2668" s="12"/>
      <c r="L2668" s="12"/>
      <c r="M2668" s="11"/>
      <c r="N2668" s="11"/>
      <c r="O2668" s="11"/>
      <c r="P2668" s="11"/>
    </row>
    <row r="2669" spans="8:16" hidden="1" x14ac:dyDescent="0.25">
      <c r="H2669" s="12"/>
      <c r="I2669" s="12"/>
      <c r="J2669" s="12"/>
      <c r="K2669" s="12"/>
      <c r="L2669" s="12"/>
      <c r="M2669" s="11"/>
      <c r="N2669" s="11"/>
      <c r="O2669" s="11"/>
      <c r="P2669" s="11"/>
    </row>
    <row r="2670" spans="8:16" hidden="1" x14ac:dyDescent="0.25">
      <c r="H2670" s="12"/>
      <c r="I2670" s="12"/>
      <c r="J2670" s="12"/>
      <c r="K2670" s="12"/>
      <c r="L2670" s="12"/>
      <c r="M2670" s="11"/>
      <c r="N2670" s="11"/>
      <c r="O2670" s="11"/>
      <c r="P2670" s="11"/>
    </row>
    <row r="2671" spans="8:16" hidden="1" x14ac:dyDescent="0.25">
      <c r="H2671" s="12"/>
      <c r="I2671" s="12"/>
      <c r="J2671" s="12"/>
      <c r="K2671" s="12"/>
      <c r="L2671" s="12"/>
      <c r="M2671" s="11"/>
      <c r="N2671" s="11"/>
      <c r="O2671" s="11"/>
      <c r="P2671" s="11"/>
    </row>
    <row r="2672" spans="8:16" hidden="1" x14ac:dyDescent="0.25">
      <c r="H2672" s="12"/>
      <c r="I2672" s="12"/>
      <c r="J2672" s="12"/>
      <c r="K2672" s="12"/>
      <c r="L2672" s="12"/>
      <c r="M2672" s="11"/>
      <c r="N2672" s="11"/>
      <c r="O2672" s="11"/>
      <c r="P2672" s="11"/>
    </row>
    <row r="2673" spans="8:16" hidden="1" x14ac:dyDescent="0.25">
      <c r="H2673" s="12"/>
      <c r="I2673" s="12"/>
      <c r="J2673" s="12"/>
      <c r="K2673" s="12"/>
      <c r="L2673" s="12"/>
      <c r="M2673" s="11"/>
      <c r="N2673" s="11"/>
      <c r="O2673" s="11"/>
      <c r="P2673" s="11"/>
    </row>
    <row r="2674" spans="8:16" hidden="1" x14ac:dyDescent="0.25">
      <c r="H2674" s="12"/>
      <c r="I2674" s="12"/>
      <c r="J2674" s="12"/>
      <c r="K2674" s="12"/>
      <c r="L2674" s="12"/>
      <c r="M2674" s="11"/>
      <c r="N2674" s="11"/>
      <c r="O2674" s="11"/>
      <c r="P2674" s="11"/>
    </row>
    <row r="2675" spans="8:16" hidden="1" x14ac:dyDescent="0.25">
      <c r="H2675" s="12"/>
      <c r="I2675" s="12"/>
      <c r="J2675" s="12"/>
      <c r="K2675" s="12"/>
      <c r="L2675" s="12"/>
      <c r="M2675" s="11"/>
      <c r="N2675" s="11"/>
      <c r="O2675" s="11"/>
      <c r="P2675" s="11"/>
    </row>
    <row r="2676" spans="8:16" hidden="1" x14ac:dyDescent="0.25">
      <c r="H2676" s="12"/>
      <c r="I2676" s="12"/>
      <c r="J2676" s="12"/>
      <c r="K2676" s="12"/>
      <c r="L2676" s="12"/>
      <c r="M2676" s="11"/>
      <c r="N2676" s="11"/>
      <c r="O2676" s="11"/>
      <c r="P2676" s="11"/>
    </row>
    <row r="2677" spans="8:16" hidden="1" x14ac:dyDescent="0.25">
      <c r="H2677" s="12"/>
      <c r="I2677" s="12"/>
      <c r="J2677" s="12"/>
      <c r="K2677" s="12"/>
      <c r="L2677" s="12"/>
      <c r="M2677" s="11"/>
      <c r="N2677" s="11"/>
      <c r="O2677" s="11"/>
      <c r="P2677" s="11"/>
    </row>
    <row r="2678" spans="8:16" hidden="1" x14ac:dyDescent="0.25">
      <c r="H2678" s="12"/>
      <c r="I2678" s="12"/>
      <c r="J2678" s="12"/>
      <c r="K2678" s="12"/>
      <c r="L2678" s="12"/>
      <c r="M2678" s="11"/>
      <c r="N2678" s="11"/>
      <c r="O2678" s="11"/>
      <c r="P2678" s="11"/>
    </row>
    <row r="2679" spans="8:16" hidden="1" x14ac:dyDescent="0.25">
      <c r="H2679" s="12"/>
      <c r="I2679" s="12"/>
      <c r="J2679" s="12"/>
      <c r="K2679" s="12"/>
      <c r="L2679" s="12"/>
      <c r="M2679" s="11"/>
      <c r="N2679" s="11"/>
      <c r="O2679" s="11"/>
      <c r="P2679" s="11"/>
    </row>
    <row r="2680" spans="8:16" hidden="1" x14ac:dyDescent="0.25">
      <c r="H2680" s="12"/>
      <c r="I2680" s="12"/>
      <c r="J2680" s="12"/>
      <c r="K2680" s="12"/>
      <c r="L2680" s="12"/>
      <c r="M2680" s="11"/>
      <c r="N2680" s="11"/>
      <c r="O2680" s="11"/>
      <c r="P2680" s="11"/>
    </row>
    <row r="2681" spans="8:16" hidden="1" x14ac:dyDescent="0.25">
      <c r="H2681" s="12"/>
      <c r="I2681" s="12"/>
      <c r="J2681" s="12"/>
      <c r="K2681" s="12"/>
      <c r="L2681" s="12"/>
      <c r="M2681" s="11"/>
      <c r="N2681" s="11"/>
      <c r="O2681" s="11"/>
      <c r="P2681" s="11"/>
    </row>
    <row r="2682" spans="8:16" hidden="1" x14ac:dyDescent="0.25">
      <c r="H2682" s="12"/>
      <c r="I2682" s="12"/>
      <c r="J2682" s="12"/>
      <c r="K2682" s="12"/>
      <c r="L2682" s="12"/>
      <c r="M2682" s="11"/>
      <c r="N2682" s="11"/>
      <c r="O2682" s="11"/>
      <c r="P2682" s="11"/>
    </row>
    <row r="2683" spans="8:16" hidden="1" x14ac:dyDescent="0.25">
      <c r="H2683" s="12"/>
      <c r="I2683" s="12"/>
      <c r="J2683" s="12"/>
      <c r="K2683" s="12"/>
      <c r="L2683" s="12"/>
      <c r="M2683" s="11"/>
      <c r="N2683" s="11"/>
      <c r="O2683" s="11"/>
      <c r="P2683" s="11"/>
    </row>
    <row r="2684" spans="8:16" hidden="1" x14ac:dyDescent="0.25">
      <c r="H2684" s="12"/>
      <c r="I2684" s="12"/>
      <c r="J2684" s="12"/>
      <c r="K2684" s="12"/>
      <c r="L2684" s="12"/>
      <c r="M2684" s="11"/>
      <c r="N2684" s="11"/>
      <c r="O2684" s="11"/>
      <c r="P2684" s="11"/>
    </row>
    <row r="2685" spans="8:16" hidden="1" x14ac:dyDescent="0.25">
      <c r="H2685" s="12"/>
      <c r="I2685" s="12"/>
      <c r="J2685" s="12"/>
      <c r="K2685" s="12"/>
      <c r="L2685" s="12"/>
      <c r="M2685" s="11"/>
      <c r="N2685" s="11"/>
      <c r="O2685" s="11"/>
      <c r="P2685" s="11"/>
    </row>
    <row r="2686" spans="8:16" hidden="1" x14ac:dyDescent="0.25">
      <c r="H2686" s="12"/>
      <c r="I2686" s="12"/>
      <c r="J2686" s="12"/>
      <c r="K2686" s="12"/>
      <c r="L2686" s="12"/>
      <c r="M2686" s="11"/>
      <c r="N2686" s="11"/>
      <c r="O2686" s="11"/>
      <c r="P2686" s="11"/>
    </row>
    <row r="2687" spans="8:16" hidden="1" x14ac:dyDescent="0.25">
      <c r="H2687" s="12"/>
      <c r="I2687" s="12"/>
      <c r="J2687" s="12"/>
      <c r="K2687" s="12"/>
      <c r="L2687" s="12"/>
      <c r="M2687" s="11"/>
      <c r="N2687" s="11"/>
      <c r="O2687" s="11"/>
      <c r="P2687" s="11"/>
    </row>
    <row r="2688" spans="8:16" hidden="1" x14ac:dyDescent="0.25">
      <c r="H2688" s="12"/>
      <c r="I2688" s="12"/>
      <c r="J2688" s="12"/>
      <c r="K2688" s="12"/>
      <c r="L2688" s="12"/>
      <c r="M2688" s="11"/>
      <c r="N2688" s="11"/>
      <c r="O2688" s="11"/>
      <c r="P2688" s="11"/>
    </row>
    <row r="2689" spans="8:16" hidden="1" x14ac:dyDescent="0.25">
      <c r="H2689" s="12"/>
      <c r="I2689" s="12"/>
      <c r="J2689" s="12"/>
      <c r="K2689" s="12"/>
      <c r="L2689" s="12"/>
      <c r="M2689" s="11"/>
      <c r="N2689" s="11"/>
      <c r="O2689" s="11"/>
      <c r="P2689" s="11"/>
    </row>
    <row r="2690" spans="8:16" hidden="1" x14ac:dyDescent="0.25">
      <c r="H2690" s="12"/>
      <c r="I2690" s="12"/>
      <c r="J2690" s="12"/>
      <c r="K2690" s="12"/>
      <c r="L2690" s="12"/>
      <c r="M2690" s="11"/>
      <c r="N2690" s="11"/>
      <c r="O2690" s="11"/>
      <c r="P2690" s="11"/>
    </row>
    <row r="2691" spans="8:16" hidden="1" x14ac:dyDescent="0.25">
      <c r="H2691" s="12"/>
      <c r="I2691" s="12"/>
      <c r="J2691" s="12"/>
      <c r="K2691" s="12"/>
      <c r="L2691" s="12"/>
      <c r="M2691" s="11"/>
      <c r="N2691" s="11"/>
      <c r="O2691" s="11"/>
      <c r="P2691" s="11"/>
    </row>
    <row r="2692" spans="8:16" hidden="1" x14ac:dyDescent="0.25">
      <c r="H2692" s="12"/>
      <c r="I2692" s="12"/>
      <c r="J2692" s="12"/>
      <c r="K2692" s="12"/>
      <c r="L2692" s="12"/>
      <c r="M2692" s="11"/>
      <c r="N2692" s="11"/>
      <c r="O2692" s="11"/>
      <c r="P2692" s="11"/>
    </row>
    <row r="2693" spans="8:16" hidden="1" x14ac:dyDescent="0.25">
      <c r="H2693" s="12"/>
      <c r="I2693" s="12"/>
      <c r="J2693" s="12"/>
      <c r="K2693" s="12"/>
      <c r="L2693" s="12"/>
      <c r="M2693" s="11"/>
      <c r="N2693" s="11"/>
      <c r="O2693" s="11"/>
      <c r="P2693" s="11"/>
    </row>
    <row r="2694" spans="8:16" hidden="1" x14ac:dyDescent="0.25">
      <c r="H2694" s="12"/>
      <c r="I2694" s="12"/>
      <c r="J2694" s="12"/>
      <c r="K2694" s="12"/>
      <c r="L2694" s="12"/>
      <c r="M2694" s="11"/>
      <c r="N2694" s="11"/>
      <c r="O2694" s="11"/>
      <c r="P2694" s="11"/>
    </row>
    <row r="2695" spans="8:16" hidden="1" x14ac:dyDescent="0.25">
      <c r="H2695" s="12"/>
      <c r="I2695" s="12"/>
      <c r="J2695" s="12"/>
      <c r="K2695" s="12"/>
      <c r="L2695" s="12"/>
      <c r="M2695" s="11"/>
      <c r="N2695" s="11"/>
      <c r="O2695" s="11"/>
      <c r="P2695" s="11"/>
    </row>
    <row r="2696" spans="8:16" hidden="1" x14ac:dyDescent="0.25">
      <c r="H2696" s="12"/>
      <c r="I2696" s="12"/>
      <c r="J2696" s="12"/>
      <c r="K2696" s="12"/>
      <c r="L2696" s="12"/>
      <c r="M2696" s="11"/>
      <c r="N2696" s="11"/>
      <c r="O2696" s="11"/>
      <c r="P2696" s="11"/>
    </row>
    <row r="2697" spans="8:16" hidden="1" x14ac:dyDescent="0.25">
      <c r="H2697" s="12"/>
      <c r="I2697" s="12"/>
      <c r="J2697" s="12"/>
      <c r="K2697" s="12"/>
      <c r="L2697" s="12"/>
      <c r="M2697" s="11"/>
      <c r="N2697" s="11"/>
      <c r="O2697" s="11"/>
      <c r="P2697" s="11"/>
    </row>
    <row r="2698" spans="8:16" hidden="1" x14ac:dyDescent="0.25">
      <c r="H2698" s="12"/>
      <c r="I2698" s="12"/>
      <c r="J2698" s="12"/>
      <c r="K2698" s="12"/>
      <c r="L2698" s="12"/>
      <c r="M2698" s="11"/>
      <c r="N2698" s="11"/>
      <c r="O2698" s="11"/>
      <c r="P2698" s="11"/>
    </row>
    <row r="2699" spans="8:16" hidden="1" x14ac:dyDescent="0.25">
      <c r="H2699" s="12"/>
      <c r="I2699" s="12"/>
      <c r="J2699" s="12"/>
      <c r="K2699" s="12"/>
      <c r="L2699" s="12"/>
      <c r="M2699" s="11"/>
      <c r="N2699" s="11"/>
      <c r="O2699" s="11"/>
      <c r="P2699" s="11"/>
    </row>
    <row r="2700" spans="8:16" hidden="1" x14ac:dyDescent="0.25">
      <c r="H2700" s="12"/>
      <c r="I2700" s="12"/>
      <c r="J2700" s="12"/>
      <c r="K2700" s="12"/>
      <c r="L2700" s="12"/>
      <c r="M2700" s="11"/>
      <c r="N2700" s="11"/>
      <c r="O2700" s="11"/>
      <c r="P2700" s="11"/>
    </row>
    <row r="2701" spans="8:16" hidden="1" x14ac:dyDescent="0.25">
      <c r="H2701" s="12"/>
      <c r="I2701" s="12"/>
      <c r="J2701" s="12"/>
      <c r="K2701" s="12"/>
      <c r="L2701" s="12"/>
      <c r="M2701" s="11"/>
      <c r="N2701" s="11"/>
      <c r="O2701" s="11"/>
      <c r="P2701" s="11"/>
    </row>
    <row r="2702" spans="8:16" hidden="1" x14ac:dyDescent="0.25">
      <c r="H2702" s="12"/>
      <c r="I2702" s="12"/>
      <c r="J2702" s="12"/>
      <c r="K2702" s="12"/>
      <c r="L2702" s="12"/>
      <c r="M2702" s="11"/>
      <c r="N2702" s="11"/>
      <c r="O2702" s="11"/>
      <c r="P2702" s="11"/>
    </row>
    <row r="2703" spans="8:16" hidden="1" x14ac:dyDescent="0.25">
      <c r="H2703" s="12"/>
      <c r="I2703" s="12"/>
      <c r="J2703" s="12"/>
      <c r="K2703" s="12"/>
      <c r="L2703" s="12"/>
      <c r="M2703" s="11"/>
      <c r="N2703" s="11"/>
      <c r="O2703" s="11"/>
      <c r="P2703" s="11"/>
    </row>
    <row r="2704" spans="8:16" hidden="1" x14ac:dyDescent="0.25">
      <c r="H2704" s="12"/>
      <c r="I2704" s="12"/>
      <c r="J2704" s="12"/>
      <c r="K2704" s="12"/>
      <c r="L2704" s="12"/>
      <c r="M2704" s="11"/>
      <c r="N2704" s="11"/>
      <c r="O2704" s="11"/>
      <c r="P2704" s="11"/>
    </row>
    <row r="2705" spans="8:16" hidden="1" x14ac:dyDescent="0.25">
      <c r="H2705" s="12"/>
      <c r="I2705" s="12"/>
      <c r="J2705" s="12"/>
      <c r="K2705" s="12"/>
      <c r="L2705" s="12"/>
      <c r="M2705" s="11"/>
      <c r="N2705" s="11"/>
      <c r="O2705" s="11"/>
      <c r="P2705" s="11"/>
    </row>
    <row r="2706" spans="8:16" hidden="1" x14ac:dyDescent="0.25">
      <c r="H2706" s="12"/>
      <c r="I2706" s="12"/>
      <c r="J2706" s="12"/>
      <c r="K2706" s="12"/>
      <c r="L2706" s="12"/>
      <c r="M2706" s="11"/>
      <c r="N2706" s="11"/>
      <c r="O2706" s="11"/>
      <c r="P2706" s="11"/>
    </row>
    <row r="2707" spans="8:16" hidden="1" x14ac:dyDescent="0.25">
      <c r="H2707" s="12"/>
      <c r="I2707" s="12"/>
      <c r="J2707" s="12"/>
      <c r="K2707" s="12"/>
      <c r="L2707" s="12"/>
      <c r="M2707" s="11"/>
      <c r="N2707" s="11"/>
      <c r="O2707" s="11"/>
      <c r="P2707" s="11"/>
    </row>
    <row r="2708" spans="8:16" hidden="1" x14ac:dyDescent="0.25">
      <c r="H2708" s="12"/>
      <c r="I2708" s="12"/>
      <c r="J2708" s="12"/>
      <c r="K2708" s="12"/>
      <c r="L2708" s="12"/>
      <c r="M2708" s="11"/>
      <c r="N2708" s="11"/>
      <c r="O2708" s="11"/>
      <c r="P2708" s="11"/>
    </row>
    <row r="2709" spans="8:16" hidden="1" x14ac:dyDescent="0.25">
      <c r="H2709" s="12"/>
      <c r="I2709" s="12"/>
      <c r="J2709" s="12"/>
      <c r="K2709" s="12"/>
      <c r="L2709" s="12"/>
      <c r="M2709" s="11"/>
      <c r="N2709" s="11"/>
      <c r="O2709" s="11"/>
      <c r="P2709" s="11"/>
    </row>
    <row r="2710" spans="8:16" hidden="1" x14ac:dyDescent="0.25">
      <c r="H2710" s="12"/>
      <c r="I2710" s="12"/>
      <c r="J2710" s="12"/>
      <c r="K2710" s="12"/>
      <c r="L2710" s="12"/>
      <c r="M2710" s="11"/>
      <c r="N2710" s="11"/>
      <c r="O2710" s="11"/>
      <c r="P2710" s="11"/>
    </row>
    <row r="2711" spans="8:16" hidden="1" x14ac:dyDescent="0.25">
      <c r="H2711" s="12"/>
      <c r="I2711" s="12"/>
      <c r="J2711" s="12"/>
      <c r="K2711" s="12"/>
      <c r="L2711" s="12"/>
      <c r="M2711" s="11"/>
      <c r="N2711" s="11"/>
      <c r="O2711" s="11"/>
      <c r="P2711" s="11"/>
    </row>
    <row r="2712" spans="8:16" hidden="1" x14ac:dyDescent="0.25">
      <c r="H2712" s="12"/>
      <c r="I2712" s="12"/>
      <c r="J2712" s="12"/>
      <c r="K2712" s="12"/>
      <c r="L2712" s="12"/>
      <c r="M2712" s="11"/>
      <c r="N2712" s="11"/>
      <c r="O2712" s="11"/>
      <c r="P2712" s="11"/>
    </row>
    <row r="2713" spans="8:16" hidden="1" x14ac:dyDescent="0.25">
      <c r="H2713" s="12"/>
      <c r="I2713" s="12"/>
      <c r="J2713" s="12"/>
      <c r="K2713" s="12"/>
      <c r="L2713" s="12"/>
      <c r="M2713" s="11"/>
      <c r="N2713" s="11"/>
      <c r="O2713" s="11"/>
      <c r="P2713" s="11"/>
    </row>
    <row r="2714" spans="8:16" hidden="1" x14ac:dyDescent="0.25">
      <c r="H2714" s="12"/>
      <c r="I2714" s="12"/>
      <c r="J2714" s="12"/>
      <c r="K2714" s="12"/>
      <c r="L2714" s="12"/>
      <c r="M2714" s="11"/>
      <c r="N2714" s="11"/>
      <c r="O2714" s="11"/>
      <c r="P2714" s="11"/>
    </row>
    <row r="2715" spans="8:16" hidden="1" x14ac:dyDescent="0.25">
      <c r="H2715" s="12"/>
      <c r="I2715" s="12"/>
      <c r="J2715" s="12"/>
      <c r="K2715" s="12"/>
      <c r="L2715" s="12"/>
      <c r="M2715" s="11"/>
      <c r="N2715" s="11"/>
      <c r="O2715" s="11"/>
      <c r="P2715" s="11"/>
    </row>
    <row r="2716" spans="8:16" hidden="1" x14ac:dyDescent="0.25">
      <c r="H2716" s="12"/>
      <c r="I2716" s="12"/>
      <c r="J2716" s="12"/>
      <c r="K2716" s="12"/>
      <c r="L2716" s="12"/>
      <c r="M2716" s="11"/>
      <c r="N2716" s="11"/>
      <c r="O2716" s="11"/>
      <c r="P2716" s="11"/>
    </row>
    <row r="2717" spans="8:16" hidden="1" x14ac:dyDescent="0.25">
      <c r="H2717" s="12"/>
      <c r="I2717" s="12"/>
      <c r="J2717" s="12"/>
      <c r="K2717" s="12"/>
      <c r="L2717" s="12"/>
      <c r="M2717" s="11"/>
      <c r="N2717" s="11"/>
      <c r="O2717" s="11"/>
      <c r="P2717" s="11"/>
    </row>
    <row r="2718" spans="8:16" hidden="1" x14ac:dyDescent="0.25">
      <c r="H2718" s="12"/>
      <c r="I2718" s="12"/>
      <c r="J2718" s="12"/>
      <c r="K2718" s="12"/>
      <c r="L2718" s="12"/>
      <c r="M2718" s="11"/>
      <c r="N2718" s="11"/>
      <c r="O2718" s="11"/>
      <c r="P2718" s="11"/>
    </row>
    <row r="2719" spans="8:16" hidden="1" x14ac:dyDescent="0.25">
      <c r="H2719" s="12"/>
      <c r="I2719" s="12"/>
      <c r="J2719" s="12"/>
      <c r="K2719" s="12"/>
      <c r="L2719" s="12"/>
      <c r="M2719" s="11"/>
      <c r="N2719" s="11"/>
      <c r="O2719" s="11"/>
      <c r="P2719" s="11"/>
    </row>
    <row r="2720" spans="8:16" hidden="1" x14ac:dyDescent="0.25">
      <c r="H2720" s="12"/>
      <c r="I2720" s="12"/>
      <c r="J2720" s="12"/>
      <c r="K2720" s="12"/>
      <c r="L2720" s="12"/>
      <c r="M2720" s="11"/>
      <c r="N2720" s="11"/>
      <c r="O2720" s="11"/>
      <c r="P2720" s="11"/>
    </row>
    <row r="2721" spans="8:16" hidden="1" x14ac:dyDescent="0.25">
      <c r="H2721" s="12"/>
      <c r="I2721" s="12"/>
      <c r="J2721" s="12"/>
      <c r="K2721" s="12"/>
      <c r="L2721" s="12"/>
      <c r="M2721" s="11"/>
      <c r="N2721" s="11"/>
      <c r="O2721" s="11"/>
      <c r="P2721" s="11"/>
    </row>
    <row r="2722" spans="8:16" hidden="1" x14ac:dyDescent="0.25">
      <c r="H2722" s="12"/>
      <c r="I2722" s="12"/>
      <c r="J2722" s="12"/>
      <c r="K2722" s="12"/>
      <c r="L2722" s="12"/>
      <c r="M2722" s="11"/>
      <c r="N2722" s="11"/>
      <c r="O2722" s="11"/>
      <c r="P2722" s="11"/>
    </row>
    <row r="2723" spans="8:16" hidden="1" x14ac:dyDescent="0.25">
      <c r="H2723" s="12"/>
      <c r="I2723" s="12"/>
      <c r="J2723" s="12"/>
      <c r="K2723" s="12"/>
      <c r="L2723" s="12"/>
      <c r="M2723" s="11"/>
      <c r="N2723" s="11"/>
      <c r="O2723" s="11"/>
      <c r="P2723" s="11"/>
    </row>
    <row r="2724" spans="8:16" hidden="1" x14ac:dyDescent="0.25">
      <c r="H2724" s="12"/>
      <c r="I2724" s="12"/>
      <c r="J2724" s="12"/>
      <c r="K2724" s="12"/>
      <c r="L2724" s="12"/>
      <c r="M2724" s="11"/>
      <c r="N2724" s="11"/>
      <c r="O2724" s="11"/>
      <c r="P2724" s="11"/>
    </row>
    <row r="2725" spans="8:16" hidden="1" x14ac:dyDescent="0.25">
      <c r="H2725" s="12"/>
      <c r="I2725" s="12"/>
      <c r="J2725" s="12"/>
      <c r="K2725" s="12"/>
      <c r="L2725" s="12"/>
      <c r="M2725" s="11"/>
      <c r="N2725" s="11"/>
      <c r="O2725" s="11"/>
      <c r="P2725" s="11"/>
    </row>
    <row r="2726" spans="8:16" hidden="1" x14ac:dyDescent="0.25">
      <c r="H2726" s="12"/>
      <c r="I2726" s="12"/>
      <c r="J2726" s="12"/>
      <c r="K2726" s="12"/>
      <c r="L2726" s="12"/>
      <c r="M2726" s="11"/>
      <c r="N2726" s="11"/>
      <c r="O2726" s="11"/>
      <c r="P2726" s="11"/>
    </row>
    <row r="2727" spans="8:16" hidden="1" x14ac:dyDescent="0.25">
      <c r="H2727" s="12"/>
      <c r="I2727" s="12"/>
      <c r="J2727" s="12"/>
      <c r="K2727" s="12"/>
      <c r="L2727" s="12"/>
      <c r="M2727" s="11"/>
      <c r="N2727" s="11"/>
      <c r="O2727" s="11"/>
      <c r="P2727" s="11"/>
    </row>
    <row r="2728" spans="8:16" hidden="1" x14ac:dyDescent="0.25">
      <c r="H2728" s="12"/>
      <c r="I2728" s="12"/>
      <c r="J2728" s="12"/>
      <c r="K2728" s="12"/>
      <c r="L2728" s="12"/>
      <c r="M2728" s="11"/>
      <c r="N2728" s="11"/>
      <c r="O2728" s="11"/>
      <c r="P2728" s="11"/>
    </row>
    <row r="2729" spans="8:16" hidden="1" x14ac:dyDescent="0.25">
      <c r="H2729" s="12"/>
      <c r="I2729" s="12"/>
      <c r="J2729" s="12"/>
      <c r="K2729" s="12"/>
      <c r="L2729" s="12"/>
      <c r="M2729" s="11"/>
      <c r="N2729" s="11"/>
      <c r="O2729" s="11"/>
      <c r="P2729" s="11"/>
    </row>
    <row r="2730" spans="8:16" hidden="1" x14ac:dyDescent="0.25">
      <c r="H2730" s="12"/>
      <c r="I2730" s="12"/>
      <c r="J2730" s="12"/>
      <c r="K2730" s="12"/>
      <c r="L2730" s="12"/>
      <c r="M2730" s="11"/>
      <c r="N2730" s="11"/>
      <c r="O2730" s="11"/>
      <c r="P2730" s="11"/>
    </row>
    <row r="2731" spans="8:16" hidden="1" x14ac:dyDescent="0.25">
      <c r="H2731" s="12"/>
      <c r="I2731" s="12"/>
      <c r="J2731" s="12"/>
      <c r="K2731" s="12"/>
      <c r="L2731" s="12"/>
      <c r="M2731" s="11"/>
      <c r="N2731" s="11"/>
      <c r="O2731" s="11"/>
      <c r="P2731" s="11"/>
    </row>
    <row r="2732" spans="8:16" hidden="1" x14ac:dyDescent="0.25">
      <c r="H2732" s="12"/>
      <c r="I2732" s="12"/>
      <c r="J2732" s="12"/>
      <c r="K2732" s="12"/>
      <c r="L2732" s="12"/>
      <c r="M2732" s="11"/>
      <c r="N2732" s="11"/>
      <c r="O2732" s="11"/>
      <c r="P2732" s="11"/>
    </row>
    <row r="2733" spans="8:16" hidden="1" x14ac:dyDescent="0.25">
      <c r="H2733" s="12"/>
      <c r="I2733" s="12"/>
      <c r="J2733" s="12"/>
      <c r="K2733" s="12"/>
      <c r="L2733" s="12"/>
      <c r="M2733" s="11"/>
      <c r="N2733" s="11"/>
      <c r="O2733" s="11"/>
      <c r="P2733" s="11"/>
    </row>
    <row r="2734" spans="8:16" hidden="1" x14ac:dyDescent="0.25">
      <c r="H2734" s="12"/>
      <c r="I2734" s="12"/>
      <c r="J2734" s="12"/>
      <c r="K2734" s="12"/>
      <c r="L2734" s="12"/>
      <c r="M2734" s="11"/>
      <c r="N2734" s="11"/>
      <c r="O2734" s="11"/>
      <c r="P2734" s="11"/>
    </row>
    <row r="2735" spans="8:16" hidden="1" x14ac:dyDescent="0.25">
      <c r="H2735" s="12"/>
      <c r="I2735" s="12"/>
      <c r="J2735" s="12"/>
      <c r="K2735" s="12"/>
      <c r="L2735" s="12"/>
      <c r="M2735" s="11"/>
      <c r="N2735" s="11"/>
      <c r="O2735" s="11"/>
      <c r="P2735" s="11"/>
    </row>
    <row r="2736" spans="8:16" hidden="1" x14ac:dyDescent="0.25">
      <c r="H2736" s="12"/>
      <c r="I2736" s="12"/>
      <c r="J2736" s="12"/>
      <c r="K2736" s="12"/>
      <c r="L2736" s="12"/>
      <c r="M2736" s="11"/>
      <c r="N2736" s="11"/>
      <c r="O2736" s="11"/>
      <c r="P2736" s="11"/>
    </row>
    <row r="2737" spans="8:16" hidden="1" x14ac:dyDescent="0.25">
      <c r="H2737" s="12"/>
      <c r="I2737" s="12"/>
      <c r="J2737" s="12"/>
      <c r="K2737" s="12"/>
      <c r="L2737" s="12"/>
      <c r="M2737" s="11"/>
      <c r="N2737" s="11"/>
      <c r="O2737" s="11"/>
      <c r="P2737" s="11"/>
    </row>
    <row r="2738" spans="8:16" hidden="1" x14ac:dyDescent="0.25">
      <c r="H2738" s="12"/>
      <c r="I2738" s="12"/>
      <c r="J2738" s="12"/>
      <c r="K2738" s="12"/>
      <c r="L2738" s="12"/>
      <c r="M2738" s="11"/>
      <c r="N2738" s="11"/>
      <c r="O2738" s="11"/>
      <c r="P2738" s="11"/>
    </row>
    <row r="2739" spans="8:16" hidden="1" x14ac:dyDescent="0.25">
      <c r="H2739" s="12"/>
      <c r="I2739" s="12"/>
      <c r="J2739" s="12"/>
      <c r="K2739" s="12"/>
      <c r="L2739" s="12"/>
      <c r="M2739" s="11"/>
      <c r="N2739" s="11"/>
      <c r="O2739" s="11"/>
      <c r="P2739" s="11"/>
    </row>
    <row r="2740" spans="8:16" hidden="1" x14ac:dyDescent="0.25">
      <c r="H2740" s="12"/>
      <c r="I2740" s="12"/>
      <c r="J2740" s="12"/>
      <c r="K2740" s="12"/>
      <c r="L2740" s="12"/>
      <c r="M2740" s="11"/>
      <c r="N2740" s="11"/>
      <c r="O2740" s="11"/>
      <c r="P2740" s="11"/>
    </row>
    <row r="2741" spans="8:16" hidden="1" x14ac:dyDescent="0.25">
      <c r="H2741" s="12"/>
      <c r="I2741" s="12"/>
      <c r="J2741" s="12"/>
      <c r="K2741" s="12"/>
      <c r="L2741" s="12"/>
      <c r="M2741" s="11"/>
      <c r="N2741" s="11"/>
      <c r="O2741" s="11"/>
      <c r="P2741" s="11"/>
    </row>
    <row r="2742" spans="8:16" hidden="1" x14ac:dyDescent="0.25">
      <c r="H2742" s="12"/>
      <c r="I2742" s="12"/>
      <c r="J2742" s="12"/>
      <c r="K2742" s="12"/>
      <c r="L2742" s="12"/>
      <c r="M2742" s="11"/>
      <c r="N2742" s="11"/>
      <c r="O2742" s="11"/>
      <c r="P2742" s="11"/>
    </row>
    <row r="2743" spans="8:16" hidden="1" x14ac:dyDescent="0.25">
      <c r="H2743" s="12"/>
      <c r="I2743" s="12"/>
      <c r="J2743" s="12"/>
      <c r="K2743" s="12"/>
      <c r="L2743" s="12"/>
      <c r="M2743" s="11"/>
      <c r="N2743" s="11"/>
      <c r="O2743" s="11"/>
      <c r="P2743" s="11"/>
    </row>
    <row r="2744" spans="8:16" hidden="1" x14ac:dyDescent="0.25">
      <c r="H2744" s="12"/>
      <c r="I2744" s="12"/>
      <c r="J2744" s="12"/>
      <c r="K2744" s="12"/>
      <c r="L2744" s="12"/>
      <c r="M2744" s="11"/>
      <c r="N2744" s="11"/>
      <c r="O2744" s="11"/>
      <c r="P2744" s="11"/>
    </row>
    <row r="2745" spans="8:16" hidden="1" x14ac:dyDescent="0.25">
      <c r="H2745" s="12"/>
      <c r="I2745" s="12"/>
      <c r="J2745" s="12"/>
      <c r="K2745" s="12"/>
      <c r="L2745" s="12"/>
      <c r="M2745" s="11"/>
      <c r="N2745" s="11"/>
      <c r="O2745" s="11"/>
      <c r="P2745" s="11"/>
    </row>
    <row r="2746" spans="8:16" hidden="1" x14ac:dyDescent="0.25">
      <c r="H2746" s="12"/>
      <c r="I2746" s="12"/>
      <c r="J2746" s="12"/>
      <c r="K2746" s="12"/>
      <c r="L2746" s="12"/>
      <c r="M2746" s="11"/>
      <c r="N2746" s="11"/>
      <c r="O2746" s="11"/>
      <c r="P2746" s="11"/>
    </row>
    <row r="2747" spans="8:16" hidden="1" x14ac:dyDescent="0.25">
      <c r="H2747" s="12"/>
      <c r="I2747" s="12"/>
      <c r="J2747" s="12"/>
      <c r="K2747" s="12"/>
      <c r="L2747" s="12"/>
      <c r="M2747" s="11"/>
      <c r="N2747" s="11"/>
      <c r="O2747" s="11"/>
      <c r="P2747" s="11"/>
    </row>
    <row r="2748" spans="8:16" hidden="1" x14ac:dyDescent="0.25">
      <c r="H2748" s="12"/>
      <c r="I2748" s="12"/>
      <c r="J2748" s="12"/>
      <c r="K2748" s="12"/>
      <c r="L2748" s="12"/>
      <c r="M2748" s="11"/>
      <c r="N2748" s="11"/>
      <c r="O2748" s="11"/>
      <c r="P2748" s="11"/>
    </row>
    <row r="2749" spans="8:16" hidden="1" x14ac:dyDescent="0.25">
      <c r="H2749" s="12"/>
      <c r="I2749" s="12"/>
      <c r="J2749" s="12"/>
      <c r="K2749" s="12"/>
      <c r="L2749" s="12"/>
      <c r="M2749" s="11"/>
      <c r="N2749" s="11"/>
      <c r="O2749" s="11"/>
      <c r="P2749" s="11"/>
    </row>
    <row r="2750" spans="8:16" hidden="1" x14ac:dyDescent="0.25">
      <c r="H2750" s="12"/>
      <c r="I2750" s="12"/>
      <c r="J2750" s="12"/>
      <c r="K2750" s="12"/>
      <c r="L2750" s="12"/>
      <c r="M2750" s="11"/>
      <c r="N2750" s="11"/>
      <c r="O2750" s="11"/>
      <c r="P2750" s="11"/>
    </row>
    <row r="2751" spans="8:16" hidden="1" x14ac:dyDescent="0.25">
      <c r="H2751" s="12"/>
      <c r="I2751" s="12"/>
      <c r="J2751" s="12"/>
      <c r="K2751" s="12"/>
      <c r="L2751" s="12"/>
      <c r="M2751" s="11"/>
      <c r="N2751" s="11"/>
      <c r="O2751" s="11"/>
      <c r="P2751" s="11"/>
    </row>
    <row r="2752" spans="8:16" hidden="1" x14ac:dyDescent="0.25">
      <c r="H2752" s="12"/>
      <c r="I2752" s="12"/>
      <c r="J2752" s="12"/>
      <c r="K2752" s="12"/>
      <c r="L2752" s="12"/>
      <c r="M2752" s="11"/>
      <c r="N2752" s="11"/>
      <c r="O2752" s="11"/>
      <c r="P2752" s="11"/>
    </row>
    <row r="2753" spans="8:16" hidden="1" x14ac:dyDescent="0.25">
      <c r="H2753" s="12"/>
      <c r="I2753" s="12"/>
      <c r="J2753" s="12"/>
      <c r="K2753" s="12"/>
      <c r="L2753" s="12"/>
      <c r="M2753" s="11"/>
      <c r="N2753" s="11"/>
      <c r="O2753" s="11"/>
      <c r="P2753" s="11"/>
    </row>
    <row r="2754" spans="8:16" hidden="1" x14ac:dyDescent="0.25">
      <c r="H2754" s="12"/>
      <c r="I2754" s="12"/>
      <c r="J2754" s="12"/>
      <c r="K2754" s="12"/>
      <c r="L2754" s="12"/>
      <c r="M2754" s="11"/>
      <c r="N2754" s="11"/>
      <c r="O2754" s="11"/>
      <c r="P2754" s="11"/>
    </row>
    <row r="2755" spans="8:16" hidden="1" x14ac:dyDescent="0.25">
      <c r="H2755" s="12"/>
      <c r="I2755" s="12"/>
      <c r="J2755" s="12"/>
      <c r="K2755" s="12"/>
      <c r="L2755" s="12"/>
      <c r="M2755" s="11"/>
      <c r="N2755" s="11"/>
      <c r="O2755" s="11"/>
      <c r="P2755" s="11"/>
    </row>
    <row r="2756" spans="8:16" hidden="1" x14ac:dyDescent="0.25">
      <c r="H2756" s="12"/>
      <c r="I2756" s="12"/>
      <c r="J2756" s="12"/>
      <c r="K2756" s="12"/>
      <c r="L2756" s="12"/>
      <c r="M2756" s="11"/>
      <c r="N2756" s="11"/>
      <c r="O2756" s="11"/>
      <c r="P2756" s="11"/>
    </row>
    <row r="2757" spans="8:16" hidden="1" x14ac:dyDescent="0.25">
      <c r="H2757" s="12"/>
      <c r="I2757" s="12"/>
      <c r="J2757" s="12"/>
      <c r="K2757" s="12"/>
      <c r="L2757" s="12"/>
      <c r="M2757" s="11"/>
      <c r="N2757" s="11"/>
      <c r="O2757" s="11"/>
      <c r="P2757" s="11"/>
    </row>
    <row r="2758" spans="8:16" hidden="1" x14ac:dyDescent="0.25">
      <c r="H2758" s="12"/>
      <c r="I2758" s="12"/>
      <c r="J2758" s="12"/>
      <c r="K2758" s="12"/>
      <c r="L2758" s="12"/>
      <c r="M2758" s="11"/>
      <c r="N2758" s="11"/>
      <c r="O2758" s="11"/>
      <c r="P2758" s="11"/>
    </row>
    <row r="2759" spans="8:16" hidden="1" x14ac:dyDescent="0.25">
      <c r="H2759" s="12"/>
      <c r="I2759" s="12"/>
      <c r="J2759" s="12"/>
      <c r="K2759" s="12"/>
      <c r="L2759" s="12"/>
      <c r="M2759" s="11"/>
      <c r="N2759" s="11"/>
      <c r="O2759" s="11"/>
      <c r="P2759" s="11"/>
    </row>
    <row r="2760" spans="8:16" hidden="1" x14ac:dyDescent="0.25">
      <c r="H2760" s="12"/>
      <c r="I2760" s="12"/>
      <c r="J2760" s="12"/>
      <c r="K2760" s="12"/>
      <c r="L2760" s="12"/>
      <c r="M2760" s="11"/>
      <c r="N2760" s="11"/>
      <c r="O2760" s="11"/>
      <c r="P2760" s="11"/>
    </row>
    <row r="2761" spans="8:16" hidden="1" x14ac:dyDescent="0.25">
      <c r="H2761" s="12"/>
      <c r="I2761" s="12"/>
      <c r="J2761" s="12"/>
      <c r="K2761" s="12"/>
      <c r="L2761" s="12"/>
      <c r="M2761" s="11"/>
      <c r="N2761" s="11"/>
      <c r="O2761" s="11"/>
      <c r="P2761" s="11"/>
    </row>
    <row r="2762" spans="8:16" hidden="1" x14ac:dyDescent="0.25">
      <c r="H2762" s="12"/>
      <c r="I2762" s="12"/>
      <c r="J2762" s="12"/>
      <c r="K2762" s="12"/>
      <c r="L2762" s="12"/>
      <c r="M2762" s="11"/>
      <c r="N2762" s="11"/>
      <c r="O2762" s="11"/>
      <c r="P2762" s="11"/>
    </row>
    <row r="2763" spans="8:16" hidden="1" x14ac:dyDescent="0.25">
      <c r="H2763" s="12"/>
      <c r="I2763" s="12"/>
      <c r="J2763" s="12"/>
      <c r="K2763" s="12"/>
      <c r="L2763" s="12"/>
      <c r="M2763" s="11"/>
      <c r="N2763" s="11"/>
      <c r="O2763" s="11"/>
      <c r="P2763" s="11"/>
    </row>
    <row r="2764" spans="8:16" hidden="1" x14ac:dyDescent="0.25">
      <c r="H2764" s="12"/>
      <c r="I2764" s="12"/>
      <c r="J2764" s="12"/>
      <c r="K2764" s="12"/>
      <c r="L2764" s="12"/>
      <c r="M2764" s="11"/>
      <c r="N2764" s="11"/>
      <c r="O2764" s="11"/>
      <c r="P2764" s="11"/>
    </row>
    <row r="2765" spans="8:16" hidden="1" x14ac:dyDescent="0.25">
      <c r="H2765" s="12"/>
      <c r="I2765" s="12"/>
      <c r="J2765" s="12"/>
      <c r="K2765" s="12"/>
      <c r="L2765" s="12"/>
      <c r="M2765" s="11"/>
      <c r="N2765" s="11"/>
      <c r="O2765" s="11"/>
      <c r="P2765" s="11"/>
    </row>
    <row r="2766" spans="8:16" hidden="1" x14ac:dyDescent="0.25">
      <c r="H2766" s="12"/>
      <c r="I2766" s="12"/>
      <c r="J2766" s="12"/>
      <c r="K2766" s="12"/>
      <c r="L2766" s="12"/>
      <c r="M2766" s="11"/>
      <c r="N2766" s="11"/>
      <c r="O2766" s="11"/>
      <c r="P2766" s="11"/>
    </row>
    <row r="2767" spans="8:16" hidden="1" x14ac:dyDescent="0.25">
      <c r="H2767" s="12"/>
      <c r="I2767" s="12"/>
      <c r="J2767" s="12"/>
      <c r="K2767" s="12"/>
      <c r="L2767" s="12"/>
      <c r="M2767" s="11"/>
      <c r="N2767" s="11"/>
      <c r="O2767" s="11"/>
      <c r="P2767" s="11"/>
    </row>
    <row r="2768" spans="8:16" hidden="1" x14ac:dyDescent="0.25">
      <c r="H2768" s="12"/>
      <c r="I2768" s="12"/>
      <c r="J2768" s="12"/>
      <c r="K2768" s="12"/>
      <c r="L2768" s="12"/>
      <c r="M2768" s="11"/>
      <c r="N2768" s="11"/>
      <c r="O2768" s="11"/>
      <c r="P2768" s="11"/>
    </row>
    <row r="2769" spans="8:16" hidden="1" x14ac:dyDescent="0.25">
      <c r="H2769" s="12"/>
      <c r="I2769" s="12"/>
      <c r="J2769" s="12"/>
      <c r="K2769" s="12"/>
      <c r="L2769" s="12"/>
      <c r="M2769" s="11"/>
      <c r="N2769" s="11"/>
      <c r="O2769" s="11"/>
      <c r="P2769" s="11"/>
    </row>
    <row r="2770" spans="8:16" hidden="1" x14ac:dyDescent="0.25">
      <c r="H2770" s="12"/>
      <c r="I2770" s="12"/>
      <c r="J2770" s="12"/>
      <c r="K2770" s="12"/>
      <c r="L2770" s="12"/>
      <c r="M2770" s="11"/>
      <c r="N2770" s="11"/>
      <c r="O2770" s="11"/>
      <c r="P2770" s="11"/>
    </row>
    <row r="2771" spans="8:16" hidden="1" x14ac:dyDescent="0.25">
      <c r="H2771" s="12"/>
      <c r="I2771" s="12"/>
      <c r="J2771" s="12"/>
      <c r="K2771" s="12"/>
      <c r="L2771" s="12"/>
      <c r="M2771" s="11"/>
      <c r="N2771" s="11"/>
      <c r="O2771" s="11"/>
      <c r="P2771" s="11"/>
    </row>
    <row r="2772" spans="8:16" hidden="1" x14ac:dyDescent="0.25">
      <c r="H2772" s="12"/>
      <c r="I2772" s="12"/>
      <c r="J2772" s="12"/>
      <c r="K2772" s="12"/>
      <c r="L2772" s="12"/>
      <c r="M2772" s="11"/>
      <c r="N2772" s="11"/>
      <c r="O2772" s="11"/>
      <c r="P2772" s="11"/>
    </row>
    <row r="2773" spans="8:16" hidden="1" x14ac:dyDescent="0.25">
      <c r="H2773" s="12"/>
      <c r="I2773" s="12"/>
      <c r="J2773" s="12"/>
      <c r="K2773" s="12"/>
      <c r="L2773" s="12"/>
      <c r="M2773" s="11"/>
      <c r="N2773" s="11"/>
      <c r="O2773" s="11"/>
      <c r="P2773" s="11"/>
    </row>
    <row r="2774" spans="8:16" hidden="1" x14ac:dyDescent="0.25">
      <c r="H2774" s="12"/>
      <c r="I2774" s="12"/>
      <c r="J2774" s="12"/>
      <c r="K2774" s="12"/>
      <c r="L2774" s="12"/>
      <c r="M2774" s="11"/>
      <c r="N2774" s="11"/>
      <c r="O2774" s="11"/>
      <c r="P2774" s="11"/>
    </row>
    <row r="2775" spans="8:16" hidden="1" x14ac:dyDescent="0.25">
      <c r="H2775" s="12"/>
      <c r="I2775" s="12"/>
      <c r="J2775" s="12"/>
      <c r="K2775" s="12"/>
      <c r="L2775" s="12"/>
      <c r="M2775" s="11"/>
      <c r="N2775" s="11"/>
      <c r="O2775" s="11"/>
      <c r="P2775" s="11"/>
    </row>
    <row r="2776" spans="8:16" hidden="1" x14ac:dyDescent="0.25">
      <c r="H2776" s="12"/>
      <c r="I2776" s="12"/>
      <c r="J2776" s="12"/>
      <c r="K2776" s="12"/>
      <c r="L2776" s="12"/>
      <c r="M2776" s="11"/>
      <c r="N2776" s="11"/>
      <c r="O2776" s="11"/>
      <c r="P2776" s="11"/>
    </row>
    <row r="2777" spans="8:16" hidden="1" x14ac:dyDescent="0.25">
      <c r="H2777" s="12"/>
      <c r="I2777" s="12"/>
      <c r="J2777" s="12"/>
      <c r="K2777" s="12"/>
      <c r="L2777" s="12"/>
      <c r="M2777" s="11"/>
      <c r="N2777" s="11"/>
      <c r="O2777" s="11"/>
      <c r="P2777" s="11"/>
    </row>
    <row r="2778" spans="8:16" hidden="1" x14ac:dyDescent="0.25">
      <c r="H2778" s="12"/>
      <c r="I2778" s="12"/>
      <c r="J2778" s="12"/>
      <c r="K2778" s="12"/>
      <c r="L2778" s="12"/>
      <c r="M2778" s="11"/>
      <c r="N2778" s="11"/>
      <c r="O2778" s="11"/>
      <c r="P2778" s="11"/>
    </row>
    <row r="2779" spans="8:16" hidden="1" x14ac:dyDescent="0.25">
      <c r="H2779" s="12"/>
      <c r="I2779" s="12"/>
      <c r="J2779" s="12"/>
      <c r="K2779" s="12"/>
      <c r="L2779" s="12"/>
      <c r="M2779" s="11"/>
      <c r="N2779" s="11"/>
      <c r="O2779" s="11"/>
      <c r="P2779" s="11"/>
    </row>
    <row r="2780" spans="8:16" hidden="1" x14ac:dyDescent="0.25">
      <c r="H2780" s="12"/>
      <c r="I2780" s="12"/>
      <c r="J2780" s="12"/>
      <c r="K2780" s="12"/>
      <c r="L2780" s="12"/>
      <c r="M2780" s="11"/>
      <c r="N2780" s="11"/>
      <c r="O2780" s="11"/>
      <c r="P2780" s="11"/>
    </row>
    <row r="2781" spans="8:16" hidden="1" x14ac:dyDescent="0.25">
      <c r="H2781" s="12"/>
      <c r="I2781" s="12"/>
      <c r="J2781" s="12"/>
      <c r="K2781" s="12"/>
      <c r="L2781" s="12"/>
      <c r="M2781" s="11"/>
      <c r="N2781" s="11"/>
      <c r="O2781" s="11"/>
      <c r="P2781" s="11"/>
    </row>
    <row r="2782" spans="8:16" hidden="1" x14ac:dyDescent="0.25">
      <c r="H2782" s="12"/>
      <c r="I2782" s="12"/>
      <c r="J2782" s="12"/>
      <c r="K2782" s="12"/>
      <c r="L2782" s="12"/>
      <c r="M2782" s="11"/>
      <c r="N2782" s="11"/>
      <c r="O2782" s="11"/>
      <c r="P2782" s="11"/>
    </row>
    <row r="2783" spans="8:16" hidden="1" x14ac:dyDescent="0.25">
      <c r="H2783" s="12"/>
      <c r="I2783" s="12"/>
      <c r="J2783" s="12"/>
      <c r="K2783" s="12"/>
      <c r="L2783" s="12"/>
      <c r="M2783" s="11"/>
      <c r="N2783" s="11"/>
      <c r="O2783" s="11"/>
      <c r="P2783" s="11"/>
    </row>
    <row r="2784" spans="8:16" hidden="1" x14ac:dyDescent="0.25">
      <c r="H2784" s="12"/>
      <c r="I2784" s="12"/>
      <c r="J2784" s="12"/>
      <c r="K2784" s="12"/>
      <c r="L2784" s="12"/>
      <c r="M2784" s="11"/>
      <c r="N2784" s="11"/>
      <c r="O2784" s="11"/>
      <c r="P2784" s="11"/>
    </row>
    <row r="2785" spans="8:16" hidden="1" x14ac:dyDescent="0.25">
      <c r="H2785" s="12"/>
      <c r="I2785" s="12"/>
      <c r="J2785" s="12"/>
      <c r="K2785" s="12"/>
      <c r="L2785" s="12"/>
      <c r="M2785" s="11"/>
      <c r="N2785" s="11"/>
      <c r="O2785" s="11"/>
      <c r="P2785" s="11"/>
    </row>
    <row r="2786" spans="8:16" hidden="1" x14ac:dyDescent="0.25">
      <c r="H2786" s="12"/>
      <c r="I2786" s="12"/>
      <c r="J2786" s="12"/>
      <c r="K2786" s="12"/>
      <c r="L2786" s="12"/>
      <c r="M2786" s="11"/>
      <c r="N2786" s="11"/>
      <c r="O2786" s="11"/>
      <c r="P2786" s="11"/>
    </row>
    <row r="2787" spans="8:16" hidden="1" x14ac:dyDescent="0.25">
      <c r="H2787" s="12"/>
      <c r="I2787" s="12"/>
      <c r="J2787" s="12"/>
      <c r="K2787" s="12"/>
      <c r="L2787" s="12"/>
      <c r="M2787" s="11"/>
      <c r="N2787" s="11"/>
      <c r="O2787" s="11"/>
      <c r="P2787" s="11"/>
    </row>
    <row r="2788" spans="8:16" hidden="1" x14ac:dyDescent="0.25">
      <c r="H2788" s="12"/>
      <c r="I2788" s="12"/>
      <c r="J2788" s="12"/>
      <c r="K2788" s="12"/>
      <c r="L2788" s="12"/>
      <c r="M2788" s="11"/>
      <c r="N2788" s="11"/>
      <c r="O2788" s="11"/>
      <c r="P2788" s="11"/>
    </row>
    <row r="2789" spans="8:16" hidden="1" x14ac:dyDescent="0.25">
      <c r="H2789" s="12"/>
      <c r="I2789" s="12"/>
      <c r="J2789" s="12"/>
      <c r="K2789" s="12"/>
      <c r="L2789" s="12"/>
      <c r="M2789" s="11"/>
      <c r="N2789" s="11"/>
      <c r="O2789" s="11"/>
      <c r="P2789" s="11"/>
    </row>
    <row r="2790" spans="8:16" hidden="1" x14ac:dyDescent="0.25">
      <c r="H2790" s="12"/>
      <c r="I2790" s="12"/>
      <c r="J2790" s="12"/>
      <c r="K2790" s="12"/>
      <c r="L2790" s="12"/>
      <c r="M2790" s="11"/>
      <c r="N2790" s="11"/>
      <c r="O2790" s="11"/>
      <c r="P2790" s="11"/>
    </row>
    <row r="2791" spans="8:16" hidden="1" x14ac:dyDescent="0.25">
      <c r="H2791" s="12"/>
      <c r="I2791" s="12"/>
      <c r="J2791" s="12"/>
      <c r="K2791" s="12"/>
      <c r="L2791" s="12"/>
      <c r="M2791" s="11"/>
      <c r="N2791" s="11"/>
      <c r="O2791" s="11"/>
      <c r="P2791" s="11"/>
    </row>
    <row r="2792" spans="8:16" hidden="1" x14ac:dyDescent="0.25">
      <c r="H2792" s="12"/>
      <c r="I2792" s="12"/>
      <c r="J2792" s="12"/>
      <c r="K2792" s="12"/>
      <c r="L2792" s="12"/>
      <c r="M2792" s="11"/>
      <c r="N2792" s="11"/>
      <c r="O2792" s="11"/>
      <c r="P2792" s="11"/>
    </row>
    <row r="2793" spans="8:16" hidden="1" x14ac:dyDescent="0.25">
      <c r="H2793" s="12"/>
      <c r="I2793" s="12"/>
      <c r="J2793" s="12"/>
      <c r="K2793" s="12"/>
      <c r="L2793" s="12"/>
      <c r="M2793" s="11"/>
      <c r="N2793" s="11"/>
      <c r="O2793" s="11"/>
      <c r="P2793" s="11"/>
    </row>
    <row r="2794" spans="8:16" hidden="1" x14ac:dyDescent="0.25">
      <c r="H2794" s="12"/>
      <c r="I2794" s="12"/>
      <c r="J2794" s="12"/>
      <c r="K2794" s="12"/>
      <c r="L2794" s="12"/>
      <c r="M2794" s="11"/>
      <c r="N2794" s="11"/>
      <c r="O2794" s="11"/>
      <c r="P2794" s="11"/>
    </row>
    <row r="2795" spans="8:16" hidden="1" x14ac:dyDescent="0.25">
      <c r="H2795" s="12"/>
      <c r="I2795" s="12"/>
      <c r="J2795" s="12"/>
      <c r="K2795" s="12"/>
      <c r="L2795" s="12"/>
      <c r="M2795" s="11"/>
      <c r="N2795" s="11"/>
      <c r="O2795" s="11"/>
      <c r="P2795" s="11"/>
    </row>
    <row r="2796" spans="8:16" hidden="1" x14ac:dyDescent="0.25">
      <c r="H2796" s="12"/>
      <c r="I2796" s="12"/>
      <c r="J2796" s="12"/>
      <c r="K2796" s="12"/>
      <c r="L2796" s="12"/>
      <c r="M2796" s="11"/>
      <c r="N2796" s="11"/>
      <c r="O2796" s="11"/>
      <c r="P2796" s="11"/>
    </row>
    <row r="2797" spans="8:16" hidden="1" x14ac:dyDescent="0.25">
      <c r="H2797" s="12"/>
      <c r="I2797" s="12"/>
      <c r="J2797" s="12"/>
      <c r="K2797" s="12"/>
      <c r="L2797" s="12"/>
      <c r="M2797" s="11"/>
      <c r="N2797" s="11"/>
      <c r="O2797" s="11"/>
      <c r="P2797" s="11"/>
    </row>
    <row r="2798" spans="8:16" hidden="1" x14ac:dyDescent="0.25">
      <c r="H2798" s="12"/>
      <c r="I2798" s="12"/>
      <c r="J2798" s="12"/>
      <c r="K2798" s="12"/>
      <c r="L2798" s="12"/>
      <c r="M2798" s="11"/>
      <c r="N2798" s="11"/>
      <c r="O2798" s="11"/>
      <c r="P2798" s="11"/>
    </row>
    <row r="2799" spans="8:16" hidden="1" x14ac:dyDescent="0.25">
      <c r="H2799" s="12"/>
      <c r="I2799" s="12"/>
      <c r="J2799" s="12"/>
      <c r="K2799" s="12"/>
      <c r="L2799" s="12"/>
      <c r="M2799" s="11"/>
      <c r="N2799" s="11"/>
      <c r="O2799" s="11"/>
      <c r="P2799" s="11"/>
    </row>
    <row r="2800" spans="8:16" hidden="1" x14ac:dyDescent="0.25">
      <c r="H2800" s="12"/>
      <c r="I2800" s="12"/>
      <c r="J2800" s="12"/>
      <c r="K2800" s="12"/>
      <c r="L2800" s="12"/>
      <c r="M2800" s="11"/>
      <c r="N2800" s="11"/>
      <c r="O2800" s="11"/>
      <c r="P2800" s="11"/>
    </row>
    <row r="2801" spans="8:16" hidden="1" x14ac:dyDescent="0.25">
      <c r="H2801" s="12"/>
      <c r="I2801" s="12"/>
      <c r="J2801" s="12"/>
      <c r="K2801" s="12"/>
      <c r="L2801" s="12"/>
      <c r="M2801" s="11"/>
      <c r="N2801" s="11"/>
      <c r="O2801" s="11"/>
      <c r="P2801" s="11"/>
    </row>
    <row r="2802" spans="8:16" hidden="1" x14ac:dyDescent="0.25">
      <c r="H2802" s="12"/>
      <c r="I2802" s="12"/>
      <c r="J2802" s="12"/>
      <c r="K2802" s="12"/>
      <c r="L2802" s="12"/>
      <c r="M2802" s="11"/>
      <c r="N2802" s="11"/>
      <c r="O2802" s="11"/>
      <c r="P2802" s="11"/>
    </row>
    <row r="2803" spans="8:16" hidden="1" x14ac:dyDescent="0.25">
      <c r="H2803" s="12"/>
      <c r="I2803" s="12"/>
      <c r="J2803" s="12"/>
      <c r="K2803" s="12"/>
      <c r="L2803" s="12"/>
      <c r="M2803" s="11"/>
      <c r="N2803" s="11"/>
      <c r="O2803" s="11"/>
      <c r="P2803" s="11"/>
    </row>
    <row r="2804" spans="8:16" hidden="1" x14ac:dyDescent="0.25">
      <c r="H2804" s="12"/>
      <c r="I2804" s="12"/>
      <c r="J2804" s="12"/>
      <c r="K2804" s="12"/>
      <c r="L2804" s="12"/>
      <c r="M2804" s="11"/>
      <c r="N2804" s="11"/>
      <c r="O2804" s="11"/>
      <c r="P2804" s="11"/>
    </row>
    <row r="2805" spans="8:16" hidden="1" x14ac:dyDescent="0.25">
      <c r="H2805" s="12"/>
      <c r="I2805" s="12"/>
      <c r="J2805" s="12"/>
      <c r="K2805" s="12"/>
      <c r="L2805" s="12"/>
      <c r="M2805" s="11"/>
      <c r="N2805" s="11"/>
      <c r="O2805" s="11"/>
      <c r="P2805" s="11"/>
    </row>
    <row r="2806" spans="8:16" hidden="1" x14ac:dyDescent="0.25">
      <c r="H2806" s="12"/>
      <c r="I2806" s="12"/>
      <c r="J2806" s="12"/>
      <c r="K2806" s="12"/>
      <c r="L2806" s="12"/>
      <c r="M2806" s="11"/>
      <c r="N2806" s="11"/>
      <c r="O2806" s="11"/>
      <c r="P2806" s="11"/>
    </row>
    <row r="2807" spans="8:16" hidden="1" x14ac:dyDescent="0.25">
      <c r="H2807" s="12"/>
      <c r="I2807" s="12"/>
      <c r="J2807" s="12"/>
      <c r="K2807" s="12"/>
      <c r="L2807" s="12"/>
      <c r="M2807" s="11"/>
      <c r="N2807" s="11"/>
      <c r="O2807" s="11"/>
      <c r="P2807" s="11"/>
    </row>
    <row r="2808" spans="8:16" hidden="1" x14ac:dyDescent="0.25">
      <c r="H2808" s="12"/>
      <c r="I2808" s="12"/>
      <c r="J2808" s="12"/>
      <c r="K2808" s="12"/>
      <c r="L2808" s="12"/>
      <c r="M2808" s="11"/>
      <c r="N2808" s="11"/>
      <c r="O2808" s="11"/>
      <c r="P2808" s="11"/>
    </row>
    <row r="2809" spans="8:16" hidden="1" x14ac:dyDescent="0.25">
      <c r="H2809" s="12"/>
      <c r="I2809" s="12"/>
      <c r="J2809" s="12"/>
      <c r="K2809" s="12"/>
      <c r="L2809" s="12"/>
      <c r="M2809" s="11"/>
      <c r="N2809" s="11"/>
      <c r="O2809" s="11"/>
      <c r="P2809" s="11"/>
    </row>
    <row r="2810" spans="8:16" hidden="1" x14ac:dyDescent="0.25">
      <c r="H2810" s="12"/>
      <c r="I2810" s="12"/>
      <c r="J2810" s="12"/>
      <c r="K2810" s="12"/>
      <c r="L2810" s="12"/>
      <c r="M2810" s="11"/>
      <c r="N2810" s="11"/>
      <c r="O2810" s="11"/>
      <c r="P2810" s="11"/>
    </row>
    <row r="2811" spans="8:16" hidden="1" x14ac:dyDescent="0.25">
      <c r="H2811" s="12"/>
      <c r="I2811" s="12"/>
      <c r="J2811" s="12"/>
      <c r="K2811" s="12"/>
      <c r="L2811" s="12"/>
      <c r="M2811" s="11"/>
      <c r="N2811" s="11"/>
      <c r="O2811" s="11"/>
      <c r="P2811" s="11"/>
    </row>
    <row r="2812" spans="8:16" hidden="1" x14ac:dyDescent="0.25">
      <c r="H2812" s="12"/>
      <c r="I2812" s="12"/>
      <c r="J2812" s="12"/>
      <c r="K2812" s="12"/>
      <c r="L2812" s="12"/>
      <c r="M2812" s="11"/>
      <c r="N2812" s="11"/>
      <c r="O2812" s="11"/>
      <c r="P2812" s="11"/>
    </row>
    <row r="2813" spans="8:16" hidden="1" x14ac:dyDescent="0.25">
      <c r="H2813" s="12"/>
      <c r="I2813" s="12"/>
      <c r="J2813" s="12"/>
      <c r="K2813" s="12"/>
      <c r="L2813" s="12"/>
      <c r="M2813" s="11"/>
      <c r="N2813" s="11"/>
      <c r="O2813" s="11"/>
      <c r="P2813" s="11"/>
    </row>
    <row r="2814" spans="8:16" hidden="1" x14ac:dyDescent="0.25">
      <c r="H2814" s="12"/>
      <c r="I2814" s="12"/>
      <c r="J2814" s="12"/>
      <c r="K2814" s="12"/>
      <c r="L2814" s="12"/>
      <c r="M2814" s="11"/>
      <c r="N2814" s="11"/>
      <c r="O2814" s="11"/>
      <c r="P2814" s="11"/>
    </row>
    <row r="2815" spans="8:16" hidden="1" x14ac:dyDescent="0.25">
      <c r="H2815" s="12"/>
      <c r="I2815" s="12"/>
      <c r="J2815" s="12"/>
      <c r="K2815" s="12"/>
      <c r="L2815" s="12"/>
      <c r="M2815" s="11"/>
      <c r="N2815" s="11"/>
      <c r="O2815" s="11"/>
      <c r="P2815" s="11"/>
    </row>
    <row r="2816" spans="8:16" hidden="1" x14ac:dyDescent="0.25">
      <c r="H2816" s="12"/>
      <c r="I2816" s="12"/>
      <c r="J2816" s="12"/>
      <c r="K2816" s="12"/>
      <c r="L2816" s="12"/>
      <c r="M2816" s="11"/>
      <c r="N2816" s="11"/>
      <c r="O2816" s="11"/>
      <c r="P2816" s="11"/>
    </row>
    <row r="2817" spans="8:16" hidden="1" x14ac:dyDescent="0.25">
      <c r="H2817" s="12"/>
      <c r="I2817" s="12"/>
      <c r="J2817" s="12"/>
      <c r="K2817" s="12"/>
      <c r="L2817" s="12"/>
      <c r="M2817" s="11"/>
      <c r="N2817" s="11"/>
      <c r="O2817" s="11"/>
      <c r="P2817" s="11"/>
    </row>
    <row r="2818" spans="8:16" hidden="1" x14ac:dyDescent="0.25">
      <c r="H2818" s="12"/>
      <c r="I2818" s="12"/>
      <c r="J2818" s="12"/>
      <c r="K2818" s="12"/>
      <c r="L2818" s="12"/>
      <c r="M2818" s="11"/>
      <c r="N2818" s="11"/>
      <c r="O2818" s="11"/>
      <c r="P2818" s="11"/>
    </row>
    <row r="2819" spans="8:16" hidden="1" x14ac:dyDescent="0.25">
      <c r="H2819" s="12"/>
      <c r="I2819" s="12"/>
      <c r="J2819" s="12"/>
      <c r="K2819" s="12"/>
      <c r="L2819" s="12"/>
      <c r="M2819" s="11"/>
      <c r="N2819" s="11"/>
      <c r="O2819" s="11"/>
      <c r="P2819" s="11"/>
    </row>
    <row r="2820" spans="8:16" hidden="1" x14ac:dyDescent="0.25">
      <c r="H2820" s="12"/>
      <c r="I2820" s="12"/>
      <c r="J2820" s="12"/>
      <c r="K2820" s="12"/>
      <c r="L2820" s="12"/>
      <c r="M2820" s="11"/>
      <c r="N2820" s="11"/>
      <c r="O2820" s="11"/>
      <c r="P2820" s="11"/>
    </row>
    <row r="2821" spans="8:16" hidden="1" x14ac:dyDescent="0.25">
      <c r="H2821" s="12"/>
      <c r="I2821" s="12"/>
      <c r="J2821" s="12"/>
      <c r="K2821" s="12"/>
      <c r="L2821" s="12"/>
      <c r="M2821" s="11"/>
      <c r="N2821" s="11"/>
      <c r="O2821" s="11"/>
      <c r="P2821" s="11"/>
    </row>
    <row r="2822" spans="8:16" hidden="1" x14ac:dyDescent="0.25">
      <c r="H2822" s="12"/>
      <c r="I2822" s="12"/>
      <c r="J2822" s="12"/>
      <c r="K2822" s="12"/>
      <c r="L2822" s="12"/>
      <c r="M2822" s="11"/>
      <c r="N2822" s="11"/>
      <c r="O2822" s="11"/>
      <c r="P2822" s="11"/>
    </row>
    <row r="2823" spans="8:16" hidden="1" x14ac:dyDescent="0.25">
      <c r="H2823" s="12"/>
      <c r="I2823" s="12"/>
      <c r="J2823" s="12"/>
      <c r="K2823" s="12"/>
      <c r="L2823" s="12"/>
      <c r="M2823" s="11"/>
      <c r="N2823" s="11"/>
      <c r="O2823" s="11"/>
      <c r="P2823" s="11"/>
    </row>
    <row r="2824" spans="8:16" hidden="1" x14ac:dyDescent="0.25">
      <c r="H2824" s="12"/>
      <c r="I2824" s="12"/>
      <c r="J2824" s="12"/>
      <c r="K2824" s="12"/>
      <c r="L2824" s="12"/>
      <c r="M2824" s="11"/>
      <c r="N2824" s="11"/>
      <c r="O2824" s="11"/>
      <c r="P2824" s="11"/>
    </row>
    <row r="2825" spans="8:16" hidden="1" x14ac:dyDescent="0.25">
      <c r="H2825" s="12"/>
      <c r="I2825" s="12"/>
      <c r="J2825" s="12"/>
      <c r="K2825" s="12"/>
      <c r="L2825" s="12"/>
      <c r="M2825" s="11"/>
      <c r="N2825" s="11"/>
      <c r="O2825" s="11"/>
      <c r="P2825" s="11"/>
    </row>
    <row r="2826" spans="8:16" hidden="1" x14ac:dyDescent="0.25">
      <c r="H2826" s="12"/>
      <c r="I2826" s="12"/>
      <c r="J2826" s="12"/>
      <c r="K2826" s="12"/>
      <c r="L2826" s="12"/>
      <c r="M2826" s="11"/>
      <c r="N2826" s="11"/>
      <c r="O2826" s="11"/>
      <c r="P2826" s="11"/>
    </row>
    <row r="2827" spans="8:16" hidden="1" x14ac:dyDescent="0.25">
      <c r="H2827" s="12"/>
      <c r="I2827" s="12"/>
      <c r="J2827" s="12"/>
      <c r="K2827" s="12"/>
      <c r="L2827" s="12"/>
      <c r="M2827" s="11"/>
      <c r="N2827" s="11"/>
      <c r="O2827" s="11"/>
      <c r="P2827" s="11"/>
    </row>
    <row r="2828" spans="8:16" hidden="1" x14ac:dyDescent="0.25">
      <c r="H2828" s="12"/>
      <c r="I2828" s="12"/>
      <c r="J2828" s="12"/>
      <c r="K2828" s="12"/>
      <c r="L2828" s="12"/>
      <c r="M2828" s="11"/>
      <c r="N2828" s="11"/>
      <c r="O2828" s="11"/>
      <c r="P2828" s="11"/>
    </row>
    <row r="2829" spans="8:16" hidden="1" x14ac:dyDescent="0.25">
      <c r="H2829" s="12"/>
      <c r="I2829" s="12"/>
      <c r="J2829" s="12"/>
      <c r="K2829" s="12"/>
      <c r="L2829" s="12"/>
      <c r="M2829" s="11"/>
      <c r="N2829" s="11"/>
      <c r="O2829" s="11"/>
      <c r="P2829" s="11"/>
    </row>
    <row r="2830" spans="8:16" hidden="1" x14ac:dyDescent="0.25">
      <c r="H2830" s="12"/>
      <c r="I2830" s="12"/>
      <c r="J2830" s="12"/>
      <c r="K2830" s="12"/>
      <c r="L2830" s="12"/>
      <c r="M2830" s="11"/>
      <c r="N2830" s="11"/>
      <c r="O2830" s="11"/>
      <c r="P2830" s="11"/>
    </row>
    <row r="2831" spans="8:16" hidden="1" x14ac:dyDescent="0.25">
      <c r="H2831" s="12"/>
      <c r="I2831" s="12"/>
      <c r="J2831" s="12"/>
      <c r="K2831" s="12"/>
      <c r="L2831" s="12"/>
      <c r="M2831" s="11"/>
      <c r="N2831" s="11"/>
      <c r="O2831" s="11"/>
      <c r="P2831" s="11"/>
    </row>
    <row r="2832" spans="8:16" hidden="1" x14ac:dyDescent="0.25">
      <c r="H2832" s="12"/>
      <c r="I2832" s="12"/>
      <c r="J2832" s="12"/>
      <c r="K2832" s="12"/>
      <c r="L2832" s="12"/>
      <c r="M2832" s="11"/>
      <c r="N2832" s="11"/>
      <c r="O2832" s="11"/>
      <c r="P2832" s="11"/>
    </row>
    <row r="2833" spans="8:16" hidden="1" x14ac:dyDescent="0.25">
      <c r="H2833" s="12"/>
      <c r="I2833" s="12"/>
      <c r="J2833" s="12"/>
      <c r="K2833" s="12"/>
      <c r="L2833" s="12"/>
      <c r="M2833" s="11"/>
      <c r="N2833" s="11"/>
      <c r="O2833" s="11"/>
      <c r="P2833" s="11"/>
    </row>
    <row r="2834" spans="8:16" hidden="1" x14ac:dyDescent="0.25">
      <c r="H2834" s="12"/>
      <c r="I2834" s="12"/>
      <c r="J2834" s="12"/>
      <c r="K2834" s="12"/>
      <c r="L2834" s="12"/>
      <c r="M2834" s="11"/>
      <c r="N2834" s="11"/>
      <c r="O2834" s="11"/>
      <c r="P2834" s="11"/>
    </row>
    <row r="2835" spans="8:16" hidden="1" x14ac:dyDescent="0.25">
      <c r="H2835" s="12"/>
      <c r="I2835" s="12"/>
      <c r="J2835" s="12"/>
      <c r="K2835" s="12"/>
      <c r="L2835" s="12"/>
      <c r="M2835" s="11"/>
      <c r="N2835" s="11"/>
      <c r="O2835" s="11"/>
      <c r="P2835" s="11"/>
    </row>
    <row r="2836" spans="8:16" hidden="1" x14ac:dyDescent="0.25">
      <c r="H2836" s="12"/>
      <c r="I2836" s="12"/>
      <c r="J2836" s="12"/>
      <c r="K2836" s="12"/>
      <c r="L2836" s="12"/>
      <c r="M2836" s="11"/>
      <c r="N2836" s="11"/>
      <c r="O2836" s="11"/>
      <c r="P2836" s="11"/>
    </row>
    <row r="2837" spans="8:16" hidden="1" x14ac:dyDescent="0.25">
      <c r="H2837" s="12"/>
      <c r="I2837" s="12"/>
      <c r="J2837" s="12"/>
      <c r="K2837" s="12"/>
      <c r="L2837" s="12"/>
      <c r="M2837" s="11"/>
      <c r="N2837" s="11"/>
      <c r="O2837" s="11"/>
      <c r="P2837" s="11"/>
    </row>
    <row r="2838" spans="8:16" hidden="1" x14ac:dyDescent="0.25">
      <c r="H2838" s="12"/>
      <c r="I2838" s="12"/>
      <c r="J2838" s="12"/>
      <c r="K2838" s="12"/>
      <c r="L2838" s="12"/>
      <c r="M2838" s="11"/>
      <c r="N2838" s="11"/>
      <c r="O2838" s="11"/>
      <c r="P2838" s="11"/>
    </row>
    <row r="2839" spans="8:16" hidden="1" x14ac:dyDescent="0.25">
      <c r="H2839" s="12"/>
      <c r="I2839" s="12"/>
      <c r="J2839" s="12"/>
      <c r="K2839" s="12"/>
      <c r="L2839" s="12"/>
      <c r="M2839" s="11"/>
      <c r="N2839" s="11"/>
      <c r="O2839" s="11"/>
      <c r="P2839" s="11"/>
    </row>
    <row r="2840" spans="8:16" hidden="1" x14ac:dyDescent="0.25">
      <c r="H2840" s="12"/>
      <c r="I2840" s="12"/>
      <c r="J2840" s="12"/>
      <c r="K2840" s="12"/>
      <c r="L2840" s="12"/>
      <c r="M2840" s="11"/>
      <c r="N2840" s="11"/>
      <c r="O2840" s="11"/>
      <c r="P2840" s="11"/>
    </row>
    <row r="2841" spans="8:16" hidden="1" x14ac:dyDescent="0.25">
      <c r="H2841" s="12"/>
      <c r="I2841" s="12"/>
      <c r="J2841" s="12"/>
      <c r="K2841" s="12"/>
      <c r="L2841" s="12"/>
      <c r="M2841" s="11"/>
      <c r="N2841" s="11"/>
      <c r="O2841" s="11"/>
      <c r="P2841" s="11"/>
    </row>
    <row r="2842" spans="8:16" hidden="1" x14ac:dyDescent="0.25">
      <c r="H2842" s="12"/>
      <c r="I2842" s="12"/>
      <c r="J2842" s="12"/>
      <c r="K2842" s="12"/>
      <c r="L2842" s="12"/>
      <c r="M2842" s="11"/>
      <c r="N2842" s="11"/>
      <c r="O2842" s="11"/>
      <c r="P2842" s="11"/>
    </row>
    <row r="2843" spans="8:16" hidden="1" x14ac:dyDescent="0.25">
      <c r="H2843" s="12"/>
      <c r="I2843" s="12"/>
      <c r="J2843" s="12"/>
      <c r="K2843" s="12"/>
      <c r="L2843" s="12"/>
      <c r="M2843" s="11"/>
      <c r="N2843" s="11"/>
      <c r="O2843" s="11"/>
      <c r="P2843" s="11"/>
    </row>
    <row r="2844" spans="8:16" hidden="1" x14ac:dyDescent="0.25">
      <c r="H2844" s="12"/>
      <c r="I2844" s="12"/>
      <c r="J2844" s="12"/>
      <c r="K2844" s="12"/>
      <c r="L2844" s="12"/>
      <c r="M2844" s="11"/>
      <c r="N2844" s="11"/>
      <c r="O2844" s="11"/>
      <c r="P2844" s="11"/>
    </row>
    <row r="2845" spans="8:16" hidden="1" x14ac:dyDescent="0.25">
      <c r="H2845" s="12"/>
      <c r="I2845" s="12"/>
      <c r="J2845" s="12"/>
      <c r="K2845" s="12"/>
      <c r="L2845" s="12"/>
      <c r="M2845" s="11"/>
      <c r="N2845" s="11"/>
      <c r="O2845" s="11"/>
      <c r="P2845" s="11"/>
    </row>
    <row r="2846" spans="8:16" hidden="1" x14ac:dyDescent="0.25">
      <c r="H2846" s="12"/>
      <c r="I2846" s="12"/>
      <c r="J2846" s="12"/>
      <c r="K2846" s="12"/>
      <c r="L2846" s="12"/>
      <c r="M2846" s="11"/>
      <c r="N2846" s="11"/>
      <c r="O2846" s="11"/>
      <c r="P2846" s="11"/>
    </row>
    <row r="2847" spans="8:16" hidden="1" x14ac:dyDescent="0.25">
      <c r="H2847" s="12"/>
      <c r="I2847" s="12"/>
      <c r="J2847" s="12"/>
      <c r="K2847" s="12"/>
      <c r="L2847" s="12"/>
      <c r="M2847" s="11"/>
      <c r="N2847" s="11"/>
      <c r="O2847" s="11"/>
      <c r="P2847" s="11"/>
    </row>
    <row r="2848" spans="8:16" hidden="1" x14ac:dyDescent="0.25">
      <c r="H2848" s="12"/>
      <c r="I2848" s="12"/>
      <c r="J2848" s="12"/>
      <c r="K2848" s="12"/>
      <c r="L2848" s="12"/>
      <c r="M2848" s="11"/>
      <c r="N2848" s="11"/>
      <c r="O2848" s="11"/>
      <c r="P2848" s="11"/>
    </row>
    <row r="2849" spans="8:16" hidden="1" x14ac:dyDescent="0.25">
      <c r="H2849" s="12"/>
      <c r="I2849" s="12"/>
      <c r="J2849" s="12"/>
      <c r="K2849" s="12"/>
      <c r="L2849" s="12"/>
      <c r="M2849" s="11"/>
      <c r="N2849" s="11"/>
      <c r="O2849" s="11"/>
      <c r="P2849" s="11"/>
    </row>
    <row r="2850" spans="8:16" hidden="1" x14ac:dyDescent="0.25">
      <c r="H2850" s="12"/>
      <c r="I2850" s="12"/>
      <c r="J2850" s="12"/>
      <c r="K2850" s="12"/>
      <c r="L2850" s="12"/>
      <c r="M2850" s="11"/>
      <c r="N2850" s="11"/>
      <c r="O2850" s="11"/>
      <c r="P2850" s="11"/>
    </row>
    <row r="2851" spans="8:16" hidden="1" x14ac:dyDescent="0.25">
      <c r="H2851" s="12"/>
      <c r="I2851" s="12"/>
      <c r="J2851" s="12"/>
      <c r="K2851" s="12"/>
      <c r="L2851" s="12"/>
      <c r="M2851" s="11"/>
      <c r="N2851" s="11"/>
      <c r="O2851" s="11"/>
      <c r="P2851" s="11"/>
    </row>
    <row r="2852" spans="8:16" hidden="1" x14ac:dyDescent="0.25">
      <c r="H2852" s="12"/>
      <c r="I2852" s="12"/>
      <c r="J2852" s="12"/>
      <c r="K2852" s="12"/>
      <c r="L2852" s="12"/>
      <c r="M2852" s="11"/>
      <c r="N2852" s="11"/>
      <c r="O2852" s="11"/>
      <c r="P2852" s="11"/>
    </row>
    <row r="2853" spans="8:16" hidden="1" x14ac:dyDescent="0.25">
      <c r="H2853" s="12"/>
      <c r="I2853" s="12"/>
      <c r="J2853" s="12"/>
      <c r="K2853" s="12"/>
      <c r="L2853" s="12"/>
      <c r="M2853" s="11"/>
      <c r="N2853" s="11"/>
      <c r="O2853" s="11"/>
      <c r="P2853" s="11"/>
    </row>
    <row r="2854" spans="8:16" hidden="1" x14ac:dyDescent="0.25">
      <c r="H2854" s="12"/>
      <c r="I2854" s="12"/>
      <c r="J2854" s="12"/>
      <c r="K2854" s="12"/>
      <c r="L2854" s="12"/>
      <c r="M2854" s="11"/>
      <c r="N2854" s="11"/>
      <c r="O2854" s="11"/>
      <c r="P2854" s="11"/>
    </row>
    <row r="2855" spans="8:16" hidden="1" x14ac:dyDescent="0.25">
      <c r="H2855" s="12"/>
      <c r="I2855" s="12"/>
      <c r="J2855" s="12"/>
      <c r="K2855" s="12"/>
      <c r="L2855" s="12"/>
      <c r="M2855" s="11"/>
      <c r="N2855" s="11"/>
      <c r="O2855" s="11"/>
      <c r="P2855" s="11"/>
    </row>
    <row r="2856" spans="8:16" hidden="1" x14ac:dyDescent="0.25">
      <c r="H2856" s="12"/>
      <c r="I2856" s="12"/>
      <c r="J2856" s="12"/>
      <c r="K2856" s="12"/>
      <c r="L2856" s="12"/>
      <c r="M2856" s="11"/>
      <c r="N2856" s="11"/>
      <c r="O2856" s="11"/>
      <c r="P2856" s="11"/>
    </row>
    <row r="2857" spans="8:16" hidden="1" x14ac:dyDescent="0.25">
      <c r="H2857" s="12"/>
      <c r="I2857" s="12"/>
      <c r="J2857" s="12"/>
      <c r="K2857" s="12"/>
      <c r="L2857" s="12"/>
      <c r="M2857" s="11"/>
      <c r="N2857" s="11"/>
      <c r="O2857" s="11"/>
      <c r="P2857" s="11"/>
    </row>
    <row r="2858" spans="8:16" hidden="1" x14ac:dyDescent="0.25">
      <c r="H2858" s="12"/>
      <c r="I2858" s="12"/>
      <c r="J2858" s="12"/>
      <c r="K2858" s="12"/>
      <c r="L2858" s="12"/>
      <c r="M2858" s="11"/>
      <c r="N2858" s="11"/>
      <c r="O2858" s="11"/>
      <c r="P2858" s="11"/>
    </row>
    <row r="2859" spans="8:16" hidden="1" x14ac:dyDescent="0.25">
      <c r="H2859" s="12"/>
      <c r="I2859" s="12"/>
      <c r="J2859" s="12"/>
      <c r="K2859" s="12"/>
      <c r="L2859" s="12"/>
      <c r="M2859" s="11"/>
      <c r="N2859" s="11"/>
      <c r="O2859" s="11"/>
      <c r="P2859" s="11"/>
    </row>
    <row r="2860" spans="8:16" hidden="1" x14ac:dyDescent="0.25">
      <c r="H2860" s="12"/>
      <c r="I2860" s="12"/>
      <c r="J2860" s="12"/>
      <c r="K2860" s="12"/>
      <c r="L2860" s="12"/>
      <c r="M2860" s="11"/>
      <c r="N2860" s="11"/>
      <c r="O2860" s="11"/>
      <c r="P2860" s="11"/>
    </row>
    <row r="2861" spans="8:16" hidden="1" x14ac:dyDescent="0.25">
      <c r="H2861" s="12"/>
      <c r="I2861" s="12"/>
      <c r="J2861" s="12"/>
      <c r="K2861" s="12"/>
      <c r="L2861" s="12"/>
      <c r="M2861" s="11"/>
      <c r="N2861" s="11"/>
      <c r="O2861" s="11"/>
      <c r="P2861" s="11"/>
    </row>
    <row r="2862" spans="8:16" hidden="1" x14ac:dyDescent="0.25">
      <c r="H2862" s="12"/>
      <c r="I2862" s="12"/>
      <c r="J2862" s="12"/>
      <c r="K2862" s="12"/>
      <c r="L2862" s="12"/>
      <c r="M2862" s="11"/>
      <c r="N2862" s="11"/>
      <c r="O2862" s="11"/>
      <c r="P2862" s="11"/>
    </row>
    <row r="2863" spans="8:16" hidden="1" x14ac:dyDescent="0.25">
      <c r="H2863" s="12"/>
      <c r="I2863" s="12"/>
      <c r="J2863" s="12"/>
      <c r="K2863" s="12"/>
      <c r="L2863" s="12"/>
      <c r="M2863" s="11"/>
      <c r="N2863" s="11"/>
      <c r="O2863" s="11"/>
      <c r="P2863" s="11"/>
    </row>
    <row r="2864" spans="8:16" hidden="1" x14ac:dyDescent="0.25">
      <c r="H2864" s="12"/>
      <c r="I2864" s="12"/>
      <c r="J2864" s="12"/>
      <c r="K2864" s="12"/>
      <c r="L2864" s="12"/>
      <c r="M2864" s="11"/>
      <c r="N2864" s="11"/>
      <c r="O2864" s="11"/>
      <c r="P2864" s="11"/>
    </row>
    <row r="2865" spans="8:16" hidden="1" x14ac:dyDescent="0.25">
      <c r="H2865" s="12"/>
      <c r="I2865" s="12"/>
      <c r="J2865" s="12"/>
      <c r="K2865" s="12"/>
      <c r="L2865" s="12"/>
      <c r="M2865" s="11"/>
      <c r="N2865" s="11"/>
      <c r="O2865" s="11"/>
      <c r="P2865" s="11"/>
    </row>
    <row r="2866" spans="8:16" hidden="1" x14ac:dyDescent="0.25">
      <c r="H2866" s="12"/>
      <c r="I2866" s="12"/>
      <c r="J2866" s="12"/>
      <c r="K2866" s="12"/>
      <c r="L2866" s="12"/>
      <c r="M2866" s="11"/>
      <c r="N2866" s="11"/>
      <c r="O2866" s="11"/>
      <c r="P2866" s="11"/>
    </row>
    <row r="2867" spans="8:16" hidden="1" x14ac:dyDescent="0.25">
      <c r="H2867" s="12"/>
      <c r="I2867" s="12"/>
      <c r="J2867" s="12"/>
      <c r="K2867" s="12"/>
      <c r="L2867" s="12"/>
      <c r="M2867" s="11"/>
      <c r="N2867" s="11"/>
      <c r="O2867" s="11"/>
      <c r="P2867" s="11"/>
    </row>
    <row r="2868" spans="8:16" hidden="1" x14ac:dyDescent="0.25">
      <c r="H2868" s="12"/>
      <c r="I2868" s="12"/>
      <c r="J2868" s="12"/>
      <c r="K2868" s="12"/>
      <c r="L2868" s="12"/>
      <c r="M2868" s="11"/>
      <c r="N2868" s="11"/>
      <c r="O2868" s="11"/>
      <c r="P2868" s="11"/>
    </row>
    <row r="2869" spans="8:16" hidden="1" x14ac:dyDescent="0.25">
      <c r="H2869" s="12"/>
      <c r="I2869" s="12"/>
      <c r="J2869" s="12"/>
      <c r="K2869" s="12"/>
      <c r="L2869" s="12"/>
      <c r="M2869" s="11"/>
      <c r="N2869" s="11"/>
      <c r="O2869" s="11"/>
      <c r="P2869" s="11"/>
    </row>
    <row r="2870" spans="8:16" hidden="1" x14ac:dyDescent="0.25">
      <c r="H2870" s="12"/>
      <c r="I2870" s="12"/>
      <c r="J2870" s="12"/>
      <c r="K2870" s="12"/>
      <c r="L2870" s="12"/>
      <c r="M2870" s="11"/>
      <c r="N2870" s="11"/>
      <c r="O2870" s="11"/>
      <c r="P2870" s="11"/>
    </row>
    <row r="2871" spans="8:16" hidden="1" x14ac:dyDescent="0.25">
      <c r="H2871" s="12"/>
      <c r="I2871" s="12"/>
      <c r="J2871" s="12"/>
      <c r="K2871" s="12"/>
      <c r="L2871" s="12"/>
      <c r="M2871" s="11"/>
      <c r="N2871" s="11"/>
      <c r="O2871" s="11"/>
      <c r="P2871" s="11"/>
    </row>
    <row r="2872" spans="8:16" hidden="1" x14ac:dyDescent="0.25">
      <c r="H2872" s="12"/>
      <c r="I2872" s="12"/>
      <c r="J2872" s="12"/>
      <c r="K2872" s="12"/>
      <c r="L2872" s="12"/>
      <c r="M2872" s="11"/>
      <c r="N2872" s="11"/>
      <c r="O2872" s="11"/>
      <c r="P2872" s="11"/>
    </row>
    <row r="2873" spans="8:16" hidden="1" x14ac:dyDescent="0.25">
      <c r="H2873" s="12"/>
      <c r="I2873" s="12"/>
      <c r="J2873" s="12"/>
      <c r="K2873" s="12"/>
      <c r="L2873" s="12"/>
      <c r="M2873" s="11"/>
      <c r="N2873" s="11"/>
      <c r="O2873" s="11"/>
      <c r="P2873" s="11"/>
    </row>
    <row r="2874" spans="8:16" hidden="1" x14ac:dyDescent="0.25">
      <c r="H2874" s="12"/>
      <c r="I2874" s="12"/>
      <c r="J2874" s="12"/>
      <c r="K2874" s="12"/>
      <c r="L2874" s="12"/>
      <c r="M2874" s="11"/>
      <c r="N2874" s="11"/>
      <c r="O2874" s="11"/>
      <c r="P2874" s="11"/>
    </row>
    <row r="2875" spans="8:16" hidden="1" x14ac:dyDescent="0.25">
      <c r="H2875" s="12"/>
      <c r="I2875" s="12"/>
      <c r="J2875" s="12"/>
      <c r="K2875" s="12"/>
      <c r="L2875" s="12"/>
      <c r="M2875" s="11"/>
      <c r="N2875" s="11"/>
      <c r="O2875" s="11"/>
      <c r="P2875" s="11"/>
    </row>
    <row r="2876" spans="8:16" hidden="1" x14ac:dyDescent="0.25">
      <c r="H2876" s="12"/>
      <c r="I2876" s="12"/>
      <c r="J2876" s="12"/>
      <c r="K2876" s="12"/>
      <c r="L2876" s="12"/>
      <c r="M2876" s="11"/>
      <c r="N2876" s="11"/>
      <c r="O2876" s="11"/>
      <c r="P2876" s="11"/>
    </row>
    <row r="2877" spans="8:16" hidden="1" x14ac:dyDescent="0.25">
      <c r="H2877" s="12"/>
      <c r="I2877" s="12"/>
      <c r="J2877" s="12"/>
      <c r="K2877" s="12"/>
      <c r="L2877" s="12"/>
      <c r="M2877" s="11"/>
      <c r="N2877" s="11"/>
      <c r="O2877" s="11"/>
      <c r="P2877" s="11"/>
    </row>
    <row r="2878" spans="8:16" hidden="1" x14ac:dyDescent="0.25">
      <c r="H2878" s="12"/>
      <c r="I2878" s="12"/>
      <c r="J2878" s="12"/>
      <c r="K2878" s="12"/>
      <c r="L2878" s="12"/>
      <c r="M2878" s="11"/>
      <c r="N2878" s="11"/>
      <c r="O2878" s="11"/>
      <c r="P2878" s="11"/>
    </row>
    <row r="2879" spans="8:16" hidden="1" x14ac:dyDescent="0.25">
      <c r="H2879" s="12"/>
      <c r="I2879" s="12"/>
      <c r="J2879" s="12"/>
      <c r="K2879" s="12"/>
      <c r="L2879" s="12"/>
      <c r="M2879" s="11"/>
      <c r="N2879" s="11"/>
      <c r="O2879" s="11"/>
      <c r="P2879" s="11"/>
    </row>
    <row r="2880" spans="8:16" hidden="1" x14ac:dyDescent="0.25">
      <c r="H2880" s="12"/>
      <c r="I2880" s="12"/>
      <c r="J2880" s="12"/>
      <c r="K2880" s="12"/>
      <c r="L2880" s="12"/>
      <c r="M2880" s="11"/>
      <c r="N2880" s="11"/>
      <c r="O2880" s="11"/>
      <c r="P2880" s="11"/>
    </row>
    <row r="2881" spans="8:16" hidden="1" x14ac:dyDescent="0.25">
      <c r="H2881" s="12"/>
      <c r="I2881" s="12"/>
      <c r="J2881" s="12"/>
      <c r="K2881" s="12"/>
      <c r="L2881" s="12"/>
      <c r="M2881" s="11"/>
      <c r="N2881" s="11"/>
      <c r="O2881" s="11"/>
      <c r="P2881" s="11"/>
    </row>
    <row r="2882" spans="8:16" hidden="1" x14ac:dyDescent="0.25">
      <c r="H2882" s="12"/>
      <c r="I2882" s="12"/>
      <c r="J2882" s="12"/>
      <c r="K2882" s="12"/>
      <c r="L2882" s="12"/>
      <c r="M2882" s="11"/>
      <c r="N2882" s="11"/>
      <c r="O2882" s="11"/>
      <c r="P2882" s="11"/>
    </row>
    <row r="2883" spans="8:16" hidden="1" x14ac:dyDescent="0.25">
      <c r="H2883" s="12"/>
      <c r="I2883" s="12"/>
      <c r="J2883" s="12"/>
      <c r="K2883" s="12"/>
      <c r="L2883" s="12"/>
      <c r="M2883" s="11"/>
      <c r="N2883" s="11"/>
      <c r="O2883" s="11"/>
      <c r="P2883" s="11"/>
    </row>
    <row r="2884" spans="8:16" hidden="1" x14ac:dyDescent="0.25">
      <c r="H2884" s="12"/>
      <c r="I2884" s="12"/>
      <c r="J2884" s="12"/>
      <c r="K2884" s="12"/>
      <c r="L2884" s="12"/>
      <c r="M2884" s="11"/>
      <c r="N2884" s="11"/>
      <c r="O2884" s="11"/>
      <c r="P2884" s="11"/>
    </row>
    <row r="2885" spans="8:16" hidden="1" x14ac:dyDescent="0.25">
      <c r="H2885" s="12"/>
      <c r="I2885" s="12"/>
      <c r="J2885" s="12"/>
      <c r="K2885" s="12"/>
      <c r="L2885" s="12"/>
      <c r="M2885" s="11"/>
      <c r="N2885" s="11"/>
      <c r="O2885" s="11"/>
      <c r="P2885" s="11"/>
    </row>
    <row r="2886" spans="8:16" hidden="1" x14ac:dyDescent="0.25">
      <c r="H2886" s="12"/>
      <c r="I2886" s="12"/>
      <c r="J2886" s="12"/>
      <c r="K2886" s="12"/>
      <c r="L2886" s="12"/>
      <c r="M2886" s="11"/>
      <c r="N2886" s="11"/>
      <c r="O2886" s="11"/>
      <c r="P2886" s="11"/>
    </row>
    <row r="2887" spans="8:16" hidden="1" x14ac:dyDescent="0.25">
      <c r="H2887" s="12"/>
      <c r="I2887" s="12"/>
      <c r="J2887" s="12"/>
      <c r="K2887" s="12"/>
      <c r="L2887" s="12"/>
      <c r="M2887" s="11"/>
      <c r="N2887" s="11"/>
      <c r="O2887" s="11"/>
      <c r="P2887" s="11"/>
    </row>
    <row r="2888" spans="8:16" hidden="1" x14ac:dyDescent="0.25">
      <c r="H2888" s="12"/>
      <c r="I2888" s="12"/>
      <c r="J2888" s="12"/>
      <c r="K2888" s="12"/>
      <c r="L2888" s="12"/>
      <c r="M2888" s="11"/>
      <c r="N2888" s="11"/>
      <c r="O2888" s="11"/>
      <c r="P2888" s="11"/>
    </row>
    <row r="2889" spans="8:16" hidden="1" x14ac:dyDescent="0.25">
      <c r="H2889" s="12"/>
      <c r="I2889" s="12"/>
      <c r="J2889" s="12"/>
      <c r="K2889" s="12"/>
      <c r="L2889" s="12"/>
      <c r="M2889" s="11"/>
      <c r="N2889" s="11"/>
      <c r="O2889" s="11"/>
      <c r="P2889" s="11"/>
    </row>
    <row r="2890" spans="8:16" hidden="1" x14ac:dyDescent="0.25">
      <c r="H2890" s="12"/>
      <c r="I2890" s="12"/>
      <c r="J2890" s="12"/>
      <c r="K2890" s="12"/>
      <c r="L2890" s="12"/>
      <c r="M2890" s="11"/>
      <c r="N2890" s="11"/>
      <c r="O2890" s="11"/>
      <c r="P2890" s="11"/>
    </row>
    <row r="2891" spans="8:16" hidden="1" x14ac:dyDescent="0.25">
      <c r="H2891" s="12"/>
      <c r="I2891" s="12"/>
      <c r="J2891" s="12"/>
      <c r="K2891" s="12"/>
      <c r="L2891" s="12"/>
      <c r="M2891" s="11"/>
      <c r="N2891" s="11"/>
      <c r="O2891" s="11"/>
      <c r="P2891" s="11"/>
    </row>
    <row r="2892" spans="8:16" hidden="1" x14ac:dyDescent="0.25">
      <c r="H2892" s="12"/>
      <c r="I2892" s="12"/>
      <c r="J2892" s="12"/>
      <c r="K2892" s="12"/>
      <c r="L2892" s="12"/>
      <c r="M2892" s="11"/>
      <c r="N2892" s="11"/>
      <c r="O2892" s="11"/>
      <c r="P2892" s="11"/>
    </row>
    <row r="2893" spans="8:16" hidden="1" x14ac:dyDescent="0.25">
      <c r="H2893" s="12"/>
      <c r="I2893" s="12"/>
      <c r="J2893" s="12"/>
      <c r="K2893" s="12"/>
      <c r="L2893" s="12"/>
      <c r="M2893" s="11"/>
      <c r="N2893" s="11"/>
      <c r="O2893" s="11"/>
      <c r="P2893" s="11"/>
    </row>
    <row r="2894" spans="8:16" hidden="1" x14ac:dyDescent="0.25">
      <c r="H2894" s="12"/>
      <c r="I2894" s="12"/>
      <c r="J2894" s="12"/>
      <c r="K2894" s="12"/>
      <c r="L2894" s="12"/>
      <c r="M2894" s="11"/>
      <c r="N2894" s="11"/>
      <c r="O2894" s="11"/>
      <c r="P2894" s="11"/>
    </row>
    <row r="2895" spans="8:16" hidden="1" x14ac:dyDescent="0.25">
      <c r="H2895" s="12"/>
      <c r="I2895" s="12"/>
      <c r="J2895" s="12"/>
      <c r="K2895" s="12"/>
      <c r="L2895" s="12"/>
      <c r="M2895" s="11"/>
      <c r="N2895" s="11"/>
      <c r="O2895" s="11"/>
      <c r="P2895" s="11"/>
    </row>
    <row r="2896" spans="8:16" hidden="1" x14ac:dyDescent="0.25">
      <c r="H2896" s="12"/>
      <c r="I2896" s="12"/>
      <c r="J2896" s="12"/>
      <c r="K2896" s="12"/>
      <c r="L2896" s="12"/>
      <c r="M2896" s="11"/>
      <c r="N2896" s="11"/>
      <c r="O2896" s="11"/>
      <c r="P2896" s="11"/>
    </row>
    <row r="2897" spans="8:16" hidden="1" x14ac:dyDescent="0.25">
      <c r="H2897" s="12"/>
      <c r="I2897" s="12"/>
      <c r="J2897" s="12"/>
      <c r="K2897" s="12"/>
      <c r="L2897" s="12"/>
      <c r="M2897" s="11"/>
      <c r="N2897" s="11"/>
      <c r="O2897" s="11"/>
      <c r="P2897" s="11"/>
    </row>
    <row r="2898" spans="8:16" hidden="1" x14ac:dyDescent="0.25">
      <c r="H2898" s="12"/>
      <c r="I2898" s="12"/>
      <c r="J2898" s="12"/>
      <c r="K2898" s="12"/>
      <c r="L2898" s="12"/>
      <c r="M2898" s="11"/>
      <c r="N2898" s="11"/>
      <c r="O2898" s="11"/>
      <c r="P2898" s="11"/>
    </row>
    <row r="2899" spans="8:16" hidden="1" x14ac:dyDescent="0.25">
      <c r="H2899" s="12"/>
      <c r="I2899" s="12"/>
      <c r="J2899" s="12"/>
      <c r="K2899" s="12"/>
      <c r="L2899" s="12"/>
      <c r="M2899" s="11"/>
      <c r="N2899" s="11"/>
      <c r="O2899" s="11"/>
      <c r="P2899" s="11"/>
    </row>
    <row r="2900" spans="8:16" hidden="1" x14ac:dyDescent="0.25">
      <c r="H2900" s="12"/>
      <c r="I2900" s="12"/>
      <c r="J2900" s="12"/>
      <c r="K2900" s="12"/>
      <c r="L2900" s="12"/>
      <c r="M2900" s="11"/>
      <c r="N2900" s="11"/>
      <c r="O2900" s="11"/>
      <c r="P2900" s="11"/>
    </row>
    <row r="2901" spans="8:16" hidden="1" x14ac:dyDescent="0.25">
      <c r="H2901" s="12"/>
      <c r="I2901" s="12"/>
      <c r="J2901" s="12"/>
      <c r="K2901" s="12"/>
      <c r="L2901" s="12"/>
      <c r="M2901" s="11"/>
      <c r="N2901" s="11"/>
      <c r="O2901" s="11"/>
      <c r="P2901" s="11"/>
    </row>
    <row r="2902" spans="8:16" hidden="1" x14ac:dyDescent="0.25">
      <c r="H2902" s="12"/>
      <c r="I2902" s="12"/>
      <c r="J2902" s="12"/>
      <c r="K2902" s="12"/>
      <c r="L2902" s="12"/>
      <c r="M2902" s="11"/>
      <c r="N2902" s="11"/>
      <c r="O2902" s="11"/>
      <c r="P2902" s="11"/>
    </row>
    <row r="2903" spans="8:16" hidden="1" x14ac:dyDescent="0.25">
      <c r="H2903" s="12"/>
      <c r="I2903" s="12"/>
      <c r="J2903" s="12"/>
      <c r="K2903" s="12"/>
      <c r="L2903" s="12"/>
      <c r="M2903" s="11"/>
      <c r="N2903" s="11"/>
      <c r="O2903" s="11"/>
      <c r="P2903" s="11"/>
    </row>
    <row r="2904" spans="8:16" hidden="1" x14ac:dyDescent="0.25">
      <c r="H2904" s="12"/>
      <c r="I2904" s="12"/>
      <c r="J2904" s="12"/>
      <c r="K2904" s="12"/>
      <c r="L2904" s="12"/>
      <c r="M2904" s="11"/>
      <c r="N2904" s="11"/>
      <c r="O2904" s="11"/>
      <c r="P2904" s="11"/>
    </row>
    <row r="2905" spans="8:16" hidden="1" x14ac:dyDescent="0.25">
      <c r="H2905" s="12"/>
      <c r="I2905" s="12"/>
      <c r="J2905" s="12"/>
      <c r="K2905" s="12"/>
      <c r="L2905" s="12"/>
      <c r="M2905" s="11"/>
      <c r="N2905" s="11"/>
      <c r="O2905" s="11"/>
      <c r="P2905" s="11"/>
    </row>
    <row r="2906" spans="8:16" hidden="1" x14ac:dyDescent="0.25">
      <c r="H2906" s="12"/>
      <c r="I2906" s="12"/>
      <c r="J2906" s="12"/>
      <c r="K2906" s="12"/>
      <c r="L2906" s="12"/>
      <c r="M2906" s="11"/>
      <c r="N2906" s="11"/>
      <c r="O2906" s="11"/>
      <c r="P2906" s="11"/>
    </row>
    <row r="2907" spans="8:16" hidden="1" x14ac:dyDescent="0.25">
      <c r="H2907" s="12"/>
      <c r="I2907" s="12"/>
      <c r="J2907" s="12"/>
      <c r="K2907" s="12"/>
      <c r="L2907" s="12"/>
      <c r="M2907" s="11"/>
      <c r="N2907" s="11"/>
      <c r="O2907" s="11"/>
      <c r="P2907" s="11"/>
    </row>
    <row r="2908" spans="8:16" hidden="1" x14ac:dyDescent="0.25">
      <c r="H2908" s="12"/>
      <c r="I2908" s="12"/>
      <c r="J2908" s="12"/>
      <c r="K2908" s="12"/>
      <c r="L2908" s="12"/>
      <c r="M2908" s="11"/>
      <c r="N2908" s="11"/>
      <c r="O2908" s="11"/>
      <c r="P2908" s="11"/>
    </row>
    <row r="2909" spans="8:16" hidden="1" x14ac:dyDescent="0.25">
      <c r="H2909" s="12"/>
      <c r="I2909" s="12"/>
      <c r="J2909" s="12"/>
      <c r="K2909" s="12"/>
      <c r="L2909" s="12"/>
      <c r="M2909" s="11"/>
      <c r="N2909" s="11"/>
      <c r="O2909" s="11"/>
      <c r="P2909" s="11"/>
    </row>
    <row r="2910" spans="8:16" hidden="1" x14ac:dyDescent="0.25">
      <c r="H2910" s="12"/>
      <c r="I2910" s="12"/>
      <c r="J2910" s="12"/>
      <c r="K2910" s="12"/>
      <c r="L2910" s="12"/>
      <c r="M2910" s="11"/>
      <c r="N2910" s="11"/>
      <c r="O2910" s="11"/>
      <c r="P2910" s="11"/>
    </row>
    <row r="2911" spans="8:16" hidden="1" x14ac:dyDescent="0.25">
      <c r="H2911" s="12"/>
      <c r="I2911" s="12"/>
      <c r="J2911" s="12"/>
      <c r="K2911" s="12"/>
      <c r="L2911" s="12"/>
      <c r="M2911" s="11"/>
      <c r="N2911" s="11"/>
      <c r="O2911" s="11"/>
      <c r="P2911" s="11"/>
    </row>
    <row r="2912" spans="8:16" hidden="1" x14ac:dyDescent="0.25">
      <c r="H2912" s="12"/>
      <c r="I2912" s="12"/>
      <c r="J2912" s="12"/>
      <c r="K2912" s="12"/>
      <c r="L2912" s="12"/>
      <c r="M2912" s="11"/>
      <c r="N2912" s="11"/>
      <c r="O2912" s="11"/>
      <c r="P2912" s="11"/>
    </row>
    <row r="2913" spans="8:16" hidden="1" x14ac:dyDescent="0.25">
      <c r="H2913" s="12"/>
      <c r="I2913" s="12"/>
      <c r="J2913" s="12"/>
      <c r="K2913" s="12"/>
      <c r="L2913" s="12"/>
      <c r="M2913" s="11"/>
      <c r="N2913" s="11"/>
      <c r="O2913" s="11"/>
      <c r="P2913" s="11"/>
    </row>
    <row r="2914" spans="8:16" hidden="1" x14ac:dyDescent="0.25">
      <c r="H2914" s="12"/>
      <c r="I2914" s="12"/>
      <c r="J2914" s="12"/>
      <c r="K2914" s="12"/>
      <c r="L2914" s="12"/>
      <c r="M2914" s="11"/>
      <c r="N2914" s="11"/>
      <c r="O2914" s="11"/>
      <c r="P2914" s="11"/>
    </row>
    <row r="2915" spans="8:16" hidden="1" x14ac:dyDescent="0.25">
      <c r="H2915" s="12"/>
      <c r="I2915" s="12"/>
      <c r="J2915" s="12"/>
      <c r="K2915" s="12"/>
      <c r="L2915" s="12"/>
      <c r="M2915" s="11"/>
      <c r="N2915" s="11"/>
      <c r="O2915" s="11"/>
      <c r="P2915" s="11"/>
    </row>
    <row r="2916" spans="8:16" hidden="1" x14ac:dyDescent="0.25">
      <c r="H2916" s="12"/>
      <c r="I2916" s="12"/>
      <c r="J2916" s="12"/>
      <c r="K2916" s="12"/>
      <c r="L2916" s="12"/>
      <c r="M2916" s="11"/>
      <c r="N2916" s="11"/>
      <c r="O2916" s="11"/>
      <c r="P2916" s="11"/>
    </row>
    <row r="2917" spans="8:16" hidden="1" x14ac:dyDescent="0.25">
      <c r="H2917" s="12"/>
      <c r="I2917" s="12"/>
      <c r="J2917" s="12"/>
      <c r="K2917" s="12"/>
      <c r="L2917" s="12"/>
      <c r="M2917" s="11"/>
      <c r="N2917" s="11"/>
      <c r="O2917" s="11"/>
      <c r="P2917" s="11"/>
    </row>
    <row r="2918" spans="8:16" hidden="1" x14ac:dyDescent="0.25">
      <c r="H2918" s="12"/>
      <c r="I2918" s="12"/>
      <c r="J2918" s="12"/>
      <c r="K2918" s="12"/>
      <c r="L2918" s="12"/>
      <c r="M2918" s="11"/>
      <c r="N2918" s="11"/>
      <c r="O2918" s="11"/>
      <c r="P2918" s="11"/>
    </row>
    <row r="2919" spans="8:16" hidden="1" x14ac:dyDescent="0.25">
      <c r="H2919" s="12"/>
      <c r="I2919" s="12"/>
      <c r="J2919" s="12"/>
      <c r="K2919" s="12"/>
      <c r="L2919" s="12"/>
      <c r="M2919" s="11"/>
      <c r="N2919" s="11"/>
      <c r="O2919" s="11"/>
      <c r="P2919" s="11"/>
    </row>
    <row r="2920" spans="8:16" hidden="1" x14ac:dyDescent="0.25">
      <c r="H2920" s="12"/>
      <c r="I2920" s="12"/>
      <c r="J2920" s="12"/>
      <c r="K2920" s="12"/>
      <c r="L2920" s="12"/>
      <c r="M2920" s="11"/>
      <c r="N2920" s="11"/>
      <c r="O2920" s="11"/>
      <c r="P2920" s="11"/>
    </row>
    <row r="2921" spans="8:16" hidden="1" x14ac:dyDescent="0.25">
      <c r="H2921" s="12"/>
      <c r="I2921" s="12"/>
      <c r="J2921" s="12"/>
      <c r="K2921" s="12"/>
      <c r="L2921" s="12"/>
      <c r="M2921" s="11"/>
      <c r="N2921" s="11"/>
      <c r="O2921" s="11"/>
      <c r="P2921" s="11"/>
    </row>
    <row r="2922" spans="8:16" hidden="1" x14ac:dyDescent="0.25">
      <c r="H2922" s="12"/>
      <c r="I2922" s="12"/>
      <c r="J2922" s="12"/>
      <c r="K2922" s="12"/>
      <c r="L2922" s="12"/>
      <c r="M2922" s="11"/>
      <c r="N2922" s="11"/>
      <c r="O2922" s="11"/>
      <c r="P2922" s="11"/>
    </row>
    <row r="2923" spans="8:16" hidden="1" x14ac:dyDescent="0.25">
      <c r="H2923" s="12"/>
      <c r="I2923" s="12"/>
      <c r="J2923" s="12"/>
      <c r="K2923" s="12"/>
      <c r="L2923" s="12"/>
      <c r="M2923" s="11"/>
      <c r="N2923" s="11"/>
      <c r="O2923" s="11"/>
      <c r="P2923" s="11"/>
    </row>
    <row r="2924" spans="8:16" hidden="1" x14ac:dyDescent="0.25">
      <c r="H2924" s="12"/>
      <c r="I2924" s="12"/>
      <c r="J2924" s="12"/>
      <c r="K2924" s="12"/>
      <c r="L2924" s="12"/>
      <c r="M2924" s="11"/>
      <c r="N2924" s="11"/>
      <c r="O2924" s="11"/>
      <c r="P2924" s="11"/>
    </row>
    <row r="2925" spans="8:16" hidden="1" x14ac:dyDescent="0.25">
      <c r="H2925" s="12"/>
      <c r="I2925" s="12"/>
      <c r="J2925" s="12"/>
      <c r="K2925" s="12"/>
      <c r="L2925" s="12"/>
      <c r="M2925" s="11"/>
      <c r="N2925" s="11"/>
      <c r="O2925" s="11"/>
      <c r="P2925" s="11"/>
    </row>
    <row r="2926" spans="8:16" hidden="1" x14ac:dyDescent="0.25">
      <c r="H2926" s="12"/>
      <c r="I2926" s="12"/>
      <c r="J2926" s="12"/>
      <c r="K2926" s="12"/>
      <c r="L2926" s="12"/>
      <c r="M2926" s="11"/>
      <c r="N2926" s="11"/>
      <c r="O2926" s="11"/>
      <c r="P2926" s="11"/>
    </row>
    <row r="2927" spans="8:16" hidden="1" x14ac:dyDescent="0.25">
      <c r="H2927" s="12"/>
      <c r="I2927" s="12"/>
      <c r="J2927" s="12"/>
      <c r="K2927" s="12"/>
      <c r="L2927" s="12"/>
      <c r="M2927" s="11"/>
      <c r="N2927" s="11"/>
      <c r="O2927" s="11"/>
      <c r="P2927" s="11"/>
    </row>
    <row r="2928" spans="8:16" hidden="1" x14ac:dyDescent="0.25">
      <c r="H2928" s="12"/>
      <c r="I2928" s="12"/>
      <c r="J2928" s="12"/>
      <c r="K2928" s="12"/>
      <c r="L2928" s="12"/>
      <c r="M2928" s="11"/>
      <c r="N2928" s="11"/>
      <c r="O2928" s="11"/>
      <c r="P2928" s="11"/>
    </row>
    <row r="2929" spans="8:16" hidden="1" x14ac:dyDescent="0.25">
      <c r="H2929" s="12"/>
      <c r="I2929" s="12"/>
      <c r="J2929" s="12"/>
      <c r="K2929" s="12"/>
      <c r="L2929" s="12"/>
      <c r="M2929" s="11"/>
      <c r="N2929" s="11"/>
      <c r="O2929" s="11"/>
      <c r="P2929" s="11"/>
    </row>
    <row r="2930" spans="8:16" hidden="1" x14ac:dyDescent="0.25">
      <c r="H2930" s="12"/>
      <c r="I2930" s="12"/>
      <c r="J2930" s="12"/>
      <c r="K2930" s="12"/>
      <c r="L2930" s="12"/>
      <c r="M2930" s="11"/>
      <c r="N2930" s="11"/>
      <c r="O2930" s="11"/>
      <c r="P2930" s="11"/>
    </row>
    <row r="2931" spans="8:16" hidden="1" x14ac:dyDescent="0.25">
      <c r="H2931" s="12"/>
      <c r="I2931" s="12"/>
      <c r="J2931" s="12"/>
      <c r="K2931" s="12"/>
      <c r="L2931" s="12"/>
      <c r="M2931" s="11"/>
      <c r="N2931" s="11"/>
      <c r="O2931" s="11"/>
      <c r="P2931" s="11"/>
    </row>
    <row r="2932" spans="8:16" hidden="1" x14ac:dyDescent="0.25">
      <c r="H2932" s="12"/>
      <c r="I2932" s="12"/>
      <c r="J2932" s="12"/>
      <c r="K2932" s="12"/>
      <c r="L2932" s="12"/>
      <c r="M2932" s="11"/>
      <c r="N2932" s="11"/>
      <c r="O2932" s="11"/>
      <c r="P2932" s="11"/>
    </row>
    <row r="2933" spans="8:16" hidden="1" x14ac:dyDescent="0.25">
      <c r="H2933" s="12"/>
      <c r="I2933" s="12"/>
      <c r="J2933" s="12"/>
      <c r="K2933" s="12"/>
      <c r="L2933" s="12"/>
      <c r="M2933" s="11"/>
      <c r="N2933" s="11"/>
      <c r="O2933" s="11"/>
      <c r="P2933" s="11"/>
    </row>
    <row r="2934" spans="8:16" hidden="1" x14ac:dyDescent="0.25">
      <c r="H2934" s="12"/>
      <c r="I2934" s="12"/>
      <c r="J2934" s="12"/>
      <c r="K2934" s="12"/>
      <c r="L2934" s="12"/>
      <c r="M2934" s="11"/>
      <c r="N2934" s="11"/>
      <c r="O2934" s="11"/>
      <c r="P2934" s="11"/>
    </row>
    <row r="2935" spans="8:16" hidden="1" x14ac:dyDescent="0.25">
      <c r="H2935" s="12"/>
      <c r="I2935" s="12"/>
      <c r="J2935" s="12"/>
      <c r="K2935" s="12"/>
      <c r="L2935" s="12"/>
      <c r="M2935" s="11"/>
      <c r="N2935" s="11"/>
      <c r="O2935" s="11"/>
      <c r="P2935" s="11"/>
    </row>
    <row r="2936" spans="8:16" hidden="1" x14ac:dyDescent="0.25">
      <c r="H2936" s="12"/>
      <c r="I2936" s="12"/>
      <c r="J2936" s="12"/>
      <c r="K2936" s="12"/>
      <c r="L2936" s="12"/>
      <c r="M2936" s="11"/>
      <c r="N2936" s="11"/>
      <c r="O2936" s="11"/>
      <c r="P2936" s="11"/>
    </row>
    <row r="2937" spans="8:16" hidden="1" x14ac:dyDescent="0.25">
      <c r="H2937" s="12"/>
      <c r="I2937" s="12"/>
      <c r="J2937" s="12"/>
      <c r="K2937" s="12"/>
      <c r="L2937" s="12"/>
      <c r="M2937" s="11"/>
      <c r="N2937" s="11"/>
      <c r="O2937" s="11"/>
      <c r="P2937" s="11"/>
    </row>
    <row r="2938" spans="8:16" hidden="1" x14ac:dyDescent="0.25">
      <c r="H2938" s="12"/>
      <c r="I2938" s="12"/>
      <c r="J2938" s="12"/>
      <c r="K2938" s="12"/>
      <c r="L2938" s="12"/>
      <c r="M2938" s="11"/>
      <c r="N2938" s="11"/>
      <c r="O2938" s="11"/>
      <c r="P2938" s="11"/>
    </row>
    <row r="2939" spans="8:16" hidden="1" x14ac:dyDescent="0.25">
      <c r="H2939" s="12"/>
      <c r="I2939" s="12"/>
      <c r="J2939" s="12"/>
      <c r="K2939" s="12"/>
      <c r="L2939" s="12"/>
      <c r="M2939" s="11"/>
      <c r="N2939" s="11"/>
      <c r="O2939" s="11"/>
      <c r="P2939" s="11"/>
    </row>
    <row r="2940" spans="8:16" hidden="1" x14ac:dyDescent="0.25">
      <c r="H2940" s="12"/>
      <c r="I2940" s="12"/>
      <c r="J2940" s="12"/>
      <c r="K2940" s="12"/>
      <c r="L2940" s="12"/>
      <c r="M2940" s="11"/>
      <c r="N2940" s="11"/>
      <c r="O2940" s="11"/>
      <c r="P2940" s="11"/>
    </row>
    <row r="2941" spans="8:16" hidden="1" x14ac:dyDescent="0.25">
      <c r="H2941" s="12"/>
      <c r="I2941" s="12"/>
      <c r="J2941" s="12"/>
      <c r="K2941" s="12"/>
      <c r="L2941" s="12"/>
      <c r="M2941" s="11"/>
      <c r="N2941" s="11"/>
      <c r="O2941" s="11"/>
      <c r="P2941" s="11"/>
    </row>
    <row r="2942" spans="8:16" hidden="1" x14ac:dyDescent="0.25">
      <c r="H2942" s="12"/>
      <c r="I2942" s="12"/>
      <c r="J2942" s="12"/>
      <c r="K2942" s="12"/>
      <c r="L2942" s="12"/>
      <c r="M2942" s="11"/>
      <c r="N2942" s="11"/>
      <c r="O2942" s="11"/>
      <c r="P2942" s="11"/>
    </row>
    <row r="2943" spans="8:16" hidden="1" x14ac:dyDescent="0.25">
      <c r="H2943" s="12"/>
      <c r="I2943" s="12"/>
      <c r="J2943" s="12"/>
      <c r="K2943" s="12"/>
      <c r="L2943" s="12"/>
      <c r="M2943" s="11"/>
      <c r="N2943" s="11"/>
      <c r="O2943" s="11"/>
      <c r="P2943" s="11"/>
    </row>
    <row r="2944" spans="8:16" hidden="1" x14ac:dyDescent="0.25">
      <c r="H2944" s="12"/>
      <c r="I2944" s="12"/>
      <c r="J2944" s="12"/>
      <c r="K2944" s="12"/>
      <c r="L2944" s="12"/>
      <c r="M2944" s="11"/>
      <c r="N2944" s="11"/>
      <c r="O2944" s="11"/>
      <c r="P2944" s="11"/>
    </row>
    <row r="2945" spans="8:16" hidden="1" x14ac:dyDescent="0.25">
      <c r="H2945" s="12"/>
      <c r="I2945" s="12"/>
      <c r="J2945" s="12"/>
      <c r="K2945" s="12"/>
      <c r="L2945" s="12"/>
      <c r="M2945" s="11"/>
      <c r="N2945" s="11"/>
      <c r="O2945" s="11"/>
      <c r="P2945" s="11"/>
    </row>
    <row r="2946" spans="8:16" hidden="1" x14ac:dyDescent="0.25">
      <c r="H2946" s="12"/>
      <c r="I2946" s="12"/>
      <c r="J2946" s="12"/>
      <c r="K2946" s="12"/>
      <c r="L2946" s="12"/>
      <c r="M2946" s="11"/>
      <c r="N2946" s="11"/>
      <c r="O2946" s="11"/>
      <c r="P2946" s="11"/>
    </row>
    <row r="2947" spans="8:16" hidden="1" x14ac:dyDescent="0.25">
      <c r="H2947" s="12"/>
      <c r="I2947" s="12"/>
      <c r="J2947" s="12"/>
      <c r="K2947" s="12"/>
      <c r="L2947" s="12"/>
      <c r="M2947" s="11"/>
      <c r="N2947" s="11"/>
      <c r="O2947" s="11"/>
      <c r="P2947" s="11"/>
    </row>
    <row r="2948" spans="8:16" hidden="1" x14ac:dyDescent="0.25">
      <c r="H2948" s="12"/>
      <c r="I2948" s="12"/>
      <c r="J2948" s="12"/>
      <c r="K2948" s="12"/>
      <c r="L2948" s="12"/>
      <c r="M2948" s="11"/>
      <c r="N2948" s="11"/>
      <c r="O2948" s="11"/>
      <c r="P2948" s="11"/>
    </row>
    <row r="2949" spans="8:16" hidden="1" x14ac:dyDescent="0.25">
      <c r="H2949" s="12"/>
      <c r="I2949" s="12"/>
      <c r="J2949" s="12"/>
      <c r="K2949" s="12"/>
      <c r="L2949" s="12"/>
      <c r="M2949" s="11"/>
      <c r="N2949" s="11"/>
      <c r="O2949" s="11"/>
      <c r="P2949" s="11"/>
    </row>
    <row r="2950" spans="8:16" hidden="1" x14ac:dyDescent="0.25">
      <c r="H2950" s="12"/>
      <c r="I2950" s="12"/>
      <c r="J2950" s="12"/>
      <c r="K2950" s="12"/>
      <c r="L2950" s="12"/>
      <c r="M2950" s="11"/>
      <c r="N2950" s="11"/>
      <c r="O2950" s="11"/>
      <c r="P2950" s="11"/>
    </row>
    <row r="2951" spans="8:16" hidden="1" x14ac:dyDescent="0.25">
      <c r="H2951" s="12"/>
      <c r="I2951" s="12"/>
      <c r="J2951" s="12"/>
      <c r="K2951" s="12"/>
      <c r="L2951" s="12"/>
      <c r="M2951" s="11"/>
      <c r="N2951" s="11"/>
      <c r="O2951" s="11"/>
      <c r="P2951" s="11"/>
    </row>
    <row r="2952" spans="8:16" hidden="1" x14ac:dyDescent="0.25">
      <c r="H2952" s="12"/>
      <c r="I2952" s="12"/>
      <c r="J2952" s="12"/>
      <c r="K2952" s="12"/>
      <c r="L2952" s="12"/>
      <c r="M2952" s="11"/>
      <c r="N2952" s="11"/>
      <c r="O2952" s="11"/>
      <c r="P2952" s="11"/>
    </row>
    <row r="2953" spans="8:16" hidden="1" x14ac:dyDescent="0.25">
      <c r="H2953" s="12"/>
      <c r="I2953" s="12"/>
      <c r="J2953" s="12"/>
      <c r="K2953" s="12"/>
      <c r="L2953" s="12"/>
      <c r="M2953" s="11"/>
      <c r="N2953" s="11"/>
      <c r="O2953" s="11"/>
      <c r="P2953" s="11"/>
    </row>
    <row r="2954" spans="8:16" hidden="1" x14ac:dyDescent="0.25">
      <c r="H2954" s="12"/>
      <c r="I2954" s="12"/>
      <c r="J2954" s="12"/>
      <c r="K2954" s="12"/>
      <c r="L2954" s="12"/>
      <c r="M2954" s="11"/>
      <c r="N2954" s="11"/>
      <c r="O2954" s="11"/>
      <c r="P2954" s="11"/>
    </row>
    <row r="2955" spans="8:16" hidden="1" x14ac:dyDescent="0.25">
      <c r="H2955" s="12"/>
      <c r="I2955" s="12"/>
      <c r="J2955" s="12"/>
      <c r="K2955" s="12"/>
      <c r="L2955" s="12"/>
      <c r="M2955" s="11"/>
      <c r="N2955" s="11"/>
      <c r="O2955" s="11"/>
      <c r="P2955" s="11"/>
    </row>
    <row r="2956" spans="8:16" hidden="1" x14ac:dyDescent="0.25">
      <c r="H2956" s="12"/>
      <c r="I2956" s="12"/>
      <c r="J2956" s="12"/>
      <c r="K2956" s="12"/>
      <c r="L2956" s="12"/>
      <c r="M2956" s="11"/>
      <c r="N2956" s="11"/>
      <c r="O2956" s="11"/>
      <c r="P2956" s="11"/>
    </row>
    <row r="2957" spans="8:16" hidden="1" x14ac:dyDescent="0.25">
      <c r="H2957" s="12"/>
      <c r="I2957" s="12"/>
      <c r="J2957" s="12"/>
      <c r="K2957" s="12"/>
      <c r="L2957" s="12"/>
      <c r="M2957" s="11"/>
      <c r="N2957" s="11"/>
      <c r="O2957" s="11"/>
      <c r="P2957" s="11"/>
    </row>
    <row r="2958" spans="8:16" hidden="1" x14ac:dyDescent="0.25">
      <c r="H2958" s="12"/>
      <c r="I2958" s="12"/>
      <c r="J2958" s="12"/>
      <c r="K2958" s="12"/>
      <c r="L2958" s="12"/>
      <c r="M2958" s="11"/>
      <c r="N2958" s="11"/>
      <c r="O2958" s="11"/>
      <c r="P2958" s="11"/>
    </row>
    <row r="2959" spans="8:16" hidden="1" x14ac:dyDescent="0.25">
      <c r="H2959" s="12"/>
      <c r="I2959" s="12"/>
      <c r="J2959" s="12"/>
      <c r="K2959" s="12"/>
      <c r="L2959" s="12"/>
      <c r="M2959" s="11"/>
      <c r="N2959" s="11"/>
      <c r="O2959" s="11"/>
      <c r="P2959" s="11"/>
    </row>
    <row r="2960" spans="8:16" hidden="1" x14ac:dyDescent="0.25">
      <c r="H2960" s="12"/>
      <c r="I2960" s="12"/>
      <c r="J2960" s="12"/>
      <c r="K2960" s="12"/>
      <c r="L2960" s="12"/>
      <c r="M2960" s="11"/>
      <c r="N2960" s="11"/>
      <c r="O2960" s="11"/>
      <c r="P2960" s="11"/>
    </row>
    <row r="2961" spans="8:16" hidden="1" x14ac:dyDescent="0.25">
      <c r="H2961" s="12"/>
      <c r="I2961" s="12"/>
      <c r="J2961" s="12"/>
      <c r="K2961" s="12"/>
      <c r="L2961" s="12"/>
      <c r="M2961" s="11"/>
      <c r="N2961" s="11"/>
      <c r="O2961" s="11"/>
      <c r="P2961" s="11"/>
    </row>
    <row r="2962" spans="8:16" hidden="1" x14ac:dyDescent="0.25">
      <c r="H2962" s="12"/>
      <c r="I2962" s="12"/>
      <c r="J2962" s="12"/>
      <c r="K2962" s="12"/>
      <c r="L2962" s="12"/>
      <c r="M2962" s="11"/>
      <c r="N2962" s="11"/>
      <c r="O2962" s="11"/>
      <c r="P2962" s="11"/>
    </row>
    <row r="2963" spans="8:16" hidden="1" x14ac:dyDescent="0.25">
      <c r="H2963" s="12"/>
      <c r="I2963" s="12"/>
      <c r="J2963" s="12"/>
      <c r="K2963" s="12"/>
      <c r="L2963" s="12"/>
      <c r="M2963" s="11"/>
      <c r="N2963" s="11"/>
      <c r="O2963" s="11"/>
      <c r="P2963" s="11"/>
    </row>
    <row r="2964" spans="8:16" hidden="1" x14ac:dyDescent="0.25">
      <c r="H2964" s="12"/>
      <c r="I2964" s="12"/>
      <c r="J2964" s="12"/>
      <c r="K2964" s="12"/>
      <c r="L2964" s="12"/>
      <c r="M2964" s="11"/>
      <c r="N2964" s="11"/>
      <c r="O2964" s="11"/>
      <c r="P2964" s="11"/>
    </row>
    <row r="2965" spans="8:16" hidden="1" x14ac:dyDescent="0.25">
      <c r="H2965" s="12"/>
      <c r="I2965" s="12"/>
      <c r="J2965" s="12"/>
      <c r="K2965" s="12"/>
      <c r="L2965" s="12"/>
      <c r="M2965" s="11"/>
      <c r="N2965" s="11"/>
      <c r="O2965" s="11"/>
      <c r="P2965" s="11"/>
    </row>
    <row r="2966" spans="8:16" hidden="1" x14ac:dyDescent="0.25">
      <c r="H2966" s="12"/>
      <c r="I2966" s="12"/>
      <c r="J2966" s="12"/>
      <c r="K2966" s="12"/>
      <c r="L2966" s="12"/>
      <c r="M2966" s="11"/>
      <c r="N2966" s="11"/>
      <c r="O2966" s="11"/>
      <c r="P2966" s="11"/>
    </row>
    <row r="2967" spans="8:16" hidden="1" x14ac:dyDescent="0.25">
      <c r="H2967" s="12"/>
      <c r="I2967" s="12"/>
      <c r="J2967" s="12"/>
      <c r="K2967" s="12"/>
      <c r="L2967" s="12"/>
      <c r="M2967" s="11"/>
      <c r="N2967" s="11"/>
      <c r="O2967" s="11"/>
      <c r="P2967" s="11"/>
    </row>
    <row r="2968" spans="8:16" hidden="1" x14ac:dyDescent="0.25">
      <c r="H2968" s="12"/>
      <c r="I2968" s="12"/>
      <c r="J2968" s="12"/>
      <c r="K2968" s="12"/>
      <c r="L2968" s="12"/>
      <c r="M2968" s="11"/>
      <c r="N2968" s="11"/>
      <c r="O2968" s="11"/>
      <c r="P2968" s="11"/>
    </row>
    <row r="2969" spans="8:16" hidden="1" x14ac:dyDescent="0.25">
      <c r="H2969" s="12"/>
      <c r="I2969" s="12"/>
      <c r="J2969" s="12"/>
      <c r="K2969" s="12"/>
      <c r="L2969" s="12"/>
      <c r="M2969" s="11"/>
      <c r="N2969" s="11"/>
      <c r="O2969" s="11"/>
      <c r="P2969" s="11"/>
    </row>
    <row r="2970" spans="8:16" hidden="1" x14ac:dyDescent="0.25">
      <c r="H2970" s="12"/>
      <c r="I2970" s="12"/>
      <c r="J2970" s="12"/>
      <c r="K2970" s="12"/>
      <c r="L2970" s="12"/>
      <c r="M2970" s="11"/>
      <c r="N2970" s="11"/>
      <c r="O2970" s="11"/>
      <c r="P2970" s="11"/>
    </row>
    <row r="2971" spans="8:16" hidden="1" x14ac:dyDescent="0.25">
      <c r="H2971" s="12"/>
      <c r="I2971" s="12"/>
      <c r="J2971" s="12"/>
      <c r="K2971" s="12"/>
      <c r="L2971" s="12"/>
      <c r="M2971" s="11"/>
      <c r="N2971" s="11"/>
      <c r="O2971" s="11"/>
      <c r="P2971" s="11"/>
    </row>
    <row r="2972" spans="8:16" hidden="1" x14ac:dyDescent="0.25">
      <c r="H2972" s="12"/>
      <c r="I2972" s="12"/>
      <c r="J2972" s="12"/>
      <c r="K2972" s="12"/>
      <c r="L2972" s="12"/>
      <c r="M2972" s="11"/>
      <c r="N2972" s="11"/>
      <c r="O2972" s="11"/>
      <c r="P2972" s="11"/>
    </row>
    <row r="2973" spans="8:16" hidden="1" x14ac:dyDescent="0.25">
      <c r="H2973" s="12"/>
      <c r="I2973" s="12"/>
      <c r="J2973" s="12"/>
      <c r="K2973" s="12"/>
      <c r="L2973" s="12"/>
      <c r="M2973" s="11"/>
      <c r="N2973" s="11"/>
      <c r="O2973" s="11"/>
      <c r="P2973" s="11"/>
    </row>
    <row r="2974" spans="8:16" hidden="1" x14ac:dyDescent="0.25">
      <c r="H2974" s="12"/>
      <c r="I2974" s="12"/>
      <c r="J2974" s="12"/>
      <c r="K2974" s="12"/>
      <c r="L2974" s="12"/>
      <c r="M2974" s="11"/>
      <c r="N2974" s="11"/>
      <c r="O2974" s="11"/>
      <c r="P2974" s="11"/>
    </row>
    <row r="2975" spans="8:16" hidden="1" x14ac:dyDescent="0.25">
      <c r="H2975" s="12"/>
      <c r="I2975" s="12"/>
      <c r="J2975" s="12"/>
      <c r="K2975" s="12"/>
      <c r="L2975" s="12"/>
      <c r="M2975" s="11"/>
      <c r="N2975" s="11"/>
      <c r="O2975" s="11"/>
      <c r="P2975" s="11"/>
    </row>
    <row r="2976" spans="8:16" hidden="1" x14ac:dyDescent="0.25">
      <c r="H2976" s="12"/>
      <c r="I2976" s="12"/>
      <c r="J2976" s="12"/>
      <c r="K2976" s="12"/>
      <c r="L2976" s="12"/>
      <c r="M2976" s="11"/>
      <c r="N2976" s="11"/>
      <c r="O2976" s="11"/>
      <c r="P2976" s="11"/>
    </row>
    <row r="2977" spans="8:16" hidden="1" x14ac:dyDescent="0.25">
      <c r="H2977" s="12"/>
      <c r="I2977" s="12"/>
      <c r="J2977" s="12"/>
      <c r="K2977" s="12"/>
      <c r="L2977" s="12"/>
      <c r="M2977" s="11"/>
      <c r="N2977" s="11"/>
      <c r="O2977" s="11"/>
      <c r="P2977" s="11"/>
    </row>
    <row r="2978" spans="8:16" hidden="1" x14ac:dyDescent="0.25">
      <c r="H2978" s="12"/>
      <c r="I2978" s="12"/>
      <c r="J2978" s="12"/>
      <c r="K2978" s="12"/>
      <c r="L2978" s="12"/>
      <c r="M2978" s="11"/>
      <c r="N2978" s="11"/>
      <c r="O2978" s="11"/>
      <c r="P2978" s="11"/>
    </row>
    <row r="2979" spans="8:16" hidden="1" x14ac:dyDescent="0.25">
      <c r="H2979" s="12"/>
      <c r="I2979" s="12"/>
      <c r="J2979" s="12"/>
      <c r="K2979" s="12"/>
      <c r="L2979" s="12"/>
      <c r="M2979" s="11"/>
      <c r="N2979" s="11"/>
      <c r="O2979" s="11"/>
      <c r="P2979" s="11"/>
    </row>
    <row r="2980" spans="8:16" hidden="1" x14ac:dyDescent="0.25">
      <c r="H2980" s="12"/>
      <c r="I2980" s="12"/>
      <c r="J2980" s="12"/>
      <c r="K2980" s="12"/>
      <c r="L2980" s="12"/>
      <c r="M2980" s="11"/>
      <c r="N2980" s="11"/>
      <c r="O2980" s="11"/>
      <c r="P2980" s="11"/>
    </row>
    <row r="2981" spans="8:16" hidden="1" x14ac:dyDescent="0.25">
      <c r="H2981" s="12"/>
      <c r="I2981" s="12"/>
      <c r="J2981" s="12"/>
      <c r="K2981" s="12"/>
      <c r="L2981" s="12"/>
      <c r="M2981" s="11"/>
      <c r="N2981" s="11"/>
      <c r="O2981" s="11"/>
      <c r="P2981" s="11"/>
    </row>
    <row r="2982" spans="8:16" hidden="1" x14ac:dyDescent="0.25">
      <c r="H2982" s="12"/>
      <c r="I2982" s="12"/>
      <c r="J2982" s="12"/>
      <c r="K2982" s="12"/>
      <c r="L2982" s="12"/>
      <c r="M2982" s="11"/>
      <c r="N2982" s="11"/>
      <c r="O2982" s="11"/>
      <c r="P2982" s="11"/>
    </row>
    <row r="2983" spans="8:16" hidden="1" x14ac:dyDescent="0.25">
      <c r="H2983" s="12"/>
      <c r="I2983" s="12"/>
      <c r="J2983" s="12"/>
      <c r="K2983" s="12"/>
      <c r="L2983" s="12"/>
      <c r="M2983" s="11"/>
      <c r="N2983" s="11"/>
      <c r="O2983" s="11"/>
      <c r="P2983" s="11"/>
    </row>
    <row r="2984" spans="8:16" hidden="1" x14ac:dyDescent="0.25">
      <c r="H2984" s="12"/>
      <c r="I2984" s="12"/>
      <c r="J2984" s="12"/>
      <c r="K2984" s="12"/>
      <c r="L2984" s="12"/>
      <c r="M2984" s="11"/>
      <c r="N2984" s="11"/>
      <c r="O2984" s="11"/>
      <c r="P2984" s="11"/>
    </row>
    <row r="2985" spans="8:16" hidden="1" x14ac:dyDescent="0.25">
      <c r="H2985" s="12"/>
      <c r="I2985" s="12"/>
      <c r="J2985" s="12"/>
      <c r="K2985" s="12"/>
      <c r="L2985" s="12"/>
      <c r="M2985" s="11"/>
      <c r="N2985" s="11"/>
      <c r="O2985" s="11"/>
      <c r="P2985" s="11"/>
    </row>
    <row r="2986" spans="8:16" hidden="1" x14ac:dyDescent="0.25">
      <c r="H2986" s="12"/>
      <c r="I2986" s="12"/>
      <c r="J2986" s="12"/>
      <c r="K2986" s="12"/>
      <c r="L2986" s="12"/>
      <c r="M2986" s="11"/>
      <c r="N2986" s="11"/>
      <c r="O2986" s="11"/>
      <c r="P2986" s="11"/>
    </row>
    <row r="2987" spans="8:16" hidden="1" x14ac:dyDescent="0.25">
      <c r="H2987" s="12"/>
      <c r="I2987" s="12"/>
      <c r="J2987" s="12"/>
      <c r="K2987" s="12"/>
      <c r="L2987" s="12"/>
      <c r="M2987" s="11"/>
      <c r="N2987" s="11"/>
      <c r="O2987" s="11"/>
      <c r="P2987" s="11"/>
    </row>
    <row r="2988" spans="8:16" hidden="1" x14ac:dyDescent="0.25">
      <c r="H2988" s="12"/>
      <c r="I2988" s="12"/>
      <c r="J2988" s="12"/>
      <c r="K2988" s="12"/>
      <c r="L2988" s="12"/>
      <c r="M2988" s="11"/>
      <c r="N2988" s="11"/>
      <c r="O2988" s="11"/>
      <c r="P2988" s="11"/>
    </row>
    <row r="2989" spans="8:16" hidden="1" x14ac:dyDescent="0.25">
      <c r="H2989" s="12"/>
      <c r="I2989" s="12"/>
      <c r="J2989" s="12"/>
      <c r="K2989" s="12"/>
      <c r="L2989" s="12"/>
      <c r="M2989" s="11"/>
      <c r="N2989" s="11"/>
      <c r="O2989" s="11"/>
      <c r="P2989" s="11"/>
    </row>
    <row r="2990" spans="8:16" hidden="1" x14ac:dyDescent="0.25">
      <c r="H2990" s="12"/>
      <c r="I2990" s="12"/>
      <c r="J2990" s="12"/>
      <c r="K2990" s="12"/>
      <c r="L2990" s="12"/>
      <c r="M2990" s="11"/>
      <c r="N2990" s="11"/>
      <c r="O2990" s="11"/>
      <c r="P2990" s="11"/>
    </row>
    <row r="2991" spans="8:16" hidden="1" x14ac:dyDescent="0.25">
      <c r="H2991" s="12"/>
      <c r="I2991" s="12"/>
      <c r="J2991" s="12"/>
      <c r="K2991" s="12"/>
      <c r="L2991" s="12"/>
      <c r="M2991" s="11"/>
      <c r="N2991" s="11"/>
      <c r="O2991" s="11"/>
      <c r="P2991" s="11"/>
    </row>
    <row r="2992" spans="8:16" hidden="1" x14ac:dyDescent="0.25">
      <c r="H2992" s="12"/>
      <c r="I2992" s="12"/>
      <c r="J2992" s="12"/>
      <c r="K2992" s="12"/>
      <c r="L2992" s="12"/>
      <c r="M2992" s="11"/>
      <c r="N2992" s="11"/>
      <c r="O2992" s="11"/>
      <c r="P2992" s="11"/>
    </row>
    <row r="2993" spans="8:16" hidden="1" x14ac:dyDescent="0.25">
      <c r="H2993" s="12"/>
      <c r="I2993" s="12"/>
      <c r="J2993" s="12"/>
      <c r="K2993" s="12"/>
      <c r="L2993" s="12"/>
      <c r="M2993" s="11"/>
      <c r="N2993" s="11"/>
      <c r="O2993" s="11"/>
      <c r="P2993" s="11"/>
    </row>
    <row r="2994" spans="8:16" hidden="1" x14ac:dyDescent="0.25">
      <c r="H2994" s="12"/>
      <c r="I2994" s="12"/>
      <c r="J2994" s="12"/>
      <c r="K2994" s="12"/>
      <c r="L2994" s="12"/>
      <c r="M2994" s="11"/>
      <c r="N2994" s="11"/>
      <c r="O2994" s="11"/>
      <c r="P2994" s="11"/>
    </row>
    <row r="2995" spans="8:16" hidden="1" x14ac:dyDescent="0.25">
      <c r="H2995" s="12"/>
      <c r="I2995" s="12"/>
      <c r="J2995" s="12"/>
      <c r="K2995" s="12"/>
      <c r="L2995" s="12"/>
      <c r="M2995" s="11"/>
      <c r="N2995" s="11"/>
      <c r="O2995" s="11"/>
      <c r="P2995" s="11"/>
    </row>
    <row r="2996" spans="8:16" hidden="1" x14ac:dyDescent="0.25">
      <c r="H2996" s="12"/>
      <c r="I2996" s="12"/>
      <c r="J2996" s="12"/>
      <c r="K2996" s="12"/>
      <c r="L2996" s="12"/>
      <c r="M2996" s="11"/>
      <c r="N2996" s="11"/>
      <c r="O2996" s="11"/>
      <c r="P2996" s="11"/>
    </row>
    <row r="2997" spans="8:16" hidden="1" x14ac:dyDescent="0.25">
      <c r="H2997" s="12"/>
      <c r="I2997" s="12"/>
      <c r="J2997" s="12"/>
      <c r="K2997" s="12"/>
      <c r="L2997" s="12"/>
      <c r="M2997" s="11"/>
      <c r="N2997" s="11"/>
      <c r="O2997" s="11"/>
      <c r="P2997" s="11"/>
    </row>
    <row r="2998" spans="8:16" hidden="1" x14ac:dyDescent="0.25">
      <c r="H2998" s="12"/>
      <c r="I2998" s="12"/>
      <c r="J2998" s="12"/>
      <c r="K2998" s="12"/>
      <c r="L2998" s="12"/>
      <c r="M2998" s="11"/>
      <c r="N2998" s="11"/>
      <c r="O2998" s="11"/>
      <c r="P2998" s="11"/>
    </row>
    <row r="2999" spans="8:16" hidden="1" x14ac:dyDescent="0.25">
      <c r="H2999" s="12"/>
      <c r="I2999" s="12"/>
      <c r="J2999" s="12"/>
      <c r="K2999" s="12"/>
      <c r="L2999" s="12"/>
      <c r="M2999" s="11"/>
      <c r="N2999" s="11"/>
      <c r="O2999" s="11"/>
      <c r="P2999" s="11"/>
    </row>
    <row r="3000" spans="8:16" hidden="1" x14ac:dyDescent="0.25">
      <c r="H3000" s="12"/>
      <c r="I3000" s="12"/>
      <c r="J3000" s="12"/>
      <c r="K3000" s="12"/>
      <c r="L3000" s="12"/>
      <c r="M3000" s="11"/>
      <c r="N3000" s="11"/>
      <c r="O3000" s="11"/>
      <c r="P3000" s="11"/>
    </row>
    <row r="3001" spans="8:16" hidden="1" x14ac:dyDescent="0.25">
      <c r="H3001" s="12"/>
      <c r="I3001" s="12"/>
      <c r="J3001" s="12"/>
      <c r="K3001" s="12"/>
      <c r="L3001" s="12"/>
      <c r="M3001" s="11"/>
      <c r="N3001" s="11"/>
      <c r="O3001" s="11"/>
      <c r="P3001" s="11"/>
    </row>
    <row r="3002" spans="8:16" hidden="1" x14ac:dyDescent="0.25">
      <c r="H3002" s="12"/>
      <c r="I3002" s="12"/>
      <c r="J3002" s="12"/>
      <c r="K3002" s="12"/>
      <c r="L3002" s="12"/>
      <c r="M3002" s="11"/>
      <c r="N3002" s="11"/>
      <c r="O3002" s="11"/>
      <c r="P3002" s="11"/>
    </row>
    <row r="3003" spans="8:16" hidden="1" x14ac:dyDescent="0.25">
      <c r="H3003" s="12"/>
      <c r="I3003" s="12"/>
      <c r="J3003" s="12"/>
      <c r="K3003" s="12"/>
      <c r="L3003" s="12"/>
      <c r="M3003" s="11"/>
      <c r="N3003" s="11"/>
      <c r="O3003" s="11"/>
      <c r="P3003" s="11"/>
    </row>
    <row r="3004" spans="8:16" hidden="1" x14ac:dyDescent="0.25">
      <c r="H3004" s="12"/>
      <c r="I3004" s="12"/>
      <c r="J3004" s="12"/>
      <c r="K3004" s="12"/>
      <c r="L3004" s="12"/>
      <c r="M3004" s="11"/>
      <c r="N3004" s="11"/>
      <c r="O3004" s="11"/>
      <c r="P3004" s="11"/>
    </row>
    <row r="3005" spans="8:16" hidden="1" x14ac:dyDescent="0.25">
      <c r="H3005" s="12"/>
      <c r="I3005" s="12"/>
      <c r="J3005" s="12"/>
      <c r="K3005" s="12"/>
      <c r="L3005" s="12"/>
      <c r="M3005" s="11"/>
      <c r="N3005" s="11"/>
      <c r="O3005" s="11"/>
      <c r="P3005" s="11"/>
    </row>
    <row r="3006" spans="8:16" hidden="1" x14ac:dyDescent="0.25">
      <c r="H3006" s="12"/>
      <c r="I3006" s="12"/>
      <c r="J3006" s="12"/>
      <c r="K3006" s="12"/>
      <c r="L3006" s="12"/>
      <c r="M3006" s="11"/>
      <c r="N3006" s="11"/>
      <c r="O3006" s="11"/>
      <c r="P3006" s="11"/>
    </row>
    <row r="3007" spans="8:16" hidden="1" x14ac:dyDescent="0.25">
      <c r="H3007" s="12"/>
      <c r="I3007" s="12"/>
      <c r="J3007" s="12"/>
      <c r="K3007" s="12"/>
      <c r="L3007" s="12"/>
      <c r="M3007" s="11"/>
      <c r="N3007" s="11"/>
      <c r="O3007" s="11"/>
      <c r="P3007" s="11"/>
    </row>
    <row r="3008" spans="8:16" hidden="1" x14ac:dyDescent="0.25">
      <c r="H3008" s="12"/>
      <c r="I3008" s="12"/>
      <c r="J3008" s="12"/>
      <c r="K3008" s="12"/>
      <c r="L3008" s="12"/>
      <c r="M3008" s="11"/>
      <c r="N3008" s="11"/>
      <c r="O3008" s="11"/>
      <c r="P3008" s="11"/>
    </row>
    <row r="3009" spans="8:16" hidden="1" x14ac:dyDescent="0.25">
      <c r="H3009" s="12"/>
      <c r="I3009" s="12"/>
      <c r="J3009" s="12"/>
      <c r="K3009" s="12"/>
      <c r="L3009" s="12"/>
      <c r="M3009" s="11"/>
      <c r="N3009" s="11"/>
      <c r="O3009" s="11"/>
      <c r="P3009" s="11"/>
    </row>
    <row r="3010" spans="8:16" hidden="1" x14ac:dyDescent="0.25">
      <c r="H3010" s="12"/>
      <c r="I3010" s="12"/>
      <c r="J3010" s="12"/>
      <c r="K3010" s="12"/>
      <c r="L3010" s="12"/>
      <c r="M3010" s="11"/>
      <c r="N3010" s="11"/>
      <c r="O3010" s="11"/>
      <c r="P3010" s="11"/>
    </row>
    <row r="3011" spans="8:16" hidden="1" x14ac:dyDescent="0.25">
      <c r="H3011" s="12"/>
      <c r="I3011" s="12"/>
      <c r="J3011" s="12"/>
      <c r="K3011" s="12"/>
      <c r="L3011" s="12"/>
      <c r="M3011" s="11"/>
      <c r="N3011" s="11"/>
      <c r="O3011" s="11"/>
      <c r="P3011" s="11"/>
    </row>
    <row r="3012" spans="8:16" hidden="1" x14ac:dyDescent="0.25">
      <c r="H3012" s="12"/>
      <c r="I3012" s="12"/>
      <c r="J3012" s="12"/>
      <c r="K3012" s="12"/>
      <c r="L3012" s="12"/>
      <c r="M3012" s="11"/>
      <c r="N3012" s="11"/>
      <c r="O3012" s="11"/>
      <c r="P3012" s="11"/>
    </row>
    <row r="3013" spans="8:16" hidden="1" x14ac:dyDescent="0.25">
      <c r="H3013" s="12"/>
      <c r="I3013" s="12"/>
      <c r="J3013" s="12"/>
      <c r="K3013" s="12"/>
      <c r="L3013" s="12"/>
      <c r="M3013" s="11"/>
      <c r="N3013" s="11"/>
      <c r="O3013" s="11"/>
      <c r="P3013" s="11"/>
    </row>
    <row r="3014" spans="8:16" hidden="1" x14ac:dyDescent="0.25">
      <c r="H3014" s="12"/>
      <c r="I3014" s="12"/>
      <c r="J3014" s="12"/>
      <c r="K3014" s="12"/>
      <c r="L3014" s="12"/>
      <c r="M3014" s="11"/>
      <c r="N3014" s="11"/>
      <c r="O3014" s="11"/>
      <c r="P3014" s="11"/>
    </row>
    <row r="3015" spans="8:16" hidden="1" x14ac:dyDescent="0.25">
      <c r="H3015" s="12"/>
      <c r="I3015" s="12"/>
      <c r="J3015" s="12"/>
      <c r="K3015" s="12"/>
      <c r="L3015" s="12"/>
      <c r="M3015" s="11"/>
      <c r="N3015" s="11"/>
      <c r="O3015" s="11"/>
      <c r="P3015" s="11"/>
    </row>
    <row r="3016" spans="8:16" hidden="1" x14ac:dyDescent="0.25">
      <c r="H3016" s="12"/>
      <c r="I3016" s="12"/>
      <c r="J3016" s="12"/>
      <c r="K3016" s="12"/>
      <c r="L3016" s="12"/>
      <c r="M3016" s="11"/>
      <c r="N3016" s="11"/>
      <c r="O3016" s="11"/>
      <c r="P3016" s="11"/>
    </row>
    <row r="3017" spans="8:16" hidden="1" x14ac:dyDescent="0.25">
      <c r="H3017" s="12"/>
      <c r="I3017" s="12"/>
      <c r="J3017" s="12"/>
      <c r="K3017" s="12"/>
      <c r="L3017" s="12"/>
      <c r="M3017" s="11"/>
      <c r="N3017" s="11"/>
      <c r="O3017" s="11"/>
      <c r="P3017" s="11"/>
    </row>
    <row r="3018" spans="8:16" hidden="1" x14ac:dyDescent="0.25">
      <c r="H3018" s="12"/>
      <c r="I3018" s="12"/>
      <c r="J3018" s="12"/>
      <c r="K3018" s="12"/>
      <c r="L3018" s="12"/>
      <c r="M3018" s="11"/>
      <c r="N3018" s="11"/>
      <c r="O3018" s="11"/>
      <c r="P3018" s="11"/>
    </row>
    <row r="3019" spans="8:16" hidden="1" x14ac:dyDescent="0.25">
      <c r="H3019" s="12"/>
      <c r="I3019" s="12"/>
      <c r="J3019" s="12"/>
      <c r="K3019" s="12"/>
      <c r="L3019" s="12"/>
      <c r="M3019" s="11"/>
      <c r="N3019" s="11"/>
      <c r="O3019" s="11"/>
      <c r="P3019" s="11"/>
    </row>
    <row r="3020" spans="8:16" hidden="1" x14ac:dyDescent="0.25">
      <c r="H3020" s="12"/>
      <c r="I3020" s="12"/>
      <c r="J3020" s="12"/>
      <c r="K3020" s="12"/>
      <c r="L3020" s="12"/>
      <c r="M3020" s="11"/>
      <c r="N3020" s="11"/>
      <c r="O3020" s="11"/>
      <c r="P3020" s="11"/>
    </row>
    <row r="3021" spans="8:16" hidden="1" x14ac:dyDescent="0.25">
      <c r="H3021" s="12"/>
      <c r="I3021" s="12"/>
      <c r="J3021" s="12"/>
      <c r="K3021" s="12"/>
      <c r="L3021" s="12"/>
      <c r="M3021" s="11"/>
      <c r="N3021" s="11"/>
      <c r="O3021" s="11"/>
      <c r="P3021" s="11"/>
    </row>
    <row r="3022" spans="8:16" hidden="1" x14ac:dyDescent="0.25">
      <c r="H3022" s="12"/>
      <c r="I3022" s="12"/>
      <c r="J3022" s="12"/>
      <c r="K3022" s="12"/>
      <c r="L3022" s="12"/>
      <c r="M3022" s="11"/>
      <c r="N3022" s="11"/>
      <c r="O3022" s="11"/>
      <c r="P3022" s="11"/>
    </row>
    <row r="3023" spans="8:16" hidden="1" x14ac:dyDescent="0.25">
      <c r="H3023" s="12"/>
      <c r="I3023" s="12"/>
      <c r="J3023" s="12"/>
      <c r="K3023" s="12"/>
      <c r="L3023" s="12"/>
      <c r="M3023" s="11"/>
      <c r="N3023" s="11"/>
      <c r="O3023" s="11"/>
      <c r="P3023" s="11"/>
    </row>
    <row r="3024" spans="8:16" hidden="1" x14ac:dyDescent="0.25">
      <c r="H3024" s="12"/>
      <c r="I3024" s="12"/>
      <c r="J3024" s="12"/>
      <c r="K3024" s="12"/>
      <c r="L3024" s="12"/>
      <c r="M3024" s="11"/>
      <c r="N3024" s="11"/>
      <c r="O3024" s="11"/>
      <c r="P3024" s="11"/>
    </row>
    <row r="3025" spans="8:16" hidden="1" x14ac:dyDescent="0.25">
      <c r="H3025" s="12"/>
      <c r="I3025" s="12"/>
      <c r="J3025" s="12"/>
      <c r="K3025" s="12"/>
      <c r="L3025" s="12"/>
      <c r="M3025" s="11"/>
      <c r="N3025" s="11"/>
      <c r="O3025" s="11"/>
      <c r="P3025" s="11"/>
    </row>
    <row r="3026" spans="8:16" hidden="1" x14ac:dyDescent="0.25">
      <c r="H3026" s="12"/>
      <c r="I3026" s="12"/>
      <c r="J3026" s="12"/>
      <c r="K3026" s="12"/>
      <c r="L3026" s="12"/>
      <c r="M3026" s="11"/>
      <c r="N3026" s="11"/>
      <c r="O3026" s="11"/>
      <c r="P3026" s="11"/>
    </row>
    <row r="3027" spans="8:16" hidden="1" x14ac:dyDescent="0.25">
      <c r="H3027" s="12"/>
      <c r="I3027" s="12"/>
      <c r="J3027" s="12"/>
      <c r="K3027" s="12"/>
      <c r="L3027" s="12"/>
      <c r="M3027" s="11"/>
      <c r="N3027" s="11"/>
      <c r="O3027" s="11"/>
      <c r="P3027" s="11"/>
    </row>
    <row r="3028" spans="8:16" hidden="1" x14ac:dyDescent="0.25">
      <c r="H3028" s="12"/>
      <c r="I3028" s="12"/>
      <c r="J3028" s="12"/>
      <c r="K3028" s="12"/>
      <c r="L3028" s="12"/>
      <c r="M3028" s="11"/>
      <c r="N3028" s="11"/>
      <c r="O3028" s="11"/>
      <c r="P3028" s="11"/>
    </row>
    <row r="3029" spans="8:16" hidden="1" x14ac:dyDescent="0.25">
      <c r="H3029" s="12"/>
      <c r="I3029" s="12"/>
      <c r="J3029" s="12"/>
      <c r="K3029" s="12"/>
      <c r="L3029" s="12"/>
      <c r="M3029" s="11"/>
      <c r="N3029" s="11"/>
      <c r="O3029" s="11"/>
      <c r="P3029" s="11"/>
    </row>
    <row r="3030" spans="8:16" hidden="1" x14ac:dyDescent="0.25">
      <c r="H3030" s="12"/>
      <c r="I3030" s="12"/>
      <c r="J3030" s="12"/>
      <c r="K3030" s="12"/>
      <c r="L3030" s="12"/>
      <c r="M3030" s="11"/>
      <c r="N3030" s="11"/>
      <c r="O3030" s="11"/>
      <c r="P3030" s="11"/>
    </row>
    <row r="3031" spans="8:16" hidden="1" x14ac:dyDescent="0.25">
      <c r="H3031" s="12"/>
      <c r="I3031" s="12"/>
      <c r="J3031" s="12"/>
      <c r="K3031" s="12"/>
      <c r="L3031" s="12"/>
      <c r="M3031" s="11"/>
      <c r="N3031" s="11"/>
      <c r="O3031" s="11"/>
      <c r="P3031" s="11"/>
    </row>
    <row r="3032" spans="8:16" hidden="1" x14ac:dyDescent="0.25">
      <c r="H3032" s="12"/>
      <c r="I3032" s="12"/>
      <c r="J3032" s="12"/>
      <c r="K3032" s="12"/>
      <c r="L3032" s="12"/>
      <c r="M3032" s="11"/>
      <c r="N3032" s="11"/>
      <c r="O3032" s="11"/>
      <c r="P3032" s="11"/>
    </row>
    <row r="3033" spans="8:16" hidden="1" x14ac:dyDescent="0.25">
      <c r="H3033" s="12"/>
      <c r="I3033" s="12"/>
      <c r="J3033" s="12"/>
      <c r="K3033" s="12"/>
      <c r="L3033" s="12"/>
      <c r="M3033" s="11"/>
      <c r="N3033" s="11"/>
      <c r="O3033" s="11"/>
      <c r="P3033" s="11"/>
    </row>
    <row r="3034" spans="8:16" hidden="1" x14ac:dyDescent="0.25">
      <c r="H3034" s="12"/>
      <c r="I3034" s="12"/>
      <c r="J3034" s="12"/>
      <c r="K3034" s="12"/>
      <c r="L3034" s="12"/>
      <c r="M3034" s="11"/>
      <c r="N3034" s="11"/>
      <c r="O3034" s="11"/>
      <c r="P3034" s="11"/>
    </row>
    <row r="3035" spans="8:16" hidden="1" x14ac:dyDescent="0.25">
      <c r="H3035" s="12"/>
      <c r="I3035" s="12"/>
      <c r="J3035" s="12"/>
      <c r="K3035" s="12"/>
      <c r="L3035" s="12"/>
      <c r="M3035" s="11"/>
      <c r="N3035" s="11"/>
      <c r="O3035" s="11"/>
      <c r="P3035" s="11"/>
    </row>
    <row r="3036" spans="8:16" hidden="1" x14ac:dyDescent="0.25">
      <c r="H3036" s="12"/>
      <c r="I3036" s="12"/>
      <c r="J3036" s="12"/>
      <c r="K3036" s="12"/>
      <c r="L3036" s="12"/>
      <c r="M3036" s="11"/>
      <c r="N3036" s="11"/>
      <c r="O3036" s="11"/>
      <c r="P3036" s="11"/>
    </row>
    <row r="3037" spans="8:16" hidden="1" x14ac:dyDescent="0.25">
      <c r="H3037" s="12"/>
      <c r="I3037" s="12"/>
      <c r="J3037" s="12"/>
      <c r="K3037" s="12"/>
      <c r="L3037" s="12"/>
      <c r="M3037" s="11"/>
      <c r="N3037" s="11"/>
      <c r="O3037" s="11"/>
      <c r="P3037" s="11"/>
    </row>
    <row r="3038" spans="8:16" hidden="1" x14ac:dyDescent="0.25">
      <c r="H3038" s="12"/>
      <c r="I3038" s="12"/>
      <c r="J3038" s="12"/>
      <c r="K3038" s="12"/>
      <c r="L3038" s="12"/>
      <c r="M3038" s="11"/>
      <c r="N3038" s="11"/>
      <c r="O3038" s="11"/>
      <c r="P3038" s="11"/>
    </row>
    <row r="3039" spans="8:16" hidden="1" x14ac:dyDescent="0.25">
      <c r="H3039" s="12"/>
      <c r="I3039" s="12"/>
      <c r="J3039" s="12"/>
      <c r="K3039" s="12"/>
      <c r="L3039" s="12"/>
      <c r="M3039" s="11"/>
      <c r="N3039" s="11"/>
      <c r="O3039" s="11"/>
      <c r="P3039" s="11"/>
    </row>
    <row r="3040" spans="8:16" hidden="1" x14ac:dyDescent="0.25">
      <c r="H3040" s="12"/>
      <c r="I3040" s="12"/>
      <c r="J3040" s="12"/>
      <c r="K3040" s="12"/>
      <c r="L3040" s="12"/>
      <c r="M3040" s="11"/>
      <c r="N3040" s="11"/>
      <c r="O3040" s="11"/>
      <c r="P3040" s="11"/>
    </row>
    <row r="3041" spans="8:16" hidden="1" x14ac:dyDescent="0.25">
      <c r="H3041" s="12"/>
      <c r="I3041" s="12"/>
      <c r="J3041" s="12"/>
      <c r="K3041" s="12"/>
      <c r="L3041" s="12"/>
      <c r="M3041" s="11"/>
      <c r="N3041" s="11"/>
      <c r="O3041" s="11"/>
      <c r="P3041" s="11"/>
    </row>
    <row r="3042" spans="8:16" hidden="1" x14ac:dyDescent="0.25">
      <c r="H3042" s="12"/>
      <c r="I3042" s="12"/>
      <c r="J3042" s="12"/>
      <c r="K3042" s="12"/>
      <c r="L3042" s="12"/>
      <c r="M3042" s="11"/>
      <c r="N3042" s="11"/>
      <c r="O3042" s="11"/>
      <c r="P3042" s="11"/>
    </row>
    <row r="3043" spans="8:16" hidden="1" x14ac:dyDescent="0.25">
      <c r="H3043" s="12"/>
      <c r="I3043" s="12"/>
      <c r="J3043" s="12"/>
      <c r="K3043" s="12"/>
      <c r="L3043" s="12"/>
      <c r="M3043" s="11"/>
      <c r="N3043" s="11"/>
      <c r="O3043" s="11"/>
      <c r="P3043" s="11"/>
    </row>
    <row r="3044" spans="8:16" hidden="1" x14ac:dyDescent="0.25">
      <c r="H3044" s="12"/>
      <c r="I3044" s="12"/>
      <c r="J3044" s="12"/>
      <c r="K3044" s="12"/>
      <c r="L3044" s="12"/>
      <c r="M3044" s="11"/>
      <c r="N3044" s="11"/>
      <c r="O3044" s="11"/>
      <c r="P3044" s="11"/>
    </row>
    <row r="3045" spans="8:16" hidden="1" x14ac:dyDescent="0.25">
      <c r="H3045" s="12"/>
      <c r="I3045" s="12"/>
      <c r="J3045" s="12"/>
      <c r="K3045" s="12"/>
      <c r="L3045" s="12"/>
      <c r="M3045" s="11"/>
      <c r="N3045" s="11"/>
      <c r="O3045" s="11"/>
      <c r="P3045" s="11"/>
    </row>
    <row r="3046" spans="8:16" hidden="1" x14ac:dyDescent="0.25">
      <c r="H3046" s="12"/>
      <c r="I3046" s="12"/>
      <c r="J3046" s="12"/>
      <c r="K3046" s="12"/>
      <c r="L3046" s="12"/>
      <c r="M3046" s="11"/>
      <c r="N3046" s="11"/>
      <c r="O3046" s="11"/>
      <c r="P3046" s="11"/>
    </row>
    <row r="3047" spans="8:16" hidden="1" x14ac:dyDescent="0.25">
      <c r="H3047" s="12"/>
      <c r="I3047" s="12"/>
      <c r="J3047" s="12"/>
      <c r="K3047" s="12"/>
      <c r="L3047" s="12"/>
      <c r="M3047" s="11"/>
      <c r="N3047" s="11"/>
      <c r="O3047" s="11"/>
      <c r="P3047" s="11"/>
    </row>
    <row r="3048" spans="8:16" hidden="1" x14ac:dyDescent="0.25">
      <c r="H3048" s="12"/>
      <c r="I3048" s="12"/>
      <c r="J3048" s="12"/>
      <c r="K3048" s="12"/>
      <c r="L3048" s="12"/>
      <c r="M3048" s="11"/>
      <c r="N3048" s="11"/>
      <c r="O3048" s="11"/>
      <c r="P3048" s="11"/>
    </row>
    <row r="3049" spans="8:16" hidden="1" x14ac:dyDescent="0.25">
      <c r="H3049" s="12"/>
      <c r="I3049" s="12"/>
      <c r="J3049" s="12"/>
      <c r="K3049" s="12"/>
      <c r="L3049" s="12"/>
      <c r="M3049" s="11"/>
      <c r="N3049" s="11"/>
      <c r="O3049" s="11"/>
      <c r="P3049" s="11"/>
    </row>
    <row r="3050" spans="8:16" hidden="1" x14ac:dyDescent="0.25">
      <c r="H3050" s="12"/>
      <c r="I3050" s="12"/>
      <c r="J3050" s="12"/>
      <c r="K3050" s="12"/>
      <c r="L3050" s="12"/>
      <c r="M3050" s="11"/>
      <c r="N3050" s="11"/>
      <c r="O3050" s="11"/>
      <c r="P3050" s="11"/>
    </row>
    <row r="3051" spans="8:16" hidden="1" x14ac:dyDescent="0.25">
      <c r="H3051" s="12"/>
      <c r="I3051" s="12"/>
      <c r="J3051" s="12"/>
      <c r="K3051" s="12"/>
      <c r="L3051" s="12"/>
      <c r="M3051" s="11"/>
      <c r="N3051" s="11"/>
      <c r="O3051" s="11"/>
      <c r="P3051" s="11"/>
    </row>
    <row r="3052" spans="8:16" hidden="1" x14ac:dyDescent="0.25">
      <c r="H3052" s="12"/>
      <c r="I3052" s="12"/>
      <c r="J3052" s="12"/>
      <c r="K3052" s="12"/>
      <c r="L3052" s="12"/>
      <c r="M3052" s="11"/>
      <c r="N3052" s="11"/>
      <c r="O3052" s="11"/>
      <c r="P3052" s="11"/>
    </row>
    <row r="3053" spans="8:16" hidden="1" x14ac:dyDescent="0.25">
      <c r="H3053" s="12"/>
      <c r="I3053" s="12"/>
      <c r="J3053" s="12"/>
      <c r="K3053" s="12"/>
      <c r="L3053" s="12"/>
      <c r="M3053" s="11"/>
      <c r="N3053" s="11"/>
      <c r="O3053" s="11"/>
      <c r="P3053" s="11"/>
    </row>
    <row r="3054" spans="8:16" hidden="1" x14ac:dyDescent="0.25">
      <c r="H3054" s="12"/>
      <c r="I3054" s="12"/>
      <c r="J3054" s="12"/>
      <c r="K3054" s="12"/>
      <c r="L3054" s="12"/>
      <c r="M3054" s="11"/>
      <c r="N3054" s="11"/>
      <c r="O3054" s="11"/>
      <c r="P3054" s="11"/>
    </row>
    <row r="3055" spans="8:16" hidden="1" x14ac:dyDescent="0.25">
      <c r="H3055" s="12"/>
      <c r="I3055" s="12"/>
      <c r="J3055" s="12"/>
      <c r="K3055" s="12"/>
      <c r="L3055" s="12"/>
      <c r="M3055" s="11"/>
      <c r="N3055" s="11"/>
      <c r="O3055" s="11"/>
      <c r="P3055" s="11"/>
    </row>
    <row r="3056" spans="8:16" hidden="1" x14ac:dyDescent="0.25">
      <c r="H3056" s="12"/>
      <c r="I3056" s="12"/>
      <c r="J3056" s="12"/>
      <c r="K3056" s="12"/>
      <c r="L3056" s="12"/>
      <c r="M3056" s="11"/>
      <c r="N3056" s="11"/>
      <c r="O3056" s="11"/>
      <c r="P3056" s="11"/>
    </row>
    <row r="3057" spans="8:16" hidden="1" x14ac:dyDescent="0.25">
      <c r="H3057" s="12"/>
      <c r="I3057" s="12"/>
      <c r="J3057" s="12"/>
      <c r="K3057" s="12"/>
      <c r="L3057" s="12"/>
      <c r="M3057" s="11"/>
      <c r="N3057" s="11"/>
      <c r="O3057" s="11"/>
      <c r="P3057" s="11"/>
    </row>
    <row r="3058" spans="8:16" hidden="1" x14ac:dyDescent="0.25">
      <c r="H3058" s="12"/>
      <c r="I3058" s="12"/>
      <c r="J3058" s="12"/>
      <c r="K3058" s="12"/>
      <c r="L3058" s="12"/>
      <c r="M3058" s="11"/>
      <c r="N3058" s="11"/>
      <c r="O3058" s="11"/>
      <c r="P3058" s="11"/>
    </row>
    <row r="3059" spans="8:16" hidden="1" x14ac:dyDescent="0.25">
      <c r="H3059" s="12"/>
      <c r="I3059" s="12"/>
      <c r="J3059" s="12"/>
      <c r="K3059" s="12"/>
      <c r="L3059" s="12"/>
      <c r="M3059" s="11"/>
      <c r="N3059" s="11"/>
      <c r="O3059" s="11"/>
      <c r="P3059" s="11"/>
    </row>
    <row r="3060" spans="8:16" hidden="1" x14ac:dyDescent="0.25">
      <c r="H3060" s="12"/>
      <c r="I3060" s="12"/>
      <c r="J3060" s="12"/>
      <c r="K3060" s="12"/>
      <c r="L3060" s="12"/>
      <c r="M3060" s="11"/>
      <c r="N3060" s="11"/>
      <c r="O3060" s="11"/>
      <c r="P3060" s="11"/>
    </row>
    <row r="3061" spans="8:16" hidden="1" x14ac:dyDescent="0.25">
      <c r="H3061" s="12"/>
      <c r="I3061" s="12"/>
      <c r="J3061" s="12"/>
      <c r="K3061" s="12"/>
      <c r="L3061" s="12"/>
      <c r="M3061" s="11"/>
      <c r="N3061" s="11"/>
      <c r="O3061" s="11"/>
      <c r="P3061" s="11"/>
    </row>
    <row r="3062" spans="8:16" hidden="1" x14ac:dyDescent="0.25">
      <c r="H3062" s="12"/>
      <c r="I3062" s="12"/>
      <c r="J3062" s="12"/>
      <c r="K3062" s="12"/>
      <c r="L3062" s="12"/>
      <c r="M3062" s="11"/>
      <c r="N3062" s="11"/>
      <c r="O3062" s="11"/>
      <c r="P3062" s="11"/>
    </row>
    <row r="3063" spans="8:16" hidden="1" x14ac:dyDescent="0.25">
      <c r="H3063" s="12"/>
      <c r="I3063" s="12"/>
      <c r="J3063" s="12"/>
      <c r="K3063" s="12"/>
      <c r="L3063" s="12"/>
      <c r="M3063" s="11"/>
      <c r="N3063" s="11"/>
      <c r="O3063" s="11"/>
      <c r="P3063" s="11"/>
    </row>
    <row r="3064" spans="8:16" hidden="1" x14ac:dyDescent="0.25">
      <c r="H3064" s="12"/>
      <c r="I3064" s="12"/>
      <c r="J3064" s="12"/>
      <c r="K3064" s="12"/>
      <c r="L3064" s="12"/>
      <c r="M3064" s="11"/>
      <c r="N3064" s="11"/>
      <c r="O3064" s="11"/>
      <c r="P3064" s="11"/>
    </row>
    <row r="3065" spans="8:16" hidden="1" x14ac:dyDescent="0.25">
      <c r="H3065" s="12"/>
      <c r="I3065" s="12"/>
      <c r="J3065" s="12"/>
      <c r="K3065" s="12"/>
      <c r="L3065" s="12"/>
      <c r="M3065" s="11"/>
      <c r="N3065" s="11"/>
      <c r="O3065" s="11"/>
      <c r="P3065" s="11"/>
    </row>
    <row r="3066" spans="8:16" hidden="1" x14ac:dyDescent="0.25">
      <c r="H3066" s="12"/>
      <c r="I3066" s="12"/>
      <c r="J3066" s="12"/>
      <c r="K3066" s="12"/>
      <c r="L3066" s="12"/>
      <c r="M3066" s="11"/>
      <c r="N3066" s="11"/>
      <c r="O3066" s="11"/>
      <c r="P3066" s="11"/>
    </row>
    <row r="3067" spans="8:16" hidden="1" x14ac:dyDescent="0.25">
      <c r="H3067" s="12"/>
      <c r="I3067" s="12"/>
      <c r="J3067" s="12"/>
      <c r="K3067" s="12"/>
      <c r="L3067" s="12"/>
      <c r="M3067" s="11"/>
      <c r="N3067" s="11"/>
      <c r="O3067" s="11"/>
      <c r="P3067" s="11"/>
    </row>
    <row r="3068" spans="8:16" hidden="1" x14ac:dyDescent="0.25">
      <c r="H3068" s="12"/>
      <c r="I3068" s="12"/>
      <c r="J3068" s="12"/>
      <c r="K3068" s="12"/>
      <c r="L3068" s="12"/>
      <c r="M3068" s="11"/>
      <c r="N3068" s="11"/>
      <c r="O3068" s="11"/>
      <c r="P3068" s="11"/>
    </row>
    <row r="3069" spans="8:16" hidden="1" x14ac:dyDescent="0.25">
      <c r="H3069" s="12"/>
      <c r="I3069" s="12"/>
      <c r="J3069" s="12"/>
      <c r="K3069" s="12"/>
      <c r="L3069" s="12"/>
      <c r="M3069" s="11"/>
      <c r="N3069" s="11"/>
      <c r="O3069" s="11"/>
      <c r="P3069" s="11"/>
    </row>
    <row r="3070" spans="8:16" hidden="1" x14ac:dyDescent="0.25">
      <c r="H3070" s="12"/>
      <c r="I3070" s="12"/>
      <c r="J3070" s="12"/>
      <c r="K3070" s="12"/>
      <c r="L3070" s="12"/>
      <c r="M3070" s="11"/>
      <c r="N3070" s="11"/>
      <c r="O3070" s="11"/>
      <c r="P3070" s="11"/>
    </row>
    <row r="3071" spans="8:16" hidden="1" x14ac:dyDescent="0.25">
      <c r="H3071" s="12"/>
      <c r="I3071" s="12"/>
      <c r="J3071" s="12"/>
      <c r="K3071" s="12"/>
      <c r="L3071" s="12"/>
      <c r="M3071" s="11"/>
      <c r="N3071" s="11"/>
      <c r="O3071" s="11"/>
      <c r="P3071" s="11"/>
    </row>
    <row r="3072" spans="8:16" hidden="1" x14ac:dyDescent="0.25">
      <c r="H3072" s="12"/>
      <c r="I3072" s="12"/>
      <c r="J3072" s="12"/>
      <c r="K3072" s="12"/>
      <c r="L3072" s="12"/>
      <c r="M3072" s="11"/>
      <c r="N3072" s="11"/>
      <c r="O3072" s="11"/>
      <c r="P3072" s="11"/>
    </row>
    <row r="3073" spans="8:16" hidden="1" x14ac:dyDescent="0.25">
      <c r="H3073" s="12"/>
      <c r="I3073" s="12"/>
      <c r="J3073" s="12"/>
      <c r="K3073" s="12"/>
      <c r="L3073" s="12"/>
      <c r="M3073" s="11"/>
      <c r="N3073" s="11"/>
      <c r="O3073" s="11"/>
      <c r="P3073" s="11"/>
    </row>
    <row r="3074" spans="8:16" hidden="1" x14ac:dyDescent="0.25">
      <c r="H3074" s="12"/>
      <c r="I3074" s="12"/>
      <c r="J3074" s="12"/>
      <c r="K3074" s="12"/>
      <c r="L3074" s="12"/>
      <c r="M3074" s="11"/>
      <c r="N3074" s="11"/>
      <c r="O3074" s="11"/>
      <c r="P3074" s="11"/>
    </row>
    <row r="3075" spans="8:16" hidden="1" x14ac:dyDescent="0.25">
      <c r="H3075" s="12"/>
      <c r="I3075" s="12"/>
      <c r="J3075" s="12"/>
      <c r="K3075" s="12"/>
      <c r="L3075" s="12"/>
      <c r="M3075" s="11"/>
      <c r="N3075" s="11"/>
      <c r="O3075" s="11"/>
      <c r="P3075" s="11"/>
    </row>
    <row r="3076" spans="8:16" hidden="1" x14ac:dyDescent="0.25">
      <c r="H3076" s="12"/>
      <c r="I3076" s="12"/>
      <c r="J3076" s="12"/>
      <c r="K3076" s="12"/>
      <c r="L3076" s="12"/>
      <c r="M3076" s="11"/>
      <c r="N3076" s="11"/>
      <c r="O3076" s="11"/>
      <c r="P3076" s="11"/>
    </row>
    <row r="3077" spans="8:16" hidden="1" x14ac:dyDescent="0.25">
      <c r="H3077" s="12"/>
      <c r="I3077" s="12"/>
      <c r="J3077" s="12"/>
      <c r="K3077" s="12"/>
      <c r="L3077" s="12"/>
      <c r="M3077" s="11"/>
      <c r="N3077" s="11"/>
      <c r="O3077" s="11"/>
      <c r="P3077" s="11"/>
    </row>
    <row r="3078" spans="8:16" hidden="1" x14ac:dyDescent="0.25">
      <c r="H3078" s="12"/>
      <c r="I3078" s="12"/>
      <c r="J3078" s="12"/>
      <c r="K3078" s="12"/>
      <c r="L3078" s="12"/>
      <c r="M3078" s="11"/>
      <c r="N3078" s="11"/>
      <c r="O3078" s="11"/>
      <c r="P3078" s="11"/>
    </row>
    <row r="3079" spans="8:16" hidden="1" x14ac:dyDescent="0.25">
      <c r="H3079" s="12"/>
      <c r="I3079" s="12"/>
      <c r="J3079" s="12"/>
      <c r="K3079" s="12"/>
      <c r="L3079" s="12"/>
      <c r="M3079" s="11"/>
      <c r="N3079" s="11"/>
      <c r="O3079" s="11"/>
      <c r="P3079" s="11"/>
    </row>
    <row r="3080" spans="8:16" hidden="1" x14ac:dyDescent="0.25">
      <c r="H3080" s="12"/>
      <c r="I3080" s="12"/>
      <c r="J3080" s="12"/>
      <c r="K3080" s="12"/>
      <c r="L3080" s="12"/>
      <c r="M3080" s="11"/>
      <c r="N3080" s="11"/>
      <c r="O3080" s="11"/>
      <c r="P3080" s="11"/>
    </row>
    <row r="3081" spans="8:16" hidden="1" x14ac:dyDescent="0.25">
      <c r="H3081" s="12"/>
      <c r="I3081" s="12"/>
      <c r="J3081" s="12"/>
      <c r="K3081" s="12"/>
      <c r="L3081" s="12"/>
      <c r="M3081" s="11"/>
      <c r="N3081" s="11"/>
      <c r="O3081" s="11"/>
      <c r="P3081" s="11"/>
    </row>
    <row r="3082" spans="8:16" hidden="1" x14ac:dyDescent="0.25">
      <c r="H3082" s="12"/>
      <c r="I3082" s="12"/>
      <c r="J3082" s="12"/>
      <c r="K3082" s="12"/>
      <c r="L3082" s="12"/>
      <c r="M3082" s="11"/>
      <c r="N3082" s="11"/>
      <c r="O3082" s="11"/>
      <c r="P3082" s="11"/>
    </row>
    <row r="3083" spans="8:16" hidden="1" x14ac:dyDescent="0.25">
      <c r="H3083" s="12"/>
      <c r="I3083" s="12"/>
      <c r="J3083" s="12"/>
      <c r="K3083" s="12"/>
      <c r="L3083" s="12"/>
      <c r="M3083" s="11"/>
      <c r="N3083" s="11"/>
      <c r="O3083" s="11"/>
      <c r="P3083" s="11"/>
    </row>
    <row r="3084" spans="8:16" hidden="1" x14ac:dyDescent="0.25">
      <c r="H3084" s="12"/>
      <c r="I3084" s="12"/>
      <c r="J3084" s="12"/>
      <c r="K3084" s="12"/>
      <c r="L3084" s="12"/>
      <c r="M3084" s="11"/>
      <c r="N3084" s="11"/>
      <c r="O3084" s="11"/>
      <c r="P3084" s="11"/>
    </row>
    <row r="3085" spans="8:16" hidden="1" x14ac:dyDescent="0.25">
      <c r="H3085" s="12"/>
      <c r="I3085" s="12"/>
      <c r="J3085" s="12"/>
      <c r="K3085" s="12"/>
      <c r="L3085" s="12"/>
      <c r="M3085" s="11"/>
      <c r="N3085" s="11"/>
      <c r="O3085" s="11"/>
      <c r="P3085" s="11"/>
    </row>
    <row r="3086" spans="8:16" hidden="1" x14ac:dyDescent="0.25">
      <c r="H3086" s="12"/>
      <c r="I3086" s="12"/>
      <c r="J3086" s="12"/>
      <c r="K3086" s="12"/>
      <c r="L3086" s="12"/>
      <c r="M3086" s="11"/>
      <c r="N3086" s="11"/>
      <c r="O3086" s="11"/>
      <c r="P3086" s="11"/>
    </row>
    <row r="3087" spans="8:16" hidden="1" x14ac:dyDescent="0.25">
      <c r="H3087" s="12"/>
      <c r="I3087" s="12"/>
      <c r="J3087" s="12"/>
      <c r="K3087" s="12"/>
      <c r="L3087" s="12"/>
      <c r="M3087" s="11"/>
      <c r="N3087" s="11"/>
      <c r="O3087" s="11"/>
      <c r="P3087" s="11"/>
    </row>
    <row r="3088" spans="8:16" hidden="1" x14ac:dyDescent="0.25">
      <c r="H3088" s="12"/>
      <c r="I3088" s="12"/>
      <c r="J3088" s="12"/>
      <c r="K3088" s="12"/>
      <c r="L3088" s="12"/>
      <c r="M3088" s="11"/>
      <c r="N3088" s="11"/>
      <c r="O3088" s="11"/>
      <c r="P3088" s="11"/>
    </row>
    <row r="3089" spans="8:16" hidden="1" x14ac:dyDescent="0.25">
      <c r="H3089" s="12"/>
      <c r="I3089" s="12"/>
      <c r="J3089" s="12"/>
      <c r="K3089" s="12"/>
      <c r="L3089" s="12"/>
      <c r="M3089" s="11"/>
      <c r="N3089" s="11"/>
      <c r="O3089" s="11"/>
      <c r="P3089" s="11"/>
    </row>
    <row r="3090" spans="8:16" hidden="1" x14ac:dyDescent="0.25">
      <c r="H3090" s="12"/>
      <c r="I3090" s="12"/>
      <c r="J3090" s="12"/>
      <c r="K3090" s="12"/>
      <c r="L3090" s="12"/>
      <c r="M3090" s="11"/>
      <c r="N3090" s="11"/>
      <c r="O3090" s="11"/>
      <c r="P3090" s="11"/>
    </row>
    <row r="3091" spans="8:16" hidden="1" x14ac:dyDescent="0.25">
      <c r="H3091" s="12"/>
      <c r="I3091" s="12"/>
      <c r="J3091" s="12"/>
      <c r="K3091" s="12"/>
      <c r="L3091" s="12"/>
      <c r="M3091" s="11"/>
      <c r="N3091" s="11"/>
      <c r="O3091" s="11"/>
      <c r="P3091" s="11"/>
    </row>
    <row r="3092" spans="8:16" hidden="1" x14ac:dyDescent="0.25">
      <c r="H3092" s="12"/>
      <c r="I3092" s="12"/>
      <c r="J3092" s="12"/>
      <c r="K3092" s="12"/>
      <c r="L3092" s="12"/>
      <c r="M3092" s="11"/>
      <c r="N3092" s="11"/>
      <c r="O3092" s="11"/>
      <c r="P3092" s="11"/>
    </row>
    <row r="3093" spans="8:16" hidden="1" x14ac:dyDescent="0.25">
      <c r="H3093" s="12"/>
      <c r="I3093" s="12"/>
      <c r="J3093" s="12"/>
      <c r="K3093" s="12"/>
      <c r="L3093" s="12"/>
      <c r="M3093" s="11"/>
      <c r="N3093" s="11"/>
      <c r="O3093" s="11"/>
      <c r="P3093" s="11"/>
    </row>
    <row r="3094" spans="8:16" hidden="1" x14ac:dyDescent="0.25">
      <c r="H3094" s="12"/>
      <c r="I3094" s="12"/>
      <c r="J3094" s="12"/>
      <c r="K3094" s="12"/>
      <c r="L3094" s="12"/>
      <c r="M3094" s="11"/>
      <c r="N3094" s="11"/>
      <c r="O3094" s="11"/>
      <c r="P3094" s="11"/>
    </row>
    <row r="3095" spans="8:16" hidden="1" x14ac:dyDescent="0.25">
      <c r="H3095" s="12"/>
      <c r="I3095" s="12"/>
      <c r="J3095" s="12"/>
      <c r="K3095" s="12"/>
      <c r="L3095" s="12"/>
      <c r="M3095" s="11"/>
      <c r="N3095" s="11"/>
      <c r="O3095" s="11"/>
      <c r="P3095" s="11"/>
    </row>
    <row r="3096" spans="8:16" hidden="1" x14ac:dyDescent="0.25">
      <c r="H3096" s="12"/>
      <c r="I3096" s="12"/>
      <c r="J3096" s="12"/>
      <c r="K3096" s="12"/>
      <c r="L3096" s="12"/>
      <c r="M3096" s="11"/>
      <c r="N3096" s="11"/>
      <c r="O3096" s="11"/>
      <c r="P3096" s="11"/>
    </row>
    <row r="3097" spans="8:16" hidden="1" x14ac:dyDescent="0.25">
      <c r="H3097" s="12"/>
      <c r="I3097" s="12"/>
      <c r="J3097" s="12"/>
      <c r="K3097" s="12"/>
      <c r="L3097" s="12"/>
      <c r="M3097" s="11"/>
      <c r="N3097" s="11"/>
      <c r="O3097" s="11"/>
      <c r="P3097" s="11"/>
    </row>
    <row r="3098" spans="8:16" hidden="1" x14ac:dyDescent="0.25">
      <c r="H3098" s="12"/>
      <c r="I3098" s="12"/>
      <c r="J3098" s="12"/>
      <c r="K3098" s="12"/>
      <c r="L3098" s="12"/>
      <c r="M3098" s="11"/>
      <c r="N3098" s="11"/>
      <c r="O3098" s="11"/>
      <c r="P3098" s="11"/>
    </row>
    <row r="3099" spans="8:16" hidden="1" x14ac:dyDescent="0.25">
      <c r="H3099" s="12"/>
      <c r="I3099" s="12"/>
      <c r="J3099" s="12"/>
      <c r="K3099" s="12"/>
      <c r="L3099" s="12"/>
      <c r="M3099" s="11"/>
      <c r="N3099" s="11"/>
      <c r="O3099" s="11"/>
      <c r="P3099" s="11"/>
    </row>
    <row r="3100" spans="8:16" hidden="1" x14ac:dyDescent="0.25">
      <c r="H3100" s="12"/>
      <c r="I3100" s="12"/>
      <c r="J3100" s="12"/>
      <c r="K3100" s="12"/>
      <c r="L3100" s="12"/>
      <c r="M3100" s="11"/>
      <c r="N3100" s="11"/>
      <c r="O3100" s="11"/>
      <c r="P3100" s="11"/>
    </row>
    <row r="3101" spans="8:16" hidden="1" x14ac:dyDescent="0.25">
      <c r="H3101" s="12"/>
      <c r="I3101" s="12"/>
      <c r="J3101" s="12"/>
      <c r="K3101" s="12"/>
      <c r="L3101" s="12"/>
      <c r="M3101" s="11"/>
      <c r="N3101" s="11"/>
      <c r="O3101" s="11"/>
      <c r="P3101" s="11"/>
    </row>
    <row r="3102" spans="8:16" hidden="1" x14ac:dyDescent="0.25">
      <c r="H3102" s="12"/>
      <c r="I3102" s="12"/>
      <c r="J3102" s="12"/>
      <c r="K3102" s="12"/>
      <c r="L3102" s="12"/>
      <c r="M3102" s="11"/>
      <c r="N3102" s="11"/>
      <c r="O3102" s="11"/>
      <c r="P3102" s="11"/>
    </row>
    <row r="3103" spans="8:16" hidden="1" x14ac:dyDescent="0.25">
      <c r="H3103" s="12"/>
      <c r="I3103" s="12"/>
      <c r="J3103" s="12"/>
      <c r="K3103" s="12"/>
      <c r="L3103" s="12"/>
      <c r="M3103" s="11"/>
      <c r="N3103" s="11"/>
      <c r="O3103" s="11"/>
      <c r="P3103" s="11"/>
    </row>
    <row r="3104" spans="8:16" hidden="1" x14ac:dyDescent="0.25">
      <c r="H3104" s="12"/>
      <c r="I3104" s="12"/>
      <c r="J3104" s="12"/>
      <c r="K3104" s="12"/>
      <c r="L3104" s="12"/>
      <c r="M3104" s="11"/>
      <c r="N3104" s="11"/>
      <c r="O3104" s="11"/>
      <c r="P3104" s="11"/>
    </row>
    <row r="3105" spans="8:16" hidden="1" x14ac:dyDescent="0.25">
      <c r="H3105" s="12"/>
      <c r="I3105" s="12"/>
      <c r="J3105" s="12"/>
      <c r="K3105" s="12"/>
      <c r="L3105" s="12"/>
      <c r="M3105" s="11"/>
      <c r="N3105" s="11"/>
      <c r="O3105" s="11"/>
      <c r="P3105" s="11"/>
    </row>
    <row r="3106" spans="8:16" hidden="1" x14ac:dyDescent="0.25">
      <c r="H3106" s="12"/>
      <c r="I3106" s="12"/>
      <c r="J3106" s="12"/>
      <c r="K3106" s="12"/>
      <c r="L3106" s="12"/>
      <c r="M3106" s="11"/>
      <c r="N3106" s="11"/>
      <c r="O3106" s="11"/>
      <c r="P3106" s="11"/>
    </row>
    <row r="3107" spans="8:16" hidden="1" x14ac:dyDescent="0.25">
      <c r="H3107" s="12"/>
      <c r="I3107" s="12"/>
      <c r="J3107" s="12"/>
      <c r="K3107" s="12"/>
      <c r="L3107" s="12"/>
      <c r="M3107" s="11"/>
      <c r="N3107" s="11"/>
      <c r="O3107" s="11"/>
      <c r="P3107" s="11"/>
    </row>
    <row r="3108" spans="8:16" hidden="1" x14ac:dyDescent="0.25">
      <c r="H3108" s="12"/>
      <c r="I3108" s="12"/>
      <c r="J3108" s="12"/>
      <c r="K3108" s="12"/>
      <c r="L3108" s="12"/>
      <c r="M3108" s="11"/>
      <c r="N3108" s="11"/>
      <c r="O3108" s="11"/>
      <c r="P3108" s="11"/>
    </row>
    <row r="3109" spans="8:16" hidden="1" x14ac:dyDescent="0.25">
      <c r="H3109" s="12"/>
      <c r="I3109" s="12"/>
      <c r="J3109" s="12"/>
      <c r="K3109" s="12"/>
      <c r="L3109" s="12"/>
      <c r="M3109" s="11"/>
      <c r="N3109" s="11"/>
      <c r="O3109" s="11"/>
      <c r="P3109" s="11"/>
    </row>
    <row r="3110" spans="8:16" hidden="1" x14ac:dyDescent="0.25">
      <c r="H3110" s="12"/>
      <c r="I3110" s="12"/>
      <c r="J3110" s="12"/>
      <c r="K3110" s="12"/>
      <c r="L3110" s="12"/>
      <c r="M3110" s="11"/>
      <c r="N3110" s="11"/>
      <c r="O3110" s="11"/>
      <c r="P3110" s="11"/>
    </row>
    <row r="3111" spans="8:16" hidden="1" x14ac:dyDescent="0.25">
      <c r="H3111" s="12"/>
      <c r="I3111" s="12"/>
      <c r="J3111" s="12"/>
      <c r="K3111" s="12"/>
      <c r="L3111" s="12"/>
      <c r="M3111" s="11"/>
      <c r="N3111" s="11"/>
      <c r="O3111" s="11"/>
      <c r="P3111" s="11"/>
    </row>
    <row r="3112" spans="8:16" hidden="1" x14ac:dyDescent="0.25">
      <c r="H3112" s="12"/>
      <c r="I3112" s="12"/>
      <c r="J3112" s="12"/>
      <c r="K3112" s="12"/>
      <c r="L3112" s="12"/>
      <c r="M3112" s="11"/>
      <c r="N3112" s="11"/>
      <c r="O3112" s="11"/>
      <c r="P3112" s="11"/>
    </row>
    <row r="3113" spans="8:16" hidden="1" x14ac:dyDescent="0.25">
      <c r="H3113" s="12"/>
      <c r="I3113" s="12"/>
      <c r="J3113" s="12"/>
      <c r="K3113" s="12"/>
      <c r="L3113" s="12"/>
      <c r="M3113" s="11"/>
      <c r="N3113" s="11"/>
      <c r="O3113" s="11"/>
      <c r="P3113" s="11"/>
    </row>
    <row r="3114" spans="8:16" hidden="1" x14ac:dyDescent="0.25">
      <c r="H3114" s="12"/>
      <c r="I3114" s="12"/>
      <c r="J3114" s="12"/>
      <c r="K3114" s="12"/>
      <c r="L3114" s="12"/>
      <c r="M3114" s="11"/>
      <c r="N3114" s="11"/>
      <c r="O3114" s="11"/>
      <c r="P3114" s="11"/>
    </row>
    <row r="3115" spans="8:16" hidden="1" x14ac:dyDescent="0.25">
      <c r="H3115" s="12"/>
      <c r="I3115" s="12"/>
      <c r="J3115" s="12"/>
      <c r="K3115" s="12"/>
      <c r="L3115" s="12"/>
      <c r="M3115" s="11"/>
      <c r="N3115" s="11"/>
      <c r="O3115" s="11"/>
      <c r="P3115" s="11"/>
    </row>
    <row r="3116" spans="8:16" hidden="1" x14ac:dyDescent="0.25">
      <c r="H3116" s="12"/>
      <c r="I3116" s="12"/>
      <c r="J3116" s="12"/>
      <c r="K3116" s="12"/>
      <c r="L3116" s="12"/>
      <c r="M3116" s="11"/>
      <c r="N3116" s="11"/>
      <c r="O3116" s="11"/>
      <c r="P3116" s="11"/>
    </row>
    <row r="3117" spans="8:16" hidden="1" x14ac:dyDescent="0.25">
      <c r="H3117" s="12"/>
      <c r="I3117" s="12"/>
      <c r="J3117" s="12"/>
      <c r="K3117" s="12"/>
      <c r="L3117" s="12"/>
      <c r="M3117" s="11"/>
      <c r="N3117" s="11"/>
      <c r="O3117" s="11"/>
      <c r="P3117" s="11"/>
    </row>
    <row r="3118" spans="8:16" hidden="1" x14ac:dyDescent="0.25">
      <c r="H3118" s="12"/>
      <c r="I3118" s="12"/>
      <c r="J3118" s="12"/>
      <c r="K3118" s="12"/>
      <c r="L3118" s="12"/>
      <c r="M3118" s="11"/>
      <c r="N3118" s="11"/>
      <c r="O3118" s="11"/>
      <c r="P3118" s="11"/>
    </row>
    <row r="3119" spans="8:16" hidden="1" x14ac:dyDescent="0.25">
      <c r="H3119" s="12"/>
      <c r="I3119" s="12"/>
      <c r="J3119" s="12"/>
      <c r="K3119" s="12"/>
      <c r="L3119" s="12"/>
      <c r="M3119" s="11"/>
      <c r="N3119" s="11"/>
      <c r="O3119" s="11"/>
      <c r="P3119" s="11"/>
    </row>
    <row r="3120" spans="8:16" hidden="1" x14ac:dyDescent="0.25">
      <c r="H3120" s="12"/>
      <c r="I3120" s="12"/>
      <c r="J3120" s="12"/>
      <c r="K3120" s="12"/>
      <c r="L3120" s="12"/>
      <c r="M3120" s="11"/>
      <c r="N3120" s="11"/>
      <c r="O3120" s="11"/>
      <c r="P3120" s="11"/>
    </row>
    <row r="3121" spans="8:16" hidden="1" x14ac:dyDescent="0.25">
      <c r="H3121" s="12"/>
      <c r="I3121" s="12"/>
      <c r="J3121" s="12"/>
      <c r="K3121" s="12"/>
      <c r="L3121" s="12"/>
      <c r="M3121" s="11"/>
      <c r="N3121" s="11"/>
      <c r="O3121" s="11"/>
      <c r="P3121" s="11"/>
    </row>
    <row r="3122" spans="8:16" hidden="1" x14ac:dyDescent="0.25">
      <c r="H3122" s="12"/>
      <c r="I3122" s="12"/>
      <c r="J3122" s="12"/>
      <c r="K3122" s="12"/>
      <c r="L3122" s="12"/>
      <c r="M3122" s="11"/>
      <c r="N3122" s="11"/>
      <c r="O3122" s="11"/>
      <c r="P3122" s="11"/>
    </row>
    <row r="3123" spans="8:16" hidden="1" x14ac:dyDescent="0.25">
      <c r="H3123" s="12"/>
      <c r="I3123" s="12"/>
      <c r="J3123" s="12"/>
      <c r="K3123" s="12"/>
      <c r="L3123" s="12"/>
      <c r="M3123" s="11"/>
      <c r="N3123" s="11"/>
      <c r="O3123" s="11"/>
      <c r="P3123" s="11"/>
    </row>
    <row r="3124" spans="8:16" hidden="1" x14ac:dyDescent="0.25">
      <c r="H3124" s="12"/>
      <c r="I3124" s="12"/>
      <c r="J3124" s="12"/>
      <c r="K3124" s="12"/>
      <c r="L3124" s="12"/>
      <c r="M3124" s="11"/>
      <c r="N3124" s="11"/>
      <c r="O3124" s="11"/>
      <c r="P3124" s="11"/>
    </row>
    <row r="3125" spans="8:16" hidden="1" x14ac:dyDescent="0.25">
      <c r="H3125" s="12"/>
      <c r="I3125" s="12"/>
      <c r="J3125" s="12"/>
      <c r="K3125" s="12"/>
      <c r="L3125" s="12"/>
      <c r="M3125" s="11"/>
      <c r="N3125" s="11"/>
      <c r="O3125" s="11"/>
      <c r="P3125" s="11"/>
    </row>
    <row r="3126" spans="8:16" hidden="1" x14ac:dyDescent="0.25">
      <c r="H3126" s="12"/>
      <c r="I3126" s="12"/>
      <c r="J3126" s="12"/>
      <c r="K3126" s="12"/>
      <c r="L3126" s="12"/>
      <c r="M3126" s="11"/>
      <c r="N3126" s="11"/>
      <c r="O3126" s="11"/>
      <c r="P3126" s="11"/>
    </row>
    <row r="3127" spans="8:16" hidden="1" x14ac:dyDescent="0.25">
      <c r="H3127" s="12"/>
      <c r="I3127" s="12"/>
      <c r="J3127" s="12"/>
      <c r="K3127" s="12"/>
      <c r="L3127" s="12"/>
      <c r="M3127" s="11"/>
      <c r="N3127" s="11"/>
      <c r="O3127" s="11"/>
      <c r="P3127" s="11"/>
    </row>
    <row r="3128" spans="8:16" hidden="1" x14ac:dyDescent="0.25">
      <c r="H3128" s="12"/>
      <c r="I3128" s="12"/>
      <c r="J3128" s="12"/>
      <c r="K3128" s="12"/>
      <c r="L3128" s="12"/>
      <c r="M3128" s="11"/>
      <c r="N3128" s="11"/>
      <c r="O3128" s="11"/>
      <c r="P3128" s="11"/>
    </row>
    <row r="3129" spans="8:16" hidden="1" x14ac:dyDescent="0.25">
      <c r="H3129" s="12"/>
      <c r="I3129" s="12"/>
      <c r="J3129" s="12"/>
      <c r="K3129" s="12"/>
      <c r="L3129" s="12"/>
      <c r="M3129" s="11"/>
      <c r="N3129" s="11"/>
      <c r="O3129" s="11"/>
      <c r="P3129" s="11"/>
    </row>
    <row r="3130" spans="8:16" hidden="1" x14ac:dyDescent="0.25">
      <c r="H3130" s="12"/>
      <c r="I3130" s="12"/>
      <c r="J3130" s="12"/>
      <c r="K3130" s="12"/>
      <c r="L3130" s="12"/>
      <c r="M3130" s="11"/>
      <c r="N3130" s="11"/>
      <c r="O3130" s="11"/>
      <c r="P3130" s="11"/>
    </row>
    <row r="3131" spans="8:16" hidden="1" x14ac:dyDescent="0.25">
      <c r="H3131" s="12"/>
      <c r="I3131" s="12"/>
      <c r="J3131" s="12"/>
      <c r="K3131" s="12"/>
      <c r="L3131" s="12"/>
      <c r="M3131" s="11"/>
      <c r="N3131" s="11"/>
      <c r="O3131" s="11"/>
      <c r="P3131" s="11"/>
    </row>
    <row r="3132" spans="8:16" hidden="1" x14ac:dyDescent="0.25">
      <c r="H3132" s="12"/>
      <c r="I3132" s="12"/>
      <c r="J3132" s="12"/>
      <c r="K3132" s="12"/>
      <c r="L3132" s="12"/>
      <c r="M3132" s="11"/>
      <c r="N3132" s="11"/>
      <c r="O3132" s="11"/>
      <c r="P3132" s="11"/>
    </row>
    <row r="3133" spans="8:16" hidden="1" x14ac:dyDescent="0.25">
      <c r="H3133" s="12"/>
      <c r="I3133" s="12"/>
      <c r="J3133" s="12"/>
      <c r="K3133" s="12"/>
      <c r="L3133" s="12"/>
      <c r="M3133" s="11"/>
      <c r="N3133" s="11"/>
      <c r="O3133" s="11"/>
      <c r="P3133" s="11"/>
    </row>
    <row r="3134" spans="8:16" hidden="1" x14ac:dyDescent="0.25">
      <c r="H3134" s="12"/>
      <c r="I3134" s="12"/>
      <c r="J3134" s="12"/>
      <c r="K3134" s="12"/>
      <c r="L3134" s="12"/>
      <c r="M3134" s="11"/>
      <c r="N3134" s="11"/>
      <c r="O3134" s="11"/>
      <c r="P3134" s="11"/>
    </row>
    <row r="3135" spans="8:16" hidden="1" x14ac:dyDescent="0.25">
      <c r="H3135" s="12"/>
      <c r="I3135" s="12"/>
      <c r="J3135" s="12"/>
      <c r="K3135" s="12"/>
      <c r="L3135" s="12"/>
      <c r="M3135" s="11"/>
      <c r="N3135" s="11"/>
      <c r="O3135" s="11"/>
      <c r="P3135" s="11"/>
    </row>
    <row r="3136" spans="8:16" hidden="1" x14ac:dyDescent="0.25">
      <c r="H3136" s="12"/>
      <c r="I3136" s="12"/>
      <c r="J3136" s="12"/>
      <c r="K3136" s="12"/>
      <c r="L3136" s="12"/>
      <c r="M3136" s="11"/>
      <c r="N3136" s="11"/>
      <c r="O3136" s="11"/>
      <c r="P3136" s="11"/>
    </row>
    <row r="3137" spans="8:16" hidden="1" x14ac:dyDescent="0.25">
      <c r="H3137" s="12"/>
      <c r="I3137" s="12"/>
      <c r="J3137" s="12"/>
      <c r="K3137" s="12"/>
      <c r="L3137" s="12"/>
      <c r="M3137" s="11"/>
      <c r="N3137" s="11"/>
      <c r="O3137" s="11"/>
      <c r="P3137" s="11"/>
    </row>
    <row r="3138" spans="8:16" hidden="1" x14ac:dyDescent="0.25">
      <c r="H3138" s="12"/>
      <c r="I3138" s="12"/>
      <c r="J3138" s="12"/>
      <c r="K3138" s="12"/>
      <c r="L3138" s="12"/>
      <c r="M3138" s="11"/>
      <c r="N3138" s="11"/>
      <c r="O3138" s="11"/>
      <c r="P3138" s="11"/>
    </row>
    <row r="3139" spans="8:16" hidden="1" x14ac:dyDescent="0.25">
      <c r="H3139" s="12"/>
      <c r="I3139" s="12"/>
      <c r="J3139" s="12"/>
      <c r="K3139" s="12"/>
      <c r="L3139" s="12"/>
      <c r="M3139" s="11"/>
      <c r="N3139" s="11"/>
      <c r="O3139" s="11"/>
      <c r="P3139" s="11"/>
    </row>
    <row r="3140" spans="8:16" hidden="1" x14ac:dyDescent="0.25">
      <c r="H3140" s="12"/>
      <c r="I3140" s="12"/>
      <c r="J3140" s="12"/>
      <c r="K3140" s="12"/>
      <c r="L3140" s="12"/>
      <c r="M3140" s="11"/>
      <c r="N3140" s="11"/>
      <c r="O3140" s="11"/>
      <c r="P3140" s="11"/>
    </row>
    <row r="3141" spans="8:16" hidden="1" x14ac:dyDescent="0.25">
      <c r="H3141" s="12"/>
      <c r="I3141" s="12"/>
      <c r="J3141" s="12"/>
      <c r="K3141" s="12"/>
      <c r="L3141" s="12"/>
      <c r="M3141" s="11"/>
      <c r="N3141" s="11"/>
      <c r="O3141" s="11"/>
      <c r="P3141" s="11"/>
    </row>
    <row r="3142" spans="8:16" hidden="1" x14ac:dyDescent="0.25">
      <c r="H3142" s="12"/>
      <c r="I3142" s="12"/>
      <c r="J3142" s="12"/>
      <c r="K3142" s="12"/>
      <c r="L3142" s="12"/>
      <c r="M3142" s="11"/>
      <c r="N3142" s="11"/>
      <c r="O3142" s="11"/>
      <c r="P3142" s="11"/>
    </row>
    <row r="3143" spans="8:16" hidden="1" x14ac:dyDescent="0.25">
      <c r="H3143" s="12"/>
      <c r="I3143" s="12"/>
      <c r="J3143" s="12"/>
      <c r="K3143" s="12"/>
      <c r="L3143" s="12"/>
      <c r="M3143" s="11"/>
      <c r="N3143" s="11"/>
      <c r="O3143" s="11"/>
      <c r="P3143" s="11"/>
    </row>
    <row r="3144" spans="8:16" hidden="1" x14ac:dyDescent="0.25">
      <c r="H3144" s="12"/>
      <c r="I3144" s="12"/>
      <c r="J3144" s="12"/>
      <c r="K3144" s="12"/>
      <c r="L3144" s="12"/>
      <c r="M3144" s="11"/>
      <c r="N3144" s="11"/>
      <c r="O3144" s="11"/>
      <c r="P3144" s="11"/>
    </row>
    <row r="3145" spans="8:16" hidden="1" x14ac:dyDescent="0.25">
      <c r="H3145" s="12"/>
      <c r="I3145" s="12"/>
      <c r="J3145" s="12"/>
      <c r="K3145" s="12"/>
      <c r="L3145" s="12"/>
      <c r="M3145" s="11"/>
      <c r="N3145" s="11"/>
      <c r="O3145" s="11"/>
      <c r="P3145" s="11"/>
    </row>
    <row r="3146" spans="8:16" hidden="1" x14ac:dyDescent="0.25">
      <c r="H3146" s="12"/>
      <c r="I3146" s="12"/>
      <c r="J3146" s="12"/>
      <c r="K3146" s="12"/>
      <c r="L3146" s="12"/>
      <c r="M3146" s="11"/>
      <c r="N3146" s="11"/>
      <c r="O3146" s="11"/>
      <c r="P3146" s="11"/>
    </row>
    <row r="3147" spans="8:16" hidden="1" x14ac:dyDescent="0.25">
      <c r="H3147" s="12"/>
      <c r="I3147" s="12"/>
      <c r="J3147" s="12"/>
      <c r="K3147" s="12"/>
      <c r="L3147" s="12"/>
      <c r="M3147" s="11"/>
      <c r="N3147" s="11"/>
      <c r="O3147" s="11"/>
      <c r="P3147" s="11"/>
    </row>
    <row r="3148" spans="8:16" hidden="1" x14ac:dyDescent="0.25">
      <c r="H3148" s="12"/>
      <c r="I3148" s="12"/>
      <c r="J3148" s="12"/>
      <c r="K3148" s="12"/>
      <c r="L3148" s="12"/>
      <c r="M3148" s="11"/>
      <c r="N3148" s="11"/>
      <c r="O3148" s="11"/>
      <c r="P3148" s="11"/>
    </row>
    <row r="3149" spans="8:16" hidden="1" x14ac:dyDescent="0.25">
      <c r="H3149" s="12"/>
      <c r="I3149" s="12"/>
      <c r="J3149" s="12"/>
      <c r="K3149" s="12"/>
      <c r="L3149" s="12"/>
      <c r="M3149" s="11"/>
      <c r="N3149" s="11"/>
      <c r="O3149" s="11"/>
      <c r="P3149" s="11"/>
    </row>
    <row r="3150" spans="8:16" hidden="1" x14ac:dyDescent="0.25">
      <c r="H3150" s="12"/>
      <c r="I3150" s="12"/>
      <c r="J3150" s="12"/>
      <c r="K3150" s="12"/>
      <c r="L3150" s="12"/>
      <c r="M3150" s="11"/>
      <c r="N3150" s="11"/>
      <c r="O3150" s="11"/>
      <c r="P3150" s="11"/>
    </row>
    <row r="3151" spans="8:16" hidden="1" x14ac:dyDescent="0.25">
      <c r="H3151" s="12"/>
      <c r="I3151" s="12"/>
      <c r="J3151" s="12"/>
      <c r="K3151" s="12"/>
      <c r="L3151" s="12"/>
      <c r="M3151" s="11"/>
      <c r="N3151" s="11"/>
      <c r="O3151" s="11"/>
      <c r="P3151" s="11"/>
    </row>
    <row r="3152" spans="8:16" hidden="1" x14ac:dyDescent="0.25">
      <c r="H3152" s="12"/>
      <c r="I3152" s="12"/>
      <c r="J3152" s="12"/>
      <c r="K3152" s="12"/>
      <c r="L3152" s="12"/>
      <c r="M3152" s="11"/>
      <c r="N3152" s="11"/>
      <c r="O3152" s="11"/>
      <c r="P3152" s="11"/>
    </row>
    <row r="3153" spans="8:16" hidden="1" x14ac:dyDescent="0.25">
      <c r="H3153" s="12"/>
      <c r="I3153" s="12"/>
      <c r="J3153" s="12"/>
      <c r="K3153" s="12"/>
      <c r="L3153" s="12"/>
      <c r="M3153" s="11"/>
      <c r="N3153" s="11"/>
      <c r="O3153" s="11"/>
      <c r="P3153" s="11"/>
    </row>
    <row r="3154" spans="8:16" hidden="1" x14ac:dyDescent="0.25">
      <c r="H3154" s="12"/>
      <c r="I3154" s="12"/>
      <c r="J3154" s="12"/>
      <c r="K3154" s="12"/>
      <c r="L3154" s="12"/>
      <c r="M3154" s="11"/>
      <c r="N3154" s="11"/>
      <c r="O3154" s="11"/>
      <c r="P3154" s="11"/>
    </row>
    <row r="3155" spans="8:16" hidden="1" x14ac:dyDescent="0.25">
      <c r="H3155" s="12"/>
      <c r="I3155" s="12"/>
      <c r="J3155" s="12"/>
      <c r="K3155" s="12"/>
      <c r="L3155" s="12"/>
      <c r="M3155" s="11"/>
      <c r="N3155" s="11"/>
      <c r="O3155" s="11"/>
      <c r="P3155" s="11"/>
    </row>
    <row r="3156" spans="8:16" hidden="1" x14ac:dyDescent="0.25">
      <c r="H3156" s="12"/>
      <c r="I3156" s="12"/>
      <c r="J3156" s="12"/>
      <c r="K3156" s="12"/>
      <c r="L3156" s="12"/>
      <c r="M3156" s="11"/>
      <c r="N3156" s="11"/>
      <c r="O3156" s="11"/>
      <c r="P3156" s="11"/>
    </row>
    <row r="3157" spans="8:16" hidden="1" x14ac:dyDescent="0.25">
      <c r="H3157" s="12"/>
      <c r="I3157" s="12"/>
      <c r="J3157" s="12"/>
      <c r="K3157" s="12"/>
      <c r="L3157" s="12"/>
      <c r="M3157" s="11"/>
      <c r="N3157" s="11"/>
      <c r="O3157" s="11"/>
      <c r="P3157" s="11"/>
    </row>
    <row r="3158" spans="8:16" hidden="1" x14ac:dyDescent="0.25">
      <c r="H3158" s="12"/>
      <c r="I3158" s="12"/>
      <c r="J3158" s="12"/>
      <c r="K3158" s="12"/>
      <c r="L3158" s="12"/>
      <c r="M3158" s="11"/>
      <c r="N3158" s="11"/>
      <c r="O3158" s="11"/>
      <c r="P3158" s="11"/>
    </row>
    <row r="3159" spans="8:16" hidden="1" x14ac:dyDescent="0.25">
      <c r="H3159" s="12"/>
      <c r="I3159" s="12"/>
      <c r="J3159" s="12"/>
      <c r="K3159" s="12"/>
      <c r="L3159" s="12"/>
      <c r="M3159" s="11"/>
      <c r="N3159" s="11"/>
      <c r="O3159" s="11"/>
      <c r="P3159" s="11"/>
    </row>
    <row r="3160" spans="8:16" hidden="1" x14ac:dyDescent="0.25">
      <c r="H3160" s="12"/>
      <c r="I3160" s="12"/>
      <c r="J3160" s="12"/>
      <c r="K3160" s="12"/>
      <c r="L3160" s="12"/>
      <c r="M3160" s="11"/>
      <c r="N3160" s="11"/>
      <c r="O3160" s="11"/>
      <c r="P3160" s="11"/>
    </row>
    <row r="3161" spans="8:16" hidden="1" x14ac:dyDescent="0.25">
      <c r="H3161" s="12"/>
      <c r="I3161" s="12"/>
      <c r="J3161" s="12"/>
      <c r="K3161" s="12"/>
      <c r="L3161" s="12"/>
      <c r="M3161" s="11"/>
      <c r="N3161" s="11"/>
      <c r="O3161" s="11"/>
      <c r="P3161" s="11"/>
    </row>
    <row r="3162" spans="8:16" hidden="1" x14ac:dyDescent="0.25">
      <c r="H3162" s="12"/>
      <c r="I3162" s="12"/>
      <c r="J3162" s="12"/>
      <c r="K3162" s="12"/>
      <c r="L3162" s="12"/>
      <c r="M3162" s="11"/>
      <c r="N3162" s="11"/>
      <c r="O3162" s="11"/>
      <c r="P3162" s="11"/>
    </row>
    <row r="3163" spans="8:16" hidden="1" x14ac:dyDescent="0.25">
      <c r="H3163" s="12"/>
      <c r="I3163" s="12"/>
      <c r="J3163" s="12"/>
      <c r="K3163" s="12"/>
      <c r="L3163" s="12"/>
      <c r="M3163" s="11"/>
      <c r="N3163" s="11"/>
      <c r="O3163" s="11"/>
      <c r="P3163" s="11"/>
    </row>
    <row r="3164" spans="8:16" hidden="1" x14ac:dyDescent="0.25">
      <c r="H3164" s="12"/>
      <c r="I3164" s="12"/>
      <c r="J3164" s="12"/>
      <c r="K3164" s="12"/>
      <c r="L3164" s="12"/>
      <c r="M3164" s="11"/>
      <c r="N3164" s="11"/>
      <c r="O3164" s="11"/>
      <c r="P3164" s="11"/>
    </row>
    <row r="3165" spans="8:16" hidden="1" x14ac:dyDescent="0.25">
      <c r="H3165" s="12"/>
      <c r="I3165" s="12"/>
      <c r="J3165" s="12"/>
      <c r="K3165" s="12"/>
      <c r="L3165" s="12"/>
      <c r="M3165" s="11"/>
      <c r="N3165" s="11"/>
      <c r="O3165" s="11"/>
      <c r="P3165" s="11"/>
    </row>
    <row r="3166" spans="8:16" hidden="1" x14ac:dyDescent="0.25">
      <c r="H3166" s="12"/>
      <c r="I3166" s="12"/>
      <c r="J3166" s="12"/>
      <c r="K3166" s="12"/>
      <c r="L3166" s="12"/>
      <c r="M3166" s="11"/>
      <c r="N3166" s="11"/>
      <c r="O3166" s="11"/>
      <c r="P3166" s="11"/>
    </row>
    <row r="3167" spans="8:16" hidden="1" x14ac:dyDescent="0.25">
      <c r="H3167" s="12"/>
      <c r="I3167" s="12"/>
      <c r="J3167" s="12"/>
      <c r="K3167" s="12"/>
      <c r="L3167" s="12"/>
      <c r="M3167" s="11"/>
      <c r="N3167" s="11"/>
      <c r="O3167" s="11"/>
      <c r="P3167" s="11"/>
    </row>
    <row r="3168" spans="8:16" hidden="1" x14ac:dyDescent="0.25">
      <c r="H3168" s="12"/>
      <c r="I3168" s="12"/>
      <c r="J3168" s="12"/>
      <c r="K3168" s="12"/>
      <c r="L3168" s="12"/>
      <c r="M3168" s="11"/>
      <c r="N3168" s="11"/>
      <c r="O3168" s="11"/>
      <c r="P3168" s="11"/>
    </row>
    <row r="3169" spans="8:16" hidden="1" x14ac:dyDescent="0.25">
      <c r="H3169" s="12"/>
      <c r="I3169" s="12"/>
      <c r="J3169" s="12"/>
      <c r="K3169" s="12"/>
      <c r="L3169" s="12"/>
      <c r="M3169" s="11"/>
      <c r="N3169" s="11"/>
      <c r="O3169" s="11"/>
      <c r="P3169" s="11"/>
    </row>
    <row r="3170" spans="8:16" hidden="1" x14ac:dyDescent="0.25">
      <c r="H3170" s="12"/>
      <c r="I3170" s="12"/>
      <c r="J3170" s="12"/>
      <c r="K3170" s="12"/>
      <c r="L3170" s="12"/>
      <c r="M3170" s="11"/>
      <c r="N3170" s="11"/>
      <c r="O3170" s="11"/>
      <c r="P3170" s="11"/>
    </row>
    <row r="3171" spans="8:16" hidden="1" x14ac:dyDescent="0.25">
      <c r="H3171" s="12"/>
      <c r="I3171" s="12"/>
      <c r="J3171" s="12"/>
      <c r="K3171" s="12"/>
      <c r="L3171" s="12"/>
      <c r="M3171" s="11"/>
      <c r="N3171" s="11"/>
      <c r="O3171" s="11"/>
      <c r="P3171" s="11"/>
    </row>
    <row r="3172" spans="8:16" hidden="1" x14ac:dyDescent="0.25">
      <c r="H3172" s="12"/>
      <c r="I3172" s="12"/>
      <c r="J3172" s="12"/>
      <c r="K3172" s="12"/>
      <c r="L3172" s="12"/>
      <c r="M3172" s="11"/>
      <c r="N3172" s="11"/>
      <c r="O3172" s="11"/>
      <c r="P3172" s="11"/>
    </row>
    <row r="3173" spans="8:16" hidden="1" x14ac:dyDescent="0.25">
      <c r="H3173" s="12"/>
      <c r="I3173" s="12"/>
      <c r="J3173" s="12"/>
      <c r="K3173" s="12"/>
      <c r="L3173" s="12"/>
      <c r="M3173" s="11"/>
      <c r="N3173" s="11"/>
      <c r="O3173" s="11"/>
      <c r="P3173" s="11"/>
    </row>
    <row r="3174" spans="8:16" hidden="1" x14ac:dyDescent="0.25">
      <c r="H3174" s="12"/>
      <c r="I3174" s="12"/>
      <c r="J3174" s="12"/>
      <c r="K3174" s="12"/>
      <c r="L3174" s="12"/>
      <c r="M3174" s="11"/>
      <c r="N3174" s="11"/>
      <c r="O3174" s="11"/>
      <c r="P3174" s="11"/>
    </row>
    <row r="3175" spans="8:16" hidden="1" x14ac:dyDescent="0.25">
      <c r="H3175" s="12"/>
      <c r="I3175" s="12"/>
      <c r="J3175" s="12"/>
      <c r="K3175" s="12"/>
      <c r="L3175" s="12"/>
      <c r="M3175" s="11"/>
      <c r="N3175" s="11"/>
      <c r="O3175" s="11"/>
      <c r="P3175" s="11"/>
    </row>
    <row r="3176" spans="8:16" hidden="1" x14ac:dyDescent="0.25">
      <c r="H3176" s="12"/>
      <c r="I3176" s="12"/>
      <c r="J3176" s="12"/>
      <c r="K3176" s="12"/>
      <c r="L3176" s="12"/>
      <c r="M3176" s="11"/>
      <c r="N3176" s="11"/>
      <c r="O3176" s="11"/>
      <c r="P3176" s="11"/>
    </row>
    <row r="3177" spans="8:16" hidden="1" x14ac:dyDescent="0.25">
      <c r="H3177" s="12"/>
      <c r="I3177" s="12"/>
      <c r="J3177" s="12"/>
      <c r="K3177" s="12"/>
      <c r="L3177" s="12"/>
      <c r="M3177" s="11"/>
      <c r="N3177" s="11"/>
      <c r="O3177" s="11"/>
      <c r="P3177" s="11"/>
    </row>
    <row r="3178" spans="8:16" hidden="1" x14ac:dyDescent="0.25">
      <c r="H3178" s="12"/>
      <c r="I3178" s="12"/>
      <c r="J3178" s="12"/>
      <c r="K3178" s="12"/>
      <c r="L3178" s="12"/>
      <c r="M3178" s="11"/>
      <c r="N3178" s="11"/>
      <c r="O3178" s="11"/>
      <c r="P3178" s="11"/>
    </row>
    <row r="3179" spans="8:16" hidden="1" x14ac:dyDescent="0.25">
      <c r="H3179" s="12"/>
      <c r="I3179" s="12"/>
      <c r="J3179" s="12"/>
      <c r="K3179" s="12"/>
      <c r="L3179" s="12"/>
      <c r="M3179" s="11"/>
      <c r="N3179" s="11"/>
      <c r="O3179" s="11"/>
      <c r="P3179" s="11"/>
    </row>
    <row r="3180" spans="8:16" hidden="1" x14ac:dyDescent="0.25">
      <c r="H3180" s="12"/>
      <c r="I3180" s="12"/>
      <c r="J3180" s="12"/>
      <c r="K3180" s="12"/>
      <c r="L3180" s="12"/>
      <c r="M3180" s="11"/>
      <c r="N3180" s="11"/>
      <c r="O3180" s="11"/>
      <c r="P3180" s="11"/>
    </row>
    <row r="3181" spans="8:16" hidden="1" x14ac:dyDescent="0.25">
      <c r="H3181" s="12"/>
      <c r="I3181" s="12"/>
      <c r="J3181" s="12"/>
      <c r="K3181" s="12"/>
      <c r="L3181" s="12"/>
      <c r="M3181" s="11"/>
      <c r="N3181" s="11"/>
      <c r="O3181" s="11"/>
      <c r="P3181" s="11"/>
    </row>
    <row r="3182" spans="8:16" hidden="1" x14ac:dyDescent="0.25">
      <c r="H3182" s="12"/>
      <c r="I3182" s="12"/>
      <c r="J3182" s="12"/>
      <c r="K3182" s="12"/>
      <c r="L3182" s="12"/>
      <c r="M3182" s="11"/>
      <c r="N3182" s="11"/>
      <c r="O3182" s="11"/>
      <c r="P3182" s="11"/>
    </row>
    <row r="3183" spans="8:16" hidden="1" x14ac:dyDescent="0.25">
      <c r="H3183" s="12"/>
      <c r="I3183" s="12"/>
      <c r="J3183" s="12"/>
      <c r="K3183" s="12"/>
      <c r="L3183" s="12"/>
      <c r="M3183" s="11"/>
      <c r="N3183" s="11"/>
      <c r="O3183" s="11"/>
      <c r="P3183" s="11"/>
    </row>
    <row r="3184" spans="8:16" hidden="1" x14ac:dyDescent="0.25">
      <c r="H3184" s="12"/>
      <c r="I3184" s="12"/>
      <c r="J3184" s="12"/>
      <c r="K3184" s="12"/>
      <c r="L3184" s="12"/>
      <c r="M3184" s="11"/>
      <c r="N3184" s="11"/>
      <c r="O3184" s="11"/>
      <c r="P3184" s="11"/>
    </row>
    <row r="3185" spans="8:16" hidden="1" x14ac:dyDescent="0.25">
      <c r="H3185" s="12"/>
      <c r="I3185" s="12"/>
      <c r="J3185" s="12"/>
      <c r="K3185" s="12"/>
      <c r="L3185" s="12"/>
      <c r="M3185" s="11"/>
      <c r="N3185" s="11"/>
      <c r="O3185" s="11"/>
      <c r="P3185" s="11"/>
    </row>
    <row r="3186" spans="8:16" hidden="1" x14ac:dyDescent="0.25">
      <c r="H3186" s="12"/>
      <c r="I3186" s="12"/>
      <c r="J3186" s="12"/>
      <c r="K3186" s="12"/>
      <c r="L3186" s="12"/>
      <c r="M3186" s="11"/>
      <c r="N3186" s="11"/>
      <c r="O3186" s="11"/>
      <c r="P3186" s="11"/>
    </row>
    <row r="3187" spans="8:16" hidden="1" x14ac:dyDescent="0.25">
      <c r="H3187" s="12"/>
      <c r="I3187" s="12"/>
      <c r="J3187" s="12"/>
      <c r="K3187" s="12"/>
      <c r="L3187" s="12"/>
      <c r="M3187" s="11"/>
      <c r="N3187" s="11"/>
      <c r="O3187" s="11"/>
      <c r="P3187" s="11"/>
    </row>
    <row r="3188" spans="8:16" hidden="1" x14ac:dyDescent="0.25">
      <c r="H3188" s="12"/>
      <c r="I3188" s="12"/>
      <c r="J3188" s="12"/>
      <c r="K3188" s="12"/>
      <c r="L3188" s="12"/>
      <c r="M3188" s="11"/>
      <c r="N3188" s="11"/>
      <c r="O3188" s="11"/>
      <c r="P3188" s="11"/>
    </row>
    <row r="3189" spans="8:16" hidden="1" x14ac:dyDescent="0.25">
      <c r="H3189" s="12"/>
      <c r="I3189" s="12"/>
      <c r="J3189" s="12"/>
      <c r="K3189" s="12"/>
      <c r="L3189" s="12"/>
      <c r="M3189" s="11"/>
      <c r="N3189" s="11"/>
      <c r="O3189" s="11"/>
      <c r="P3189" s="11"/>
    </row>
    <row r="3190" spans="8:16" hidden="1" x14ac:dyDescent="0.25">
      <c r="H3190" s="12"/>
      <c r="I3190" s="12"/>
      <c r="J3190" s="12"/>
      <c r="K3190" s="12"/>
      <c r="L3190" s="12"/>
      <c r="M3190" s="11"/>
      <c r="N3190" s="11"/>
      <c r="O3190" s="11"/>
      <c r="P3190" s="11"/>
    </row>
    <row r="3191" spans="8:16" hidden="1" x14ac:dyDescent="0.25">
      <c r="H3191" s="12"/>
      <c r="I3191" s="12"/>
      <c r="J3191" s="12"/>
      <c r="K3191" s="12"/>
      <c r="L3191" s="12"/>
      <c r="M3191" s="11"/>
      <c r="N3191" s="11"/>
      <c r="O3191" s="11"/>
      <c r="P3191" s="11"/>
    </row>
    <row r="3192" spans="8:16" hidden="1" x14ac:dyDescent="0.25">
      <c r="H3192" s="12"/>
      <c r="I3192" s="12"/>
      <c r="J3192" s="12"/>
      <c r="K3192" s="12"/>
      <c r="L3192" s="12"/>
      <c r="M3192" s="11"/>
      <c r="N3192" s="11"/>
      <c r="O3192" s="11"/>
      <c r="P3192" s="11"/>
    </row>
    <row r="3193" spans="8:16" hidden="1" x14ac:dyDescent="0.25">
      <c r="H3193" s="12"/>
      <c r="I3193" s="12"/>
      <c r="J3193" s="12"/>
      <c r="K3193" s="12"/>
      <c r="L3193" s="12"/>
      <c r="M3193" s="11"/>
      <c r="N3193" s="11"/>
      <c r="O3193" s="11"/>
      <c r="P3193" s="11"/>
    </row>
    <row r="3194" spans="8:16" hidden="1" x14ac:dyDescent="0.25">
      <c r="H3194" s="12"/>
      <c r="I3194" s="12"/>
      <c r="J3194" s="12"/>
      <c r="K3194" s="12"/>
      <c r="L3194" s="12"/>
      <c r="M3194" s="11"/>
      <c r="N3194" s="11"/>
      <c r="O3194" s="11"/>
      <c r="P3194" s="11"/>
    </row>
    <row r="3195" spans="8:16" hidden="1" x14ac:dyDescent="0.25">
      <c r="H3195" s="12"/>
      <c r="I3195" s="12"/>
      <c r="J3195" s="12"/>
      <c r="K3195" s="12"/>
      <c r="L3195" s="12"/>
      <c r="M3195" s="11"/>
      <c r="N3195" s="11"/>
      <c r="O3195" s="11"/>
      <c r="P3195" s="11"/>
    </row>
    <row r="3196" spans="8:16" hidden="1" x14ac:dyDescent="0.25">
      <c r="H3196" s="12"/>
      <c r="I3196" s="12"/>
      <c r="J3196" s="12"/>
      <c r="K3196" s="12"/>
      <c r="L3196" s="12"/>
      <c r="M3196" s="11"/>
      <c r="N3196" s="11"/>
      <c r="O3196" s="11"/>
      <c r="P3196" s="11"/>
    </row>
    <row r="3197" spans="8:16" hidden="1" x14ac:dyDescent="0.25">
      <c r="H3197" s="12"/>
      <c r="I3197" s="12"/>
      <c r="J3197" s="12"/>
      <c r="K3197" s="12"/>
      <c r="L3197" s="12"/>
      <c r="M3197" s="11"/>
      <c r="N3197" s="11"/>
      <c r="O3197" s="11"/>
      <c r="P3197" s="11"/>
    </row>
    <row r="3198" spans="8:16" hidden="1" x14ac:dyDescent="0.25">
      <c r="H3198" s="12"/>
      <c r="I3198" s="12"/>
      <c r="J3198" s="12"/>
      <c r="K3198" s="12"/>
      <c r="L3198" s="12"/>
      <c r="M3198" s="11"/>
      <c r="N3198" s="11"/>
      <c r="O3198" s="11"/>
      <c r="P3198" s="11"/>
    </row>
    <row r="3199" spans="8:16" hidden="1" x14ac:dyDescent="0.25">
      <c r="H3199" s="12"/>
      <c r="I3199" s="12"/>
      <c r="J3199" s="12"/>
      <c r="K3199" s="12"/>
      <c r="L3199" s="12"/>
      <c r="M3199" s="11"/>
      <c r="N3199" s="11"/>
      <c r="O3199" s="11"/>
      <c r="P3199" s="11"/>
    </row>
    <row r="3200" spans="8:16" hidden="1" x14ac:dyDescent="0.25">
      <c r="H3200" s="12"/>
      <c r="I3200" s="12"/>
      <c r="J3200" s="12"/>
      <c r="K3200" s="12"/>
      <c r="L3200" s="12"/>
      <c r="M3200" s="11"/>
      <c r="N3200" s="11"/>
      <c r="O3200" s="11"/>
      <c r="P3200" s="11"/>
    </row>
    <row r="3201" spans="8:16" hidden="1" x14ac:dyDescent="0.25">
      <c r="H3201" s="12"/>
      <c r="I3201" s="12"/>
      <c r="J3201" s="12"/>
      <c r="K3201" s="12"/>
      <c r="L3201" s="12"/>
      <c r="M3201" s="11"/>
      <c r="N3201" s="11"/>
      <c r="O3201" s="11"/>
      <c r="P3201" s="11"/>
    </row>
    <row r="3202" spans="8:16" hidden="1" x14ac:dyDescent="0.25">
      <c r="H3202" s="12"/>
      <c r="I3202" s="12"/>
      <c r="J3202" s="12"/>
      <c r="K3202" s="12"/>
      <c r="L3202" s="12"/>
      <c r="M3202" s="11"/>
      <c r="N3202" s="11"/>
      <c r="O3202" s="11"/>
      <c r="P3202" s="11"/>
    </row>
    <row r="3203" spans="8:16" hidden="1" x14ac:dyDescent="0.25">
      <c r="H3203" s="12"/>
      <c r="I3203" s="12"/>
      <c r="J3203" s="12"/>
      <c r="K3203" s="12"/>
      <c r="L3203" s="12"/>
      <c r="M3203" s="11"/>
      <c r="N3203" s="11"/>
      <c r="O3203" s="11"/>
      <c r="P3203" s="11"/>
    </row>
    <row r="3204" spans="8:16" hidden="1" x14ac:dyDescent="0.25">
      <c r="H3204" s="12"/>
      <c r="I3204" s="12"/>
      <c r="J3204" s="12"/>
      <c r="K3204" s="12"/>
      <c r="L3204" s="12"/>
      <c r="M3204" s="11"/>
      <c r="N3204" s="11"/>
      <c r="O3204" s="11"/>
      <c r="P3204" s="11"/>
    </row>
    <row r="3205" spans="8:16" hidden="1" x14ac:dyDescent="0.25">
      <c r="H3205" s="12"/>
      <c r="I3205" s="12"/>
      <c r="J3205" s="12"/>
      <c r="K3205" s="12"/>
      <c r="L3205" s="12"/>
      <c r="M3205" s="11"/>
      <c r="N3205" s="11"/>
      <c r="O3205" s="11"/>
      <c r="P3205" s="11"/>
    </row>
    <row r="3206" spans="8:16" hidden="1" x14ac:dyDescent="0.25">
      <c r="H3206" s="12"/>
      <c r="I3206" s="12"/>
      <c r="J3206" s="12"/>
      <c r="K3206" s="12"/>
      <c r="L3206" s="12"/>
      <c r="M3206" s="11"/>
      <c r="N3206" s="11"/>
      <c r="O3206" s="11"/>
      <c r="P3206" s="11"/>
    </row>
    <row r="3207" spans="8:16" hidden="1" x14ac:dyDescent="0.25">
      <c r="H3207" s="12"/>
      <c r="I3207" s="12"/>
      <c r="J3207" s="12"/>
      <c r="K3207" s="12"/>
      <c r="L3207" s="12"/>
      <c r="M3207" s="11"/>
      <c r="N3207" s="11"/>
      <c r="O3207" s="11"/>
      <c r="P3207" s="11"/>
    </row>
    <row r="3208" spans="8:16" hidden="1" x14ac:dyDescent="0.25">
      <c r="H3208" s="12"/>
      <c r="I3208" s="12"/>
      <c r="J3208" s="12"/>
      <c r="K3208" s="12"/>
      <c r="L3208" s="12"/>
      <c r="M3208" s="11"/>
      <c r="N3208" s="11"/>
      <c r="O3208" s="11"/>
      <c r="P3208" s="11"/>
    </row>
    <row r="3209" spans="8:16" hidden="1" x14ac:dyDescent="0.25">
      <c r="H3209" s="12"/>
      <c r="I3209" s="12"/>
      <c r="J3209" s="12"/>
      <c r="K3209" s="12"/>
      <c r="L3209" s="12"/>
      <c r="M3209" s="11"/>
      <c r="N3209" s="11"/>
      <c r="O3209" s="11"/>
      <c r="P3209" s="11"/>
    </row>
    <row r="3210" spans="8:16" hidden="1" x14ac:dyDescent="0.25">
      <c r="H3210" s="12"/>
      <c r="I3210" s="12"/>
      <c r="J3210" s="12"/>
      <c r="K3210" s="12"/>
      <c r="L3210" s="12"/>
      <c r="M3210" s="11"/>
      <c r="N3210" s="11"/>
      <c r="O3210" s="11"/>
      <c r="P3210" s="11"/>
    </row>
    <row r="3211" spans="8:16" hidden="1" x14ac:dyDescent="0.25">
      <c r="H3211" s="12"/>
      <c r="I3211" s="12"/>
      <c r="J3211" s="12"/>
      <c r="K3211" s="12"/>
      <c r="L3211" s="12"/>
      <c r="M3211" s="11"/>
      <c r="N3211" s="11"/>
      <c r="O3211" s="11"/>
      <c r="P3211" s="11"/>
    </row>
    <row r="3212" spans="8:16" hidden="1" x14ac:dyDescent="0.25">
      <c r="H3212" s="12"/>
      <c r="I3212" s="12"/>
      <c r="J3212" s="12"/>
      <c r="K3212" s="12"/>
      <c r="L3212" s="12"/>
      <c r="M3212" s="11"/>
      <c r="N3212" s="11"/>
      <c r="O3212" s="11"/>
      <c r="P3212" s="11"/>
    </row>
    <row r="3213" spans="8:16" hidden="1" x14ac:dyDescent="0.25">
      <c r="H3213" s="12"/>
      <c r="I3213" s="12"/>
      <c r="J3213" s="12"/>
      <c r="K3213" s="12"/>
      <c r="L3213" s="12"/>
      <c r="M3213" s="11"/>
      <c r="N3213" s="11"/>
      <c r="O3213" s="11"/>
      <c r="P3213" s="11"/>
    </row>
    <row r="3214" spans="8:16" hidden="1" x14ac:dyDescent="0.25">
      <c r="H3214" s="12"/>
      <c r="I3214" s="12"/>
      <c r="J3214" s="12"/>
      <c r="K3214" s="12"/>
      <c r="L3214" s="12"/>
      <c r="M3214" s="11"/>
      <c r="N3214" s="11"/>
      <c r="O3214" s="11"/>
      <c r="P3214" s="11"/>
    </row>
    <row r="3215" spans="8:16" hidden="1" x14ac:dyDescent="0.25">
      <c r="H3215" s="12"/>
      <c r="I3215" s="12"/>
      <c r="J3215" s="12"/>
      <c r="K3215" s="12"/>
      <c r="L3215" s="12"/>
      <c r="M3215" s="11"/>
      <c r="N3215" s="11"/>
      <c r="O3215" s="11"/>
      <c r="P3215" s="11"/>
    </row>
    <row r="3216" spans="8:16" hidden="1" x14ac:dyDescent="0.25">
      <c r="H3216" s="12"/>
      <c r="I3216" s="12"/>
      <c r="J3216" s="12"/>
      <c r="K3216" s="12"/>
      <c r="L3216" s="12"/>
      <c r="M3216" s="11"/>
      <c r="N3216" s="11"/>
      <c r="O3216" s="11"/>
      <c r="P3216" s="11"/>
    </row>
    <row r="3217" spans="8:16" hidden="1" x14ac:dyDescent="0.25">
      <c r="H3217" s="12"/>
      <c r="I3217" s="12"/>
      <c r="J3217" s="12"/>
      <c r="K3217" s="12"/>
      <c r="L3217" s="12"/>
      <c r="M3217" s="11"/>
      <c r="N3217" s="11"/>
      <c r="O3217" s="11"/>
      <c r="P3217" s="11"/>
    </row>
    <row r="3218" spans="8:16" hidden="1" x14ac:dyDescent="0.25">
      <c r="H3218" s="12"/>
      <c r="I3218" s="12"/>
      <c r="J3218" s="12"/>
      <c r="K3218" s="12"/>
      <c r="L3218" s="12"/>
      <c r="M3218" s="11"/>
      <c r="N3218" s="11"/>
      <c r="O3218" s="11"/>
      <c r="P3218" s="11"/>
    </row>
    <row r="3219" spans="8:16" hidden="1" x14ac:dyDescent="0.25">
      <c r="H3219" s="12"/>
      <c r="I3219" s="12"/>
      <c r="J3219" s="12"/>
      <c r="K3219" s="12"/>
      <c r="L3219" s="12"/>
      <c r="M3219" s="11"/>
      <c r="N3219" s="11"/>
      <c r="O3219" s="11"/>
      <c r="P3219" s="11"/>
    </row>
    <row r="3220" spans="8:16" hidden="1" x14ac:dyDescent="0.25">
      <c r="H3220" s="12"/>
      <c r="I3220" s="12"/>
      <c r="J3220" s="12"/>
      <c r="K3220" s="12"/>
      <c r="L3220" s="12"/>
      <c r="M3220" s="11"/>
      <c r="N3220" s="11"/>
      <c r="O3220" s="11"/>
      <c r="P3220" s="11"/>
    </row>
    <row r="3221" spans="8:16" hidden="1" x14ac:dyDescent="0.25">
      <c r="H3221" s="12"/>
      <c r="I3221" s="12"/>
      <c r="J3221" s="12"/>
      <c r="K3221" s="12"/>
      <c r="L3221" s="12"/>
      <c r="M3221" s="11"/>
      <c r="N3221" s="11"/>
      <c r="O3221" s="11"/>
      <c r="P3221" s="11"/>
    </row>
    <row r="3222" spans="8:16" hidden="1" x14ac:dyDescent="0.25">
      <c r="H3222" s="12"/>
      <c r="I3222" s="12"/>
      <c r="J3222" s="12"/>
      <c r="K3222" s="12"/>
      <c r="L3222" s="12"/>
      <c r="M3222" s="11"/>
      <c r="N3222" s="11"/>
      <c r="O3222" s="11"/>
      <c r="P3222" s="11"/>
    </row>
    <row r="3223" spans="8:16" hidden="1" x14ac:dyDescent="0.25">
      <c r="H3223" s="12"/>
      <c r="I3223" s="12"/>
      <c r="J3223" s="12"/>
      <c r="K3223" s="12"/>
      <c r="L3223" s="12"/>
      <c r="M3223" s="11"/>
      <c r="N3223" s="11"/>
      <c r="O3223" s="11"/>
      <c r="P3223" s="11"/>
    </row>
    <row r="3224" spans="8:16" hidden="1" x14ac:dyDescent="0.25">
      <c r="H3224" s="12"/>
      <c r="I3224" s="12"/>
      <c r="J3224" s="12"/>
      <c r="K3224" s="12"/>
      <c r="L3224" s="12"/>
      <c r="M3224" s="11"/>
      <c r="N3224" s="11"/>
      <c r="O3224" s="11"/>
      <c r="P3224" s="11"/>
    </row>
    <row r="3225" spans="8:16" hidden="1" x14ac:dyDescent="0.25">
      <c r="H3225" s="12"/>
      <c r="I3225" s="12"/>
      <c r="J3225" s="12"/>
      <c r="K3225" s="12"/>
      <c r="L3225" s="12"/>
      <c r="M3225" s="11"/>
      <c r="N3225" s="11"/>
      <c r="O3225" s="11"/>
      <c r="P3225" s="11"/>
    </row>
    <row r="3226" spans="8:16" hidden="1" x14ac:dyDescent="0.25">
      <c r="H3226" s="12"/>
      <c r="I3226" s="12"/>
      <c r="J3226" s="12"/>
      <c r="K3226" s="12"/>
      <c r="L3226" s="12"/>
      <c r="M3226" s="11"/>
      <c r="N3226" s="11"/>
      <c r="O3226" s="11"/>
      <c r="P3226" s="11"/>
    </row>
    <row r="3227" spans="8:16" hidden="1" x14ac:dyDescent="0.25">
      <c r="H3227" s="12"/>
      <c r="I3227" s="12"/>
      <c r="J3227" s="12"/>
      <c r="K3227" s="12"/>
      <c r="L3227" s="12"/>
      <c r="M3227" s="11"/>
      <c r="N3227" s="11"/>
      <c r="O3227" s="11"/>
      <c r="P3227" s="11"/>
    </row>
    <row r="3228" spans="8:16" hidden="1" x14ac:dyDescent="0.25">
      <c r="H3228" s="12"/>
      <c r="I3228" s="12"/>
      <c r="J3228" s="12"/>
      <c r="K3228" s="12"/>
      <c r="L3228" s="12"/>
      <c r="M3228" s="11"/>
      <c r="N3228" s="11"/>
      <c r="O3228" s="11"/>
      <c r="P3228" s="11"/>
    </row>
    <row r="3229" spans="8:16" hidden="1" x14ac:dyDescent="0.25">
      <c r="H3229" s="12"/>
      <c r="I3229" s="12"/>
      <c r="J3229" s="12"/>
      <c r="K3229" s="12"/>
      <c r="L3229" s="12"/>
      <c r="M3229" s="11"/>
      <c r="N3229" s="11"/>
      <c r="O3229" s="11"/>
      <c r="P3229" s="11"/>
    </row>
    <row r="3230" spans="8:16" hidden="1" x14ac:dyDescent="0.25">
      <c r="H3230" s="12"/>
      <c r="I3230" s="12"/>
      <c r="J3230" s="12"/>
      <c r="K3230" s="12"/>
      <c r="L3230" s="12"/>
      <c r="M3230" s="11"/>
      <c r="N3230" s="11"/>
      <c r="O3230" s="11"/>
      <c r="P3230" s="11"/>
    </row>
    <row r="3231" spans="8:16" hidden="1" x14ac:dyDescent="0.25">
      <c r="H3231" s="12"/>
      <c r="I3231" s="12"/>
      <c r="J3231" s="12"/>
      <c r="K3231" s="12"/>
      <c r="L3231" s="12"/>
      <c r="M3231" s="11"/>
      <c r="N3231" s="11"/>
      <c r="O3231" s="11"/>
      <c r="P3231" s="11"/>
    </row>
    <row r="3232" spans="8:16" hidden="1" x14ac:dyDescent="0.25">
      <c r="H3232" s="12"/>
      <c r="I3232" s="12"/>
      <c r="J3232" s="12"/>
      <c r="K3232" s="12"/>
      <c r="L3232" s="12"/>
      <c r="M3232" s="11"/>
      <c r="N3232" s="11"/>
      <c r="O3232" s="11"/>
      <c r="P3232" s="11"/>
    </row>
    <row r="3233" spans="8:16" hidden="1" x14ac:dyDescent="0.25">
      <c r="H3233" s="12"/>
      <c r="I3233" s="12"/>
      <c r="J3233" s="12"/>
      <c r="K3233" s="12"/>
      <c r="L3233" s="12"/>
      <c r="M3233" s="11"/>
      <c r="N3233" s="11"/>
      <c r="O3233" s="11"/>
      <c r="P3233" s="11"/>
    </row>
    <row r="3234" spans="8:16" hidden="1" x14ac:dyDescent="0.25">
      <c r="H3234" s="12"/>
      <c r="I3234" s="12"/>
      <c r="J3234" s="12"/>
      <c r="K3234" s="12"/>
      <c r="L3234" s="12"/>
      <c r="M3234" s="11"/>
      <c r="N3234" s="11"/>
      <c r="O3234" s="11"/>
      <c r="P3234" s="11"/>
    </row>
    <row r="3235" spans="8:16" hidden="1" x14ac:dyDescent="0.25">
      <c r="H3235" s="12"/>
      <c r="I3235" s="12"/>
      <c r="J3235" s="12"/>
      <c r="K3235" s="12"/>
      <c r="L3235" s="12"/>
      <c r="M3235" s="11"/>
      <c r="N3235" s="11"/>
      <c r="O3235" s="11"/>
      <c r="P3235" s="11"/>
    </row>
    <row r="3236" spans="8:16" hidden="1" x14ac:dyDescent="0.25">
      <c r="H3236" s="12"/>
      <c r="I3236" s="12"/>
      <c r="J3236" s="12"/>
      <c r="K3236" s="12"/>
      <c r="L3236" s="12"/>
      <c r="M3236" s="11"/>
      <c r="N3236" s="11"/>
      <c r="O3236" s="11"/>
      <c r="P3236" s="11"/>
    </row>
    <row r="3237" spans="8:16" hidden="1" x14ac:dyDescent="0.25">
      <c r="H3237" s="12"/>
      <c r="I3237" s="12"/>
      <c r="J3237" s="12"/>
      <c r="K3237" s="12"/>
      <c r="L3237" s="12"/>
      <c r="M3237" s="11"/>
      <c r="N3237" s="11"/>
      <c r="O3237" s="11"/>
      <c r="P3237" s="11"/>
    </row>
    <row r="3238" spans="8:16" hidden="1" x14ac:dyDescent="0.25">
      <c r="H3238" s="12"/>
      <c r="I3238" s="12"/>
      <c r="J3238" s="12"/>
      <c r="K3238" s="12"/>
      <c r="L3238" s="12"/>
      <c r="M3238" s="11"/>
      <c r="N3238" s="11"/>
      <c r="O3238" s="11"/>
      <c r="P3238" s="11"/>
    </row>
    <row r="3239" spans="8:16" hidden="1" x14ac:dyDescent="0.25">
      <c r="H3239" s="12"/>
      <c r="I3239" s="12"/>
      <c r="J3239" s="12"/>
      <c r="K3239" s="12"/>
      <c r="L3239" s="12"/>
      <c r="M3239" s="11"/>
      <c r="N3239" s="11"/>
      <c r="O3239" s="11"/>
      <c r="P3239" s="11"/>
    </row>
    <row r="3240" spans="8:16" hidden="1" x14ac:dyDescent="0.25">
      <c r="H3240" s="12"/>
      <c r="I3240" s="12"/>
      <c r="J3240" s="12"/>
      <c r="K3240" s="12"/>
      <c r="L3240" s="12"/>
      <c r="M3240" s="11"/>
      <c r="N3240" s="11"/>
      <c r="O3240" s="11"/>
      <c r="P3240" s="11"/>
    </row>
    <row r="3241" spans="8:16" hidden="1" x14ac:dyDescent="0.25">
      <c r="H3241" s="12"/>
      <c r="I3241" s="12"/>
      <c r="J3241" s="12"/>
      <c r="K3241" s="12"/>
      <c r="L3241" s="12"/>
      <c r="M3241" s="11"/>
      <c r="N3241" s="11"/>
      <c r="O3241" s="11"/>
      <c r="P3241" s="11"/>
    </row>
    <row r="3242" spans="8:16" hidden="1" x14ac:dyDescent="0.25">
      <c r="H3242" s="12"/>
      <c r="I3242" s="12"/>
      <c r="J3242" s="12"/>
      <c r="K3242" s="12"/>
      <c r="L3242" s="12"/>
      <c r="M3242" s="11"/>
      <c r="N3242" s="11"/>
      <c r="O3242" s="11"/>
      <c r="P3242" s="11"/>
    </row>
    <row r="3243" spans="8:16" hidden="1" x14ac:dyDescent="0.25">
      <c r="H3243" s="12"/>
      <c r="I3243" s="12"/>
      <c r="J3243" s="12"/>
      <c r="K3243" s="12"/>
      <c r="L3243" s="12"/>
      <c r="M3243" s="11"/>
      <c r="N3243" s="11"/>
      <c r="O3243" s="11"/>
      <c r="P3243" s="11"/>
    </row>
    <row r="3244" spans="8:16" hidden="1" x14ac:dyDescent="0.25">
      <c r="H3244" s="12"/>
      <c r="I3244" s="12"/>
      <c r="J3244" s="12"/>
      <c r="K3244" s="12"/>
      <c r="L3244" s="12"/>
      <c r="M3244" s="11"/>
      <c r="N3244" s="11"/>
      <c r="O3244" s="11"/>
      <c r="P3244" s="11"/>
    </row>
    <row r="3245" spans="8:16" hidden="1" x14ac:dyDescent="0.25">
      <c r="H3245" s="12"/>
      <c r="I3245" s="12"/>
      <c r="J3245" s="12"/>
      <c r="K3245" s="12"/>
      <c r="L3245" s="12"/>
      <c r="M3245" s="11"/>
      <c r="N3245" s="11"/>
      <c r="O3245" s="11"/>
      <c r="P3245" s="11"/>
    </row>
    <row r="3246" spans="8:16" hidden="1" x14ac:dyDescent="0.25">
      <c r="H3246" s="12"/>
      <c r="I3246" s="12"/>
      <c r="J3246" s="12"/>
      <c r="K3246" s="12"/>
      <c r="L3246" s="12"/>
      <c r="M3246" s="11"/>
      <c r="N3246" s="11"/>
      <c r="O3246" s="11"/>
      <c r="P3246" s="11"/>
    </row>
    <row r="3247" spans="8:16" hidden="1" x14ac:dyDescent="0.25">
      <c r="H3247" s="12"/>
      <c r="I3247" s="12"/>
      <c r="J3247" s="12"/>
      <c r="K3247" s="12"/>
      <c r="L3247" s="12"/>
      <c r="M3247" s="11"/>
      <c r="N3247" s="11"/>
      <c r="O3247" s="11"/>
      <c r="P3247" s="11"/>
    </row>
    <row r="3248" spans="8:16" hidden="1" x14ac:dyDescent="0.25">
      <c r="H3248" s="12"/>
      <c r="I3248" s="12"/>
      <c r="J3248" s="12"/>
      <c r="K3248" s="12"/>
      <c r="L3248" s="12"/>
      <c r="M3248" s="11"/>
      <c r="N3248" s="11"/>
      <c r="O3248" s="11"/>
      <c r="P3248" s="11"/>
    </row>
    <row r="3249" spans="8:16" hidden="1" x14ac:dyDescent="0.25">
      <c r="H3249" s="12"/>
      <c r="I3249" s="12"/>
      <c r="J3249" s="12"/>
      <c r="K3249" s="12"/>
      <c r="L3249" s="12"/>
      <c r="M3249" s="11"/>
      <c r="N3249" s="11"/>
      <c r="O3249" s="11"/>
      <c r="P3249" s="11"/>
    </row>
    <row r="3250" spans="8:16" hidden="1" x14ac:dyDescent="0.25">
      <c r="H3250" s="12"/>
      <c r="I3250" s="12"/>
      <c r="J3250" s="12"/>
      <c r="K3250" s="12"/>
      <c r="L3250" s="12"/>
      <c r="M3250" s="11"/>
      <c r="N3250" s="11"/>
      <c r="O3250" s="11"/>
      <c r="P3250" s="11"/>
    </row>
    <row r="3251" spans="8:16" hidden="1" x14ac:dyDescent="0.25">
      <c r="H3251" s="12"/>
      <c r="I3251" s="12"/>
      <c r="J3251" s="12"/>
      <c r="K3251" s="12"/>
      <c r="L3251" s="12"/>
      <c r="M3251" s="11"/>
      <c r="N3251" s="11"/>
      <c r="O3251" s="11"/>
      <c r="P3251" s="11"/>
    </row>
    <row r="3252" spans="8:16" hidden="1" x14ac:dyDescent="0.25">
      <c r="H3252" s="12"/>
      <c r="I3252" s="12"/>
      <c r="J3252" s="12"/>
      <c r="K3252" s="12"/>
      <c r="L3252" s="12"/>
      <c r="M3252" s="11"/>
      <c r="N3252" s="11"/>
      <c r="O3252" s="11"/>
      <c r="P3252" s="11"/>
    </row>
    <row r="3253" spans="8:16" hidden="1" x14ac:dyDescent="0.25">
      <c r="H3253" s="12"/>
      <c r="I3253" s="12"/>
      <c r="J3253" s="12"/>
      <c r="K3253" s="12"/>
      <c r="L3253" s="12"/>
      <c r="M3253" s="11"/>
      <c r="N3253" s="11"/>
      <c r="O3253" s="11"/>
      <c r="P3253" s="11"/>
    </row>
    <row r="3254" spans="8:16" hidden="1" x14ac:dyDescent="0.25">
      <c r="H3254" s="12"/>
      <c r="I3254" s="12"/>
      <c r="J3254" s="12"/>
      <c r="K3254" s="12"/>
      <c r="L3254" s="12"/>
      <c r="M3254" s="11"/>
      <c r="N3254" s="11"/>
      <c r="O3254" s="11"/>
      <c r="P3254" s="11"/>
    </row>
    <row r="3255" spans="8:16" hidden="1" x14ac:dyDescent="0.25">
      <c r="H3255" s="12"/>
      <c r="I3255" s="12"/>
      <c r="J3255" s="12"/>
      <c r="K3255" s="12"/>
      <c r="L3255" s="12"/>
      <c r="M3255" s="11"/>
      <c r="N3255" s="11"/>
      <c r="O3255" s="11"/>
      <c r="P3255" s="11"/>
    </row>
    <row r="3256" spans="8:16" hidden="1" x14ac:dyDescent="0.25">
      <c r="H3256" s="12"/>
      <c r="I3256" s="12"/>
      <c r="J3256" s="12"/>
      <c r="K3256" s="12"/>
      <c r="L3256" s="12"/>
      <c r="M3256" s="11"/>
      <c r="N3256" s="11"/>
      <c r="O3256" s="11"/>
      <c r="P3256" s="11"/>
    </row>
    <row r="3257" spans="8:16" hidden="1" x14ac:dyDescent="0.25">
      <c r="H3257" s="12"/>
      <c r="I3257" s="12"/>
      <c r="J3257" s="12"/>
      <c r="K3257" s="12"/>
      <c r="L3257" s="12"/>
      <c r="M3257" s="11"/>
      <c r="N3257" s="11"/>
      <c r="O3257" s="11"/>
      <c r="P3257" s="11"/>
    </row>
    <row r="3258" spans="8:16" hidden="1" x14ac:dyDescent="0.25">
      <c r="H3258" s="12"/>
      <c r="I3258" s="12"/>
      <c r="J3258" s="12"/>
      <c r="K3258" s="12"/>
      <c r="L3258" s="12"/>
      <c r="M3258" s="11"/>
      <c r="N3258" s="11"/>
      <c r="O3258" s="11"/>
      <c r="P3258" s="11"/>
    </row>
    <row r="3259" spans="8:16" hidden="1" x14ac:dyDescent="0.25">
      <c r="H3259" s="12"/>
      <c r="I3259" s="12"/>
      <c r="J3259" s="12"/>
      <c r="K3259" s="12"/>
      <c r="L3259" s="12"/>
      <c r="M3259" s="11"/>
      <c r="N3259" s="11"/>
      <c r="O3259" s="11"/>
      <c r="P3259" s="11"/>
    </row>
    <row r="3260" spans="8:16" hidden="1" x14ac:dyDescent="0.25">
      <c r="H3260" s="12"/>
      <c r="I3260" s="12"/>
      <c r="J3260" s="12"/>
      <c r="K3260" s="12"/>
      <c r="L3260" s="12"/>
      <c r="M3260" s="11"/>
      <c r="N3260" s="11"/>
      <c r="O3260" s="11"/>
      <c r="P3260" s="11"/>
    </row>
    <row r="3261" spans="8:16" hidden="1" x14ac:dyDescent="0.25">
      <c r="H3261" s="12"/>
      <c r="I3261" s="12"/>
      <c r="J3261" s="12"/>
      <c r="K3261" s="12"/>
      <c r="L3261" s="12"/>
      <c r="M3261" s="11"/>
      <c r="N3261" s="11"/>
      <c r="O3261" s="11"/>
      <c r="P3261" s="11"/>
    </row>
    <row r="3262" spans="8:16" hidden="1" x14ac:dyDescent="0.25">
      <c r="H3262" s="12"/>
      <c r="I3262" s="12"/>
      <c r="J3262" s="12"/>
      <c r="K3262" s="12"/>
      <c r="L3262" s="12"/>
      <c r="M3262" s="11"/>
      <c r="N3262" s="11"/>
      <c r="O3262" s="11"/>
      <c r="P3262" s="11"/>
    </row>
    <row r="3263" spans="8:16" hidden="1" x14ac:dyDescent="0.25">
      <c r="H3263" s="12"/>
      <c r="I3263" s="12"/>
      <c r="J3263" s="12"/>
      <c r="K3263" s="12"/>
      <c r="L3263" s="12"/>
      <c r="M3263" s="11"/>
      <c r="N3263" s="11"/>
      <c r="O3263" s="11"/>
      <c r="P3263" s="11"/>
    </row>
    <row r="3264" spans="8:16" hidden="1" x14ac:dyDescent="0.25">
      <c r="H3264" s="12"/>
      <c r="I3264" s="12"/>
      <c r="J3264" s="12"/>
      <c r="K3264" s="12"/>
      <c r="L3264" s="12"/>
      <c r="M3264" s="11"/>
      <c r="N3264" s="11"/>
      <c r="O3264" s="11"/>
      <c r="P3264" s="11"/>
    </row>
    <row r="3265" spans="8:16" hidden="1" x14ac:dyDescent="0.25">
      <c r="H3265" s="12"/>
      <c r="I3265" s="12"/>
      <c r="J3265" s="12"/>
      <c r="K3265" s="12"/>
      <c r="L3265" s="12"/>
      <c r="M3265" s="11"/>
      <c r="N3265" s="11"/>
      <c r="O3265" s="11"/>
      <c r="P3265" s="11"/>
    </row>
    <row r="3266" spans="8:16" hidden="1" x14ac:dyDescent="0.25">
      <c r="H3266" s="12"/>
      <c r="I3266" s="12"/>
      <c r="J3266" s="12"/>
      <c r="K3266" s="12"/>
      <c r="L3266" s="12"/>
      <c r="M3266" s="11"/>
      <c r="N3266" s="11"/>
      <c r="O3266" s="11"/>
      <c r="P3266" s="11"/>
    </row>
    <row r="3267" spans="8:16" hidden="1" x14ac:dyDescent="0.25">
      <c r="H3267" s="12"/>
      <c r="I3267" s="12"/>
      <c r="J3267" s="12"/>
      <c r="K3267" s="12"/>
      <c r="L3267" s="12"/>
      <c r="M3267" s="11"/>
      <c r="N3267" s="11"/>
      <c r="O3267" s="11"/>
      <c r="P3267" s="11"/>
    </row>
    <row r="3268" spans="8:16" hidden="1" x14ac:dyDescent="0.25">
      <c r="H3268" s="12"/>
      <c r="I3268" s="12"/>
      <c r="J3268" s="12"/>
      <c r="K3268" s="12"/>
      <c r="L3268" s="12"/>
      <c r="M3268" s="11"/>
      <c r="N3268" s="11"/>
      <c r="O3268" s="11"/>
      <c r="P3268" s="11"/>
    </row>
    <row r="3269" spans="8:16" hidden="1" x14ac:dyDescent="0.25">
      <c r="H3269" s="12"/>
      <c r="I3269" s="12"/>
      <c r="J3269" s="12"/>
      <c r="K3269" s="12"/>
      <c r="L3269" s="12"/>
      <c r="M3269" s="11"/>
      <c r="N3269" s="11"/>
      <c r="O3269" s="11"/>
      <c r="P3269" s="11"/>
    </row>
    <row r="3270" spans="8:16" hidden="1" x14ac:dyDescent="0.25">
      <c r="H3270" s="12"/>
      <c r="I3270" s="12"/>
      <c r="J3270" s="12"/>
      <c r="K3270" s="12"/>
      <c r="L3270" s="12"/>
      <c r="M3270" s="11"/>
      <c r="N3270" s="11"/>
      <c r="O3270" s="11"/>
      <c r="P3270" s="11"/>
    </row>
    <row r="3271" spans="8:16" hidden="1" x14ac:dyDescent="0.25">
      <c r="H3271" s="12"/>
      <c r="I3271" s="12"/>
      <c r="J3271" s="12"/>
      <c r="K3271" s="12"/>
      <c r="L3271" s="12"/>
      <c r="M3271" s="11"/>
      <c r="N3271" s="11"/>
      <c r="O3271" s="11"/>
      <c r="P3271" s="11"/>
    </row>
    <row r="3272" spans="8:16" hidden="1" x14ac:dyDescent="0.25">
      <c r="H3272" s="12"/>
      <c r="I3272" s="12"/>
      <c r="J3272" s="12"/>
      <c r="K3272" s="12"/>
      <c r="L3272" s="12"/>
      <c r="M3272" s="11"/>
      <c r="N3272" s="11"/>
      <c r="O3272" s="11"/>
      <c r="P3272" s="11"/>
    </row>
    <row r="3273" spans="8:16" hidden="1" x14ac:dyDescent="0.25">
      <c r="H3273" s="12"/>
      <c r="I3273" s="12"/>
      <c r="J3273" s="12"/>
      <c r="K3273" s="12"/>
      <c r="L3273" s="12"/>
      <c r="M3273" s="11"/>
      <c r="N3273" s="11"/>
      <c r="O3273" s="11"/>
      <c r="P3273" s="11"/>
    </row>
    <row r="3274" spans="8:16" hidden="1" x14ac:dyDescent="0.25">
      <c r="H3274" s="12"/>
      <c r="I3274" s="12"/>
      <c r="J3274" s="12"/>
      <c r="K3274" s="12"/>
      <c r="L3274" s="12"/>
      <c r="M3274" s="11"/>
      <c r="N3274" s="11"/>
      <c r="O3274" s="11"/>
      <c r="P3274" s="11"/>
    </row>
    <row r="3275" spans="8:16" hidden="1" x14ac:dyDescent="0.25">
      <c r="H3275" s="12"/>
      <c r="I3275" s="12"/>
      <c r="J3275" s="12"/>
      <c r="K3275" s="12"/>
      <c r="L3275" s="12"/>
      <c r="M3275" s="11"/>
      <c r="N3275" s="11"/>
      <c r="O3275" s="11"/>
      <c r="P3275" s="11"/>
    </row>
    <row r="3276" spans="8:16" hidden="1" x14ac:dyDescent="0.25">
      <c r="H3276" s="12"/>
      <c r="I3276" s="12"/>
      <c r="J3276" s="12"/>
      <c r="K3276" s="12"/>
      <c r="L3276" s="12"/>
      <c r="M3276" s="11"/>
      <c r="N3276" s="11"/>
      <c r="O3276" s="11"/>
      <c r="P3276" s="11"/>
    </row>
    <row r="3277" spans="8:16" hidden="1" x14ac:dyDescent="0.25">
      <c r="H3277" s="12"/>
      <c r="I3277" s="12"/>
      <c r="J3277" s="12"/>
      <c r="K3277" s="12"/>
      <c r="L3277" s="12"/>
      <c r="M3277" s="11"/>
      <c r="N3277" s="11"/>
      <c r="O3277" s="11"/>
      <c r="P3277" s="11"/>
    </row>
    <row r="3278" spans="8:16" hidden="1" x14ac:dyDescent="0.25">
      <c r="H3278" s="12"/>
      <c r="I3278" s="12"/>
      <c r="J3278" s="12"/>
      <c r="K3278" s="12"/>
      <c r="L3278" s="12"/>
      <c r="M3278" s="11"/>
      <c r="N3278" s="11"/>
      <c r="O3278" s="11"/>
      <c r="P3278" s="11"/>
    </row>
    <row r="3279" spans="8:16" hidden="1" x14ac:dyDescent="0.25">
      <c r="H3279" s="12"/>
      <c r="I3279" s="12"/>
      <c r="J3279" s="12"/>
      <c r="K3279" s="12"/>
      <c r="L3279" s="12"/>
      <c r="M3279" s="11"/>
      <c r="N3279" s="11"/>
      <c r="O3279" s="11"/>
      <c r="P3279" s="11"/>
    </row>
    <row r="3280" spans="8:16" hidden="1" x14ac:dyDescent="0.25">
      <c r="H3280" s="12"/>
      <c r="I3280" s="12"/>
      <c r="J3280" s="12"/>
      <c r="K3280" s="12"/>
      <c r="L3280" s="12"/>
      <c r="M3280" s="11"/>
      <c r="N3280" s="11"/>
      <c r="O3280" s="11"/>
      <c r="P3280" s="11"/>
    </row>
    <row r="3281" spans="8:16" hidden="1" x14ac:dyDescent="0.25">
      <c r="H3281" s="12"/>
      <c r="I3281" s="12"/>
      <c r="J3281" s="12"/>
      <c r="K3281" s="12"/>
      <c r="L3281" s="12"/>
      <c r="M3281" s="11"/>
      <c r="N3281" s="11"/>
      <c r="O3281" s="11"/>
      <c r="P3281" s="11"/>
    </row>
    <row r="3282" spans="8:16" hidden="1" x14ac:dyDescent="0.25">
      <c r="H3282" s="12"/>
      <c r="I3282" s="12"/>
      <c r="J3282" s="12"/>
      <c r="K3282" s="12"/>
      <c r="L3282" s="12"/>
      <c r="M3282" s="11"/>
      <c r="N3282" s="11"/>
      <c r="O3282" s="11"/>
      <c r="P3282" s="11"/>
    </row>
    <row r="3283" spans="8:16" hidden="1" x14ac:dyDescent="0.25">
      <c r="H3283" s="12"/>
      <c r="I3283" s="12"/>
      <c r="J3283" s="12"/>
      <c r="K3283" s="12"/>
      <c r="L3283" s="12"/>
      <c r="M3283" s="11"/>
      <c r="N3283" s="11"/>
      <c r="O3283" s="11"/>
      <c r="P3283" s="11"/>
    </row>
    <row r="3284" spans="8:16" hidden="1" x14ac:dyDescent="0.25">
      <c r="H3284" s="12"/>
      <c r="I3284" s="12"/>
      <c r="J3284" s="12"/>
      <c r="K3284" s="12"/>
      <c r="L3284" s="12"/>
      <c r="M3284" s="11"/>
      <c r="N3284" s="11"/>
      <c r="O3284" s="11"/>
      <c r="P3284" s="11"/>
    </row>
    <row r="3285" spans="8:16" hidden="1" x14ac:dyDescent="0.25">
      <c r="H3285" s="12"/>
      <c r="I3285" s="12"/>
      <c r="J3285" s="12"/>
      <c r="K3285" s="12"/>
      <c r="L3285" s="12"/>
      <c r="M3285" s="11"/>
      <c r="N3285" s="11"/>
      <c r="O3285" s="11"/>
      <c r="P3285" s="11"/>
    </row>
    <row r="3286" spans="8:16" hidden="1" x14ac:dyDescent="0.25">
      <c r="H3286" s="12"/>
      <c r="I3286" s="12"/>
      <c r="J3286" s="12"/>
      <c r="K3286" s="12"/>
      <c r="L3286" s="12"/>
      <c r="M3286" s="11"/>
      <c r="N3286" s="11"/>
      <c r="O3286" s="11"/>
      <c r="P3286" s="11"/>
    </row>
    <row r="3287" spans="8:16" hidden="1" x14ac:dyDescent="0.25">
      <c r="H3287" s="12"/>
      <c r="I3287" s="12"/>
      <c r="J3287" s="12"/>
      <c r="K3287" s="12"/>
      <c r="L3287" s="12"/>
      <c r="M3287" s="11"/>
      <c r="N3287" s="11"/>
      <c r="O3287" s="11"/>
      <c r="P3287" s="11"/>
    </row>
    <row r="3288" spans="8:16" hidden="1" x14ac:dyDescent="0.25">
      <c r="H3288" s="12"/>
      <c r="I3288" s="12"/>
      <c r="J3288" s="12"/>
      <c r="K3288" s="12"/>
      <c r="L3288" s="12"/>
      <c r="M3288" s="11"/>
      <c r="N3288" s="11"/>
      <c r="O3288" s="11"/>
      <c r="P3288" s="11"/>
    </row>
    <row r="3289" spans="8:16" hidden="1" x14ac:dyDescent="0.25">
      <c r="H3289" s="12"/>
      <c r="I3289" s="12"/>
      <c r="J3289" s="12"/>
      <c r="K3289" s="12"/>
      <c r="L3289" s="12"/>
      <c r="M3289" s="11"/>
      <c r="N3289" s="11"/>
      <c r="O3289" s="11"/>
      <c r="P3289" s="11"/>
    </row>
    <row r="3290" spans="8:16" hidden="1" x14ac:dyDescent="0.25">
      <c r="H3290" s="12"/>
      <c r="I3290" s="12"/>
      <c r="J3290" s="12"/>
      <c r="K3290" s="12"/>
      <c r="L3290" s="12"/>
      <c r="M3290" s="11"/>
      <c r="N3290" s="11"/>
      <c r="O3290" s="11"/>
      <c r="P3290" s="11"/>
    </row>
    <row r="3291" spans="8:16" hidden="1" x14ac:dyDescent="0.25">
      <c r="H3291" s="12"/>
      <c r="I3291" s="12"/>
      <c r="J3291" s="12"/>
      <c r="K3291" s="12"/>
      <c r="L3291" s="12"/>
      <c r="M3291" s="11"/>
      <c r="N3291" s="11"/>
      <c r="O3291" s="11"/>
      <c r="P3291" s="11"/>
    </row>
    <row r="3292" spans="8:16" hidden="1" x14ac:dyDescent="0.25">
      <c r="H3292" s="12"/>
      <c r="I3292" s="12"/>
      <c r="J3292" s="12"/>
      <c r="K3292" s="12"/>
      <c r="L3292" s="12"/>
      <c r="M3292" s="11"/>
      <c r="N3292" s="11"/>
      <c r="O3292" s="11"/>
      <c r="P3292" s="11"/>
    </row>
    <row r="3293" spans="8:16" hidden="1" x14ac:dyDescent="0.25">
      <c r="H3293" s="12"/>
      <c r="I3293" s="12"/>
      <c r="J3293" s="12"/>
      <c r="K3293" s="12"/>
      <c r="L3293" s="12"/>
      <c r="M3293" s="11"/>
      <c r="N3293" s="11"/>
      <c r="O3293" s="11"/>
      <c r="P3293" s="11"/>
    </row>
    <row r="3294" spans="8:16" hidden="1" x14ac:dyDescent="0.25">
      <c r="H3294" s="12"/>
      <c r="I3294" s="12"/>
      <c r="J3294" s="12"/>
      <c r="K3294" s="12"/>
      <c r="L3294" s="12"/>
      <c r="M3294" s="11"/>
      <c r="N3294" s="11"/>
      <c r="O3294" s="11"/>
      <c r="P3294" s="11"/>
    </row>
    <row r="3295" spans="8:16" hidden="1" x14ac:dyDescent="0.25">
      <c r="H3295" s="12"/>
      <c r="I3295" s="12"/>
      <c r="J3295" s="12"/>
      <c r="K3295" s="12"/>
      <c r="L3295" s="12"/>
      <c r="M3295" s="11"/>
      <c r="N3295" s="11"/>
      <c r="O3295" s="11"/>
      <c r="P3295" s="11"/>
    </row>
    <row r="3296" spans="8:16" hidden="1" x14ac:dyDescent="0.25">
      <c r="H3296" s="12"/>
      <c r="I3296" s="12"/>
      <c r="J3296" s="12"/>
      <c r="K3296" s="12"/>
      <c r="L3296" s="12"/>
      <c r="M3296" s="11"/>
      <c r="N3296" s="11"/>
      <c r="O3296" s="11"/>
      <c r="P3296" s="11"/>
    </row>
    <row r="3297" spans="8:16" hidden="1" x14ac:dyDescent="0.25">
      <c r="H3297" s="12"/>
      <c r="I3297" s="12"/>
      <c r="J3297" s="12"/>
      <c r="K3297" s="12"/>
      <c r="L3297" s="12"/>
      <c r="M3297" s="11"/>
      <c r="N3297" s="11"/>
      <c r="O3297" s="11"/>
      <c r="P3297" s="11"/>
    </row>
    <row r="3298" spans="8:16" hidden="1" x14ac:dyDescent="0.25">
      <c r="H3298" s="12"/>
      <c r="I3298" s="12"/>
      <c r="J3298" s="12"/>
      <c r="K3298" s="12"/>
      <c r="L3298" s="12"/>
      <c r="M3298" s="11"/>
      <c r="N3298" s="11"/>
      <c r="O3298" s="11"/>
      <c r="P3298" s="11"/>
    </row>
    <row r="3299" spans="8:16" hidden="1" x14ac:dyDescent="0.25">
      <c r="H3299" s="12"/>
      <c r="I3299" s="12"/>
      <c r="J3299" s="12"/>
      <c r="K3299" s="12"/>
      <c r="L3299" s="12"/>
      <c r="M3299" s="11"/>
      <c r="N3299" s="11"/>
      <c r="O3299" s="11"/>
      <c r="P3299" s="11"/>
    </row>
    <row r="3300" spans="8:16" hidden="1" x14ac:dyDescent="0.25">
      <c r="H3300" s="12"/>
      <c r="I3300" s="12"/>
      <c r="J3300" s="12"/>
      <c r="K3300" s="12"/>
      <c r="L3300" s="12"/>
      <c r="M3300" s="11"/>
      <c r="N3300" s="11"/>
      <c r="O3300" s="11"/>
      <c r="P3300" s="11"/>
    </row>
    <row r="3301" spans="8:16" hidden="1" x14ac:dyDescent="0.25">
      <c r="H3301" s="12"/>
      <c r="I3301" s="12"/>
      <c r="J3301" s="12"/>
      <c r="K3301" s="12"/>
      <c r="L3301" s="12"/>
      <c r="M3301" s="11"/>
      <c r="N3301" s="11"/>
      <c r="O3301" s="11"/>
      <c r="P3301" s="11"/>
    </row>
    <row r="3302" spans="8:16" hidden="1" x14ac:dyDescent="0.25">
      <c r="H3302" s="12"/>
      <c r="I3302" s="12"/>
      <c r="J3302" s="12"/>
      <c r="K3302" s="12"/>
      <c r="L3302" s="12"/>
      <c r="M3302" s="11"/>
      <c r="N3302" s="11"/>
      <c r="O3302" s="11"/>
      <c r="P3302" s="11"/>
    </row>
    <row r="3303" spans="8:16" hidden="1" x14ac:dyDescent="0.25">
      <c r="H3303" s="12"/>
      <c r="I3303" s="12"/>
      <c r="J3303" s="12"/>
      <c r="K3303" s="12"/>
      <c r="L3303" s="12"/>
      <c r="M3303" s="11"/>
      <c r="N3303" s="11"/>
      <c r="O3303" s="11"/>
      <c r="P3303" s="11"/>
    </row>
    <row r="3304" spans="8:16" hidden="1" x14ac:dyDescent="0.25">
      <c r="H3304" s="12"/>
      <c r="I3304" s="12"/>
      <c r="J3304" s="12"/>
      <c r="K3304" s="12"/>
      <c r="L3304" s="12"/>
      <c r="M3304" s="11"/>
      <c r="N3304" s="11"/>
      <c r="O3304" s="11"/>
      <c r="P3304" s="11"/>
    </row>
    <row r="3305" spans="8:16" hidden="1" x14ac:dyDescent="0.25">
      <c r="H3305" s="12"/>
      <c r="I3305" s="12"/>
      <c r="J3305" s="12"/>
      <c r="K3305" s="12"/>
      <c r="L3305" s="12"/>
      <c r="M3305" s="11"/>
      <c r="N3305" s="11"/>
      <c r="O3305" s="11"/>
      <c r="P3305" s="11"/>
    </row>
    <row r="3306" spans="8:16" hidden="1" x14ac:dyDescent="0.25">
      <c r="H3306" s="12"/>
      <c r="I3306" s="12"/>
      <c r="J3306" s="12"/>
      <c r="K3306" s="12"/>
      <c r="L3306" s="12"/>
      <c r="M3306" s="11"/>
      <c r="N3306" s="11"/>
      <c r="O3306" s="11"/>
      <c r="P3306" s="11"/>
    </row>
    <row r="3307" spans="8:16" hidden="1" x14ac:dyDescent="0.25">
      <c r="H3307" s="12"/>
      <c r="I3307" s="12"/>
      <c r="J3307" s="12"/>
      <c r="K3307" s="12"/>
      <c r="L3307" s="12"/>
      <c r="M3307" s="11"/>
      <c r="N3307" s="11"/>
      <c r="O3307" s="11"/>
      <c r="P3307" s="11"/>
    </row>
    <row r="3308" spans="8:16" hidden="1" x14ac:dyDescent="0.25">
      <c r="H3308" s="12"/>
      <c r="I3308" s="12"/>
      <c r="J3308" s="12"/>
      <c r="K3308" s="12"/>
      <c r="L3308" s="12"/>
      <c r="M3308" s="11"/>
      <c r="N3308" s="11"/>
      <c r="O3308" s="11"/>
      <c r="P3308" s="11"/>
    </row>
    <row r="3309" spans="8:16" hidden="1" x14ac:dyDescent="0.25">
      <c r="H3309" s="12"/>
      <c r="I3309" s="12"/>
      <c r="J3309" s="12"/>
      <c r="K3309" s="12"/>
      <c r="L3309" s="12"/>
      <c r="M3309" s="11"/>
      <c r="N3309" s="11"/>
      <c r="O3309" s="11"/>
      <c r="P3309" s="11"/>
    </row>
    <row r="3310" spans="8:16" hidden="1" x14ac:dyDescent="0.25">
      <c r="H3310" s="12"/>
      <c r="I3310" s="12"/>
      <c r="J3310" s="12"/>
      <c r="K3310" s="12"/>
      <c r="L3310" s="12"/>
      <c r="M3310" s="11"/>
      <c r="N3310" s="11"/>
      <c r="O3310" s="11"/>
      <c r="P3310" s="11"/>
    </row>
    <row r="3311" spans="8:16" hidden="1" x14ac:dyDescent="0.25">
      <c r="H3311" s="12"/>
      <c r="I3311" s="12"/>
      <c r="J3311" s="12"/>
      <c r="K3311" s="12"/>
      <c r="L3311" s="12"/>
      <c r="M3311" s="11"/>
      <c r="N3311" s="11"/>
      <c r="O3311" s="11"/>
      <c r="P3311" s="11"/>
    </row>
    <row r="3312" spans="8:16" hidden="1" x14ac:dyDescent="0.25">
      <c r="H3312" s="12"/>
      <c r="I3312" s="12"/>
      <c r="J3312" s="12"/>
      <c r="K3312" s="12"/>
      <c r="L3312" s="12"/>
      <c r="M3312" s="11"/>
      <c r="N3312" s="11"/>
      <c r="O3312" s="11"/>
      <c r="P3312" s="11"/>
    </row>
    <row r="3313" spans="8:16" hidden="1" x14ac:dyDescent="0.25">
      <c r="H3313" s="12"/>
      <c r="I3313" s="12"/>
      <c r="J3313" s="12"/>
      <c r="K3313" s="12"/>
      <c r="L3313" s="12"/>
      <c r="M3313" s="11"/>
      <c r="N3313" s="11"/>
      <c r="O3313" s="11"/>
      <c r="P3313" s="11"/>
    </row>
    <row r="3314" spans="8:16" hidden="1" x14ac:dyDescent="0.25">
      <c r="H3314" s="12"/>
      <c r="I3314" s="12"/>
      <c r="J3314" s="12"/>
      <c r="K3314" s="12"/>
      <c r="L3314" s="12"/>
      <c r="M3314" s="11"/>
      <c r="N3314" s="11"/>
      <c r="O3314" s="11"/>
      <c r="P3314" s="11"/>
    </row>
    <row r="3315" spans="8:16" hidden="1" x14ac:dyDescent="0.25">
      <c r="H3315" s="12"/>
      <c r="I3315" s="12"/>
      <c r="J3315" s="12"/>
      <c r="K3315" s="12"/>
      <c r="L3315" s="12"/>
      <c r="M3315" s="11"/>
      <c r="N3315" s="11"/>
      <c r="O3315" s="11"/>
      <c r="P3315" s="11"/>
    </row>
    <row r="3316" spans="8:16" hidden="1" x14ac:dyDescent="0.25">
      <c r="H3316" s="12"/>
      <c r="I3316" s="12"/>
      <c r="J3316" s="12"/>
      <c r="K3316" s="12"/>
      <c r="L3316" s="12"/>
      <c r="M3316" s="11"/>
      <c r="N3316" s="11"/>
      <c r="O3316" s="11"/>
      <c r="P3316" s="11"/>
    </row>
    <row r="3317" spans="8:16" hidden="1" x14ac:dyDescent="0.25">
      <c r="H3317" s="12"/>
      <c r="I3317" s="12"/>
      <c r="J3317" s="12"/>
      <c r="K3317" s="12"/>
      <c r="L3317" s="12"/>
      <c r="M3317" s="11"/>
      <c r="N3317" s="11"/>
      <c r="O3317" s="11"/>
      <c r="P3317" s="11"/>
    </row>
    <row r="3318" spans="8:16" hidden="1" x14ac:dyDescent="0.25">
      <c r="H3318" s="12"/>
      <c r="I3318" s="12"/>
      <c r="J3318" s="12"/>
      <c r="K3318" s="12"/>
      <c r="L3318" s="12"/>
      <c r="M3318" s="11"/>
      <c r="N3318" s="11"/>
      <c r="O3318" s="11"/>
      <c r="P3318" s="11"/>
    </row>
    <row r="3319" spans="8:16" hidden="1" x14ac:dyDescent="0.25">
      <c r="H3319" s="12"/>
      <c r="I3319" s="12"/>
      <c r="J3319" s="12"/>
      <c r="K3319" s="12"/>
      <c r="L3319" s="12"/>
      <c r="M3319" s="11"/>
      <c r="N3319" s="11"/>
      <c r="O3319" s="11"/>
      <c r="P3319" s="11"/>
    </row>
    <row r="3320" spans="8:16" hidden="1" x14ac:dyDescent="0.25">
      <c r="H3320" s="12"/>
      <c r="I3320" s="12"/>
      <c r="J3320" s="12"/>
      <c r="K3320" s="12"/>
      <c r="L3320" s="12"/>
      <c r="M3320" s="11"/>
      <c r="N3320" s="11"/>
      <c r="O3320" s="11"/>
      <c r="P3320" s="11"/>
    </row>
    <row r="3321" spans="8:16" hidden="1" x14ac:dyDescent="0.25">
      <c r="H3321" s="12"/>
      <c r="I3321" s="12"/>
      <c r="J3321" s="12"/>
      <c r="K3321" s="12"/>
      <c r="L3321" s="12"/>
      <c r="M3321" s="11"/>
      <c r="N3321" s="11"/>
      <c r="O3321" s="11"/>
      <c r="P3321" s="11"/>
    </row>
    <row r="3322" spans="8:16" hidden="1" x14ac:dyDescent="0.25">
      <c r="H3322" s="12"/>
      <c r="I3322" s="12"/>
      <c r="J3322" s="12"/>
      <c r="K3322" s="12"/>
      <c r="L3322" s="12"/>
      <c r="M3322" s="11"/>
      <c r="N3322" s="11"/>
      <c r="O3322" s="11"/>
      <c r="P3322" s="11"/>
    </row>
    <row r="3323" spans="8:16" hidden="1" x14ac:dyDescent="0.25">
      <c r="H3323" s="12"/>
      <c r="I3323" s="12"/>
      <c r="J3323" s="12"/>
      <c r="K3323" s="12"/>
      <c r="L3323" s="12"/>
      <c r="M3323" s="11"/>
      <c r="N3323" s="11"/>
      <c r="O3323" s="11"/>
      <c r="P3323" s="11"/>
    </row>
    <row r="3324" spans="8:16" hidden="1" x14ac:dyDescent="0.25">
      <c r="H3324" s="12"/>
      <c r="I3324" s="12"/>
      <c r="J3324" s="12"/>
      <c r="K3324" s="12"/>
      <c r="L3324" s="12"/>
      <c r="M3324" s="11"/>
      <c r="N3324" s="11"/>
      <c r="O3324" s="11"/>
      <c r="P3324" s="11"/>
    </row>
    <row r="3325" spans="8:16" hidden="1" x14ac:dyDescent="0.25">
      <c r="H3325" s="12"/>
      <c r="I3325" s="12"/>
      <c r="J3325" s="12"/>
      <c r="K3325" s="12"/>
      <c r="L3325" s="12"/>
      <c r="M3325" s="11"/>
      <c r="N3325" s="11"/>
      <c r="O3325" s="11"/>
      <c r="P3325" s="11"/>
    </row>
    <row r="3326" spans="8:16" hidden="1" x14ac:dyDescent="0.25">
      <c r="H3326" s="12"/>
      <c r="I3326" s="12"/>
      <c r="J3326" s="12"/>
      <c r="K3326" s="12"/>
      <c r="L3326" s="12"/>
      <c r="M3326" s="11"/>
      <c r="N3326" s="11"/>
      <c r="O3326" s="11"/>
      <c r="P3326" s="11"/>
    </row>
    <row r="3327" spans="8:16" hidden="1" x14ac:dyDescent="0.25">
      <c r="H3327" s="12"/>
      <c r="I3327" s="12"/>
      <c r="J3327" s="12"/>
      <c r="K3327" s="12"/>
      <c r="L3327" s="12"/>
      <c r="M3327" s="11"/>
      <c r="N3327" s="11"/>
      <c r="O3327" s="11"/>
      <c r="P3327" s="11"/>
    </row>
    <row r="3328" spans="8:16" hidden="1" x14ac:dyDescent="0.25">
      <c r="H3328" s="12"/>
      <c r="I3328" s="12"/>
      <c r="J3328" s="12"/>
      <c r="K3328" s="12"/>
      <c r="L3328" s="12"/>
      <c r="M3328" s="11"/>
      <c r="N3328" s="11"/>
      <c r="O3328" s="11"/>
      <c r="P3328" s="11"/>
    </row>
    <row r="3329" spans="8:16" hidden="1" x14ac:dyDescent="0.25">
      <c r="H3329" s="12"/>
      <c r="I3329" s="12"/>
      <c r="J3329" s="12"/>
      <c r="K3329" s="12"/>
      <c r="L3329" s="12"/>
      <c r="M3329" s="11"/>
      <c r="N3329" s="11"/>
      <c r="O3329" s="11"/>
      <c r="P3329" s="11"/>
    </row>
    <row r="3330" spans="8:16" hidden="1" x14ac:dyDescent="0.25">
      <c r="H3330" s="12"/>
      <c r="I3330" s="12"/>
      <c r="J3330" s="12"/>
      <c r="K3330" s="12"/>
      <c r="L3330" s="12"/>
      <c r="M3330" s="11"/>
      <c r="N3330" s="11"/>
      <c r="O3330" s="11"/>
      <c r="P3330" s="11"/>
    </row>
    <row r="3331" spans="8:16" hidden="1" x14ac:dyDescent="0.25">
      <c r="H3331" s="12"/>
      <c r="I3331" s="12"/>
      <c r="J3331" s="12"/>
      <c r="K3331" s="12"/>
      <c r="L3331" s="12"/>
      <c r="M3331" s="11"/>
      <c r="N3331" s="11"/>
      <c r="O3331" s="11"/>
      <c r="P3331" s="11"/>
    </row>
    <row r="3332" spans="8:16" hidden="1" x14ac:dyDescent="0.25">
      <c r="H3332" s="12"/>
      <c r="I3332" s="12"/>
      <c r="J3332" s="12"/>
      <c r="K3332" s="12"/>
      <c r="L3332" s="12"/>
      <c r="M3332" s="11"/>
      <c r="N3332" s="11"/>
      <c r="O3332" s="11"/>
      <c r="P3332" s="11"/>
    </row>
    <row r="3333" spans="8:16" hidden="1" x14ac:dyDescent="0.25">
      <c r="H3333" s="12"/>
      <c r="I3333" s="12"/>
      <c r="J3333" s="12"/>
      <c r="K3333" s="12"/>
      <c r="L3333" s="12"/>
      <c r="M3333" s="11"/>
      <c r="N3333" s="11"/>
      <c r="O3333" s="11"/>
      <c r="P3333" s="11"/>
    </row>
    <row r="3334" spans="8:16" hidden="1" x14ac:dyDescent="0.25">
      <c r="H3334" s="12"/>
      <c r="I3334" s="12"/>
      <c r="J3334" s="12"/>
      <c r="K3334" s="12"/>
      <c r="L3334" s="12"/>
      <c r="M3334" s="11"/>
      <c r="N3334" s="11"/>
      <c r="O3334" s="11"/>
      <c r="P3334" s="11"/>
    </row>
    <row r="3335" spans="8:16" hidden="1" x14ac:dyDescent="0.25">
      <c r="H3335" s="12"/>
      <c r="I3335" s="12"/>
      <c r="J3335" s="12"/>
      <c r="K3335" s="12"/>
      <c r="L3335" s="12"/>
      <c r="M3335" s="11"/>
      <c r="N3335" s="11"/>
      <c r="O3335" s="11"/>
      <c r="P3335" s="11"/>
    </row>
    <row r="3336" spans="8:16" hidden="1" x14ac:dyDescent="0.25">
      <c r="H3336" s="12"/>
      <c r="I3336" s="12"/>
      <c r="J3336" s="12"/>
      <c r="K3336" s="12"/>
      <c r="L3336" s="12"/>
      <c r="M3336" s="11"/>
      <c r="N3336" s="11"/>
      <c r="O3336" s="11"/>
      <c r="P3336" s="11"/>
    </row>
    <row r="3337" spans="8:16" hidden="1" x14ac:dyDescent="0.25">
      <c r="H3337" s="12"/>
      <c r="I3337" s="12"/>
      <c r="J3337" s="12"/>
      <c r="K3337" s="12"/>
      <c r="L3337" s="12"/>
      <c r="M3337" s="11"/>
      <c r="N3337" s="11"/>
      <c r="O3337" s="11"/>
      <c r="P3337" s="11"/>
    </row>
    <row r="3338" spans="8:16" hidden="1" x14ac:dyDescent="0.25">
      <c r="H3338" s="12"/>
      <c r="I3338" s="12"/>
      <c r="J3338" s="12"/>
      <c r="K3338" s="12"/>
      <c r="L3338" s="12"/>
      <c r="M3338" s="11"/>
      <c r="N3338" s="11"/>
      <c r="O3338" s="11"/>
      <c r="P3338" s="11"/>
    </row>
    <row r="3339" spans="8:16" hidden="1" x14ac:dyDescent="0.25">
      <c r="H3339" s="12"/>
      <c r="I3339" s="12"/>
      <c r="J3339" s="12"/>
      <c r="K3339" s="12"/>
      <c r="L3339" s="12"/>
      <c r="M3339" s="11"/>
      <c r="N3339" s="11"/>
      <c r="O3339" s="11"/>
      <c r="P3339" s="11"/>
    </row>
    <row r="3340" spans="8:16" hidden="1" x14ac:dyDescent="0.25">
      <c r="H3340" s="12"/>
      <c r="I3340" s="12"/>
      <c r="J3340" s="12"/>
      <c r="K3340" s="12"/>
      <c r="L3340" s="12"/>
      <c r="M3340" s="11"/>
      <c r="N3340" s="11"/>
      <c r="O3340" s="11"/>
      <c r="P3340" s="11"/>
    </row>
    <row r="3341" spans="8:16" hidden="1" x14ac:dyDescent="0.25">
      <c r="H3341" s="12"/>
      <c r="I3341" s="12"/>
      <c r="J3341" s="12"/>
      <c r="K3341" s="12"/>
      <c r="L3341" s="12"/>
      <c r="M3341" s="11"/>
      <c r="N3341" s="11"/>
      <c r="O3341" s="11"/>
      <c r="P3341" s="11"/>
    </row>
    <row r="3342" spans="8:16" hidden="1" x14ac:dyDescent="0.25">
      <c r="H3342" s="12"/>
      <c r="I3342" s="12"/>
      <c r="J3342" s="12"/>
      <c r="K3342" s="12"/>
      <c r="L3342" s="12"/>
      <c r="M3342" s="11"/>
      <c r="N3342" s="11"/>
      <c r="O3342" s="11"/>
      <c r="P3342" s="11"/>
    </row>
    <row r="3343" spans="8:16" hidden="1" x14ac:dyDescent="0.25">
      <c r="H3343" s="12"/>
      <c r="I3343" s="12"/>
      <c r="J3343" s="12"/>
      <c r="K3343" s="12"/>
      <c r="L3343" s="12"/>
      <c r="M3343" s="11"/>
      <c r="N3343" s="11"/>
      <c r="O3343" s="11"/>
      <c r="P3343" s="11"/>
    </row>
    <row r="3344" spans="8:16" hidden="1" x14ac:dyDescent="0.25">
      <c r="H3344" s="12"/>
      <c r="I3344" s="12"/>
      <c r="J3344" s="12"/>
      <c r="K3344" s="12"/>
      <c r="L3344" s="12"/>
      <c r="M3344" s="11"/>
      <c r="N3344" s="11"/>
      <c r="O3344" s="11"/>
      <c r="P3344" s="11"/>
    </row>
    <row r="3345" spans="8:16" hidden="1" x14ac:dyDescent="0.25">
      <c r="H3345" s="12"/>
      <c r="I3345" s="12"/>
      <c r="J3345" s="12"/>
      <c r="K3345" s="12"/>
      <c r="L3345" s="12"/>
      <c r="M3345" s="11"/>
      <c r="N3345" s="11"/>
      <c r="O3345" s="11"/>
      <c r="P3345" s="11"/>
    </row>
    <row r="3346" spans="8:16" hidden="1" x14ac:dyDescent="0.25">
      <c r="H3346" s="12"/>
      <c r="I3346" s="12"/>
      <c r="J3346" s="12"/>
      <c r="K3346" s="12"/>
      <c r="L3346" s="12"/>
      <c r="M3346" s="11"/>
      <c r="N3346" s="11"/>
      <c r="O3346" s="11"/>
      <c r="P3346" s="11"/>
    </row>
    <row r="3347" spans="8:16" hidden="1" x14ac:dyDescent="0.25">
      <c r="H3347" s="12"/>
      <c r="I3347" s="12"/>
      <c r="J3347" s="12"/>
      <c r="K3347" s="12"/>
      <c r="L3347" s="12"/>
      <c r="M3347" s="11"/>
      <c r="N3347" s="11"/>
      <c r="O3347" s="11"/>
      <c r="P3347" s="11"/>
    </row>
    <row r="3348" spans="8:16" hidden="1" x14ac:dyDescent="0.25">
      <c r="H3348" s="12"/>
      <c r="I3348" s="12"/>
      <c r="J3348" s="12"/>
      <c r="K3348" s="12"/>
      <c r="L3348" s="12"/>
      <c r="M3348" s="11"/>
      <c r="N3348" s="11"/>
      <c r="O3348" s="11"/>
      <c r="P3348" s="11"/>
    </row>
    <row r="3349" spans="8:16" hidden="1" x14ac:dyDescent="0.25">
      <c r="H3349" s="12"/>
      <c r="I3349" s="12"/>
      <c r="J3349" s="12"/>
      <c r="K3349" s="12"/>
      <c r="L3349" s="12"/>
      <c r="M3349" s="11"/>
      <c r="N3349" s="11"/>
      <c r="O3349" s="11"/>
      <c r="P3349" s="11"/>
    </row>
    <row r="3350" spans="8:16" hidden="1" x14ac:dyDescent="0.25">
      <c r="H3350" s="12"/>
      <c r="I3350" s="12"/>
      <c r="J3350" s="12"/>
      <c r="K3350" s="12"/>
      <c r="L3350" s="12"/>
      <c r="M3350" s="11"/>
      <c r="N3350" s="11"/>
      <c r="O3350" s="11"/>
      <c r="P3350" s="11"/>
    </row>
    <row r="3351" spans="8:16" hidden="1" x14ac:dyDescent="0.25">
      <c r="H3351" s="12"/>
      <c r="I3351" s="12"/>
      <c r="J3351" s="12"/>
      <c r="K3351" s="12"/>
      <c r="L3351" s="12"/>
      <c r="M3351" s="11"/>
      <c r="N3351" s="11"/>
      <c r="O3351" s="11"/>
      <c r="P3351" s="11"/>
    </row>
    <row r="3352" spans="8:16" hidden="1" x14ac:dyDescent="0.25">
      <c r="H3352" s="12"/>
      <c r="I3352" s="12"/>
      <c r="J3352" s="12"/>
      <c r="K3352" s="12"/>
      <c r="L3352" s="12"/>
      <c r="M3352" s="11"/>
      <c r="N3352" s="11"/>
      <c r="O3352" s="11"/>
      <c r="P3352" s="11"/>
    </row>
    <row r="3353" spans="8:16" hidden="1" x14ac:dyDescent="0.25">
      <c r="H3353" s="12"/>
      <c r="I3353" s="12"/>
      <c r="J3353" s="12"/>
      <c r="K3353" s="12"/>
      <c r="L3353" s="12"/>
      <c r="M3353" s="11"/>
      <c r="N3353" s="11"/>
      <c r="O3353" s="11"/>
      <c r="P3353" s="11"/>
    </row>
    <row r="3354" spans="8:16" hidden="1" x14ac:dyDescent="0.25">
      <c r="H3354" s="12"/>
      <c r="I3354" s="12"/>
      <c r="J3354" s="12"/>
      <c r="K3354" s="12"/>
      <c r="L3354" s="12"/>
      <c r="M3354" s="11"/>
      <c r="N3354" s="11"/>
      <c r="O3354" s="11"/>
      <c r="P3354" s="11"/>
    </row>
    <row r="3355" spans="8:16" hidden="1" x14ac:dyDescent="0.25">
      <c r="H3355" s="12"/>
      <c r="I3355" s="12"/>
      <c r="J3355" s="12"/>
      <c r="K3355" s="12"/>
      <c r="L3355" s="12"/>
      <c r="M3355" s="11"/>
      <c r="N3355" s="11"/>
      <c r="O3355" s="11"/>
      <c r="P3355" s="11"/>
    </row>
    <row r="3356" spans="8:16" hidden="1" x14ac:dyDescent="0.25">
      <c r="H3356" s="12"/>
      <c r="I3356" s="12"/>
      <c r="J3356" s="12"/>
      <c r="K3356" s="12"/>
      <c r="L3356" s="12"/>
      <c r="M3356" s="11"/>
      <c r="N3356" s="11"/>
      <c r="O3356" s="11"/>
      <c r="P3356" s="11"/>
    </row>
    <row r="3357" spans="8:16" hidden="1" x14ac:dyDescent="0.25">
      <c r="H3357" s="12"/>
      <c r="I3357" s="12"/>
      <c r="J3357" s="12"/>
      <c r="K3357" s="12"/>
      <c r="L3357" s="12"/>
      <c r="M3357" s="11"/>
      <c r="N3357" s="11"/>
      <c r="O3357" s="11"/>
      <c r="P3357" s="11"/>
    </row>
    <row r="3358" spans="8:16" hidden="1" x14ac:dyDescent="0.25">
      <c r="H3358" s="12"/>
      <c r="I3358" s="12"/>
      <c r="J3358" s="12"/>
      <c r="K3358" s="12"/>
      <c r="L3358" s="12"/>
      <c r="M3358" s="11"/>
      <c r="N3358" s="11"/>
      <c r="O3358" s="11"/>
      <c r="P3358" s="11"/>
    </row>
    <row r="3359" spans="8:16" hidden="1" x14ac:dyDescent="0.25">
      <c r="H3359" s="12"/>
      <c r="I3359" s="12"/>
      <c r="J3359" s="12"/>
      <c r="K3359" s="12"/>
      <c r="L3359" s="12"/>
      <c r="M3359" s="11"/>
      <c r="N3359" s="11"/>
      <c r="O3359" s="11"/>
      <c r="P3359" s="11"/>
    </row>
    <row r="3360" spans="8:16" hidden="1" x14ac:dyDescent="0.25">
      <c r="H3360" s="12"/>
      <c r="I3360" s="12"/>
      <c r="J3360" s="12"/>
      <c r="K3360" s="12"/>
      <c r="L3360" s="12"/>
      <c r="M3360" s="11"/>
      <c r="N3360" s="11"/>
      <c r="O3360" s="11"/>
      <c r="P3360" s="11"/>
    </row>
    <row r="3361" spans="8:16" hidden="1" x14ac:dyDescent="0.25">
      <c r="H3361" s="12"/>
      <c r="I3361" s="12"/>
      <c r="J3361" s="12"/>
      <c r="K3361" s="12"/>
      <c r="L3361" s="12"/>
      <c r="M3361" s="11"/>
      <c r="N3361" s="11"/>
      <c r="O3361" s="11"/>
      <c r="P3361" s="11"/>
    </row>
    <row r="3362" spans="8:16" hidden="1" x14ac:dyDescent="0.25">
      <c r="H3362" s="12"/>
      <c r="I3362" s="12"/>
      <c r="J3362" s="12"/>
      <c r="K3362" s="12"/>
      <c r="L3362" s="12"/>
      <c r="M3362" s="11"/>
      <c r="N3362" s="11"/>
      <c r="O3362" s="11"/>
      <c r="P3362" s="11"/>
    </row>
    <row r="3363" spans="8:16" hidden="1" x14ac:dyDescent="0.25">
      <c r="H3363" s="12"/>
      <c r="I3363" s="12"/>
      <c r="J3363" s="12"/>
      <c r="K3363" s="12"/>
      <c r="L3363" s="12"/>
      <c r="M3363" s="11"/>
      <c r="N3363" s="11"/>
      <c r="O3363" s="11"/>
      <c r="P3363" s="11"/>
    </row>
    <row r="3364" spans="8:16" hidden="1" x14ac:dyDescent="0.25">
      <c r="H3364" s="12"/>
      <c r="I3364" s="12"/>
      <c r="J3364" s="12"/>
      <c r="K3364" s="12"/>
      <c r="L3364" s="12"/>
      <c r="M3364" s="11"/>
      <c r="N3364" s="11"/>
      <c r="O3364" s="11"/>
      <c r="P3364" s="11"/>
    </row>
    <row r="3365" spans="8:16" hidden="1" x14ac:dyDescent="0.25">
      <c r="H3365" s="12"/>
      <c r="I3365" s="12"/>
      <c r="J3365" s="12"/>
      <c r="K3365" s="12"/>
      <c r="L3365" s="12"/>
      <c r="M3365" s="11"/>
      <c r="N3365" s="11"/>
      <c r="O3365" s="11"/>
      <c r="P3365" s="11"/>
    </row>
    <row r="3366" spans="8:16" hidden="1" x14ac:dyDescent="0.25">
      <c r="H3366" s="12"/>
      <c r="I3366" s="12"/>
      <c r="J3366" s="12"/>
      <c r="K3366" s="12"/>
      <c r="L3366" s="12"/>
      <c r="M3366" s="11"/>
      <c r="N3366" s="11"/>
      <c r="O3366" s="11"/>
      <c r="P3366" s="11"/>
    </row>
    <row r="3367" spans="8:16" hidden="1" x14ac:dyDescent="0.25">
      <c r="H3367" s="12"/>
      <c r="I3367" s="12"/>
      <c r="J3367" s="12"/>
      <c r="K3367" s="12"/>
      <c r="L3367" s="12"/>
      <c r="M3367" s="11"/>
      <c r="N3367" s="11"/>
      <c r="O3367" s="11"/>
      <c r="P3367" s="11"/>
    </row>
    <row r="3368" spans="8:16" hidden="1" x14ac:dyDescent="0.25">
      <c r="H3368" s="12"/>
      <c r="I3368" s="12"/>
      <c r="J3368" s="12"/>
      <c r="K3368" s="12"/>
      <c r="L3368" s="12"/>
      <c r="M3368" s="11"/>
      <c r="N3368" s="11"/>
      <c r="O3368" s="11"/>
      <c r="P3368" s="11"/>
    </row>
    <row r="3369" spans="8:16" hidden="1" x14ac:dyDescent="0.25">
      <c r="H3369" s="12"/>
      <c r="I3369" s="12"/>
      <c r="J3369" s="12"/>
      <c r="K3369" s="12"/>
      <c r="L3369" s="12"/>
      <c r="M3369" s="11"/>
      <c r="N3369" s="11"/>
      <c r="O3369" s="11"/>
      <c r="P3369" s="11"/>
    </row>
    <row r="3370" spans="8:16" hidden="1" x14ac:dyDescent="0.25">
      <c r="H3370" s="12"/>
      <c r="I3370" s="12"/>
      <c r="J3370" s="12"/>
      <c r="K3370" s="12"/>
      <c r="L3370" s="12"/>
      <c r="M3370" s="11"/>
      <c r="N3370" s="11"/>
      <c r="O3370" s="11"/>
      <c r="P3370" s="11"/>
    </row>
    <row r="3371" spans="8:16" hidden="1" x14ac:dyDescent="0.25">
      <c r="H3371" s="12"/>
      <c r="I3371" s="12"/>
      <c r="J3371" s="12"/>
      <c r="K3371" s="12"/>
      <c r="L3371" s="12"/>
      <c r="M3371" s="11"/>
      <c r="N3371" s="11"/>
      <c r="O3371" s="11"/>
      <c r="P3371" s="11"/>
    </row>
    <row r="3372" spans="8:16" hidden="1" x14ac:dyDescent="0.25">
      <c r="H3372" s="12"/>
      <c r="I3372" s="12"/>
      <c r="J3372" s="12"/>
      <c r="K3372" s="12"/>
      <c r="L3372" s="12"/>
      <c r="M3372" s="11"/>
      <c r="N3372" s="11"/>
      <c r="O3372" s="11"/>
      <c r="P3372" s="11"/>
    </row>
    <row r="3373" spans="8:16" hidden="1" x14ac:dyDescent="0.25">
      <c r="H3373" s="12"/>
      <c r="I3373" s="12"/>
      <c r="J3373" s="12"/>
      <c r="K3373" s="12"/>
      <c r="L3373" s="12"/>
      <c r="M3373" s="11"/>
      <c r="N3373" s="11"/>
      <c r="O3373" s="11"/>
      <c r="P3373" s="11"/>
    </row>
    <row r="3374" spans="8:16" hidden="1" x14ac:dyDescent="0.25">
      <c r="H3374" s="12"/>
      <c r="I3374" s="12"/>
      <c r="J3374" s="12"/>
      <c r="K3374" s="12"/>
      <c r="L3374" s="12"/>
      <c r="M3374" s="11"/>
      <c r="N3374" s="11"/>
      <c r="O3374" s="11"/>
      <c r="P3374" s="11"/>
    </row>
    <row r="3375" spans="8:16" hidden="1" x14ac:dyDescent="0.25">
      <c r="H3375" s="12"/>
      <c r="I3375" s="12"/>
      <c r="J3375" s="12"/>
      <c r="K3375" s="12"/>
      <c r="L3375" s="12"/>
      <c r="M3375" s="11"/>
      <c r="N3375" s="11"/>
      <c r="O3375" s="11"/>
      <c r="P3375" s="11"/>
    </row>
    <row r="3376" spans="8:16" hidden="1" x14ac:dyDescent="0.25">
      <c r="H3376" s="12"/>
      <c r="I3376" s="12"/>
      <c r="J3376" s="12"/>
      <c r="K3376" s="12"/>
      <c r="L3376" s="12"/>
      <c r="M3376" s="11"/>
      <c r="N3376" s="11"/>
      <c r="O3376" s="11"/>
      <c r="P3376" s="11"/>
    </row>
    <row r="3377" spans="8:16" hidden="1" x14ac:dyDescent="0.25">
      <c r="H3377" s="12"/>
      <c r="I3377" s="12"/>
      <c r="J3377" s="12"/>
      <c r="K3377" s="12"/>
      <c r="L3377" s="12"/>
      <c r="M3377" s="11"/>
      <c r="N3377" s="11"/>
      <c r="O3377" s="11"/>
      <c r="P3377" s="11"/>
    </row>
    <row r="3378" spans="8:16" hidden="1" x14ac:dyDescent="0.25">
      <c r="H3378" s="12"/>
      <c r="I3378" s="12"/>
      <c r="J3378" s="12"/>
      <c r="K3378" s="12"/>
      <c r="L3378" s="12"/>
      <c r="M3378" s="11"/>
      <c r="N3378" s="11"/>
      <c r="O3378" s="11"/>
      <c r="P3378" s="11"/>
    </row>
    <row r="3379" spans="8:16" hidden="1" x14ac:dyDescent="0.25">
      <c r="H3379" s="12"/>
      <c r="I3379" s="12"/>
      <c r="J3379" s="12"/>
      <c r="K3379" s="12"/>
      <c r="L3379" s="12"/>
      <c r="M3379" s="11"/>
      <c r="N3379" s="11"/>
      <c r="O3379" s="11"/>
      <c r="P3379" s="11"/>
    </row>
    <row r="3380" spans="8:16" hidden="1" x14ac:dyDescent="0.25">
      <c r="H3380" s="12"/>
      <c r="I3380" s="12"/>
      <c r="J3380" s="12"/>
      <c r="K3380" s="12"/>
      <c r="L3380" s="12"/>
      <c r="M3380" s="11"/>
      <c r="N3380" s="11"/>
      <c r="O3380" s="11"/>
      <c r="P3380" s="11"/>
    </row>
    <row r="3381" spans="8:16" hidden="1" x14ac:dyDescent="0.25">
      <c r="H3381" s="12"/>
      <c r="I3381" s="12"/>
      <c r="J3381" s="12"/>
      <c r="K3381" s="12"/>
      <c r="L3381" s="12"/>
      <c r="M3381" s="11"/>
      <c r="N3381" s="11"/>
      <c r="O3381" s="11"/>
      <c r="P3381" s="11"/>
    </row>
    <row r="3382" spans="8:16" hidden="1" x14ac:dyDescent="0.25">
      <c r="H3382" s="12"/>
      <c r="I3382" s="12"/>
      <c r="J3382" s="12"/>
      <c r="K3382" s="12"/>
      <c r="L3382" s="12"/>
      <c r="M3382" s="11"/>
      <c r="N3382" s="11"/>
      <c r="O3382" s="11"/>
      <c r="P3382" s="11"/>
    </row>
    <row r="3383" spans="8:16" hidden="1" x14ac:dyDescent="0.25">
      <c r="H3383" s="12"/>
      <c r="I3383" s="12"/>
      <c r="J3383" s="12"/>
      <c r="K3383" s="12"/>
      <c r="L3383" s="12"/>
      <c r="M3383" s="11"/>
      <c r="N3383" s="11"/>
      <c r="O3383" s="11"/>
      <c r="P3383" s="11"/>
    </row>
    <row r="3384" spans="8:16" hidden="1" x14ac:dyDescent="0.25">
      <c r="H3384" s="12"/>
      <c r="I3384" s="12"/>
      <c r="J3384" s="12"/>
      <c r="K3384" s="12"/>
      <c r="L3384" s="12"/>
      <c r="M3384" s="11"/>
      <c r="N3384" s="11"/>
      <c r="O3384" s="11"/>
      <c r="P3384" s="11"/>
    </row>
    <row r="3385" spans="8:16" hidden="1" x14ac:dyDescent="0.25">
      <c r="H3385" s="12"/>
      <c r="I3385" s="12"/>
      <c r="J3385" s="12"/>
      <c r="K3385" s="12"/>
      <c r="L3385" s="12"/>
      <c r="M3385" s="11"/>
      <c r="N3385" s="11"/>
      <c r="O3385" s="11"/>
      <c r="P3385" s="11"/>
    </row>
    <row r="3386" spans="8:16" hidden="1" x14ac:dyDescent="0.25">
      <c r="H3386" s="12"/>
      <c r="I3386" s="12"/>
      <c r="J3386" s="12"/>
      <c r="K3386" s="12"/>
      <c r="L3386" s="12"/>
      <c r="M3386" s="11"/>
      <c r="N3386" s="11"/>
      <c r="O3386" s="11"/>
      <c r="P3386" s="11"/>
    </row>
    <row r="3387" spans="8:16" hidden="1" x14ac:dyDescent="0.25">
      <c r="H3387" s="12"/>
      <c r="I3387" s="12"/>
      <c r="J3387" s="12"/>
      <c r="K3387" s="12"/>
      <c r="L3387" s="12"/>
      <c r="M3387" s="11"/>
      <c r="N3387" s="11"/>
      <c r="O3387" s="11"/>
      <c r="P3387" s="11"/>
    </row>
    <row r="3388" spans="8:16" hidden="1" x14ac:dyDescent="0.25">
      <c r="H3388" s="12"/>
      <c r="I3388" s="12"/>
      <c r="J3388" s="12"/>
      <c r="K3388" s="12"/>
      <c r="L3388" s="12"/>
      <c r="M3388" s="11"/>
      <c r="N3388" s="11"/>
      <c r="O3388" s="11"/>
      <c r="P3388" s="11"/>
    </row>
    <row r="3389" spans="8:16" hidden="1" x14ac:dyDescent="0.25">
      <c r="H3389" s="12"/>
      <c r="I3389" s="12"/>
      <c r="J3389" s="12"/>
      <c r="K3389" s="12"/>
      <c r="L3389" s="12"/>
      <c r="M3389" s="11"/>
      <c r="N3389" s="11"/>
      <c r="O3389" s="11"/>
      <c r="P3389" s="11"/>
    </row>
    <row r="3390" spans="8:16" hidden="1" x14ac:dyDescent="0.25">
      <c r="H3390" s="12"/>
      <c r="I3390" s="12"/>
      <c r="J3390" s="12"/>
      <c r="K3390" s="12"/>
      <c r="L3390" s="12"/>
      <c r="M3390" s="11"/>
      <c r="N3390" s="11"/>
      <c r="O3390" s="11"/>
      <c r="P3390" s="11"/>
    </row>
    <row r="3391" spans="8:16" hidden="1" x14ac:dyDescent="0.25">
      <c r="H3391" s="12"/>
      <c r="I3391" s="12"/>
      <c r="J3391" s="12"/>
      <c r="K3391" s="12"/>
      <c r="L3391" s="12"/>
      <c r="M3391" s="11"/>
      <c r="N3391" s="11"/>
      <c r="O3391" s="11"/>
      <c r="P3391" s="11"/>
    </row>
    <row r="3392" spans="8:16" hidden="1" x14ac:dyDescent="0.25">
      <c r="H3392" s="12"/>
      <c r="I3392" s="12"/>
      <c r="J3392" s="12"/>
      <c r="K3392" s="12"/>
      <c r="L3392" s="12"/>
      <c r="M3392" s="11"/>
      <c r="N3392" s="11"/>
      <c r="O3392" s="11"/>
      <c r="P3392" s="11"/>
    </row>
    <row r="3393" spans="8:16" hidden="1" x14ac:dyDescent="0.25">
      <c r="H3393" s="12"/>
      <c r="I3393" s="12"/>
      <c r="J3393" s="12"/>
      <c r="K3393" s="12"/>
      <c r="L3393" s="12"/>
      <c r="M3393" s="11"/>
      <c r="N3393" s="11"/>
      <c r="O3393" s="11"/>
      <c r="P3393" s="11"/>
    </row>
    <row r="3394" spans="8:16" hidden="1" x14ac:dyDescent="0.25">
      <c r="H3394" s="12"/>
      <c r="I3394" s="12"/>
      <c r="J3394" s="12"/>
      <c r="K3394" s="12"/>
      <c r="L3394" s="12"/>
      <c r="M3394" s="11"/>
      <c r="N3394" s="11"/>
      <c r="O3394" s="11"/>
      <c r="P3394" s="11"/>
    </row>
    <row r="3395" spans="8:16" hidden="1" x14ac:dyDescent="0.25">
      <c r="H3395" s="12"/>
      <c r="I3395" s="12"/>
      <c r="J3395" s="12"/>
      <c r="K3395" s="12"/>
      <c r="L3395" s="12"/>
      <c r="M3395" s="11"/>
      <c r="N3395" s="11"/>
      <c r="O3395" s="11"/>
      <c r="P3395" s="11"/>
    </row>
    <row r="3396" spans="8:16" hidden="1" x14ac:dyDescent="0.25">
      <c r="H3396" s="12"/>
      <c r="I3396" s="12"/>
      <c r="J3396" s="12"/>
      <c r="K3396" s="12"/>
      <c r="L3396" s="12"/>
      <c r="M3396" s="11"/>
      <c r="N3396" s="11"/>
      <c r="O3396" s="11"/>
      <c r="P3396" s="11"/>
    </row>
    <row r="3397" spans="8:16" hidden="1" x14ac:dyDescent="0.25">
      <c r="H3397" s="12"/>
      <c r="I3397" s="12"/>
      <c r="J3397" s="12"/>
      <c r="K3397" s="12"/>
      <c r="L3397" s="12"/>
      <c r="M3397" s="11"/>
      <c r="N3397" s="11"/>
      <c r="O3397" s="11"/>
      <c r="P3397" s="11"/>
    </row>
    <row r="3398" spans="8:16" hidden="1" x14ac:dyDescent="0.25">
      <c r="H3398" s="12"/>
      <c r="I3398" s="12"/>
      <c r="J3398" s="12"/>
      <c r="K3398" s="12"/>
      <c r="L3398" s="12"/>
      <c r="M3398" s="11"/>
      <c r="N3398" s="11"/>
      <c r="O3398" s="11"/>
      <c r="P3398" s="11"/>
    </row>
    <row r="3399" spans="8:16" hidden="1" x14ac:dyDescent="0.25">
      <c r="H3399" s="12"/>
      <c r="I3399" s="12"/>
      <c r="J3399" s="12"/>
      <c r="K3399" s="12"/>
      <c r="L3399" s="12"/>
      <c r="M3399" s="11"/>
      <c r="N3399" s="11"/>
      <c r="O3399" s="11"/>
      <c r="P3399" s="11"/>
    </row>
    <row r="3400" spans="8:16" hidden="1" x14ac:dyDescent="0.25">
      <c r="H3400" s="12"/>
      <c r="I3400" s="12"/>
      <c r="J3400" s="12"/>
      <c r="K3400" s="12"/>
      <c r="L3400" s="12"/>
      <c r="M3400" s="11"/>
      <c r="N3400" s="11"/>
      <c r="O3400" s="11"/>
      <c r="P3400" s="11"/>
    </row>
    <row r="3401" spans="8:16" hidden="1" x14ac:dyDescent="0.25">
      <c r="H3401" s="12"/>
      <c r="I3401" s="12"/>
      <c r="J3401" s="12"/>
      <c r="K3401" s="12"/>
      <c r="L3401" s="12"/>
      <c r="M3401" s="11"/>
      <c r="N3401" s="11"/>
      <c r="O3401" s="11"/>
      <c r="P3401" s="11"/>
    </row>
    <row r="3402" spans="8:16" hidden="1" x14ac:dyDescent="0.25">
      <c r="H3402" s="12"/>
      <c r="I3402" s="12"/>
      <c r="J3402" s="12"/>
      <c r="K3402" s="12"/>
      <c r="L3402" s="12"/>
      <c r="M3402" s="11"/>
      <c r="N3402" s="11"/>
      <c r="O3402" s="11"/>
      <c r="P3402" s="11"/>
    </row>
    <row r="3403" spans="8:16" hidden="1" x14ac:dyDescent="0.25">
      <c r="H3403" s="12"/>
      <c r="I3403" s="12"/>
      <c r="J3403" s="12"/>
      <c r="K3403" s="12"/>
      <c r="L3403" s="12"/>
      <c r="M3403" s="11"/>
      <c r="N3403" s="11"/>
      <c r="O3403" s="11"/>
      <c r="P3403" s="11"/>
    </row>
    <row r="3404" spans="8:16" hidden="1" x14ac:dyDescent="0.25">
      <c r="H3404" s="12"/>
      <c r="I3404" s="12"/>
      <c r="J3404" s="12"/>
      <c r="K3404" s="12"/>
      <c r="L3404" s="12"/>
      <c r="M3404" s="11"/>
      <c r="N3404" s="11"/>
      <c r="O3404" s="11"/>
      <c r="P3404" s="11"/>
    </row>
    <row r="3405" spans="8:16" hidden="1" x14ac:dyDescent="0.25">
      <c r="H3405" s="12"/>
      <c r="I3405" s="12"/>
      <c r="J3405" s="12"/>
      <c r="K3405" s="12"/>
      <c r="L3405" s="12"/>
      <c r="M3405" s="11"/>
      <c r="N3405" s="11"/>
      <c r="O3405" s="11"/>
      <c r="P3405" s="11"/>
    </row>
    <row r="3406" spans="8:16" hidden="1" x14ac:dyDescent="0.25">
      <c r="H3406" s="12"/>
      <c r="I3406" s="12"/>
      <c r="J3406" s="12"/>
      <c r="K3406" s="12"/>
      <c r="L3406" s="12"/>
      <c r="M3406" s="11"/>
      <c r="N3406" s="11"/>
      <c r="O3406" s="11"/>
      <c r="P3406" s="11"/>
    </row>
    <row r="3407" spans="8:16" hidden="1" x14ac:dyDescent="0.25">
      <c r="H3407" s="12"/>
      <c r="I3407" s="12"/>
      <c r="J3407" s="12"/>
      <c r="K3407" s="12"/>
      <c r="L3407" s="12"/>
      <c r="M3407" s="11"/>
      <c r="N3407" s="11"/>
      <c r="O3407" s="11"/>
      <c r="P3407" s="11"/>
    </row>
    <row r="3408" spans="8:16" hidden="1" x14ac:dyDescent="0.25">
      <c r="H3408" s="12"/>
      <c r="I3408" s="12"/>
      <c r="J3408" s="12"/>
      <c r="K3408" s="12"/>
      <c r="L3408" s="12"/>
      <c r="M3408" s="11"/>
      <c r="N3408" s="11"/>
      <c r="O3408" s="11"/>
      <c r="P3408" s="11"/>
    </row>
    <row r="3409" spans="8:16" hidden="1" x14ac:dyDescent="0.25">
      <c r="H3409" s="12"/>
      <c r="I3409" s="12"/>
      <c r="J3409" s="12"/>
      <c r="K3409" s="12"/>
      <c r="L3409" s="12"/>
      <c r="M3409" s="11"/>
      <c r="N3409" s="11"/>
      <c r="O3409" s="11"/>
      <c r="P3409" s="11"/>
    </row>
    <row r="3410" spans="8:16" hidden="1" x14ac:dyDescent="0.25">
      <c r="H3410" s="12"/>
      <c r="I3410" s="12"/>
      <c r="J3410" s="12"/>
      <c r="K3410" s="12"/>
      <c r="L3410" s="12"/>
      <c r="M3410" s="11"/>
      <c r="N3410" s="11"/>
      <c r="O3410" s="11"/>
      <c r="P3410" s="11"/>
    </row>
    <row r="3411" spans="8:16" hidden="1" x14ac:dyDescent="0.25">
      <c r="H3411" s="12"/>
      <c r="I3411" s="12"/>
      <c r="J3411" s="12"/>
      <c r="K3411" s="12"/>
      <c r="L3411" s="12"/>
      <c r="M3411" s="11"/>
      <c r="N3411" s="11"/>
      <c r="O3411" s="11"/>
      <c r="P3411" s="11"/>
    </row>
    <row r="3412" spans="8:16" hidden="1" x14ac:dyDescent="0.25">
      <c r="H3412" s="12"/>
      <c r="I3412" s="12"/>
      <c r="J3412" s="12"/>
      <c r="K3412" s="12"/>
      <c r="L3412" s="12"/>
      <c r="M3412" s="11"/>
      <c r="N3412" s="11"/>
      <c r="O3412" s="11"/>
      <c r="P3412" s="11"/>
    </row>
    <row r="3413" spans="8:16" hidden="1" x14ac:dyDescent="0.25">
      <c r="H3413" s="12"/>
      <c r="I3413" s="12"/>
      <c r="J3413" s="12"/>
      <c r="K3413" s="12"/>
      <c r="L3413" s="12"/>
      <c r="M3413" s="11"/>
      <c r="N3413" s="11"/>
      <c r="O3413" s="11"/>
      <c r="P3413" s="11"/>
    </row>
    <row r="3414" spans="8:16" hidden="1" x14ac:dyDescent="0.25">
      <c r="H3414" s="12"/>
      <c r="I3414" s="12"/>
      <c r="J3414" s="12"/>
      <c r="K3414" s="12"/>
      <c r="L3414" s="12"/>
      <c r="M3414" s="11"/>
      <c r="N3414" s="11"/>
      <c r="O3414" s="11"/>
      <c r="P3414" s="11"/>
    </row>
    <row r="3415" spans="8:16" hidden="1" x14ac:dyDescent="0.25">
      <c r="H3415" s="12"/>
      <c r="I3415" s="12"/>
      <c r="J3415" s="12"/>
      <c r="K3415" s="12"/>
      <c r="L3415" s="12"/>
      <c r="M3415" s="11"/>
      <c r="N3415" s="11"/>
      <c r="O3415" s="11"/>
      <c r="P3415" s="11"/>
    </row>
    <row r="3416" spans="8:16" hidden="1" x14ac:dyDescent="0.25">
      <c r="H3416" s="12"/>
      <c r="I3416" s="12"/>
      <c r="J3416" s="12"/>
      <c r="K3416" s="12"/>
      <c r="L3416" s="12"/>
      <c r="M3416" s="11"/>
      <c r="N3416" s="11"/>
      <c r="O3416" s="11"/>
      <c r="P3416" s="11"/>
    </row>
    <row r="3417" spans="8:16" hidden="1" x14ac:dyDescent="0.25">
      <c r="H3417" s="12"/>
      <c r="I3417" s="12"/>
      <c r="J3417" s="12"/>
      <c r="K3417" s="12"/>
      <c r="L3417" s="12"/>
      <c r="M3417" s="11"/>
      <c r="N3417" s="11"/>
      <c r="O3417" s="11"/>
      <c r="P3417" s="11"/>
    </row>
    <row r="3418" spans="8:16" hidden="1" x14ac:dyDescent="0.25">
      <c r="H3418" s="12"/>
      <c r="I3418" s="12"/>
      <c r="J3418" s="12"/>
      <c r="K3418" s="12"/>
      <c r="L3418" s="12"/>
      <c r="M3418" s="11"/>
      <c r="N3418" s="11"/>
      <c r="O3418" s="11"/>
      <c r="P3418" s="11"/>
    </row>
    <row r="3419" spans="8:16" hidden="1" x14ac:dyDescent="0.25">
      <c r="H3419" s="12"/>
      <c r="I3419" s="12"/>
      <c r="J3419" s="12"/>
      <c r="K3419" s="12"/>
      <c r="L3419" s="12"/>
      <c r="M3419" s="11"/>
      <c r="N3419" s="11"/>
      <c r="O3419" s="11"/>
      <c r="P3419" s="11"/>
    </row>
    <row r="3420" spans="8:16" hidden="1" x14ac:dyDescent="0.25">
      <c r="H3420" s="12"/>
      <c r="I3420" s="12"/>
      <c r="J3420" s="12"/>
      <c r="K3420" s="12"/>
      <c r="L3420" s="12"/>
      <c r="M3420" s="11"/>
      <c r="N3420" s="11"/>
      <c r="O3420" s="11"/>
      <c r="P3420" s="11"/>
    </row>
    <row r="3421" spans="8:16" hidden="1" x14ac:dyDescent="0.25">
      <c r="H3421" s="12"/>
      <c r="I3421" s="12"/>
      <c r="J3421" s="12"/>
      <c r="K3421" s="12"/>
      <c r="L3421" s="12"/>
      <c r="M3421" s="11"/>
      <c r="N3421" s="11"/>
      <c r="O3421" s="11"/>
      <c r="P3421" s="11"/>
    </row>
    <row r="3422" spans="8:16" hidden="1" x14ac:dyDescent="0.25">
      <c r="H3422" s="12"/>
      <c r="I3422" s="12"/>
      <c r="J3422" s="12"/>
      <c r="K3422" s="12"/>
      <c r="L3422" s="12"/>
      <c r="M3422" s="11"/>
      <c r="N3422" s="11"/>
      <c r="O3422" s="11"/>
      <c r="P3422" s="11"/>
    </row>
    <row r="3423" spans="8:16" hidden="1" x14ac:dyDescent="0.25">
      <c r="H3423" s="12"/>
      <c r="I3423" s="12"/>
      <c r="J3423" s="12"/>
      <c r="K3423" s="12"/>
      <c r="L3423" s="12"/>
      <c r="M3423" s="11"/>
      <c r="N3423" s="11"/>
      <c r="O3423" s="11"/>
      <c r="P3423" s="11"/>
    </row>
    <row r="3424" spans="8:16" hidden="1" x14ac:dyDescent="0.25">
      <c r="H3424" s="12"/>
      <c r="I3424" s="12"/>
      <c r="J3424" s="12"/>
      <c r="K3424" s="12"/>
      <c r="L3424" s="12"/>
      <c r="M3424" s="11"/>
      <c r="N3424" s="11"/>
      <c r="O3424" s="11"/>
      <c r="P3424" s="11"/>
    </row>
    <row r="3425" spans="8:16" hidden="1" x14ac:dyDescent="0.25">
      <c r="H3425" s="12"/>
      <c r="I3425" s="12"/>
      <c r="J3425" s="12"/>
      <c r="K3425" s="12"/>
      <c r="L3425" s="12"/>
      <c r="M3425" s="11"/>
      <c r="N3425" s="11"/>
      <c r="O3425" s="11"/>
      <c r="P3425" s="11"/>
    </row>
    <row r="3426" spans="8:16" hidden="1" x14ac:dyDescent="0.25">
      <c r="H3426" s="12"/>
      <c r="I3426" s="12"/>
      <c r="J3426" s="12"/>
      <c r="K3426" s="12"/>
      <c r="L3426" s="12"/>
      <c r="M3426" s="11"/>
      <c r="N3426" s="11"/>
      <c r="O3426" s="11"/>
      <c r="P3426" s="11"/>
    </row>
    <row r="3427" spans="8:16" hidden="1" x14ac:dyDescent="0.25">
      <c r="H3427" s="12"/>
      <c r="I3427" s="12"/>
      <c r="J3427" s="12"/>
      <c r="K3427" s="12"/>
      <c r="L3427" s="12"/>
      <c r="M3427" s="11"/>
      <c r="N3427" s="11"/>
      <c r="O3427" s="11"/>
      <c r="P3427" s="11"/>
    </row>
    <row r="3428" spans="8:16" hidden="1" x14ac:dyDescent="0.25">
      <c r="H3428" s="12"/>
      <c r="I3428" s="12"/>
      <c r="J3428" s="12"/>
      <c r="K3428" s="12"/>
      <c r="L3428" s="12"/>
      <c r="M3428" s="11"/>
      <c r="N3428" s="11"/>
      <c r="O3428" s="11"/>
      <c r="P3428" s="11"/>
    </row>
    <row r="3429" spans="8:16" hidden="1" x14ac:dyDescent="0.25">
      <c r="H3429" s="12"/>
      <c r="I3429" s="12"/>
      <c r="J3429" s="12"/>
      <c r="K3429" s="12"/>
      <c r="L3429" s="12"/>
      <c r="M3429" s="11"/>
      <c r="N3429" s="11"/>
      <c r="O3429" s="11"/>
      <c r="P3429" s="11"/>
    </row>
    <row r="3430" spans="8:16" hidden="1" x14ac:dyDescent="0.25">
      <c r="H3430" s="12"/>
      <c r="I3430" s="12"/>
      <c r="J3430" s="12"/>
      <c r="K3430" s="12"/>
      <c r="L3430" s="12"/>
      <c r="M3430" s="11"/>
      <c r="N3430" s="11"/>
      <c r="O3430" s="11"/>
      <c r="P3430" s="11"/>
    </row>
    <row r="3431" spans="8:16" hidden="1" x14ac:dyDescent="0.25">
      <c r="H3431" s="12"/>
      <c r="I3431" s="12"/>
      <c r="J3431" s="12"/>
      <c r="K3431" s="12"/>
      <c r="L3431" s="12"/>
      <c r="M3431" s="11"/>
      <c r="N3431" s="11"/>
      <c r="O3431" s="11"/>
      <c r="P3431" s="11"/>
    </row>
    <row r="3432" spans="8:16" hidden="1" x14ac:dyDescent="0.25">
      <c r="H3432" s="12"/>
      <c r="I3432" s="12"/>
      <c r="J3432" s="12"/>
      <c r="K3432" s="12"/>
      <c r="L3432" s="12"/>
      <c r="M3432" s="11"/>
      <c r="N3432" s="11"/>
      <c r="O3432" s="11"/>
      <c r="P3432" s="11"/>
    </row>
    <row r="3433" spans="8:16" hidden="1" x14ac:dyDescent="0.25">
      <c r="H3433" s="12"/>
      <c r="I3433" s="12"/>
      <c r="J3433" s="12"/>
      <c r="K3433" s="12"/>
      <c r="L3433" s="12"/>
      <c r="M3433" s="11"/>
      <c r="N3433" s="11"/>
      <c r="O3433" s="11"/>
      <c r="P3433" s="11"/>
    </row>
    <row r="3434" spans="8:16" hidden="1" x14ac:dyDescent="0.25">
      <c r="H3434" s="12"/>
      <c r="I3434" s="12"/>
      <c r="J3434" s="12"/>
      <c r="K3434" s="12"/>
      <c r="L3434" s="12"/>
      <c r="M3434" s="11"/>
      <c r="N3434" s="11"/>
      <c r="O3434" s="11"/>
      <c r="P3434" s="11"/>
    </row>
    <row r="3435" spans="8:16" hidden="1" x14ac:dyDescent="0.25">
      <c r="H3435" s="12"/>
      <c r="I3435" s="12"/>
      <c r="J3435" s="12"/>
      <c r="K3435" s="12"/>
      <c r="L3435" s="12"/>
      <c r="M3435" s="11"/>
      <c r="N3435" s="11"/>
      <c r="O3435" s="11"/>
      <c r="P3435" s="11"/>
    </row>
    <row r="3436" spans="8:16" hidden="1" x14ac:dyDescent="0.25">
      <c r="H3436" s="12"/>
      <c r="I3436" s="12"/>
      <c r="J3436" s="12"/>
      <c r="K3436" s="12"/>
      <c r="L3436" s="12"/>
      <c r="M3436" s="11"/>
      <c r="N3436" s="11"/>
      <c r="O3436" s="11"/>
      <c r="P3436" s="11"/>
    </row>
    <row r="3437" spans="8:16" hidden="1" x14ac:dyDescent="0.25">
      <c r="H3437" s="12"/>
      <c r="I3437" s="12"/>
      <c r="J3437" s="12"/>
      <c r="K3437" s="12"/>
      <c r="L3437" s="12"/>
      <c r="M3437" s="11"/>
      <c r="N3437" s="11"/>
      <c r="O3437" s="11"/>
      <c r="P3437" s="11"/>
    </row>
    <row r="3438" spans="8:16" hidden="1" x14ac:dyDescent="0.25">
      <c r="H3438" s="12"/>
      <c r="I3438" s="12"/>
      <c r="J3438" s="12"/>
      <c r="K3438" s="12"/>
      <c r="L3438" s="12"/>
      <c r="M3438" s="11"/>
      <c r="N3438" s="11"/>
      <c r="O3438" s="11"/>
      <c r="P3438" s="11"/>
    </row>
    <row r="3439" spans="8:16" hidden="1" x14ac:dyDescent="0.25">
      <c r="H3439" s="12"/>
      <c r="I3439" s="12"/>
      <c r="J3439" s="12"/>
      <c r="K3439" s="12"/>
      <c r="L3439" s="12"/>
      <c r="M3439" s="11"/>
      <c r="N3439" s="11"/>
      <c r="O3439" s="11"/>
      <c r="P3439" s="11"/>
    </row>
    <row r="3440" spans="8:16" hidden="1" x14ac:dyDescent="0.25">
      <c r="H3440" s="12"/>
      <c r="I3440" s="12"/>
      <c r="J3440" s="12"/>
      <c r="K3440" s="12"/>
      <c r="L3440" s="12"/>
      <c r="M3440" s="11"/>
      <c r="N3440" s="11"/>
      <c r="O3440" s="11"/>
      <c r="P3440" s="11"/>
    </row>
    <row r="3441" spans="8:16" hidden="1" x14ac:dyDescent="0.25">
      <c r="H3441" s="12"/>
      <c r="I3441" s="12"/>
      <c r="J3441" s="12"/>
      <c r="K3441" s="12"/>
      <c r="L3441" s="12"/>
      <c r="M3441" s="11"/>
      <c r="N3441" s="11"/>
      <c r="O3441" s="11"/>
      <c r="P3441" s="11"/>
    </row>
    <row r="3442" spans="8:16" hidden="1" x14ac:dyDescent="0.25">
      <c r="H3442" s="12"/>
      <c r="I3442" s="12"/>
      <c r="J3442" s="12"/>
      <c r="K3442" s="12"/>
      <c r="L3442" s="12"/>
      <c r="M3442" s="11"/>
      <c r="N3442" s="11"/>
      <c r="O3442" s="11"/>
      <c r="P3442" s="11"/>
    </row>
    <row r="3443" spans="8:16" hidden="1" x14ac:dyDescent="0.25">
      <c r="H3443" s="12"/>
      <c r="I3443" s="12"/>
      <c r="J3443" s="12"/>
      <c r="K3443" s="12"/>
      <c r="L3443" s="12"/>
      <c r="M3443" s="11"/>
      <c r="N3443" s="11"/>
      <c r="O3443" s="11"/>
      <c r="P3443" s="11"/>
    </row>
    <row r="3444" spans="8:16" hidden="1" x14ac:dyDescent="0.25">
      <c r="H3444" s="12"/>
      <c r="I3444" s="12"/>
      <c r="J3444" s="12"/>
      <c r="K3444" s="12"/>
      <c r="L3444" s="12"/>
      <c r="M3444" s="11"/>
      <c r="N3444" s="11"/>
      <c r="O3444" s="11"/>
      <c r="P3444" s="11"/>
    </row>
    <row r="3445" spans="8:16" hidden="1" x14ac:dyDescent="0.25">
      <c r="H3445" s="12"/>
      <c r="I3445" s="12"/>
      <c r="J3445" s="12"/>
      <c r="K3445" s="12"/>
      <c r="L3445" s="12"/>
      <c r="M3445" s="11"/>
      <c r="N3445" s="11"/>
      <c r="O3445" s="11"/>
      <c r="P3445" s="11"/>
    </row>
    <row r="3446" spans="8:16" hidden="1" x14ac:dyDescent="0.25">
      <c r="H3446" s="12"/>
      <c r="I3446" s="12"/>
      <c r="J3446" s="12"/>
      <c r="K3446" s="12"/>
      <c r="L3446" s="12"/>
      <c r="M3446" s="11"/>
      <c r="N3446" s="11"/>
      <c r="O3446" s="11"/>
      <c r="P3446" s="11"/>
    </row>
    <row r="3447" spans="8:16" hidden="1" x14ac:dyDescent="0.25">
      <c r="H3447" s="12"/>
      <c r="I3447" s="12"/>
      <c r="J3447" s="12"/>
      <c r="K3447" s="12"/>
      <c r="L3447" s="12"/>
      <c r="M3447" s="11"/>
      <c r="N3447" s="11"/>
      <c r="O3447" s="11"/>
      <c r="P3447" s="11"/>
    </row>
    <row r="3448" spans="8:16" hidden="1" x14ac:dyDescent="0.25">
      <c r="H3448" s="12"/>
      <c r="I3448" s="12"/>
      <c r="J3448" s="12"/>
      <c r="K3448" s="12"/>
      <c r="L3448" s="12"/>
      <c r="M3448" s="11"/>
      <c r="N3448" s="11"/>
      <c r="O3448" s="11"/>
      <c r="P3448" s="11"/>
    </row>
    <row r="3449" spans="8:16" hidden="1" x14ac:dyDescent="0.25">
      <c r="H3449" s="12"/>
      <c r="I3449" s="12"/>
      <c r="J3449" s="12"/>
      <c r="K3449" s="12"/>
      <c r="L3449" s="12"/>
      <c r="M3449" s="11"/>
      <c r="N3449" s="11"/>
      <c r="O3449" s="11"/>
      <c r="P3449" s="11"/>
    </row>
    <row r="3450" spans="8:16" hidden="1" x14ac:dyDescent="0.25">
      <c r="H3450" s="12"/>
      <c r="I3450" s="12"/>
      <c r="J3450" s="12"/>
      <c r="K3450" s="12"/>
      <c r="L3450" s="12"/>
      <c r="M3450" s="11"/>
      <c r="N3450" s="11"/>
      <c r="O3450" s="11"/>
      <c r="P3450" s="11"/>
    </row>
    <row r="3451" spans="8:16" hidden="1" x14ac:dyDescent="0.25">
      <c r="H3451" s="12"/>
      <c r="I3451" s="12"/>
      <c r="J3451" s="12"/>
      <c r="K3451" s="12"/>
      <c r="L3451" s="12"/>
      <c r="M3451" s="11"/>
      <c r="N3451" s="11"/>
      <c r="O3451" s="11"/>
      <c r="P3451" s="11"/>
    </row>
    <row r="3452" spans="8:16" hidden="1" x14ac:dyDescent="0.25">
      <c r="H3452" s="12"/>
      <c r="I3452" s="12"/>
      <c r="J3452" s="12"/>
      <c r="K3452" s="12"/>
      <c r="L3452" s="12"/>
      <c r="M3452" s="11"/>
      <c r="N3452" s="11"/>
      <c r="O3452" s="11"/>
      <c r="P3452" s="11"/>
    </row>
    <row r="3453" spans="8:16" hidden="1" x14ac:dyDescent="0.25">
      <c r="H3453" s="12"/>
      <c r="I3453" s="12"/>
      <c r="J3453" s="12"/>
      <c r="K3453" s="12"/>
      <c r="L3453" s="12"/>
      <c r="M3453" s="11"/>
      <c r="N3453" s="11"/>
      <c r="O3453" s="11"/>
      <c r="P3453" s="11"/>
    </row>
    <row r="3454" spans="8:16" hidden="1" x14ac:dyDescent="0.25">
      <c r="H3454" s="12"/>
      <c r="I3454" s="12"/>
      <c r="J3454" s="12"/>
      <c r="K3454" s="12"/>
      <c r="L3454" s="12"/>
      <c r="M3454" s="11"/>
      <c r="N3454" s="11"/>
      <c r="O3454" s="11"/>
      <c r="P3454" s="11"/>
    </row>
    <row r="3455" spans="8:16" hidden="1" x14ac:dyDescent="0.25">
      <c r="H3455" s="12"/>
      <c r="I3455" s="12"/>
      <c r="J3455" s="12"/>
      <c r="K3455" s="12"/>
      <c r="L3455" s="12"/>
      <c r="M3455" s="11"/>
      <c r="N3455" s="11"/>
      <c r="O3455" s="11"/>
      <c r="P3455" s="11"/>
    </row>
    <row r="3456" spans="8:16" hidden="1" x14ac:dyDescent="0.25">
      <c r="H3456" s="12"/>
      <c r="I3456" s="12"/>
      <c r="J3456" s="12"/>
      <c r="K3456" s="12"/>
      <c r="L3456" s="12"/>
      <c r="M3456" s="11"/>
      <c r="N3456" s="11"/>
      <c r="O3456" s="11"/>
      <c r="P3456" s="11"/>
    </row>
    <row r="3457" spans="8:16" hidden="1" x14ac:dyDescent="0.25">
      <c r="H3457" s="12"/>
      <c r="I3457" s="12"/>
      <c r="J3457" s="12"/>
      <c r="K3457" s="12"/>
      <c r="L3457" s="12"/>
      <c r="M3457" s="11"/>
      <c r="N3457" s="11"/>
      <c r="O3457" s="11"/>
      <c r="P3457" s="11"/>
    </row>
    <row r="3458" spans="8:16" hidden="1" x14ac:dyDescent="0.25">
      <c r="H3458" s="12"/>
      <c r="I3458" s="12"/>
      <c r="J3458" s="12"/>
      <c r="K3458" s="12"/>
      <c r="L3458" s="12"/>
      <c r="M3458" s="11"/>
      <c r="N3458" s="11"/>
      <c r="O3458" s="11"/>
      <c r="P3458" s="11"/>
    </row>
    <row r="3459" spans="8:16" hidden="1" x14ac:dyDescent="0.25">
      <c r="H3459" s="12"/>
      <c r="I3459" s="12"/>
      <c r="J3459" s="12"/>
      <c r="K3459" s="12"/>
      <c r="L3459" s="12"/>
      <c r="M3459" s="11"/>
      <c r="N3459" s="11"/>
      <c r="O3459" s="11"/>
      <c r="P3459" s="11"/>
    </row>
    <row r="3460" spans="8:16" hidden="1" x14ac:dyDescent="0.25">
      <c r="H3460" s="12"/>
      <c r="I3460" s="12"/>
      <c r="J3460" s="12"/>
      <c r="K3460" s="12"/>
      <c r="L3460" s="12"/>
      <c r="M3460" s="11"/>
      <c r="N3460" s="11"/>
      <c r="O3460" s="11"/>
      <c r="P3460" s="11"/>
    </row>
    <row r="3461" spans="8:16" hidden="1" x14ac:dyDescent="0.25">
      <c r="H3461" s="12"/>
      <c r="I3461" s="12"/>
      <c r="J3461" s="12"/>
      <c r="K3461" s="12"/>
      <c r="L3461" s="12"/>
      <c r="M3461" s="11"/>
      <c r="N3461" s="11"/>
      <c r="O3461" s="11"/>
      <c r="P3461" s="11"/>
    </row>
    <row r="3462" spans="8:16" hidden="1" x14ac:dyDescent="0.25">
      <c r="H3462" s="12"/>
      <c r="I3462" s="12"/>
      <c r="J3462" s="12"/>
      <c r="K3462" s="12"/>
      <c r="L3462" s="12"/>
      <c r="M3462" s="11"/>
      <c r="N3462" s="11"/>
      <c r="O3462" s="11"/>
      <c r="P3462" s="11"/>
    </row>
    <row r="3463" spans="8:16" hidden="1" x14ac:dyDescent="0.25">
      <c r="H3463" s="12"/>
      <c r="I3463" s="12"/>
      <c r="J3463" s="12"/>
      <c r="K3463" s="12"/>
      <c r="L3463" s="12"/>
      <c r="M3463" s="11"/>
      <c r="N3463" s="11"/>
      <c r="O3463" s="11"/>
      <c r="P3463" s="11"/>
    </row>
    <row r="3464" spans="8:16" hidden="1" x14ac:dyDescent="0.25">
      <c r="H3464" s="12"/>
      <c r="I3464" s="12"/>
      <c r="J3464" s="12"/>
      <c r="K3464" s="12"/>
      <c r="L3464" s="12"/>
      <c r="M3464" s="11"/>
      <c r="N3464" s="11"/>
      <c r="O3464" s="11"/>
      <c r="P3464" s="11"/>
    </row>
    <row r="3465" spans="8:16" hidden="1" x14ac:dyDescent="0.25">
      <c r="H3465" s="12"/>
      <c r="I3465" s="12"/>
      <c r="J3465" s="12"/>
      <c r="K3465" s="12"/>
      <c r="L3465" s="12"/>
      <c r="M3465" s="11"/>
      <c r="N3465" s="11"/>
      <c r="O3465" s="11"/>
      <c r="P3465" s="11"/>
    </row>
    <row r="3466" spans="8:16" hidden="1" x14ac:dyDescent="0.25">
      <c r="H3466" s="12"/>
      <c r="I3466" s="12"/>
      <c r="J3466" s="12"/>
      <c r="K3466" s="12"/>
      <c r="L3466" s="12"/>
      <c r="M3466" s="11"/>
      <c r="N3466" s="11"/>
      <c r="O3466" s="11"/>
      <c r="P3466" s="11"/>
    </row>
    <row r="3467" spans="8:16" hidden="1" x14ac:dyDescent="0.25">
      <c r="H3467" s="12"/>
      <c r="I3467" s="12"/>
      <c r="J3467" s="12"/>
      <c r="K3467" s="12"/>
      <c r="L3467" s="12"/>
      <c r="M3467" s="11"/>
      <c r="N3467" s="11"/>
      <c r="O3467" s="11"/>
      <c r="P3467" s="11"/>
    </row>
    <row r="3468" spans="8:16" hidden="1" x14ac:dyDescent="0.25">
      <c r="H3468" s="12"/>
      <c r="I3468" s="12"/>
      <c r="J3468" s="12"/>
      <c r="K3468" s="12"/>
      <c r="L3468" s="12"/>
      <c r="M3468" s="11"/>
      <c r="N3468" s="11"/>
      <c r="O3468" s="11"/>
      <c r="P3468" s="11"/>
    </row>
    <row r="3469" spans="8:16" hidden="1" x14ac:dyDescent="0.25">
      <c r="H3469" s="12"/>
      <c r="I3469" s="12"/>
      <c r="J3469" s="12"/>
      <c r="K3469" s="12"/>
      <c r="L3469" s="12"/>
      <c r="M3469" s="11"/>
      <c r="N3469" s="11"/>
      <c r="O3469" s="11"/>
      <c r="P3469" s="11"/>
    </row>
    <row r="3470" spans="8:16" hidden="1" x14ac:dyDescent="0.25">
      <c r="H3470" s="12"/>
      <c r="I3470" s="12"/>
      <c r="J3470" s="12"/>
      <c r="K3470" s="12"/>
      <c r="L3470" s="12"/>
      <c r="M3470" s="11"/>
      <c r="N3470" s="11"/>
      <c r="O3470" s="11"/>
      <c r="P3470" s="11"/>
    </row>
    <row r="3471" spans="8:16" hidden="1" x14ac:dyDescent="0.25">
      <c r="H3471" s="12"/>
      <c r="I3471" s="12"/>
      <c r="J3471" s="12"/>
      <c r="K3471" s="12"/>
      <c r="L3471" s="12"/>
      <c r="M3471" s="11"/>
      <c r="N3471" s="11"/>
      <c r="O3471" s="11"/>
      <c r="P3471" s="11"/>
    </row>
    <row r="3472" spans="8:16" hidden="1" x14ac:dyDescent="0.25">
      <c r="H3472" s="12"/>
      <c r="I3472" s="12"/>
      <c r="J3472" s="12"/>
      <c r="K3472" s="12"/>
      <c r="L3472" s="12"/>
      <c r="M3472" s="11"/>
      <c r="N3472" s="11"/>
      <c r="O3472" s="11"/>
      <c r="P3472" s="11"/>
    </row>
    <row r="3473" spans="8:16" hidden="1" x14ac:dyDescent="0.25">
      <c r="H3473" s="12"/>
      <c r="I3473" s="12"/>
      <c r="J3473" s="12"/>
      <c r="K3473" s="12"/>
      <c r="L3473" s="12"/>
      <c r="M3473" s="11"/>
      <c r="N3473" s="11"/>
      <c r="O3473" s="11"/>
      <c r="P3473" s="11"/>
    </row>
    <row r="3474" spans="8:16" hidden="1" x14ac:dyDescent="0.25">
      <c r="H3474" s="12"/>
      <c r="I3474" s="12"/>
      <c r="J3474" s="12"/>
      <c r="K3474" s="12"/>
      <c r="L3474" s="12"/>
      <c r="M3474" s="11"/>
      <c r="N3474" s="11"/>
      <c r="O3474" s="11"/>
      <c r="P3474" s="11"/>
    </row>
    <row r="3475" spans="8:16" hidden="1" x14ac:dyDescent="0.25">
      <c r="H3475" s="12"/>
      <c r="I3475" s="12"/>
      <c r="J3475" s="12"/>
      <c r="K3475" s="12"/>
      <c r="L3475" s="12"/>
      <c r="M3475" s="11"/>
      <c r="N3475" s="11"/>
      <c r="O3475" s="11"/>
      <c r="P3475" s="11"/>
    </row>
    <row r="3476" spans="8:16" hidden="1" x14ac:dyDescent="0.25">
      <c r="H3476" s="12"/>
      <c r="I3476" s="12"/>
      <c r="J3476" s="12"/>
      <c r="K3476" s="12"/>
      <c r="L3476" s="12"/>
      <c r="M3476" s="11"/>
      <c r="N3476" s="11"/>
      <c r="O3476" s="11"/>
      <c r="P3476" s="11"/>
    </row>
    <row r="3477" spans="8:16" hidden="1" x14ac:dyDescent="0.25">
      <c r="H3477" s="12"/>
      <c r="I3477" s="12"/>
      <c r="J3477" s="12"/>
      <c r="K3477" s="12"/>
      <c r="L3477" s="12"/>
      <c r="M3477" s="11"/>
      <c r="N3477" s="11"/>
      <c r="O3477" s="11"/>
      <c r="P3477" s="11"/>
    </row>
    <row r="3478" spans="8:16" hidden="1" x14ac:dyDescent="0.25">
      <c r="H3478" s="12"/>
      <c r="I3478" s="12"/>
      <c r="J3478" s="12"/>
      <c r="K3478" s="12"/>
      <c r="L3478" s="12"/>
      <c r="M3478" s="11"/>
      <c r="N3478" s="11"/>
      <c r="O3478" s="11"/>
      <c r="P3478" s="11"/>
    </row>
    <row r="3479" spans="8:16" hidden="1" x14ac:dyDescent="0.25">
      <c r="H3479" s="12"/>
      <c r="I3479" s="12"/>
      <c r="J3479" s="12"/>
      <c r="K3479" s="12"/>
      <c r="L3479" s="12"/>
      <c r="M3479" s="11"/>
      <c r="N3479" s="11"/>
      <c r="O3479" s="11"/>
      <c r="P3479" s="11"/>
    </row>
    <row r="3480" spans="8:16" hidden="1" x14ac:dyDescent="0.25">
      <c r="H3480" s="12"/>
      <c r="I3480" s="12"/>
      <c r="J3480" s="12"/>
      <c r="K3480" s="12"/>
      <c r="L3480" s="12"/>
      <c r="M3480" s="11"/>
      <c r="N3480" s="11"/>
      <c r="O3480" s="11"/>
      <c r="P3480" s="11"/>
    </row>
    <row r="3481" spans="8:16" hidden="1" x14ac:dyDescent="0.25">
      <c r="H3481" s="12"/>
      <c r="I3481" s="12"/>
      <c r="J3481" s="12"/>
      <c r="K3481" s="12"/>
      <c r="L3481" s="12"/>
      <c r="M3481" s="11"/>
      <c r="N3481" s="11"/>
      <c r="O3481" s="11"/>
      <c r="P3481" s="11"/>
    </row>
    <row r="3482" spans="8:16" hidden="1" x14ac:dyDescent="0.25">
      <c r="H3482" s="12"/>
      <c r="I3482" s="12"/>
      <c r="J3482" s="12"/>
      <c r="K3482" s="12"/>
      <c r="L3482" s="12"/>
      <c r="M3482" s="11"/>
      <c r="N3482" s="11"/>
      <c r="O3482" s="11"/>
      <c r="P3482" s="11"/>
    </row>
    <row r="3483" spans="8:16" hidden="1" x14ac:dyDescent="0.25">
      <c r="H3483" s="12"/>
      <c r="I3483" s="12"/>
      <c r="J3483" s="12"/>
      <c r="K3483" s="12"/>
      <c r="L3483" s="12"/>
      <c r="M3483" s="11"/>
      <c r="N3483" s="11"/>
      <c r="O3483" s="11"/>
      <c r="P3483" s="11"/>
    </row>
    <row r="3484" spans="8:16" hidden="1" x14ac:dyDescent="0.25">
      <c r="H3484" s="12"/>
      <c r="I3484" s="12"/>
      <c r="J3484" s="12"/>
      <c r="K3484" s="12"/>
      <c r="L3484" s="12"/>
      <c r="M3484" s="11"/>
      <c r="N3484" s="11"/>
      <c r="O3484" s="11"/>
      <c r="P3484" s="11"/>
    </row>
    <row r="3485" spans="8:16" hidden="1" x14ac:dyDescent="0.25">
      <c r="H3485" s="12"/>
      <c r="I3485" s="12"/>
      <c r="J3485" s="12"/>
      <c r="K3485" s="12"/>
      <c r="L3485" s="12"/>
      <c r="M3485" s="11"/>
      <c r="N3485" s="11"/>
      <c r="O3485" s="11"/>
      <c r="P3485" s="11"/>
    </row>
    <row r="3486" spans="8:16" hidden="1" x14ac:dyDescent="0.25">
      <c r="H3486" s="12"/>
      <c r="I3486" s="12"/>
      <c r="J3486" s="12"/>
      <c r="K3486" s="12"/>
      <c r="L3486" s="12"/>
      <c r="M3486" s="11"/>
      <c r="N3486" s="11"/>
      <c r="O3486" s="11"/>
      <c r="P3486" s="11"/>
    </row>
    <row r="3487" spans="8:16" hidden="1" x14ac:dyDescent="0.25">
      <c r="H3487" s="12"/>
      <c r="I3487" s="12"/>
      <c r="J3487" s="12"/>
      <c r="K3487" s="12"/>
      <c r="L3487" s="12"/>
      <c r="M3487" s="11"/>
      <c r="N3487" s="11"/>
      <c r="O3487" s="11"/>
      <c r="P3487" s="11"/>
    </row>
    <row r="3488" spans="8:16" hidden="1" x14ac:dyDescent="0.25">
      <c r="H3488" s="12"/>
      <c r="I3488" s="12"/>
      <c r="J3488" s="12"/>
      <c r="K3488" s="12"/>
      <c r="L3488" s="12"/>
      <c r="M3488" s="11"/>
      <c r="N3488" s="11"/>
      <c r="O3488" s="11"/>
      <c r="P3488" s="11"/>
    </row>
    <row r="3489" spans="8:16" hidden="1" x14ac:dyDescent="0.25">
      <c r="H3489" s="12"/>
      <c r="I3489" s="12"/>
      <c r="J3489" s="12"/>
      <c r="K3489" s="12"/>
      <c r="L3489" s="12"/>
      <c r="M3489" s="11"/>
      <c r="N3489" s="11"/>
      <c r="O3489" s="11"/>
      <c r="P3489" s="11"/>
    </row>
    <row r="3490" spans="8:16" hidden="1" x14ac:dyDescent="0.25">
      <c r="H3490" s="12"/>
      <c r="I3490" s="12"/>
      <c r="J3490" s="12"/>
      <c r="K3490" s="12"/>
      <c r="L3490" s="12"/>
      <c r="M3490" s="11"/>
      <c r="N3490" s="11"/>
      <c r="O3490" s="11"/>
      <c r="P3490" s="11"/>
    </row>
    <row r="3491" spans="8:16" hidden="1" x14ac:dyDescent="0.25">
      <c r="H3491" s="12"/>
      <c r="I3491" s="12"/>
      <c r="J3491" s="12"/>
      <c r="K3491" s="12"/>
      <c r="L3491" s="12"/>
      <c r="M3491" s="11"/>
      <c r="N3491" s="11"/>
      <c r="O3491" s="11"/>
      <c r="P3491" s="11"/>
    </row>
    <row r="3492" spans="8:16" hidden="1" x14ac:dyDescent="0.25">
      <c r="H3492" s="12"/>
      <c r="I3492" s="12"/>
      <c r="J3492" s="12"/>
      <c r="K3492" s="12"/>
      <c r="L3492" s="12"/>
      <c r="M3492" s="11"/>
      <c r="N3492" s="11"/>
      <c r="O3492" s="11"/>
      <c r="P3492" s="11"/>
    </row>
    <row r="3493" spans="8:16" hidden="1" x14ac:dyDescent="0.25">
      <c r="H3493" s="12"/>
      <c r="I3493" s="12"/>
      <c r="J3493" s="12"/>
      <c r="K3493" s="12"/>
      <c r="L3493" s="12"/>
      <c r="M3493" s="11"/>
      <c r="N3493" s="11"/>
      <c r="O3493" s="11"/>
      <c r="P3493" s="11"/>
    </row>
    <row r="3494" spans="8:16" hidden="1" x14ac:dyDescent="0.25">
      <c r="H3494" s="12"/>
      <c r="I3494" s="12"/>
      <c r="J3494" s="12"/>
      <c r="K3494" s="12"/>
      <c r="L3494" s="12"/>
      <c r="M3494" s="11"/>
      <c r="N3494" s="11"/>
      <c r="O3494" s="11"/>
      <c r="P3494" s="11"/>
    </row>
    <row r="3495" spans="8:16" hidden="1" x14ac:dyDescent="0.25">
      <c r="H3495" s="12"/>
      <c r="I3495" s="12"/>
      <c r="J3495" s="12"/>
      <c r="K3495" s="12"/>
      <c r="L3495" s="12"/>
      <c r="M3495" s="11"/>
      <c r="N3495" s="11"/>
      <c r="O3495" s="11"/>
      <c r="P3495" s="11"/>
    </row>
    <row r="3496" spans="8:16" hidden="1" x14ac:dyDescent="0.25">
      <c r="H3496" s="12"/>
      <c r="I3496" s="12"/>
      <c r="J3496" s="12"/>
      <c r="K3496" s="12"/>
      <c r="L3496" s="12"/>
      <c r="M3496" s="11"/>
      <c r="N3496" s="11"/>
      <c r="O3496" s="11"/>
      <c r="P3496" s="11"/>
    </row>
    <row r="3497" spans="8:16" hidden="1" x14ac:dyDescent="0.25">
      <c r="H3497" s="12"/>
      <c r="I3497" s="12"/>
      <c r="J3497" s="12"/>
      <c r="K3497" s="12"/>
      <c r="L3497" s="12"/>
      <c r="M3497" s="11"/>
      <c r="N3497" s="11"/>
      <c r="O3497" s="11"/>
      <c r="P3497" s="11"/>
    </row>
    <row r="3498" spans="8:16" hidden="1" x14ac:dyDescent="0.25">
      <c r="H3498" s="12"/>
      <c r="I3498" s="12"/>
      <c r="J3498" s="12"/>
      <c r="K3498" s="12"/>
      <c r="L3498" s="12"/>
      <c r="M3498" s="11"/>
      <c r="N3498" s="11"/>
      <c r="O3498" s="11"/>
      <c r="P3498" s="11"/>
    </row>
    <row r="3499" spans="8:16" hidden="1" x14ac:dyDescent="0.25">
      <c r="H3499" s="12"/>
      <c r="I3499" s="12"/>
      <c r="J3499" s="12"/>
      <c r="K3499" s="12"/>
      <c r="L3499" s="12"/>
      <c r="M3499" s="11"/>
      <c r="N3499" s="11"/>
      <c r="O3499" s="11"/>
      <c r="P3499" s="11"/>
    </row>
    <row r="3500" spans="8:16" hidden="1" x14ac:dyDescent="0.25">
      <c r="H3500" s="12"/>
      <c r="I3500" s="12"/>
      <c r="J3500" s="12"/>
      <c r="K3500" s="12"/>
      <c r="L3500" s="12"/>
      <c r="M3500" s="11"/>
      <c r="N3500" s="11"/>
      <c r="O3500" s="11"/>
      <c r="P3500" s="11"/>
    </row>
    <row r="3501" spans="8:16" hidden="1" x14ac:dyDescent="0.25">
      <c r="H3501" s="12"/>
      <c r="I3501" s="12"/>
      <c r="J3501" s="12"/>
      <c r="K3501" s="12"/>
      <c r="L3501" s="12"/>
      <c r="M3501" s="11"/>
      <c r="N3501" s="11"/>
      <c r="O3501" s="11"/>
      <c r="P3501" s="11"/>
    </row>
    <row r="3502" spans="8:16" hidden="1" x14ac:dyDescent="0.25">
      <c r="H3502" s="12"/>
      <c r="I3502" s="12"/>
      <c r="J3502" s="12"/>
      <c r="K3502" s="12"/>
      <c r="L3502" s="12"/>
      <c r="M3502" s="11"/>
      <c r="N3502" s="11"/>
      <c r="O3502" s="11"/>
      <c r="P3502" s="11"/>
    </row>
    <row r="3503" spans="8:16" hidden="1" x14ac:dyDescent="0.25">
      <c r="H3503" s="12"/>
      <c r="I3503" s="12"/>
      <c r="J3503" s="12"/>
      <c r="K3503" s="12"/>
      <c r="L3503" s="12"/>
      <c r="M3503" s="11"/>
      <c r="N3503" s="11"/>
      <c r="O3503" s="11"/>
      <c r="P3503" s="11"/>
    </row>
    <row r="3504" spans="8:16" hidden="1" x14ac:dyDescent="0.25">
      <c r="H3504" s="12"/>
      <c r="I3504" s="12"/>
      <c r="J3504" s="12"/>
      <c r="K3504" s="12"/>
      <c r="L3504" s="12"/>
      <c r="M3504" s="11"/>
      <c r="N3504" s="11"/>
      <c r="O3504" s="11"/>
      <c r="P3504" s="11"/>
    </row>
    <row r="3505" spans="8:16" hidden="1" x14ac:dyDescent="0.25">
      <c r="H3505" s="12"/>
      <c r="I3505" s="12"/>
      <c r="J3505" s="12"/>
      <c r="K3505" s="12"/>
      <c r="L3505" s="12"/>
      <c r="M3505" s="11"/>
      <c r="N3505" s="11"/>
      <c r="O3505" s="11"/>
      <c r="P3505" s="11"/>
    </row>
    <row r="3506" spans="8:16" hidden="1" x14ac:dyDescent="0.25">
      <c r="H3506" s="12"/>
      <c r="I3506" s="12"/>
      <c r="J3506" s="12"/>
      <c r="K3506" s="12"/>
      <c r="L3506" s="12"/>
      <c r="M3506" s="11"/>
      <c r="N3506" s="11"/>
      <c r="O3506" s="11"/>
      <c r="P3506" s="11"/>
    </row>
    <row r="3507" spans="8:16" hidden="1" x14ac:dyDescent="0.25">
      <c r="H3507" s="12"/>
      <c r="I3507" s="12"/>
      <c r="J3507" s="12"/>
      <c r="K3507" s="12"/>
      <c r="L3507" s="12"/>
      <c r="M3507" s="11"/>
      <c r="N3507" s="11"/>
      <c r="O3507" s="11"/>
      <c r="P3507" s="11"/>
    </row>
    <row r="3508" spans="8:16" hidden="1" x14ac:dyDescent="0.25">
      <c r="H3508" s="12"/>
      <c r="I3508" s="12"/>
      <c r="J3508" s="12"/>
      <c r="K3508" s="12"/>
      <c r="L3508" s="12"/>
      <c r="M3508" s="11"/>
      <c r="N3508" s="11"/>
      <c r="O3508" s="11"/>
      <c r="P3508" s="11"/>
    </row>
    <row r="3509" spans="8:16" hidden="1" x14ac:dyDescent="0.25">
      <c r="H3509" s="12"/>
      <c r="I3509" s="12"/>
      <c r="J3509" s="12"/>
      <c r="K3509" s="12"/>
      <c r="L3509" s="12"/>
      <c r="M3509" s="11"/>
      <c r="N3509" s="11"/>
      <c r="O3509" s="11"/>
      <c r="P3509" s="11"/>
    </row>
    <row r="3510" spans="8:16" hidden="1" x14ac:dyDescent="0.25">
      <c r="H3510" s="12"/>
      <c r="I3510" s="12"/>
      <c r="J3510" s="12"/>
      <c r="K3510" s="12"/>
      <c r="L3510" s="12"/>
      <c r="M3510" s="11"/>
      <c r="N3510" s="11"/>
      <c r="O3510" s="11"/>
      <c r="P3510" s="11"/>
    </row>
    <row r="3511" spans="8:16" hidden="1" x14ac:dyDescent="0.25">
      <c r="H3511" s="12"/>
      <c r="I3511" s="12"/>
      <c r="J3511" s="12"/>
      <c r="K3511" s="12"/>
      <c r="L3511" s="12"/>
      <c r="M3511" s="11"/>
      <c r="N3511" s="11"/>
      <c r="O3511" s="11"/>
      <c r="P3511" s="11"/>
    </row>
    <row r="3512" spans="8:16" hidden="1" x14ac:dyDescent="0.25">
      <c r="H3512" s="12"/>
      <c r="I3512" s="12"/>
      <c r="J3512" s="12"/>
      <c r="K3512" s="12"/>
      <c r="L3512" s="12"/>
      <c r="M3512" s="11"/>
      <c r="N3512" s="11"/>
      <c r="O3512" s="11"/>
      <c r="P3512" s="11"/>
    </row>
    <row r="3513" spans="8:16" hidden="1" x14ac:dyDescent="0.25">
      <c r="H3513" s="12"/>
      <c r="I3513" s="12"/>
      <c r="J3513" s="12"/>
      <c r="K3513" s="12"/>
      <c r="L3513" s="12"/>
      <c r="M3513" s="11"/>
      <c r="N3513" s="11"/>
      <c r="O3513" s="11"/>
      <c r="P3513" s="11"/>
    </row>
    <row r="3514" spans="8:16" hidden="1" x14ac:dyDescent="0.25">
      <c r="H3514" s="12"/>
      <c r="I3514" s="12"/>
      <c r="J3514" s="12"/>
      <c r="K3514" s="12"/>
      <c r="L3514" s="12"/>
      <c r="M3514" s="11"/>
      <c r="N3514" s="11"/>
      <c r="O3514" s="11"/>
      <c r="P3514" s="11"/>
    </row>
    <row r="3515" spans="8:16" hidden="1" x14ac:dyDescent="0.25">
      <c r="H3515" s="12"/>
      <c r="I3515" s="12"/>
      <c r="J3515" s="12"/>
      <c r="K3515" s="12"/>
      <c r="L3515" s="12"/>
      <c r="M3515" s="11"/>
      <c r="N3515" s="11"/>
      <c r="O3515" s="11"/>
      <c r="P3515" s="11"/>
    </row>
    <row r="3516" spans="8:16" hidden="1" x14ac:dyDescent="0.25">
      <c r="H3516" s="12"/>
      <c r="I3516" s="12"/>
      <c r="J3516" s="12"/>
      <c r="K3516" s="12"/>
      <c r="L3516" s="12"/>
      <c r="M3516" s="11"/>
      <c r="N3516" s="11"/>
      <c r="O3516" s="11"/>
      <c r="P3516" s="11"/>
    </row>
    <row r="3517" spans="8:16" hidden="1" x14ac:dyDescent="0.25">
      <c r="H3517" s="12"/>
      <c r="I3517" s="12"/>
      <c r="J3517" s="12"/>
      <c r="K3517" s="12"/>
      <c r="L3517" s="12"/>
      <c r="M3517" s="11"/>
      <c r="N3517" s="11"/>
      <c r="O3517" s="11"/>
      <c r="P3517" s="11"/>
    </row>
    <row r="3518" spans="8:16" hidden="1" x14ac:dyDescent="0.25">
      <c r="H3518" s="12"/>
      <c r="I3518" s="12"/>
      <c r="J3518" s="12"/>
      <c r="K3518" s="12"/>
      <c r="L3518" s="12"/>
      <c r="M3518" s="11"/>
      <c r="N3518" s="11"/>
      <c r="O3518" s="11"/>
      <c r="P3518" s="11"/>
    </row>
    <row r="3519" spans="8:16" hidden="1" x14ac:dyDescent="0.25">
      <c r="H3519" s="12"/>
      <c r="I3519" s="12"/>
      <c r="J3519" s="12"/>
      <c r="K3519" s="12"/>
      <c r="L3519" s="12"/>
      <c r="M3519" s="11"/>
      <c r="N3519" s="11"/>
      <c r="O3519" s="11"/>
      <c r="P3519" s="11"/>
    </row>
    <row r="3520" spans="8:16" hidden="1" x14ac:dyDescent="0.25">
      <c r="H3520" s="12"/>
      <c r="I3520" s="12"/>
      <c r="J3520" s="12"/>
      <c r="K3520" s="12"/>
      <c r="L3520" s="12"/>
      <c r="M3520" s="11"/>
      <c r="N3520" s="11"/>
      <c r="O3520" s="11"/>
      <c r="P3520" s="11"/>
    </row>
    <row r="3521" spans="8:16" hidden="1" x14ac:dyDescent="0.25">
      <c r="H3521" s="12"/>
      <c r="I3521" s="12"/>
      <c r="J3521" s="12"/>
      <c r="K3521" s="12"/>
      <c r="L3521" s="12"/>
      <c r="M3521" s="11"/>
      <c r="N3521" s="11"/>
      <c r="O3521" s="11"/>
      <c r="P3521" s="11"/>
    </row>
    <row r="3522" spans="8:16" hidden="1" x14ac:dyDescent="0.25">
      <c r="H3522" s="12"/>
      <c r="I3522" s="12"/>
      <c r="J3522" s="12"/>
      <c r="K3522" s="12"/>
      <c r="L3522" s="12"/>
      <c r="M3522" s="11"/>
      <c r="N3522" s="11"/>
      <c r="O3522" s="11"/>
      <c r="P3522" s="11"/>
    </row>
    <row r="3523" spans="8:16" hidden="1" x14ac:dyDescent="0.25">
      <c r="H3523" s="12"/>
      <c r="I3523" s="12"/>
      <c r="J3523" s="12"/>
      <c r="K3523" s="12"/>
      <c r="L3523" s="12"/>
      <c r="M3523" s="11"/>
      <c r="N3523" s="11"/>
      <c r="O3523" s="11"/>
      <c r="P3523" s="11"/>
    </row>
    <row r="3524" spans="8:16" hidden="1" x14ac:dyDescent="0.25">
      <c r="H3524" s="12"/>
      <c r="I3524" s="12"/>
      <c r="J3524" s="12"/>
      <c r="K3524" s="12"/>
      <c r="L3524" s="12"/>
      <c r="M3524" s="11"/>
      <c r="N3524" s="11"/>
      <c r="O3524" s="11"/>
      <c r="P3524" s="11"/>
    </row>
    <row r="3525" spans="8:16" hidden="1" x14ac:dyDescent="0.25">
      <c r="H3525" s="12"/>
      <c r="I3525" s="12"/>
      <c r="J3525" s="12"/>
      <c r="K3525" s="12"/>
      <c r="L3525" s="12"/>
      <c r="M3525" s="11"/>
      <c r="N3525" s="11"/>
      <c r="O3525" s="11"/>
      <c r="P3525" s="11"/>
    </row>
    <row r="3526" spans="8:16" hidden="1" x14ac:dyDescent="0.25">
      <c r="H3526" s="12"/>
      <c r="I3526" s="12"/>
      <c r="J3526" s="12"/>
      <c r="K3526" s="12"/>
      <c r="L3526" s="12"/>
      <c r="M3526" s="11"/>
      <c r="N3526" s="11"/>
      <c r="O3526" s="11"/>
      <c r="P3526" s="11"/>
    </row>
    <row r="3527" spans="8:16" hidden="1" x14ac:dyDescent="0.25">
      <c r="H3527" s="12"/>
      <c r="I3527" s="12"/>
      <c r="J3527" s="12"/>
      <c r="K3527" s="12"/>
      <c r="L3527" s="12"/>
      <c r="M3527" s="11"/>
      <c r="N3527" s="11"/>
      <c r="O3527" s="11"/>
      <c r="P3527" s="11"/>
    </row>
    <row r="3528" spans="8:16" hidden="1" x14ac:dyDescent="0.25">
      <c r="H3528" s="12"/>
      <c r="I3528" s="12"/>
      <c r="J3528" s="12"/>
      <c r="K3528" s="12"/>
      <c r="L3528" s="12"/>
      <c r="M3528" s="11"/>
      <c r="N3528" s="11"/>
      <c r="O3528" s="11"/>
      <c r="P3528" s="11"/>
    </row>
    <row r="3529" spans="8:16" hidden="1" x14ac:dyDescent="0.25">
      <c r="H3529" s="12"/>
      <c r="I3529" s="12"/>
      <c r="J3529" s="12"/>
      <c r="K3529" s="12"/>
      <c r="L3529" s="12"/>
      <c r="M3529" s="11"/>
      <c r="N3529" s="11"/>
      <c r="O3529" s="11"/>
      <c r="P3529" s="11"/>
    </row>
    <row r="3530" spans="8:16" hidden="1" x14ac:dyDescent="0.25">
      <c r="H3530" s="12"/>
      <c r="I3530" s="12"/>
      <c r="J3530" s="12"/>
      <c r="K3530" s="12"/>
      <c r="L3530" s="12"/>
      <c r="M3530" s="11"/>
      <c r="N3530" s="11"/>
      <c r="O3530" s="11"/>
      <c r="P3530" s="11"/>
    </row>
    <row r="3531" spans="8:16" hidden="1" x14ac:dyDescent="0.25">
      <c r="H3531" s="12"/>
      <c r="I3531" s="12"/>
      <c r="J3531" s="12"/>
      <c r="K3531" s="12"/>
      <c r="L3531" s="12"/>
      <c r="M3531" s="11"/>
      <c r="N3531" s="11"/>
      <c r="O3531" s="11"/>
      <c r="P3531" s="11"/>
    </row>
    <row r="3532" spans="8:16" hidden="1" x14ac:dyDescent="0.25">
      <c r="H3532" s="12"/>
      <c r="I3532" s="12"/>
      <c r="J3532" s="12"/>
      <c r="K3532" s="12"/>
      <c r="L3532" s="12"/>
      <c r="M3532" s="11"/>
      <c r="N3532" s="11"/>
      <c r="O3532" s="11"/>
      <c r="P3532" s="11"/>
    </row>
    <row r="3533" spans="8:16" hidden="1" x14ac:dyDescent="0.25">
      <c r="H3533" s="12"/>
      <c r="I3533" s="12"/>
      <c r="J3533" s="12"/>
      <c r="K3533" s="12"/>
      <c r="L3533" s="12"/>
      <c r="M3533" s="11"/>
      <c r="N3533" s="11"/>
      <c r="O3533" s="11"/>
      <c r="P3533" s="11"/>
    </row>
    <row r="3534" spans="8:16" hidden="1" x14ac:dyDescent="0.25">
      <c r="H3534" s="12"/>
      <c r="I3534" s="12"/>
      <c r="J3534" s="12"/>
      <c r="K3534" s="12"/>
      <c r="L3534" s="12"/>
      <c r="M3534" s="11"/>
      <c r="N3534" s="11"/>
      <c r="O3534" s="11"/>
      <c r="P3534" s="11"/>
    </row>
    <row r="3535" spans="8:16" hidden="1" x14ac:dyDescent="0.25">
      <c r="H3535" s="12"/>
      <c r="I3535" s="12"/>
      <c r="J3535" s="12"/>
      <c r="K3535" s="12"/>
      <c r="L3535" s="12"/>
      <c r="M3535" s="11"/>
      <c r="N3535" s="11"/>
      <c r="O3535" s="11"/>
      <c r="P3535" s="11"/>
    </row>
    <row r="3536" spans="8:16" hidden="1" x14ac:dyDescent="0.25">
      <c r="H3536" s="12"/>
      <c r="I3536" s="12"/>
      <c r="J3536" s="12"/>
      <c r="K3536" s="12"/>
      <c r="L3536" s="12"/>
      <c r="M3536" s="11"/>
      <c r="N3536" s="11"/>
      <c r="O3536" s="11"/>
      <c r="P3536" s="11"/>
    </row>
    <row r="3537" spans="8:16" hidden="1" x14ac:dyDescent="0.25">
      <c r="H3537" s="12"/>
      <c r="I3537" s="12"/>
      <c r="J3537" s="12"/>
      <c r="K3537" s="12"/>
      <c r="L3537" s="12"/>
      <c r="M3537" s="11"/>
      <c r="N3537" s="11"/>
      <c r="O3537" s="11"/>
      <c r="P3537" s="11"/>
    </row>
    <row r="3538" spans="8:16" hidden="1" x14ac:dyDescent="0.25">
      <c r="H3538" s="12"/>
      <c r="I3538" s="12"/>
      <c r="J3538" s="12"/>
      <c r="K3538" s="12"/>
      <c r="L3538" s="12"/>
      <c r="M3538" s="11"/>
      <c r="N3538" s="11"/>
      <c r="O3538" s="11"/>
      <c r="P3538" s="11"/>
    </row>
    <row r="3539" spans="8:16" hidden="1" x14ac:dyDescent="0.25">
      <c r="H3539" s="12"/>
      <c r="I3539" s="12"/>
      <c r="J3539" s="12"/>
      <c r="K3539" s="12"/>
      <c r="L3539" s="12"/>
      <c r="M3539" s="11"/>
      <c r="N3539" s="11"/>
      <c r="O3539" s="11"/>
      <c r="P3539" s="11"/>
    </row>
    <row r="3540" spans="8:16" hidden="1" x14ac:dyDescent="0.25">
      <c r="H3540" s="12"/>
      <c r="I3540" s="12"/>
      <c r="J3540" s="12"/>
      <c r="K3540" s="12"/>
      <c r="L3540" s="12"/>
      <c r="M3540" s="11"/>
      <c r="N3540" s="11"/>
      <c r="O3540" s="11"/>
      <c r="P3540" s="11"/>
    </row>
    <row r="3541" spans="8:16" hidden="1" x14ac:dyDescent="0.25">
      <c r="H3541" s="12"/>
      <c r="I3541" s="12"/>
      <c r="J3541" s="12"/>
      <c r="K3541" s="12"/>
      <c r="L3541" s="12"/>
      <c r="M3541" s="11"/>
      <c r="N3541" s="11"/>
      <c r="O3541" s="11"/>
      <c r="P3541" s="11"/>
    </row>
    <row r="3542" spans="8:16" hidden="1" x14ac:dyDescent="0.25">
      <c r="H3542" s="12"/>
      <c r="I3542" s="12"/>
      <c r="J3542" s="12"/>
      <c r="K3542" s="12"/>
      <c r="L3542" s="12"/>
      <c r="M3542" s="11"/>
      <c r="N3542" s="11"/>
      <c r="O3542" s="11"/>
      <c r="P3542" s="11"/>
    </row>
    <row r="3543" spans="8:16" hidden="1" x14ac:dyDescent="0.25">
      <c r="H3543" s="12"/>
      <c r="I3543" s="12"/>
      <c r="J3543" s="12"/>
      <c r="K3543" s="12"/>
      <c r="L3543" s="12"/>
      <c r="M3543" s="11"/>
      <c r="N3543" s="11"/>
      <c r="O3543" s="11"/>
      <c r="P3543" s="11"/>
    </row>
    <row r="3544" spans="8:16" hidden="1" x14ac:dyDescent="0.25">
      <c r="H3544" s="12"/>
      <c r="I3544" s="12"/>
      <c r="J3544" s="12"/>
      <c r="K3544" s="12"/>
      <c r="L3544" s="12"/>
      <c r="M3544" s="11"/>
      <c r="N3544" s="11"/>
      <c r="O3544" s="11"/>
      <c r="P3544" s="11"/>
    </row>
    <row r="3545" spans="8:16" hidden="1" x14ac:dyDescent="0.25">
      <c r="H3545" s="12"/>
      <c r="I3545" s="12"/>
      <c r="J3545" s="12"/>
      <c r="K3545" s="12"/>
      <c r="L3545" s="12"/>
      <c r="M3545" s="11"/>
      <c r="N3545" s="11"/>
      <c r="O3545" s="11"/>
      <c r="P3545" s="11"/>
    </row>
    <row r="3546" spans="8:16" hidden="1" x14ac:dyDescent="0.25">
      <c r="H3546" s="12"/>
      <c r="I3546" s="12"/>
      <c r="J3546" s="12"/>
      <c r="K3546" s="12"/>
      <c r="L3546" s="12"/>
      <c r="M3546" s="11"/>
      <c r="N3546" s="11"/>
      <c r="O3546" s="11"/>
      <c r="P3546" s="11"/>
    </row>
    <row r="3547" spans="8:16" hidden="1" x14ac:dyDescent="0.25">
      <c r="H3547" s="12"/>
      <c r="I3547" s="12"/>
      <c r="J3547" s="12"/>
      <c r="K3547" s="12"/>
      <c r="L3547" s="12"/>
      <c r="M3547" s="11"/>
      <c r="N3547" s="11"/>
      <c r="O3547" s="11"/>
      <c r="P3547" s="11"/>
    </row>
    <row r="3548" spans="8:16" hidden="1" x14ac:dyDescent="0.25">
      <c r="H3548" s="12"/>
      <c r="I3548" s="12"/>
      <c r="J3548" s="12"/>
      <c r="K3548" s="12"/>
      <c r="L3548" s="12"/>
      <c r="M3548" s="11"/>
      <c r="N3548" s="11"/>
      <c r="O3548" s="11"/>
      <c r="P3548" s="11"/>
    </row>
    <row r="3549" spans="8:16" hidden="1" x14ac:dyDescent="0.25">
      <c r="H3549" s="12"/>
      <c r="I3549" s="12"/>
      <c r="J3549" s="12"/>
      <c r="K3549" s="12"/>
      <c r="L3549" s="12"/>
      <c r="M3549" s="11"/>
      <c r="N3549" s="11"/>
      <c r="O3549" s="11"/>
      <c r="P3549" s="11"/>
    </row>
    <row r="3550" spans="8:16" hidden="1" x14ac:dyDescent="0.25">
      <c r="H3550" s="12"/>
      <c r="I3550" s="12"/>
      <c r="J3550" s="12"/>
      <c r="K3550" s="12"/>
      <c r="L3550" s="12"/>
      <c r="M3550" s="11"/>
      <c r="N3550" s="11"/>
      <c r="O3550" s="11"/>
      <c r="P3550" s="11"/>
    </row>
    <row r="3551" spans="8:16" hidden="1" x14ac:dyDescent="0.25">
      <c r="H3551" s="12"/>
      <c r="I3551" s="12"/>
      <c r="J3551" s="12"/>
      <c r="K3551" s="12"/>
      <c r="L3551" s="12"/>
      <c r="M3551" s="11"/>
      <c r="N3551" s="11"/>
      <c r="O3551" s="11"/>
      <c r="P3551" s="11"/>
    </row>
    <row r="3552" spans="8:16" hidden="1" x14ac:dyDescent="0.25">
      <c r="H3552" s="12"/>
      <c r="I3552" s="12"/>
      <c r="J3552" s="12"/>
      <c r="K3552" s="12"/>
      <c r="L3552" s="12"/>
      <c r="M3552" s="11"/>
      <c r="N3552" s="11"/>
      <c r="O3552" s="11"/>
      <c r="P3552" s="11"/>
    </row>
    <row r="3553" spans="8:16" hidden="1" x14ac:dyDescent="0.25">
      <c r="H3553" s="12"/>
      <c r="I3553" s="12"/>
      <c r="J3553" s="12"/>
      <c r="K3553" s="12"/>
      <c r="L3553" s="12"/>
      <c r="M3553" s="11"/>
      <c r="N3553" s="11"/>
      <c r="O3553" s="11"/>
      <c r="P3553" s="11"/>
    </row>
    <row r="3554" spans="8:16" hidden="1" x14ac:dyDescent="0.25">
      <c r="H3554" s="12"/>
      <c r="I3554" s="12"/>
      <c r="J3554" s="12"/>
      <c r="K3554" s="12"/>
      <c r="L3554" s="12"/>
      <c r="M3554" s="11"/>
      <c r="N3554" s="11"/>
      <c r="O3554" s="11"/>
      <c r="P3554" s="11"/>
    </row>
    <row r="3555" spans="8:16" hidden="1" x14ac:dyDescent="0.25">
      <c r="H3555" s="12"/>
      <c r="I3555" s="12"/>
      <c r="J3555" s="12"/>
      <c r="K3555" s="12"/>
      <c r="L3555" s="12"/>
      <c r="M3555" s="11"/>
      <c r="N3555" s="11"/>
      <c r="O3555" s="11"/>
      <c r="P3555" s="11"/>
    </row>
    <row r="3556" spans="8:16" hidden="1" x14ac:dyDescent="0.25">
      <c r="H3556" s="12"/>
      <c r="I3556" s="12"/>
      <c r="J3556" s="12"/>
      <c r="K3556" s="12"/>
      <c r="L3556" s="12"/>
      <c r="M3556" s="11"/>
      <c r="N3556" s="11"/>
      <c r="O3556" s="11"/>
      <c r="P3556" s="11"/>
    </row>
    <row r="3557" spans="8:16" hidden="1" x14ac:dyDescent="0.25">
      <c r="H3557" s="12"/>
      <c r="I3557" s="12"/>
      <c r="J3557" s="12"/>
      <c r="K3557" s="12"/>
      <c r="L3557" s="12"/>
      <c r="M3557" s="11"/>
      <c r="N3557" s="11"/>
      <c r="O3557" s="11"/>
      <c r="P3557" s="11"/>
    </row>
    <row r="3558" spans="8:16" hidden="1" x14ac:dyDescent="0.25">
      <c r="H3558" s="12"/>
      <c r="I3558" s="12"/>
      <c r="J3558" s="12"/>
      <c r="K3558" s="12"/>
      <c r="L3558" s="12"/>
      <c r="M3558" s="11"/>
      <c r="N3558" s="11"/>
      <c r="O3558" s="11"/>
      <c r="P3558" s="11"/>
    </row>
    <row r="3559" spans="8:16" hidden="1" x14ac:dyDescent="0.25">
      <c r="H3559" s="12"/>
      <c r="I3559" s="12"/>
      <c r="J3559" s="12"/>
      <c r="K3559" s="12"/>
      <c r="L3559" s="12"/>
      <c r="M3559" s="11"/>
      <c r="N3559" s="11"/>
      <c r="O3559" s="11"/>
      <c r="P3559" s="11"/>
    </row>
    <row r="3560" spans="8:16" hidden="1" x14ac:dyDescent="0.25">
      <c r="H3560" s="12"/>
      <c r="I3560" s="12"/>
      <c r="J3560" s="12"/>
      <c r="K3560" s="12"/>
      <c r="L3560" s="12"/>
      <c r="M3560" s="11"/>
      <c r="N3560" s="11"/>
      <c r="O3560" s="11"/>
      <c r="P3560" s="11"/>
    </row>
    <row r="3561" spans="8:16" hidden="1" x14ac:dyDescent="0.25">
      <c r="H3561" s="12"/>
      <c r="I3561" s="12"/>
      <c r="J3561" s="12"/>
      <c r="K3561" s="12"/>
      <c r="L3561" s="12"/>
      <c r="M3561" s="11"/>
      <c r="N3561" s="11"/>
      <c r="O3561" s="11"/>
      <c r="P3561" s="11"/>
    </row>
    <row r="3562" spans="8:16" hidden="1" x14ac:dyDescent="0.25">
      <c r="H3562" s="12"/>
      <c r="I3562" s="12"/>
      <c r="J3562" s="12"/>
      <c r="K3562" s="12"/>
      <c r="L3562" s="12"/>
      <c r="M3562" s="11"/>
      <c r="N3562" s="11"/>
      <c r="O3562" s="11"/>
      <c r="P3562" s="11"/>
    </row>
    <row r="3563" spans="8:16" hidden="1" x14ac:dyDescent="0.25">
      <c r="H3563" s="12"/>
      <c r="I3563" s="12"/>
      <c r="J3563" s="12"/>
      <c r="K3563" s="12"/>
      <c r="L3563" s="12"/>
      <c r="M3563" s="11"/>
      <c r="N3563" s="11"/>
      <c r="O3563" s="11"/>
      <c r="P3563" s="11"/>
    </row>
    <row r="3564" spans="8:16" hidden="1" x14ac:dyDescent="0.25">
      <c r="H3564" s="12"/>
      <c r="I3564" s="12"/>
      <c r="J3564" s="12"/>
      <c r="K3564" s="12"/>
      <c r="L3564" s="12"/>
      <c r="M3564" s="11"/>
      <c r="N3564" s="11"/>
      <c r="O3564" s="11"/>
      <c r="P3564" s="11"/>
    </row>
    <row r="3565" spans="8:16" hidden="1" x14ac:dyDescent="0.25">
      <c r="H3565" s="12"/>
      <c r="I3565" s="12"/>
      <c r="J3565" s="12"/>
      <c r="K3565" s="12"/>
      <c r="L3565" s="12"/>
      <c r="M3565" s="11"/>
      <c r="N3565" s="11"/>
      <c r="O3565" s="11"/>
      <c r="P3565" s="11"/>
    </row>
    <row r="3566" spans="8:16" hidden="1" x14ac:dyDescent="0.25">
      <c r="H3566" s="12"/>
      <c r="I3566" s="12"/>
      <c r="J3566" s="12"/>
      <c r="K3566" s="12"/>
      <c r="L3566" s="12"/>
      <c r="M3566" s="11"/>
      <c r="N3566" s="11"/>
      <c r="O3566" s="11"/>
      <c r="P3566" s="11"/>
    </row>
    <row r="3567" spans="8:16" hidden="1" x14ac:dyDescent="0.25">
      <c r="H3567" s="12"/>
      <c r="I3567" s="12"/>
      <c r="J3567" s="12"/>
      <c r="K3567" s="12"/>
      <c r="L3567" s="12"/>
      <c r="M3567" s="11"/>
      <c r="N3567" s="11"/>
      <c r="O3567" s="11"/>
      <c r="P3567" s="11"/>
    </row>
    <row r="3568" spans="8:16" hidden="1" x14ac:dyDescent="0.25">
      <c r="H3568" s="12"/>
      <c r="I3568" s="12"/>
      <c r="J3568" s="12"/>
      <c r="K3568" s="12"/>
      <c r="L3568" s="12"/>
      <c r="M3568" s="11"/>
      <c r="N3568" s="11"/>
      <c r="O3568" s="11"/>
      <c r="P3568" s="11"/>
    </row>
    <row r="3569" spans="8:16" hidden="1" x14ac:dyDescent="0.25">
      <c r="H3569" s="12"/>
      <c r="I3569" s="12"/>
      <c r="J3569" s="12"/>
      <c r="K3569" s="12"/>
      <c r="L3569" s="12"/>
      <c r="M3569" s="11"/>
      <c r="N3569" s="11"/>
      <c r="O3569" s="11"/>
      <c r="P3569" s="11"/>
    </row>
    <row r="3570" spans="8:16" hidden="1" x14ac:dyDescent="0.25">
      <c r="H3570" s="12"/>
      <c r="I3570" s="12"/>
      <c r="J3570" s="12"/>
      <c r="K3570" s="12"/>
      <c r="L3570" s="12"/>
      <c r="M3570" s="11"/>
      <c r="N3570" s="11"/>
      <c r="O3570" s="11"/>
      <c r="P3570" s="11"/>
    </row>
    <row r="3571" spans="8:16" hidden="1" x14ac:dyDescent="0.25">
      <c r="H3571" s="12"/>
      <c r="I3571" s="12"/>
      <c r="J3571" s="12"/>
      <c r="K3571" s="12"/>
      <c r="L3571" s="12"/>
      <c r="M3571" s="11"/>
      <c r="N3571" s="11"/>
      <c r="O3571" s="11"/>
      <c r="P3571" s="11"/>
    </row>
    <row r="3572" spans="8:16" hidden="1" x14ac:dyDescent="0.25">
      <c r="H3572" s="12"/>
      <c r="I3572" s="12"/>
      <c r="J3572" s="12"/>
      <c r="K3572" s="12"/>
      <c r="L3572" s="12"/>
      <c r="M3572" s="11"/>
      <c r="N3572" s="11"/>
      <c r="O3572" s="11"/>
      <c r="P3572" s="11"/>
    </row>
    <row r="3573" spans="8:16" hidden="1" x14ac:dyDescent="0.25">
      <c r="H3573" s="12"/>
      <c r="I3573" s="12"/>
      <c r="J3573" s="12"/>
      <c r="K3573" s="12"/>
      <c r="L3573" s="12"/>
      <c r="M3573" s="11"/>
      <c r="N3573" s="11"/>
      <c r="O3573" s="11"/>
      <c r="P3573" s="11"/>
    </row>
    <row r="3574" spans="8:16" hidden="1" x14ac:dyDescent="0.25">
      <c r="H3574" s="12"/>
      <c r="I3574" s="12"/>
      <c r="J3574" s="12"/>
      <c r="K3574" s="12"/>
      <c r="L3574" s="12"/>
      <c r="M3574" s="11"/>
      <c r="N3574" s="11"/>
      <c r="O3574" s="11"/>
      <c r="P3574" s="11"/>
    </row>
    <row r="3575" spans="8:16" hidden="1" x14ac:dyDescent="0.25">
      <c r="H3575" s="12"/>
      <c r="I3575" s="12"/>
      <c r="J3575" s="12"/>
      <c r="K3575" s="12"/>
      <c r="L3575" s="12"/>
      <c r="M3575" s="11"/>
      <c r="N3575" s="11"/>
      <c r="O3575" s="11"/>
      <c r="P3575" s="11"/>
    </row>
    <row r="3576" spans="8:16" hidden="1" x14ac:dyDescent="0.25">
      <c r="H3576" s="12"/>
      <c r="I3576" s="12"/>
      <c r="J3576" s="12"/>
      <c r="K3576" s="12"/>
      <c r="L3576" s="12"/>
      <c r="M3576" s="11"/>
      <c r="N3576" s="11"/>
      <c r="O3576" s="11"/>
      <c r="P3576" s="11"/>
    </row>
    <row r="3577" spans="8:16" hidden="1" x14ac:dyDescent="0.25">
      <c r="H3577" s="12"/>
      <c r="I3577" s="12"/>
      <c r="J3577" s="12"/>
      <c r="K3577" s="12"/>
      <c r="L3577" s="12"/>
      <c r="M3577" s="11"/>
      <c r="N3577" s="11"/>
      <c r="O3577" s="11"/>
      <c r="P3577" s="11"/>
    </row>
    <row r="3578" spans="8:16" hidden="1" x14ac:dyDescent="0.25">
      <c r="H3578" s="12"/>
      <c r="I3578" s="12"/>
      <c r="J3578" s="12"/>
      <c r="K3578" s="12"/>
      <c r="L3578" s="12"/>
      <c r="M3578" s="11"/>
      <c r="N3578" s="11"/>
      <c r="O3578" s="11"/>
      <c r="P3578" s="11"/>
    </row>
    <row r="3579" spans="8:16" hidden="1" x14ac:dyDescent="0.25">
      <c r="H3579" s="12"/>
      <c r="I3579" s="12"/>
      <c r="J3579" s="12"/>
      <c r="K3579" s="12"/>
      <c r="L3579" s="12"/>
      <c r="M3579" s="11"/>
      <c r="N3579" s="11"/>
      <c r="O3579" s="11"/>
      <c r="P3579" s="11"/>
    </row>
    <row r="3580" spans="8:16" hidden="1" x14ac:dyDescent="0.25">
      <c r="H3580" s="12"/>
      <c r="I3580" s="12"/>
      <c r="J3580" s="12"/>
      <c r="K3580" s="12"/>
      <c r="L3580" s="12"/>
      <c r="M3580" s="11"/>
      <c r="N3580" s="11"/>
      <c r="O3580" s="11"/>
      <c r="P3580" s="11"/>
    </row>
    <row r="3581" spans="8:16" hidden="1" x14ac:dyDescent="0.25">
      <c r="H3581" s="12"/>
      <c r="I3581" s="12"/>
      <c r="J3581" s="12"/>
      <c r="K3581" s="12"/>
      <c r="L3581" s="12"/>
      <c r="M3581" s="11"/>
      <c r="N3581" s="11"/>
      <c r="O3581" s="11"/>
      <c r="P3581" s="11"/>
    </row>
    <row r="3582" spans="8:16" hidden="1" x14ac:dyDescent="0.25">
      <c r="H3582" s="12"/>
      <c r="I3582" s="12"/>
      <c r="J3582" s="12"/>
      <c r="K3582" s="12"/>
      <c r="L3582" s="12"/>
      <c r="M3582" s="11"/>
      <c r="N3582" s="11"/>
      <c r="O3582" s="11"/>
      <c r="P3582" s="11"/>
    </row>
    <row r="3583" spans="8:16" hidden="1" x14ac:dyDescent="0.25">
      <c r="H3583" s="12"/>
      <c r="I3583" s="12"/>
      <c r="J3583" s="12"/>
      <c r="K3583" s="12"/>
      <c r="L3583" s="12"/>
      <c r="M3583" s="11"/>
      <c r="N3583" s="11"/>
      <c r="O3583" s="11"/>
      <c r="P3583" s="11"/>
    </row>
    <row r="3584" spans="8:16" hidden="1" x14ac:dyDescent="0.25">
      <c r="H3584" s="12"/>
      <c r="I3584" s="12"/>
      <c r="J3584" s="12"/>
      <c r="K3584" s="12"/>
      <c r="L3584" s="12"/>
      <c r="M3584" s="11"/>
      <c r="N3584" s="11"/>
      <c r="O3584" s="11"/>
      <c r="P3584" s="11"/>
    </row>
    <row r="3585" spans="8:16" hidden="1" x14ac:dyDescent="0.25">
      <c r="H3585" s="12"/>
      <c r="I3585" s="12"/>
      <c r="J3585" s="12"/>
      <c r="K3585" s="12"/>
      <c r="L3585" s="12"/>
      <c r="M3585" s="11"/>
      <c r="N3585" s="11"/>
      <c r="O3585" s="11"/>
      <c r="P3585" s="11"/>
    </row>
    <row r="3586" spans="8:16" hidden="1" x14ac:dyDescent="0.25">
      <c r="H3586" s="12"/>
      <c r="I3586" s="12"/>
      <c r="J3586" s="12"/>
      <c r="K3586" s="12"/>
      <c r="L3586" s="12"/>
      <c r="M3586" s="11"/>
      <c r="N3586" s="11"/>
      <c r="O3586" s="11"/>
      <c r="P3586" s="11"/>
    </row>
    <row r="3587" spans="8:16" hidden="1" x14ac:dyDescent="0.25">
      <c r="H3587" s="12"/>
      <c r="I3587" s="12"/>
      <c r="J3587" s="12"/>
      <c r="K3587" s="12"/>
      <c r="L3587" s="12"/>
      <c r="M3587" s="11"/>
      <c r="N3587" s="11"/>
      <c r="O3587" s="11"/>
      <c r="P3587" s="11"/>
    </row>
    <row r="3588" spans="8:16" hidden="1" x14ac:dyDescent="0.25">
      <c r="H3588" s="12"/>
      <c r="I3588" s="12"/>
      <c r="J3588" s="12"/>
      <c r="K3588" s="12"/>
      <c r="L3588" s="12"/>
      <c r="M3588" s="11"/>
      <c r="N3588" s="11"/>
      <c r="O3588" s="11"/>
      <c r="P3588" s="11"/>
    </row>
    <row r="3589" spans="8:16" hidden="1" x14ac:dyDescent="0.25">
      <c r="H3589" s="12"/>
      <c r="I3589" s="12"/>
      <c r="J3589" s="12"/>
      <c r="K3589" s="12"/>
      <c r="L3589" s="12"/>
      <c r="M3589" s="11"/>
      <c r="N3589" s="11"/>
      <c r="O3589" s="11"/>
      <c r="P3589" s="11"/>
    </row>
    <row r="3590" spans="8:16" hidden="1" x14ac:dyDescent="0.25">
      <c r="H3590" s="12"/>
      <c r="I3590" s="12"/>
      <c r="J3590" s="12"/>
      <c r="K3590" s="12"/>
      <c r="L3590" s="12"/>
      <c r="M3590" s="11"/>
      <c r="N3590" s="11"/>
      <c r="O3590" s="11"/>
      <c r="P3590" s="11"/>
    </row>
    <row r="3591" spans="8:16" hidden="1" x14ac:dyDescent="0.25">
      <c r="H3591" s="12"/>
      <c r="I3591" s="12"/>
      <c r="J3591" s="12"/>
      <c r="K3591" s="12"/>
      <c r="L3591" s="12"/>
      <c r="M3591" s="11"/>
      <c r="N3591" s="11"/>
      <c r="O3591" s="11"/>
      <c r="P3591" s="11"/>
    </row>
    <row r="3592" spans="8:16" hidden="1" x14ac:dyDescent="0.25">
      <c r="H3592" s="12"/>
      <c r="I3592" s="12"/>
      <c r="J3592" s="12"/>
      <c r="K3592" s="12"/>
      <c r="L3592" s="12"/>
      <c r="M3592" s="11"/>
      <c r="N3592" s="11"/>
      <c r="O3592" s="11"/>
      <c r="P3592" s="11"/>
    </row>
    <row r="3593" spans="8:16" hidden="1" x14ac:dyDescent="0.25">
      <c r="H3593" s="12"/>
      <c r="I3593" s="12"/>
      <c r="J3593" s="12"/>
      <c r="K3593" s="12"/>
      <c r="L3593" s="12"/>
      <c r="M3593" s="11"/>
      <c r="N3593" s="11"/>
      <c r="O3593" s="11"/>
      <c r="P3593" s="11"/>
    </row>
    <row r="3594" spans="8:16" hidden="1" x14ac:dyDescent="0.25">
      <c r="H3594" s="12"/>
      <c r="I3594" s="12"/>
      <c r="J3594" s="12"/>
      <c r="K3594" s="12"/>
      <c r="L3594" s="12"/>
      <c r="M3594" s="11"/>
      <c r="N3594" s="11"/>
      <c r="O3594" s="11"/>
      <c r="P3594" s="11"/>
    </row>
    <row r="3595" spans="8:16" hidden="1" x14ac:dyDescent="0.25">
      <c r="H3595" s="12"/>
      <c r="I3595" s="12"/>
      <c r="J3595" s="12"/>
      <c r="K3595" s="12"/>
      <c r="L3595" s="12"/>
      <c r="M3595" s="11"/>
      <c r="N3595" s="11"/>
      <c r="O3595" s="11"/>
      <c r="P3595" s="11"/>
    </row>
    <row r="3596" spans="8:16" hidden="1" x14ac:dyDescent="0.25">
      <c r="H3596" s="12"/>
      <c r="I3596" s="12"/>
      <c r="J3596" s="12"/>
      <c r="K3596" s="12"/>
      <c r="L3596" s="12"/>
      <c r="M3596" s="11"/>
      <c r="N3596" s="11"/>
      <c r="O3596" s="11"/>
      <c r="P3596" s="11"/>
    </row>
    <row r="3597" spans="8:16" hidden="1" x14ac:dyDescent="0.25">
      <c r="H3597" s="12"/>
      <c r="I3597" s="12"/>
      <c r="J3597" s="12"/>
      <c r="K3597" s="12"/>
      <c r="L3597" s="12"/>
      <c r="M3597" s="11"/>
      <c r="N3597" s="11"/>
      <c r="O3597" s="11"/>
      <c r="P3597" s="11"/>
    </row>
    <row r="3598" spans="8:16" hidden="1" x14ac:dyDescent="0.25">
      <c r="H3598" s="12"/>
      <c r="I3598" s="12"/>
      <c r="J3598" s="12"/>
      <c r="K3598" s="12"/>
      <c r="L3598" s="12"/>
      <c r="M3598" s="11"/>
      <c r="N3598" s="11"/>
      <c r="O3598" s="11"/>
      <c r="P3598" s="11"/>
    </row>
    <row r="3599" spans="8:16" hidden="1" x14ac:dyDescent="0.25">
      <c r="H3599" s="12"/>
      <c r="I3599" s="12"/>
      <c r="J3599" s="12"/>
      <c r="K3599" s="12"/>
      <c r="L3599" s="12"/>
      <c r="M3599" s="11"/>
      <c r="N3599" s="11"/>
      <c r="O3599" s="11"/>
      <c r="P3599" s="11"/>
    </row>
    <row r="3600" spans="8:16" hidden="1" x14ac:dyDescent="0.25">
      <c r="H3600" s="12"/>
      <c r="I3600" s="12"/>
      <c r="J3600" s="12"/>
      <c r="K3600" s="12"/>
      <c r="L3600" s="12"/>
      <c r="M3600" s="11"/>
      <c r="N3600" s="11"/>
      <c r="O3600" s="11"/>
      <c r="P3600" s="11"/>
    </row>
    <row r="3601" spans="8:16" hidden="1" x14ac:dyDescent="0.25">
      <c r="H3601" s="12"/>
      <c r="I3601" s="12"/>
      <c r="J3601" s="12"/>
      <c r="K3601" s="12"/>
      <c r="L3601" s="12"/>
      <c r="M3601" s="11"/>
      <c r="N3601" s="11"/>
      <c r="O3601" s="11"/>
      <c r="P3601" s="11"/>
    </row>
    <row r="3602" spans="8:16" hidden="1" x14ac:dyDescent="0.25">
      <c r="H3602" s="12"/>
      <c r="I3602" s="12"/>
      <c r="J3602" s="12"/>
      <c r="K3602" s="12"/>
      <c r="L3602" s="12"/>
      <c r="M3602" s="11"/>
      <c r="N3602" s="11"/>
      <c r="O3602" s="11"/>
      <c r="P3602" s="11"/>
    </row>
    <row r="3603" spans="8:16" hidden="1" x14ac:dyDescent="0.25">
      <c r="H3603" s="12"/>
      <c r="I3603" s="12"/>
      <c r="J3603" s="12"/>
      <c r="K3603" s="12"/>
      <c r="L3603" s="12"/>
      <c r="M3603" s="11"/>
      <c r="N3603" s="11"/>
      <c r="O3603" s="11"/>
      <c r="P3603" s="11"/>
    </row>
    <row r="3604" spans="8:16" hidden="1" x14ac:dyDescent="0.25">
      <c r="H3604" s="12"/>
      <c r="I3604" s="12"/>
      <c r="J3604" s="12"/>
      <c r="K3604" s="12"/>
      <c r="L3604" s="12"/>
      <c r="M3604" s="11"/>
      <c r="N3604" s="11"/>
      <c r="O3604" s="11"/>
      <c r="P3604" s="11"/>
    </row>
    <row r="3605" spans="8:16" hidden="1" x14ac:dyDescent="0.25">
      <c r="H3605" s="12"/>
      <c r="I3605" s="12"/>
      <c r="J3605" s="12"/>
      <c r="K3605" s="12"/>
      <c r="L3605" s="12"/>
      <c r="M3605" s="11"/>
      <c r="N3605" s="11"/>
      <c r="O3605" s="11"/>
      <c r="P3605" s="11"/>
    </row>
    <row r="3606" spans="8:16" hidden="1" x14ac:dyDescent="0.25">
      <c r="H3606" s="12"/>
      <c r="I3606" s="12"/>
      <c r="J3606" s="12"/>
      <c r="K3606" s="12"/>
      <c r="L3606" s="12"/>
      <c r="M3606" s="11"/>
      <c r="N3606" s="11"/>
      <c r="O3606" s="11"/>
      <c r="P3606" s="11"/>
    </row>
    <row r="3607" spans="8:16" hidden="1" x14ac:dyDescent="0.25">
      <c r="H3607" s="12"/>
      <c r="I3607" s="12"/>
      <c r="J3607" s="12"/>
      <c r="K3607" s="12"/>
      <c r="L3607" s="12"/>
      <c r="M3607" s="11"/>
      <c r="N3607" s="11"/>
      <c r="O3607" s="11"/>
      <c r="P3607" s="11"/>
    </row>
    <row r="3608" spans="8:16" hidden="1" x14ac:dyDescent="0.25">
      <c r="H3608" s="12"/>
      <c r="I3608" s="12"/>
      <c r="J3608" s="12"/>
      <c r="K3608" s="12"/>
      <c r="L3608" s="12"/>
      <c r="M3608" s="11"/>
      <c r="N3608" s="11"/>
      <c r="O3608" s="11"/>
      <c r="P3608" s="11"/>
    </row>
    <row r="3609" spans="8:16" hidden="1" x14ac:dyDescent="0.25">
      <c r="H3609" s="12"/>
      <c r="I3609" s="12"/>
      <c r="J3609" s="12"/>
      <c r="K3609" s="12"/>
      <c r="L3609" s="12"/>
      <c r="M3609" s="11"/>
      <c r="N3609" s="11"/>
      <c r="O3609" s="11"/>
      <c r="P3609" s="11"/>
    </row>
    <row r="3610" spans="8:16" hidden="1" x14ac:dyDescent="0.25">
      <c r="H3610" s="12"/>
      <c r="I3610" s="12"/>
      <c r="J3610" s="12"/>
      <c r="K3610" s="12"/>
      <c r="L3610" s="12"/>
      <c r="M3610" s="11"/>
      <c r="N3610" s="11"/>
      <c r="O3610" s="11"/>
      <c r="P3610" s="11"/>
    </row>
    <row r="3611" spans="8:16" hidden="1" x14ac:dyDescent="0.25">
      <c r="H3611" s="12"/>
      <c r="I3611" s="12"/>
      <c r="J3611" s="12"/>
      <c r="K3611" s="12"/>
      <c r="L3611" s="12"/>
      <c r="M3611" s="11"/>
      <c r="N3611" s="11"/>
      <c r="O3611" s="11"/>
      <c r="P3611" s="11"/>
    </row>
    <row r="3612" spans="8:16" hidden="1" x14ac:dyDescent="0.25">
      <c r="H3612" s="12"/>
      <c r="I3612" s="12"/>
      <c r="J3612" s="12"/>
      <c r="K3612" s="12"/>
      <c r="L3612" s="12"/>
      <c r="M3612" s="11"/>
      <c r="N3612" s="11"/>
      <c r="O3612" s="11"/>
      <c r="P3612" s="11"/>
    </row>
    <row r="3613" spans="8:16" hidden="1" x14ac:dyDescent="0.25">
      <c r="H3613" s="12"/>
      <c r="I3613" s="12"/>
      <c r="J3613" s="12"/>
      <c r="K3613" s="12"/>
      <c r="L3613" s="12"/>
      <c r="M3613" s="11"/>
      <c r="N3613" s="11"/>
      <c r="O3613" s="11"/>
      <c r="P3613" s="11"/>
    </row>
    <row r="3614" spans="8:16" hidden="1" x14ac:dyDescent="0.25">
      <c r="H3614" s="12"/>
      <c r="I3614" s="12"/>
      <c r="J3614" s="12"/>
      <c r="K3614" s="12"/>
      <c r="L3614" s="12"/>
      <c r="M3614" s="11"/>
      <c r="N3614" s="11"/>
      <c r="O3614" s="11"/>
      <c r="P3614" s="11"/>
    </row>
    <row r="3615" spans="8:16" hidden="1" x14ac:dyDescent="0.25">
      <c r="H3615" s="12"/>
      <c r="I3615" s="12"/>
      <c r="J3615" s="12"/>
      <c r="K3615" s="12"/>
      <c r="L3615" s="12"/>
      <c r="M3615" s="11"/>
      <c r="N3615" s="11"/>
      <c r="O3615" s="11"/>
      <c r="P3615" s="11"/>
    </row>
    <row r="3616" spans="8:16" hidden="1" x14ac:dyDescent="0.25">
      <c r="H3616" s="12"/>
      <c r="I3616" s="12"/>
      <c r="J3616" s="12"/>
      <c r="K3616" s="12"/>
      <c r="L3616" s="12"/>
      <c r="M3616" s="11"/>
      <c r="N3616" s="11"/>
      <c r="O3616" s="11"/>
      <c r="P3616" s="11"/>
    </row>
    <row r="3617" spans="8:16" hidden="1" x14ac:dyDescent="0.25">
      <c r="H3617" s="12"/>
      <c r="I3617" s="12"/>
      <c r="J3617" s="12"/>
      <c r="K3617" s="12"/>
      <c r="L3617" s="12"/>
      <c r="M3617" s="11"/>
      <c r="N3617" s="11"/>
      <c r="O3617" s="11"/>
      <c r="P3617" s="11"/>
    </row>
    <row r="3618" spans="8:16" hidden="1" x14ac:dyDescent="0.25">
      <c r="H3618" s="12"/>
      <c r="I3618" s="12"/>
      <c r="J3618" s="12"/>
      <c r="K3618" s="12"/>
      <c r="L3618" s="12"/>
      <c r="M3618" s="11"/>
      <c r="N3618" s="11"/>
      <c r="O3618" s="11"/>
      <c r="P3618" s="11"/>
    </row>
    <row r="3619" spans="8:16" hidden="1" x14ac:dyDescent="0.25">
      <c r="H3619" s="12"/>
      <c r="I3619" s="12"/>
      <c r="J3619" s="12"/>
      <c r="K3619" s="12"/>
      <c r="L3619" s="12"/>
      <c r="M3619" s="11"/>
      <c r="N3619" s="11"/>
      <c r="O3619" s="11"/>
      <c r="P3619" s="11"/>
    </row>
    <row r="3620" spans="8:16" hidden="1" x14ac:dyDescent="0.25">
      <c r="H3620" s="12"/>
      <c r="I3620" s="12"/>
      <c r="J3620" s="12"/>
      <c r="K3620" s="12"/>
      <c r="L3620" s="12"/>
      <c r="M3620" s="11"/>
      <c r="N3620" s="11"/>
      <c r="O3620" s="11"/>
      <c r="P3620" s="11"/>
    </row>
    <row r="3621" spans="8:16" hidden="1" x14ac:dyDescent="0.25">
      <c r="H3621" s="12"/>
      <c r="I3621" s="12"/>
      <c r="J3621" s="12"/>
      <c r="K3621" s="12"/>
      <c r="L3621" s="12"/>
      <c r="M3621" s="11"/>
      <c r="N3621" s="11"/>
      <c r="O3621" s="11"/>
      <c r="P3621" s="11"/>
    </row>
    <row r="3622" spans="8:16" hidden="1" x14ac:dyDescent="0.25">
      <c r="H3622" s="12"/>
      <c r="I3622" s="12"/>
      <c r="J3622" s="12"/>
      <c r="K3622" s="12"/>
      <c r="L3622" s="12"/>
      <c r="M3622" s="11"/>
      <c r="N3622" s="11"/>
      <c r="O3622" s="11"/>
      <c r="P3622" s="11"/>
    </row>
    <row r="3623" spans="8:16" hidden="1" x14ac:dyDescent="0.25">
      <c r="H3623" s="12"/>
      <c r="I3623" s="12"/>
      <c r="J3623" s="12"/>
      <c r="K3623" s="12"/>
      <c r="L3623" s="12"/>
      <c r="M3623" s="11"/>
      <c r="N3623" s="11"/>
      <c r="O3623" s="11"/>
      <c r="P3623" s="11"/>
    </row>
    <row r="3624" spans="8:16" hidden="1" x14ac:dyDescent="0.25">
      <c r="H3624" s="12"/>
      <c r="I3624" s="12"/>
      <c r="J3624" s="12"/>
      <c r="K3624" s="12"/>
      <c r="L3624" s="12"/>
      <c r="M3624" s="11"/>
      <c r="N3624" s="11"/>
      <c r="O3624" s="11"/>
      <c r="P3624" s="11"/>
    </row>
    <row r="3625" spans="8:16" hidden="1" x14ac:dyDescent="0.25">
      <c r="H3625" s="12"/>
      <c r="I3625" s="12"/>
      <c r="J3625" s="12"/>
      <c r="K3625" s="12"/>
      <c r="L3625" s="12"/>
      <c r="M3625" s="11"/>
      <c r="N3625" s="11"/>
      <c r="O3625" s="11"/>
      <c r="P3625" s="11"/>
    </row>
    <row r="3626" spans="8:16" hidden="1" x14ac:dyDescent="0.25">
      <c r="H3626" s="12"/>
      <c r="I3626" s="12"/>
      <c r="J3626" s="12"/>
      <c r="K3626" s="12"/>
      <c r="L3626" s="12"/>
      <c r="M3626" s="11"/>
      <c r="N3626" s="11"/>
      <c r="O3626" s="11"/>
      <c r="P3626" s="11"/>
    </row>
    <row r="3627" spans="8:16" hidden="1" x14ac:dyDescent="0.25">
      <c r="H3627" s="12"/>
      <c r="I3627" s="12"/>
      <c r="J3627" s="12"/>
      <c r="K3627" s="12"/>
      <c r="L3627" s="12"/>
      <c r="M3627" s="11"/>
      <c r="N3627" s="11"/>
      <c r="O3627" s="11"/>
      <c r="P3627" s="11"/>
    </row>
    <row r="3628" spans="8:16" hidden="1" x14ac:dyDescent="0.25">
      <c r="H3628" s="12"/>
      <c r="I3628" s="12"/>
      <c r="J3628" s="12"/>
      <c r="K3628" s="12"/>
      <c r="L3628" s="12"/>
      <c r="M3628" s="11"/>
      <c r="N3628" s="11"/>
      <c r="O3628" s="11"/>
      <c r="P3628" s="11"/>
    </row>
    <row r="3629" spans="8:16" hidden="1" x14ac:dyDescent="0.25">
      <c r="H3629" s="12"/>
      <c r="I3629" s="12"/>
      <c r="J3629" s="12"/>
      <c r="K3629" s="12"/>
      <c r="L3629" s="12"/>
      <c r="M3629" s="11"/>
      <c r="N3629" s="11"/>
      <c r="O3629" s="11"/>
      <c r="P3629" s="11"/>
    </row>
    <row r="3630" spans="8:16" hidden="1" x14ac:dyDescent="0.25">
      <c r="H3630" s="12"/>
      <c r="I3630" s="12"/>
      <c r="J3630" s="12"/>
      <c r="K3630" s="12"/>
      <c r="L3630" s="12"/>
      <c r="M3630" s="11"/>
      <c r="N3630" s="11"/>
      <c r="O3630" s="11"/>
      <c r="P3630" s="11"/>
    </row>
    <row r="3631" spans="8:16" hidden="1" x14ac:dyDescent="0.25">
      <c r="H3631" s="12"/>
      <c r="I3631" s="12"/>
      <c r="J3631" s="12"/>
      <c r="K3631" s="12"/>
      <c r="L3631" s="12"/>
      <c r="M3631" s="11"/>
      <c r="N3631" s="11"/>
      <c r="O3631" s="11"/>
      <c r="P3631" s="11"/>
    </row>
    <row r="3632" spans="8:16" hidden="1" x14ac:dyDescent="0.25">
      <c r="H3632" s="12"/>
      <c r="I3632" s="12"/>
      <c r="J3632" s="12"/>
      <c r="K3632" s="12"/>
      <c r="L3632" s="12"/>
      <c r="M3632" s="11"/>
      <c r="N3632" s="11"/>
      <c r="O3632" s="11"/>
      <c r="P3632" s="11"/>
    </row>
    <row r="3633" spans="8:16" hidden="1" x14ac:dyDescent="0.25">
      <c r="H3633" s="12"/>
      <c r="I3633" s="12"/>
      <c r="J3633" s="12"/>
      <c r="K3633" s="12"/>
      <c r="L3633" s="12"/>
      <c r="M3633" s="11"/>
      <c r="N3633" s="11"/>
      <c r="O3633" s="11"/>
      <c r="P3633" s="11"/>
    </row>
    <row r="3634" spans="8:16" hidden="1" x14ac:dyDescent="0.25">
      <c r="H3634" s="12"/>
      <c r="I3634" s="12"/>
      <c r="J3634" s="12"/>
      <c r="K3634" s="12"/>
      <c r="L3634" s="12"/>
      <c r="M3634" s="11"/>
      <c r="N3634" s="11"/>
      <c r="O3634" s="11"/>
      <c r="P3634" s="11"/>
    </row>
    <row r="3635" spans="8:16" hidden="1" x14ac:dyDescent="0.25">
      <c r="H3635" s="12"/>
      <c r="I3635" s="12"/>
      <c r="J3635" s="12"/>
      <c r="K3635" s="12"/>
      <c r="L3635" s="12"/>
      <c r="M3635" s="11"/>
      <c r="N3635" s="11"/>
      <c r="O3635" s="11"/>
      <c r="P3635" s="11"/>
    </row>
    <row r="3636" spans="8:16" hidden="1" x14ac:dyDescent="0.25">
      <c r="H3636" s="12"/>
      <c r="I3636" s="12"/>
      <c r="J3636" s="12"/>
      <c r="K3636" s="12"/>
      <c r="L3636" s="12"/>
      <c r="M3636" s="11"/>
      <c r="N3636" s="11"/>
      <c r="O3636" s="11"/>
      <c r="P3636" s="11"/>
    </row>
    <row r="3637" spans="8:16" hidden="1" x14ac:dyDescent="0.25">
      <c r="H3637" s="12"/>
      <c r="I3637" s="12"/>
      <c r="J3637" s="12"/>
      <c r="K3637" s="12"/>
      <c r="L3637" s="12"/>
      <c r="M3637" s="11"/>
      <c r="N3637" s="11"/>
      <c r="O3637" s="11"/>
      <c r="P3637" s="11"/>
    </row>
    <row r="3638" spans="8:16" hidden="1" x14ac:dyDescent="0.25">
      <c r="H3638" s="12"/>
      <c r="I3638" s="12"/>
      <c r="J3638" s="12"/>
      <c r="K3638" s="12"/>
      <c r="L3638" s="12"/>
      <c r="M3638" s="11"/>
      <c r="N3638" s="11"/>
      <c r="O3638" s="11"/>
      <c r="P3638" s="11"/>
    </row>
    <row r="3639" spans="8:16" hidden="1" x14ac:dyDescent="0.25">
      <c r="H3639" s="12"/>
      <c r="I3639" s="12"/>
      <c r="J3639" s="12"/>
      <c r="K3639" s="12"/>
      <c r="L3639" s="12"/>
      <c r="M3639" s="11"/>
      <c r="N3639" s="11"/>
      <c r="O3639" s="11"/>
      <c r="P3639" s="11"/>
    </row>
    <row r="3640" spans="8:16" hidden="1" x14ac:dyDescent="0.25">
      <c r="H3640" s="12"/>
      <c r="I3640" s="12"/>
      <c r="J3640" s="12"/>
      <c r="K3640" s="12"/>
      <c r="L3640" s="12"/>
      <c r="M3640" s="11"/>
      <c r="N3640" s="11"/>
      <c r="O3640" s="11"/>
      <c r="P3640" s="11"/>
    </row>
    <row r="3641" spans="8:16" hidden="1" x14ac:dyDescent="0.25">
      <c r="H3641" s="12"/>
      <c r="I3641" s="12"/>
      <c r="J3641" s="12"/>
      <c r="K3641" s="12"/>
      <c r="L3641" s="12"/>
      <c r="M3641" s="11"/>
      <c r="N3641" s="11"/>
      <c r="O3641" s="11"/>
      <c r="P3641" s="11"/>
    </row>
    <row r="3642" spans="8:16" hidden="1" x14ac:dyDescent="0.25">
      <c r="H3642" s="12"/>
      <c r="I3642" s="12"/>
      <c r="J3642" s="12"/>
      <c r="K3642" s="12"/>
      <c r="L3642" s="12"/>
      <c r="M3642" s="11"/>
      <c r="N3642" s="11"/>
      <c r="O3642" s="11"/>
      <c r="P3642" s="11"/>
    </row>
    <row r="3643" spans="8:16" hidden="1" x14ac:dyDescent="0.25">
      <c r="H3643" s="12"/>
      <c r="I3643" s="12"/>
      <c r="J3643" s="12"/>
      <c r="K3643" s="12"/>
      <c r="L3643" s="12"/>
      <c r="M3643" s="11"/>
      <c r="N3643" s="11"/>
      <c r="O3643" s="11"/>
      <c r="P3643" s="11"/>
    </row>
    <row r="3644" spans="8:16" hidden="1" x14ac:dyDescent="0.25">
      <c r="H3644" s="12"/>
      <c r="I3644" s="12"/>
      <c r="J3644" s="12"/>
      <c r="K3644" s="12"/>
      <c r="L3644" s="12"/>
      <c r="M3644" s="11"/>
      <c r="N3644" s="11"/>
      <c r="O3644" s="11"/>
      <c r="P3644" s="11"/>
    </row>
    <row r="3645" spans="8:16" hidden="1" x14ac:dyDescent="0.25">
      <c r="H3645" s="12"/>
      <c r="I3645" s="12"/>
      <c r="J3645" s="12"/>
      <c r="K3645" s="12"/>
      <c r="L3645" s="12"/>
      <c r="M3645" s="11"/>
      <c r="N3645" s="11"/>
      <c r="O3645" s="11"/>
      <c r="P3645" s="11"/>
    </row>
    <row r="3646" spans="8:16" hidden="1" x14ac:dyDescent="0.25">
      <c r="H3646" s="12"/>
      <c r="I3646" s="12"/>
      <c r="J3646" s="12"/>
      <c r="K3646" s="12"/>
      <c r="L3646" s="12"/>
      <c r="M3646" s="11"/>
      <c r="N3646" s="11"/>
      <c r="O3646" s="11"/>
      <c r="P3646" s="11"/>
    </row>
    <row r="3647" spans="8:16" hidden="1" x14ac:dyDescent="0.25">
      <c r="H3647" s="12"/>
      <c r="I3647" s="12"/>
      <c r="J3647" s="12"/>
      <c r="K3647" s="12"/>
      <c r="L3647" s="12"/>
      <c r="M3647" s="11"/>
      <c r="N3647" s="11"/>
      <c r="O3647" s="11"/>
      <c r="P3647" s="11"/>
    </row>
    <row r="3648" spans="8:16" hidden="1" x14ac:dyDescent="0.25">
      <c r="H3648" s="12"/>
      <c r="I3648" s="12"/>
      <c r="J3648" s="12"/>
      <c r="K3648" s="12"/>
      <c r="L3648" s="12"/>
      <c r="M3648" s="11"/>
      <c r="N3648" s="11"/>
      <c r="O3648" s="11"/>
      <c r="P3648" s="11"/>
    </row>
    <row r="3649" spans="8:16" hidden="1" x14ac:dyDescent="0.25">
      <c r="H3649" s="12"/>
      <c r="I3649" s="12"/>
      <c r="J3649" s="12"/>
      <c r="K3649" s="12"/>
      <c r="L3649" s="12"/>
      <c r="M3649" s="11"/>
      <c r="N3649" s="11"/>
      <c r="O3649" s="11"/>
      <c r="P3649" s="11"/>
    </row>
    <row r="3650" spans="8:16" hidden="1" x14ac:dyDescent="0.25">
      <c r="H3650" s="12"/>
      <c r="I3650" s="12"/>
      <c r="J3650" s="12"/>
      <c r="K3650" s="12"/>
      <c r="L3650" s="12"/>
      <c r="M3650" s="11"/>
      <c r="N3650" s="11"/>
      <c r="O3650" s="11"/>
      <c r="P3650" s="11"/>
    </row>
    <row r="3651" spans="8:16" hidden="1" x14ac:dyDescent="0.25">
      <c r="H3651" s="12"/>
      <c r="I3651" s="12"/>
      <c r="J3651" s="12"/>
      <c r="K3651" s="12"/>
      <c r="L3651" s="12"/>
      <c r="M3651" s="11"/>
      <c r="N3651" s="11"/>
      <c r="O3651" s="11"/>
      <c r="P3651" s="11"/>
    </row>
    <row r="3652" spans="8:16" hidden="1" x14ac:dyDescent="0.25">
      <c r="H3652" s="12"/>
      <c r="I3652" s="12"/>
      <c r="J3652" s="12"/>
      <c r="K3652" s="12"/>
      <c r="L3652" s="12"/>
      <c r="M3652" s="11"/>
      <c r="N3652" s="11"/>
      <c r="O3652" s="11"/>
      <c r="P3652" s="11"/>
    </row>
    <row r="3653" spans="8:16" hidden="1" x14ac:dyDescent="0.25">
      <c r="H3653" s="12"/>
      <c r="I3653" s="12"/>
      <c r="J3653" s="12"/>
      <c r="K3653" s="12"/>
      <c r="L3653" s="12"/>
      <c r="M3653" s="11"/>
      <c r="N3653" s="11"/>
      <c r="O3653" s="11"/>
      <c r="P3653" s="11"/>
    </row>
    <row r="3654" spans="8:16" hidden="1" x14ac:dyDescent="0.25">
      <c r="H3654" s="12"/>
      <c r="I3654" s="12"/>
      <c r="J3654" s="12"/>
      <c r="K3654" s="12"/>
      <c r="L3654" s="12"/>
      <c r="M3654" s="11"/>
      <c r="N3654" s="11"/>
      <c r="O3654" s="11"/>
      <c r="P3654" s="11"/>
    </row>
    <row r="3655" spans="8:16" hidden="1" x14ac:dyDescent="0.25">
      <c r="H3655" s="12"/>
      <c r="I3655" s="12"/>
      <c r="J3655" s="12"/>
      <c r="K3655" s="12"/>
      <c r="L3655" s="12"/>
      <c r="M3655" s="11"/>
      <c r="N3655" s="11"/>
      <c r="O3655" s="11"/>
      <c r="P3655" s="11"/>
    </row>
    <row r="3656" spans="8:16" hidden="1" x14ac:dyDescent="0.25">
      <c r="H3656" s="12"/>
      <c r="I3656" s="12"/>
      <c r="J3656" s="12"/>
      <c r="K3656" s="12"/>
      <c r="L3656" s="12"/>
      <c r="M3656" s="11"/>
      <c r="N3656" s="11"/>
      <c r="O3656" s="11"/>
      <c r="P3656" s="11"/>
    </row>
    <row r="3657" spans="8:16" hidden="1" x14ac:dyDescent="0.25">
      <c r="H3657" s="12"/>
      <c r="I3657" s="12"/>
      <c r="J3657" s="12"/>
      <c r="K3657" s="12"/>
      <c r="L3657" s="12"/>
      <c r="M3657" s="11"/>
      <c r="N3657" s="11"/>
      <c r="O3657" s="11"/>
      <c r="P3657" s="11"/>
    </row>
    <row r="3658" spans="8:16" hidden="1" x14ac:dyDescent="0.25">
      <c r="H3658" s="12"/>
      <c r="I3658" s="12"/>
      <c r="J3658" s="12"/>
      <c r="K3658" s="12"/>
      <c r="L3658" s="12"/>
      <c r="M3658" s="11"/>
      <c r="N3658" s="11"/>
      <c r="O3658" s="11"/>
      <c r="P3658" s="11"/>
    </row>
    <row r="3659" spans="8:16" hidden="1" x14ac:dyDescent="0.25">
      <c r="H3659" s="12"/>
      <c r="I3659" s="12"/>
      <c r="J3659" s="12"/>
      <c r="K3659" s="12"/>
      <c r="L3659" s="12"/>
      <c r="M3659" s="11"/>
      <c r="N3659" s="11"/>
      <c r="O3659" s="11"/>
      <c r="P3659" s="11"/>
    </row>
    <row r="3660" spans="8:16" hidden="1" x14ac:dyDescent="0.25">
      <c r="H3660" s="12"/>
      <c r="I3660" s="12"/>
      <c r="J3660" s="12"/>
      <c r="K3660" s="12"/>
      <c r="L3660" s="12"/>
      <c r="M3660" s="11"/>
      <c r="N3660" s="11"/>
      <c r="O3660" s="11"/>
      <c r="P3660" s="11"/>
    </row>
    <row r="3661" spans="8:16" hidden="1" x14ac:dyDescent="0.25">
      <c r="H3661" s="12"/>
      <c r="I3661" s="12"/>
      <c r="J3661" s="12"/>
      <c r="K3661" s="12"/>
      <c r="L3661" s="12"/>
      <c r="M3661" s="11"/>
      <c r="N3661" s="11"/>
      <c r="O3661" s="11"/>
      <c r="P3661" s="11"/>
    </row>
    <row r="3662" spans="8:16" hidden="1" x14ac:dyDescent="0.25">
      <c r="H3662" s="12"/>
      <c r="I3662" s="12"/>
      <c r="J3662" s="12"/>
      <c r="K3662" s="12"/>
      <c r="L3662" s="12"/>
      <c r="M3662" s="11"/>
      <c r="N3662" s="11"/>
      <c r="O3662" s="11"/>
      <c r="P3662" s="11"/>
    </row>
    <row r="3663" spans="8:16" hidden="1" x14ac:dyDescent="0.25">
      <c r="H3663" s="12"/>
      <c r="I3663" s="12"/>
      <c r="J3663" s="12"/>
      <c r="K3663" s="12"/>
      <c r="L3663" s="12"/>
      <c r="M3663" s="11"/>
      <c r="N3663" s="11"/>
      <c r="O3663" s="11"/>
      <c r="P3663" s="11"/>
    </row>
    <row r="3664" spans="8:16" hidden="1" x14ac:dyDescent="0.25">
      <c r="H3664" s="12"/>
      <c r="I3664" s="12"/>
      <c r="J3664" s="12"/>
      <c r="K3664" s="12"/>
      <c r="L3664" s="12"/>
      <c r="M3664" s="11"/>
      <c r="N3664" s="11"/>
      <c r="O3664" s="11"/>
      <c r="P3664" s="11"/>
    </row>
    <row r="3665" spans="8:16" hidden="1" x14ac:dyDescent="0.25">
      <c r="H3665" s="12"/>
      <c r="I3665" s="12"/>
      <c r="J3665" s="12"/>
      <c r="K3665" s="12"/>
      <c r="L3665" s="12"/>
      <c r="M3665" s="11"/>
      <c r="N3665" s="11"/>
      <c r="O3665" s="11"/>
      <c r="P3665" s="11"/>
    </row>
    <row r="3666" spans="8:16" hidden="1" x14ac:dyDescent="0.25">
      <c r="H3666" s="12"/>
      <c r="I3666" s="12"/>
      <c r="J3666" s="12"/>
      <c r="K3666" s="12"/>
      <c r="L3666" s="12"/>
      <c r="M3666" s="11"/>
      <c r="N3666" s="11"/>
      <c r="O3666" s="11"/>
      <c r="P3666" s="11"/>
    </row>
    <row r="3667" spans="8:16" hidden="1" x14ac:dyDescent="0.25">
      <c r="H3667" s="12"/>
      <c r="I3667" s="12"/>
      <c r="J3667" s="12"/>
      <c r="K3667" s="12"/>
      <c r="L3667" s="12"/>
      <c r="M3667" s="11"/>
      <c r="N3667" s="11"/>
      <c r="O3667" s="11"/>
      <c r="P3667" s="11"/>
    </row>
    <row r="3668" spans="8:16" hidden="1" x14ac:dyDescent="0.25">
      <c r="H3668" s="12"/>
      <c r="I3668" s="12"/>
      <c r="J3668" s="12"/>
      <c r="K3668" s="12"/>
      <c r="L3668" s="12"/>
      <c r="M3668" s="11"/>
      <c r="N3668" s="11"/>
      <c r="O3668" s="11"/>
      <c r="P3668" s="11"/>
    </row>
    <row r="3669" spans="8:16" hidden="1" x14ac:dyDescent="0.25">
      <c r="H3669" s="12"/>
      <c r="I3669" s="12"/>
      <c r="J3669" s="12"/>
      <c r="K3669" s="12"/>
      <c r="L3669" s="12"/>
      <c r="M3669" s="11"/>
      <c r="N3669" s="11"/>
      <c r="O3669" s="11"/>
      <c r="P3669" s="11"/>
    </row>
    <row r="3670" spans="8:16" hidden="1" x14ac:dyDescent="0.25">
      <c r="H3670" s="12"/>
      <c r="I3670" s="12"/>
      <c r="J3670" s="12"/>
      <c r="K3670" s="12"/>
      <c r="L3670" s="12"/>
      <c r="M3670" s="11"/>
      <c r="N3670" s="11"/>
      <c r="O3670" s="11"/>
      <c r="P3670" s="11"/>
    </row>
    <row r="3671" spans="8:16" hidden="1" x14ac:dyDescent="0.25">
      <c r="H3671" s="12"/>
      <c r="I3671" s="12"/>
      <c r="J3671" s="12"/>
      <c r="K3671" s="12"/>
      <c r="L3671" s="12"/>
      <c r="M3671" s="11"/>
      <c r="N3671" s="11"/>
      <c r="O3671" s="11"/>
      <c r="P3671" s="11"/>
    </row>
    <row r="3672" spans="8:16" hidden="1" x14ac:dyDescent="0.25">
      <c r="H3672" s="12"/>
      <c r="I3672" s="12"/>
      <c r="J3672" s="12"/>
      <c r="K3672" s="12"/>
      <c r="L3672" s="12"/>
      <c r="M3672" s="11"/>
      <c r="N3672" s="11"/>
      <c r="O3672" s="11"/>
      <c r="P3672" s="11"/>
    </row>
    <row r="3673" spans="8:16" hidden="1" x14ac:dyDescent="0.25">
      <c r="H3673" s="12"/>
      <c r="I3673" s="12"/>
      <c r="J3673" s="12"/>
      <c r="K3673" s="12"/>
      <c r="L3673" s="12"/>
      <c r="M3673" s="11"/>
      <c r="N3673" s="11"/>
      <c r="O3673" s="11"/>
      <c r="P3673" s="11"/>
    </row>
    <row r="3674" spans="8:16" hidden="1" x14ac:dyDescent="0.25">
      <c r="H3674" s="12"/>
      <c r="I3674" s="12"/>
      <c r="J3674" s="12"/>
      <c r="K3674" s="12"/>
      <c r="L3674" s="12"/>
      <c r="M3674" s="11"/>
      <c r="N3674" s="11"/>
      <c r="O3674" s="11"/>
      <c r="P3674" s="11"/>
    </row>
    <row r="3675" spans="8:16" hidden="1" x14ac:dyDescent="0.25">
      <c r="H3675" s="12"/>
      <c r="I3675" s="12"/>
      <c r="J3675" s="12"/>
      <c r="K3675" s="12"/>
      <c r="L3675" s="12"/>
      <c r="M3675" s="11"/>
      <c r="N3675" s="11"/>
      <c r="O3675" s="11"/>
      <c r="P3675" s="11"/>
    </row>
    <row r="3676" spans="8:16" hidden="1" x14ac:dyDescent="0.25">
      <c r="H3676" s="12"/>
      <c r="I3676" s="12"/>
      <c r="J3676" s="12"/>
      <c r="K3676" s="12"/>
      <c r="L3676" s="12"/>
      <c r="M3676" s="11"/>
      <c r="N3676" s="11"/>
      <c r="O3676" s="11"/>
      <c r="P3676" s="11"/>
    </row>
    <row r="3677" spans="8:16" hidden="1" x14ac:dyDescent="0.25">
      <c r="H3677" s="12"/>
      <c r="I3677" s="12"/>
      <c r="J3677" s="12"/>
      <c r="K3677" s="12"/>
      <c r="L3677" s="12"/>
      <c r="M3677" s="11"/>
      <c r="N3677" s="11"/>
      <c r="O3677" s="11"/>
      <c r="P3677" s="11"/>
    </row>
    <row r="3678" spans="8:16" hidden="1" x14ac:dyDescent="0.25">
      <c r="H3678" s="12"/>
      <c r="I3678" s="12"/>
      <c r="J3678" s="12"/>
      <c r="K3678" s="12"/>
      <c r="L3678" s="12"/>
      <c r="M3678" s="11"/>
      <c r="N3678" s="11"/>
      <c r="O3678" s="11"/>
      <c r="P3678" s="11"/>
    </row>
    <row r="3679" spans="8:16" hidden="1" x14ac:dyDescent="0.25">
      <c r="H3679" s="12"/>
      <c r="I3679" s="12"/>
      <c r="J3679" s="12"/>
      <c r="K3679" s="12"/>
      <c r="L3679" s="12"/>
      <c r="M3679" s="11"/>
      <c r="N3679" s="11"/>
      <c r="O3679" s="11"/>
      <c r="P3679" s="11"/>
    </row>
    <row r="3680" spans="8:16" hidden="1" x14ac:dyDescent="0.25">
      <c r="H3680" s="12"/>
      <c r="I3680" s="12"/>
      <c r="J3680" s="12"/>
      <c r="K3680" s="12"/>
      <c r="L3680" s="12"/>
      <c r="M3680" s="11"/>
      <c r="N3680" s="11"/>
      <c r="O3680" s="11"/>
      <c r="P3680" s="11"/>
    </row>
    <row r="3681" spans="8:16" hidden="1" x14ac:dyDescent="0.25">
      <c r="H3681" s="12"/>
      <c r="I3681" s="12"/>
      <c r="J3681" s="12"/>
      <c r="K3681" s="12"/>
      <c r="L3681" s="12"/>
      <c r="M3681" s="11"/>
      <c r="N3681" s="11"/>
      <c r="O3681" s="11"/>
      <c r="P3681" s="11"/>
    </row>
    <row r="3682" spans="8:16" hidden="1" x14ac:dyDescent="0.25">
      <c r="H3682" s="12"/>
      <c r="I3682" s="12"/>
      <c r="J3682" s="12"/>
      <c r="K3682" s="12"/>
      <c r="L3682" s="12"/>
      <c r="M3682" s="11"/>
      <c r="N3682" s="11"/>
      <c r="O3682" s="11"/>
      <c r="P3682" s="11"/>
    </row>
    <row r="3683" spans="8:16" hidden="1" x14ac:dyDescent="0.25">
      <c r="H3683" s="12"/>
      <c r="I3683" s="12"/>
      <c r="J3683" s="12"/>
      <c r="K3683" s="12"/>
      <c r="L3683" s="12"/>
      <c r="M3683" s="11"/>
      <c r="N3683" s="11"/>
      <c r="O3683" s="11"/>
      <c r="P3683" s="11"/>
    </row>
    <row r="3684" spans="8:16" hidden="1" x14ac:dyDescent="0.25">
      <c r="H3684" s="12"/>
      <c r="I3684" s="12"/>
      <c r="J3684" s="12"/>
      <c r="K3684" s="12"/>
      <c r="L3684" s="12"/>
      <c r="M3684" s="11"/>
      <c r="N3684" s="11"/>
      <c r="O3684" s="11"/>
      <c r="P3684" s="11"/>
    </row>
    <row r="3685" spans="8:16" hidden="1" x14ac:dyDescent="0.25">
      <c r="H3685" s="12"/>
      <c r="I3685" s="12"/>
      <c r="J3685" s="12"/>
      <c r="K3685" s="12"/>
      <c r="L3685" s="12"/>
      <c r="M3685" s="11"/>
      <c r="N3685" s="11"/>
      <c r="O3685" s="11"/>
      <c r="P3685" s="11"/>
    </row>
    <row r="3686" spans="8:16" hidden="1" x14ac:dyDescent="0.25">
      <c r="H3686" s="12"/>
      <c r="I3686" s="12"/>
      <c r="J3686" s="12"/>
      <c r="K3686" s="12"/>
      <c r="L3686" s="12"/>
      <c r="M3686" s="11"/>
      <c r="N3686" s="11"/>
      <c r="O3686" s="11"/>
      <c r="P3686" s="11"/>
    </row>
    <row r="3687" spans="8:16" hidden="1" x14ac:dyDescent="0.25">
      <c r="H3687" s="12"/>
      <c r="I3687" s="12"/>
      <c r="J3687" s="12"/>
      <c r="K3687" s="12"/>
      <c r="L3687" s="12"/>
      <c r="M3687" s="11"/>
      <c r="N3687" s="11"/>
      <c r="O3687" s="11"/>
      <c r="P3687" s="11"/>
    </row>
    <row r="3688" spans="8:16" hidden="1" x14ac:dyDescent="0.25">
      <c r="H3688" s="12"/>
      <c r="I3688" s="12"/>
      <c r="J3688" s="12"/>
      <c r="K3688" s="12"/>
      <c r="L3688" s="12"/>
      <c r="M3688" s="11"/>
      <c r="N3688" s="11"/>
      <c r="O3688" s="11"/>
      <c r="P3688" s="11"/>
    </row>
    <row r="3689" spans="8:16" hidden="1" x14ac:dyDescent="0.25">
      <c r="H3689" s="12"/>
      <c r="I3689" s="12"/>
      <c r="J3689" s="12"/>
      <c r="K3689" s="12"/>
      <c r="L3689" s="12"/>
      <c r="M3689" s="11"/>
      <c r="N3689" s="11"/>
      <c r="O3689" s="11"/>
      <c r="P3689" s="11"/>
    </row>
    <row r="3690" spans="8:16" hidden="1" x14ac:dyDescent="0.25">
      <c r="H3690" s="12"/>
      <c r="I3690" s="12"/>
      <c r="J3690" s="12"/>
      <c r="K3690" s="12"/>
      <c r="L3690" s="12"/>
      <c r="M3690" s="11"/>
      <c r="N3690" s="11"/>
      <c r="O3690" s="11"/>
      <c r="P3690" s="11"/>
    </row>
    <row r="3691" spans="8:16" hidden="1" x14ac:dyDescent="0.25">
      <c r="H3691" s="12"/>
      <c r="I3691" s="12"/>
      <c r="J3691" s="12"/>
      <c r="K3691" s="12"/>
      <c r="L3691" s="12"/>
      <c r="M3691" s="11"/>
      <c r="N3691" s="11"/>
      <c r="O3691" s="11"/>
      <c r="P3691" s="11"/>
    </row>
    <row r="3692" spans="8:16" hidden="1" x14ac:dyDescent="0.25">
      <c r="H3692" s="12"/>
      <c r="I3692" s="12"/>
      <c r="J3692" s="12"/>
      <c r="K3692" s="12"/>
      <c r="L3692" s="12"/>
      <c r="M3692" s="11"/>
      <c r="N3692" s="11"/>
      <c r="O3692" s="11"/>
      <c r="P3692" s="11"/>
    </row>
    <row r="3693" spans="8:16" hidden="1" x14ac:dyDescent="0.25">
      <c r="H3693" s="12"/>
      <c r="I3693" s="12"/>
      <c r="J3693" s="12"/>
      <c r="K3693" s="12"/>
      <c r="L3693" s="12"/>
      <c r="M3693" s="11"/>
      <c r="N3693" s="11"/>
      <c r="O3693" s="11"/>
      <c r="P3693" s="11"/>
    </row>
    <row r="3694" spans="8:16" hidden="1" x14ac:dyDescent="0.25">
      <c r="H3694" s="12"/>
      <c r="I3694" s="12"/>
      <c r="J3694" s="12"/>
      <c r="K3694" s="12"/>
      <c r="L3694" s="12"/>
      <c r="M3694" s="11"/>
      <c r="N3694" s="11"/>
      <c r="O3694" s="11"/>
      <c r="P3694" s="11"/>
    </row>
    <row r="3695" spans="8:16" hidden="1" x14ac:dyDescent="0.25">
      <c r="H3695" s="12"/>
      <c r="I3695" s="12"/>
      <c r="J3695" s="12"/>
      <c r="K3695" s="12"/>
      <c r="L3695" s="12"/>
      <c r="M3695" s="11"/>
      <c r="N3695" s="11"/>
      <c r="O3695" s="11"/>
      <c r="P3695" s="11"/>
    </row>
    <row r="3696" spans="8:16" hidden="1" x14ac:dyDescent="0.25">
      <c r="H3696" s="12"/>
      <c r="I3696" s="12"/>
      <c r="J3696" s="12"/>
      <c r="K3696" s="12"/>
      <c r="L3696" s="12"/>
      <c r="M3696" s="11"/>
      <c r="N3696" s="11"/>
      <c r="O3696" s="11"/>
      <c r="P3696" s="11"/>
    </row>
    <row r="3697" spans="8:16" hidden="1" x14ac:dyDescent="0.25">
      <c r="H3697" s="12"/>
      <c r="I3697" s="12"/>
      <c r="J3697" s="12"/>
      <c r="K3697" s="12"/>
      <c r="L3697" s="12"/>
      <c r="M3697" s="11"/>
      <c r="N3697" s="11"/>
      <c r="O3697" s="11"/>
      <c r="P3697" s="11"/>
    </row>
    <row r="3698" spans="8:16" hidden="1" x14ac:dyDescent="0.25">
      <c r="H3698" s="12"/>
      <c r="I3698" s="12"/>
      <c r="J3698" s="12"/>
      <c r="K3698" s="12"/>
      <c r="L3698" s="12"/>
      <c r="M3698" s="11"/>
      <c r="N3698" s="11"/>
      <c r="O3698" s="11"/>
      <c r="P3698" s="11"/>
    </row>
    <row r="3699" spans="8:16" hidden="1" x14ac:dyDescent="0.25">
      <c r="H3699" s="12"/>
      <c r="I3699" s="12"/>
      <c r="J3699" s="12"/>
      <c r="K3699" s="12"/>
      <c r="L3699" s="12"/>
      <c r="M3699" s="11"/>
      <c r="N3699" s="11"/>
      <c r="O3699" s="11"/>
      <c r="P3699" s="11"/>
    </row>
    <row r="3700" spans="8:16" hidden="1" x14ac:dyDescent="0.25">
      <c r="H3700" s="12"/>
      <c r="I3700" s="12"/>
      <c r="J3700" s="12"/>
      <c r="K3700" s="12"/>
      <c r="L3700" s="12"/>
      <c r="M3700" s="11"/>
      <c r="N3700" s="11"/>
      <c r="O3700" s="11"/>
      <c r="P3700" s="11"/>
    </row>
    <row r="3701" spans="8:16" hidden="1" x14ac:dyDescent="0.25">
      <c r="H3701" s="12"/>
      <c r="I3701" s="12"/>
      <c r="J3701" s="12"/>
      <c r="K3701" s="12"/>
      <c r="L3701" s="12"/>
      <c r="M3701" s="11"/>
      <c r="N3701" s="11"/>
      <c r="O3701" s="11"/>
      <c r="P3701" s="11"/>
    </row>
    <row r="3702" spans="8:16" hidden="1" x14ac:dyDescent="0.25">
      <c r="H3702" s="12"/>
      <c r="I3702" s="12"/>
      <c r="J3702" s="12"/>
      <c r="K3702" s="12"/>
      <c r="L3702" s="12"/>
      <c r="M3702" s="11"/>
      <c r="N3702" s="11"/>
      <c r="O3702" s="11"/>
      <c r="P3702" s="11"/>
    </row>
    <row r="3703" spans="8:16" hidden="1" x14ac:dyDescent="0.25">
      <c r="H3703" s="12"/>
      <c r="I3703" s="12"/>
      <c r="J3703" s="12"/>
      <c r="K3703" s="12"/>
      <c r="L3703" s="12"/>
      <c r="M3703" s="11"/>
      <c r="N3703" s="11"/>
      <c r="O3703" s="11"/>
      <c r="P3703" s="11"/>
    </row>
    <row r="3704" spans="8:16" hidden="1" x14ac:dyDescent="0.25">
      <c r="H3704" s="12"/>
      <c r="I3704" s="12"/>
      <c r="J3704" s="12"/>
      <c r="K3704" s="12"/>
      <c r="L3704" s="12"/>
      <c r="M3704" s="11"/>
      <c r="N3704" s="11"/>
      <c r="O3704" s="11"/>
      <c r="P3704" s="11"/>
    </row>
    <row r="3705" spans="8:16" hidden="1" x14ac:dyDescent="0.25">
      <c r="H3705" s="12"/>
      <c r="I3705" s="12"/>
      <c r="J3705" s="12"/>
      <c r="K3705" s="12"/>
      <c r="L3705" s="12"/>
      <c r="M3705" s="11"/>
      <c r="N3705" s="11"/>
      <c r="O3705" s="11"/>
      <c r="P3705" s="11"/>
    </row>
    <row r="3706" spans="8:16" hidden="1" x14ac:dyDescent="0.25">
      <c r="H3706" s="12"/>
      <c r="I3706" s="12"/>
      <c r="J3706" s="12"/>
      <c r="K3706" s="12"/>
      <c r="L3706" s="12"/>
      <c r="M3706" s="11"/>
      <c r="N3706" s="11"/>
      <c r="O3706" s="11"/>
      <c r="P3706" s="11"/>
    </row>
    <row r="3707" spans="8:16" hidden="1" x14ac:dyDescent="0.25">
      <c r="H3707" s="12"/>
      <c r="I3707" s="12"/>
      <c r="J3707" s="12"/>
      <c r="K3707" s="12"/>
      <c r="L3707" s="12"/>
      <c r="M3707" s="11"/>
      <c r="N3707" s="11"/>
      <c r="O3707" s="11"/>
      <c r="P3707" s="11"/>
    </row>
    <row r="3708" spans="8:16" hidden="1" x14ac:dyDescent="0.25">
      <c r="H3708" s="12"/>
      <c r="I3708" s="12"/>
      <c r="J3708" s="12"/>
      <c r="K3708" s="12"/>
      <c r="L3708" s="12"/>
      <c r="M3708" s="11"/>
      <c r="N3708" s="11"/>
      <c r="O3708" s="11"/>
      <c r="P3708" s="11"/>
    </row>
    <row r="3709" spans="8:16" hidden="1" x14ac:dyDescent="0.25">
      <c r="H3709" s="12"/>
      <c r="I3709" s="12"/>
      <c r="J3709" s="12"/>
      <c r="K3709" s="12"/>
      <c r="L3709" s="12"/>
      <c r="M3709" s="11"/>
      <c r="N3709" s="11"/>
      <c r="O3709" s="11"/>
      <c r="P3709" s="11"/>
    </row>
    <row r="3710" spans="8:16" hidden="1" x14ac:dyDescent="0.25">
      <c r="H3710" s="12"/>
      <c r="I3710" s="12"/>
      <c r="J3710" s="12"/>
      <c r="K3710" s="12"/>
      <c r="L3710" s="12"/>
      <c r="M3710" s="11"/>
      <c r="N3710" s="11"/>
      <c r="O3710" s="11"/>
      <c r="P3710" s="11"/>
    </row>
    <row r="3711" spans="8:16" hidden="1" x14ac:dyDescent="0.25">
      <c r="H3711" s="12"/>
      <c r="I3711" s="12"/>
      <c r="J3711" s="12"/>
      <c r="K3711" s="12"/>
      <c r="L3711" s="12"/>
      <c r="M3711" s="11"/>
      <c r="N3711" s="11"/>
      <c r="O3711" s="11"/>
      <c r="P3711" s="11"/>
    </row>
    <row r="3712" spans="8:16" hidden="1" x14ac:dyDescent="0.25">
      <c r="H3712" s="12"/>
      <c r="I3712" s="12"/>
      <c r="J3712" s="12"/>
      <c r="K3712" s="12"/>
      <c r="L3712" s="12"/>
      <c r="M3712" s="11"/>
      <c r="N3712" s="11"/>
      <c r="O3712" s="11"/>
      <c r="P3712" s="11"/>
    </row>
    <row r="3713" spans="8:16" hidden="1" x14ac:dyDescent="0.25">
      <c r="H3713" s="12"/>
      <c r="I3713" s="12"/>
      <c r="J3713" s="12"/>
      <c r="K3713" s="12"/>
      <c r="L3713" s="12"/>
      <c r="M3713" s="11"/>
      <c r="N3713" s="11"/>
      <c r="O3713" s="11"/>
      <c r="P3713" s="11"/>
    </row>
    <row r="3714" spans="8:16" hidden="1" x14ac:dyDescent="0.25">
      <c r="H3714" s="12"/>
      <c r="I3714" s="12"/>
      <c r="J3714" s="12"/>
      <c r="K3714" s="12"/>
      <c r="L3714" s="12"/>
      <c r="M3714" s="11"/>
      <c r="N3714" s="11"/>
      <c r="O3714" s="11"/>
      <c r="P3714" s="11"/>
    </row>
    <row r="3715" spans="8:16" hidden="1" x14ac:dyDescent="0.25">
      <c r="H3715" s="12"/>
      <c r="I3715" s="12"/>
      <c r="J3715" s="12"/>
      <c r="K3715" s="12"/>
      <c r="L3715" s="12"/>
      <c r="M3715" s="11"/>
      <c r="N3715" s="11"/>
      <c r="O3715" s="11"/>
      <c r="P3715" s="11"/>
    </row>
    <row r="3716" spans="8:16" hidden="1" x14ac:dyDescent="0.25">
      <c r="H3716" s="12"/>
      <c r="I3716" s="12"/>
      <c r="J3716" s="12"/>
      <c r="K3716" s="12"/>
      <c r="L3716" s="12"/>
      <c r="M3716" s="11"/>
      <c r="N3716" s="11"/>
      <c r="O3716" s="11"/>
      <c r="P3716" s="11"/>
    </row>
    <row r="3717" spans="8:16" hidden="1" x14ac:dyDescent="0.25">
      <c r="H3717" s="12"/>
      <c r="I3717" s="12"/>
      <c r="J3717" s="12"/>
      <c r="K3717" s="12"/>
      <c r="L3717" s="12"/>
      <c r="M3717" s="11"/>
      <c r="N3717" s="11"/>
      <c r="O3717" s="11"/>
      <c r="P3717" s="11"/>
    </row>
    <row r="3718" spans="8:16" hidden="1" x14ac:dyDescent="0.25">
      <c r="H3718" s="12"/>
      <c r="I3718" s="12"/>
      <c r="J3718" s="12"/>
      <c r="K3718" s="12"/>
      <c r="L3718" s="12"/>
      <c r="M3718" s="11"/>
      <c r="N3718" s="11"/>
      <c r="O3718" s="11"/>
      <c r="P3718" s="11"/>
    </row>
    <row r="3719" spans="8:16" hidden="1" x14ac:dyDescent="0.25">
      <c r="H3719" s="12"/>
      <c r="I3719" s="12"/>
      <c r="J3719" s="12"/>
      <c r="K3719" s="12"/>
      <c r="L3719" s="12"/>
      <c r="M3719" s="11"/>
      <c r="N3719" s="11"/>
      <c r="O3719" s="11"/>
      <c r="P3719" s="11"/>
    </row>
    <row r="3720" spans="8:16" hidden="1" x14ac:dyDescent="0.25">
      <c r="H3720" s="12"/>
      <c r="I3720" s="12"/>
      <c r="J3720" s="12"/>
      <c r="K3720" s="12"/>
      <c r="L3720" s="12"/>
      <c r="M3720" s="11"/>
      <c r="N3720" s="11"/>
      <c r="O3720" s="11"/>
      <c r="P3720" s="11"/>
    </row>
    <row r="3721" spans="8:16" hidden="1" x14ac:dyDescent="0.25">
      <c r="H3721" s="12"/>
      <c r="I3721" s="12"/>
      <c r="J3721" s="12"/>
      <c r="K3721" s="12"/>
      <c r="L3721" s="12"/>
      <c r="M3721" s="11"/>
      <c r="N3721" s="11"/>
      <c r="O3721" s="11"/>
      <c r="P3721" s="11"/>
    </row>
    <row r="3722" spans="8:16" hidden="1" x14ac:dyDescent="0.25">
      <c r="H3722" s="12"/>
      <c r="I3722" s="12"/>
      <c r="J3722" s="12"/>
      <c r="K3722" s="12"/>
      <c r="L3722" s="12"/>
      <c r="M3722" s="11"/>
      <c r="N3722" s="11"/>
      <c r="O3722" s="11"/>
      <c r="P3722" s="11"/>
    </row>
    <row r="3723" spans="8:16" hidden="1" x14ac:dyDescent="0.25">
      <c r="H3723" s="12"/>
      <c r="I3723" s="12"/>
      <c r="J3723" s="12"/>
      <c r="K3723" s="12"/>
      <c r="L3723" s="12"/>
      <c r="M3723" s="11"/>
      <c r="N3723" s="11"/>
      <c r="O3723" s="11"/>
      <c r="P3723" s="11"/>
    </row>
    <row r="3724" spans="8:16" hidden="1" x14ac:dyDescent="0.25">
      <c r="H3724" s="12"/>
      <c r="I3724" s="12"/>
      <c r="J3724" s="12"/>
      <c r="K3724" s="12"/>
      <c r="L3724" s="12"/>
      <c r="M3724" s="11"/>
      <c r="N3724" s="11"/>
      <c r="O3724" s="11"/>
      <c r="P3724" s="11"/>
    </row>
    <row r="3725" spans="8:16" hidden="1" x14ac:dyDescent="0.25">
      <c r="H3725" s="12"/>
      <c r="I3725" s="12"/>
      <c r="J3725" s="12"/>
      <c r="K3725" s="12"/>
      <c r="L3725" s="12"/>
      <c r="M3725" s="11"/>
      <c r="N3725" s="11"/>
      <c r="O3725" s="11"/>
      <c r="P3725" s="11"/>
    </row>
    <row r="3726" spans="8:16" hidden="1" x14ac:dyDescent="0.25">
      <c r="H3726" s="12"/>
      <c r="I3726" s="12"/>
      <c r="J3726" s="12"/>
      <c r="K3726" s="12"/>
      <c r="L3726" s="12"/>
      <c r="M3726" s="11"/>
      <c r="N3726" s="11"/>
      <c r="O3726" s="11"/>
      <c r="P3726" s="11"/>
    </row>
    <row r="3727" spans="8:16" hidden="1" x14ac:dyDescent="0.25">
      <c r="H3727" s="12"/>
      <c r="I3727" s="12"/>
      <c r="J3727" s="12"/>
      <c r="K3727" s="12"/>
      <c r="L3727" s="12"/>
      <c r="M3727" s="11"/>
      <c r="N3727" s="11"/>
      <c r="O3727" s="11"/>
      <c r="P3727" s="11"/>
    </row>
    <row r="3728" spans="8:16" hidden="1" x14ac:dyDescent="0.25">
      <c r="H3728" s="12"/>
      <c r="I3728" s="12"/>
      <c r="J3728" s="12"/>
      <c r="K3728" s="12"/>
      <c r="L3728" s="12"/>
      <c r="M3728" s="11"/>
      <c r="N3728" s="11"/>
      <c r="O3728" s="11"/>
      <c r="P3728" s="11"/>
    </row>
    <row r="3729" spans="8:16" hidden="1" x14ac:dyDescent="0.25">
      <c r="H3729" s="12"/>
      <c r="I3729" s="12"/>
      <c r="J3729" s="12"/>
      <c r="K3729" s="12"/>
      <c r="L3729" s="12"/>
      <c r="M3729" s="11"/>
      <c r="N3729" s="11"/>
      <c r="O3729" s="11"/>
      <c r="P3729" s="11"/>
    </row>
    <row r="3730" spans="8:16" hidden="1" x14ac:dyDescent="0.25">
      <c r="H3730" s="12"/>
      <c r="I3730" s="12"/>
      <c r="J3730" s="12"/>
      <c r="K3730" s="12"/>
      <c r="L3730" s="12"/>
      <c r="M3730" s="11"/>
      <c r="N3730" s="11"/>
      <c r="O3730" s="11"/>
      <c r="P3730" s="11"/>
    </row>
    <row r="3731" spans="8:16" hidden="1" x14ac:dyDescent="0.25">
      <c r="H3731" s="12"/>
      <c r="I3731" s="12"/>
      <c r="J3731" s="12"/>
      <c r="K3731" s="12"/>
      <c r="L3731" s="12"/>
      <c r="M3731" s="11"/>
      <c r="N3731" s="11"/>
      <c r="O3731" s="11"/>
      <c r="P3731" s="11"/>
    </row>
    <row r="3732" spans="8:16" hidden="1" x14ac:dyDescent="0.25">
      <c r="H3732" s="12"/>
      <c r="I3732" s="12"/>
      <c r="J3732" s="12"/>
      <c r="K3732" s="12"/>
      <c r="L3732" s="12"/>
      <c r="M3732" s="11"/>
      <c r="N3732" s="11"/>
      <c r="O3732" s="11"/>
      <c r="P3732" s="11"/>
    </row>
    <row r="3733" spans="8:16" hidden="1" x14ac:dyDescent="0.25">
      <c r="H3733" s="12"/>
      <c r="I3733" s="12"/>
      <c r="J3733" s="12"/>
      <c r="K3733" s="12"/>
      <c r="L3733" s="12"/>
      <c r="M3733" s="11"/>
      <c r="N3733" s="11"/>
      <c r="O3733" s="11"/>
      <c r="P3733" s="11"/>
    </row>
    <row r="3734" spans="8:16" hidden="1" x14ac:dyDescent="0.25">
      <c r="H3734" s="12"/>
      <c r="I3734" s="12"/>
      <c r="J3734" s="12"/>
      <c r="K3734" s="12"/>
      <c r="L3734" s="12"/>
      <c r="M3734" s="11"/>
      <c r="N3734" s="11"/>
      <c r="O3734" s="11"/>
      <c r="P3734" s="11"/>
    </row>
    <row r="3735" spans="8:16" hidden="1" x14ac:dyDescent="0.25">
      <c r="H3735" s="12"/>
      <c r="I3735" s="12"/>
      <c r="J3735" s="12"/>
      <c r="K3735" s="12"/>
      <c r="L3735" s="12"/>
      <c r="M3735" s="11"/>
      <c r="N3735" s="11"/>
      <c r="O3735" s="11"/>
      <c r="P3735" s="11"/>
    </row>
    <row r="3736" spans="8:16" hidden="1" x14ac:dyDescent="0.25">
      <c r="H3736" s="12"/>
      <c r="I3736" s="12"/>
      <c r="J3736" s="12"/>
      <c r="K3736" s="12"/>
      <c r="L3736" s="12"/>
      <c r="M3736" s="11"/>
      <c r="N3736" s="11"/>
      <c r="O3736" s="11"/>
      <c r="P3736" s="11"/>
    </row>
    <row r="3737" spans="8:16" hidden="1" x14ac:dyDescent="0.25">
      <c r="H3737" s="12"/>
      <c r="I3737" s="12"/>
      <c r="J3737" s="12"/>
      <c r="K3737" s="12"/>
      <c r="L3737" s="12"/>
      <c r="M3737" s="11"/>
      <c r="N3737" s="11"/>
      <c r="O3737" s="11"/>
      <c r="P3737" s="11"/>
    </row>
    <row r="3738" spans="8:16" hidden="1" x14ac:dyDescent="0.25">
      <c r="H3738" s="12"/>
      <c r="I3738" s="12"/>
      <c r="J3738" s="12"/>
      <c r="K3738" s="12"/>
      <c r="L3738" s="12"/>
      <c r="M3738" s="11"/>
      <c r="N3738" s="11"/>
      <c r="O3738" s="11"/>
      <c r="P3738" s="11"/>
    </row>
    <row r="3739" spans="8:16" hidden="1" x14ac:dyDescent="0.25">
      <c r="H3739" s="12"/>
      <c r="I3739" s="12"/>
      <c r="J3739" s="12"/>
      <c r="K3739" s="12"/>
      <c r="L3739" s="12"/>
      <c r="M3739" s="11"/>
      <c r="N3739" s="11"/>
      <c r="O3739" s="11"/>
      <c r="P3739" s="11"/>
    </row>
    <row r="3740" spans="8:16" hidden="1" x14ac:dyDescent="0.25">
      <c r="H3740" s="12"/>
      <c r="I3740" s="12"/>
      <c r="J3740" s="12"/>
      <c r="K3740" s="12"/>
      <c r="L3740" s="12"/>
      <c r="M3740" s="11"/>
      <c r="N3740" s="11"/>
      <c r="O3740" s="11"/>
      <c r="P3740" s="11"/>
    </row>
    <row r="3741" spans="8:16" hidden="1" x14ac:dyDescent="0.25">
      <c r="H3741" s="12"/>
      <c r="I3741" s="12"/>
      <c r="J3741" s="12"/>
      <c r="K3741" s="12"/>
      <c r="L3741" s="12"/>
      <c r="M3741" s="11"/>
      <c r="N3741" s="11"/>
      <c r="O3741" s="11"/>
      <c r="P3741" s="11"/>
    </row>
    <row r="3742" spans="8:16" hidden="1" x14ac:dyDescent="0.25">
      <c r="H3742" s="12"/>
      <c r="I3742" s="12"/>
      <c r="J3742" s="12"/>
      <c r="K3742" s="12"/>
      <c r="L3742" s="12"/>
      <c r="M3742" s="11"/>
      <c r="N3742" s="11"/>
      <c r="O3742" s="11"/>
      <c r="P3742" s="11"/>
    </row>
    <row r="3743" spans="8:16" hidden="1" x14ac:dyDescent="0.25">
      <c r="H3743" s="12"/>
      <c r="I3743" s="12"/>
      <c r="J3743" s="12"/>
      <c r="K3743" s="12"/>
      <c r="L3743" s="12"/>
      <c r="M3743" s="11"/>
      <c r="N3743" s="11"/>
      <c r="O3743" s="11"/>
      <c r="P3743" s="11"/>
    </row>
    <row r="3744" spans="8:16" hidden="1" x14ac:dyDescent="0.25">
      <c r="H3744" s="12"/>
      <c r="I3744" s="12"/>
      <c r="J3744" s="12"/>
      <c r="K3744" s="12"/>
      <c r="L3744" s="12"/>
      <c r="M3744" s="11"/>
      <c r="N3744" s="11"/>
      <c r="O3744" s="11"/>
      <c r="P3744" s="11"/>
    </row>
    <row r="3745" spans="8:16" hidden="1" x14ac:dyDescent="0.25">
      <c r="H3745" s="12"/>
      <c r="I3745" s="12"/>
      <c r="J3745" s="12"/>
      <c r="K3745" s="12"/>
      <c r="L3745" s="12"/>
      <c r="M3745" s="11"/>
      <c r="N3745" s="11"/>
      <c r="O3745" s="11"/>
      <c r="P3745" s="11"/>
    </row>
    <row r="3746" spans="8:16" hidden="1" x14ac:dyDescent="0.25">
      <c r="H3746" s="12"/>
      <c r="I3746" s="12"/>
      <c r="J3746" s="12"/>
      <c r="K3746" s="12"/>
      <c r="L3746" s="12"/>
      <c r="M3746" s="11"/>
      <c r="N3746" s="11"/>
      <c r="O3746" s="11"/>
      <c r="P3746" s="11"/>
    </row>
    <row r="3747" spans="8:16" hidden="1" x14ac:dyDescent="0.25">
      <c r="H3747" s="12"/>
      <c r="I3747" s="12"/>
      <c r="J3747" s="12"/>
      <c r="K3747" s="12"/>
      <c r="L3747" s="12"/>
      <c r="M3747" s="11"/>
      <c r="N3747" s="11"/>
      <c r="O3747" s="11"/>
      <c r="P3747" s="11"/>
    </row>
    <row r="3748" spans="8:16" hidden="1" x14ac:dyDescent="0.25">
      <c r="H3748" s="12"/>
      <c r="I3748" s="12"/>
      <c r="J3748" s="12"/>
      <c r="K3748" s="12"/>
      <c r="L3748" s="12"/>
      <c r="M3748" s="11"/>
      <c r="N3748" s="11"/>
      <c r="O3748" s="11"/>
      <c r="P3748" s="11"/>
    </row>
    <row r="3749" spans="8:16" hidden="1" x14ac:dyDescent="0.25">
      <c r="H3749" s="12"/>
      <c r="I3749" s="12"/>
      <c r="J3749" s="12"/>
      <c r="K3749" s="12"/>
      <c r="L3749" s="12"/>
      <c r="M3749" s="11"/>
      <c r="N3749" s="11"/>
      <c r="O3749" s="11"/>
      <c r="P3749" s="11"/>
    </row>
    <row r="3750" spans="8:16" hidden="1" x14ac:dyDescent="0.25">
      <c r="H3750" s="12"/>
      <c r="I3750" s="12"/>
      <c r="J3750" s="12"/>
      <c r="K3750" s="12"/>
      <c r="L3750" s="12"/>
      <c r="M3750" s="11"/>
      <c r="N3750" s="11"/>
      <c r="O3750" s="11"/>
      <c r="P3750" s="11"/>
    </row>
    <row r="3751" spans="8:16" hidden="1" x14ac:dyDescent="0.25">
      <c r="H3751" s="12"/>
      <c r="I3751" s="12"/>
      <c r="J3751" s="12"/>
      <c r="K3751" s="12"/>
      <c r="L3751" s="12"/>
      <c r="M3751" s="11"/>
      <c r="N3751" s="11"/>
      <c r="O3751" s="11"/>
      <c r="P3751" s="11"/>
    </row>
    <row r="3752" spans="8:16" hidden="1" x14ac:dyDescent="0.25">
      <c r="H3752" s="12"/>
      <c r="I3752" s="12"/>
      <c r="J3752" s="12"/>
      <c r="K3752" s="12"/>
      <c r="L3752" s="12"/>
      <c r="M3752" s="11"/>
      <c r="N3752" s="11"/>
      <c r="O3752" s="11"/>
      <c r="P3752" s="11"/>
    </row>
    <row r="3753" spans="8:16" hidden="1" x14ac:dyDescent="0.25">
      <c r="H3753" s="12"/>
      <c r="I3753" s="12"/>
      <c r="J3753" s="12"/>
      <c r="K3753" s="12"/>
      <c r="L3753" s="12"/>
      <c r="M3753" s="11"/>
      <c r="N3753" s="11"/>
      <c r="O3753" s="11"/>
      <c r="P3753" s="11"/>
    </row>
    <row r="3754" spans="8:16" hidden="1" x14ac:dyDescent="0.25">
      <c r="H3754" s="12"/>
      <c r="I3754" s="12"/>
      <c r="J3754" s="12"/>
      <c r="K3754" s="12"/>
      <c r="L3754" s="12"/>
      <c r="M3754" s="11"/>
      <c r="N3754" s="11"/>
      <c r="O3754" s="11"/>
      <c r="P3754" s="11"/>
    </row>
    <row r="3755" spans="8:16" hidden="1" x14ac:dyDescent="0.25">
      <c r="H3755" s="12"/>
      <c r="I3755" s="12"/>
      <c r="J3755" s="12"/>
      <c r="K3755" s="12"/>
      <c r="L3755" s="12"/>
      <c r="M3755" s="11"/>
      <c r="N3755" s="11"/>
      <c r="O3755" s="11"/>
      <c r="P3755" s="11"/>
    </row>
    <row r="3756" spans="8:16" hidden="1" x14ac:dyDescent="0.25">
      <c r="H3756" s="12"/>
      <c r="I3756" s="12"/>
      <c r="J3756" s="12"/>
      <c r="K3756" s="12"/>
      <c r="L3756" s="12"/>
      <c r="M3756" s="11"/>
      <c r="N3756" s="11"/>
      <c r="O3756" s="11"/>
      <c r="P3756" s="11"/>
    </row>
    <row r="3757" spans="8:16" hidden="1" x14ac:dyDescent="0.25">
      <c r="H3757" s="12"/>
      <c r="I3757" s="12"/>
      <c r="J3757" s="12"/>
      <c r="K3757" s="12"/>
      <c r="L3757" s="12"/>
      <c r="M3757" s="11"/>
      <c r="N3757" s="11"/>
      <c r="O3757" s="11"/>
      <c r="P3757" s="11"/>
    </row>
    <row r="3758" spans="8:16" hidden="1" x14ac:dyDescent="0.25">
      <c r="H3758" s="12"/>
      <c r="I3758" s="12"/>
      <c r="J3758" s="12"/>
      <c r="K3758" s="12"/>
      <c r="L3758" s="12"/>
      <c r="M3758" s="11"/>
      <c r="N3758" s="11"/>
      <c r="O3758" s="11"/>
      <c r="P3758" s="11"/>
    </row>
    <row r="3759" spans="8:16" hidden="1" x14ac:dyDescent="0.25">
      <c r="H3759" s="12"/>
      <c r="I3759" s="12"/>
      <c r="J3759" s="12"/>
      <c r="K3759" s="12"/>
      <c r="L3759" s="12"/>
      <c r="M3759" s="11"/>
      <c r="N3759" s="11"/>
      <c r="O3759" s="11"/>
      <c r="P3759" s="11"/>
    </row>
    <row r="3760" spans="8:16" hidden="1" x14ac:dyDescent="0.25">
      <c r="H3760" s="12"/>
      <c r="I3760" s="12"/>
      <c r="J3760" s="12"/>
      <c r="K3760" s="12"/>
      <c r="L3760" s="12"/>
      <c r="M3760" s="11"/>
      <c r="N3760" s="11"/>
      <c r="O3760" s="11"/>
      <c r="P3760" s="11"/>
    </row>
    <row r="3761" spans="8:16" hidden="1" x14ac:dyDescent="0.25">
      <c r="H3761" s="12"/>
      <c r="I3761" s="12"/>
      <c r="J3761" s="12"/>
      <c r="K3761" s="12"/>
      <c r="L3761" s="12"/>
      <c r="M3761" s="11"/>
      <c r="N3761" s="11"/>
      <c r="O3761" s="11"/>
      <c r="P3761" s="11"/>
    </row>
    <row r="3762" spans="8:16" hidden="1" x14ac:dyDescent="0.25">
      <c r="H3762" s="12"/>
      <c r="I3762" s="12"/>
      <c r="J3762" s="12"/>
      <c r="K3762" s="12"/>
      <c r="L3762" s="12"/>
      <c r="M3762" s="11"/>
      <c r="N3762" s="11"/>
      <c r="O3762" s="11"/>
      <c r="P3762" s="11"/>
    </row>
    <row r="3763" spans="8:16" hidden="1" x14ac:dyDescent="0.25">
      <c r="H3763" s="12"/>
      <c r="I3763" s="12"/>
      <c r="J3763" s="12"/>
      <c r="K3763" s="12"/>
      <c r="L3763" s="12"/>
      <c r="M3763" s="11"/>
      <c r="N3763" s="11"/>
      <c r="O3763" s="11"/>
      <c r="P3763" s="11"/>
    </row>
    <row r="3764" spans="8:16" hidden="1" x14ac:dyDescent="0.25">
      <c r="H3764" s="12"/>
      <c r="I3764" s="12"/>
      <c r="J3764" s="12"/>
      <c r="K3764" s="12"/>
      <c r="L3764" s="12"/>
      <c r="M3764" s="11"/>
      <c r="N3764" s="11"/>
      <c r="O3764" s="11"/>
      <c r="P3764" s="11"/>
    </row>
    <row r="3765" spans="8:16" hidden="1" x14ac:dyDescent="0.25">
      <c r="H3765" s="12"/>
      <c r="I3765" s="12"/>
      <c r="J3765" s="12"/>
      <c r="K3765" s="12"/>
      <c r="L3765" s="12"/>
      <c r="M3765" s="11"/>
      <c r="N3765" s="11"/>
      <c r="O3765" s="11"/>
      <c r="P3765" s="11"/>
    </row>
    <row r="3766" spans="8:16" hidden="1" x14ac:dyDescent="0.25">
      <c r="H3766" s="12"/>
      <c r="I3766" s="12"/>
      <c r="J3766" s="12"/>
      <c r="K3766" s="12"/>
      <c r="L3766" s="12"/>
      <c r="M3766" s="11"/>
      <c r="N3766" s="11"/>
      <c r="O3766" s="11"/>
      <c r="P3766" s="11"/>
    </row>
    <row r="3767" spans="8:16" hidden="1" x14ac:dyDescent="0.25">
      <c r="H3767" s="12"/>
      <c r="I3767" s="12"/>
      <c r="J3767" s="12"/>
      <c r="K3767" s="12"/>
      <c r="L3767" s="12"/>
      <c r="M3767" s="11"/>
      <c r="N3767" s="11"/>
      <c r="O3767" s="11"/>
      <c r="P3767" s="11"/>
    </row>
    <row r="3768" spans="8:16" hidden="1" x14ac:dyDescent="0.25">
      <c r="H3768" s="12"/>
      <c r="I3768" s="12"/>
      <c r="J3768" s="12"/>
      <c r="K3768" s="12"/>
      <c r="L3768" s="12"/>
      <c r="M3768" s="11"/>
      <c r="N3768" s="11"/>
      <c r="O3768" s="11"/>
      <c r="P3768" s="11"/>
    </row>
    <row r="3769" spans="8:16" hidden="1" x14ac:dyDescent="0.25">
      <c r="H3769" s="12"/>
      <c r="I3769" s="12"/>
      <c r="J3769" s="12"/>
      <c r="K3769" s="12"/>
      <c r="L3769" s="12"/>
      <c r="M3769" s="11"/>
      <c r="N3769" s="11"/>
      <c r="O3769" s="11"/>
      <c r="P3769" s="11"/>
    </row>
    <row r="3770" spans="8:16" hidden="1" x14ac:dyDescent="0.25">
      <c r="H3770" s="12"/>
      <c r="I3770" s="12"/>
      <c r="J3770" s="12"/>
      <c r="K3770" s="12"/>
      <c r="L3770" s="12"/>
      <c r="M3770" s="11"/>
      <c r="N3770" s="11"/>
      <c r="O3770" s="11"/>
      <c r="P3770" s="11"/>
    </row>
    <row r="3771" spans="8:16" hidden="1" x14ac:dyDescent="0.25">
      <c r="H3771" s="12"/>
      <c r="I3771" s="12"/>
      <c r="J3771" s="12"/>
      <c r="K3771" s="12"/>
      <c r="L3771" s="12"/>
      <c r="M3771" s="11"/>
      <c r="N3771" s="11"/>
      <c r="O3771" s="11"/>
      <c r="P3771" s="11"/>
    </row>
    <row r="3772" spans="8:16" hidden="1" x14ac:dyDescent="0.25">
      <c r="H3772" s="12"/>
      <c r="I3772" s="12"/>
      <c r="J3772" s="12"/>
      <c r="K3772" s="12"/>
      <c r="L3772" s="12"/>
      <c r="M3772" s="11"/>
      <c r="N3772" s="11"/>
      <c r="O3772" s="11"/>
      <c r="P3772" s="11"/>
    </row>
    <row r="3773" spans="8:16" hidden="1" x14ac:dyDescent="0.25">
      <c r="H3773" s="12"/>
      <c r="I3773" s="12"/>
      <c r="J3773" s="12"/>
      <c r="K3773" s="12"/>
      <c r="L3773" s="12"/>
      <c r="M3773" s="11"/>
      <c r="N3773" s="11"/>
      <c r="O3773" s="11"/>
      <c r="P3773" s="11"/>
    </row>
    <row r="3774" spans="8:16" hidden="1" x14ac:dyDescent="0.25">
      <c r="H3774" s="12"/>
      <c r="I3774" s="12"/>
      <c r="J3774" s="12"/>
      <c r="K3774" s="12"/>
      <c r="L3774" s="12"/>
      <c r="M3774" s="11"/>
      <c r="N3774" s="11"/>
      <c r="O3774" s="11"/>
      <c r="P3774" s="11"/>
    </row>
    <row r="3775" spans="8:16" hidden="1" x14ac:dyDescent="0.25">
      <c r="H3775" s="12"/>
      <c r="I3775" s="12"/>
      <c r="J3775" s="12"/>
      <c r="K3775" s="12"/>
      <c r="L3775" s="12"/>
      <c r="M3775" s="11"/>
      <c r="N3775" s="11"/>
      <c r="O3775" s="11"/>
      <c r="P3775" s="11"/>
    </row>
    <row r="3776" spans="8:16" hidden="1" x14ac:dyDescent="0.25">
      <c r="H3776" s="12"/>
      <c r="I3776" s="12"/>
      <c r="J3776" s="12"/>
      <c r="K3776" s="12"/>
      <c r="L3776" s="12"/>
      <c r="M3776" s="11"/>
      <c r="N3776" s="11"/>
      <c r="O3776" s="11"/>
      <c r="P3776" s="11"/>
    </row>
    <row r="3777" spans="8:16" hidden="1" x14ac:dyDescent="0.25">
      <c r="H3777" s="12"/>
      <c r="I3777" s="12"/>
      <c r="J3777" s="12"/>
      <c r="K3777" s="12"/>
      <c r="L3777" s="12"/>
      <c r="M3777" s="11"/>
      <c r="N3777" s="11"/>
      <c r="O3777" s="11"/>
      <c r="P3777" s="11"/>
    </row>
    <row r="3778" spans="8:16" hidden="1" x14ac:dyDescent="0.25">
      <c r="H3778" s="12"/>
      <c r="I3778" s="12"/>
      <c r="J3778" s="12"/>
      <c r="K3778" s="12"/>
      <c r="L3778" s="12"/>
      <c r="M3778" s="11"/>
      <c r="N3778" s="11"/>
      <c r="O3778" s="11"/>
      <c r="P3778" s="11"/>
    </row>
    <row r="3779" spans="8:16" hidden="1" x14ac:dyDescent="0.25">
      <c r="H3779" s="12"/>
      <c r="I3779" s="12"/>
      <c r="J3779" s="12"/>
      <c r="K3779" s="12"/>
      <c r="L3779" s="12"/>
      <c r="M3779" s="11"/>
      <c r="N3779" s="11"/>
      <c r="O3779" s="11"/>
      <c r="P3779" s="11"/>
    </row>
    <row r="3780" spans="8:16" hidden="1" x14ac:dyDescent="0.25">
      <c r="H3780" s="12"/>
      <c r="I3780" s="12"/>
      <c r="J3780" s="12"/>
      <c r="K3780" s="12"/>
      <c r="L3780" s="12"/>
      <c r="M3780" s="11"/>
      <c r="N3780" s="11"/>
      <c r="O3780" s="11"/>
      <c r="P3780" s="11"/>
    </row>
    <row r="3781" spans="8:16" hidden="1" x14ac:dyDescent="0.25">
      <c r="H3781" s="12"/>
      <c r="I3781" s="12"/>
      <c r="J3781" s="12"/>
      <c r="K3781" s="12"/>
      <c r="L3781" s="12"/>
      <c r="M3781" s="11"/>
      <c r="N3781" s="11"/>
      <c r="O3781" s="11"/>
      <c r="P3781" s="11"/>
    </row>
    <row r="3782" spans="8:16" hidden="1" x14ac:dyDescent="0.25">
      <c r="H3782" s="12"/>
      <c r="I3782" s="12"/>
      <c r="J3782" s="12"/>
      <c r="K3782" s="12"/>
      <c r="L3782" s="12"/>
      <c r="M3782" s="11"/>
      <c r="N3782" s="11"/>
      <c r="O3782" s="11"/>
      <c r="P3782" s="11"/>
    </row>
    <row r="3783" spans="8:16" hidden="1" x14ac:dyDescent="0.25">
      <c r="H3783" s="12"/>
      <c r="I3783" s="12"/>
      <c r="J3783" s="12"/>
      <c r="K3783" s="12"/>
      <c r="L3783" s="12"/>
      <c r="M3783" s="11"/>
      <c r="N3783" s="11"/>
      <c r="O3783" s="11"/>
      <c r="P3783" s="11"/>
    </row>
    <row r="3784" spans="8:16" hidden="1" x14ac:dyDescent="0.25">
      <c r="H3784" s="12"/>
      <c r="I3784" s="12"/>
      <c r="J3784" s="12"/>
      <c r="K3784" s="12"/>
      <c r="L3784" s="12"/>
      <c r="M3784" s="11"/>
      <c r="N3784" s="11"/>
      <c r="O3784" s="11"/>
      <c r="P3784" s="11"/>
    </row>
    <row r="3785" spans="8:16" hidden="1" x14ac:dyDescent="0.25">
      <c r="H3785" s="12"/>
      <c r="I3785" s="12"/>
      <c r="J3785" s="12"/>
      <c r="K3785" s="12"/>
      <c r="L3785" s="12"/>
      <c r="M3785" s="11"/>
      <c r="N3785" s="11"/>
      <c r="O3785" s="11"/>
      <c r="P3785" s="11"/>
    </row>
    <row r="3786" spans="8:16" hidden="1" x14ac:dyDescent="0.25">
      <c r="H3786" s="12"/>
      <c r="I3786" s="12"/>
      <c r="J3786" s="12"/>
      <c r="K3786" s="12"/>
      <c r="L3786" s="12"/>
      <c r="M3786" s="11"/>
      <c r="N3786" s="11"/>
      <c r="O3786" s="11"/>
      <c r="P3786" s="11"/>
    </row>
    <row r="3787" spans="8:16" hidden="1" x14ac:dyDescent="0.25">
      <c r="H3787" s="12"/>
      <c r="I3787" s="12"/>
      <c r="J3787" s="12"/>
      <c r="K3787" s="12"/>
      <c r="L3787" s="12"/>
      <c r="M3787" s="11"/>
      <c r="N3787" s="11"/>
      <c r="O3787" s="11"/>
      <c r="P3787" s="11"/>
    </row>
    <row r="3788" spans="8:16" hidden="1" x14ac:dyDescent="0.25">
      <c r="H3788" s="12"/>
      <c r="I3788" s="12"/>
      <c r="J3788" s="12"/>
      <c r="K3788" s="12"/>
      <c r="L3788" s="12"/>
      <c r="M3788" s="11"/>
      <c r="N3788" s="11"/>
      <c r="O3788" s="11"/>
      <c r="P3788" s="11"/>
    </row>
    <row r="3789" spans="8:16" hidden="1" x14ac:dyDescent="0.25">
      <c r="H3789" s="12"/>
      <c r="I3789" s="12"/>
      <c r="J3789" s="12"/>
      <c r="K3789" s="12"/>
      <c r="L3789" s="12"/>
      <c r="M3789" s="11"/>
      <c r="N3789" s="11"/>
      <c r="O3789" s="11"/>
      <c r="P3789" s="11"/>
    </row>
    <row r="3790" spans="8:16" hidden="1" x14ac:dyDescent="0.25">
      <c r="H3790" s="12"/>
      <c r="I3790" s="12"/>
      <c r="J3790" s="12"/>
      <c r="K3790" s="12"/>
      <c r="L3790" s="12"/>
      <c r="M3790" s="11"/>
      <c r="N3790" s="11"/>
      <c r="O3790" s="11"/>
      <c r="P3790" s="11"/>
    </row>
    <row r="3791" spans="8:16" hidden="1" x14ac:dyDescent="0.25">
      <c r="H3791" s="12"/>
      <c r="I3791" s="12"/>
      <c r="J3791" s="12"/>
      <c r="K3791" s="12"/>
      <c r="L3791" s="12"/>
      <c r="M3791" s="11"/>
      <c r="N3791" s="11"/>
      <c r="O3791" s="11"/>
      <c r="P3791" s="11"/>
    </row>
    <row r="3792" spans="8:16" hidden="1" x14ac:dyDescent="0.25">
      <c r="H3792" s="12"/>
      <c r="I3792" s="12"/>
      <c r="J3792" s="12"/>
      <c r="K3792" s="12"/>
      <c r="L3792" s="12"/>
      <c r="M3792" s="11"/>
      <c r="N3792" s="11"/>
      <c r="O3792" s="11"/>
      <c r="P3792" s="11"/>
    </row>
    <row r="3793" spans="8:16" hidden="1" x14ac:dyDescent="0.25">
      <c r="H3793" s="12"/>
      <c r="I3793" s="12"/>
      <c r="J3793" s="12"/>
      <c r="K3793" s="12"/>
      <c r="L3793" s="12"/>
      <c r="M3793" s="11"/>
      <c r="N3793" s="11"/>
      <c r="O3793" s="11"/>
      <c r="P3793" s="11"/>
    </row>
    <row r="3794" spans="8:16" hidden="1" x14ac:dyDescent="0.25">
      <c r="H3794" s="12"/>
      <c r="I3794" s="12"/>
      <c r="J3794" s="12"/>
      <c r="K3794" s="12"/>
      <c r="L3794" s="12"/>
      <c r="M3794" s="11"/>
      <c r="N3794" s="11"/>
      <c r="O3794" s="11"/>
      <c r="P3794" s="11"/>
    </row>
    <row r="3795" spans="8:16" hidden="1" x14ac:dyDescent="0.25">
      <c r="H3795" s="12"/>
      <c r="I3795" s="12"/>
      <c r="J3795" s="12"/>
      <c r="K3795" s="12"/>
      <c r="L3795" s="12"/>
      <c r="M3795" s="11"/>
      <c r="N3795" s="11"/>
      <c r="O3795" s="11"/>
      <c r="P3795" s="11"/>
    </row>
    <row r="3796" spans="8:16" hidden="1" x14ac:dyDescent="0.25">
      <c r="H3796" s="12"/>
      <c r="I3796" s="12"/>
      <c r="J3796" s="12"/>
      <c r="K3796" s="12"/>
      <c r="L3796" s="12"/>
      <c r="M3796" s="11"/>
      <c r="N3796" s="11"/>
      <c r="O3796" s="11"/>
      <c r="P3796" s="11"/>
    </row>
    <row r="3797" spans="8:16" hidden="1" x14ac:dyDescent="0.25">
      <c r="H3797" s="12"/>
      <c r="I3797" s="12"/>
      <c r="J3797" s="12"/>
      <c r="K3797" s="12"/>
      <c r="L3797" s="12"/>
      <c r="M3797" s="11"/>
      <c r="N3797" s="11"/>
      <c r="O3797" s="11"/>
      <c r="P3797" s="11"/>
    </row>
    <row r="3798" spans="8:16" hidden="1" x14ac:dyDescent="0.25">
      <c r="H3798" s="12"/>
      <c r="I3798" s="12"/>
      <c r="J3798" s="12"/>
      <c r="K3798" s="12"/>
      <c r="L3798" s="12"/>
      <c r="M3798" s="11"/>
      <c r="N3798" s="11"/>
      <c r="O3798" s="11"/>
      <c r="P3798" s="11"/>
    </row>
    <row r="3799" spans="8:16" hidden="1" x14ac:dyDescent="0.25">
      <c r="H3799" s="12"/>
      <c r="I3799" s="12"/>
      <c r="J3799" s="12"/>
      <c r="K3799" s="12"/>
      <c r="L3799" s="12"/>
      <c r="M3799" s="11"/>
      <c r="N3799" s="11"/>
      <c r="O3799" s="11"/>
      <c r="P3799" s="11"/>
    </row>
    <row r="3800" spans="8:16" hidden="1" x14ac:dyDescent="0.25">
      <c r="H3800" s="12"/>
      <c r="I3800" s="12"/>
      <c r="J3800" s="12"/>
      <c r="K3800" s="12"/>
      <c r="L3800" s="12"/>
      <c r="M3800" s="11"/>
      <c r="N3800" s="11"/>
      <c r="O3800" s="11"/>
      <c r="P3800" s="11"/>
    </row>
    <row r="3801" spans="8:16" hidden="1" x14ac:dyDescent="0.25">
      <c r="H3801" s="12"/>
      <c r="I3801" s="12"/>
      <c r="J3801" s="12"/>
      <c r="K3801" s="12"/>
      <c r="L3801" s="12"/>
      <c r="M3801" s="11"/>
      <c r="N3801" s="11"/>
      <c r="O3801" s="11"/>
      <c r="P3801" s="11"/>
    </row>
    <row r="3802" spans="8:16" hidden="1" x14ac:dyDescent="0.25">
      <c r="H3802" s="12"/>
      <c r="I3802" s="12"/>
      <c r="J3802" s="12"/>
      <c r="K3802" s="12"/>
      <c r="L3802" s="12"/>
      <c r="M3802" s="11"/>
      <c r="N3802" s="11"/>
      <c r="O3802" s="11"/>
      <c r="P3802" s="11"/>
    </row>
    <row r="3803" spans="8:16" hidden="1" x14ac:dyDescent="0.25">
      <c r="H3803" s="12"/>
      <c r="I3803" s="12"/>
      <c r="J3803" s="12"/>
      <c r="K3803" s="12"/>
      <c r="L3803" s="12"/>
      <c r="M3803" s="11"/>
      <c r="N3803" s="11"/>
      <c r="O3803" s="11"/>
      <c r="P3803" s="11"/>
    </row>
    <row r="3804" spans="8:16" hidden="1" x14ac:dyDescent="0.25">
      <c r="H3804" s="12"/>
      <c r="I3804" s="12"/>
      <c r="J3804" s="12"/>
      <c r="K3804" s="12"/>
      <c r="L3804" s="12"/>
      <c r="M3804" s="11"/>
      <c r="N3804" s="11"/>
      <c r="O3804" s="11"/>
      <c r="P3804" s="11"/>
    </row>
    <row r="3805" spans="8:16" hidden="1" x14ac:dyDescent="0.25">
      <c r="H3805" s="12"/>
      <c r="I3805" s="12"/>
      <c r="J3805" s="12"/>
      <c r="K3805" s="12"/>
      <c r="L3805" s="12"/>
      <c r="M3805" s="11"/>
      <c r="N3805" s="11"/>
      <c r="O3805" s="11"/>
      <c r="P3805" s="11"/>
    </row>
    <row r="3806" spans="8:16" hidden="1" x14ac:dyDescent="0.25">
      <c r="H3806" s="12"/>
      <c r="I3806" s="12"/>
      <c r="J3806" s="12"/>
      <c r="K3806" s="12"/>
      <c r="L3806" s="12"/>
      <c r="M3806" s="11"/>
      <c r="N3806" s="11"/>
      <c r="O3806" s="11"/>
      <c r="P3806" s="11"/>
    </row>
    <row r="3807" spans="8:16" hidden="1" x14ac:dyDescent="0.25">
      <c r="H3807" s="12"/>
      <c r="I3807" s="12"/>
      <c r="J3807" s="12"/>
      <c r="K3807" s="12"/>
      <c r="L3807" s="12"/>
      <c r="M3807" s="11"/>
      <c r="N3807" s="11"/>
      <c r="O3807" s="11"/>
      <c r="P3807" s="11"/>
    </row>
    <row r="3808" spans="8:16" hidden="1" x14ac:dyDescent="0.25">
      <c r="H3808" s="12"/>
      <c r="I3808" s="12"/>
      <c r="J3808" s="12"/>
      <c r="K3808" s="12"/>
      <c r="L3808" s="12"/>
      <c r="M3808" s="11"/>
      <c r="N3808" s="11"/>
      <c r="O3808" s="11"/>
      <c r="P3808" s="11"/>
    </row>
    <row r="3809" spans="8:16" hidden="1" x14ac:dyDescent="0.25">
      <c r="H3809" s="12"/>
      <c r="I3809" s="12"/>
      <c r="J3809" s="12"/>
      <c r="K3809" s="12"/>
      <c r="L3809" s="12"/>
      <c r="M3809" s="11"/>
      <c r="N3809" s="11"/>
      <c r="O3809" s="11"/>
      <c r="P3809" s="11"/>
    </row>
    <row r="3810" spans="8:16" hidden="1" x14ac:dyDescent="0.25">
      <c r="H3810" s="12"/>
      <c r="I3810" s="12"/>
      <c r="J3810" s="12"/>
      <c r="K3810" s="12"/>
      <c r="L3810" s="12"/>
      <c r="M3810" s="11"/>
      <c r="N3810" s="11"/>
      <c r="O3810" s="11"/>
      <c r="P3810" s="11"/>
    </row>
    <row r="3811" spans="8:16" hidden="1" x14ac:dyDescent="0.25">
      <c r="H3811" s="12"/>
      <c r="I3811" s="12"/>
      <c r="J3811" s="12"/>
      <c r="K3811" s="12"/>
      <c r="L3811" s="12"/>
      <c r="M3811" s="11"/>
      <c r="N3811" s="11"/>
      <c r="O3811" s="11"/>
      <c r="P3811" s="11"/>
    </row>
    <row r="3812" spans="8:16" hidden="1" x14ac:dyDescent="0.25">
      <c r="H3812" s="12"/>
      <c r="I3812" s="12"/>
      <c r="J3812" s="12"/>
      <c r="K3812" s="12"/>
      <c r="L3812" s="12"/>
      <c r="M3812" s="11"/>
      <c r="N3812" s="11"/>
      <c r="O3812" s="11"/>
      <c r="P3812" s="11"/>
    </row>
    <row r="3813" spans="8:16" hidden="1" x14ac:dyDescent="0.25">
      <c r="H3813" s="12"/>
      <c r="I3813" s="12"/>
      <c r="J3813" s="12"/>
      <c r="K3813" s="12"/>
      <c r="L3813" s="12"/>
      <c r="M3813" s="11"/>
      <c r="N3813" s="11"/>
      <c r="O3813" s="11"/>
      <c r="P3813" s="11"/>
    </row>
    <row r="3814" spans="8:16" hidden="1" x14ac:dyDescent="0.25">
      <c r="H3814" s="12"/>
      <c r="I3814" s="12"/>
      <c r="J3814" s="12"/>
      <c r="K3814" s="12"/>
      <c r="L3814" s="12"/>
      <c r="M3814" s="11"/>
      <c r="N3814" s="11"/>
      <c r="O3814" s="11"/>
      <c r="P3814" s="11"/>
    </row>
    <row r="3815" spans="8:16" hidden="1" x14ac:dyDescent="0.25">
      <c r="H3815" s="12"/>
      <c r="I3815" s="12"/>
      <c r="J3815" s="12"/>
      <c r="K3815" s="12"/>
      <c r="L3815" s="12"/>
      <c r="M3815" s="11"/>
      <c r="N3815" s="11"/>
      <c r="O3815" s="11"/>
      <c r="P3815" s="11"/>
    </row>
    <row r="3816" spans="8:16" hidden="1" x14ac:dyDescent="0.25">
      <c r="H3816" s="12"/>
      <c r="I3816" s="12"/>
      <c r="J3816" s="12"/>
      <c r="K3816" s="12"/>
      <c r="L3816" s="12"/>
      <c r="M3816" s="11"/>
      <c r="N3816" s="11"/>
      <c r="O3816" s="11"/>
      <c r="P3816" s="11"/>
    </row>
    <row r="3817" spans="8:16" hidden="1" x14ac:dyDescent="0.25">
      <c r="H3817" s="12"/>
      <c r="I3817" s="12"/>
      <c r="J3817" s="12"/>
      <c r="K3817" s="12"/>
      <c r="L3817" s="12"/>
      <c r="M3817" s="11"/>
      <c r="N3817" s="11"/>
      <c r="O3817" s="11"/>
      <c r="P3817" s="11"/>
    </row>
    <row r="3818" spans="8:16" hidden="1" x14ac:dyDescent="0.25">
      <c r="H3818" s="12"/>
      <c r="I3818" s="12"/>
      <c r="J3818" s="12"/>
      <c r="K3818" s="12"/>
      <c r="L3818" s="12"/>
      <c r="M3818" s="11"/>
      <c r="N3818" s="11"/>
      <c r="O3818" s="11"/>
      <c r="P3818" s="11"/>
    </row>
    <row r="3819" spans="8:16" hidden="1" x14ac:dyDescent="0.25">
      <c r="H3819" s="12"/>
      <c r="I3819" s="12"/>
      <c r="J3819" s="12"/>
      <c r="K3819" s="12"/>
      <c r="L3819" s="12"/>
      <c r="M3819" s="11"/>
      <c r="N3819" s="11"/>
      <c r="O3819" s="11"/>
      <c r="P3819" s="11"/>
    </row>
    <row r="3820" spans="8:16" hidden="1" x14ac:dyDescent="0.25">
      <c r="H3820" s="12"/>
      <c r="I3820" s="12"/>
      <c r="J3820" s="12"/>
      <c r="K3820" s="12"/>
      <c r="L3820" s="12"/>
      <c r="M3820" s="11"/>
      <c r="N3820" s="11"/>
      <c r="O3820" s="11"/>
      <c r="P3820" s="11"/>
    </row>
    <row r="3821" spans="8:16" hidden="1" x14ac:dyDescent="0.25">
      <c r="H3821" s="12"/>
      <c r="I3821" s="12"/>
      <c r="J3821" s="12"/>
      <c r="K3821" s="12"/>
      <c r="L3821" s="12"/>
      <c r="M3821" s="11"/>
      <c r="N3821" s="11"/>
      <c r="O3821" s="11"/>
      <c r="P3821" s="11"/>
    </row>
    <row r="3822" spans="8:16" hidden="1" x14ac:dyDescent="0.25">
      <c r="H3822" s="12"/>
      <c r="I3822" s="12"/>
      <c r="J3822" s="12"/>
      <c r="K3822" s="12"/>
      <c r="L3822" s="12"/>
      <c r="M3822" s="11"/>
      <c r="N3822" s="11"/>
      <c r="O3822" s="11"/>
      <c r="P3822" s="11"/>
    </row>
    <row r="3823" spans="8:16" hidden="1" x14ac:dyDescent="0.25">
      <c r="H3823" s="12"/>
      <c r="I3823" s="12"/>
      <c r="J3823" s="12"/>
      <c r="K3823" s="12"/>
      <c r="L3823" s="12"/>
      <c r="M3823" s="11"/>
      <c r="N3823" s="11"/>
      <c r="O3823" s="11"/>
      <c r="P3823" s="11"/>
    </row>
    <row r="3824" spans="8:16" hidden="1" x14ac:dyDescent="0.25">
      <c r="H3824" s="12"/>
      <c r="I3824" s="12"/>
      <c r="J3824" s="12"/>
      <c r="K3824" s="12"/>
      <c r="L3824" s="12"/>
      <c r="M3824" s="11"/>
      <c r="N3824" s="11"/>
      <c r="O3824" s="11"/>
      <c r="P3824" s="11"/>
    </row>
    <row r="3825" spans="8:16" hidden="1" x14ac:dyDescent="0.25">
      <c r="H3825" s="12"/>
      <c r="I3825" s="12"/>
      <c r="J3825" s="12"/>
      <c r="K3825" s="12"/>
      <c r="L3825" s="12"/>
      <c r="M3825" s="11"/>
      <c r="N3825" s="11"/>
      <c r="O3825" s="11"/>
      <c r="P3825" s="11"/>
    </row>
    <row r="3826" spans="8:16" hidden="1" x14ac:dyDescent="0.25">
      <c r="H3826" s="12"/>
      <c r="I3826" s="12"/>
      <c r="J3826" s="12"/>
      <c r="K3826" s="12"/>
      <c r="L3826" s="12"/>
      <c r="M3826" s="11"/>
      <c r="N3826" s="11"/>
      <c r="O3826" s="11"/>
      <c r="P3826" s="11"/>
    </row>
    <row r="3827" spans="8:16" hidden="1" x14ac:dyDescent="0.25">
      <c r="H3827" s="12"/>
      <c r="I3827" s="12"/>
      <c r="J3827" s="12"/>
      <c r="K3827" s="12"/>
      <c r="L3827" s="12"/>
      <c r="M3827" s="11"/>
      <c r="N3827" s="11"/>
      <c r="O3827" s="11"/>
      <c r="P3827" s="11"/>
    </row>
    <row r="3828" spans="8:16" hidden="1" x14ac:dyDescent="0.25">
      <c r="H3828" s="12"/>
      <c r="I3828" s="12"/>
      <c r="J3828" s="12"/>
      <c r="K3828" s="12"/>
      <c r="L3828" s="12"/>
      <c r="M3828" s="11"/>
      <c r="N3828" s="11"/>
      <c r="O3828" s="11"/>
      <c r="P3828" s="11"/>
    </row>
    <row r="3829" spans="8:16" hidden="1" x14ac:dyDescent="0.25">
      <c r="H3829" s="12"/>
      <c r="I3829" s="12"/>
      <c r="J3829" s="12"/>
      <c r="K3829" s="12"/>
      <c r="L3829" s="12"/>
      <c r="M3829" s="11"/>
      <c r="N3829" s="11"/>
      <c r="O3829" s="11"/>
      <c r="P3829" s="11"/>
    </row>
    <row r="3830" spans="8:16" hidden="1" x14ac:dyDescent="0.25">
      <c r="H3830" s="12"/>
      <c r="I3830" s="12"/>
      <c r="J3830" s="12"/>
      <c r="K3830" s="12"/>
      <c r="L3830" s="12"/>
      <c r="M3830" s="11"/>
      <c r="N3830" s="11"/>
      <c r="O3830" s="11"/>
      <c r="P3830" s="11"/>
    </row>
    <row r="3831" spans="8:16" hidden="1" x14ac:dyDescent="0.25">
      <c r="H3831" s="12"/>
      <c r="I3831" s="12"/>
      <c r="J3831" s="12"/>
      <c r="K3831" s="12"/>
      <c r="L3831" s="12"/>
      <c r="M3831" s="11"/>
      <c r="N3831" s="11"/>
      <c r="O3831" s="11"/>
      <c r="P3831" s="11"/>
    </row>
    <row r="3832" spans="8:16" hidden="1" x14ac:dyDescent="0.25">
      <c r="H3832" s="12"/>
      <c r="I3832" s="12"/>
      <c r="J3832" s="12"/>
      <c r="K3832" s="12"/>
      <c r="L3832" s="12"/>
      <c r="M3832" s="11"/>
      <c r="N3832" s="11"/>
      <c r="O3832" s="11"/>
      <c r="P3832" s="11"/>
    </row>
    <row r="3833" spans="8:16" hidden="1" x14ac:dyDescent="0.25">
      <c r="H3833" s="12"/>
      <c r="I3833" s="12"/>
      <c r="J3833" s="12"/>
      <c r="K3833" s="12"/>
      <c r="L3833" s="12"/>
      <c r="M3833" s="11"/>
      <c r="N3833" s="11"/>
      <c r="O3833" s="11"/>
      <c r="P3833" s="11"/>
    </row>
    <row r="3834" spans="8:16" hidden="1" x14ac:dyDescent="0.25">
      <c r="H3834" s="12"/>
      <c r="I3834" s="12"/>
      <c r="J3834" s="12"/>
      <c r="K3834" s="12"/>
      <c r="L3834" s="12"/>
      <c r="M3834" s="11"/>
      <c r="N3834" s="11"/>
      <c r="O3834" s="11"/>
      <c r="P3834" s="11"/>
    </row>
    <row r="3835" spans="8:16" hidden="1" x14ac:dyDescent="0.25">
      <c r="H3835" s="12"/>
      <c r="I3835" s="12"/>
      <c r="J3835" s="12"/>
      <c r="K3835" s="12"/>
      <c r="L3835" s="12"/>
      <c r="M3835" s="11"/>
      <c r="N3835" s="11"/>
      <c r="O3835" s="11"/>
      <c r="P3835" s="11"/>
    </row>
    <row r="3836" spans="8:16" hidden="1" x14ac:dyDescent="0.25">
      <c r="H3836" s="12"/>
      <c r="I3836" s="12"/>
      <c r="J3836" s="12"/>
      <c r="K3836" s="12"/>
      <c r="L3836" s="12"/>
      <c r="M3836" s="11"/>
      <c r="N3836" s="11"/>
      <c r="O3836" s="11"/>
      <c r="P3836" s="11"/>
    </row>
    <row r="3837" spans="8:16" hidden="1" x14ac:dyDescent="0.25">
      <c r="H3837" s="12"/>
      <c r="I3837" s="12"/>
      <c r="J3837" s="12"/>
      <c r="K3837" s="12"/>
      <c r="L3837" s="12"/>
      <c r="M3837" s="11"/>
      <c r="N3837" s="11"/>
      <c r="O3837" s="11"/>
      <c r="P3837" s="11"/>
    </row>
    <row r="3838" spans="8:16" hidden="1" x14ac:dyDescent="0.25">
      <c r="H3838" s="12"/>
      <c r="I3838" s="12"/>
      <c r="J3838" s="12"/>
      <c r="K3838" s="12"/>
      <c r="L3838" s="12"/>
      <c r="M3838" s="11"/>
      <c r="N3838" s="11"/>
      <c r="O3838" s="11"/>
      <c r="P3838" s="11"/>
    </row>
    <row r="3839" spans="8:16" hidden="1" x14ac:dyDescent="0.25">
      <c r="H3839" s="12"/>
      <c r="I3839" s="12"/>
      <c r="J3839" s="12"/>
      <c r="K3839" s="12"/>
      <c r="L3839" s="12"/>
      <c r="M3839" s="11"/>
      <c r="N3839" s="11"/>
      <c r="O3839" s="11"/>
      <c r="P3839" s="11"/>
    </row>
    <row r="3840" spans="8:16" hidden="1" x14ac:dyDescent="0.25">
      <c r="H3840" s="12"/>
      <c r="I3840" s="12"/>
      <c r="J3840" s="12"/>
      <c r="K3840" s="12"/>
      <c r="L3840" s="12"/>
      <c r="M3840" s="11"/>
      <c r="N3840" s="11"/>
      <c r="O3840" s="11"/>
      <c r="P3840" s="11"/>
    </row>
    <row r="3841" spans="8:16" hidden="1" x14ac:dyDescent="0.25">
      <c r="H3841" s="12"/>
      <c r="I3841" s="12"/>
      <c r="J3841" s="12"/>
      <c r="K3841" s="12"/>
      <c r="L3841" s="12"/>
      <c r="M3841" s="11"/>
      <c r="N3841" s="11"/>
      <c r="O3841" s="11"/>
      <c r="P3841" s="11"/>
    </row>
    <row r="3842" spans="8:16" hidden="1" x14ac:dyDescent="0.25">
      <c r="H3842" s="12"/>
      <c r="I3842" s="12"/>
      <c r="J3842" s="12"/>
      <c r="K3842" s="12"/>
      <c r="L3842" s="12"/>
      <c r="M3842" s="11"/>
      <c r="N3842" s="11"/>
      <c r="O3842" s="11"/>
      <c r="P3842" s="11"/>
    </row>
    <row r="3843" spans="8:16" hidden="1" x14ac:dyDescent="0.25">
      <c r="H3843" s="12"/>
      <c r="I3843" s="12"/>
      <c r="J3843" s="12"/>
      <c r="K3843" s="12"/>
      <c r="L3843" s="12"/>
      <c r="M3843" s="11"/>
      <c r="N3843" s="11"/>
      <c r="O3843" s="11"/>
      <c r="P3843" s="11"/>
    </row>
    <row r="3844" spans="8:16" hidden="1" x14ac:dyDescent="0.25">
      <c r="H3844" s="12"/>
      <c r="I3844" s="12"/>
      <c r="J3844" s="12"/>
      <c r="K3844" s="12"/>
      <c r="L3844" s="12"/>
      <c r="M3844" s="11"/>
      <c r="N3844" s="11"/>
      <c r="O3844" s="11"/>
      <c r="P3844" s="11"/>
    </row>
    <row r="3845" spans="8:16" hidden="1" x14ac:dyDescent="0.25">
      <c r="H3845" s="12"/>
      <c r="I3845" s="12"/>
      <c r="J3845" s="12"/>
      <c r="K3845" s="12"/>
      <c r="L3845" s="12"/>
      <c r="M3845" s="11"/>
      <c r="N3845" s="11"/>
      <c r="O3845" s="11"/>
      <c r="P3845" s="11"/>
    </row>
    <row r="3846" spans="8:16" hidden="1" x14ac:dyDescent="0.25">
      <c r="H3846" s="12"/>
      <c r="I3846" s="12"/>
      <c r="J3846" s="12"/>
      <c r="K3846" s="12"/>
      <c r="L3846" s="12"/>
      <c r="M3846" s="11"/>
      <c r="N3846" s="11"/>
      <c r="O3846" s="11"/>
      <c r="P3846" s="11"/>
    </row>
    <row r="3847" spans="8:16" hidden="1" x14ac:dyDescent="0.25">
      <c r="H3847" s="12"/>
      <c r="I3847" s="12"/>
      <c r="J3847" s="12"/>
      <c r="K3847" s="12"/>
      <c r="L3847" s="12"/>
      <c r="M3847" s="11"/>
      <c r="N3847" s="11"/>
      <c r="O3847" s="11"/>
      <c r="P3847" s="11"/>
    </row>
    <row r="3848" spans="8:16" hidden="1" x14ac:dyDescent="0.25">
      <c r="H3848" s="12"/>
      <c r="I3848" s="12"/>
      <c r="J3848" s="12"/>
      <c r="K3848" s="12"/>
      <c r="L3848" s="12"/>
      <c r="M3848" s="11"/>
      <c r="N3848" s="11"/>
      <c r="O3848" s="11"/>
      <c r="P3848" s="11"/>
    </row>
    <row r="3849" spans="8:16" hidden="1" x14ac:dyDescent="0.25">
      <c r="H3849" s="12"/>
      <c r="I3849" s="12"/>
      <c r="J3849" s="12"/>
      <c r="K3849" s="12"/>
      <c r="L3849" s="12"/>
      <c r="M3849" s="11"/>
      <c r="N3849" s="11"/>
      <c r="O3849" s="11"/>
      <c r="P3849" s="11"/>
    </row>
    <row r="3850" spans="8:16" hidden="1" x14ac:dyDescent="0.25">
      <c r="H3850" s="12"/>
      <c r="I3850" s="12"/>
      <c r="J3850" s="12"/>
      <c r="K3850" s="12"/>
      <c r="L3850" s="12"/>
      <c r="M3850" s="11"/>
      <c r="N3850" s="11"/>
      <c r="O3850" s="11"/>
      <c r="P3850" s="11"/>
    </row>
    <row r="3851" spans="8:16" hidden="1" x14ac:dyDescent="0.25">
      <c r="H3851" s="12"/>
      <c r="I3851" s="12"/>
      <c r="J3851" s="12"/>
      <c r="K3851" s="12"/>
      <c r="L3851" s="12"/>
      <c r="M3851" s="11"/>
      <c r="N3851" s="11"/>
      <c r="O3851" s="11"/>
      <c r="P3851" s="11"/>
    </row>
    <row r="3852" spans="8:16" hidden="1" x14ac:dyDescent="0.25">
      <c r="H3852" s="12"/>
      <c r="I3852" s="12"/>
      <c r="J3852" s="12"/>
      <c r="K3852" s="12"/>
      <c r="L3852" s="12"/>
      <c r="M3852" s="11"/>
      <c r="N3852" s="11"/>
      <c r="O3852" s="11"/>
      <c r="P3852" s="11"/>
    </row>
    <row r="3853" spans="8:16" hidden="1" x14ac:dyDescent="0.25">
      <c r="H3853" s="12"/>
      <c r="I3853" s="12"/>
      <c r="J3853" s="12"/>
      <c r="K3853" s="12"/>
      <c r="L3853" s="12"/>
      <c r="M3853" s="11"/>
      <c r="N3853" s="11"/>
      <c r="O3853" s="11"/>
      <c r="P3853" s="11"/>
    </row>
    <row r="3854" spans="8:16" hidden="1" x14ac:dyDescent="0.25">
      <c r="H3854" s="12"/>
      <c r="I3854" s="12"/>
      <c r="J3854" s="12"/>
      <c r="K3854" s="12"/>
      <c r="L3854" s="12"/>
      <c r="M3854" s="11"/>
      <c r="N3854" s="11"/>
      <c r="O3854" s="11"/>
      <c r="P3854" s="11"/>
    </row>
    <row r="3855" spans="8:16" hidden="1" x14ac:dyDescent="0.25">
      <c r="H3855" s="12"/>
      <c r="I3855" s="12"/>
      <c r="J3855" s="12"/>
      <c r="K3855" s="12"/>
      <c r="L3855" s="12"/>
      <c r="M3855" s="11"/>
      <c r="N3855" s="11"/>
      <c r="O3855" s="11"/>
      <c r="P3855" s="11"/>
    </row>
    <row r="3856" spans="8:16" hidden="1" x14ac:dyDescent="0.25">
      <c r="H3856" s="12"/>
      <c r="I3856" s="12"/>
      <c r="J3856" s="12"/>
      <c r="K3856" s="12"/>
      <c r="L3856" s="12"/>
      <c r="M3856" s="11"/>
      <c r="N3856" s="11"/>
      <c r="O3856" s="11"/>
      <c r="P3856" s="11"/>
    </row>
    <row r="3857" spans="8:16" hidden="1" x14ac:dyDescent="0.25">
      <c r="H3857" s="12"/>
      <c r="I3857" s="12"/>
      <c r="J3857" s="12"/>
      <c r="K3857" s="12"/>
      <c r="L3857" s="12"/>
      <c r="M3857" s="11"/>
      <c r="N3857" s="11"/>
      <c r="O3857" s="11"/>
      <c r="P3857" s="11"/>
    </row>
    <row r="3858" spans="8:16" hidden="1" x14ac:dyDescent="0.25">
      <c r="H3858" s="12"/>
      <c r="I3858" s="12"/>
      <c r="J3858" s="12"/>
      <c r="K3858" s="12"/>
      <c r="L3858" s="12"/>
      <c r="M3858" s="11"/>
      <c r="N3858" s="11"/>
      <c r="O3858" s="11"/>
      <c r="P3858" s="11"/>
    </row>
    <row r="3859" spans="8:16" hidden="1" x14ac:dyDescent="0.25">
      <c r="H3859" s="12"/>
      <c r="I3859" s="12"/>
      <c r="J3859" s="12"/>
      <c r="K3859" s="12"/>
      <c r="L3859" s="12"/>
      <c r="M3859" s="11"/>
      <c r="N3859" s="11"/>
      <c r="O3859" s="11"/>
      <c r="P3859" s="11"/>
    </row>
    <row r="3860" spans="8:16" hidden="1" x14ac:dyDescent="0.25">
      <c r="H3860" s="12"/>
      <c r="I3860" s="12"/>
      <c r="J3860" s="12"/>
      <c r="K3860" s="12"/>
      <c r="L3860" s="12"/>
      <c r="M3860" s="11"/>
      <c r="N3860" s="11"/>
      <c r="O3860" s="11"/>
      <c r="P3860" s="11"/>
    </row>
    <row r="3861" spans="8:16" hidden="1" x14ac:dyDescent="0.25">
      <c r="H3861" s="12"/>
      <c r="I3861" s="12"/>
      <c r="J3861" s="12"/>
      <c r="K3861" s="12"/>
      <c r="L3861" s="12"/>
      <c r="M3861" s="11"/>
      <c r="N3861" s="11"/>
      <c r="O3861" s="11"/>
      <c r="P3861" s="11"/>
    </row>
    <row r="3862" spans="8:16" hidden="1" x14ac:dyDescent="0.25">
      <c r="H3862" s="12"/>
      <c r="I3862" s="12"/>
      <c r="J3862" s="12"/>
      <c r="K3862" s="12"/>
      <c r="L3862" s="12"/>
      <c r="M3862" s="11"/>
      <c r="N3862" s="11"/>
      <c r="O3862" s="11"/>
      <c r="P3862" s="11"/>
    </row>
    <row r="3863" spans="8:16" hidden="1" x14ac:dyDescent="0.25">
      <c r="H3863" s="12"/>
      <c r="I3863" s="12"/>
      <c r="J3863" s="12"/>
      <c r="K3863" s="12"/>
      <c r="L3863" s="12"/>
      <c r="M3863" s="11"/>
      <c r="N3863" s="11"/>
      <c r="O3863" s="11"/>
      <c r="P3863" s="11"/>
    </row>
    <row r="3864" spans="8:16" hidden="1" x14ac:dyDescent="0.25">
      <c r="H3864" s="12"/>
      <c r="I3864" s="12"/>
      <c r="J3864" s="12"/>
      <c r="K3864" s="12"/>
      <c r="L3864" s="12"/>
      <c r="M3864" s="11"/>
      <c r="N3864" s="11"/>
      <c r="O3864" s="11"/>
      <c r="P3864" s="11"/>
    </row>
    <row r="3865" spans="8:16" hidden="1" x14ac:dyDescent="0.25">
      <c r="H3865" s="12"/>
      <c r="I3865" s="12"/>
      <c r="J3865" s="12"/>
      <c r="K3865" s="12"/>
      <c r="L3865" s="12"/>
      <c r="M3865" s="11"/>
      <c r="N3865" s="11"/>
      <c r="O3865" s="11"/>
      <c r="P3865" s="11"/>
    </row>
    <row r="3866" spans="8:16" hidden="1" x14ac:dyDescent="0.25">
      <c r="H3866" s="12"/>
      <c r="I3866" s="12"/>
      <c r="J3866" s="12"/>
      <c r="K3866" s="12"/>
      <c r="L3866" s="12"/>
      <c r="M3866" s="11"/>
      <c r="N3866" s="11"/>
      <c r="O3866" s="11"/>
      <c r="P3866" s="11"/>
    </row>
    <row r="3867" spans="8:16" hidden="1" x14ac:dyDescent="0.25">
      <c r="H3867" s="12"/>
      <c r="I3867" s="12"/>
      <c r="J3867" s="12"/>
      <c r="K3867" s="12"/>
      <c r="L3867" s="12"/>
      <c r="M3867" s="11"/>
      <c r="N3867" s="11"/>
      <c r="O3867" s="11"/>
      <c r="P3867" s="11"/>
    </row>
    <row r="3868" spans="8:16" hidden="1" x14ac:dyDescent="0.25">
      <c r="H3868" s="12"/>
      <c r="I3868" s="12"/>
      <c r="J3868" s="12"/>
      <c r="K3868" s="12"/>
      <c r="L3868" s="12"/>
      <c r="M3868" s="11"/>
      <c r="N3868" s="11"/>
      <c r="O3868" s="11"/>
      <c r="P3868" s="11"/>
    </row>
    <row r="3869" spans="8:16" hidden="1" x14ac:dyDescent="0.25">
      <c r="H3869" s="12"/>
      <c r="I3869" s="12"/>
      <c r="J3869" s="12"/>
      <c r="K3869" s="12"/>
      <c r="L3869" s="12"/>
      <c r="M3869" s="11"/>
      <c r="N3869" s="11"/>
      <c r="O3869" s="11"/>
      <c r="P3869" s="11"/>
    </row>
    <row r="3870" spans="8:16" hidden="1" x14ac:dyDescent="0.25">
      <c r="H3870" s="12"/>
      <c r="I3870" s="12"/>
      <c r="J3870" s="12"/>
      <c r="K3870" s="12"/>
      <c r="L3870" s="12"/>
      <c r="M3870" s="11"/>
      <c r="N3870" s="11"/>
      <c r="O3870" s="11"/>
      <c r="P3870" s="11"/>
    </row>
    <row r="3871" spans="8:16" hidden="1" x14ac:dyDescent="0.25">
      <c r="H3871" s="12"/>
      <c r="I3871" s="12"/>
      <c r="J3871" s="12"/>
      <c r="K3871" s="12"/>
      <c r="L3871" s="12"/>
      <c r="M3871" s="11"/>
      <c r="N3871" s="11"/>
      <c r="O3871" s="11"/>
      <c r="P3871" s="11"/>
    </row>
    <row r="3872" spans="8:16" hidden="1" x14ac:dyDescent="0.25">
      <c r="H3872" s="12"/>
      <c r="I3872" s="12"/>
      <c r="J3872" s="12"/>
      <c r="K3872" s="12"/>
      <c r="L3872" s="12"/>
      <c r="M3872" s="11"/>
      <c r="N3872" s="11"/>
      <c r="O3872" s="11"/>
      <c r="P3872" s="11"/>
    </row>
    <row r="3873" spans="8:16" hidden="1" x14ac:dyDescent="0.25">
      <c r="H3873" s="12"/>
      <c r="I3873" s="12"/>
      <c r="J3873" s="12"/>
      <c r="K3873" s="12"/>
      <c r="L3873" s="12"/>
      <c r="M3873" s="11"/>
      <c r="N3873" s="11"/>
      <c r="O3873" s="11"/>
      <c r="P3873" s="11"/>
    </row>
    <row r="3874" spans="8:16" hidden="1" x14ac:dyDescent="0.25">
      <c r="H3874" s="12"/>
      <c r="I3874" s="12"/>
      <c r="J3874" s="12"/>
      <c r="K3874" s="12"/>
      <c r="L3874" s="12"/>
      <c r="M3874" s="11"/>
      <c r="N3874" s="11"/>
      <c r="O3874" s="11"/>
      <c r="P3874" s="11"/>
    </row>
    <row r="3875" spans="8:16" hidden="1" x14ac:dyDescent="0.25">
      <c r="H3875" s="12"/>
      <c r="I3875" s="12"/>
      <c r="J3875" s="12"/>
      <c r="K3875" s="12"/>
      <c r="L3875" s="12"/>
      <c r="M3875" s="11"/>
      <c r="N3875" s="11"/>
      <c r="O3875" s="11"/>
      <c r="P3875" s="11"/>
    </row>
    <row r="3876" spans="8:16" hidden="1" x14ac:dyDescent="0.25">
      <c r="H3876" s="12"/>
      <c r="I3876" s="12"/>
      <c r="J3876" s="12"/>
      <c r="K3876" s="12"/>
      <c r="L3876" s="12"/>
      <c r="M3876" s="11"/>
      <c r="N3876" s="11"/>
      <c r="O3876" s="11"/>
      <c r="P3876" s="11"/>
    </row>
    <row r="3877" spans="8:16" hidden="1" x14ac:dyDescent="0.25">
      <c r="H3877" s="12"/>
      <c r="I3877" s="12"/>
      <c r="J3877" s="12"/>
      <c r="K3877" s="12"/>
      <c r="L3877" s="12"/>
      <c r="M3877" s="11"/>
      <c r="N3877" s="11"/>
      <c r="O3877" s="11"/>
      <c r="P3877" s="11"/>
    </row>
    <row r="3878" spans="8:16" hidden="1" x14ac:dyDescent="0.25">
      <c r="H3878" s="12"/>
      <c r="I3878" s="12"/>
      <c r="J3878" s="12"/>
      <c r="K3878" s="12"/>
      <c r="L3878" s="12"/>
      <c r="M3878" s="11"/>
      <c r="N3878" s="11"/>
      <c r="O3878" s="11"/>
      <c r="P3878" s="11"/>
    </row>
    <row r="3879" spans="8:16" hidden="1" x14ac:dyDescent="0.25">
      <c r="H3879" s="12"/>
      <c r="I3879" s="12"/>
      <c r="J3879" s="12"/>
      <c r="K3879" s="12"/>
      <c r="L3879" s="12"/>
      <c r="M3879" s="11"/>
      <c r="N3879" s="11"/>
      <c r="O3879" s="11"/>
      <c r="P3879" s="11"/>
    </row>
    <row r="3880" spans="8:16" hidden="1" x14ac:dyDescent="0.25">
      <c r="H3880" s="12"/>
      <c r="I3880" s="12"/>
      <c r="J3880" s="12"/>
      <c r="K3880" s="12"/>
      <c r="L3880" s="12"/>
      <c r="M3880" s="11"/>
      <c r="N3880" s="11"/>
      <c r="O3880" s="11"/>
      <c r="P3880" s="11"/>
    </row>
    <row r="3881" spans="8:16" hidden="1" x14ac:dyDescent="0.25">
      <c r="H3881" s="12"/>
      <c r="I3881" s="12"/>
      <c r="J3881" s="12"/>
      <c r="K3881" s="12"/>
      <c r="L3881" s="12"/>
      <c r="M3881" s="11"/>
      <c r="N3881" s="11"/>
      <c r="O3881" s="11"/>
      <c r="P3881" s="11"/>
    </row>
    <row r="3882" spans="8:16" hidden="1" x14ac:dyDescent="0.25">
      <c r="H3882" s="12"/>
      <c r="I3882" s="12"/>
      <c r="J3882" s="12"/>
      <c r="K3882" s="12"/>
      <c r="L3882" s="12"/>
      <c r="M3882" s="11"/>
      <c r="N3882" s="11"/>
      <c r="O3882" s="11"/>
      <c r="P3882" s="11"/>
    </row>
    <row r="3883" spans="8:16" hidden="1" x14ac:dyDescent="0.25">
      <c r="H3883" s="12"/>
      <c r="I3883" s="12"/>
      <c r="J3883" s="12"/>
      <c r="K3883" s="12"/>
      <c r="L3883" s="12"/>
      <c r="M3883" s="11"/>
      <c r="N3883" s="11"/>
      <c r="O3883" s="11"/>
      <c r="P3883" s="11"/>
    </row>
    <row r="3884" spans="8:16" hidden="1" x14ac:dyDescent="0.25">
      <c r="H3884" s="12"/>
      <c r="I3884" s="12"/>
      <c r="J3884" s="12"/>
      <c r="K3884" s="12"/>
      <c r="L3884" s="12"/>
      <c r="M3884" s="11"/>
      <c r="N3884" s="11"/>
      <c r="O3884" s="11"/>
      <c r="P3884" s="11"/>
    </row>
    <row r="3885" spans="8:16" hidden="1" x14ac:dyDescent="0.25">
      <c r="H3885" s="12"/>
      <c r="I3885" s="12"/>
      <c r="J3885" s="12"/>
      <c r="K3885" s="12"/>
      <c r="L3885" s="12"/>
      <c r="M3885" s="11"/>
      <c r="N3885" s="11"/>
      <c r="O3885" s="11"/>
      <c r="P3885" s="11"/>
    </row>
    <row r="3886" spans="8:16" hidden="1" x14ac:dyDescent="0.25">
      <c r="H3886" s="12"/>
      <c r="I3886" s="12"/>
      <c r="J3886" s="12"/>
      <c r="K3886" s="12"/>
      <c r="L3886" s="12"/>
      <c r="M3886" s="11"/>
      <c r="N3886" s="11"/>
      <c r="O3886" s="11"/>
      <c r="P3886" s="11"/>
    </row>
    <row r="3887" spans="8:16" hidden="1" x14ac:dyDescent="0.25">
      <c r="H3887" s="12"/>
      <c r="I3887" s="12"/>
      <c r="J3887" s="12"/>
      <c r="K3887" s="12"/>
      <c r="L3887" s="12"/>
      <c r="M3887" s="11"/>
      <c r="N3887" s="11"/>
      <c r="O3887" s="11"/>
      <c r="P3887" s="11"/>
    </row>
    <row r="3888" spans="8:16" hidden="1" x14ac:dyDescent="0.25">
      <c r="H3888" s="12"/>
      <c r="I3888" s="12"/>
      <c r="J3888" s="12"/>
      <c r="K3888" s="12"/>
      <c r="L3888" s="12"/>
      <c r="M3888" s="11"/>
      <c r="N3888" s="11"/>
      <c r="O3888" s="11"/>
      <c r="P3888" s="11"/>
    </row>
    <row r="3889" spans="8:16" hidden="1" x14ac:dyDescent="0.25">
      <c r="H3889" s="12"/>
      <c r="I3889" s="12"/>
      <c r="J3889" s="12"/>
      <c r="K3889" s="12"/>
      <c r="L3889" s="12"/>
      <c r="M3889" s="11"/>
      <c r="N3889" s="11"/>
      <c r="O3889" s="11"/>
      <c r="P3889" s="11"/>
    </row>
    <row r="3890" spans="8:16" hidden="1" x14ac:dyDescent="0.25">
      <c r="H3890" s="12"/>
      <c r="I3890" s="12"/>
      <c r="J3890" s="12"/>
      <c r="K3890" s="12"/>
      <c r="L3890" s="12"/>
      <c r="M3890" s="11"/>
      <c r="N3890" s="11"/>
      <c r="O3890" s="11"/>
      <c r="P3890" s="11"/>
    </row>
    <row r="3891" spans="8:16" hidden="1" x14ac:dyDescent="0.25">
      <c r="H3891" s="12"/>
      <c r="I3891" s="12"/>
      <c r="J3891" s="12"/>
      <c r="K3891" s="12"/>
      <c r="L3891" s="12"/>
      <c r="M3891" s="11"/>
      <c r="N3891" s="11"/>
      <c r="O3891" s="11"/>
      <c r="P3891" s="11"/>
    </row>
    <row r="3892" spans="8:16" hidden="1" x14ac:dyDescent="0.25">
      <c r="H3892" s="12"/>
      <c r="I3892" s="12"/>
      <c r="J3892" s="12"/>
      <c r="K3892" s="12"/>
      <c r="L3892" s="12"/>
      <c r="M3892" s="11"/>
      <c r="N3892" s="11"/>
      <c r="O3892" s="11"/>
      <c r="P3892" s="11"/>
    </row>
    <row r="3893" spans="8:16" hidden="1" x14ac:dyDescent="0.25">
      <c r="H3893" s="12"/>
      <c r="I3893" s="12"/>
      <c r="J3893" s="12"/>
      <c r="K3893" s="12"/>
      <c r="L3893" s="12"/>
      <c r="M3893" s="11"/>
      <c r="N3893" s="11"/>
      <c r="O3893" s="11"/>
      <c r="P3893" s="11"/>
    </row>
    <row r="3894" spans="8:16" hidden="1" x14ac:dyDescent="0.25">
      <c r="H3894" s="12"/>
      <c r="I3894" s="12"/>
      <c r="J3894" s="12"/>
      <c r="K3894" s="12"/>
      <c r="L3894" s="12"/>
      <c r="M3894" s="11"/>
      <c r="N3894" s="11"/>
      <c r="O3894" s="11"/>
      <c r="P3894" s="11"/>
    </row>
    <row r="3895" spans="8:16" hidden="1" x14ac:dyDescent="0.25">
      <c r="H3895" s="12"/>
      <c r="I3895" s="12"/>
      <c r="J3895" s="12"/>
      <c r="K3895" s="12"/>
      <c r="L3895" s="12"/>
      <c r="M3895" s="11"/>
      <c r="N3895" s="11"/>
      <c r="O3895" s="11"/>
      <c r="P3895" s="11"/>
    </row>
    <row r="3896" spans="8:16" hidden="1" x14ac:dyDescent="0.25">
      <c r="H3896" s="12"/>
      <c r="I3896" s="12"/>
      <c r="J3896" s="12"/>
      <c r="K3896" s="12"/>
      <c r="L3896" s="12"/>
      <c r="M3896" s="11"/>
      <c r="N3896" s="11"/>
      <c r="O3896" s="11"/>
      <c r="P3896" s="11"/>
    </row>
    <row r="3897" spans="8:16" hidden="1" x14ac:dyDescent="0.25">
      <c r="H3897" s="12"/>
      <c r="I3897" s="12"/>
      <c r="J3897" s="12"/>
      <c r="K3897" s="12"/>
      <c r="L3897" s="12"/>
      <c r="M3897" s="11"/>
      <c r="N3897" s="11"/>
      <c r="O3897" s="11"/>
      <c r="P3897" s="11"/>
    </row>
    <row r="3898" spans="8:16" hidden="1" x14ac:dyDescent="0.25">
      <c r="H3898" s="12"/>
      <c r="I3898" s="12"/>
      <c r="J3898" s="12"/>
      <c r="K3898" s="12"/>
      <c r="L3898" s="12"/>
      <c r="M3898" s="11"/>
      <c r="N3898" s="11"/>
      <c r="O3898" s="11"/>
      <c r="P3898" s="11"/>
    </row>
    <row r="3899" spans="8:16" hidden="1" x14ac:dyDescent="0.25">
      <c r="H3899" s="12"/>
      <c r="I3899" s="12"/>
      <c r="J3899" s="12"/>
      <c r="K3899" s="12"/>
      <c r="L3899" s="12"/>
      <c r="M3899" s="11"/>
      <c r="N3899" s="11"/>
      <c r="O3899" s="11"/>
      <c r="P3899" s="11"/>
    </row>
    <row r="3900" spans="8:16" hidden="1" x14ac:dyDescent="0.25">
      <c r="H3900" s="12"/>
      <c r="I3900" s="12"/>
      <c r="J3900" s="12"/>
      <c r="K3900" s="12"/>
      <c r="L3900" s="12"/>
      <c r="M3900" s="11"/>
      <c r="N3900" s="11"/>
      <c r="O3900" s="11"/>
      <c r="P3900" s="11"/>
    </row>
    <row r="3901" spans="8:16" hidden="1" x14ac:dyDescent="0.25">
      <c r="H3901" s="12"/>
      <c r="I3901" s="12"/>
      <c r="J3901" s="12"/>
      <c r="K3901" s="12"/>
      <c r="L3901" s="12"/>
      <c r="M3901" s="11"/>
      <c r="N3901" s="11"/>
      <c r="O3901" s="11"/>
      <c r="P3901" s="11"/>
    </row>
    <row r="3902" spans="8:16" hidden="1" x14ac:dyDescent="0.25">
      <c r="H3902" s="12"/>
      <c r="I3902" s="12"/>
      <c r="J3902" s="12"/>
      <c r="K3902" s="12"/>
      <c r="L3902" s="12"/>
      <c r="M3902" s="11"/>
      <c r="N3902" s="11"/>
      <c r="O3902" s="11"/>
      <c r="P3902" s="11"/>
    </row>
    <row r="3903" spans="8:16" hidden="1" x14ac:dyDescent="0.25">
      <c r="H3903" s="12"/>
      <c r="I3903" s="12"/>
      <c r="J3903" s="12"/>
      <c r="K3903" s="12"/>
      <c r="L3903" s="12"/>
      <c r="M3903" s="11"/>
      <c r="N3903" s="11"/>
      <c r="O3903" s="11"/>
      <c r="P3903" s="11"/>
    </row>
    <row r="3904" spans="8:16" hidden="1" x14ac:dyDescent="0.25">
      <c r="H3904" s="12"/>
      <c r="I3904" s="12"/>
      <c r="J3904" s="12"/>
      <c r="K3904" s="12"/>
      <c r="L3904" s="12"/>
      <c r="M3904" s="11"/>
      <c r="N3904" s="11"/>
      <c r="O3904" s="11"/>
      <c r="P3904" s="11"/>
    </row>
    <row r="3905" spans="8:16" hidden="1" x14ac:dyDescent="0.25">
      <c r="H3905" s="12"/>
      <c r="I3905" s="12"/>
      <c r="J3905" s="12"/>
      <c r="K3905" s="12"/>
      <c r="L3905" s="12"/>
      <c r="M3905" s="11"/>
      <c r="N3905" s="11"/>
      <c r="O3905" s="11"/>
      <c r="P3905" s="11"/>
    </row>
    <row r="3906" spans="8:16" hidden="1" x14ac:dyDescent="0.25">
      <c r="H3906" s="12"/>
      <c r="I3906" s="12"/>
      <c r="J3906" s="12"/>
      <c r="K3906" s="12"/>
      <c r="L3906" s="12"/>
      <c r="M3906" s="11"/>
      <c r="N3906" s="11"/>
      <c r="O3906" s="11"/>
      <c r="P3906" s="11"/>
    </row>
    <row r="3907" spans="8:16" hidden="1" x14ac:dyDescent="0.25">
      <c r="H3907" s="12"/>
      <c r="I3907" s="12"/>
      <c r="J3907" s="12"/>
      <c r="K3907" s="12"/>
      <c r="L3907" s="12"/>
      <c r="M3907" s="11"/>
      <c r="N3907" s="11"/>
      <c r="O3907" s="11"/>
      <c r="P3907" s="11"/>
    </row>
    <row r="3908" spans="8:16" hidden="1" x14ac:dyDescent="0.25">
      <c r="H3908" s="12"/>
      <c r="I3908" s="12"/>
      <c r="J3908" s="12"/>
      <c r="K3908" s="12"/>
      <c r="L3908" s="12"/>
      <c r="M3908" s="11"/>
      <c r="N3908" s="11"/>
      <c r="O3908" s="11"/>
      <c r="P3908" s="11"/>
    </row>
    <row r="3909" spans="8:16" hidden="1" x14ac:dyDescent="0.25">
      <c r="H3909" s="12"/>
      <c r="I3909" s="12"/>
      <c r="J3909" s="12"/>
      <c r="K3909" s="12"/>
      <c r="L3909" s="12"/>
      <c r="M3909" s="11"/>
      <c r="N3909" s="11"/>
      <c r="O3909" s="11"/>
      <c r="P3909" s="11"/>
    </row>
    <row r="3910" spans="8:16" hidden="1" x14ac:dyDescent="0.25">
      <c r="H3910" s="12"/>
      <c r="I3910" s="12"/>
      <c r="J3910" s="12"/>
      <c r="K3910" s="12"/>
      <c r="L3910" s="12"/>
      <c r="M3910" s="11"/>
      <c r="N3910" s="11"/>
      <c r="O3910" s="11"/>
      <c r="P3910" s="11"/>
    </row>
    <row r="3911" spans="8:16" hidden="1" x14ac:dyDescent="0.25">
      <c r="H3911" s="12"/>
      <c r="I3911" s="12"/>
      <c r="J3911" s="12"/>
      <c r="K3911" s="12"/>
      <c r="L3911" s="12"/>
      <c r="M3911" s="11"/>
      <c r="N3911" s="11"/>
      <c r="O3911" s="11"/>
      <c r="P3911" s="11"/>
    </row>
    <row r="3912" spans="8:16" hidden="1" x14ac:dyDescent="0.25">
      <c r="H3912" s="12"/>
      <c r="I3912" s="12"/>
      <c r="J3912" s="12"/>
      <c r="K3912" s="12"/>
      <c r="L3912" s="12"/>
      <c r="M3912" s="11"/>
      <c r="N3912" s="11"/>
      <c r="O3912" s="11"/>
      <c r="P3912" s="11"/>
    </row>
    <row r="3913" spans="8:16" hidden="1" x14ac:dyDescent="0.25">
      <c r="H3913" s="12"/>
      <c r="I3913" s="12"/>
      <c r="J3913" s="12"/>
      <c r="K3913" s="12"/>
      <c r="L3913" s="12"/>
      <c r="M3913" s="11"/>
      <c r="N3913" s="11"/>
      <c r="O3913" s="11"/>
      <c r="P3913" s="11"/>
    </row>
    <row r="3914" spans="8:16" hidden="1" x14ac:dyDescent="0.25">
      <c r="H3914" s="12"/>
      <c r="I3914" s="12"/>
      <c r="J3914" s="12"/>
      <c r="K3914" s="12"/>
      <c r="L3914" s="12"/>
      <c r="M3914" s="11"/>
      <c r="N3914" s="11"/>
      <c r="O3914" s="11"/>
      <c r="P3914" s="11"/>
    </row>
    <row r="3915" spans="8:16" hidden="1" x14ac:dyDescent="0.25">
      <c r="H3915" s="12"/>
      <c r="I3915" s="12"/>
      <c r="J3915" s="12"/>
      <c r="K3915" s="12"/>
      <c r="L3915" s="12"/>
      <c r="M3915" s="11"/>
      <c r="N3915" s="11"/>
      <c r="O3915" s="11"/>
      <c r="P3915" s="11"/>
    </row>
    <row r="3916" spans="8:16" hidden="1" x14ac:dyDescent="0.25">
      <c r="H3916" s="12"/>
      <c r="I3916" s="12"/>
      <c r="J3916" s="12"/>
      <c r="K3916" s="12"/>
      <c r="L3916" s="12"/>
      <c r="M3916" s="11"/>
      <c r="N3916" s="11"/>
      <c r="O3916" s="11"/>
      <c r="P3916" s="11"/>
    </row>
    <row r="3917" spans="8:16" hidden="1" x14ac:dyDescent="0.25">
      <c r="H3917" s="12"/>
      <c r="I3917" s="12"/>
      <c r="J3917" s="12"/>
      <c r="K3917" s="12"/>
      <c r="L3917" s="12"/>
      <c r="M3917" s="11"/>
      <c r="N3917" s="11"/>
      <c r="O3917" s="11"/>
      <c r="P3917" s="11"/>
    </row>
    <row r="3918" spans="8:16" hidden="1" x14ac:dyDescent="0.25">
      <c r="H3918" s="12"/>
      <c r="I3918" s="12"/>
      <c r="J3918" s="12"/>
      <c r="K3918" s="12"/>
      <c r="L3918" s="12"/>
      <c r="M3918" s="11"/>
      <c r="N3918" s="11"/>
      <c r="O3918" s="11"/>
      <c r="P3918" s="11"/>
    </row>
    <row r="3919" spans="8:16" hidden="1" x14ac:dyDescent="0.25">
      <c r="H3919" s="12"/>
      <c r="I3919" s="12"/>
      <c r="J3919" s="12"/>
      <c r="K3919" s="12"/>
      <c r="L3919" s="12"/>
      <c r="M3919" s="11"/>
      <c r="N3919" s="11"/>
      <c r="O3919" s="11"/>
      <c r="P3919" s="11"/>
    </row>
    <row r="3920" spans="8:16" hidden="1" x14ac:dyDescent="0.25">
      <c r="H3920" s="12"/>
      <c r="I3920" s="12"/>
      <c r="J3920" s="12"/>
      <c r="K3920" s="12"/>
      <c r="L3920" s="12"/>
      <c r="M3920" s="11"/>
      <c r="N3920" s="11"/>
      <c r="O3920" s="11"/>
      <c r="P3920" s="11"/>
    </row>
    <row r="3921" spans="8:16" hidden="1" x14ac:dyDescent="0.25">
      <c r="H3921" s="12"/>
      <c r="I3921" s="12"/>
      <c r="J3921" s="12"/>
      <c r="K3921" s="12"/>
      <c r="L3921" s="12"/>
      <c r="M3921" s="11"/>
      <c r="N3921" s="11"/>
      <c r="O3921" s="11"/>
      <c r="P3921" s="11"/>
    </row>
    <row r="3922" spans="8:16" hidden="1" x14ac:dyDescent="0.25">
      <c r="H3922" s="12"/>
      <c r="I3922" s="12"/>
      <c r="J3922" s="12"/>
      <c r="K3922" s="12"/>
      <c r="L3922" s="12"/>
      <c r="M3922" s="11"/>
      <c r="N3922" s="11"/>
      <c r="O3922" s="11"/>
      <c r="P3922" s="11"/>
    </row>
    <row r="3923" spans="8:16" hidden="1" x14ac:dyDescent="0.25">
      <c r="H3923" s="12"/>
      <c r="I3923" s="12"/>
      <c r="J3923" s="12"/>
      <c r="K3923" s="12"/>
      <c r="L3923" s="12"/>
      <c r="M3923" s="11"/>
      <c r="N3923" s="11"/>
      <c r="O3923" s="11"/>
      <c r="P3923" s="11"/>
    </row>
    <row r="3924" spans="8:16" hidden="1" x14ac:dyDescent="0.25">
      <c r="H3924" s="12"/>
      <c r="I3924" s="12"/>
      <c r="J3924" s="12"/>
      <c r="K3924" s="12"/>
      <c r="L3924" s="12"/>
      <c r="M3924" s="11"/>
      <c r="N3924" s="11"/>
      <c r="O3924" s="11"/>
      <c r="P3924" s="11"/>
    </row>
    <row r="3925" spans="8:16" hidden="1" x14ac:dyDescent="0.25">
      <c r="H3925" s="12"/>
      <c r="I3925" s="12"/>
      <c r="J3925" s="12"/>
      <c r="K3925" s="12"/>
      <c r="L3925" s="12"/>
      <c r="M3925" s="11"/>
      <c r="N3925" s="11"/>
      <c r="O3925" s="11"/>
      <c r="P3925" s="11"/>
    </row>
    <row r="3926" spans="8:16" hidden="1" x14ac:dyDescent="0.25">
      <c r="H3926" s="12"/>
      <c r="I3926" s="12"/>
      <c r="J3926" s="12"/>
      <c r="K3926" s="12"/>
      <c r="L3926" s="12"/>
      <c r="M3926" s="11"/>
      <c r="N3926" s="11"/>
      <c r="O3926" s="11"/>
      <c r="P3926" s="11"/>
    </row>
    <row r="3927" spans="8:16" hidden="1" x14ac:dyDescent="0.25">
      <c r="H3927" s="12"/>
      <c r="I3927" s="12"/>
      <c r="J3927" s="12"/>
      <c r="K3927" s="12"/>
      <c r="L3927" s="12"/>
      <c r="M3927" s="11"/>
      <c r="N3927" s="11"/>
      <c r="O3927" s="11"/>
      <c r="P3927" s="11"/>
    </row>
    <row r="3928" spans="8:16" hidden="1" x14ac:dyDescent="0.25">
      <c r="H3928" s="12"/>
      <c r="I3928" s="12"/>
      <c r="J3928" s="12"/>
      <c r="K3928" s="12"/>
      <c r="L3928" s="12"/>
      <c r="M3928" s="11"/>
      <c r="N3928" s="11"/>
      <c r="O3928" s="11"/>
      <c r="P3928" s="11"/>
    </row>
    <row r="3929" spans="8:16" hidden="1" x14ac:dyDescent="0.25">
      <c r="H3929" s="12"/>
      <c r="I3929" s="12"/>
      <c r="J3929" s="12"/>
      <c r="K3929" s="12"/>
      <c r="L3929" s="12"/>
      <c r="M3929" s="11"/>
      <c r="N3929" s="11"/>
      <c r="O3929" s="11"/>
      <c r="P3929" s="11"/>
    </row>
    <row r="3930" spans="8:16" hidden="1" x14ac:dyDescent="0.25">
      <c r="H3930" s="12"/>
      <c r="I3930" s="12"/>
      <c r="J3930" s="12"/>
      <c r="K3930" s="12"/>
      <c r="L3930" s="12"/>
      <c r="M3930" s="11"/>
      <c r="N3930" s="11"/>
      <c r="O3930" s="11"/>
      <c r="P3930" s="11"/>
    </row>
    <row r="3931" spans="8:16" hidden="1" x14ac:dyDescent="0.25">
      <c r="H3931" s="12"/>
      <c r="I3931" s="12"/>
      <c r="J3931" s="12"/>
      <c r="K3931" s="12"/>
      <c r="L3931" s="12"/>
      <c r="M3931" s="11"/>
      <c r="N3931" s="11"/>
      <c r="O3931" s="11"/>
      <c r="P3931" s="11"/>
    </row>
    <row r="3932" spans="8:16" hidden="1" x14ac:dyDescent="0.25">
      <c r="H3932" s="12"/>
      <c r="I3932" s="12"/>
      <c r="J3932" s="12"/>
      <c r="K3932" s="12"/>
      <c r="L3932" s="12"/>
      <c r="M3932" s="11"/>
      <c r="N3932" s="11"/>
      <c r="O3932" s="11"/>
      <c r="P3932" s="11"/>
    </row>
    <row r="3933" spans="8:16" hidden="1" x14ac:dyDescent="0.25">
      <c r="H3933" s="12"/>
      <c r="I3933" s="12"/>
      <c r="J3933" s="12"/>
      <c r="K3933" s="12"/>
      <c r="L3933" s="12"/>
      <c r="M3933" s="11"/>
      <c r="N3933" s="11"/>
      <c r="O3933" s="11"/>
      <c r="P3933" s="11"/>
    </row>
    <row r="3934" spans="8:16" hidden="1" x14ac:dyDescent="0.25">
      <c r="H3934" s="12"/>
      <c r="I3934" s="12"/>
      <c r="J3934" s="12"/>
      <c r="K3934" s="12"/>
      <c r="L3934" s="12"/>
      <c r="M3934" s="11"/>
      <c r="N3934" s="11"/>
      <c r="O3934" s="11"/>
      <c r="P3934" s="11"/>
    </row>
    <row r="3935" spans="8:16" hidden="1" x14ac:dyDescent="0.25">
      <c r="H3935" s="12"/>
      <c r="I3935" s="12"/>
      <c r="J3935" s="12"/>
      <c r="K3935" s="12"/>
      <c r="L3935" s="12"/>
      <c r="M3935" s="11"/>
      <c r="N3935" s="11"/>
      <c r="O3935" s="11"/>
      <c r="P3935" s="11"/>
    </row>
    <row r="3936" spans="8:16" hidden="1" x14ac:dyDescent="0.25">
      <c r="H3936" s="12"/>
      <c r="I3936" s="12"/>
      <c r="J3936" s="12"/>
      <c r="K3936" s="12"/>
      <c r="L3936" s="12"/>
      <c r="M3936" s="11"/>
      <c r="N3936" s="11"/>
      <c r="O3936" s="11"/>
      <c r="P3936" s="11"/>
    </row>
    <row r="3937" spans="8:16" hidden="1" x14ac:dyDescent="0.25">
      <c r="H3937" s="12"/>
      <c r="I3937" s="12"/>
      <c r="J3937" s="12"/>
      <c r="K3937" s="12"/>
      <c r="L3937" s="12"/>
      <c r="M3937" s="11"/>
      <c r="N3937" s="11"/>
      <c r="O3937" s="11"/>
      <c r="P3937" s="11"/>
    </row>
    <row r="3938" spans="8:16" hidden="1" x14ac:dyDescent="0.25">
      <c r="H3938" s="12"/>
      <c r="I3938" s="12"/>
      <c r="J3938" s="12"/>
      <c r="K3938" s="12"/>
      <c r="L3938" s="12"/>
      <c r="M3938" s="11"/>
      <c r="N3938" s="11"/>
      <c r="O3938" s="11"/>
      <c r="P3938" s="11"/>
    </row>
    <row r="3939" spans="8:16" hidden="1" x14ac:dyDescent="0.25">
      <c r="H3939" s="12"/>
      <c r="I3939" s="12"/>
      <c r="J3939" s="12"/>
      <c r="K3939" s="12"/>
      <c r="L3939" s="12"/>
      <c r="M3939" s="11"/>
      <c r="N3939" s="11"/>
      <c r="O3939" s="11"/>
      <c r="P3939" s="11"/>
    </row>
    <row r="3940" spans="8:16" hidden="1" x14ac:dyDescent="0.25">
      <c r="H3940" s="12"/>
      <c r="I3940" s="12"/>
      <c r="J3940" s="12"/>
      <c r="K3940" s="12"/>
      <c r="L3940" s="12"/>
      <c r="M3940" s="11"/>
      <c r="N3940" s="11"/>
      <c r="O3940" s="11"/>
      <c r="P3940" s="11"/>
    </row>
    <row r="3941" spans="8:16" hidden="1" x14ac:dyDescent="0.25">
      <c r="H3941" s="12"/>
      <c r="I3941" s="12"/>
      <c r="J3941" s="12"/>
      <c r="K3941" s="12"/>
      <c r="L3941" s="12"/>
      <c r="M3941" s="11"/>
      <c r="N3941" s="11"/>
      <c r="O3941" s="11"/>
      <c r="P3941" s="11"/>
    </row>
    <row r="3942" spans="8:16" hidden="1" x14ac:dyDescent="0.25">
      <c r="H3942" s="12"/>
      <c r="I3942" s="12"/>
      <c r="J3942" s="12"/>
      <c r="K3942" s="12"/>
      <c r="L3942" s="12"/>
      <c r="M3942" s="11"/>
      <c r="N3942" s="11"/>
      <c r="O3942" s="11"/>
      <c r="P3942" s="11"/>
    </row>
    <row r="3943" spans="8:16" hidden="1" x14ac:dyDescent="0.25">
      <c r="H3943" s="12"/>
      <c r="I3943" s="12"/>
      <c r="J3943" s="12"/>
      <c r="K3943" s="12"/>
      <c r="L3943" s="12"/>
      <c r="M3943" s="11"/>
      <c r="N3943" s="11"/>
      <c r="O3943" s="11"/>
      <c r="P3943" s="11"/>
    </row>
    <row r="3944" spans="8:16" hidden="1" x14ac:dyDescent="0.25">
      <c r="H3944" s="12"/>
      <c r="I3944" s="12"/>
      <c r="J3944" s="12"/>
      <c r="K3944" s="12"/>
      <c r="L3944" s="12"/>
      <c r="M3944" s="11"/>
      <c r="N3944" s="11"/>
      <c r="O3944" s="11"/>
      <c r="P3944" s="11"/>
    </row>
    <row r="3945" spans="8:16" hidden="1" x14ac:dyDescent="0.25">
      <c r="H3945" s="12"/>
      <c r="I3945" s="12"/>
      <c r="J3945" s="12"/>
      <c r="K3945" s="12"/>
      <c r="L3945" s="12"/>
      <c r="M3945" s="11"/>
      <c r="N3945" s="11"/>
      <c r="O3945" s="11"/>
      <c r="P3945" s="11"/>
    </row>
    <row r="3946" spans="8:16" hidden="1" x14ac:dyDescent="0.25">
      <c r="H3946" s="12"/>
      <c r="I3946" s="12"/>
      <c r="J3946" s="12"/>
      <c r="K3946" s="12"/>
      <c r="L3946" s="12"/>
      <c r="M3946" s="11"/>
      <c r="N3946" s="11"/>
      <c r="O3946" s="11"/>
      <c r="P3946" s="11"/>
    </row>
    <row r="3947" spans="8:16" hidden="1" x14ac:dyDescent="0.25">
      <c r="H3947" s="12"/>
      <c r="I3947" s="12"/>
      <c r="J3947" s="12"/>
      <c r="K3947" s="12"/>
      <c r="L3947" s="12"/>
      <c r="M3947" s="11"/>
      <c r="N3947" s="11"/>
      <c r="O3947" s="11"/>
      <c r="P3947" s="11"/>
    </row>
    <row r="3948" spans="8:16" hidden="1" x14ac:dyDescent="0.25">
      <c r="H3948" s="12"/>
      <c r="I3948" s="12"/>
      <c r="J3948" s="12"/>
      <c r="K3948" s="12"/>
      <c r="L3948" s="12"/>
      <c r="M3948" s="11"/>
      <c r="N3948" s="11"/>
      <c r="O3948" s="11"/>
      <c r="P3948" s="11"/>
    </row>
    <row r="3949" spans="8:16" hidden="1" x14ac:dyDescent="0.25">
      <c r="H3949" s="12"/>
      <c r="I3949" s="12"/>
      <c r="J3949" s="12"/>
      <c r="K3949" s="12"/>
      <c r="L3949" s="12"/>
      <c r="M3949" s="11"/>
      <c r="N3949" s="11"/>
      <c r="O3949" s="11"/>
      <c r="P3949" s="11"/>
    </row>
    <row r="3950" spans="8:16" hidden="1" x14ac:dyDescent="0.25">
      <c r="H3950" s="12"/>
      <c r="I3950" s="12"/>
      <c r="J3950" s="12"/>
      <c r="K3950" s="12"/>
      <c r="L3950" s="12"/>
      <c r="M3950" s="11"/>
      <c r="N3950" s="11"/>
      <c r="O3950" s="11"/>
      <c r="P3950" s="11"/>
    </row>
    <row r="3951" spans="8:16" hidden="1" x14ac:dyDescent="0.25">
      <c r="H3951" s="12"/>
      <c r="I3951" s="12"/>
      <c r="J3951" s="12"/>
      <c r="K3951" s="12"/>
      <c r="L3951" s="12"/>
      <c r="M3951" s="11"/>
      <c r="N3951" s="11"/>
      <c r="O3951" s="11"/>
      <c r="P3951" s="11"/>
    </row>
    <row r="3952" spans="8:16" hidden="1" x14ac:dyDescent="0.25">
      <c r="H3952" s="12"/>
      <c r="I3952" s="12"/>
      <c r="J3952" s="12"/>
      <c r="K3952" s="12"/>
      <c r="L3952" s="12"/>
      <c r="M3952" s="11"/>
      <c r="N3952" s="11"/>
      <c r="O3952" s="11"/>
      <c r="P3952" s="11"/>
    </row>
    <row r="3953" spans="8:16" hidden="1" x14ac:dyDescent="0.25">
      <c r="H3953" s="12"/>
      <c r="I3953" s="12"/>
      <c r="J3953" s="12"/>
      <c r="K3953" s="12"/>
      <c r="L3953" s="12"/>
      <c r="M3953" s="11"/>
      <c r="N3953" s="11"/>
      <c r="O3953" s="11"/>
      <c r="P3953" s="11"/>
    </row>
    <row r="3954" spans="8:16" hidden="1" x14ac:dyDescent="0.25">
      <c r="H3954" s="12"/>
      <c r="I3954" s="12"/>
      <c r="J3954" s="12"/>
      <c r="K3954" s="12"/>
      <c r="L3954" s="12"/>
      <c r="M3954" s="11"/>
      <c r="N3954" s="11"/>
      <c r="O3954" s="11"/>
      <c r="P3954" s="11"/>
    </row>
    <row r="3955" spans="8:16" hidden="1" x14ac:dyDescent="0.25">
      <c r="H3955" s="12"/>
      <c r="I3955" s="12"/>
      <c r="J3955" s="12"/>
      <c r="K3955" s="12"/>
      <c r="L3955" s="12"/>
      <c r="M3955" s="11"/>
      <c r="N3955" s="11"/>
      <c r="O3955" s="11"/>
      <c r="P3955" s="11"/>
    </row>
    <row r="3956" spans="8:16" hidden="1" x14ac:dyDescent="0.25">
      <c r="H3956" s="12"/>
      <c r="I3956" s="12"/>
      <c r="J3956" s="12"/>
      <c r="K3956" s="12"/>
      <c r="L3956" s="12"/>
      <c r="M3956" s="11"/>
      <c r="N3956" s="11"/>
      <c r="O3956" s="11"/>
      <c r="P3956" s="11"/>
    </row>
    <row r="3957" spans="8:16" hidden="1" x14ac:dyDescent="0.25">
      <c r="H3957" s="12"/>
      <c r="I3957" s="12"/>
      <c r="J3957" s="12"/>
      <c r="K3957" s="12"/>
      <c r="L3957" s="12"/>
      <c r="M3957" s="11"/>
      <c r="N3957" s="11"/>
      <c r="O3957" s="11"/>
      <c r="P3957" s="11"/>
    </row>
    <row r="3958" spans="8:16" hidden="1" x14ac:dyDescent="0.25">
      <c r="H3958" s="12"/>
      <c r="I3958" s="12"/>
      <c r="J3958" s="12"/>
      <c r="K3958" s="12"/>
      <c r="L3958" s="12"/>
      <c r="M3958" s="11"/>
      <c r="N3958" s="11"/>
      <c r="O3958" s="11"/>
      <c r="P3958" s="11"/>
    </row>
    <row r="3959" spans="8:16" hidden="1" x14ac:dyDescent="0.25">
      <c r="H3959" s="12"/>
      <c r="I3959" s="12"/>
      <c r="J3959" s="12"/>
      <c r="K3959" s="12"/>
      <c r="L3959" s="12"/>
      <c r="M3959" s="11"/>
      <c r="N3959" s="11"/>
      <c r="O3959" s="11"/>
      <c r="P3959" s="11"/>
    </row>
    <row r="3960" spans="8:16" hidden="1" x14ac:dyDescent="0.25">
      <c r="H3960" s="12"/>
      <c r="I3960" s="12"/>
      <c r="J3960" s="12"/>
      <c r="K3960" s="12"/>
      <c r="L3960" s="12"/>
      <c r="M3960" s="11"/>
      <c r="N3960" s="11"/>
      <c r="O3960" s="11"/>
      <c r="P3960" s="11"/>
    </row>
    <row r="3961" spans="8:16" hidden="1" x14ac:dyDescent="0.25">
      <c r="H3961" s="12"/>
      <c r="I3961" s="12"/>
      <c r="J3961" s="12"/>
      <c r="K3961" s="12"/>
      <c r="L3961" s="12"/>
      <c r="M3961" s="11"/>
      <c r="N3961" s="11"/>
      <c r="O3961" s="11"/>
      <c r="P3961" s="11"/>
    </row>
    <row r="3962" spans="8:16" hidden="1" x14ac:dyDescent="0.25">
      <c r="H3962" s="12"/>
      <c r="I3962" s="12"/>
      <c r="J3962" s="12"/>
      <c r="K3962" s="12"/>
      <c r="L3962" s="12"/>
      <c r="M3962" s="11"/>
      <c r="N3962" s="11"/>
      <c r="O3962" s="11"/>
      <c r="P3962" s="11"/>
    </row>
    <row r="3963" spans="8:16" hidden="1" x14ac:dyDescent="0.25">
      <c r="H3963" s="12"/>
      <c r="I3963" s="12"/>
      <c r="J3963" s="12"/>
      <c r="K3963" s="12"/>
      <c r="L3963" s="12"/>
      <c r="M3963" s="11"/>
      <c r="N3963" s="11"/>
      <c r="O3963" s="11"/>
      <c r="P3963" s="11"/>
    </row>
    <row r="3964" spans="8:16" hidden="1" x14ac:dyDescent="0.25">
      <c r="H3964" s="12"/>
      <c r="I3964" s="12"/>
      <c r="J3964" s="12"/>
      <c r="K3964" s="12"/>
      <c r="L3964" s="12"/>
      <c r="M3964" s="11"/>
      <c r="N3964" s="11"/>
      <c r="O3964" s="11"/>
      <c r="P3964" s="11"/>
    </row>
    <row r="3965" spans="8:16" hidden="1" x14ac:dyDescent="0.25">
      <c r="H3965" s="12"/>
      <c r="I3965" s="12"/>
      <c r="J3965" s="12"/>
      <c r="K3965" s="12"/>
      <c r="L3965" s="12"/>
      <c r="M3965" s="11"/>
      <c r="N3965" s="11"/>
      <c r="O3965" s="11"/>
      <c r="P3965" s="11"/>
    </row>
    <row r="3966" spans="8:16" hidden="1" x14ac:dyDescent="0.25">
      <c r="H3966" s="12"/>
      <c r="I3966" s="12"/>
      <c r="J3966" s="12"/>
      <c r="K3966" s="12"/>
      <c r="L3966" s="12"/>
      <c r="M3966" s="11"/>
      <c r="N3966" s="11"/>
      <c r="O3966" s="11"/>
      <c r="P3966" s="11"/>
    </row>
    <row r="3967" spans="8:16" hidden="1" x14ac:dyDescent="0.25">
      <c r="H3967" s="12"/>
      <c r="I3967" s="12"/>
      <c r="J3967" s="12"/>
      <c r="K3967" s="12"/>
      <c r="L3967" s="12"/>
      <c r="M3967" s="11"/>
      <c r="N3967" s="11"/>
      <c r="O3967" s="11"/>
      <c r="P3967" s="11"/>
    </row>
    <row r="3968" spans="8:16" hidden="1" x14ac:dyDescent="0.25">
      <c r="H3968" s="12"/>
      <c r="I3968" s="12"/>
      <c r="J3968" s="12"/>
      <c r="K3968" s="12"/>
      <c r="L3968" s="12"/>
      <c r="M3968" s="11"/>
      <c r="N3968" s="11"/>
      <c r="O3968" s="11"/>
      <c r="P3968" s="11"/>
    </row>
    <row r="3969" spans="8:16" hidden="1" x14ac:dyDescent="0.25">
      <c r="H3969" s="12"/>
      <c r="I3969" s="12"/>
      <c r="J3969" s="12"/>
      <c r="K3969" s="12"/>
      <c r="L3969" s="12"/>
      <c r="M3969" s="11"/>
      <c r="N3969" s="11"/>
      <c r="O3969" s="11"/>
      <c r="P3969" s="11"/>
    </row>
    <row r="3970" spans="8:16" hidden="1" x14ac:dyDescent="0.25">
      <c r="H3970" s="12"/>
      <c r="I3970" s="12"/>
      <c r="J3970" s="12"/>
      <c r="K3970" s="12"/>
      <c r="L3970" s="12"/>
      <c r="M3970" s="11"/>
      <c r="N3970" s="11"/>
      <c r="O3970" s="11"/>
      <c r="P3970" s="11"/>
    </row>
    <row r="3971" spans="8:16" hidden="1" x14ac:dyDescent="0.25">
      <c r="H3971" s="12"/>
      <c r="I3971" s="12"/>
      <c r="J3971" s="12"/>
      <c r="K3971" s="12"/>
      <c r="L3971" s="12"/>
      <c r="M3971" s="11"/>
      <c r="N3971" s="11"/>
      <c r="O3971" s="11"/>
      <c r="P3971" s="11"/>
    </row>
    <row r="3972" spans="8:16" hidden="1" x14ac:dyDescent="0.25">
      <c r="H3972" s="12"/>
      <c r="I3972" s="12"/>
      <c r="J3972" s="12"/>
      <c r="K3972" s="12"/>
      <c r="L3972" s="12"/>
      <c r="M3972" s="11"/>
      <c r="N3972" s="11"/>
      <c r="O3972" s="11"/>
      <c r="P3972" s="11"/>
    </row>
    <row r="3973" spans="8:16" hidden="1" x14ac:dyDescent="0.25">
      <c r="H3973" s="12"/>
      <c r="I3973" s="12"/>
      <c r="J3973" s="12"/>
      <c r="K3973" s="12"/>
      <c r="L3973" s="12"/>
      <c r="M3973" s="11"/>
      <c r="N3973" s="11"/>
      <c r="O3973" s="11"/>
      <c r="P3973" s="11"/>
    </row>
    <row r="3974" spans="8:16" hidden="1" x14ac:dyDescent="0.25">
      <c r="H3974" s="12"/>
      <c r="I3974" s="12"/>
      <c r="J3974" s="12"/>
      <c r="K3974" s="12"/>
      <c r="L3974" s="12"/>
      <c r="M3974" s="11"/>
      <c r="N3974" s="11"/>
      <c r="O3974" s="11"/>
      <c r="P3974" s="11"/>
    </row>
    <row r="3975" spans="8:16" hidden="1" x14ac:dyDescent="0.25">
      <c r="H3975" s="12"/>
      <c r="I3975" s="12"/>
      <c r="J3975" s="12"/>
      <c r="K3975" s="12"/>
      <c r="L3975" s="12"/>
      <c r="M3975" s="11"/>
      <c r="N3975" s="11"/>
      <c r="O3975" s="11"/>
      <c r="P3975" s="11"/>
    </row>
    <row r="3976" spans="8:16" hidden="1" x14ac:dyDescent="0.25">
      <c r="H3976" s="12"/>
      <c r="I3976" s="12"/>
      <c r="J3976" s="12"/>
      <c r="K3976" s="12"/>
      <c r="L3976" s="12"/>
      <c r="M3976" s="11"/>
      <c r="N3976" s="11"/>
      <c r="O3976" s="11"/>
      <c r="P3976" s="11"/>
    </row>
    <row r="3977" spans="8:16" hidden="1" x14ac:dyDescent="0.25">
      <c r="H3977" s="12"/>
      <c r="I3977" s="12"/>
      <c r="J3977" s="12"/>
      <c r="K3977" s="12"/>
      <c r="L3977" s="12"/>
      <c r="M3977" s="11"/>
      <c r="N3977" s="11"/>
      <c r="O3977" s="11"/>
      <c r="P3977" s="11"/>
    </row>
    <row r="3978" spans="8:16" hidden="1" x14ac:dyDescent="0.25">
      <c r="H3978" s="12"/>
      <c r="I3978" s="12"/>
      <c r="J3978" s="12"/>
      <c r="K3978" s="12"/>
      <c r="L3978" s="12"/>
      <c r="M3978" s="11"/>
      <c r="N3978" s="11"/>
      <c r="O3978" s="11"/>
      <c r="P3978" s="11"/>
    </row>
    <row r="3979" spans="8:16" hidden="1" x14ac:dyDescent="0.25">
      <c r="H3979" s="12"/>
      <c r="I3979" s="12"/>
      <c r="J3979" s="12"/>
      <c r="K3979" s="12"/>
      <c r="L3979" s="12"/>
      <c r="M3979" s="11"/>
      <c r="N3979" s="11"/>
      <c r="O3979" s="11"/>
      <c r="P3979" s="11"/>
    </row>
    <row r="3980" spans="8:16" hidden="1" x14ac:dyDescent="0.25">
      <c r="H3980" s="12"/>
      <c r="I3980" s="12"/>
      <c r="J3980" s="12"/>
      <c r="K3980" s="12"/>
      <c r="L3980" s="12"/>
      <c r="M3980" s="11"/>
      <c r="N3980" s="11"/>
      <c r="O3980" s="11"/>
      <c r="P3980" s="11"/>
    </row>
    <row r="3981" spans="8:16" hidden="1" x14ac:dyDescent="0.25">
      <c r="H3981" s="12"/>
      <c r="I3981" s="12"/>
      <c r="J3981" s="12"/>
      <c r="K3981" s="12"/>
      <c r="L3981" s="12"/>
      <c r="M3981" s="11"/>
      <c r="N3981" s="11"/>
      <c r="O3981" s="11"/>
      <c r="P3981" s="11"/>
    </row>
    <row r="3982" spans="8:16" hidden="1" x14ac:dyDescent="0.25">
      <c r="H3982" s="12"/>
      <c r="I3982" s="12"/>
      <c r="J3982" s="12"/>
      <c r="K3982" s="12"/>
      <c r="L3982" s="12"/>
      <c r="M3982" s="11"/>
      <c r="N3982" s="11"/>
      <c r="O3982" s="11"/>
      <c r="P3982" s="11"/>
    </row>
    <row r="3983" spans="8:16" hidden="1" x14ac:dyDescent="0.25">
      <c r="H3983" s="12"/>
      <c r="I3983" s="12"/>
      <c r="J3983" s="12"/>
      <c r="K3983" s="12"/>
      <c r="L3983" s="12"/>
      <c r="M3983" s="11"/>
      <c r="N3983" s="11"/>
      <c r="O3983" s="11"/>
      <c r="P3983" s="11"/>
    </row>
    <row r="3984" spans="8:16" hidden="1" x14ac:dyDescent="0.25">
      <c r="H3984" s="12"/>
      <c r="I3984" s="12"/>
      <c r="J3984" s="12"/>
      <c r="K3984" s="12"/>
      <c r="L3984" s="12"/>
      <c r="M3984" s="11"/>
      <c r="N3984" s="11"/>
      <c r="O3984" s="11"/>
      <c r="P3984" s="11"/>
    </row>
    <row r="3985" spans="8:16" hidden="1" x14ac:dyDescent="0.25">
      <c r="H3985" s="12"/>
      <c r="I3985" s="12"/>
      <c r="J3985" s="12"/>
      <c r="K3985" s="12"/>
      <c r="L3985" s="12"/>
      <c r="M3985" s="11"/>
      <c r="N3985" s="11"/>
      <c r="O3985" s="11"/>
      <c r="P3985" s="11"/>
    </row>
    <row r="3986" spans="8:16" hidden="1" x14ac:dyDescent="0.25">
      <c r="H3986" s="12"/>
      <c r="I3986" s="12"/>
      <c r="J3986" s="12"/>
      <c r="K3986" s="12"/>
      <c r="L3986" s="12"/>
      <c r="M3986" s="11"/>
      <c r="N3986" s="11"/>
      <c r="O3986" s="11"/>
      <c r="P3986" s="11"/>
    </row>
    <row r="3987" spans="8:16" hidden="1" x14ac:dyDescent="0.25">
      <c r="H3987" s="12"/>
      <c r="I3987" s="12"/>
      <c r="J3987" s="12"/>
      <c r="K3987" s="12"/>
      <c r="L3987" s="12"/>
      <c r="M3987" s="11"/>
      <c r="N3987" s="11"/>
      <c r="O3987" s="11"/>
      <c r="P3987" s="11"/>
    </row>
    <row r="3988" spans="8:16" hidden="1" x14ac:dyDescent="0.25">
      <c r="H3988" s="12"/>
      <c r="I3988" s="12"/>
      <c r="J3988" s="12"/>
      <c r="K3988" s="12"/>
      <c r="L3988" s="12"/>
      <c r="M3988" s="11"/>
      <c r="N3988" s="11"/>
      <c r="O3988" s="11"/>
      <c r="P3988" s="11"/>
    </row>
    <row r="3989" spans="8:16" hidden="1" x14ac:dyDescent="0.25">
      <c r="H3989" s="12"/>
      <c r="I3989" s="12"/>
      <c r="J3989" s="12"/>
      <c r="K3989" s="12"/>
      <c r="L3989" s="12"/>
      <c r="M3989" s="11"/>
      <c r="N3989" s="11"/>
      <c r="O3989" s="11"/>
      <c r="P3989" s="11"/>
    </row>
    <row r="3990" spans="8:16" hidden="1" x14ac:dyDescent="0.25">
      <c r="H3990" s="12"/>
      <c r="I3990" s="12"/>
      <c r="J3990" s="12"/>
      <c r="K3990" s="12"/>
      <c r="L3990" s="12"/>
      <c r="M3990" s="11"/>
      <c r="N3990" s="11"/>
      <c r="O3990" s="11"/>
      <c r="P3990" s="11"/>
    </row>
    <row r="3991" spans="8:16" hidden="1" x14ac:dyDescent="0.25">
      <c r="H3991" s="12"/>
      <c r="I3991" s="12"/>
      <c r="J3991" s="12"/>
      <c r="K3991" s="12"/>
      <c r="L3991" s="12"/>
      <c r="M3991" s="11"/>
      <c r="N3991" s="11"/>
      <c r="O3991" s="11"/>
      <c r="P3991" s="11"/>
    </row>
    <row r="3992" spans="8:16" hidden="1" x14ac:dyDescent="0.25">
      <c r="H3992" s="12"/>
      <c r="I3992" s="12"/>
      <c r="J3992" s="12"/>
      <c r="K3992" s="12"/>
      <c r="L3992" s="12"/>
      <c r="M3992" s="11"/>
      <c r="N3992" s="11"/>
      <c r="O3992" s="11"/>
      <c r="P3992" s="11"/>
    </row>
    <row r="3993" spans="8:16" hidden="1" x14ac:dyDescent="0.25">
      <c r="H3993" s="12"/>
      <c r="I3993" s="12"/>
      <c r="J3993" s="12"/>
      <c r="K3993" s="12"/>
      <c r="L3993" s="12"/>
      <c r="M3993" s="11"/>
      <c r="N3993" s="11"/>
      <c r="O3993" s="11"/>
      <c r="P3993" s="11"/>
    </row>
    <row r="3994" spans="8:16" hidden="1" x14ac:dyDescent="0.25">
      <c r="H3994" s="12"/>
      <c r="I3994" s="12"/>
      <c r="J3994" s="12"/>
      <c r="K3994" s="12"/>
      <c r="L3994" s="12"/>
      <c r="M3994" s="11"/>
      <c r="N3994" s="11"/>
      <c r="O3994" s="11"/>
      <c r="P3994" s="11"/>
    </row>
    <row r="3995" spans="8:16" hidden="1" x14ac:dyDescent="0.25">
      <c r="H3995" s="12"/>
      <c r="I3995" s="12"/>
      <c r="J3995" s="12"/>
      <c r="K3995" s="12"/>
      <c r="L3995" s="12"/>
      <c r="M3995" s="11"/>
      <c r="N3995" s="11"/>
      <c r="O3995" s="11"/>
      <c r="P3995" s="11"/>
    </row>
    <row r="3996" spans="8:16" hidden="1" x14ac:dyDescent="0.25">
      <c r="H3996" s="12"/>
      <c r="I3996" s="12"/>
      <c r="J3996" s="12"/>
      <c r="K3996" s="12"/>
      <c r="L3996" s="12"/>
      <c r="M3996" s="11"/>
      <c r="N3996" s="11"/>
      <c r="O3996" s="11"/>
      <c r="P3996" s="11"/>
    </row>
    <row r="3997" spans="8:16" hidden="1" x14ac:dyDescent="0.25">
      <c r="H3997" s="12"/>
      <c r="I3997" s="12"/>
      <c r="J3997" s="12"/>
      <c r="K3997" s="12"/>
      <c r="L3997" s="12"/>
      <c r="M3997" s="11"/>
      <c r="N3997" s="11"/>
      <c r="O3997" s="11"/>
      <c r="P3997" s="11"/>
    </row>
    <row r="3998" spans="8:16" hidden="1" x14ac:dyDescent="0.25">
      <c r="H3998" s="12"/>
      <c r="I3998" s="12"/>
      <c r="J3998" s="12"/>
      <c r="K3998" s="12"/>
      <c r="L3998" s="12"/>
      <c r="M3998" s="11"/>
      <c r="N3998" s="11"/>
      <c r="O3998" s="11"/>
      <c r="P3998" s="11"/>
    </row>
    <row r="3999" spans="8:16" hidden="1" x14ac:dyDescent="0.25">
      <c r="H3999" s="12"/>
      <c r="I3999" s="12"/>
      <c r="J3999" s="12"/>
      <c r="K3999" s="12"/>
      <c r="L3999" s="12"/>
      <c r="M3999" s="11"/>
      <c r="N3999" s="11"/>
      <c r="O3999" s="11"/>
      <c r="P3999" s="11"/>
    </row>
    <row r="4000" spans="8:16" hidden="1" x14ac:dyDescent="0.25">
      <c r="H4000" s="12"/>
      <c r="I4000" s="12"/>
      <c r="J4000" s="12"/>
      <c r="K4000" s="12"/>
      <c r="L4000" s="12"/>
      <c r="M4000" s="11"/>
      <c r="N4000" s="11"/>
      <c r="O4000" s="11"/>
      <c r="P4000" s="11"/>
    </row>
    <row r="4001" spans="8:16" hidden="1" x14ac:dyDescent="0.25">
      <c r="H4001" s="12"/>
      <c r="I4001" s="12"/>
      <c r="J4001" s="12"/>
      <c r="K4001" s="12"/>
      <c r="L4001" s="12"/>
      <c r="M4001" s="11"/>
      <c r="N4001" s="11"/>
      <c r="O4001" s="11"/>
      <c r="P4001" s="11"/>
    </row>
    <row r="4002" spans="8:16" hidden="1" x14ac:dyDescent="0.25">
      <c r="H4002" s="12"/>
      <c r="I4002" s="12"/>
      <c r="J4002" s="12"/>
      <c r="K4002" s="12"/>
      <c r="L4002" s="12"/>
      <c r="M4002" s="11"/>
      <c r="N4002" s="11"/>
      <c r="O4002" s="11"/>
      <c r="P4002" s="11"/>
    </row>
    <row r="4003" spans="8:16" hidden="1" x14ac:dyDescent="0.25">
      <c r="H4003" s="12"/>
      <c r="I4003" s="12"/>
      <c r="J4003" s="12"/>
      <c r="K4003" s="12"/>
      <c r="L4003" s="12"/>
      <c r="M4003" s="11"/>
      <c r="N4003" s="11"/>
      <c r="O4003" s="11"/>
      <c r="P4003" s="11"/>
    </row>
    <row r="4004" spans="8:16" hidden="1" x14ac:dyDescent="0.25">
      <c r="H4004" s="12"/>
      <c r="I4004" s="12"/>
      <c r="J4004" s="12"/>
      <c r="K4004" s="12"/>
      <c r="L4004" s="12"/>
      <c r="M4004" s="11"/>
      <c r="N4004" s="11"/>
      <c r="O4004" s="11"/>
      <c r="P4004" s="11"/>
    </row>
    <row r="4005" spans="8:16" hidden="1" x14ac:dyDescent="0.25">
      <c r="H4005" s="12"/>
      <c r="I4005" s="12"/>
      <c r="J4005" s="12"/>
      <c r="K4005" s="12"/>
      <c r="L4005" s="12"/>
      <c r="M4005" s="11"/>
      <c r="N4005" s="11"/>
      <c r="O4005" s="11"/>
      <c r="P4005" s="11"/>
    </row>
    <row r="4006" spans="8:16" hidden="1" x14ac:dyDescent="0.25">
      <c r="H4006" s="12"/>
      <c r="I4006" s="12"/>
      <c r="J4006" s="12"/>
      <c r="K4006" s="12"/>
      <c r="L4006" s="12"/>
      <c r="M4006" s="11"/>
      <c r="N4006" s="11"/>
      <c r="O4006" s="11"/>
      <c r="P4006" s="11"/>
    </row>
    <row r="4007" spans="8:16" hidden="1" x14ac:dyDescent="0.25">
      <c r="H4007" s="12"/>
      <c r="I4007" s="12"/>
      <c r="J4007" s="12"/>
      <c r="K4007" s="12"/>
      <c r="L4007" s="12"/>
      <c r="M4007" s="11"/>
      <c r="N4007" s="11"/>
      <c r="O4007" s="11"/>
      <c r="P4007" s="11"/>
    </row>
    <row r="4008" spans="8:16" hidden="1" x14ac:dyDescent="0.25">
      <c r="H4008" s="12"/>
      <c r="I4008" s="12"/>
      <c r="J4008" s="12"/>
      <c r="K4008" s="12"/>
      <c r="L4008" s="12"/>
      <c r="M4008" s="11"/>
      <c r="N4008" s="11"/>
      <c r="O4008" s="11"/>
      <c r="P4008" s="11"/>
    </row>
    <row r="4009" spans="8:16" hidden="1" x14ac:dyDescent="0.25">
      <c r="H4009" s="12"/>
      <c r="I4009" s="12"/>
      <c r="J4009" s="12"/>
      <c r="K4009" s="12"/>
      <c r="L4009" s="12"/>
      <c r="M4009" s="11"/>
      <c r="N4009" s="11"/>
      <c r="O4009" s="11"/>
      <c r="P4009" s="11"/>
    </row>
    <row r="4010" spans="8:16" hidden="1" x14ac:dyDescent="0.25">
      <c r="H4010" s="12"/>
      <c r="I4010" s="12"/>
      <c r="J4010" s="12"/>
      <c r="K4010" s="12"/>
      <c r="L4010" s="12"/>
      <c r="M4010" s="11"/>
      <c r="N4010" s="11"/>
      <c r="O4010" s="11"/>
      <c r="P4010" s="11"/>
    </row>
    <row r="4011" spans="8:16" hidden="1" x14ac:dyDescent="0.25">
      <c r="H4011" s="12"/>
      <c r="I4011" s="12"/>
      <c r="J4011" s="12"/>
      <c r="K4011" s="12"/>
      <c r="L4011" s="12"/>
      <c r="M4011" s="11"/>
      <c r="N4011" s="11"/>
      <c r="O4011" s="11"/>
      <c r="P4011" s="11"/>
    </row>
    <row r="4012" spans="8:16" hidden="1" x14ac:dyDescent="0.25">
      <c r="H4012" s="12"/>
      <c r="I4012" s="12"/>
      <c r="J4012" s="12"/>
      <c r="K4012" s="12"/>
      <c r="L4012" s="12"/>
      <c r="M4012" s="11"/>
      <c r="N4012" s="11"/>
      <c r="O4012" s="11"/>
      <c r="P4012" s="11"/>
    </row>
    <row r="4013" spans="8:16" hidden="1" x14ac:dyDescent="0.25">
      <c r="H4013" s="12"/>
      <c r="I4013" s="12"/>
      <c r="J4013" s="12"/>
      <c r="K4013" s="12"/>
      <c r="L4013" s="12"/>
      <c r="M4013" s="11"/>
      <c r="N4013" s="11"/>
      <c r="O4013" s="11"/>
      <c r="P4013" s="11"/>
    </row>
    <row r="4014" spans="8:16" hidden="1" x14ac:dyDescent="0.25">
      <c r="H4014" s="12"/>
      <c r="I4014" s="12"/>
      <c r="J4014" s="12"/>
      <c r="K4014" s="12"/>
      <c r="L4014" s="12"/>
      <c r="M4014" s="11"/>
      <c r="N4014" s="11"/>
      <c r="O4014" s="11"/>
      <c r="P4014" s="11"/>
    </row>
    <row r="4015" spans="8:16" hidden="1" x14ac:dyDescent="0.25">
      <c r="H4015" s="12"/>
      <c r="I4015" s="12"/>
      <c r="J4015" s="12"/>
      <c r="K4015" s="12"/>
      <c r="L4015" s="12"/>
      <c r="M4015" s="11"/>
      <c r="N4015" s="11"/>
      <c r="O4015" s="11"/>
      <c r="P4015" s="11"/>
    </row>
    <row r="4016" spans="8:16" hidden="1" x14ac:dyDescent="0.25">
      <c r="H4016" s="12"/>
      <c r="I4016" s="12"/>
      <c r="J4016" s="12"/>
      <c r="K4016" s="12"/>
      <c r="L4016" s="12"/>
      <c r="M4016" s="11"/>
      <c r="N4016" s="11"/>
      <c r="O4016" s="11"/>
      <c r="P4016" s="11"/>
    </row>
    <row r="4017" spans="8:16" hidden="1" x14ac:dyDescent="0.25">
      <c r="H4017" s="12"/>
      <c r="I4017" s="12"/>
      <c r="J4017" s="12"/>
      <c r="K4017" s="12"/>
      <c r="L4017" s="12"/>
      <c r="M4017" s="11"/>
      <c r="N4017" s="11"/>
      <c r="O4017" s="11"/>
      <c r="P4017" s="11"/>
    </row>
    <row r="4018" spans="8:16" hidden="1" x14ac:dyDescent="0.25">
      <c r="H4018" s="12"/>
      <c r="I4018" s="12"/>
      <c r="J4018" s="12"/>
      <c r="K4018" s="12"/>
      <c r="L4018" s="12"/>
      <c r="M4018" s="11"/>
      <c r="N4018" s="11"/>
      <c r="O4018" s="11"/>
      <c r="P4018" s="11"/>
    </row>
    <row r="4019" spans="8:16" hidden="1" x14ac:dyDescent="0.25">
      <c r="H4019" s="12"/>
      <c r="I4019" s="12"/>
      <c r="J4019" s="12"/>
      <c r="K4019" s="12"/>
      <c r="L4019" s="12"/>
      <c r="M4019" s="11"/>
      <c r="N4019" s="11"/>
      <c r="O4019" s="11"/>
      <c r="P4019" s="11"/>
    </row>
    <row r="4020" spans="8:16" hidden="1" x14ac:dyDescent="0.25">
      <c r="H4020" s="12"/>
      <c r="I4020" s="12"/>
      <c r="J4020" s="12"/>
      <c r="K4020" s="12"/>
      <c r="L4020" s="12"/>
      <c r="M4020" s="11"/>
      <c r="N4020" s="11"/>
      <c r="O4020" s="11"/>
      <c r="P4020" s="11"/>
    </row>
    <row r="4021" spans="8:16" hidden="1" x14ac:dyDescent="0.25">
      <c r="H4021" s="12"/>
      <c r="I4021" s="12"/>
      <c r="J4021" s="12"/>
      <c r="K4021" s="12"/>
      <c r="L4021" s="12"/>
      <c r="M4021" s="11"/>
      <c r="N4021" s="11"/>
      <c r="O4021" s="11"/>
      <c r="P4021" s="11"/>
    </row>
    <row r="4022" spans="8:16" hidden="1" x14ac:dyDescent="0.25">
      <c r="H4022" s="12"/>
      <c r="I4022" s="12"/>
      <c r="J4022" s="12"/>
      <c r="K4022" s="12"/>
      <c r="L4022" s="12"/>
      <c r="M4022" s="11"/>
      <c r="N4022" s="11"/>
      <c r="O4022" s="11"/>
      <c r="P4022" s="11"/>
    </row>
    <row r="4023" spans="8:16" hidden="1" x14ac:dyDescent="0.25">
      <c r="H4023" s="12"/>
      <c r="I4023" s="12"/>
      <c r="J4023" s="12"/>
      <c r="K4023" s="12"/>
      <c r="L4023" s="12"/>
      <c r="M4023" s="11"/>
      <c r="N4023" s="11"/>
      <c r="O4023" s="11"/>
      <c r="P4023" s="11"/>
    </row>
    <row r="4024" spans="8:16" hidden="1" x14ac:dyDescent="0.25">
      <c r="H4024" s="12"/>
      <c r="I4024" s="12"/>
      <c r="J4024" s="12"/>
      <c r="K4024" s="12"/>
      <c r="L4024" s="12"/>
      <c r="M4024" s="11"/>
      <c r="N4024" s="11"/>
      <c r="O4024" s="11"/>
      <c r="P4024" s="11"/>
    </row>
    <row r="4025" spans="8:16" hidden="1" x14ac:dyDescent="0.25">
      <c r="H4025" s="12"/>
      <c r="I4025" s="12"/>
      <c r="J4025" s="12"/>
      <c r="K4025" s="12"/>
      <c r="L4025" s="12"/>
      <c r="M4025" s="11"/>
      <c r="N4025" s="11"/>
      <c r="O4025" s="11"/>
      <c r="P4025" s="11"/>
    </row>
    <row r="4026" spans="8:16" hidden="1" x14ac:dyDescent="0.25">
      <c r="H4026" s="12"/>
      <c r="I4026" s="12"/>
      <c r="J4026" s="12"/>
      <c r="K4026" s="12"/>
      <c r="L4026" s="12"/>
      <c r="M4026" s="11"/>
      <c r="N4026" s="11"/>
      <c r="O4026" s="11"/>
      <c r="P4026" s="11"/>
    </row>
    <row r="4027" spans="8:16" hidden="1" x14ac:dyDescent="0.25">
      <c r="H4027" s="12"/>
      <c r="I4027" s="12"/>
      <c r="J4027" s="12"/>
      <c r="K4027" s="12"/>
      <c r="L4027" s="12"/>
      <c r="M4027" s="11"/>
      <c r="N4027" s="11"/>
      <c r="O4027" s="11"/>
      <c r="P4027" s="11"/>
    </row>
    <row r="4028" spans="8:16" hidden="1" x14ac:dyDescent="0.25">
      <c r="H4028" s="12"/>
      <c r="I4028" s="12"/>
      <c r="J4028" s="12"/>
      <c r="K4028" s="12"/>
      <c r="L4028" s="12"/>
      <c r="M4028" s="11"/>
      <c r="N4028" s="11"/>
      <c r="O4028" s="11"/>
      <c r="P4028" s="11"/>
    </row>
    <row r="4029" spans="8:16" hidden="1" x14ac:dyDescent="0.25">
      <c r="H4029" s="12"/>
      <c r="I4029" s="12"/>
      <c r="J4029" s="12"/>
      <c r="K4029" s="12"/>
      <c r="L4029" s="12"/>
      <c r="M4029" s="11"/>
      <c r="N4029" s="11"/>
      <c r="O4029" s="11"/>
      <c r="P4029" s="11"/>
    </row>
    <row r="4030" spans="8:16" hidden="1" x14ac:dyDescent="0.25">
      <c r="H4030" s="12"/>
      <c r="I4030" s="12"/>
      <c r="J4030" s="12"/>
      <c r="K4030" s="12"/>
      <c r="L4030" s="12"/>
      <c r="M4030" s="11"/>
      <c r="N4030" s="11"/>
      <c r="O4030" s="11"/>
      <c r="P4030" s="11"/>
    </row>
    <row r="4031" spans="8:16" hidden="1" x14ac:dyDescent="0.25">
      <c r="H4031" s="12"/>
      <c r="I4031" s="12"/>
      <c r="J4031" s="12"/>
      <c r="K4031" s="12"/>
      <c r="L4031" s="12"/>
      <c r="M4031" s="11"/>
      <c r="N4031" s="11"/>
      <c r="O4031" s="11"/>
      <c r="P4031" s="11"/>
    </row>
    <row r="4032" spans="8:16" hidden="1" x14ac:dyDescent="0.25">
      <c r="H4032" s="12"/>
      <c r="I4032" s="12"/>
      <c r="J4032" s="12"/>
      <c r="K4032" s="12"/>
      <c r="L4032" s="12"/>
      <c r="M4032" s="11"/>
      <c r="N4032" s="11"/>
      <c r="O4032" s="11"/>
      <c r="P4032" s="11"/>
    </row>
    <row r="4033" spans="8:16" hidden="1" x14ac:dyDescent="0.25">
      <c r="H4033" s="12"/>
      <c r="I4033" s="12"/>
      <c r="J4033" s="12"/>
      <c r="K4033" s="12"/>
      <c r="L4033" s="12"/>
      <c r="M4033" s="11"/>
      <c r="N4033" s="11"/>
      <c r="O4033" s="11"/>
      <c r="P4033" s="11"/>
    </row>
    <row r="4034" spans="8:16" hidden="1" x14ac:dyDescent="0.25">
      <c r="H4034" s="12"/>
      <c r="I4034" s="12"/>
      <c r="J4034" s="12"/>
      <c r="K4034" s="12"/>
      <c r="L4034" s="12"/>
      <c r="M4034" s="11"/>
      <c r="N4034" s="11"/>
      <c r="O4034" s="11"/>
      <c r="P4034" s="11"/>
    </row>
    <row r="4035" spans="8:16" hidden="1" x14ac:dyDescent="0.25">
      <c r="H4035" s="12"/>
      <c r="I4035" s="12"/>
      <c r="J4035" s="12"/>
      <c r="K4035" s="12"/>
      <c r="L4035" s="12"/>
      <c r="M4035" s="11"/>
      <c r="N4035" s="11"/>
      <c r="O4035" s="11"/>
      <c r="P4035" s="11"/>
    </row>
    <row r="4036" spans="8:16" hidden="1" x14ac:dyDescent="0.25">
      <c r="H4036" s="12"/>
      <c r="I4036" s="12"/>
      <c r="J4036" s="12"/>
      <c r="K4036" s="12"/>
      <c r="L4036" s="12"/>
      <c r="M4036" s="11"/>
      <c r="N4036" s="11"/>
      <c r="O4036" s="11"/>
      <c r="P4036" s="11"/>
    </row>
    <row r="4037" spans="8:16" hidden="1" x14ac:dyDescent="0.25">
      <c r="H4037" s="12"/>
      <c r="I4037" s="12"/>
      <c r="J4037" s="12"/>
      <c r="K4037" s="12"/>
      <c r="L4037" s="12"/>
      <c r="M4037" s="11"/>
      <c r="N4037" s="11"/>
      <c r="O4037" s="11"/>
      <c r="P4037" s="11"/>
    </row>
    <row r="4038" spans="8:16" hidden="1" x14ac:dyDescent="0.25">
      <c r="H4038" s="12"/>
      <c r="I4038" s="12"/>
      <c r="J4038" s="12"/>
      <c r="K4038" s="12"/>
      <c r="L4038" s="12"/>
      <c r="M4038" s="11"/>
      <c r="N4038" s="11"/>
      <c r="O4038" s="11"/>
      <c r="P4038" s="11"/>
    </row>
    <row r="4039" spans="8:16" hidden="1" x14ac:dyDescent="0.25">
      <c r="H4039" s="12"/>
      <c r="I4039" s="12"/>
      <c r="J4039" s="12"/>
      <c r="K4039" s="12"/>
      <c r="L4039" s="12"/>
      <c r="M4039" s="11"/>
      <c r="N4039" s="11"/>
      <c r="O4039" s="11"/>
      <c r="P4039" s="11"/>
    </row>
    <row r="4040" spans="8:16" hidden="1" x14ac:dyDescent="0.25">
      <c r="H4040" s="12"/>
      <c r="I4040" s="12"/>
      <c r="J4040" s="12"/>
      <c r="K4040" s="12"/>
      <c r="L4040" s="12"/>
      <c r="M4040" s="11"/>
      <c r="N4040" s="11"/>
      <c r="O4040" s="11"/>
      <c r="P4040" s="11"/>
    </row>
    <row r="4041" spans="8:16" hidden="1" x14ac:dyDescent="0.25">
      <c r="H4041" s="12"/>
      <c r="I4041" s="12"/>
      <c r="J4041" s="12"/>
      <c r="K4041" s="12"/>
      <c r="L4041" s="12"/>
      <c r="M4041" s="11"/>
      <c r="N4041" s="11"/>
      <c r="O4041" s="11"/>
      <c r="P4041" s="11"/>
    </row>
    <row r="4042" spans="8:16" hidden="1" x14ac:dyDescent="0.25">
      <c r="H4042" s="12"/>
      <c r="I4042" s="12"/>
      <c r="J4042" s="12"/>
      <c r="K4042" s="12"/>
      <c r="L4042" s="12"/>
      <c r="M4042" s="11"/>
      <c r="N4042" s="11"/>
      <c r="O4042" s="11"/>
      <c r="P4042" s="11"/>
    </row>
    <row r="4043" spans="8:16" hidden="1" x14ac:dyDescent="0.25">
      <c r="H4043" s="12"/>
      <c r="I4043" s="12"/>
      <c r="J4043" s="12"/>
      <c r="K4043" s="12"/>
      <c r="L4043" s="12"/>
      <c r="M4043" s="11"/>
      <c r="N4043" s="11"/>
      <c r="O4043" s="11"/>
      <c r="P4043" s="11"/>
    </row>
    <row r="4044" spans="8:16" hidden="1" x14ac:dyDescent="0.25">
      <c r="H4044" s="12"/>
      <c r="I4044" s="12"/>
      <c r="J4044" s="12"/>
      <c r="K4044" s="12"/>
      <c r="L4044" s="12"/>
      <c r="M4044" s="11"/>
      <c r="N4044" s="11"/>
      <c r="O4044" s="11"/>
      <c r="P4044" s="11"/>
    </row>
    <row r="4045" spans="8:16" hidden="1" x14ac:dyDescent="0.25">
      <c r="H4045" s="12"/>
      <c r="I4045" s="12"/>
      <c r="J4045" s="12"/>
      <c r="K4045" s="12"/>
      <c r="L4045" s="12"/>
      <c r="M4045" s="11"/>
      <c r="N4045" s="11"/>
      <c r="O4045" s="11"/>
      <c r="P4045" s="11"/>
    </row>
    <row r="4046" spans="8:16" hidden="1" x14ac:dyDescent="0.25">
      <c r="H4046" s="12"/>
      <c r="I4046" s="12"/>
      <c r="J4046" s="12"/>
      <c r="K4046" s="12"/>
      <c r="L4046" s="12"/>
      <c r="M4046" s="11"/>
      <c r="N4046" s="11"/>
      <c r="O4046" s="11"/>
      <c r="P4046" s="11"/>
    </row>
    <row r="4047" spans="8:16" hidden="1" x14ac:dyDescent="0.25">
      <c r="H4047" s="12"/>
      <c r="I4047" s="12"/>
      <c r="J4047" s="12"/>
      <c r="K4047" s="12"/>
      <c r="L4047" s="12"/>
      <c r="M4047" s="11"/>
      <c r="N4047" s="11"/>
      <c r="O4047" s="11"/>
      <c r="P4047" s="11"/>
    </row>
    <row r="4048" spans="8:16" hidden="1" x14ac:dyDescent="0.25">
      <c r="H4048" s="12"/>
      <c r="I4048" s="12"/>
      <c r="J4048" s="12"/>
      <c r="K4048" s="12"/>
      <c r="L4048" s="12"/>
      <c r="M4048" s="11"/>
      <c r="N4048" s="11"/>
      <c r="O4048" s="11"/>
      <c r="P4048" s="11"/>
    </row>
    <row r="4049" spans="8:16" hidden="1" x14ac:dyDescent="0.25">
      <c r="H4049" s="12"/>
      <c r="I4049" s="12"/>
      <c r="J4049" s="12"/>
      <c r="K4049" s="12"/>
      <c r="L4049" s="12"/>
      <c r="M4049" s="11"/>
      <c r="N4049" s="11"/>
      <c r="O4049" s="11"/>
      <c r="P4049" s="11"/>
    </row>
    <row r="4050" spans="8:16" hidden="1" x14ac:dyDescent="0.25">
      <c r="H4050" s="12"/>
      <c r="I4050" s="12"/>
      <c r="J4050" s="12"/>
      <c r="K4050" s="12"/>
      <c r="L4050" s="12"/>
      <c r="M4050" s="11"/>
      <c r="N4050" s="11"/>
      <c r="O4050" s="11"/>
      <c r="P4050" s="11"/>
    </row>
    <row r="4051" spans="8:16" hidden="1" x14ac:dyDescent="0.25">
      <c r="H4051" s="12"/>
      <c r="I4051" s="12"/>
      <c r="J4051" s="12"/>
      <c r="K4051" s="12"/>
      <c r="L4051" s="12"/>
      <c r="M4051" s="11"/>
      <c r="N4051" s="11"/>
      <c r="O4051" s="11"/>
      <c r="P4051" s="11"/>
    </row>
    <row r="4052" spans="8:16" hidden="1" x14ac:dyDescent="0.25">
      <c r="H4052" s="12"/>
      <c r="I4052" s="12"/>
      <c r="J4052" s="12"/>
      <c r="K4052" s="12"/>
      <c r="L4052" s="12"/>
      <c r="M4052" s="11"/>
      <c r="N4052" s="11"/>
      <c r="O4052" s="11"/>
      <c r="P4052" s="11"/>
    </row>
    <row r="4053" spans="8:16" hidden="1" x14ac:dyDescent="0.25">
      <c r="H4053" s="12"/>
      <c r="I4053" s="12"/>
      <c r="J4053" s="12"/>
      <c r="K4053" s="12"/>
      <c r="L4053" s="12"/>
      <c r="M4053" s="11"/>
      <c r="N4053" s="11"/>
      <c r="O4053" s="11"/>
      <c r="P4053" s="11"/>
    </row>
    <row r="4054" spans="8:16" hidden="1" x14ac:dyDescent="0.25">
      <c r="H4054" s="12"/>
      <c r="I4054" s="12"/>
      <c r="J4054" s="12"/>
      <c r="K4054" s="12"/>
      <c r="L4054" s="12"/>
      <c r="M4054" s="11"/>
      <c r="N4054" s="11"/>
      <c r="O4054" s="11"/>
      <c r="P4054" s="11"/>
    </row>
    <row r="4055" spans="8:16" hidden="1" x14ac:dyDescent="0.25">
      <c r="H4055" s="12"/>
      <c r="I4055" s="12"/>
      <c r="J4055" s="12"/>
      <c r="K4055" s="12"/>
      <c r="L4055" s="12"/>
      <c r="M4055" s="11"/>
      <c r="N4055" s="11"/>
      <c r="O4055" s="11"/>
      <c r="P4055" s="11"/>
    </row>
    <row r="4056" spans="8:16" hidden="1" x14ac:dyDescent="0.25">
      <c r="H4056" s="12"/>
      <c r="I4056" s="12"/>
      <c r="J4056" s="12"/>
      <c r="K4056" s="12"/>
      <c r="L4056" s="12"/>
      <c r="M4056" s="11"/>
      <c r="N4056" s="11"/>
      <c r="O4056" s="11"/>
      <c r="P4056" s="11"/>
    </row>
    <row r="4057" spans="8:16" hidden="1" x14ac:dyDescent="0.25">
      <c r="H4057" s="12"/>
      <c r="I4057" s="12"/>
      <c r="J4057" s="12"/>
      <c r="K4057" s="12"/>
      <c r="L4057" s="12"/>
      <c r="M4057" s="11"/>
      <c r="N4057" s="11"/>
      <c r="O4057" s="11"/>
      <c r="P4057" s="11"/>
    </row>
    <row r="4058" spans="8:16" hidden="1" x14ac:dyDescent="0.25">
      <c r="H4058" s="12"/>
      <c r="I4058" s="12"/>
      <c r="J4058" s="12"/>
      <c r="K4058" s="12"/>
      <c r="L4058" s="12"/>
      <c r="M4058" s="11"/>
      <c r="N4058" s="11"/>
      <c r="O4058" s="11"/>
      <c r="P4058" s="11"/>
    </row>
    <row r="4059" spans="8:16" hidden="1" x14ac:dyDescent="0.25">
      <c r="H4059" s="12"/>
      <c r="I4059" s="12"/>
      <c r="J4059" s="12"/>
      <c r="K4059" s="12"/>
      <c r="L4059" s="12"/>
      <c r="M4059" s="11"/>
      <c r="N4059" s="11"/>
      <c r="O4059" s="11"/>
      <c r="P4059" s="11"/>
    </row>
    <row r="4060" spans="8:16" hidden="1" x14ac:dyDescent="0.25">
      <c r="H4060" s="12"/>
      <c r="I4060" s="12"/>
      <c r="J4060" s="12"/>
      <c r="K4060" s="12"/>
      <c r="L4060" s="12"/>
      <c r="M4060" s="11"/>
      <c r="N4060" s="11"/>
      <c r="O4060" s="11"/>
      <c r="P4060" s="11"/>
    </row>
    <row r="4061" spans="8:16" hidden="1" x14ac:dyDescent="0.25">
      <c r="H4061" s="12"/>
      <c r="I4061" s="12"/>
      <c r="J4061" s="12"/>
      <c r="K4061" s="12"/>
      <c r="L4061" s="12"/>
      <c r="M4061" s="11"/>
      <c r="N4061" s="11"/>
      <c r="O4061" s="11"/>
      <c r="P4061" s="11"/>
    </row>
    <row r="4062" spans="8:16" hidden="1" x14ac:dyDescent="0.25">
      <c r="H4062" s="12"/>
      <c r="I4062" s="12"/>
      <c r="J4062" s="12"/>
      <c r="K4062" s="12"/>
      <c r="L4062" s="12"/>
      <c r="M4062" s="11"/>
      <c r="N4062" s="11"/>
      <c r="O4062" s="11"/>
      <c r="P4062" s="11"/>
    </row>
    <row r="4063" spans="8:16" hidden="1" x14ac:dyDescent="0.25">
      <c r="H4063" s="12"/>
      <c r="I4063" s="12"/>
      <c r="J4063" s="12"/>
      <c r="K4063" s="12"/>
      <c r="L4063" s="12"/>
      <c r="M4063" s="11"/>
      <c r="N4063" s="11"/>
      <c r="O4063" s="11"/>
      <c r="P4063" s="11"/>
    </row>
    <row r="4064" spans="8:16" hidden="1" x14ac:dyDescent="0.25">
      <c r="H4064" s="12"/>
      <c r="I4064" s="12"/>
      <c r="J4064" s="12"/>
      <c r="K4064" s="12"/>
      <c r="L4064" s="12"/>
      <c r="M4064" s="11"/>
      <c r="N4064" s="11"/>
      <c r="O4064" s="11"/>
      <c r="P4064" s="11"/>
    </row>
    <row r="4065" spans="8:16" hidden="1" x14ac:dyDescent="0.25">
      <c r="H4065" s="12"/>
      <c r="I4065" s="12"/>
      <c r="J4065" s="12"/>
      <c r="K4065" s="12"/>
      <c r="L4065" s="12"/>
      <c r="M4065" s="11"/>
      <c r="N4065" s="11"/>
      <c r="O4065" s="11"/>
      <c r="P4065" s="11"/>
    </row>
    <row r="4066" spans="8:16" hidden="1" x14ac:dyDescent="0.25">
      <c r="H4066" s="12"/>
      <c r="I4066" s="12"/>
      <c r="J4066" s="12"/>
      <c r="K4066" s="12"/>
      <c r="L4066" s="12"/>
      <c r="M4066" s="11"/>
      <c r="N4066" s="11"/>
      <c r="O4066" s="11"/>
      <c r="P4066" s="11"/>
    </row>
    <row r="4067" spans="8:16" hidden="1" x14ac:dyDescent="0.25">
      <c r="H4067" s="12"/>
      <c r="I4067" s="12"/>
      <c r="J4067" s="12"/>
      <c r="K4067" s="12"/>
      <c r="L4067" s="12"/>
      <c r="M4067" s="11"/>
      <c r="N4067" s="11"/>
      <c r="O4067" s="11"/>
      <c r="P4067" s="11"/>
    </row>
    <row r="4068" spans="8:16" hidden="1" x14ac:dyDescent="0.25">
      <c r="H4068" s="12"/>
      <c r="I4068" s="12"/>
      <c r="J4068" s="12"/>
      <c r="K4068" s="12"/>
      <c r="L4068" s="12"/>
      <c r="M4068" s="11"/>
      <c r="N4068" s="11"/>
      <c r="O4068" s="11"/>
      <c r="P4068" s="11"/>
    </row>
    <row r="4069" spans="8:16" hidden="1" x14ac:dyDescent="0.25">
      <c r="H4069" s="12"/>
      <c r="I4069" s="12"/>
      <c r="J4069" s="12"/>
      <c r="K4069" s="12"/>
      <c r="L4069" s="12"/>
      <c r="M4069" s="11"/>
      <c r="N4069" s="11"/>
      <c r="O4069" s="11"/>
      <c r="P4069" s="11"/>
    </row>
    <row r="4070" spans="8:16" hidden="1" x14ac:dyDescent="0.25">
      <c r="H4070" s="12"/>
      <c r="I4070" s="12"/>
      <c r="J4070" s="12"/>
      <c r="K4070" s="12"/>
      <c r="L4070" s="12"/>
      <c r="M4070" s="11"/>
      <c r="N4070" s="11"/>
      <c r="O4070" s="11"/>
      <c r="P4070" s="11"/>
    </row>
    <row r="4071" spans="8:16" hidden="1" x14ac:dyDescent="0.25">
      <c r="H4071" s="12"/>
      <c r="I4071" s="12"/>
      <c r="J4071" s="12"/>
      <c r="K4071" s="12"/>
      <c r="L4071" s="12"/>
      <c r="M4071" s="11"/>
      <c r="N4071" s="11"/>
      <c r="O4071" s="11"/>
      <c r="P4071" s="11"/>
    </row>
    <row r="4072" spans="8:16" hidden="1" x14ac:dyDescent="0.25">
      <c r="H4072" s="12"/>
      <c r="I4072" s="12"/>
      <c r="J4072" s="12"/>
      <c r="K4072" s="12"/>
      <c r="L4072" s="12"/>
      <c r="M4072" s="11"/>
      <c r="N4072" s="11"/>
      <c r="O4072" s="11"/>
      <c r="P4072" s="11"/>
    </row>
    <row r="4073" spans="8:16" hidden="1" x14ac:dyDescent="0.25">
      <c r="H4073" s="12"/>
      <c r="I4073" s="12"/>
      <c r="J4073" s="12"/>
      <c r="K4073" s="12"/>
      <c r="L4073" s="12"/>
      <c r="M4073" s="11"/>
      <c r="N4073" s="11"/>
      <c r="O4073" s="11"/>
      <c r="P4073" s="11"/>
    </row>
    <row r="4074" spans="8:16" hidden="1" x14ac:dyDescent="0.25">
      <c r="H4074" s="12"/>
      <c r="I4074" s="12"/>
      <c r="J4074" s="12"/>
      <c r="K4074" s="12"/>
      <c r="L4074" s="12"/>
      <c r="M4074" s="11"/>
      <c r="N4074" s="11"/>
      <c r="O4074" s="11"/>
      <c r="P4074" s="11"/>
    </row>
    <row r="4075" spans="8:16" hidden="1" x14ac:dyDescent="0.25">
      <c r="H4075" s="12"/>
      <c r="I4075" s="12"/>
      <c r="J4075" s="12"/>
      <c r="K4075" s="12"/>
      <c r="L4075" s="12"/>
      <c r="M4075" s="11"/>
      <c r="N4075" s="11"/>
      <c r="O4075" s="11"/>
      <c r="P4075" s="11"/>
    </row>
    <row r="4076" spans="8:16" hidden="1" x14ac:dyDescent="0.25">
      <c r="H4076" s="12"/>
      <c r="I4076" s="12"/>
      <c r="J4076" s="12"/>
      <c r="K4076" s="12"/>
      <c r="L4076" s="12"/>
      <c r="M4076" s="11"/>
      <c r="N4076" s="11"/>
      <c r="O4076" s="11"/>
      <c r="P4076" s="11"/>
    </row>
    <row r="4077" spans="8:16" hidden="1" x14ac:dyDescent="0.25">
      <c r="H4077" s="12"/>
      <c r="I4077" s="12"/>
      <c r="J4077" s="12"/>
      <c r="K4077" s="12"/>
      <c r="L4077" s="12"/>
      <c r="M4077" s="11"/>
      <c r="N4077" s="11"/>
      <c r="O4077" s="11"/>
      <c r="P4077" s="11"/>
    </row>
    <row r="4078" spans="8:16" hidden="1" x14ac:dyDescent="0.25">
      <c r="H4078" s="12"/>
      <c r="I4078" s="12"/>
      <c r="J4078" s="12"/>
      <c r="K4078" s="12"/>
      <c r="L4078" s="12"/>
      <c r="M4078" s="11"/>
      <c r="N4078" s="11"/>
      <c r="O4078" s="11"/>
      <c r="P4078" s="11"/>
    </row>
    <row r="4079" spans="8:16" hidden="1" x14ac:dyDescent="0.25">
      <c r="H4079" s="12"/>
      <c r="I4079" s="12"/>
      <c r="J4079" s="12"/>
      <c r="K4079" s="12"/>
      <c r="L4079" s="12"/>
      <c r="M4079" s="11"/>
      <c r="N4079" s="11"/>
      <c r="O4079" s="11"/>
      <c r="P4079" s="11"/>
    </row>
    <row r="4080" spans="8:16" hidden="1" x14ac:dyDescent="0.25">
      <c r="H4080" s="12"/>
      <c r="I4080" s="12"/>
      <c r="J4080" s="12"/>
      <c r="K4080" s="12"/>
      <c r="L4080" s="12"/>
      <c r="M4080" s="11"/>
      <c r="N4080" s="11"/>
      <c r="O4080" s="11"/>
      <c r="P4080" s="11"/>
    </row>
    <row r="4081" spans="8:16" hidden="1" x14ac:dyDescent="0.25">
      <c r="H4081" s="12"/>
      <c r="I4081" s="12"/>
      <c r="J4081" s="12"/>
      <c r="K4081" s="12"/>
      <c r="L4081" s="12"/>
      <c r="M4081" s="11"/>
      <c r="N4081" s="11"/>
      <c r="O4081" s="11"/>
      <c r="P4081" s="11"/>
    </row>
    <row r="4082" spans="8:16" hidden="1" x14ac:dyDescent="0.25">
      <c r="H4082" s="12"/>
      <c r="I4082" s="12"/>
      <c r="J4082" s="12"/>
      <c r="K4082" s="12"/>
      <c r="L4082" s="12"/>
      <c r="M4082" s="11"/>
      <c r="N4082" s="11"/>
      <c r="O4082" s="11"/>
      <c r="P4082" s="11"/>
    </row>
    <row r="4083" spans="8:16" hidden="1" x14ac:dyDescent="0.25">
      <c r="H4083" s="12"/>
      <c r="I4083" s="12"/>
      <c r="J4083" s="12"/>
      <c r="K4083" s="12"/>
      <c r="L4083" s="12"/>
      <c r="M4083" s="11"/>
      <c r="N4083" s="11"/>
      <c r="O4083" s="11"/>
      <c r="P4083" s="11"/>
    </row>
    <row r="4084" spans="8:16" hidden="1" x14ac:dyDescent="0.25">
      <c r="H4084" s="12"/>
      <c r="I4084" s="12"/>
      <c r="J4084" s="12"/>
      <c r="K4084" s="12"/>
      <c r="L4084" s="12"/>
      <c r="M4084" s="11"/>
      <c r="N4084" s="11"/>
      <c r="O4084" s="11"/>
      <c r="P4084" s="11"/>
    </row>
    <row r="4085" spans="8:16" hidden="1" x14ac:dyDescent="0.25">
      <c r="H4085" s="12"/>
      <c r="I4085" s="12"/>
      <c r="J4085" s="12"/>
      <c r="K4085" s="12"/>
      <c r="L4085" s="12"/>
      <c r="M4085" s="11"/>
      <c r="N4085" s="11"/>
      <c r="O4085" s="11"/>
      <c r="P4085" s="11"/>
    </row>
    <row r="4086" spans="8:16" hidden="1" x14ac:dyDescent="0.25">
      <c r="H4086" s="12"/>
      <c r="I4086" s="12"/>
      <c r="J4086" s="12"/>
      <c r="K4086" s="12"/>
      <c r="L4086" s="12"/>
      <c r="M4086" s="11"/>
      <c r="N4086" s="11"/>
      <c r="O4086" s="11"/>
      <c r="P4086" s="11"/>
    </row>
    <row r="4087" spans="8:16" hidden="1" x14ac:dyDescent="0.25">
      <c r="H4087" s="12"/>
      <c r="I4087" s="12"/>
      <c r="J4087" s="12"/>
      <c r="K4087" s="12"/>
      <c r="L4087" s="12"/>
      <c r="M4087" s="11"/>
      <c r="N4087" s="11"/>
      <c r="O4087" s="11"/>
      <c r="P4087" s="11"/>
    </row>
    <row r="4088" spans="8:16" hidden="1" x14ac:dyDescent="0.25">
      <c r="H4088" s="12"/>
      <c r="I4088" s="12"/>
      <c r="J4088" s="12"/>
      <c r="K4088" s="12"/>
      <c r="L4088" s="12"/>
      <c r="M4088" s="11"/>
      <c r="N4088" s="11"/>
      <c r="O4088" s="11"/>
      <c r="P4088" s="11"/>
    </row>
    <row r="4089" spans="8:16" hidden="1" x14ac:dyDescent="0.25">
      <c r="H4089" s="12"/>
      <c r="I4089" s="12"/>
      <c r="J4089" s="12"/>
      <c r="K4089" s="12"/>
      <c r="L4089" s="12"/>
      <c r="M4089" s="11"/>
      <c r="N4089" s="11"/>
      <c r="O4089" s="11"/>
      <c r="P4089" s="11"/>
    </row>
    <row r="4090" spans="8:16" hidden="1" x14ac:dyDescent="0.25">
      <c r="H4090" s="12"/>
      <c r="I4090" s="12"/>
      <c r="J4090" s="12"/>
      <c r="K4090" s="12"/>
      <c r="L4090" s="12"/>
      <c r="M4090" s="11"/>
      <c r="N4090" s="11"/>
      <c r="O4090" s="11"/>
      <c r="P4090" s="11"/>
    </row>
    <row r="4091" spans="8:16" hidden="1" x14ac:dyDescent="0.25">
      <c r="H4091" s="12"/>
      <c r="I4091" s="12"/>
      <c r="J4091" s="12"/>
      <c r="K4091" s="12"/>
      <c r="L4091" s="12"/>
      <c r="M4091" s="11"/>
      <c r="N4091" s="11"/>
      <c r="O4091" s="11"/>
      <c r="P4091" s="11"/>
    </row>
    <row r="4092" spans="8:16" hidden="1" x14ac:dyDescent="0.25">
      <c r="H4092" s="12"/>
      <c r="I4092" s="12"/>
      <c r="J4092" s="12"/>
      <c r="K4092" s="12"/>
      <c r="L4092" s="12"/>
      <c r="M4092" s="11"/>
      <c r="N4092" s="11"/>
      <c r="O4092" s="11"/>
      <c r="P4092" s="11"/>
    </row>
    <row r="4093" spans="8:16" hidden="1" x14ac:dyDescent="0.25">
      <c r="H4093" s="12"/>
      <c r="I4093" s="12"/>
      <c r="J4093" s="12"/>
      <c r="K4093" s="12"/>
      <c r="L4093" s="12"/>
      <c r="M4093" s="11"/>
      <c r="N4093" s="11"/>
      <c r="O4093" s="11"/>
      <c r="P4093" s="11"/>
    </row>
    <row r="4094" spans="8:16" hidden="1" x14ac:dyDescent="0.25">
      <c r="H4094" s="12"/>
      <c r="I4094" s="12"/>
      <c r="J4094" s="12"/>
      <c r="K4094" s="12"/>
      <c r="L4094" s="12"/>
      <c r="M4094" s="11"/>
      <c r="N4094" s="11"/>
      <c r="O4094" s="11"/>
      <c r="P4094" s="11"/>
    </row>
    <row r="4095" spans="8:16" hidden="1" x14ac:dyDescent="0.25">
      <c r="H4095" s="12"/>
      <c r="I4095" s="12"/>
      <c r="J4095" s="12"/>
      <c r="K4095" s="12"/>
      <c r="L4095" s="12"/>
      <c r="M4095" s="11"/>
      <c r="N4095" s="11"/>
      <c r="O4095" s="11"/>
      <c r="P4095" s="11"/>
    </row>
    <row r="4096" spans="8:16" hidden="1" x14ac:dyDescent="0.25">
      <c r="H4096" s="12"/>
      <c r="I4096" s="12"/>
      <c r="J4096" s="12"/>
      <c r="K4096" s="12"/>
      <c r="L4096" s="12"/>
      <c r="M4096" s="11"/>
      <c r="N4096" s="11"/>
      <c r="O4096" s="11"/>
      <c r="P4096" s="11"/>
    </row>
    <row r="4097" spans="8:16" hidden="1" x14ac:dyDescent="0.25">
      <c r="H4097" s="12"/>
      <c r="I4097" s="12"/>
      <c r="J4097" s="12"/>
      <c r="K4097" s="12"/>
      <c r="L4097" s="12"/>
      <c r="M4097" s="11"/>
      <c r="N4097" s="11"/>
      <c r="O4097" s="11"/>
      <c r="P4097" s="11"/>
    </row>
    <row r="4098" spans="8:16" hidden="1" x14ac:dyDescent="0.25">
      <c r="H4098" s="12"/>
      <c r="I4098" s="12"/>
      <c r="J4098" s="12"/>
      <c r="K4098" s="12"/>
      <c r="L4098" s="12"/>
      <c r="M4098" s="11"/>
      <c r="N4098" s="11"/>
      <c r="O4098" s="11"/>
      <c r="P4098" s="11"/>
    </row>
    <row r="4099" spans="8:16" hidden="1" x14ac:dyDescent="0.25">
      <c r="H4099" s="12"/>
      <c r="I4099" s="12"/>
      <c r="J4099" s="12"/>
      <c r="K4099" s="12"/>
      <c r="L4099" s="12"/>
      <c r="M4099" s="11"/>
      <c r="N4099" s="11"/>
      <c r="O4099" s="11"/>
      <c r="P4099" s="11"/>
    </row>
    <row r="4100" spans="8:16" hidden="1" x14ac:dyDescent="0.25">
      <c r="H4100" s="12"/>
      <c r="I4100" s="12"/>
      <c r="J4100" s="12"/>
      <c r="K4100" s="12"/>
      <c r="L4100" s="12"/>
      <c r="M4100" s="11"/>
      <c r="N4100" s="11"/>
      <c r="O4100" s="11"/>
      <c r="P4100" s="11"/>
    </row>
    <row r="4101" spans="8:16" hidden="1" x14ac:dyDescent="0.25">
      <c r="H4101" s="12"/>
      <c r="I4101" s="12"/>
      <c r="J4101" s="12"/>
      <c r="K4101" s="12"/>
      <c r="L4101" s="12"/>
      <c r="M4101" s="11"/>
      <c r="N4101" s="11"/>
      <c r="O4101" s="11"/>
      <c r="P4101" s="11"/>
    </row>
    <row r="4102" spans="8:16" hidden="1" x14ac:dyDescent="0.25">
      <c r="H4102" s="12"/>
      <c r="I4102" s="12"/>
      <c r="J4102" s="12"/>
      <c r="K4102" s="12"/>
      <c r="L4102" s="12"/>
      <c r="M4102" s="11"/>
      <c r="N4102" s="11"/>
      <c r="O4102" s="11"/>
      <c r="P4102" s="11"/>
    </row>
    <row r="4103" spans="8:16" hidden="1" x14ac:dyDescent="0.25">
      <c r="H4103" s="12"/>
      <c r="I4103" s="12"/>
      <c r="J4103" s="12"/>
      <c r="K4103" s="12"/>
      <c r="L4103" s="12"/>
      <c r="M4103" s="11"/>
      <c r="N4103" s="11"/>
      <c r="O4103" s="11"/>
      <c r="P4103" s="11"/>
    </row>
    <row r="4104" spans="8:16" hidden="1" x14ac:dyDescent="0.25">
      <c r="H4104" s="12"/>
      <c r="I4104" s="12"/>
      <c r="J4104" s="12"/>
      <c r="K4104" s="12"/>
      <c r="L4104" s="12"/>
      <c r="M4104" s="11"/>
      <c r="N4104" s="11"/>
      <c r="O4104" s="11"/>
      <c r="P4104" s="11"/>
    </row>
    <row r="4105" spans="8:16" hidden="1" x14ac:dyDescent="0.25">
      <c r="H4105" s="12"/>
      <c r="I4105" s="12"/>
      <c r="J4105" s="12"/>
      <c r="K4105" s="12"/>
      <c r="L4105" s="12"/>
      <c r="M4105" s="11"/>
      <c r="N4105" s="11"/>
      <c r="O4105" s="11"/>
      <c r="P4105" s="11"/>
    </row>
    <row r="4106" spans="8:16" hidden="1" x14ac:dyDescent="0.25">
      <c r="H4106" s="12"/>
      <c r="I4106" s="12"/>
      <c r="J4106" s="12"/>
      <c r="K4106" s="12"/>
      <c r="L4106" s="12"/>
      <c r="M4106" s="11"/>
      <c r="N4106" s="11"/>
      <c r="O4106" s="11"/>
      <c r="P4106" s="11"/>
    </row>
    <row r="4107" spans="8:16" hidden="1" x14ac:dyDescent="0.25">
      <c r="H4107" s="12"/>
      <c r="I4107" s="12"/>
      <c r="J4107" s="12"/>
      <c r="K4107" s="12"/>
      <c r="L4107" s="12"/>
      <c r="M4107" s="11"/>
      <c r="N4107" s="11"/>
      <c r="O4107" s="11"/>
      <c r="P4107" s="11"/>
    </row>
    <row r="4108" spans="8:16" hidden="1" x14ac:dyDescent="0.25">
      <c r="H4108" s="12"/>
      <c r="I4108" s="12"/>
      <c r="J4108" s="12"/>
      <c r="K4108" s="12"/>
      <c r="L4108" s="12"/>
      <c r="M4108" s="11"/>
      <c r="N4108" s="11"/>
      <c r="O4108" s="11"/>
      <c r="P4108" s="11"/>
    </row>
    <row r="4109" spans="8:16" hidden="1" x14ac:dyDescent="0.25">
      <c r="H4109" s="12"/>
      <c r="I4109" s="12"/>
      <c r="J4109" s="12"/>
      <c r="K4109" s="12"/>
      <c r="L4109" s="12"/>
      <c r="M4109" s="11"/>
      <c r="N4109" s="11"/>
      <c r="O4109" s="11"/>
      <c r="P4109" s="11"/>
    </row>
    <row r="4110" spans="8:16" hidden="1" x14ac:dyDescent="0.25">
      <c r="H4110" s="12"/>
      <c r="I4110" s="12"/>
      <c r="J4110" s="12"/>
      <c r="K4110" s="12"/>
      <c r="L4110" s="12"/>
      <c r="M4110" s="11"/>
      <c r="N4110" s="11"/>
      <c r="O4110" s="11"/>
      <c r="P4110" s="11"/>
    </row>
    <row r="4111" spans="8:16" hidden="1" x14ac:dyDescent="0.25">
      <c r="H4111" s="12"/>
      <c r="I4111" s="12"/>
      <c r="J4111" s="12"/>
      <c r="K4111" s="12"/>
      <c r="L4111" s="12"/>
      <c r="M4111" s="11"/>
      <c r="N4111" s="11"/>
      <c r="O4111" s="11"/>
      <c r="P4111" s="11"/>
    </row>
    <row r="4112" spans="8:16" hidden="1" x14ac:dyDescent="0.25">
      <c r="H4112" s="12"/>
      <c r="I4112" s="12"/>
      <c r="J4112" s="12"/>
      <c r="K4112" s="12"/>
      <c r="L4112" s="12"/>
      <c r="M4112" s="11"/>
      <c r="N4112" s="11"/>
      <c r="O4112" s="11"/>
      <c r="P4112" s="11"/>
    </row>
    <row r="4113" spans="8:16" hidden="1" x14ac:dyDescent="0.25">
      <c r="H4113" s="12"/>
      <c r="I4113" s="12"/>
      <c r="J4113" s="12"/>
      <c r="K4113" s="12"/>
      <c r="L4113" s="12"/>
      <c r="M4113" s="11"/>
      <c r="N4113" s="11"/>
      <c r="O4113" s="11"/>
      <c r="P4113" s="11"/>
    </row>
    <row r="4114" spans="8:16" hidden="1" x14ac:dyDescent="0.25">
      <c r="H4114" s="12"/>
      <c r="I4114" s="12"/>
      <c r="J4114" s="12"/>
      <c r="K4114" s="12"/>
      <c r="L4114" s="12"/>
      <c r="M4114" s="11"/>
      <c r="N4114" s="11"/>
      <c r="O4114" s="11"/>
      <c r="P4114" s="11"/>
    </row>
    <row r="4115" spans="8:16" hidden="1" x14ac:dyDescent="0.25">
      <c r="H4115" s="12"/>
      <c r="I4115" s="12"/>
      <c r="J4115" s="12"/>
      <c r="K4115" s="12"/>
      <c r="L4115" s="12"/>
      <c r="M4115" s="11"/>
      <c r="N4115" s="11"/>
      <c r="O4115" s="11"/>
      <c r="P4115" s="11"/>
    </row>
    <row r="4116" spans="8:16" hidden="1" x14ac:dyDescent="0.25">
      <c r="H4116" s="12"/>
      <c r="I4116" s="12"/>
      <c r="J4116" s="12"/>
      <c r="K4116" s="12"/>
      <c r="L4116" s="12"/>
      <c r="M4116" s="11"/>
      <c r="N4116" s="11"/>
      <c r="O4116" s="11"/>
      <c r="P4116" s="11"/>
    </row>
    <row r="4117" spans="8:16" hidden="1" x14ac:dyDescent="0.25">
      <c r="H4117" s="12"/>
      <c r="I4117" s="12"/>
      <c r="J4117" s="12"/>
      <c r="K4117" s="12"/>
      <c r="L4117" s="12"/>
      <c r="M4117" s="11"/>
      <c r="N4117" s="11"/>
      <c r="O4117" s="11"/>
      <c r="P4117" s="11"/>
    </row>
    <row r="4118" spans="8:16" hidden="1" x14ac:dyDescent="0.25">
      <c r="H4118" s="12"/>
      <c r="I4118" s="12"/>
      <c r="J4118" s="12"/>
      <c r="K4118" s="12"/>
      <c r="L4118" s="12"/>
      <c r="M4118" s="11"/>
      <c r="N4118" s="11"/>
      <c r="O4118" s="11"/>
      <c r="P4118" s="11"/>
    </row>
    <row r="4119" spans="8:16" hidden="1" x14ac:dyDescent="0.25">
      <c r="H4119" s="12"/>
      <c r="I4119" s="12"/>
      <c r="J4119" s="12"/>
      <c r="K4119" s="12"/>
      <c r="L4119" s="12"/>
      <c r="M4119" s="11"/>
      <c r="N4119" s="11"/>
      <c r="O4119" s="11"/>
      <c r="P4119" s="11"/>
    </row>
    <row r="4120" spans="8:16" hidden="1" x14ac:dyDescent="0.25">
      <c r="H4120" s="12"/>
      <c r="I4120" s="12"/>
      <c r="J4120" s="12"/>
      <c r="K4120" s="12"/>
      <c r="L4120" s="12"/>
      <c r="M4120" s="11"/>
      <c r="N4120" s="11"/>
      <c r="O4120" s="11"/>
      <c r="P4120" s="11"/>
    </row>
    <row r="4121" spans="8:16" hidden="1" x14ac:dyDescent="0.25">
      <c r="H4121" s="12"/>
      <c r="I4121" s="12"/>
      <c r="J4121" s="12"/>
      <c r="K4121" s="12"/>
      <c r="L4121" s="12"/>
      <c r="M4121" s="11"/>
      <c r="N4121" s="11"/>
      <c r="O4121" s="11"/>
      <c r="P4121" s="11"/>
    </row>
    <row r="4122" spans="8:16" hidden="1" x14ac:dyDescent="0.25">
      <c r="H4122" s="12"/>
      <c r="I4122" s="12"/>
      <c r="J4122" s="12"/>
      <c r="K4122" s="12"/>
      <c r="L4122" s="12"/>
      <c r="M4122" s="11"/>
      <c r="N4122" s="11"/>
      <c r="O4122" s="11"/>
      <c r="P4122" s="11"/>
    </row>
    <row r="4123" spans="8:16" hidden="1" x14ac:dyDescent="0.25">
      <c r="H4123" s="12"/>
      <c r="I4123" s="12"/>
      <c r="J4123" s="12"/>
      <c r="K4123" s="12"/>
      <c r="L4123" s="12"/>
      <c r="M4123" s="11"/>
      <c r="N4123" s="11"/>
      <c r="O4123" s="11"/>
      <c r="P4123" s="11"/>
    </row>
    <row r="4124" spans="8:16" hidden="1" x14ac:dyDescent="0.25">
      <c r="H4124" s="12"/>
      <c r="I4124" s="12"/>
      <c r="J4124" s="12"/>
      <c r="K4124" s="12"/>
      <c r="L4124" s="12"/>
      <c r="M4124" s="11"/>
      <c r="N4124" s="11"/>
      <c r="O4124" s="11"/>
      <c r="P4124" s="11"/>
    </row>
    <row r="4125" spans="8:16" hidden="1" x14ac:dyDescent="0.25">
      <c r="H4125" s="12"/>
      <c r="I4125" s="12"/>
      <c r="J4125" s="12"/>
      <c r="K4125" s="12"/>
      <c r="L4125" s="12"/>
      <c r="M4125" s="11"/>
      <c r="N4125" s="11"/>
      <c r="O4125" s="11"/>
      <c r="P4125" s="11"/>
    </row>
    <row r="4126" spans="8:16" hidden="1" x14ac:dyDescent="0.25">
      <c r="H4126" s="12"/>
      <c r="I4126" s="12"/>
      <c r="J4126" s="12"/>
      <c r="K4126" s="12"/>
      <c r="L4126" s="12"/>
      <c r="M4126" s="11"/>
      <c r="N4126" s="11"/>
      <c r="O4126" s="11"/>
      <c r="P4126" s="11"/>
    </row>
    <row r="4127" spans="8:16" hidden="1" x14ac:dyDescent="0.25">
      <c r="H4127" s="12"/>
      <c r="I4127" s="12"/>
      <c r="J4127" s="12"/>
      <c r="K4127" s="12"/>
      <c r="L4127" s="12"/>
      <c r="M4127" s="11"/>
      <c r="N4127" s="11"/>
      <c r="O4127" s="11"/>
      <c r="P4127" s="11"/>
    </row>
    <row r="4128" spans="8:16" hidden="1" x14ac:dyDescent="0.25">
      <c r="H4128" s="12"/>
      <c r="I4128" s="12"/>
      <c r="J4128" s="12"/>
      <c r="K4128" s="12"/>
      <c r="L4128" s="12"/>
      <c r="M4128" s="11"/>
      <c r="N4128" s="11"/>
      <c r="O4128" s="11"/>
      <c r="P4128" s="11"/>
    </row>
    <row r="4129" spans="8:16" hidden="1" x14ac:dyDescent="0.25">
      <c r="H4129" s="12"/>
      <c r="I4129" s="12"/>
      <c r="J4129" s="12"/>
      <c r="K4129" s="12"/>
      <c r="L4129" s="12"/>
      <c r="M4129" s="11"/>
      <c r="N4129" s="11"/>
      <c r="O4129" s="11"/>
      <c r="P4129" s="11"/>
    </row>
    <row r="4130" spans="8:16" hidden="1" x14ac:dyDescent="0.25">
      <c r="H4130" s="12"/>
      <c r="I4130" s="12"/>
      <c r="J4130" s="12"/>
      <c r="K4130" s="12"/>
      <c r="L4130" s="12"/>
      <c r="M4130" s="11"/>
      <c r="N4130" s="11"/>
      <c r="O4130" s="11"/>
      <c r="P4130" s="11"/>
    </row>
    <row r="4131" spans="8:16" hidden="1" x14ac:dyDescent="0.25">
      <c r="H4131" s="12"/>
      <c r="I4131" s="12"/>
      <c r="J4131" s="12"/>
      <c r="K4131" s="12"/>
      <c r="L4131" s="12"/>
      <c r="M4131" s="11"/>
      <c r="N4131" s="11"/>
      <c r="O4131" s="11"/>
      <c r="P4131" s="11"/>
    </row>
    <row r="4132" spans="8:16" hidden="1" x14ac:dyDescent="0.25">
      <c r="H4132" s="12"/>
      <c r="I4132" s="12"/>
      <c r="J4132" s="12"/>
      <c r="K4132" s="12"/>
      <c r="L4132" s="12"/>
      <c r="M4132" s="11"/>
      <c r="N4132" s="11"/>
      <c r="O4132" s="11"/>
      <c r="P4132" s="11"/>
    </row>
    <row r="4133" spans="8:16" hidden="1" x14ac:dyDescent="0.25">
      <c r="H4133" s="12"/>
      <c r="I4133" s="12"/>
      <c r="J4133" s="12"/>
      <c r="K4133" s="12"/>
      <c r="L4133" s="12"/>
      <c r="M4133" s="11"/>
      <c r="N4133" s="11"/>
      <c r="O4133" s="11"/>
      <c r="P4133" s="11"/>
    </row>
    <row r="4134" spans="8:16" hidden="1" x14ac:dyDescent="0.25">
      <c r="H4134" s="12"/>
      <c r="I4134" s="12"/>
      <c r="J4134" s="12"/>
      <c r="K4134" s="12"/>
      <c r="L4134" s="12"/>
      <c r="M4134" s="11"/>
      <c r="N4134" s="11"/>
      <c r="O4134" s="11"/>
      <c r="P4134" s="11"/>
    </row>
    <row r="4135" spans="8:16" hidden="1" x14ac:dyDescent="0.25">
      <c r="H4135" s="12"/>
      <c r="I4135" s="12"/>
      <c r="J4135" s="12"/>
      <c r="K4135" s="12"/>
      <c r="L4135" s="12"/>
      <c r="M4135" s="11"/>
      <c r="N4135" s="11"/>
      <c r="O4135" s="11"/>
      <c r="P4135" s="11"/>
    </row>
    <row r="4136" spans="8:16" hidden="1" x14ac:dyDescent="0.25">
      <c r="H4136" s="12"/>
      <c r="I4136" s="12"/>
      <c r="J4136" s="12"/>
      <c r="K4136" s="12"/>
      <c r="L4136" s="12"/>
      <c r="M4136" s="11"/>
      <c r="N4136" s="11"/>
      <c r="O4136" s="11"/>
      <c r="P4136" s="11"/>
    </row>
    <row r="4137" spans="8:16" hidden="1" x14ac:dyDescent="0.25">
      <c r="H4137" s="12"/>
      <c r="I4137" s="12"/>
      <c r="J4137" s="12"/>
      <c r="K4137" s="12"/>
      <c r="L4137" s="12"/>
      <c r="M4137" s="11"/>
      <c r="N4137" s="11"/>
      <c r="O4137" s="11"/>
      <c r="P4137" s="11"/>
    </row>
    <row r="4138" spans="8:16" hidden="1" x14ac:dyDescent="0.25">
      <c r="H4138" s="12"/>
      <c r="I4138" s="12"/>
      <c r="J4138" s="12"/>
      <c r="K4138" s="12"/>
      <c r="L4138" s="12"/>
      <c r="M4138" s="11"/>
      <c r="N4138" s="11"/>
      <c r="O4138" s="11"/>
      <c r="P4138" s="11"/>
    </row>
    <row r="4139" spans="8:16" hidden="1" x14ac:dyDescent="0.25">
      <c r="H4139" s="12"/>
      <c r="I4139" s="12"/>
      <c r="J4139" s="12"/>
      <c r="K4139" s="12"/>
      <c r="L4139" s="12"/>
      <c r="M4139" s="11"/>
      <c r="N4139" s="11"/>
      <c r="O4139" s="11"/>
      <c r="P4139" s="11"/>
    </row>
    <row r="4140" spans="8:16" hidden="1" x14ac:dyDescent="0.25">
      <c r="H4140" s="12"/>
      <c r="I4140" s="12"/>
      <c r="J4140" s="12"/>
      <c r="K4140" s="12"/>
      <c r="L4140" s="12"/>
      <c r="M4140" s="11"/>
      <c r="N4140" s="11"/>
      <c r="O4140" s="11"/>
      <c r="P4140" s="11"/>
    </row>
    <row r="4141" spans="8:16" hidden="1" x14ac:dyDescent="0.25">
      <c r="H4141" s="12"/>
      <c r="I4141" s="12"/>
      <c r="J4141" s="12"/>
      <c r="K4141" s="12"/>
      <c r="L4141" s="12"/>
      <c r="M4141" s="11"/>
      <c r="N4141" s="11"/>
      <c r="O4141" s="11"/>
      <c r="P4141" s="11"/>
    </row>
    <row r="4142" spans="8:16" hidden="1" x14ac:dyDescent="0.25">
      <c r="H4142" s="12"/>
      <c r="I4142" s="12"/>
      <c r="J4142" s="12"/>
      <c r="K4142" s="12"/>
      <c r="L4142" s="12"/>
      <c r="M4142" s="11"/>
      <c r="N4142" s="11"/>
      <c r="O4142" s="11"/>
      <c r="P4142" s="11"/>
    </row>
    <row r="4143" spans="8:16" hidden="1" x14ac:dyDescent="0.25">
      <c r="H4143" s="12"/>
      <c r="I4143" s="12"/>
      <c r="J4143" s="12"/>
      <c r="K4143" s="12"/>
      <c r="L4143" s="12"/>
      <c r="M4143" s="11"/>
      <c r="N4143" s="11"/>
      <c r="O4143" s="11"/>
      <c r="P4143" s="11"/>
    </row>
    <row r="4144" spans="8:16" hidden="1" x14ac:dyDescent="0.25">
      <c r="H4144" s="12"/>
      <c r="I4144" s="12"/>
      <c r="J4144" s="12"/>
      <c r="K4144" s="12"/>
      <c r="L4144" s="12"/>
      <c r="M4144" s="11"/>
      <c r="N4144" s="11"/>
      <c r="O4144" s="11"/>
      <c r="P4144" s="11"/>
    </row>
    <row r="4145" spans="8:16" hidden="1" x14ac:dyDescent="0.25">
      <c r="H4145" s="12"/>
      <c r="I4145" s="12"/>
      <c r="J4145" s="12"/>
      <c r="K4145" s="12"/>
      <c r="L4145" s="12"/>
      <c r="M4145" s="11"/>
      <c r="N4145" s="11"/>
      <c r="O4145" s="11"/>
      <c r="P4145" s="11"/>
    </row>
    <row r="4146" spans="8:16" hidden="1" x14ac:dyDescent="0.25">
      <c r="H4146" s="12"/>
      <c r="I4146" s="12"/>
      <c r="J4146" s="12"/>
      <c r="K4146" s="12"/>
      <c r="L4146" s="12"/>
      <c r="M4146" s="11"/>
      <c r="N4146" s="11"/>
      <c r="O4146" s="11"/>
      <c r="P4146" s="11"/>
    </row>
    <row r="4147" spans="8:16" hidden="1" x14ac:dyDescent="0.25">
      <c r="H4147" s="12"/>
      <c r="I4147" s="12"/>
      <c r="J4147" s="12"/>
      <c r="K4147" s="12"/>
      <c r="L4147" s="12"/>
      <c r="M4147" s="11"/>
      <c r="N4147" s="11"/>
      <c r="O4147" s="11"/>
      <c r="P4147" s="11"/>
    </row>
    <row r="4148" spans="8:16" hidden="1" x14ac:dyDescent="0.25">
      <c r="H4148" s="12"/>
      <c r="I4148" s="12"/>
      <c r="J4148" s="12"/>
      <c r="K4148" s="12"/>
      <c r="L4148" s="12"/>
      <c r="M4148" s="11"/>
      <c r="N4148" s="11"/>
      <c r="O4148" s="11"/>
      <c r="P4148" s="11"/>
    </row>
    <row r="4149" spans="8:16" hidden="1" x14ac:dyDescent="0.25">
      <c r="H4149" s="12"/>
      <c r="I4149" s="12"/>
      <c r="J4149" s="12"/>
      <c r="K4149" s="12"/>
      <c r="L4149" s="12"/>
      <c r="M4149" s="11"/>
      <c r="N4149" s="11"/>
      <c r="O4149" s="11"/>
      <c r="P4149" s="11"/>
    </row>
    <row r="4150" spans="8:16" hidden="1" x14ac:dyDescent="0.25">
      <c r="H4150" s="12"/>
      <c r="I4150" s="12"/>
      <c r="J4150" s="12"/>
      <c r="K4150" s="12"/>
      <c r="L4150" s="12"/>
      <c r="M4150" s="11"/>
      <c r="N4150" s="11"/>
      <c r="O4150" s="11"/>
      <c r="P4150" s="11"/>
    </row>
    <row r="4151" spans="8:16" hidden="1" x14ac:dyDescent="0.25">
      <c r="H4151" s="12"/>
      <c r="I4151" s="12"/>
      <c r="J4151" s="12"/>
      <c r="K4151" s="12"/>
      <c r="L4151" s="12"/>
      <c r="M4151" s="11"/>
      <c r="N4151" s="11"/>
      <c r="O4151" s="11"/>
      <c r="P4151" s="11"/>
    </row>
    <row r="4152" spans="8:16" hidden="1" x14ac:dyDescent="0.25">
      <c r="H4152" s="12"/>
      <c r="I4152" s="12"/>
      <c r="J4152" s="12"/>
      <c r="K4152" s="12"/>
      <c r="L4152" s="12"/>
      <c r="M4152" s="11"/>
      <c r="N4152" s="11"/>
      <c r="O4152" s="11"/>
      <c r="P4152" s="11"/>
    </row>
    <row r="4153" spans="8:16" hidden="1" x14ac:dyDescent="0.25">
      <c r="H4153" s="12"/>
      <c r="I4153" s="12"/>
      <c r="J4153" s="12"/>
      <c r="K4153" s="12"/>
      <c r="L4153" s="12"/>
      <c r="M4153" s="11"/>
      <c r="N4153" s="11"/>
      <c r="O4153" s="11"/>
      <c r="P4153" s="11"/>
    </row>
    <row r="4154" spans="8:16" hidden="1" x14ac:dyDescent="0.25">
      <c r="H4154" s="12"/>
      <c r="I4154" s="12"/>
      <c r="J4154" s="12"/>
      <c r="K4154" s="12"/>
      <c r="L4154" s="12"/>
      <c r="M4154" s="11"/>
      <c r="N4154" s="11"/>
      <c r="O4154" s="11"/>
      <c r="P4154" s="11"/>
    </row>
    <row r="4155" spans="8:16" hidden="1" x14ac:dyDescent="0.25">
      <c r="H4155" s="12"/>
      <c r="I4155" s="12"/>
      <c r="J4155" s="12"/>
      <c r="K4155" s="12"/>
      <c r="L4155" s="12"/>
      <c r="M4155" s="11"/>
      <c r="N4155" s="11"/>
      <c r="O4155" s="11"/>
      <c r="P4155" s="11"/>
    </row>
    <row r="4156" spans="8:16" hidden="1" x14ac:dyDescent="0.25">
      <c r="H4156" s="12"/>
      <c r="I4156" s="12"/>
      <c r="J4156" s="12"/>
      <c r="K4156" s="12"/>
      <c r="L4156" s="12"/>
      <c r="M4156" s="11"/>
      <c r="N4156" s="11"/>
      <c r="O4156" s="11"/>
      <c r="P4156" s="11"/>
    </row>
    <row r="4157" spans="8:16" hidden="1" x14ac:dyDescent="0.25">
      <c r="H4157" s="12"/>
      <c r="I4157" s="12"/>
      <c r="J4157" s="12"/>
      <c r="K4157" s="12"/>
      <c r="L4157" s="12"/>
      <c r="M4157" s="11"/>
      <c r="N4157" s="11"/>
      <c r="O4157" s="11"/>
      <c r="P4157" s="11"/>
    </row>
    <row r="4158" spans="8:16" hidden="1" x14ac:dyDescent="0.25">
      <c r="H4158" s="12"/>
      <c r="I4158" s="12"/>
      <c r="J4158" s="12"/>
      <c r="K4158" s="12"/>
      <c r="L4158" s="12"/>
      <c r="M4158" s="11"/>
      <c r="N4158" s="11"/>
      <c r="O4158" s="11"/>
      <c r="P4158" s="11"/>
    </row>
    <row r="4159" spans="8:16" hidden="1" x14ac:dyDescent="0.25">
      <c r="H4159" s="12"/>
      <c r="I4159" s="12"/>
      <c r="J4159" s="12"/>
      <c r="K4159" s="12"/>
      <c r="L4159" s="12"/>
      <c r="M4159" s="11"/>
      <c r="N4159" s="11"/>
      <c r="O4159" s="11"/>
      <c r="P4159" s="11"/>
    </row>
    <row r="4160" spans="8:16" hidden="1" x14ac:dyDescent="0.25">
      <c r="H4160" s="12"/>
      <c r="I4160" s="12"/>
      <c r="J4160" s="12"/>
      <c r="K4160" s="12"/>
      <c r="L4160" s="12"/>
      <c r="M4160" s="11"/>
      <c r="N4160" s="11"/>
      <c r="O4160" s="11"/>
      <c r="P4160" s="11"/>
    </row>
    <row r="4161" spans="8:16" hidden="1" x14ac:dyDescent="0.25">
      <c r="H4161" s="12"/>
      <c r="I4161" s="12"/>
      <c r="J4161" s="12"/>
      <c r="K4161" s="12"/>
      <c r="L4161" s="12"/>
      <c r="M4161" s="11"/>
      <c r="N4161" s="11"/>
      <c r="O4161" s="11"/>
      <c r="P4161" s="11"/>
    </row>
    <row r="4162" spans="8:16" hidden="1" x14ac:dyDescent="0.25">
      <c r="H4162" s="12"/>
      <c r="I4162" s="12"/>
      <c r="J4162" s="12"/>
      <c r="K4162" s="12"/>
      <c r="L4162" s="12"/>
      <c r="M4162" s="11"/>
      <c r="N4162" s="11"/>
      <c r="O4162" s="11"/>
      <c r="P4162" s="11"/>
    </row>
    <row r="4163" spans="8:16" hidden="1" x14ac:dyDescent="0.25">
      <c r="H4163" s="12"/>
      <c r="I4163" s="12"/>
      <c r="J4163" s="12"/>
      <c r="K4163" s="12"/>
      <c r="L4163" s="12"/>
      <c r="M4163" s="11"/>
      <c r="N4163" s="11"/>
      <c r="O4163" s="11"/>
      <c r="P4163" s="11"/>
    </row>
    <row r="4164" spans="8:16" hidden="1" x14ac:dyDescent="0.25">
      <c r="H4164" s="12"/>
      <c r="I4164" s="12"/>
      <c r="J4164" s="12"/>
      <c r="K4164" s="12"/>
      <c r="L4164" s="12"/>
      <c r="M4164" s="11"/>
      <c r="N4164" s="11"/>
      <c r="O4164" s="11"/>
      <c r="P4164" s="11"/>
    </row>
    <row r="4165" spans="8:16" hidden="1" x14ac:dyDescent="0.25">
      <c r="H4165" s="12"/>
      <c r="I4165" s="12"/>
      <c r="J4165" s="12"/>
      <c r="K4165" s="12"/>
      <c r="L4165" s="12"/>
      <c r="M4165" s="11"/>
      <c r="N4165" s="11"/>
      <c r="O4165" s="11"/>
      <c r="P4165" s="11"/>
    </row>
    <row r="4166" spans="8:16" hidden="1" x14ac:dyDescent="0.25">
      <c r="H4166" s="12"/>
      <c r="I4166" s="12"/>
      <c r="J4166" s="12"/>
      <c r="K4166" s="12"/>
      <c r="L4166" s="12"/>
      <c r="M4166" s="11"/>
      <c r="N4166" s="11"/>
      <c r="O4166" s="11"/>
      <c r="P4166" s="11"/>
    </row>
    <row r="4167" spans="8:16" hidden="1" x14ac:dyDescent="0.25">
      <c r="H4167" s="12"/>
      <c r="I4167" s="12"/>
      <c r="J4167" s="12"/>
      <c r="K4167" s="12"/>
      <c r="L4167" s="12"/>
      <c r="M4167" s="11"/>
      <c r="N4167" s="11"/>
      <c r="O4167" s="11"/>
      <c r="P4167" s="11"/>
    </row>
    <row r="4168" spans="8:16" hidden="1" x14ac:dyDescent="0.25">
      <c r="H4168" s="12"/>
      <c r="I4168" s="12"/>
      <c r="J4168" s="12"/>
      <c r="K4168" s="12"/>
      <c r="L4168" s="12"/>
      <c r="M4168" s="11"/>
      <c r="N4168" s="11"/>
      <c r="O4168" s="11"/>
      <c r="P4168" s="11"/>
    </row>
    <row r="4169" spans="8:16" hidden="1" x14ac:dyDescent="0.25">
      <c r="H4169" s="12"/>
      <c r="I4169" s="12"/>
      <c r="J4169" s="12"/>
      <c r="K4169" s="12"/>
      <c r="L4169" s="12"/>
      <c r="M4169" s="11"/>
      <c r="N4169" s="11"/>
      <c r="O4169" s="11"/>
      <c r="P4169" s="11"/>
    </row>
    <row r="4170" spans="8:16" hidden="1" x14ac:dyDescent="0.25">
      <c r="H4170" s="12"/>
      <c r="I4170" s="12"/>
      <c r="J4170" s="12"/>
      <c r="K4170" s="12"/>
      <c r="L4170" s="12"/>
      <c r="M4170" s="11"/>
      <c r="N4170" s="11"/>
      <c r="O4170" s="11"/>
      <c r="P4170" s="11"/>
    </row>
    <row r="4171" spans="8:16" hidden="1" x14ac:dyDescent="0.25">
      <c r="H4171" s="12"/>
      <c r="I4171" s="12"/>
      <c r="J4171" s="12"/>
      <c r="K4171" s="12"/>
      <c r="L4171" s="12"/>
      <c r="M4171" s="11"/>
      <c r="N4171" s="11"/>
      <c r="O4171" s="11"/>
      <c r="P4171" s="11"/>
    </row>
    <row r="4172" spans="8:16" hidden="1" x14ac:dyDescent="0.25">
      <c r="H4172" s="12"/>
      <c r="I4172" s="12"/>
      <c r="J4172" s="12"/>
      <c r="K4172" s="12"/>
      <c r="L4172" s="12"/>
      <c r="M4172" s="11"/>
      <c r="N4172" s="11"/>
      <c r="O4172" s="11"/>
      <c r="P4172" s="11"/>
    </row>
    <row r="4173" spans="8:16" hidden="1" x14ac:dyDescent="0.25">
      <c r="H4173" s="12"/>
      <c r="I4173" s="12"/>
      <c r="J4173" s="12"/>
      <c r="K4173" s="12"/>
      <c r="L4173" s="12"/>
      <c r="M4173" s="11"/>
      <c r="N4173" s="11"/>
      <c r="O4173" s="11"/>
      <c r="P4173" s="11"/>
    </row>
    <row r="4174" spans="8:16" hidden="1" x14ac:dyDescent="0.25">
      <c r="H4174" s="12"/>
      <c r="I4174" s="12"/>
      <c r="J4174" s="12"/>
      <c r="K4174" s="12"/>
      <c r="L4174" s="12"/>
      <c r="M4174" s="11"/>
      <c r="N4174" s="11"/>
      <c r="O4174" s="11"/>
      <c r="P4174" s="11"/>
    </row>
    <row r="4175" spans="8:16" hidden="1" x14ac:dyDescent="0.25">
      <c r="H4175" s="12"/>
      <c r="I4175" s="12"/>
      <c r="J4175" s="12"/>
      <c r="K4175" s="12"/>
      <c r="L4175" s="12"/>
      <c r="M4175" s="11"/>
      <c r="N4175" s="11"/>
      <c r="O4175" s="11"/>
      <c r="P4175" s="11"/>
    </row>
    <row r="4176" spans="8:16" hidden="1" x14ac:dyDescent="0.25">
      <c r="H4176" s="12"/>
      <c r="I4176" s="12"/>
      <c r="J4176" s="12"/>
      <c r="K4176" s="12"/>
      <c r="L4176" s="12"/>
      <c r="M4176" s="11"/>
      <c r="N4176" s="11"/>
      <c r="O4176" s="11"/>
      <c r="P4176" s="11"/>
    </row>
    <row r="4177" spans="8:16" hidden="1" x14ac:dyDescent="0.25">
      <c r="H4177" s="12"/>
      <c r="I4177" s="12"/>
      <c r="J4177" s="12"/>
      <c r="K4177" s="12"/>
      <c r="L4177" s="12"/>
      <c r="M4177" s="11"/>
      <c r="N4177" s="11"/>
      <c r="O4177" s="11"/>
      <c r="P4177" s="11"/>
    </row>
    <row r="4178" spans="8:16" hidden="1" x14ac:dyDescent="0.25">
      <c r="H4178" s="12"/>
      <c r="I4178" s="12"/>
      <c r="J4178" s="12"/>
      <c r="K4178" s="12"/>
      <c r="L4178" s="12"/>
      <c r="M4178" s="11"/>
      <c r="N4178" s="11"/>
      <c r="O4178" s="11"/>
      <c r="P4178" s="11"/>
    </row>
    <row r="4179" spans="8:16" hidden="1" x14ac:dyDescent="0.25">
      <c r="H4179" s="12"/>
      <c r="I4179" s="12"/>
      <c r="J4179" s="12"/>
      <c r="K4179" s="12"/>
      <c r="L4179" s="12"/>
      <c r="M4179" s="11"/>
      <c r="N4179" s="11"/>
      <c r="O4179" s="11"/>
      <c r="P4179" s="11"/>
    </row>
    <row r="4180" spans="8:16" hidden="1" x14ac:dyDescent="0.25">
      <c r="H4180" s="12"/>
      <c r="I4180" s="12"/>
      <c r="J4180" s="12"/>
      <c r="K4180" s="12"/>
      <c r="L4180" s="12"/>
      <c r="M4180" s="11"/>
      <c r="N4180" s="11"/>
      <c r="O4180" s="11"/>
      <c r="P4180" s="11"/>
    </row>
    <row r="4181" spans="8:16" hidden="1" x14ac:dyDescent="0.25">
      <c r="H4181" s="12"/>
      <c r="I4181" s="12"/>
      <c r="J4181" s="12"/>
      <c r="K4181" s="12"/>
      <c r="L4181" s="12"/>
      <c r="M4181" s="11"/>
      <c r="N4181" s="11"/>
      <c r="O4181" s="11"/>
      <c r="P4181" s="11"/>
    </row>
    <row r="4182" spans="8:16" hidden="1" x14ac:dyDescent="0.25">
      <c r="H4182" s="12"/>
      <c r="I4182" s="12"/>
      <c r="J4182" s="12"/>
      <c r="K4182" s="12"/>
      <c r="L4182" s="12"/>
      <c r="M4182" s="11"/>
      <c r="N4182" s="11"/>
      <c r="O4182" s="11"/>
      <c r="P4182" s="11"/>
    </row>
    <row r="4183" spans="8:16" hidden="1" x14ac:dyDescent="0.25">
      <c r="H4183" s="12"/>
      <c r="I4183" s="12"/>
      <c r="J4183" s="12"/>
      <c r="K4183" s="12"/>
      <c r="L4183" s="12"/>
      <c r="M4183" s="11"/>
      <c r="N4183" s="11"/>
      <c r="O4183" s="11"/>
      <c r="P4183" s="11"/>
    </row>
    <row r="4184" spans="8:16" hidden="1" x14ac:dyDescent="0.25">
      <c r="H4184" s="12"/>
      <c r="I4184" s="12"/>
      <c r="J4184" s="12"/>
      <c r="K4184" s="12"/>
      <c r="L4184" s="12"/>
      <c r="M4184" s="11"/>
      <c r="N4184" s="11"/>
      <c r="O4184" s="11"/>
      <c r="P4184" s="11"/>
    </row>
    <row r="4185" spans="8:16" hidden="1" x14ac:dyDescent="0.25">
      <c r="H4185" s="12"/>
      <c r="I4185" s="12"/>
      <c r="J4185" s="12"/>
      <c r="K4185" s="12"/>
      <c r="L4185" s="12"/>
      <c r="M4185" s="11"/>
      <c r="N4185" s="11"/>
      <c r="O4185" s="11"/>
      <c r="P4185" s="11"/>
    </row>
    <row r="4186" spans="8:16" hidden="1" x14ac:dyDescent="0.25">
      <c r="H4186" s="12"/>
      <c r="I4186" s="12"/>
      <c r="J4186" s="12"/>
      <c r="K4186" s="12"/>
      <c r="L4186" s="12"/>
      <c r="M4186" s="11"/>
      <c r="N4186" s="11"/>
      <c r="O4186" s="11"/>
      <c r="P4186" s="11"/>
    </row>
    <row r="4187" spans="8:16" hidden="1" x14ac:dyDescent="0.25">
      <c r="H4187" s="12"/>
      <c r="I4187" s="12"/>
      <c r="J4187" s="12"/>
      <c r="K4187" s="12"/>
      <c r="L4187" s="12"/>
      <c r="M4187" s="11"/>
      <c r="N4187" s="11"/>
      <c r="O4187" s="11"/>
      <c r="P4187" s="11"/>
    </row>
    <row r="4188" spans="8:16" hidden="1" x14ac:dyDescent="0.25">
      <c r="H4188" s="12"/>
      <c r="I4188" s="12"/>
      <c r="J4188" s="12"/>
      <c r="K4188" s="12"/>
      <c r="L4188" s="12"/>
      <c r="M4188" s="11"/>
      <c r="N4188" s="11"/>
      <c r="O4188" s="11"/>
      <c r="P4188" s="11"/>
    </row>
    <row r="4189" spans="8:16" hidden="1" x14ac:dyDescent="0.25">
      <c r="H4189" s="12"/>
      <c r="I4189" s="12"/>
      <c r="J4189" s="12"/>
      <c r="K4189" s="12"/>
      <c r="L4189" s="12"/>
      <c r="M4189" s="11"/>
      <c r="N4189" s="11"/>
      <c r="O4189" s="11"/>
      <c r="P4189" s="11"/>
    </row>
    <row r="4190" spans="8:16" hidden="1" x14ac:dyDescent="0.25">
      <c r="H4190" s="12"/>
      <c r="I4190" s="12"/>
      <c r="J4190" s="12"/>
      <c r="K4190" s="12"/>
      <c r="L4190" s="12"/>
      <c r="M4190" s="11"/>
      <c r="N4190" s="11"/>
      <c r="O4190" s="11"/>
      <c r="P4190" s="11"/>
    </row>
    <row r="4191" spans="8:16" hidden="1" x14ac:dyDescent="0.25">
      <c r="H4191" s="12"/>
      <c r="I4191" s="12"/>
      <c r="J4191" s="12"/>
      <c r="K4191" s="12"/>
      <c r="L4191" s="12"/>
      <c r="M4191" s="11"/>
      <c r="N4191" s="11"/>
      <c r="O4191" s="11"/>
      <c r="P4191" s="11"/>
    </row>
    <row r="4192" spans="8:16" hidden="1" x14ac:dyDescent="0.25">
      <c r="H4192" s="12"/>
      <c r="I4192" s="12"/>
      <c r="J4192" s="12"/>
      <c r="K4192" s="12"/>
      <c r="L4192" s="12"/>
      <c r="M4192" s="11"/>
      <c r="N4192" s="11"/>
      <c r="O4192" s="11"/>
      <c r="P4192" s="11"/>
    </row>
    <row r="4193" spans="8:16" hidden="1" x14ac:dyDescent="0.25">
      <c r="H4193" s="12"/>
      <c r="I4193" s="12"/>
      <c r="J4193" s="12"/>
      <c r="K4193" s="12"/>
      <c r="L4193" s="12"/>
      <c r="M4193" s="11"/>
      <c r="N4193" s="11"/>
      <c r="O4193" s="11"/>
      <c r="P4193" s="11"/>
    </row>
    <row r="4194" spans="8:16" hidden="1" x14ac:dyDescent="0.25">
      <c r="H4194" s="12"/>
      <c r="I4194" s="12"/>
      <c r="J4194" s="12"/>
      <c r="K4194" s="12"/>
      <c r="L4194" s="12"/>
      <c r="M4194" s="11"/>
      <c r="N4194" s="11"/>
      <c r="O4194" s="11"/>
      <c r="P4194" s="11"/>
    </row>
    <row r="4195" spans="8:16" hidden="1" x14ac:dyDescent="0.25">
      <c r="H4195" s="12"/>
      <c r="I4195" s="12"/>
      <c r="J4195" s="12"/>
      <c r="K4195" s="12"/>
      <c r="L4195" s="12"/>
      <c r="M4195" s="11"/>
      <c r="N4195" s="11"/>
      <c r="O4195" s="11"/>
      <c r="P4195" s="11"/>
    </row>
    <row r="4196" spans="8:16" hidden="1" x14ac:dyDescent="0.25">
      <c r="H4196" s="12"/>
      <c r="I4196" s="12"/>
      <c r="J4196" s="12"/>
      <c r="K4196" s="12"/>
      <c r="L4196" s="12"/>
      <c r="M4196" s="11"/>
      <c r="N4196" s="11"/>
      <c r="O4196" s="11"/>
      <c r="P4196" s="11"/>
    </row>
    <row r="4197" spans="8:16" hidden="1" x14ac:dyDescent="0.25">
      <c r="H4197" s="12"/>
      <c r="I4197" s="12"/>
      <c r="J4197" s="12"/>
      <c r="K4197" s="12"/>
      <c r="L4197" s="12"/>
      <c r="M4197" s="11"/>
      <c r="N4197" s="11"/>
      <c r="O4197" s="11"/>
      <c r="P4197" s="11"/>
    </row>
    <row r="4198" spans="8:16" hidden="1" x14ac:dyDescent="0.25">
      <c r="H4198" s="12"/>
      <c r="I4198" s="12"/>
      <c r="J4198" s="12"/>
      <c r="K4198" s="12"/>
      <c r="L4198" s="12"/>
      <c r="M4198" s="11"/>
      <c r="N4198" s="11"/>
      <c r="O4198" s="11"/>
      <c r="P4198" s="11"/>
    </row>
    <row r="4199" spans="8:16" hidden="1" x14ac:dyDescent="0.25">
      <c r="H4199" s="12"/>
      <c r="I4199" s="12"/>
      <c r="J4199" s="12"/>
      <c r="K4199" s="12"/>
      <c r="L4199" s="12"/>
      <c r="M4199" s="11"/>
      <c r="N4199" s="11"/>
      <c r="O4199" s="11"/>
      <c r="P4199" s="11"/>
    </row>
    <row r="4200" spans="8:16" hidden="1" x14ac:dyDescent="0.25">
      <c r="H4200" s="12"/>
      <c r="I4200" s="12"/>
      <c r="J4200" s="12"/>
      <c r="K4200" s="12"/>
      <c r="L4200" s="12"/>
      <c r="M4200" s="11"/>
      <c r="N4200" s="11"/>
      <c r="O4200" s="11"/>
      <c r="P4200" s="11"/>
    </row>
    <row r="4201" spans="8:16" hidden="1" x14ac:dyDescent="0.25">
      <c r="H4201" s="12"/>
      <c r="I4201" s="12"/>
      <c r="J4201" s="12"/>
      <c r="K4201" s="12"/>
      <c r="L4201" s="12"/>
      <c r="M4201" s="11"/>
      <c r="N4201" s="11"/>
      <c r="O4201" s="11"/>
      <c r="P4201" s="11"/>
    </row>
    <row r="4202" spans="8:16" hidden="1" x14ac:dyDescent="0.25">
      <c r="H4202" s="12"/>
      <c r="I4202" s="12"/>
      <c r="J4202" s="12"/>
      <c r="K4202" s="12"/>
      <c r="L4202" s="12"/>
      <c r="M4202" s="11"/>
      <c r="N4202" s="11"/>
      <c r="O4202" s="11"/>
      <c r="P4202" s="11"/>
    </row>
    <row r="4203" spans="8:16" hidden="1" x14ac:dyDescent="0.25">
      <c r="H4203" s="12"/>
      <c r="I4203" s="12"/>
      <c r="J4203" s="12"/>
      <c r="K4203" s="12"/>
      <c r="L4203" s="12"/>
      <c r="M4203" s="11"/>
      <c r="N4203" s="11"/>
      <c r="O4203" s="11"/>
      <c r="P4203" s="11"/>
    </row>
    <row r="4204" spans="8:16" hidden="1" x14ac:dyDescent="0.25">
      <c r="H4204" s="12"/>
      <c r="I4204" s="12"/>
      <c r="J4204" s="12"/>
      <c r="K4204" s="12"/>
      <c r="L4204" s="12"/>
      <c r="M4204" s="11"/>
      <c r="N4204" s="11"/>
      <c r="O4204" s="11"/>
      <c r="P4204" s="11"/>
    </row>
    <row r="4205" spans="8:16" hidden="1" x14ac:dyDescent="0.25">
      <c r="H4205" s="12"/>
      <c r="I4205" s="12"/>
      <c r="J4205" s="12"/>
      <c r="K4205" s="12"/>
      <c r="L4205" s="12"/>
      <c r="M4205" s="11"/>
      <c r="N4205" s="11"/>
      <c r="O4205" s="11"/>
      <c r="P4205" s="11"/>
    </row>
    <row r="4206" spans="8:16" hidden="1" x14ac:dyDescent="0.25">
      <c r="H4206" s="12"/>
      <c r="I4206" s="12"/>
      <c r="J4206" s="12"/>
      <c r="K4206" s="12"/>
      <c r="L4206" s="12"/>
      <c r="M4206" s="11"/>
      <c r="N4206" s="11"/>
      <c r="O4206" s="11"/>
      <c r="P4206" s="11"/>
    </row>
    <row r="4207" spans="8:16" hidden="1" x14ac:dyDescent="0.25">
      <c r="H4207" s="12"/>
      <c r="I4207" s="12"/>
      <c r="J4207" s="12"/>
      <c r="K4207" s="12"/>
      <c r="L4207" s="12"/>
      <c r="M4207" s="11"/>
      <c r="N4207" s="11"/>
      <c r="O4207" s="11"/>
      <c r="P4207" s="11"/>
    </row>
    <row r="4208" spans="8:16" hidden="1" x14ac:dyDescent="0.25">
      <c r="H4208" s="12"/>
      <c r="I4208" s="12"/>
      <c r="J4208" s="12"/>
      <c r="K4208" s="12"/>
      <c r="L4208" s="12"/>
      <c r="M4208" s="11"/>
      <c r="N4208" s="11"/>
      <c r="O4208" s="11"/>
      <c r="P4208" s="11"/>
    </row>
    <row r="4209" spans="8:16" hidden="1" x14ac:dyDescent="0.25">
      <c r="H4209" s="12"/>
      <c r="I4209" s="12"/>
      <c r="J4209" s="12"/>
      <c r="K4209" s="12"/>
      <c r="L4209" s="12"/>
      <c r="M4209" s="11"/>
      <c r="N4209" s="11"/>
      <c r="O4209" s="11"/>
      <c r="P4209" s="11"/>
    </row>
    <row r="4210" spans="8:16" hidden="1" x14ac:dyDescent="0.25">
      <c r="H4210" s="12"/>
      <c r="I4210" s="12"/>
      <c r="J4210" s="12"/>
      <c r="K4210" s="12"/>
      <c r="L4210" s="12"/>
      <c r="M4210" s="11"/>
      <c r="N4210" s="11"/>
      <c r="O4210" s="11"/>
      <c r="P4210" s="11"/>
    </row>
    <row r="4211" spans="8:16" hidden="1" x14ac:dyDescent="0.25">
      <c r="H4211" s="12"/>
      <c r="I4211" s="12"/>
      <c r="J4211" s="12"/>
      <c r="K4211" s="12"/>
      <c r="L4211" s="12"/>
      <c r="M4211" s="11"/>
      <c r="N4211" s="11"/>
      <c r="O4211" s="11"/>
      <c r="P4211" s="11"/>
    </row>
    <row r="4212" spans="8:16" hidden="1" x14ac:dyDescent="0.25">
      <c r="H4212" s="12"/>
      <c r="I4212" s="12"/>
      <c r="J4212" s="12"/>
      <c r="K4212" s="12"/>
      <c r="L4212" s="12"/>
      <c r="M4212" s="11"/>
      <c r="N4212" s="11"/>
      <c r="O4212" s="11"/>
      <c r="P4212" s="11"/>
    </row>
    <row r="4213" spans="8:16" hidden="1" x14ac:dyDescent="0.25">
      <c r="H4213" s="12"/>
      <c r="I4213" s="12"/>
      <c r="J4213" s="12"/>
      <c r="K4213" s="12"/>
      <c r="L4213" s="12"/>
      <c r="M4213" s="11"/>
      <c r="N4213" s="11"/>
      <c r="O4213" s="11"/>
      <c r="P4213" s="11"/>
    </row>
    <row r="4214" spans="8:16" hidden="1" x14ac:dyDescent="0.25">
      <c r="H4214" s="12"/>
      <c r="I4214" s="12"/>
      <c r="J4214" s="12"/>
      <c r="K4214" s="12"/>
      <c r="L4214" s="12"/>
      <c r="M4214" s="11"/>
      <c r="N4214" s="11"/>
      <c r="O4214" s="11"/>
      <c r="P4214" s="11"/>
    </row>
    <row r="4215" spans="8:16" hidden="1" x14ac:dyDescent="0.25">
      <c r="H4215" s="12"/>
      <c r="I4215" s="12"/>
      <c r="J4215" s="12"/>
      <c r="K4215" s="12"/>
      <c r="L4215" s="12"/>
      <c r="M4215" s="11"/>
      <c r="N4215" s="11"/>
      <c r="O4215" s="11"/>
      <c r="P4215" s="11"/>
    </row>
    <row r="4216" spans="8:16" hidden="1" x14ac:dyDescent="0.25">
      <c r="H4216" s="12"/>
      <c r="I4216" s="12"/>
      <c r="J4216" s="12"/>
      <c r="K4216" s="12"/>
      <c r="L4216" s="12"/>
      <c r="M4216" s="11"/>
      <c r="N4216" s="11"/>
      <c r="O4216" s="11"/>
      <c r="P4216" s="11"/>
    </row>
    <row r="4217" spans="8:16" hidden="1" x14ac:dyDescent="0.25">
      <c r="H4217" s="12"/>
      <c r="I4217" s="12"/>
      <c r="J4217" s="12"/>
      <c r="K4217" s="12"/>
      <c r="L4217" s="12"/>
      <c r="M4217" s="11"/>
      <c r="N4217" s="11"/>
      <c r="O4217" s="11"/>
      <c r="P4217" s="11"/>
    </row>
    <row r="4218" spans="8:16" hidden="1" x14ac:dyDescent="0.25">
      <c r="H4218" s="12"/>
      <c r="I4218" s="12"/>
      <c r="J4218" s="12"/>
      <c r="K4218" s="12"/>
      <c r="L4218" s="12"/>
      <c r="M4218" s="11"/>
      <c r="N4218" s="11"/>
      <c r="O4218" s="11"/>
      <c r="P4218" s="11"/>
    </row>
    <row r="4219" spans="8:16" hidden="1" x14ac:dyDescent="0.25">
      <c r="H4219" s="12"/>
      <c r="I4219" s="12"/>
      <c r="J4219" s="12"/>
      <c r="K4219" s="12"/>
      <c r="L4219" s="12"/>
      <c r="M4219" s="11"/>
      <c r="N4219" s="11"/>
      <c r="O4219" s="11"/>
      <c r="P4219" s="11"/>
    </row>
    <row r="4220" spans="8:16" hidden="1" x14ac:dyDescent="0.25">
      <c r="H4220" s="12"/>
      <c r="I4220" s="12"/>
      <c r="J4220" s="12"/>
      <c r="K4220" s="12"/>
      <c r="L4220" s="12"/>
      <c r="M4220" s="11"/>
      <c r="N4220" s="11"/>
      <c r="O4220" s="11"/>
      <c r="P4220" s="11"/>
    </row>
    <row r="4221" spans="8:16" hidden="1" x14ac:dyDescent="0.25">
      <c r="H4221" s="12"/>
      <c r="I4221" s="12"/>
      <c r="J4221" s="12"/>
      <c r="K4221" s="12"/>
      <c r="L4221" s="12"/>
      <c r="M4221" s="11"/>
      <c r="N4221" s="11"/>
      <c r="O4221" s="11"/>
      <c r="P4221" s="11"/>
    </row>
    <row r="4222" spans="8:16" hidden="1" x14ac:dyDescent="0.25">
      <c r="H4222" s="12"/>
      <c r="I4222" s="12"/>
      <c r="J4222" s="12"/>
      <c r="K4222" s="12"/>
      <c r="L4222" s="12"/>
      <c r="M4222" s="11"/>
      <c r="N4222" s="11"/>
      <c r="O4222" s="11"/>
      <c r="P4222" s="11"/>
    </row>
    <row r="4223" spans="8:16" hidden="1" x14ac:dyDescent="0.25">
      <c r="H4223" s="12"/>
      <c r="I4223" s="12"/>
      <c r="J4223" s="12"/>
      <c r="K4223" s="12"/>
      <c r="L4223" s="12"/>
      <c r="M4223" s="11"/>
      <c r="N4223" s="11"/>
      <c r="O4223" s="11"/>
      <c r="P4223" s="11"/>
    </row>
    <row r="4224" spans="8:16" hidden="1" x14ac:dyDescent="0.25">
      <c r="H4224" s="12"/>
      <c r="I4224" s="12"/>
      <c r="J4224" s="12"/>
      <c r="K4224" s="12"/>
      <c r="L4224" s="12"/>
      <c r="M4224" s="11"/>
      <c r="N4224" s="11"/>
      <c r="O4224" s="11"/>
      <c r="P4224" s="11"/>
    </row>
    <row r="4225" spans="8:16" hidden="1" x14ac:dyDescent="0.25">
      <c r="H4225" s="12"/>
      <c r="I4225" s="12"/>
      <c r="J4225" s="12"/>
      <c r="K4225" s="12"/>
      <c r="L4225" s="12"/>
      <c r="M4225" s="11"/>
      <c r="N4225" s="11"/>
      <c r="O4225" s="11"/>
      <c r="P4225" s="11"/>
    </row>
    <row r="4226" spans="8:16" hidden="1" x14ac:dyDescent="0.25">
      <c r="H4226" s="12"/>
      <c r="I4226" s="12"/>
      <c r="J4226" s="12"/>
      <c r="K4226" s="12"/>
      <c r="L4226" s="12"/>
      <c r="M4226" s="11"/>
      <c r="N4226" s="11"/>
      <c r="O4226" s="11"/>
      <c r="P4226" s="11"/>
    </row>
    <row r="4227" spans="8:16" hidden="1" x14ac:dyDescent="0.25">
      <c r="H4227" s="12"/>
      <c r="I4227" s="12"/>
      <c r="J4227" s="12"/>
      <c r="K4227" s="12"/>
      <c r="L4227" s="12"/>
      <c r="M4227" s="11"/>
      <c r="N4227" s="11"/>
      <c r="O4227" s="11"/>
      <c r="P4227" s="11"/>
    </row>
    <row r="4228" spans="8:16" hidden="1" x14ac:dyDescent="0.25">
      <c r="H4228" s="12"/>
      <c r="I4228" s="12"/>
      <c r="J4228" s="12"/>
      <c r="K4228" s="12"/>
      <c r="L4228" s="12"/>
      <c r="M4228" s="11"/>
      <c r="N4228" s="11"/>
      <c r="O4228" s="11"/>
      <c r="P4228" s="11"/>
    </row>
    <row r="4229" spans="8:16" hidden="1" x14ac:dyDescent="0.25">
      <c r="H4229" s="12"/>
      <c r="I4229" s="12"/>
      <c r="J4229" s="12"/>
      <c r="K4229" s="12"/>
      <c r="L4229" s="12"/>
      <c r="M4229" s="11"/>
      <c r="N4229" s="11"/>
      <c r="O4229" s="11"/>
      <c r="P4229" s="11"/>
    </row>
    <row r="4230" spans="8:16" hidden="1" x14ac:dyDescent="0.25">
      <c r="H4230" s="12"/>
      <c r="I4230" s="12"/>
      <c r="J4230" s="12"/>
      <c r="K4230" s="12"/>
      <c r="L4230" s="12"/>
      <c r="M4230" s="11"/>
      <c r="N4230" s="11"/>
      <c r="O4230" s="11"/>
      <c r="P4230" s="11"/>
    </row>
    <row r="4231" spans="8:16" hidden="1" x14ac:dyDescent="0.25">
      <c r="H4231" s="12"/>
      <c r="I4231" s="12"/>
      <c r="J4231" s="12"/>
      <c r="K4231" s="12"/>
      <c r="L4231" s="12"/>
      <c r="M4231" s="11"/>
      <c r="N4231" s="11"/>
      <c r="O4231" s="11"/>
      <c r="P4231" s="11"/>
    </row>
    <row r="4232" spans="8:16" hidden="1" x14ac:dyDescent="0.25">
      <c r="H4232" s="12"/>
      <c r="I4232" s="12"/>
      <c r="J4232" s="12"/>
      <c r="K4232" s="12"/>
      <c r="L4232" s="12"/>
      <c r="M4232" s="11"/>
      <c r="N4232" s="11"/>
      <c r="O4232" s="11"/>
      <c r="P4232" s="11"/>
    </row>
    <row r="4233" spans="8:16" hidden="1" x14ac:dyDescent="0.25">
      <c r="H4233" s="12"/>
      <c r="I4233" s="12"/>
      <c r="J4233" s="12"/>
      <c r="K4233" s="12"/>
      <c r="L4233" s="12"/>
      <c r="M4233" s="11"/>
      <c r="N4233" s="11"/>
      <c r="O4233" s="11"/>
      <c r="P4233" s="11"/>
    </row>
    <row r="4234" spans="8:16" hidden="1" x14ac:dyDescent="0.25">
      <c r="H4234" s="12"/>
      <c r="I4234" s="12"/>
      <c r="J4234" s="12"/>
      <c r="K4234" s="12"/>
      <c r="L4234" s="12"/>
      <c r="M4234" s="11"/>
      <c r="N4234" s="11"/>
      <c r="O4234" s="11"/>
      <c r="P4234" s="11"/>
    </row>
    <row r="4235" spans="8:16" hidden="1" x14ac:dyDescent="0.25">
      <c r="H4235" s="12"/>
      <c r="I4235" s="12"/>
      <c r="J4235" s="12"/>
      <c r="K4235" s="12"/>
      <c r="L4235" s="12"/>
      <c r="M4235" s="11"/>
      <c r="N4235" s="11"/>
      <c r="O4235" s="11"/>
      <c r="P4235" s="11"/>
    </row>
    <row r="4236" spans="8:16" hidden="1" x14ac:dyDescent="0.25">
      <c r="H4236" s="12"/>
      <c r="I4236" s="12"/>
      <c r="J4236" s="12"/>
      <c r="K4236" s="12"/>
      <c r="L4236" s="12"/>
      <c r="M4236" s="11"/>
      <c r="N4236" s="11"/>
      <c r="O4236" s="11"/>
      <c r="P4236" s="11"/>
    </row>
    <row r="4237" spans="8:16" hidden="1" x14ac:dyDescent="0.25">
      <c r="H4237" s="12"/>
      <c r="I4237" s="12"/>
      <c r="J4237" s="12"/>
      <c r="K4237" s="12"/>
      <c r="L4237" s="12"/>
      <c r="M4237" s="11"/>
      <c r="N4237" s="11"/>
      <c r="O4237" s="11"/>
      <c r="P4237" s="11"/>
    </row>
    <row r="4238" spans="8:16" hidden="1" x14ac:dyDescent="0.25">
      <c r="H4238" s="12"/>
      <c r="I4238" s="12"/>
      <c r="J4238" s="12"/>
      <c r="K4238" s="12"/>
      <c r="L4238" s="12"/>
      <c r="M4238" s="11"/>
      <c r="N4238" s="11"/>
      <c r="O4238" s="11"/>
      <c r="P4238" s="11"/>
    </row>
    <row r="4239" spans="8:16" hidden="1" x14ac:dyDescent="0.25">
      <c r="H4239" s="12"/>
      <c r="I4239" s="12"/>
      <c r="J4239" s="12"/>
      <c r="K4239" s="12"/>
      <c r="L4239" s="12"/>
      <c r="M4239" s="11"/>
      <c r="N4239" s="11"/>
      <c r="O4239" s="11"/>
      <c r="P4239" s="11"/>
    </row>
    <row r="4240" spans="8:16" hidden="1" x14ac:dyDescent="0.25">
      <c r="H4240" s="12"/>
      <c r="I4240" s="12"/>
      <c r="J4240" s="12"/>
      <c r="K4240" s="12"/>
      <c r="L4240" s="12"/>
      <c r="M4240" s="11"/>
      <c r="N4240" s="11"/>
      <c r="O4240" s="11"/>
      <c r="P4240" s="11"/>
    </row>
    <row r="4241" spans="8:16" hidden="1" x14ac:dyDescent="0.25">
      <c r="H4241" s="12"/>
      <c r="I4241" s="12"/>
      <c r="J4241" s="12"/>
      <c r="K4241" s="12"/>
      <c r="L4241" s="12"/>
      <c r="M4241" s="11"/>
      <c r="N4241" s="11"/>
      <c r="O4241" s="11"/>
      <c r="P4241" s="11"/>
    </row>
    <row r="4242" spans="8:16" hidden="1" x14ac:dyDescent="0.25">
      <c r="H4242" s="12"/>
      <c r="I4242" s="12"/>
      <c r="J4242" s="12"/>
      <c r="K4242" s="12"/>
      <c r="L4242" s="12"/>
      <c r="M4242" s="11"/>
      <c r="N4242" s="11"/>
      <c r="O4242" s="11"/>
      <c r="P4242" s="11"/>
    </row>
    <row r="4243" spans="8:16" hidden="1" x14ac:dyDescent="0.25">
      <c r="H4243" s="12"/>
      <c r="I4243" s="12"/>
      <c r="J4243" s="12"/>
      <c r="K4243" s="12"/>
      <c r="L4243" s="12"/>
      <c r="M4243" s="11"/>
      <c r="N4243" s="11"/>
      <c r="O4243" s="11"/>
      <c r="P4243" s="11"/>
    </row>
    <row r="4244" spans="8:16" hidden="1" x14ac:dyDescent="0.25">
      <c r="H4244" s="12"/>
      <c r="I4244" s="12"/>
      <c r="J4244" s="12"/>
      <c r="K4244" s="12"/>
      <c r="L4244" s="12"/>
      <c r="M4244" s="11"/>
      <c r="N4244" s="11"/>
      <c r="O4244" s="11"/>
      <c r="P4244" s="11"/>
    </row>
    <row r="4245" spans="8:16" hidden="1" x14ac:dyDescent="0.25">
      <c r="H4245" s="12"/>
      <c r="I4245" s="12"/>
      <c r="J4245" s="12"/>
      <c r="K4245" s="12"/>
      <c r="L4245" s="12"/>
      <c r="M4245" s="11"/>
      <c r="N4245" s="11"/>
      <c r="O4245" s="11"/>
      <c r="P4245" s="11"/>
    </row>
    <row r="4246" spans="8:16" hidden="1" x14ac:dyDescent="0.25">
      <c r="H4246" s="12"/>
      <c r="I4246" s="12"/>
      <c r="J4246" s="12"/>
      <c r="K4246" s="12"/>
      <c r="L4246" s="12"/>
      <c r="M4246" s="11"/>
      <c r="N4246" s="11"/>
      <c r="O4246" s="11"/>
      <c r="P4246" s="11"/>
    </row>
    <row r="4247" spans="8:16" hidden="1" x14ac:dyDescent="0.25">
      <c r="H4247" s="12"/>
      <c r="I4247" s="12"/>
      <c r="J4247" s="12"/>
      <c r="K4247" s="12"/>
      <c r="L4247" s="12"/>
      <c r="M4247" s="11"/>
      <c r="N4247" s="11"/>
      <c r="O4247" s="11"/>
      <c r="P4247" s="11"/>
    </row>
    <row r="4248" spans="8:16" hidden="1" x14ac:dyDescent="0.25">
      <c r="H4248" s="12"/>
      <c r="I4248" s="12"/>
      <c r="J4248" s="12"/>
      <c r="K4248" s="12"/>
      <c r="L4248" s="12"/>
      <c r="M4248" s="11"/>
      <c r="N4248" s="11"/>
      <c r="O4248" s="11"/>
      <c r="P4248" s="11"/>
    </row>
    <row r="4249" spans="8:16" hidden="1" x14ac:dyDescent="0.25">
      <c r="H4249" s="12"/>
      <c r="I4249" s="12"/>
      <c r="J4249" s="12"/>
      <c r="K4249" s="12"/>
      <c r="L4249" s="12"/>
      <c r="M4249" s="11"/>
      <c r="N4249" s="11"/>
      <c r="O4249" s="11"/>
      <c r="P4249" s="11"/>
    </row>
    <row r="4250" spans="8:16" hidden="1" x14ac:dyDescent="0.25">
      <c r="H4250" s="12"/>
      <c r="I4250" s="12"/>
      <c r="J4250" s="12"/>
      <c r="K4250" s="12"/>
      <c r="L4250" s="12"/>
      <c r="M4250" s="11"/>
      <c r="N4250" s="11"/>
      <c r="O4250" s="11"/>
      <c r="P4250" s="11"/>
    </row>
    <row r="4251" spans="8:16" hidden="1" x14ac:dyDescent="0.25">
      <c r="H4251" s="12"/>
      <c r="I4251" s="12"/>
      <c r="J4251" s="12"/>
      <c r="K4251" s="12"/>
      <c r="L4251" s="12"/>
      <c r="M4251" s="11"/>
      <c r="N4251" s="11"/>
      <c r="O4251" s="11"/>
      <c r="P4251" s="11"/>
    </row>
    <row r="4252" spans="8:16" hidden="1" x14ac:dyDescent="0.25">
      <c r="H4252" s="12"/>
      <c r="I4252" s="12"/>
      <c r="J4252" s="12"/>
      <c r="K4252" s="12"/>
      <c r="L4252" s="12"/>
      <c r="M4252" s="11"/>
      <c r="N4252" s="11"/>
      <c r="O4252" s="11"/>
      <c r="P4252" s="11"/>
    </row>
    <row r="4253" spans="8:16" hidden="1" x14ac:dyDescent="0.25">
      <c r="H4253" s="12"/>
      <c r="I4253" s="12"/>
      <c r="J4253" s="12"/>
      <c r="K4253" s="12"/>
      <c r="L4253" s="12"/>
      <c r="M4253" s="11"/>
      <c r="N4253" s="11"/>
      <c r="O4253" s="11"/>
      <c r="P4253" s="11"/>
    </row>
    <row r="4254" spans="8:16" hidden="1" x14ac:dyDescent="0.25">
      <c r="H4254" s="12"/>
      <c r="I4254" s="12"/>
      <c r="J4254" s="12"/>
      <c r="K4254" s="12"/>
      <c r="L4254" s="12"/>
      <c r="M4254" s="11"/>
      <c r="N4254" s="11"/>
      <c r="O4254" s="11"/>
      <c r="P4254" s="11"/>
    </row>
    <row r="4255" spans="8:16" hidden="1" x14ac:dyDescent="0.25">
      <c r="H4255" s="12"/>
      <c r="I4255" s="12"/>
      <c r="J4255" s="12"/>
      <c r="K4255" s="12"/>
      <c r="L4255" s="12"/>
      <c r="M4255" s="11"/>
      <c r="N4255" s="11"/>
      <c r="O4255" s="11"/>
      <c r="P4255" s="11"/>
    </row>
    <row r="4256" spans="8:16" hidden="1" x14ac:dyDescent="0.25">
      <c r="H4256" s="12"/>
      <c r="I4256" s="12"/>
      <c r="J4256" s="12"/>
      <c r="K4256" s="12"/>
      <c r="L4256" s="12"/>
      <c r="M4256" s="11"/>
      <c r="N4256" s="11"/>
      <c r="O4256" s="11"/>
      <c r="P4256" s="11"/>
    </row>
    <row r="4257" spans="8:16" hidden="1" x14ac:dyDescent="0.25">
      <c r="H4257" s="12"/>
      <c r="I4257" s="12"/>
      <c r="J4257" s="12"/>
      <c r="K4257" s="12"/>
      <c r="L4257" s="12"/>
      <c r="M4257" s="11"/>
      <c r="N4257" s="11"/>
      <c r="O4257" s="11"/>
      <c r="P4257" s="11"/>
    </row>
    <row r="4258" spans="8:16" hidden="1" x14ac:dyDescent="0.25">
      <c r="H4258" s="12"/>
      <c r="I4258" s="12"/>
      <c r="J4258" s="12"/>
      <c r="K4258" s="12"/>
      <c r="L4258" s="12"/>
      <c r="M4258" s="11"/>
      <c r="N4258" s="11"/>
      <c r="O4258" s="11"/>
      <c r="P4258" s="11"/>
    </row>
    <row r="4259" spans="8:16" hidden="1" x14ac:dyDescent="0.25">
      <c r="H4259" s="12"/>
      <c r="I4259" s="12"/>
      <c r="J4259" s="12"/>
      <c r="K4259" s="12"/>
      <c r="L4259" s="12"/>
      <c r="M4259" s="11"/>
      <c r="N4259" s="11"/>
      <c r="O4259" s="11"/>
      <c r="P4259" s="11"/>
    </row>
    <row r="4260" spans="8:16" hidden="1" x14ac:dyDescent="0.25">
      <c r="H4260" s="12"/>
      <c r="I4260" s="12"/>
      <c r="J4260" s="12"/>
      <c r="K4260" s="12"/>
      <c r="L4260" s="12"/>
      <c r="M4260" s="11"/>
      <c r="N4260" s="11"/>
      <c r="O4260" s="11"/>
      <c r="P4260" s="11"/>
    </row>
    <row r="4261" spans="8:16" hidden="1" x14ac:dyDescent="0.25">
      <c r="H4261" s="12"/>
      <c r="I4261" s="12"/>
      <c r="J4261" s="12"/>
      <c r="K4261" s="12"/>
      <c r="L4261" s="12"/>
      <c r="M4261" s="11"/>
      <c r="N4261" s="11"/>
      <c r="O4261" s="11"/>
      <c r="P4261" s="11"/>
    </row>
    <row r="4262" spans="8:16" hidden="1" x14ac:dyDescent="0.25">
      <c r="H4262" s="12"/>
      <c r="I4262" s="12"/>
      <c r="J4262" s="12"/>
      <c r="K4262" s="12"/>
      <c r="L4262" s="12"/>
      <c r="M4262" s="11"/>
      <c r="N4262" s="11"/>
      <c r="O4262" s="11"/>
      <c r="P4262" s="11"/>
    </row>
    <row r="4263" spans="8:16" hidden="1" x14ac:dyDescent="0.25">
      <c r="H4263" s="12"/>
      <c r="I4263" s="12"/>
      <c r="J4263" s="12"/>
      <c r="K4263" s="12"/>
      <c r="L4263" s="12"/>
      <c r="M4263" s="11"/>
      <c r="N4263" s="11"/>
      <c r="O4263" s="11"/>
      <c r="P4263" s="11"/>
    </row>
    <row r="4264" spans="8:16" hidden="1" x14ac:dyDescent="0.25">
      <c r="H4264" s="12"/>
      <c r="I4264" s="12"/>
      <c r="J4264" s="12"/>
      <c r="K4264" s="12"/>
      <c r="L4264" s="12"/>
      <c r="M4264" s="11"/>
      <c r="N4264" s="11"/>
      <c r="O4264" s="11"/>
      <c r="P4264" s="11"/>
    </row>
    <row r="4265" spans="8:16" hidden="1" x14ac:dyDescent="0.25">
      <c r="H4265" s="12"/>
      <c r="I4265" s="12"/>
      <c r="J4265" s="12"/>
      <c r="K4265" s="12"/>
      <c r="L4265" s="12"/>
      <c r="M4265" s="11"/>
      <c r="N4265" s="11"/>
      <c r="O4265" s="11"/>
      <c r="P4265" s="11"/>
    </row>
    <row r="4266" spans="8:16" hidden="1" x14ac:dyDescent="0.25">
      <c r="H4266" s="12"/>
      <c r="I4266" s="12"/>
      <c r="J4266" s="12"/>
      <c r="K4266" s="12"/>
      <c r="L4266" s="12"/>
      <c r="M4266" s="11"/>
      <c r="N4266" s="11"/>
      <c r="O4266" s="11"/>
      <c r="P4266" s="11"/>
    </row>
    <row r="4267" spans="8:16" hidden="1" x14ac:dyDescent="0.25">
      <c r="H4267" s="12"/>
      <c r="I4267" s="12"/>
      <c r="J4267" s="12"/>
      <c r="K4267" s="12"/>
      <c r="L4267" s="12"/>
      <c r="M4267" s="11"/>
      <c r="N4267" s="11"/>
      <c r="O4267" s="11"/>
      <c r="P4267" s="11"/>
    </row>
    <row r="4268" spans="8:16" hidden="1" x14ac:dyDescent="0.25">
      <c r="H4268" s="12"/>
      <c r="I4268" s="12"/>
      <c r="J4268" s="12"/>
      <c r="K4268" s="12"/>
      <c r="L4268" s="12"/>
      <c r="M4268" s="11"/>
      <c r="N4268" s="11"/>
      <c r="O4268" s="11"/>
      <c r="P4268" s="11"/>
    </row>
    <row r="4269" spans="8:16" hidden="1" x14ac:dyDescent="0.25">
      <c r="H4269" s="12"/>
      <c r="I4269" s="12"/>
      <c r="J4269" s="12"/>
      <c r="K4269" s="12"/>
      <c r="L4269" s="12"/>
      <c r="M4269" s="11"/>
      <c r="N4269" s="11"/>
      <c r="O4269" s="11"/>
      <c r="P4269" s="11"/>
    </row>
    <row r="4270" spans="8:16" hidden="1" x14ac:dyDescent="0.25">
      <c r="H4270" s="12"/>
      <c r="I4270" s="12"/>
      <c r="J4270" s="12"/>
      <c r="K4270" s="12"/>
      <c r="L4270" s="12"/>
      <c r="M4270" s="11"/>
      <c r="N4270" s="11"/>
      <c r="O4270" s="11"/>
      <c r="P4270" s="11"/>
    </row>
    <row r="4271" spans="8:16" hidden="1" x14ac:dyDescent="0.25">
      <c r="H4271" s="12"/>
      <c r="I4271" s="12"/>
      <c r="J4271" s="12"/>
      <c r="K4271" s="12"/>
      <c r="L4271" s="12"/>
      <c r="M4271" s="11"/>
      <c r="N4271" s="11"/>
      <c r="O4271" s="11"/>
      <c r="P4271" s="11"/>
    </row>
    <row r="4272" spans="8:16" hidden="1" x14ac:dyDescent="0.25">
      <c r="H4272" s="12"/>
      <c r="I4272" s="12"/>
      <c r="J4272" s="12"/>
      <c r="K4272" s="12"/>
      <c r="L4272" s="12"/>
      <c r="M4272" s="11"/>
      <c r="N4272" s="11"/>
      <c r="O4272" s="11"/>
      <c r="P4272" s="11"/>
    </row>
    <row r="4273" spans="8:16" hidden="1" x14ac:dyDescent="0.25">
      <c r="H4273" s="12"/>
      <c r="I4273" s="12"/>
      <c r="J4273" s="12"/>
      <c r="K4273" s="12"/>
      <c r="L4273" s="12"/>
      <c r="M4273" s="11"/>
      <c r="N4273" s="11"/>
      <c r="O4273" s="11"/>
      <c r="P4273" s="11"/>
    </row>
    <row r="4274" spans="8:16" hidden="1" x14ac:dyDescent="0.25">
      <c r="H4274" s="12"/>
      <c r="I4274" s="12"/>
      <c r="J4274" s="12"/>
      <c r="K4274" s="12"/>
      <c r="L4274" s="12"/>
      <c r="M4274" s="11"/>
      <c r="N4274" s="11"/>
      <c r="O4274" s="11"/>
      <c r="P4274" s="11"/>
    </row>
    <row r="4275" spans="8:16" hidden="1" x14ac:dyDescent="0.25">
      <c r="H4275" s="12"/>
      <c r="I4275" s="12"/>
      <c r="J4275" s="12"/>
      <c r="K4275" s="12"/>
      <c r="L4275" s="12"/>
      <c r="M4275" s="11"/>
      <c r="N4275" s="11"/>
      <c r="O4275" s="11"/>
      <c r="P4275" s="11"/>
    </row>
    <row r="4276" spans="8:16" hidden="1" x14ac:dyDescent="0.25">
      <c r="H4276" s="12"/>
      <c r="I4276" s="12"/>
      <c r="J4276" s="12"/>
      <c r="K4276" s="12"/>
      <c r="L4276" s="12"/>
      <c r="M4276" s="11"/>
      <c r="N4276" s="11"/>
      <c r="O4276" s="11"/>
      <c r="P4276" s="11"/>
    </row>
    <row r="4277" spans="8:16" hidden="1" x14ac:dyDescent="0.25">
      <c r="H4277" s="12"/>
      <c r="I4277" s="12"/>
      <c r="J4277" s="12"/>
      <c r="K4277" s="12"/>
      <c r="L4277" s="12"/>
      <c r="M4277" s="11"/>
      <c r="N4277" s="11"/>
      <c r="O4277" s="11"/>
      <c r="P4277" s="11"/>
    </row>
    <row r="4278" spans="8:16" hidden="1" x14ac:dyDescent="0.25">
      <c r="H4278" s="12"/>
      <c r="I4278" s="12"/>
      <c r="J4278" s="12"/>
      <c r="K4278" s="12"/>
      <c r="L4278" s="12"/>
      <c r="M4278" s="11"/>
      <c r="N4278" s="11"/>
      <c r="O4278" s="11"/>
      <c r="P4278" s="11"/>
    </row>
    <row r="4279" spans="8:16" hidden="1" x14ac:dyDescent="0.25">
      <c r="H4279" s="12"/>
      <c r="I4279" s="12"/>
      <c r="J4279" s="12"/>
      <c r="K4279" s="12"/>
      <c r="L4279" s="12"/>
      <c r="M4279" s="11"/>
      <c r="N4279" s="11"/>
      <c r="O4279" s="11"/>
      <c r="P4279" s="11"/>
    </row>
    <row r="4280" spans="8:16" hidden="1" x14ac:dyDescent="0.25">
      <c r="H4280" s="12"/>
      <c r="I4280" s="12"/>
      <c r="J4280" s="12"/>
      <c r="K4280" s="12"/>
      <c r="L4280" s="12"/>
      <c r="M4280" s="11"/>
      <c r="N4280" s="11"/>
      <c r="O4280" s="11"/>
      <c r="P4280" s="11"/>
    </row>
    <row r="4281" spans="8:16" hidden="1" x14ac:dyDescent="0.25">
      <c r="H4281" s="12"/>
      <c r="I4281" s="12"/>
      <c r="J4281" s="12"/>
      <c r="K4281" s="12"/>
      <c r="L4281" s="12"/>
      <c r="M4281" s="11"/>
      <c r="N4281" s="11"/>
      <c r="O4281" s="11"/>
      <c r="P4281" s="11"/>
    </row>
    <row r="4282" spans="8:16" hidden="1" x14ac:dyDescent="0.25">
      <c r="H4282" s="12"/>
      <c r="I4282" s="12"/>
      <c r="J4282" s="12"/>
      <c r="K4282" s="12"/>
      <c r="L4282" s="12"/>
      <c r="M4282" s="11"/>
      <c r="N4282" s="11"/>
      <c r="O4282" s="11"/>
      <c r="P4282" s="11"/>
    </row>
    <row r="4283" spans="8:16" hidden="1" x14ac:dyDescent="0.25">
      <c r="H4283" s="12"/>
      <c r="I4283" s="12"/>
      <c r="J4283" s="12"/>
      <c r="K4283" s="12"/>
      <c r="L4283" s="12"/>
      <c r="M4283" s="11"/>
      <c r="N4283" s="11"/>
      <c r="O4283" s="11"/>
      <c r="P4283" s="11"/>
    </row>
    <row r="4284" spans="8:16" hidden="1" x14ac:dyDescent="0.25">
      <c r="H4284" s="12"/>
      <c r="I4284" s="12"/>
      <c r="J4284" s="12"/>
      <c r="K4284" s="12"/>
      <c r="L4284" s="12"/>
      <c r="M4284" s="11"/>
      <c r="N4284" s="11"/>
      <c r="O4284" s="11"/>
      <c r="P4284" s="11"/>
    </row>
    <row r="4285" spans="8:16" hidden="1" x14ac:dyDescent="0.25">
      <c r="H4285" s="12"/>
      <c r="I4285" s="12"/>
      <c r="J4285" s="12"/>
      <c r="K4285" s="12"/>
      <c r="L4285" s="12"/>
      <c r="M4285" s="11"/>
      <c r="N4285" s="11"/>
      <c r="O4285" s="11"/>
      <c r="P4285" s="11"/>
    </row>
    <row r="4286" spans="8:16" hidden="1" x14ac:dyDescent="0.25">
      <c r="H4286" s="12"/>
      <c r="I4286" s="12"/>
      <c r="J4286" s="12"/>
      <c r="K4286" s="12"/>
      <c r="L4286" s="12"/>
      <c r="M4286" s="11"/>
      <c r="N4286" s="11"/>
      <c r="O4286" s="11"/>
      <c r="P4286" s="11"/>
    </row>
    <row r="4287" spans="8:16" hidden="1" x14ac:dyDescent="0.25">
      <c r="H4287" s="12"/>
      <c r="I4287" s="12"/>
      <c r="J4287" s="12"/>
      <c r="K4287" s="12"/>
      <c r="L4287" s="12"/>
      <c r="M4287" s="11"/>
      <c r="N4287" s="11"/>
      <c r="O4287" s="11"/>
      <c r="P4287" s="11"/>
    </row>
    <row r="4288" spans="8:16" hidden="1" x14ac:dyDescent="0.25">
      <c r="H4288" s="12"/>
      <c r="I4288" s="12"/>
      <c r="J4288" s="12"/>
      <c r="K4288" s="12"/>
      <c r="L4288" s="12"/>
      <c r="M4288" s="11"/>
      <c r="N4288" s="11"/>
      <c r="O4288" s="11"/>
      <c r="P4288" s="11"/>
    </row>
    <row r="4289" spans="8:16" hidden="1" x14ac:dyDescent="0.25">
      <c r="H4289" s="12"/>
      <c r="I4289" s="12"/>
      <c r="J4289" s="12"/>
      <c r="K4289" s="12"/>
      <c r="L4289" s="12"/>
      <c r="M4289" s="11"/>
      <c r="N4289" s="11"/>
      <c r="O4289" s="11"/>
      <c r="P4289" s="11"/>
    </row>
    <row r="4290" spans="8:16" hidden="1" x14ac:dyDescent="0.25">
      <c r="H4290" s="12"/>
      <c r="I4290" s="12"/>
      <c r="J4290" s="12"/>
      <c r="K4290" s="12"/>
      <c r="L4290" s="12"/>
      <c r="M4290" s="11"/>
      <c r="N4290" s="11"/>
      <c r="O4290" s="11"/>
      <c r="P4290" s="11"/>
    </row>
    <row r="4291" spans="8:16" hidden="1" x14ac:dyDescent="0.25">
      <c r="H4291" s="12"/>
      <c r="I4291" s="12"/>
      <c r="J4291" s="12"/>
      <c r="K4291" s="12"/>
      <c r="L4291" s="12"/>
      <c r="M4291" s="11"/>
      <c r="N4291" s="11"/>
      <c r="O4291" s="11"/>
      <c r="P4291" s="11"/>
    </row>
    <row r="4292" spans="8:16" hidden="1" x14ac:dyDescent="0.25">
      <c r="H4292" s="12"/>
      <c r="I4292" s="12"/>
      <c r="J4292" s="12"/>
      <c r="K4292" s="12"/>
      <c r="L4292" s="12"/>
      <c r="M4292" s="11"/>
      <c r="N4292" s="11"/>
      <c r="O4292" s="11"/>
      <c r="P4292" s="11"/>
    </row>
    <row r="4293" spans="8:16" hidden="1" x14ac:dyDescent="0.25">
      <c r="H4293" s="12"/>
      <c r="I4293" s="12"/>
      <c r="J4293" s="12"/>
      <c r="K4293" s="12"/>
      <c r="L4293" s="12"/>
      <c r="M4293" s="11"/>
      <c r="N4293" s="11"/>
      <c r="O4293" s="11"/>
      <c r="P4293" s="11"/>
    </row>
    <row r="4294" spans="8:16" hidden="1" x14ac:dyDescent="0.25">
      <c r="H4294" s="12"/>
      <c r="I4294" s="12"/>
      <c r="J4294" s="12"/>
      <c r="K4294" s="12"/>
      <c r="L4294" s="12"/>
      <c r="M4294" s="11"/>
      <c r="N4294" s="11"/>
      <c r="O4294" s="11"/>
      <c r="P4294" s="11"/>
    </row>
    <row r="4295" spans="8:16" hidden="1" x14ac:dyDescent="0.25">
      <c r="H4295" s="12"/>
      <c r="I4295" s="12"/>
      <c r="J4295" s="12"/>
      <c r="K4295" s="12"/>
      <c r="L4295" s="12"/>
      <c r="M4295" s="11"/>
      <c r="N4295" s="11"/>
      <c r="O4295" s="11"/>
      <c r="P4295" s="11"/>
    </row>
    <row r="4296" spans="8:16" hidden="1" x14ac:dyDescent="0.25">
      <c r="H4296" s="12"/>
      <c r="I4296" s="12"/>
      <c r="J4296" s="12"/>
      <c r="K4296" s="12"/>
      <c r="L4296" s="12"/>
      <c r="M4296" s="11"/>
      <c r="N4296" s="11"/>
      <c r="O4296" s="11"/>
      <c r="P4296" s="11"/>
    </row>
    <row r="4297" spans="8:16" hidden="1" x14ac:dyDescent="0.25">
      <c r="H4297" s="12"/>
      <c r="I4297" s="12"/>
      <c r="J4297" s="12"/>
      <c r="K4297" s="12"/>
      <c r="L4297" s="12"/>
      <c r="M4297" s="11"/>
      <c r="N4297" s="11"/>
      <c r="O4297" s="11"/>
      <c r="P4297" s="11"/>
    </row>
    <row r="4298" spans="8:16" hidden="1" x14ac:dyDescent="0.25">
      <c r="H4298" s="12"/>
      <c r="I4298" s="12"/>
      <c r="J4298" s="12"/>
      <c r="K4298" s="12"/>
      <c r="L4298" s="12"/>
      <c r="M4298" s="11"/>
      <c r="N4298" s="11"/>
      <c r="O4298" s="11"/>
      <c r="P4298" s="11"/>
    </row>
    <row r="4299" spans="8:16" hidden="1" x14ac:dyDescent="0.25">
      <c r="H4299" s="12"/>
      <c r="I4299" s="12"/>
      <c r="J4299" s="12"/>
      <c r="K4299" s="12"/>
      <c r="L4299" s="12"/>
      <c r="M4299" s="11"/>
      <c r="N4299" s="11"/>
      <c r="O4299" s="11"/>
      <c r="P4299" s="11"/>
    </row>
    <row r="4300" spans="8:16" hidden="1" x14ac:dyDescent="0.25">
      <c r="H4300" s="12"/>
      <c r="I4300" s="12"/>
      <c r="J4300" s="12"/>
      <c r="K4300" s="12"/>
      <c r="L4300" s="12"/>
      <c r="M4300" s="11"/>
      <c r="N4300" s="11"/>
      <c r="O4300" s="11"/>
      <c r="P4300" s="11"/>
    </row>
    <row r="4301" spans="8:16" hidden="1" x14ac:dyDescent="0.25">
      <c r="H4301" s="12"/>
      <c r="I4301" s="12"/>
      <c r="J4301" s="12"/>
      <c r="K4301" s="12"/>
      <c r="L4301" s="12"/>
      <c r="M4301" s="11"/>
      <c r="N4301" s="11"/>
      <c r="O4301" s="11"/>
      <c r="P4301" s="11"/>
    </row>
    <row r="4302" spans="8:16" hidden="1" x14ac:dyDescent="0.25">
      <c r="H4302" s="12"/>
      <c r="I4302" s="12"/>
      <c r="J4302" s="12"/>
      <c r="K4302" s="12"/>
      <c r="L4302" s="12"/>
      <c r="M4302" s="11"/>
      <c r="N4302" s="11"/>
      <c r="O4302" s="11"/>
      <c r="P4302" s="11"/>
    </row>
    <row r="4303" spans="8:16" hidden="1" x14ac:dyDescent="0.25">
      <c r="H4303" s="12"/>
      <c r="I4303" s="12"/>
      <c r="J4303" s="12"/>
      <c r="K4303" s="12"/>
      <c r="L4303" s="12"/>
      <c r="M4303" s="11"/>
      <c r="N4303" s="11"/>
      <c r="O4303" s="11"/>
      <c r="P4303" s="11"/>
    </row>
    <row r="4304" spans="8:16" hidden="1" x14ac:dyDescent="0.25">
      <c r="H4304" s="12"/>
      <c r="I4304" s="12"/>
      <c r="J4304" s="12"/>
      <c r="K4304" s="12"/>
      <c r="L4304" s="12"/>
      <c r="M4304" s="11"/>
      <c r="N4304" s="11"/>
      <c r="O4304" s="11"/>
      <c r="P4304" s="11"/>
    </row>
    <row r="4305" spans="8:16" hidden="1" x14ac:dyDescent="0.25">
      <c r="H4305" s="12"/>
      <c r="I4305" s="12"/>
      <c r="J4305" s="12"/>
      <c r="K4305" s="12"/>
      <c r="L4305" s="12"/>
      <c r="M4305" s="11"/>
      <c r="N4305" s="11"/>
      <c r="O4305" s="11"/>
      <c r="P4305" s="11"/>
    </row>
    <row r="4306" spans="8:16" hidden="1" x14ac:dyDescent="0.25">
      <c r="H4306" s="12"/>
      <c r="I4306" s="12"/>
      <c r="J4306" s="12"/>
      <c r="K4306" s="12"/>
      <c r="L4306" s="12"/>
      <c r="M4306" s="11"/>
      <c r="N4306" s="11"/>
      <c r="O4306" s="11"/>
      <c r="P4306" s="11"/>
    </row>
    <row r="4307" spans="8:16" hidden="1" x14ac:dyDescent="0.25">
      <c r="H4307" s="12"/>
      <c r="I4307" s="12"/>
      <c r="J4307" s="12"/>
      <c r="K4307" s="12"/>
      <c r="L4307" s="12"/>
      <c r="M4307" s="11"/>
      <c r="N4307" s="11"/>
      <c r="O4307" s="11"/>
      <c r="P4307" s="11"/>
    </row>
    <row r="4308" spans="8:16" hidden="1" x14ac:dyDescent="0.25">
      <c r="H4308" s="12"/>
      <c r="I4308" s="12"/>
      <c r="J4308" s="12"/>
      <c r="K4308" s="12"/>
      <c r="L4308" s="12"/>
      <c r="M4308" s="11"/>
      <c r="N4308" s="11"/>
      <c r="O4308" s="11"/>
      <c r="P4308" s="11"/>
    </row>
    <row r="4309" spans="8:16" hidden="1" x14ac:dyDescent="0.25">
      <c r="H4309" s="12"/>
      <c r="I4309" s="12"/>
      <c r="J4309" s="12"/>
      <c r="K4309" s="12"/>
      <c r="L4309" s="12"/>
      <c r="M4309" s="11"/>
      <c r="N4309" s="11"/>
      <c r="O4309" s="11"/>
      <c r="P4309" s="11"/>
    </row>
    <row r="4310" spans="8:16" hidden="1" x14ac:dyDescent="0.25">
      <c r="H4310" s="12"/>
      <c r="I4310" s="12"/>
      <c r="J4310" s="12"/>
      <c r="K4310" s="12"/>
      <c r="L4310" s="12"/>
      <c r="M4310" s="11"/>
      <c r="N4310" s="11"/>
      <c r="O4310" s="11"/>
      <c r="P4310" s="11"/>
    </row>
    <row r="4311" spans="8:16" hidden="1" x14ac:dyDescent="0.25">
      <c r="H4311" s="12"/>
      <c r="I4311" s="12"/>
      <c r="J4311" s="12"/>
      <c r="K4311" s="12"/>
      <c r="L4311" s="12"/>
      <c r="M4311" s="11"/>
      <c r="N4311" s="11"/>
      <c r="O4311" s="11"/>
      <c r="P4311" s="11"/>
    </row>
    <row r="4312" spans="8:16" hidden="1" x14ac:dyDescent="0.25">
      <c r="H4312" s="12"/>
      <c r="I4312" s="12"/>
      <c r="J4312" s="12"/>
      <c r="K4312" s="12"/>
      <c r="L4312" s="12"/>
      <c r="M4312" s="11"/>
      <c r="N4312" s="11"/>
      <c r="O4312" s="11"/>
      <c r="P4312" s="11"/>
    </row>
    <row r="4313" spans="8:16" hidden="1" x14ac:dyDescent="0.25">
      <c r="H4313" s="12"/>
      <c r="I4313" s="12"/>
      <c r="J4313" s="12"/>
      <c r="K4313" s="12"/>
      <c r="L4313" s="12"/>
      <c r="M4313" s="11"/>
      <c r="N4313" s="11"/>
      <c r="O4313" s="11"/>
      <c r="P4313" s="11"/>
    </row>
    <row r="4314" spans="8:16" hidden="1" x14ac:dyDescent="0.25">
      <c r="H4314" s="12"/>
      <c r="I4314" s="12"/>
      <c r="J4314" s="12"/>
      <c r="K4314" s="12"/>
      <c r="L4314" s="12"/>
      <c r="M4314" s="11"/>
      <c r="N4314" s="11"/>
      <c r="O4314" s="11"/>
      <c r="P4314" s="11"/>
    </row>
    <row r="4315" spans="8:16" hidden="1" x14ac:dyDescent="0.25">
      <c r="H4315" s="12"/>
      <c r="I4315" s="12"/>
      <c r="J4315" s="12"/>
      <c r="K4315" s="12"/>
      <c r="L4315" s="12"/>
      <c r="M4315" s="11"/>
      <c r="N4315" s="11"/>
      <c r="O4315" s="11"/>
      <c r="P4315" s="11"/>
    </row>
    <row r="4316" spans="8:16" hidden="1" x14ac:dyDescent="0.25">
      <c r="H4316" s="12"/>
      <c r="I4316" s="12"/>
      <c r="J4316" s="12"/>
      <c r="K4316" s="12"/>
      <c r="L4316" s="12"/>
      <c r="M4316" s="11"/>
      <c r="N4316" s="11"/>
      <c r="O4316" s="11"/>
      <c r="P4316" s="11"/>
    </row>
    <row r="4317" spans="8:16" hidden="1" x14ac:dyDescent="0.25">
      <c r="H4317" s="12"/>
      <c r="I4317" s="12"/>
      <c r="J4317" s="12"/>
      <c r="K4317" s="12"/>
      <c r="L4317" s="12"/>
      <c r="M4317" s="11"/>
      <c r="N4317" s="11"/>
      <c r="O4317" s="11"/>
      <c r="P4317" s="11"/>
    </row>
    <row r="4318" spans="8:16" hidden="1" x14ac:dyDescent="0.25">
      <c r="H4318" s="12"/>
      <c r="I4318" s="12"/>
      <c r="J4318" s="12"/>
      <c r="K4318" s="12"/>
      <c r="L4318" s="12"/>
      <c r="M4318" s="11"/>
      <c r="N4318" s="11"/>
      <c r="O4318" s="11"/>
      <c r="P4318" s="11"/>
    </row>
    <row r="4319" spans="8:16" hidden="1" x14ac:dyDescent="0.25">
      <c r="H4319" s="12"/>
      <c r="I4319" s="12"/>
      <c r="J4319" s="12"/>
      <c r="K4319" s="12"/>
      <c r="L4319" s="12"/>
      <c r="M4319" s="11"/>
      <c r="N4319" s="11"/>
      <c r="O4319" s="11"/>
      <c r="P4319" s="11"/>
    </row>
    <row r="4320" spans="8:16" hidden="1" x14ac:dyDescent="0.25">
      <c r="H4320" s="12"/>
      <c r="I4320" s="12"/>
      <c r="J4320" s="12"/>
      <c r="K4320" s="12"/>
      <c r="L4320" s="12"/>
      <c r="M4320" s="11"/>
      <c r="N4320" s="11"/>
      <c r="O4320" s="11"/>
      <c r="P4320" s="11"/>
    </row>
    <row r="4321" spans="8:16" hidden="1" x14ac:dyDescent="0.25">
      <c r="H4321" s="12"/>
      <c r="I4321" s="12"/>
      <c r="J4321" s="12"/>
      <c r="K4321" s="12"/>
      <c r="L4321" s="12"/>
      <c r="M4321" s="11"/>
      <c r="N4321" s="11"/>
      <c r="O4321" s="11"/>
      <c r="P4321" s="11"/>
    </row>
    <row r="4322" spans="8:16" hidden="1" x14ac:dyDescent="0.25">
      <c r="H4322" s="12"/>
      <c r="I4322" s="12"/>
      <c r="J4322" s="12"/>
      <c r="K4322" s="12"/>
      <c r="L4322" s="12"/>
      <c r="M4322" s="11"/>
      <c r="N4322" s="11"/>
      <c r="O4322" s="11"/>
      <c r="P4322" s="11"/>
    </row>
    <row r="4323" spans="8:16" hidden="1" x14ac:dyDescent="0.25">
      <c r="H4323" s="12"/>
      <c r="I4323" s="12"/>
      <c r="J4323" s="12"/>
      <c r="K4323" s="12"/>
      <c r="L4323" s="12"/>
      <c r="M4323" s="11"/>
      <c r="N4323" s="11"/>
      <c r="O4323" s="11"/>
      <c r="P4323" s="11"/>
    </row>
    <row r="4324" spans="8:16" hidden="1" x14ac:dyDescent="0.25">
      <c r="H4324" s="12"/>
      <c r="I4324" s="12"/>
      <c r="J4324" s="12"/>
      <c r="K4324" s="12"/>
      <c r="L4324" s="12"/>
      <c r="M4324" s="11"/>
      <c r="N4324" s="11"/>
      <c r="O4324" s="11"/>
      <c r="P4324" s="11"/>
    </row>
    <row r="4325" spans="8:16" hidden="1" x14ac:dyDescent="0.25">
      <c r="H4325" s="12"/>
      <c r="I4325" s="12"/>
      <c r="J4325" s="12"/>
      <c r="K4325" s="12"/>
      <c r="L4325" s="12"/>
      <c r="M4325" s="11"/>
      <c r="N4325" s="11"/>
      <c r="O4325" s="11"/>
      <c r="P4325" s="11"/>
    </row>
    <row r="4326" spans="8:16" hidden="1" x14ac:dyDescent="0.25">
      <c r="H4326" s="12"/>
      <c r="I4326" s="12"/>
      <c r="J4326" s="12"/>
      <c r="K4326" s="12"/>
      <c r="L4326" s="12"/>
      <c r="M4326" s="11"/>
      <c r="N4326" s="11"/>
      <c r="O4326" s="11"/>
      <c r="P4326" s="11"/>
    </row>
    <row r="4327" spans="8:16" hidden="1" x14ac:dyDescent="0.25">
      <c r="H4327" s="12"/>
      <c r="I4327" s="12"/>
      <c r="J4327" s="12"/>
      <c r="K4327" s="12"/>
      <c r="L4327" s="12"/>
      <c r="M4327" s="11"/>
      <c r="N4327" s="11"/>
      <c r="O4327" s="11"/>
      <c r="P4327" s="11"/>
    </row>
    <row r="4328" spans="8:16" hidden="1" x14ac:dyDescent="0.25">
      <c r="H4328" s="12"/>
      <c r="I4328" s="12"/>
      <c r="J4328" s="12"/>
      <c r="K4328" s="12"/>
      <c r="L4328" s="12"/>
      <c r="M4328" s="11"/>
      <c r="N4328" s="11"/>
      <c r="O4328" s="11"/>
      <c r="P4328" s="11"/>
    </row>
    <row r="4329" spans="8:16" hidden="1" x14ac:dyDescent="0.25">
      <c r="H4329" s="12"/>
      <c r="I4329" s="12"/>
      <c r="J4329" s="12"/>
      <c r="K4329" s="12"/>
      <c r="L4329" s="12"/>
      <c r="M4329" s="11"/>
      <c r="N4329" s="11"/>
      <c r="O4329" s="11"/>
      <c r="P4329" s="11"/>
    </row>
    <row r="4330" spans="8:16" hidden="1" x14ac:dyDescent="0.25">
      <c r="H4330" s="12"/>
      <c r="I4330" s="12"/>
      <c r="J4330" s="12"/>
      <c r="K4330" s="12"/>
      <c r="L4330" s="12"/>
      <c r="M4330" s="11"/>
      <c r="N4330" s="11"/>
      <c r="O4330" s="11"/>
      <c r="P4330" s="11"/>
    </row>
    <row r="4331" spans="8:16" hidden="1" x14ac:dyDescent="0.25">
      <c r="H4331" s="12"/>
      <c r="I4331" s="12"/>
      <c r="J4331" s="12"/>
      <c r="K4331" s="12"/>
      <c r="L4331" s="12"/>
      <c r="M4331" s="11"/>
      <c r="N4331" s="11"/>
      <c r="O4331" s="11"/>
      <c r="P4331" s="11"/>
    </row>
    <row r="4332" spans="8:16" hidden="1" x14ac:dyDescent="0.25">
      <c r="H4332" s="12"/>
      <c r="I4332" s="12"/>
      <c r="J4332" s="12"/>
      <c r="K4332" s="12"/>
      <c r="L4332" s="12"/>
      <c r="M4332" s="11"/>
      <c r="N4332" s="11"/>
      <c r="O4332" s="11"/>
      <c r="P4332" s="11"/>
    </row>
    <row r="4333" spans="8:16" hidden="1" x14ac:dyDescent="0.25">
      <c r="H4333" s="12"/>
      <c r="I4333" s="12"/>
      <c r="J4333" s="12"/>
      <c r="K4333" s="12"/>
      <c r="L4333" s="12"/>
      <c r="M4333" s="11"/>
      <c r="N4333" s="11"/>
      <c r="O4333" s="11"/>
      <c r="P4333" s="11"/>
    </row>
    <row r="4334" spans="8:16" hidden="1" x14ac:dyDescent="0.25">
      <c r="H4334" s="12"/>
      <c r="I4334" s="12"/>
      <c r="J4334" s="12"/>
      <c r="K4334" s="12"/>
      <c r="L4334" s="12"/>
      <c r="M4334" s="11"/>
      <c r="N4334" s="11"/>
      <c r="O4334" s="11"/>
      <c r="P4334" s="11"/>
    </row>
    <row r="4335" spans="8:16" hidden="1" x14ac:dyDescent="0.25">
      <c r="H4335" s="12"/>
      <c r="I4335" s="12"/>
      <c r="J4335" s="12"/>
      <c r="K4335" s="12"/>
      <c r="L4335" s="12"/>
      <c r="M4335" s="11"/>
      <c r="N4335" s="11"/>
      <c r="O4335" s="11"/>
      <c r="P4335" s="11"/>
    </row>
    <row r="4336" spans="8:16" hidden="1" x14ac:dyDescent="0.25">
      <c r="H4336" s="12"/>
      <c r="I4336" s="12"/>
      <c r="J4336" s="12"/>
      <c r="K4336" s="12"/>
      <c r="L4336" s="12"/>
      <c r="M4336" s="11"/>
      <c r="N4336" s="11"/>
      <c r="O4336" s="11"/>
      <c r="P4336" s="11"/>
    </row>
    <row r="4337" spans="8:16" hidden="1" x14ac:dyDescent="0.25">
      <c r="H4337" s="12"/>
      <c r="I4337" s="12"/>
      <c r="J4337" s="12"/>
      <c r="K4337" s="12"/>
      <c r="L4337" s="12"/>
      <c r="M4337" s="11"/>
      <c r="N4337" s="11"/>
      <c r="O4337" s="11"/>
      <c r="P4337" s="11"/>
    </row>
    <row r="4338" spans="8:16" hidden="1" x14ac:dyDescent="0.25">
      <c r="H4338" s="12"/>
      <c r="I4338" s="12"/>
      <c r="J4338" s="12"/>
      <c r="K4338" s="12"/>
      <c r="L4338" s="12"/>
      <c r="M4338" s="11"/>
      <c r="N4338" s="11"/>
      <c r="O4338" s="11"/>
      <c r="P4338" s="11"/>
    </row>
    <row r="4339" spans="8:16" hidden="1" x14ac:dyDescent="0.25">
      <c r="H4339" s="12"/>
      <c r="I4339" s="12"/>
      <c r="J4339" s="12"/>
      <c r="K4339" s="12"/>
      <c r="L4339" s="12"/>
      <c r="M4339" s="11"/>
      <c r="N4339" s="11"/>
      <c r="O4339" s="11"/>
      <c r="P4339" s="11"/>
    </row>
    <row r="4340" spans="8:16" hidden="1" x14ac:dyDescent="0.25">
      <c r="H4340" s="12"/>
      <c r="I4340" s="12"/>
      <c r="J4340" s="12"/>
      <c r="K4340" s="12"/>
      <c r="L4340" s="12"/>
      <c r="M4340" s="11"/>
      <c r="N4340" s="11"/>
      <c r="O4340" s="11"/>
      <c r="P4340" s="11"/>
    </row>
    <row r="4341" spans="8:16" x14ac:dyDescent="0.25">
      <c r="H4341" s="12"/>
      <c r="I4341" s="12"/>
      <c r="J4341" s="12"/>
      <c r="K4341" s="12"/>
      <c r="L4341" s="12"/>
      <c r="M4341" s="11"/>
      <c r="N4341" s="11"/>
      <c r="O4341" s="11"/>
      <c r="P4341" s="11"/>
    </row>
    <row r="4342" spans="8:16" x14ac:dyDescent="0.25">
      <c r="H4342" s="12"/>
      <c r="I4342" s="12"/>
      <c r="J4342" s="12"/>
      <c r="K4342" s="12"/>
      <c r="L4342" s="12"/>
      <c r="M4342" s="11"/>
      <c r="N4342" s="11"/>
      <c r="O4342" s="11"/>
      <c r="P4342" s="11"/>
    </row>
    <row r="4343" spans="8:16" x14ac:dyDescent="0.25">
      <c r="H4343" s="12"/>
      <c r="I4343" s="12"/>
      <c r="J4343" s="12"/>
      <c r="K4343" s="12"/>
      <c r="L4343" s="12"/>
      <c r="M4343" s="11"/>
      <c r="N4343" s="11"/>
      <c r="O4343" s="11"/>
      <c r="P4343" s="11"/>
    </row>
    <row r="4344" spans="8:16" x14ac:dyDescent="0.25">
      <c r="H4344" s="12"/>
      <c r="I4344" s="12"/>
      <c r="J4344" s="12"/>
      <c r="K4344" s="12"/>
      <c r="L4344" s="12"/>
      <c r="M4344" s="11"/>
      <c r="N4344" s="11"/>
      <c r="O4344" s="11"/>
      <c r="P4344" s="11"/>
    </row>
    <row r="4345" spans="8:16" x14ac:dyDescent="0.25">
      <c r="H4345" s="12"/>
      <c r="I4345" s="12"/>
      <c r="J4345" s="12"/>
      <c r="K4345" s="12"/>
      <c r="L4345" s="12"/>
      <c r="M4345" s="11"/>
      <c r="N4345" s="11"/>
      <c r="O4345" s="11"/>
      <c r="P4345" s="11"/>
    </row>
    <row r="4346" spans="8:16" x14ac:dyDescent="0.25">
      <c r="H4346" s="12"/>
      <c r="I4346" s="12"/>
      <c r="J4346" s="12"/>
      <c r="K4346" s="12"/>
      <c r="L4346" s="12"/>
      <c r="M4346" s="11"/>
      <c r="N4346" s="11"/>
      <c r="O4346" s="11"/>
      <c r="P4346" s="11"/>
    </row>
    <row r="4347" spans="8:16" x14ac:dyDescent="0.25">
      <c r="H4347" s="12"/>
      <c r="I4347" s="12"/>
      <c r="J4347" s="12"/>
      <c r="K4347" s="12"/>
      <c r="L4347" s="12"/>
      <c r="M4347" s="11"/>
      <c r="N4347" s="11"/>
      <c r="O4347" s="11"/>
      <c r="P4347" s="11"/>
    </row>
    <row r="4348" spans="8:16" x14ac:dyDescent="0.25">
      <c r="H4348" s="12"/>
      <c r="I4348" s="12"/>
      <c r="J4348" s="12"/>
      <c r="K4348" s="12"/>
      <c r="L4348" s="12"/>
      <c r="M4348" s="11"/>
      <c r="N4348" s="11"/>
      <c r="O4348" s="11"/>
      <c r="P4348" s="11"/>
    </row>
    <row r="4349" spans="8:16" x14ac:dyDescent="0.25">
      <c r="H4349" s="12"/>
      <c r="I4349" s="12"/>
      <c r="J4349" s="12"/>
      <c r="K4349" s="12"/>
      <c r="L4349" s="12"/>
      <c r="M4349" s="11"/>
      <c r="N4349" s="11"/>
      <c r="O4349" s="11"/>
      <c r="P4349" s="11"/>
    </row>
    <row r="4350" spans="8:16" x14ac:dyDescent="0.25">
      <c r="H4350" s="12"/>
      <c r="I4350" s="12"/>
      <c r="J4350" s="12"/>
      <c r="K4350" s="12"/>
      <c r="L4350" s="12"/>
      <c r="M4350" s="11"/>
      <c r="N4350" s="11"/>
      <c r="O4350" s="11"/>
      <c r="P4350" s="11"/>
    </row>
    <row r="4351" spans="8:16" x14ac:dyDescent="0.25">
      <c r="H4351" s="12"/>
      <c r="I4351" s="12"/>
      <c r="J4351" s="12"/>
      <c r="K4351" s="12"/>
      <c r="L4351" s="12"/>
      <c r="M4351" s="11"/>
      <c r="N4351" s="11"/>
      <c r="O4351" s="11"/>
      <c r="P4351" s="11"/>
    </row>
    <row r="4352" spans="8:16" x14ac:dyDescent="0.25">
      <c r="H4352" s="12"/>
      <c r="I4352" s="12"/>
      <c r="J4352" s="12"/>
      <c r="K4352" s="12"/>
      <c r="L4352" s="12"/>
      <c r="M4352" s="11"/>
      <c r="N4352" s="11"/>
      <c r="O4352" s="11"/>
      <c r="P4352" s="11"/>
    </row>
    <row r="4353" spans="8:16" x14ac:dyDescent="0.25">
      <c r="H4353" s="12"/>
      <c r="I4353" s="12"/>
      <c r="J4353" s="12"/>
      <c r="K4353" s="12"/>
      <c r="L4353" s="12"/>
      <c r="M4353" s="11"/>
      <c r="N4353" s="11"/>
      <c r="O4353" s="11"/>
      <c r="P4353" s="11"/>
    </row>
    <row r="4354" spans="8:16" x14ac:dyDescent="0.25">
      <c r="H4354" s="12"/>
      <c r="I4354" s="12"/>
      <c r="J4354" s="12"/>
      <c r="K4354" s="12"/>
      <c r="L4354" s="12"/>
      <c r="M4354" s="11"/>
      <c r="N4354" s="11"/>
      <c r="O4354" s="11"/>
      <c r="P4354" s="11"/>
    </row>
    <row r="4355" spans="8:16" x14ac:dyDescent="0.25">
      <c r="H4355" s="12"/>
      <c r="I4355" s="12"/>
      <c r="J4355" s="12"/>
      <c r="K4355" s="12"/>
      <c r="L4355" s="12"/>
      <c r="M4355" s="11"/>
      <c r="N4355" s="11"/>
      <c r="O4355" s="11"/>
      <c r="P4355" s="11"/>
    </row>
    <row r="4356" spans="8:16" x14ac:dyDescent="0.25">
      <c r="H4356" s="12"/>
      <c r="I4356" s="12"/>
      <c r="J4356" s="12"/>
      <c r="K4356" s="12"/>
      <c r="L4356" s="12"/>
      <c r="M4356" s="11"/>
      <c r="N4356" s="11"/>
      <c r="O4356" s="11"/>
      <c r="P4356" s="11"/>
    </row>
    <row r="4357" spans="8:16" x14ac:dyDescent="0.25">
      <c r="H4357" s="12"/>
      <c r="I4357" s="12"/>
      <c r="J4357" s="12"/>
      <c r="K4357" s="12"/>
      <c r="L4357" s="12"/>
      <c r="M4357" s="11"/>
      <c r="N4357" s="11"/>
      <c r="O4357" s="11"/>
      <c r="P4357" s="11"/>
    </row>
    <row r="4358" spans="8:16" x14ac:dyDescent="0.25">
      <c r="H4358" s="12"/>
      <c r="I4358" s="12"/>
      <c r="J4358" s="12"/>
      <c r="K4358" s="12"/>
      <c r="L4358" s="12"/>
      <c r="M4358" s="11"/>
      <c r="N4358" s="11"/>
      <c r="O4358" s="11"/>
      <c r="P4358" s="11"/>
    </row>
    <row r="4359" spans="8:16" x14ac:dyDescent="0.25">
      <c r="H4359" s="12"/>
      <c r="I4359" s="12"/>
      <c r="J4359" s="12"/>
      <c r="K4359" s="12"/>
      <c r="L4359" s="12"/>
      <c r="M4359" s="11"/>
      <c r="N4359" s="11"/>
      <c r="O4359" s="11"/>
      <c r="P4359" s="11"/>
    </row>
    <row r="4360" spans="8:16" x14ac:dyDescent="0.25">
      <c r="H4360" s="12"/>
      <c r="I4360" s="12"/>
      <c r="J4360" s="12"/>
      <c r="K4360" s="12"/>
      <c r="L4360" s="12"/>
      <c r="M4360" s="11"/>
      <c r="N4360" s="11"/>
      <c r="O4360" s="11"/>
      <c r="P4360" s="11"/>
    </row>
    <row r="4361" spans="8:16" x14ac:dyDescent="0.25">
      <c r="H4361" s="12"/>
      <c r="I4361" s="12"/>
      <c r="J4361" s="12"/>
      <c r="K4361" s="12"/>
      <c r="L4361" s="12"/>
      <c r="M4361" s="11"/>
      <c r="N4361" s="11"/>
      <c r="O4361" s="11"/>
      <c r="P4361" s="11"/>
    </row>
    <row r="4362" spans="8:16" x14ac:dyDescent="0.25">
      <c r="H4362" s="12"/>
      <c r="I4362" s="12"/>
      <c r="J4362" s="12"/>
      <c r="K4362" s="12"/>
      <c r="L4362" s="12"/>
      <c r="M4362" s="11"/>
      <c r="N4362" s="11"/>
      <c r="O4362" s="11"/>
      <c r="P4362" s="11"/>
    </row>
    <row r="4363" spans="8:16" x14ac:dyDescent="0.25">
      <c r="H4363" s="12"/>
      <c r="I4363" s="12"/>
      <c r="J4363" s="12"/>
      <c r="K4363" s="12"/>
      <c r="L4363" s="12"/>
      <c r="M4363" s="11"/>
      <c r="N4363" s="11"/>
      <c r="O4363" s="11"/>
      <c r="P4363" s="11"/>
    </row>
    <row r="4364" spans="8:16" x14ac:dyDescent="0.25">
      <c r="H4364" s="12"/>
      <c r="I4364" s="12"/>
      <c r="J4364" s="12"/>
      <c r="K4364" s="12"/>
      <c r="L4364" s="12"/>
      <c r="M4364" s="11"/>
      <c r="N4364" s="11"/>
      <c r="O4364" s="11"/>
      <c r="P4364" s="11"/>
    </row>
    <row r="4365" spans="8:16" x14ac:dyDescent="0.25">
      <c r="H4365" s="12"/>
      <c r="I4365" s="12"/>
      <c r="J4365" s="12"/>
      <c r="K4365" s="12"/>
      <c r="L4365" s="12"/>
      <c r="M4365" s="11"/>
      <c r="N4365" s="11"/>
      <c r="O4365" s="11"/>
      <c r="P4365" s="11"/>
    </row>
    <row r="4366" spans="8:16" x14ac:dyDescent="0.25">
      <c r="H4366" s="12"/>
      <c r="I4366" s="12"/>
      <c r="J4366" s="12"/>
      <c r="K4366" s="12"/>
      <c r="L4366" s="12"/>
      <c r="M4366" s="11"/>
      <c r="N4366" s="11"/>
      <c r="O4366" s="11"/>
      <c r="P4366" s="11"/>
    </row>
    <row r="4367" spans="8:16" x14ac:dyDescent="0.25">
      <c r="H4367" s="12"/>
      <c r="I4367" s="12"/>
      <c r="J4367" s="12"/>
      <c r="K4367" s="12"/>
      <c r="L4367" s="12"/>
      <c r="M4367" s="11"/>
      <c r="N4367" s="11"/>
      <c r="O4367" s="11"/>
      <c r="P4367" s="11"/>
    </row>
    <row r="4368" spans="8:16" x14ac:dyDescent="0.25">
      <c r="H4368" s="12"/>
      <c r="I4368" s="12"/>
      <c r="J4368" s="12"/>
      <c r="K4368" s="12"/>
      <c r="L4368" s="12"/>
      <c r="M4368" s="11"/>
      <c r="N4368" s="11"/>
      <c r="O4368" s="11"/>
      <c r="P4368" s="11"/>
    </row>
    <row r="4369" spans="8:16" x14ac:dyDescent="0.25">
      <c r="H4369" s="12"/>
      <c r="I4369" s="12"/>
      <c r="J4369" s="12"/>
      <c r="K4369" s="12"/>
      <c r="L4369" s="12"/>
      <c r="M4369" s="11"/>
      <c r="N4369" s="11"/>
      <c r="O4369" s="11"/>
      <c r="P4369" s="11"/>
    </row>
    <row r="4370" spans="8:16" x14ac:dyDescent="0.25">
      <c r="H4370" s="12"/>
      <c r="I4370" s="12"/>
      <c r="J4370" s="12"/>
      <c r="K4370" s="12"/>
      <c r="L4370" s="12"/>
      <c r="M4370" s="11"/>
      <c r="N4370" s="11"/>
      <c r="O4370" s="11"/>
      <c r="P4370" s="11"/>
    </row>
    <row r="4371" spans="8:16" x14ac:dyDescent="0.25">
      <c r="H4371" s="12"/>
      <c r="I4371" s="12"/>
      <c r="J4371" s="12"/>
      <c r="K4371" s="12"/>
      <c r="L4371" s="12"/>
      <c r="M4371" s="11"/>
      <c r="N4371" s="11"/>
      <c r="O4371" s="11"/>
      <c r="P4371" s="11"/>
    </row>
    <row r="4372" spans="8:16" x14ac:dyDescent="0.25">
      <c r="H4372" s="12"/>
      <c r="I4372" s="12"/>
      <c r="J4372" s="12"/>
      <c r="K4372" s="12"/>
      <c r="L4372" s="12"/>
      <c r="M4372" s="11"/>
      <c r="N4372" s="11"/>
      <c r="O4372" s="11"/>
      <c r="P4372" s="11"/>
    </row>
    <row r="4373" spans="8:16" x14ac:dyDescent="0.25">
      <c r="H4373" s="12"/>
      <c r="I4373" s="12"/>
      <c r="J4373" s="12"/>
      <c r="K4373" s="12"/>
      <c r="L4373" s="12"/>
      <c r="M4373" s="11"/>
      <c r="N4373" s="11"/>
      <c r="O4373" s="11"/>
      <c r="P4373" s="11"/>
    </row>
    <row r="4374" spans="8:16" x14ac:dyDescent="0.25">
      <c r="H4374" s="12"/>
      <c r="I4374" s="12"/>
      <c r="J4374" s="12"/>
      <c r="K4374" s="12"/>
      <c r="L4374" s="12"/>
      <c r="M4374" s="11"/>
      <c r="N4374" s="11"/>
      <c r="O4374" s="11"/>
      <c r="P4374" s="11"/>
    </row>
    <row r="4375" spans="8:16" x14ac:dyDescent="0.25">
      <c r="H4375" s="12"/>
      <c r="I4375" s="12"/>
      <c r="J4375" s="12"/>
      <c r="K4375" s="12"/>
      <c r="L4375" s="12"/>
      <c r="M4375" s="11"/>
      <c r="N4375" s="11"/>
      <c r="O4375" s="11"/>
      <c r="P4375" s="11"/>
    </row>
    <row r="4376" spans="8:16" x14ac:dyDescent="0.25">
      <c r="H4376" s="12"/>
      <c r="I4376" s="12"/>
      <c r="J4376" s="12"/>
      <c r="K4376" s="12"/>
      <c r="L4376" s="12"/>
      <c r="M4376" s="11"/>
      <c r="N4376" s="11"/>
      <c r="O4376" s="11"/>
      <c r="P4376" s="11"/>
    </row>
    <row r="4377" spans="8:16" x14ac:dyDescent="0.25">
      <c r="H4377" s="12"/>
      <c r="I4377" s="12"/>
      <c r="J4377" s="12"/>
      <c r="K4377" s="12"/>
      <c r="L4377" s="12"/>
      <c r="M4377" s="11"/>
      <c r="N4377" s="11"/>
      <c r="O4377" s="11"/>
      <c r="P4377" s="11"/>
    </row>
    <row r="4378" spans="8:16" x14ac:dyDescent="0.25">
      <c r="H4378" s="12"/>
      <c r="I4378" s="12"/>
      <c r="J4378" s="12"/>
      <c r="K4378" s="12"/>
      <c r="L4378" s="12"/>
      <c r="M4378" s="11"/>
      <c r="N4378" s="11"/>
      <c r="O4378" s="11"/>
      <c r="P4378" s="11"/>
    </row>
    <row r="4379" spans="8:16" x14ac:dyDescent="0.25">
      <c r="H4379" s="12"/>
      <c r="I4379" s="12"/>
      <c r="J4379" s="12"/>
      <c r="K4379" s="12"/>
      <c r="L4379" s="12"/>
      <c r="M4379" s="11"/>
      <c r="N4379" s="11"/>
      <c r="O4379" s="11"/>
      <c r="P4379" s="11"/>
    </row>
    <row r="4380" spans="8:16" x14ac:dyDescent="0.25">
      <c r="H4380" s="12"/>
      <c r="I4380" s="12"/>
      <c r="J4380" s="12"/>
      <c r="K4380" s="12"/>
      <c r="L4380" s="12"/>
      <c r="M4380" s="11"/>
      <c r="N4380" s="11"/>
      <c r="O4380" s="11"/>
      <c r="P4380" s="11"/>
    </row>
    <row r="4381" spans="8:16" x14ac:dyDescent="0.25">
      <c r="H4381" s="12"/>
      <c r="I4381" s="12"/>
      <c r="J4381" s="12"/>
      <c r="K4381" s="12"/>
      <c r="L4381" s="12"/>
      <c r="M4381" s="11"/>
      <c r="N4381" s="11"/>
      <c r="O4381" s="11"/>
      <c r="P4381" s="11"/>
    </row>
    <row r="4382" spans="8:16" x14ac:dyDescent="0.25">
      <c r="H4382" s="12"/>
      <c r="I4382" s="12"/>
      <c r="J4382" s="12"/>
      <c r="K4382" s="12"/>
      <c r="L4382" s="12"/>
      <c r="M4382" s="11"/>
      <c r="N4382" s="11"/>
      <c r="O4382" s="11"/>
      <c r="P4382" s="11"/>
    </row>
    <row r="4383" spans="8:16" x14ac:dyDescent="0.25">
      <c r="H4383" s="12"/>
      <c r="I4383" s="12"/>
      <c r="J4383" s="12"/>
      <c r="K4383" s="12"/>
      <c r="L4383" s="12"/>
      <c r="M4383" s="11"/>
      <c r="N4383" s="11"/>
      <c r="O4383" s="11"/>
      <c r="P4383" s="11"/>
    </row>
    <row r="4384" spans="8:16" x14ac:dyDescent="0.25">
      <c r="H4384" s="12"/>
      <c r="I4384" s="12"/>
      <c r="J4384" s="12"/>
      <c r="K4384" s="12"/>
      <c r="L4384" s="12"/>
      <c r="M4384" s="11"/>
      <c r="N4384" s="11"/>
      <c r="O4384" s="11"/>
      <c r="P4384" s="11"/>
    </row>
    <row r="4385" spans="8:16" x14ac:dyDescent="0.25">
      <c r="H4385" s="12"/>
      <c r="I4385" s="12"/>
      <c r="J4385" s="12"/>
      <c r="K4385" s="12"/>
      <c r="L4385" s="12"/>
      <c r="M4385" s="11"/>
      <c r="N4385" s="11"/>
      <c r="O4385" s="11"/>
      <c r="P4385" s="11"/>
    </row>
    <row r="4386" spans="8:16" x14ac:dyDescent="0.25">
      <c r="H4386" s="12"/>
      <c r="I4386" s="12"/>
      <c r="J4386" s="12"/>
      <c r="K4386" s="12"/>
      <c r="L4386" s="12"/>
      <c r="M4386" s="11"/>
      <c r="N4386" s="11"/>
      <c r="O4386" s="11"/>
      <c r="P4386" s="11"/>
    </row>
    <row r="4387" spans="8:16" x14ac:dyDescent="0.25">
      <c r="H4387" s="12"/>
      <c r="I4387" s="12"/>
      <c r="J4387" s="12"/>
      <c r="K4387" s="12"/>
      <c r="L4387" s="12"/>
      <c r="M4387" s="11"/>
      <c r="N4387" s="11"/>
      <c r="O4387" s="11"/>
      <c r="P4387" s="11"/>
    </row>
    <row r="4388" spans="8:16" x14ac:dyDescent="0.25">
      <c r="H4388" s="12"/>
      <c r="I4388" s="12"/>
      <c r="J4388" s="12"/>
      <c r="K4388" s="12"/>
      <c r="L4388" s="12"/>
      <c r="M4388" s="11"/>
      <c r="N4388" s="11"/>
      <c r="O4388" s="11"/>
      <c r="P4388" s="11"/>
    </row>
    <row r="4389" spans="8:16" x14ac:dyDescent="0.25">
      <c r="H4389" s="12"/>
      <c r="I4389" s="12"/>
      <c r="J4389" s="12"/>
      <c r="K4389" s="12"/>
      <c r="L4389" s="12"/>
      <c r="M4389" s="11"/>
      <c r="N4389" s="11"/>
      <c r="O4389" s="11"/>
      <c r="P4389" s="11"/>
    </row>
    <row r="4390" spans="8:16" x14ac:dyDescent="0.25">
      <c r="H4390" s="12"/>
      <c r="I4390" s="12"/>
      <c r="J4390" s="12"/>
      <c r="K4390" s="12"/>
      <c r="L4390" s="12"/>
      <c r="M4390" s="11"/>
      <c r="N4390" s="11"/>
      <c r="O4390" s="11"/>
      <c r="P4390" s="11"/>
    </row>
    <row r="4391" spans="8:16" x14ac:dyDescent="0.25">
      <c r="H4391" s="12"/>
      <c r="I4391" s="12"/>
      <c r="J4391" s="12"/>
      <c r="K4391" s="12"/>
      <c r="L4391" s="12"/>
      <c r="M4391" s="11"/>
      <c r="N4391" s="11"/>
      <c r="O4391" s="11"/>
      <c r="P4391" s="11"/>
    </row>
    <row r="4392" spans="8:16" x14ac:dyDescent="0.25">
      <c r="H4392" s="12"/>
      <c r="I4392" s="12"/>
      <c r="J4392" s="12"/>
      <c r="K4392" s="12"/>
      <c r="L4392" s="12"/>
      <c r="M4392" s="11"/>
      <c r="N4392" s="11"/>
      <c r="O4392" s="11"/>
      <c r="P4392" s="11"/>
    </row>
    <row r="4393" spans="8:16" x14ac:dyDescent="0.25">
      <c r="H4393" s="12"/>
      <c r="I4393" s="12"/>
      <c r="J4393" s="12"/>
      <c r="K4393" s="12"/>
      <c r="L4393" s="12"/>
      <c r="M4393" s="11"/>
      <c r="N4393" s="11"/>
      <c r="O4393" s="11"/>
      <c r="P4393" s="11"/>
    </row>
    <row r="4394" spans="8:16" x14ac:dyDescent="0.25">
      <c r="H4394" s="12"/>
      <c r="I4394" s="12"/>
      <c r="J4394" s="12"/>
      <c r="K4394" s="12"/>
      <c r="L4394" s="12"/>
      <c r="M4394" s="11"/>
      <c r="N4394" s="11"/>
      <c r="O4394" s="11"/>
      <c r="P4394" s="11"/>
    </row>
    <row r="4395" spans="8:16" x14ac:dyDescent="0.25">
      <c r="H4395" s="12"/>
      <c r="I4395" s="12"/>
      <c r="J4395" s="12"/>
      <c r="K4395" s="12"/>
      <c r="L4395" s="12"/>
      <c r="M4395" s="11"/>
      <c r="N4395" s="11"/>
      <c r="O4395" s="11"/>
      <c r="P4395" s="11"/>
    </row>
    <row r="4396" spans="8:16" x14ac:dyDescent="0.25">
      <c r="H4396" s="12"/>
      <c r="I4396" s="12"/>
      <c r="J4396" s="12"/>
      <c r="K4396" s="12"/>
      <c r="L4396" s="12"/>
      <c r="M4396" s="11"/>
      <c r="N4396" s="11"/>
      <c r="O4396" s="11"/>
      <c r="P4396" s="11"/>
    </row>
    <row r="4397" spans="8:16" x14ac:dyDescent="0.25">
      <c r="H4397" s="12"/>
      <c r="I4397" s="12"/>
      <c r="J4397" s="12"/>
      <c r="K4397" s="12"/>
      <c r="L4397" s="12"/>
      <c r="M4397" s="11"/>
      <c r="N4397" s="11"/>
      <c r="O4397" s="11"/>
      <c r="P4397" s="11"/>
    </row>
    <row r="4398" spans="8:16" x14ac:dyDescent="0.25">
      <c r="H4398" s="12"/>
      <c r="I4398" s="12"/>
      <c r="J4398" s="12"/>
      <c r="K4398" s="12"/>
      <c r="L4398" s="12"/>
      <c r="M4398" s="11"/>
      <c r="N4398" s="11"/>
      <c r="O4398" s="11"/>
      <c r="P4398" s="11"/>
    </row>
    <row r="4399" spans="8:16" x14ac:dyDescent="0.25">
      <c r="H4399" s="12"/>
      <c r="I4399" s="12"/>
      <c r="J4399" s="12"/>
      <c r="K4399" s="12"/>
      <c r="L4399" s="12"/>
      <c r="M4399" s="11"/>
      <c r="N4399" s="11"/>
      <c r="O4399" s="11"/>
      <c r="P4399" s="11"/>
    </row>
    <row r="4400" spans="8:16" x14ac:dyDescent="0.25">
      <c r="H4400" s="12"/>
      <c r="I4400" s="12"/>
      <c r="J4400" s="12"/>
      <c r="K4400" s="12"/>
      <c r="L4400" s="12"/>
      <c r="M4400" s="11"/>
      <c r="N4400" s="11"/>
      <c r="O4400" s="11"/>
      <c r="P4400" s="11"/>
    </row>
    <row r="4401" spans="8:16" x14ac:dyDescent="0.25">
      <c r="H4401" s="12"/>
      <c r="I4401" s="12"/>
      <c r="J4401" s="12"/>
      <c r="K4401" s="12"/>
      <c r="L4401" s="12"/>
      <c r="M4401" s="11"/>
      <c r="N4401" s="11"/>
      <c r="O4401" s="11"/>
      <c r="P4401" s="11"/>
    </row>
    <row r="4402" spans="8:16" x14ac:dyDescent="0.25">
      <c r="H4402" s="12"/>
      <c r="I4402" s="12"/>
      <c r="J4402" s="12"/>
      <c r="K4402" s="12"/>
      <c r="L4402" s="12"/>
      <c r="M4402" s="11"/>
      <c r="N4402" s="11"/>
      <c r="O4402" s="11"/>
      <c r="P4402" s="11"/>
    </row>
    <row r="4403" spans="8:16" x14ac:dyDescent="0.25">
      <c r="H4403" s="12"/>
      <c r="I4403" s="12"/>
      <c r="J4403" s="12"/>
      <c r="K4403" s="12"/>
      <c r="L4403" s="12"/>
      <c r="M4403" s="11"/>
      <c r="N4403" s="11"/>
      <c r="O4403" s="11"/>
      <c r="P4403" s="11"/>
    </row>
    <row r="4404" spans="8:16" x14ac:dyDescent="0.25">
      <c r="H4404" s="12"/>
      <c r="I4404" s="12"/>
      <c r="J4404" s="12"/>
      <c r="K4404" s="12"/>
      <c r="L4404" s="12"/>
      <c r="M4404" s="11"/>
      <c r="N4404" s="11"/>
      <c r="O4404" s="11"/>
      <c r="P4404" s="11"/>
    </row>
    <row r="4405" spans="8:16" x14ac:dyDescent="0.25">
      <c r="H4405" s="12"/>
      <c r="I4405" s="12"/>
      <c r="J4405" s="12"/>
      <c r="K4405" s="12"/>
      <c r="L4405" s="12"/>
      <c r="M4405" s="11"/>
      <c r="N4405" s="11"/>
      <c r="O4405" s="11"/>
      <c r="P4405" s="11"/>
    </row>
    <row r="4406" spans="8:16" x14ac:dyDescent="0.25">
      <c r="H4406" s="12"/>
      <c r="I4406" s="12"/>
      <c r="J4406" s="12"/>
      <c r="K4406" s="12"/>
      <c r="L4406" s="12"/>
      <c r="M4406" s="11"/>
      <c r="N4406" s="11"/>
      <c r="O4406" s="11"/>
      <c r="P4406" s="11"/>
    </row>
    <row r="4407" spans="8:16" x14ac:dyDescent="0.25">
      <c r="H4407" s="12"/>
      <c r="I4407" s="12"/>
      <c r="J4407" s="12"/>
      <c r="K4407" s="12"/>
      <c r="L4407" s="12"/>
      <c r="M4407" s="11"/>
      <c r="N4407" s="11"/>
      <c r="O4407" s="11"/>
      <c r="P4407" s="11"/>
    </row>
    <row r="4408" spans="8:16" x14ac:dyDescent="0.25">
      <c r="H4408" s="12"/>
      <c r="I4408" s="12"/>
      <c r="J4408" s="12"/>
      <c r="K4408" s="12"/>
      <c r="L4408" s="12"/>
      <c r="M4408" s="11"/>
      <c r="N4408" s="11"/>
      <c r="O4408" s="11"/>
      <c r="P4408" s="11"/>
    </row>
    <row r="4409" spans="8:16" x14ac:dyDescent="0.25">
      <c r="H4409" s="12"/>
      <c r="I4409" s="12"/>
      <c r="J4409" s="12"/>
      <c r="K4409" s="12"/>
      <c r="L4409" s="12"/>
      <c r="M4409" s="11"/>
      <c r="N4409" s="11"/>
      <c r="O4409" s="11"/>
      <c r="P4409" s="11"/>
    </row>
    <row r="4410" spans="8:16" x14ac:dyDescent="0.25">
      <c r="H4410" s="12"/>
      <c r="I4410" s="12"/>
      <c r="J4410" s="12"/>
      <c r="K4410" s="12"/>
      <c r="L4410" s="12"/>
      <c r="M4410" s="11"/>
      <c r="N4410" s="11"/>
      <c r="O4410" s="11"/>
      <c r="P4410" s="11"/>
    </row>
    <row r="4411" spans="8:16" x14ac:dyDescent="0.25">
      <c r="H4411" s="12"/>
      <c r="I4411" s="12"/>
      <c r="J4411" s="12"/>
      <c r="K4411" s="12"/>
      <c r="L4411" s="12"/>
      <c r="M4411" s="11"/>
      <c r="N4411" s="11"/>
      <c r="O4411" s="11"/>
      <c r="P4411" s="11"/>
    </row>
    <row r="4412" spans="8:16" x14ac:dyDescent="0.25">
      <c r="H4412" s="12"/>
      <c r="I4412" s="12"/>
      <c r="J4412" s="12"/>
      <c r="K4412" s="12"/>
      <c r="L4412" s="12"/>
      <c r="M4412" s="11"/>
      <c r="N4412" s="11"/>
      <c r="O4412" s="11"/>
      <c r="P4412" s="11"/>
    </row>
    <row r="4413" spans="8:16" x14ac:dyDescent="0.25">
      <c r="H4413" s="12"/>
      <c r="I4413" s="12"/>
      <c r="J4413" s="12"/>
      <c r="K4413" s="12"/>
      <c r="L4413" s="12"/>
      <c r="M4413" s="11"/>
      <c r="N4413" s="11"/>
      <c r="O4413" s="11"/>
      <c r="P4413" s="11"/>
    </row>
    <row r="4414" spans="8:16" x14ac:dyDescent="0.25">
      <c r="H4414" s="12"/>
      <c r="I4414" s="12"/>
      <c r="J4414" s="12"/>
      <c r="K4414" s="12"/>
      <c r="L4414" s="12"/>
      <c r="M4414" s="11"/>
      <c r="N4414" s="11"/>
      <c r="O4414" s="11"/>
      <c r="P4414" s="11"/>
    </row>
    <row r="4415" spans="8:16" x14ac:dyDescent="0.25">
      <c r="H4415" s="12"/>
      <c r="I4415" s="12"/>
      <c r="J4415" s="12"/>
      <c r="K4415" s="12"/>
      <c r="L4415" s="12"/>
      <c r="M4415" s="11"/>
      <c r="N4415" s="11"/>
      <c r="O4415" s="11"/>
      <c r="P4415" s="11"/>
    </row>
    <row r="4416" spans="8:16" x14ac:dyDescent="0.25">
      <c r="H4416" s="12"/>
      <c r="I4416" s="12"/>
      <c r="J4416" s="12"/>
      <c r="K4416" s="12"/>
      <c r="L4416" s="12"/>
      <c r="M4416" s="11"/>
      <c r="N4416" s="11"/>
      <c r="O4416" s="11"/>
      <c r="P4416" s="11"/>
    </row>
    <row r="4417" spans="8:16" x14ac:dyDescent="0.25">
      <c r="H4417" s="12"/>
      <c r="I4417" s="12"/>
      <c r="J4417" s="12"/>
      <c r="K4417" s="12"/>
      <c r="L4417" s="12"/>
      <c r="M4417" s="11"/>
      <c r="N4417" s="11"/>
      <c r="O4417" s="11"/>
      <c r="P4417" s="11"/>
    </row>
    <row r="4418" spans="8:16" x14ac:dyDescent="0.25">
      <c r="H4418" s="12"/>
      <c r="I4418" s="12"/>
      <c r="J4418" s="12"/>
      <c r="K4418" s="12"/>
      <c r="L4418" s="12"/>
      <c r="M4418" s="11"/>
      <c r="N4418" s="11"/>
      <c r="O4418" s="11"/>
      <c r="P4418" s="11"/>
    </row>
    <row r="4419" spans="8:16" x14ac:dyDescent="0.25">
      <c r="H4419" s="12"/>
      <c r="I4419" s="12"/>
      <c r="J4419" s="12"/>
      <c r="K4419" s="12"/>
      <c r="L4419" s="12"/>
      <c r="M4419" s="11"/>
      <c r="N4419" s="11"/>
      <c r="O4419" s="11"/>
      <c r="P4419" s="11"/>
    </row>
    <row r="4420" spans="8:16" x14ac:dyDescent="0.25">
      <c r="H4420" s="12"/>
      <c r="I4420" s="12"/>
      <c r="J4420" s="12"/>
      <c r="K4420" s="12"/>
      <c r="L4420" s="12"/>
      <c r="M4420" s="11"/>
      <c r="N4420" s="11"/>
      <c r="O4420" s="11"/>
      <c r="P4420" s="11"/>
    </row>
    <row r="4421" spans="8:16" x14ac:dyDescent="0.25">
      <c r="H4421" s="12"/>
      <c r="I4421" s="12"/>
      <c r="J4421" s="12"/>
      <c r="K4421" s="12"/>
      <c r="L4421" s="12"/>
      <c r="M4421" s="11"/>
      <c r="N4421" s="11"/>
      <c r="O4421" s="11"/>
      <c r="P4421" s="11"/>
    </row>
    <row r="4422" spans="8:16" x14ac:dyDescent="0.25">
      <c r="H4422" s="12"/>
      <c r="I4422" s="12"/>
      <c r="J4422" s="12"/>
      <c r="K4422" s="12"/>
      <c r="L4422" s="12"/>
      <c r="M4422" s="11"/>
      <c r="N4422" s="11"/>
      <c r="O4422" s="11"/>
      <c r="P4422" s="11"/>
    </row>
    <row r="4423" spans="8:16" x14ac:dyDescent="0.25">
      <c r="H4423" s="12"/>
      <c r="I4423" s="12"/>
      <c r="J4423" s="12"/>
      <c r="K4423" s="12"/>
      <c r="L4423" s="12"/>
      <c r="M4423" s="11"/>
      <c r="N4423" s="11"/>
      <c r="O4423" s="11"/>
      <c r="P4423" s="11"/>
    </row>
    <row r="4424" spans="8:16" x14ac:dyDescent="0.25">
      <c r="H4424" s="12"/>
      <c r="I4424" s="12"/>
      <c r="J4424" s="12"/>
      <c r="K4424" s="12"/>
      <c r="L4424" s="12"/>
      <c r="M4424" s="11"/>
      <c r="N4424" s="11"/>
      <c r="O4424" s="11"/>
      <c r="P4424" s="11"/>
    </row>
    <row r="4425" spans="8:16" x14ac:dyDescent="0.25">
      <c r="H4425" s="12"/>
      <c r="I4425" s="12"/>
      <c r="J4425" s="12"/>
      <c r="K4425" s="12"/>
      <c r="L4425" s="12"/>
      <c r="M4425" s="11"/>
      <c r="N4425" s="11"/>
      <c r="O4425" s="11"/>
      <c r="P4425" s="11"/>
    </row>
    <row r="4426" spans="8:16" x14ac:dyDescent="0.25">
      <c r="H4426" s="12"/>
      <c r="I4426" s="12"/>
      <c r="J4426" s="12"/>
      <c r="K4426" s="12"/>
      <c r="L4426" s="12"/>
      <c r="M4426" s="11"/>
      <c r="N4426" s="11"/>
      <c r="O4426" s="11"/>
      <c r="P4426" s="11"/>
    </row>
    <row r="4427" spans="8:16" x14ac:dyDescent="0.25">
      <c r="H4427" s="12"/>
      <c r="I4427" s="12"/>
      <c r="J4427" s="12"/>
      <c r="K4427" s="12"/>
      <c r="L4427" s="12"/>
      <c r="M4427" s="11"/>
      <c r="N4427" s="11"/>
      <c r="O4427" s="11"/>
      <c r="P4427" s="11"/>
    </row>
    <row r="4428" spans="8:16" x14ac:dyDescent="0.25">
      <c r="H4428" s="12"/>
      <c r="I4428" s="12"/>
      <c r="J4428" s="12"/>
      <c r="K4428" s="12"/>
      <c r="L4428" s="12"/>
      <c r="M4428" s="11"/>
      <c r="N4428" s="11"/>
      <c r="O4428" s="11"/>
      <c r="P4428" s="11"/>
    </row>
    <row r="4429" spans="8:16" x14ac:dyDescent="0.25">
      <c r="H4429" s="12"/>
      <c r="I4429" s="12"/>
      <c r="J4429" s="12"/>
      <c r="K4429" s="12"/>
      <c r="L4429" s="12"/>
      <c r="M4429" s="11"/>
      <c r="N4429" s="11"/>
      <c r="O4429" s="11"/>
      <c r="P4429" s="11"/>
    </row>
    <row r="4430" spans="8:16" x14ac:dyDescent="0.25">
      <c r="H4430" s="12"/>
      <c r="I4430" s="12"/>
      <c r="J4430" s="12"/>
      <c r="K4430" s="12"/>
      <c r="L4430" s="12"/>
      <c r="M4430" s="11"/>
      <c r="N4430" s="11"/>
      <c r="O4430" s="11"/>
      <c r="P4430" s="11"/>
    </row>
    <row r="4431" spans="8:16" x14ac:dyDescent="0.25">
      <c r="H4431" s="12"/>
      <c r="I4431" s="12"/>
      <c r="J4431" s="12"/>
      <c r="K4431" s="12"/>
      <c r="L4431" s="12"/>
      <c r="M4431" s="11"/>
      <c r="N4431" s="11"/>
      <c r="O4431" s="11"/>
      <c r="P4431" s="11"/>
    </row>
    <row r="4432" spans="8:16" x14ac:dyDescent="0.25">
      <c r="H4432" s="12"/>
      <c r="I4432" s="12"/>
      <c r="J4432" s="12"/>
      <c r="K4432" s="12"/>
      <c r="L4432" s="12"/>
      <c r="M4432" s="11"/>
      <c r="N4432" s="11"/>
      <c r="O4432" s="11"/>
      <c r="P4432" s="11"/>
    </row>
    <row r="4433" spans="8:16" x14ac:dyDescent="0.25">
      <c r="H4433" s="12"/>
      <c r="I4433" s="12"/>
      <c r="J4433" s="12"/>
      <c r="K4433" s="12"/>
      <c r="L4433" s="12"/>
      <c r="M4433" s="11"/>
      <c r="N4433" s="11"/>
      <c r="O4433" s="11"/>
      <c r="P4433" s="11"/>
    </row>
    <row r="4434" spans="8:16" x14ac:dyDescent="0.25">
      <c r="H4434" s="12"/>
      <c r="I4434" s="12"/>
      <c r="J4434" s="12"/>
      <c r="K4434" s="12"/>
      <c r="L4434" s="12"/>
      <c r="M4434" s="11"/>
      <c r="N4434" s="11"/>
      <c r="O4434" s="11"/>
      <c r="P4434" s="11"/>
    </row>
    <row r="4435" spans="8:16" x14ac:dyDescent="0.25">
      <c r="H4435" s="12"/>
      <c r="I4435" s="12"/>
      <c r="J4435" s="12"/>
      <c r="K4435" s="12"/>
      <c r="L4435" s="12"/>
      <c r="M4435" s="11"/>
      <c r="N4435" s="11"/>
      <c r="O4435" s="11"/>
      <c r="P4435" s="11"/>
    </row>
    <row r="4436" spans="8:16" x14ac:dyDescent="0.25">
      <c r="H4436" s="12"/>
      <c r="I4436" s="12"/>
      <c r="J4436" s="12"/>
      <c r="K4436" s="12"/>
      <c r="L4436" s="12"/>
      <c r="M4436" s="11"/>
      <c r="N4436" s="11"/>
      <c r="O4436" s="11"/>
      <c r="P4436" s="11"/>
    </row>
    <row r="4437" spans="8:16" x14ac:dyDescent="0.25">
      <c r="H4437" s="12"/>
      <c r="I4437" s="12"/>
      <c r="J4437" s="12"/>
      <c r="K4437" s="12"/>
      <c r="L4437" s="12"/>
      <c r="M4437" s="11"/>
      <c r="N4437" s="11"/>
      <c r="O4437" s="11"/>
      <c r="P4437" s="11"/>
    </row>
    <row r="4438" spans="8:16" x14ac:dyDescent="0.25">
      <c r="H4438" s="12"/>
      <c r="I4438" s="12"/>
      <c r="J4438" s="12"/>
      <c r="K4438" s="12"/>
      <c r="L4438" s="12"/>
      <c r="M4438" s="11"/>
      <c r="N4438" s="11"/>
      <c r="O4438" s="11"/>
      <c r="P4438" s="11"/>
    </row>
    <row r="4439" spans="8:16" x14ac:dyDescent="0.25">
      <c r="H4439" s="12"/>
      <c r="I4439" s="12"/>
      <c r="J4439" s="12"/>
      <c r="K4439" s="12"/>
      <c r="L4439" s="12"/>
      <c r="M4439" s="11"/>
      <c r="N4439" s="11"/>
      <c r="O4439" s="11"/>
      <c r="P4439" s="11"/>
    </row>
    <row r="4440" spans="8:16" x14ac:dyDescent="0.25">
      <c r="H4440" s="12"/>
      <c r="I4440" s="12"/>
      <c r="J4440" s="12"/>
      <c r="K4440" s="12"/>
      <c r="L4440" s="12"/>
      <c r="M4440" s="11"/>
      <c r="N4440" s="11"/>
      <c r="O4440" s="11"/>
      <c r="P4440" s="11"/>
    </row>
    <row r="4441" spans="8:16" x14ac:dyDescent="0.25">
      <c r="H4441" s="12"/>
      <c r="I4441" s="12"/>
      <c r="J4441" s="12"/>
      <c r="K4441" s="12"/>
      <c r="L4441" s="12"/>
      <c r="M4441" s="11"/>
      <c r="N4441" s="11"/>
      <c r="O4441" s="11"/>
      <c r="P4441" s="11"/>
    </row>
    <row r="4442" spans="8:16" x14ac:dyDescent="0.25">
      <c r="H4442" s="12"/>
      <c r="I4442" s="12"/>
      <c r="J4442" s="12"/>
      <c r="K4442" s="12"/>
      <c r="L4442" s="12"/>
      <c r="M4442" s="11"/>
      <c r="N4442" s="11"/>
      <c r="O4442" s="11"/>
      <c r="P4442" s="11"/>
    </row>
    <row r="4443" spans="8:16" x14ac:dyDescent="0.25">
      <c r="H4443" s="12"/>
      <c r="I4443" s="12"/>
      <c r="J4443" s="12"/>
      <c r="K4443" s="12"/>
      <c r="L4443" s="12"/>
      <c r="M4443" s="11"/>
      <c r="N4443" s="11"/>
      <c r="O4443" s="11"/>
      <c r="P4443" s="11"/>
    </row>
    <row r="4444" spans="8:16" x14ac:dyDescent="0.25">
      <c r="H4444" s="12"/>
      <c r="I4444" s="12"/>
      <c r="J4444" s="12"/>
      <c r="K4444" s="12"/>
      <c r="L4444" s="12"/>
      <c r="M4444" s="11"/>
      <c r="N4444" s="11"/>
      <c r="O4444" s="11"/>
      <c r="P4444" s="11"/>
    </row>
    <row r="4445" spans="8:16" x14ac:dyDescent="0.25">
      <c r="H4445" s="12"/>
      <c r="I4445" s="12"/>
      <c r="J4445" s="12"/>
      <c r="K4445" s="12"/>
      <c r="L4445" s="12"/>
      <c r="M4445" s="11"/>
      <c r="N4445" s="11"/>
      <c r="O4445" s="11"/>
      <c r="P4445" s="11"/>
    </row>
    <row r="4446" spans="8:16" x14ac:dyDescent="0.25">
      <c r="H4446" s="12"/>
      <c r="I4446" s="12"/>
      <c r="J4446" s="12"/>
      <c r="K4446" s="12"/>
      <c r="L4446" s="12"/>
      <c r="M4446" s="11"/>
      <c r="N4446" s="11"/>
      <c r="O4446" s="11"/>
      <c r="P4446" s="11"/>
    </row>
    <row r="4447" spans="8:16" x14ac:dyDescent="0.25">
      <c r="H4447" s="12"/>
      <c r="I4447" s="12"/>
      <c r="J4447" s="12"/>
      <c r="K4447" s="12"/>
      <c r="L4447" s="12"/>
      <c r="M4447" s="11"/>
      <c r="N4447" s="11"/>
      <c r="O4447" s="11"/>
      <c r="P4447" s="11"/>
    </row>
    <row r="4448" spans="8:16" x14ac:dyDescent="0.25">
      <c r="H4448" s="12"/>
      <c r="I4448" s="12"/>
      <c r="J4448" s="12"/>
      <c r="K4448" s="12"/>
      <c r="L4448" s="12"/>
      <c r="M4448" s="11"/>
      <c r="N4448" s="11"/>
      <c r="O4448" s="11"/>
      <c r="P4448" s="11"/>
    </row>
    <row r="4449" spans="8:16" x14ac:dyDescent="0.25">
      <c r="H4449" s="12"/>
      <c r="I4449" s="12"/>
      <c r="J4449" s="12"/>
      <c r="K4449" s="12"/>
      <c r="L4449" s="12"/>
      <c r="M4449" s="11"/>
      <c r="N4449" s="11"/>
      <c r="O4449" s="11"/>
      <c r="P4449" s="11"/>
    </row>
    <row r="4450" spans="8:16" x14ac:dyDescent="0.25">
      <c r="H4450" s="12"/>
      <c r="I4450" s="12"/>
      <c r="J4450" s="12"/>
      <c r="K4450" s="12"/>
      <c r="L4450" s="12"/>
      <c r="M4450" s="11"/>
      <c r="N4450" s="11"/>
      <c r="O4450" s="11"/>
      <c r="P4450" s="11"/>
    </row>
    <row r="4451" spans="8:16" x14ac:dyDescent="0.25">
      <c r="H4451" s="12"/>
      <c r="I4451" s="12"/>
      <c r="J4451" s="12"/>
      <c r="K4451" s="12"/>
      <c r="L4451" s="12"/>
      <c r="M4451" s="11"/>
      <c r="N4451" s="11"/>
      <c r="O4451" s="11"/>
      <c r="P4451" s="11"/>
    </row>
    <row r="4452" spans="8:16" x14ac:dyDescent="0.25">
      <c r="H4452" s="12"/>
      <c r="I4452" s="12"/>
      <c r="J4452" s="12"/>
      <c r="K4452" s="12"/>
      <c r="L4452" s="12"/>
      <c r="M4452" s="11"/>
      <c r="N4452" s="11"/>
      <c r="O4452" s="11"/>
      <c r="P4452" s="11"/>
    </row>
    <row r="4453" spans="8:16" x14ac:dyDescent="0.25">
      <c r="H4453" s="12"/>
      <c r="I4453" s="12"/>
      <c r="J4453" s="12"/>
      <c r="K4453" s="12"/>
      <c r="L4453" s="12"/>
      <c r="M4453" s="11"/>
      <c r="N4453" s="11"/>
      <c r="O4453" s="11"/>
      <c r="P4453" s="11"/>
    </row>
    <row r="4454" spans="8:16" x14ac:dyDescent="0.25">
      <c r="H4454" s="12"/>
      <c r="I4454" s="12"/>
      <c r="J4454" s="12"/>
      <c r="K4454" s="12"/>
      <c r="L4454" s="12"/>
      <c r="M4454" s="11"/>
      <c r="N4454" s="11"/>
      <c r="O4454" s="11"/>
      <c r="P4454" s="11"/>
    </row>
    <row r="4455" spans="8:16" x14ac:dyDescent="0.25">
      <c r="H4455" s="12"/>
      <c r="I4455" s="12"/>
      <c r="J4455" s="12"/>
      <c r="K4455" s="12"/>
      <c r="L4455" s="12"/>
      <c r="M4455" s="11"/>
      <c r="N4455" s="11"/>
      <c r="O4455" s="11"/>
      <c r="P4455" s="11"/>
    </row>
    <row r="4456" spans="8:16" x14ac:dyDescent="0.25">
      <c r="H4456" s="12"/>
      <c r="I4456" s="12"/>
      <c r="J4456" s="12"/>
      <c r="K4456" s="12"/>
      <c r="L4456" s="12"/>
      <c r="M4456" s="11"/>
      <c r="N4456" s="11"/>
      <c r="O4456" s="11"/>
      <c r="P4456" s="11"/>
    </row>
    <row r="4457" spans="8:16" x14ac:dyDescent="0.25">
      <c r="H4457" s="12"/>
      <c r="I4457" s="12"/>
      <c r="J4457" s="12"/>
      <c r="K4457" s="12"/>
      <c r="L4457" s="12"/>
      <c r="M4457" s="11"/>
      <c r="N4457" s="11"/>
      <c r="O4457" s="11"/>
      <c r="P4457" s="11"/>
    </row>
    <row r="4458" spans="8:16" x14ac:dyDescent="0.25">
      <c r="H4458" s="12"/>
      <c r="I4458" s="12"/>
      <c r="J4458" s="12"/>
      <c r="K4458" s="12"/>
      <c r="L4458" s="12"/>
      <c r="M4458" s="11"/>
      <c r="N4458" s="11"/>
      <c r="O4458" s="11"/>
      <c r="P4458" s="11"/>
    </row>
    <row r="4459" spans="8:16" x14ac:dyDescent="0.25">
      <c r="H4459" s="12"/>
      <c r="I4459" s="12"/>
      <c r="J4459" s="12"/>
      <c r="K4459" s="12"/>
      <c r="L4459" s="12"/>
      <c r="M4459" s="11"/>
      <c r="N4459" s="11"/>
      <c r="O4459" s="11"/>
      <c r="P4459" s="11"/>
    </row>
    <row r="4460" spans="8:16" x14ac:dyDescent="0.25">
      <c r="H4460" s="12"/>
      <c r="I4460" s="12"/>
      <c r="J4460" s="12"/>
      <c r="K4460" s="12"/>
      <c r="L4460" s="12"/>
      <c r="M4460" s="11"/>
      <c r="N4460" s="11"/>
      <c r="O4460" s="11"/>
      <c r="P4460" s="11"/>
    </row>
    <row r="4461" spans="8:16" x14ac:dyDescent="0.25">
      <c r="H4461" s="12"/>
      <c r="I4461" s="12"/>
      <c r="J4461" s="12"/>
      <c r="K4461" s="12"/>
      <c r="L4461" s="12"/>
      <c r="M4461" s="11"/>
      <c r="N4461" s="11"/>
      <c r="O4461" s="11"/>
      <c r="P4461" s="11"/>
    </row>
    <row r="4462" spans="8:16" x14ac:dyDescent="0.25">
      <c r="H4462" s="12"/>
      <c r="I4462" s="12"/>
      <c r="J4462" s="12"/>
      <c r="K4462" s="12"/>
      <c r="L4462" s="12"/>
      <c r="M4462" s="11"/>
      <c r="N4462" s="11"/>
      <c r="O4462" s="11"/>
      <c r="P4462" s="11"/>
    </row>
    <row r="4463" spans="8:16" x14ac:dyDescent="0.25">
      <c r="H4463" s="12"/>
      <c r="I4463" s="12"/>
      <c r="J4463" s="12"/>
      <c r="K4463" s="12"/>
      <c r="L4463" s="12"/>
      <c r="M4463" s="11"/>
      <c r="N4463" s="11"/>
      <c r="O4463" s="11"/>
      <c r="P4463" s="11"/>
    </row>
    <row r="4464" spans="8:16" x14ac:dyDescent="0.25">
      <c r="H4464" s="12"/>
      <c r="I4464" s="12"/>
      <c r="J4464" s="12"/>
      <c r="K4464" s="12"/>
      <c r="L4464" s="12"/>
      <c r="M4464" s="11"/>
      <c r="N4464" s="11"/>
      <c r="O4464" s="11"/>
      <c r="P4464" s="11"/>
    </row>
    <row r="4465" spans="8:16" x14ac:dyDescent="0.25">
      <c r="H4465" s="12"/>
      <c r="I4465" s="12"/>
      <c r="J4465" s="12"/>
      <c r="K4465" s="12"/>
      <c r="L4465" s="12"/>
      <c r="M4465" s="11"/>
      <c r="N4465" s="11"/>
      <c r="O4465" s="11"/>
      <c r="P4465" s="11"/>
    </row>
    <row r="4466" spans="8:16" x14ac:dyDescent="0.25">
      <c r="H4466" s="12"/>
      <c r="I4466" s="12"/>
      <c r="J4466" s="12"/>
      <c r="K4466" s="12"/>
      <c r="L4466" s="12"/>
      <c r="M4466" s="11"/>
      <c r="N4466" s="11"/>
      <c r="O4466" s="11"/>
      <c r="P4466" s="11"/>
    </row>
    <row r="4467" spans="8:16" x14ac:dyDescent="0.25">
      <c r="H4467" s="12"/>
      <c r="I4467" s="12"/>
      <c r="J4467" s="12"/>
      <c r="K4467" s="12"/>
      <c r="L4467" s="12"/>
      <c r="M4467" s="11"/>
      <c r="N4467" s="11"/>
      <c r="O4467" s="11"/>
      <c r="P4467" s="11"/>
    </row>
    <row r="4468" spans="8:16" x14ac:dyDescent="0.25">
      <c r="H4468" s="12"/>
      <c r="I4468" s="12"/>
      <c r="J4468" s="12"/>
      <c r="K4468" s="12"/>
      <c r="L4468" s="12"/>
      <c r="M4468" s="11"/>
      <c r="N4468" s="11"/>
      <c r="O4468" s="11"/>
      <c r="P4468" s="11"/>
    </row>
    <row r="4469" spans="8:16" x14ac:dyDescent="0.25">
      <c r="H4469" s="12"/>
      <c r="I4469" s="12"/>
      <c r="J4469" s="12"/>
      <c r="K4469" s="12"/>
      <c r="L4469" s="12"/>
      <c r="M4469" s="11"/>
      <c r="N4469" s="11"/>
      <c r="O4469" s="11"/>
      <c r="P4469" s="11"/>
    </row>
    <row r="4470" spans="8:16" x14ac:dyDescent="0.25">
      <c r="H4470" s="12"/>
      <c r="I4470" s="12"/>
      <c r="J4470" s="12"/>
      <c r="K4470" s="12"/>
      <c r="L4470" s="12"/>
      <c r="M4470" s="11"/>
      <c r="N4470" s="11"/>
      <c r="O4470" s="11"/>
      <c r="P4470" s="11"/>
    </row>
    <row r="4471" spans="8:16" x14ac:dyDescent="0.25">
      <c r="H4471" s="12"/>
      <c r="I4471" s="12"/>
      <c r="J4471" s="12"/>
      <c r="K4471" s="12"/>
      <c r="L4471" s="12"/>
      <c r="M4471" s="11"/>
      <c r="N4471" s="11"/>
      <c r="O4471" s="11"/>
      <c r="P4471" s="11"/>
    </row>
    <row r="4472" spans="8:16" x14ac:dyDescent="0.25">
      <c r="H4472" s="12"/>
      <c r="I4472" s="12"/>
      <c r="J4472" s="12"/>
      <c r="K4472" s="12"/>
      <c r="L4472" s="12"/>
      <c r="M4472" s="11"/>
      <c r="N4472" s="11"/>
      <c r="O4472" s="11"/>
      <c r="P4472" s="11"/>
    </row>
    <row r="4473" spans="8:16" x14ac:dyDescent="0.25">
      <c r="H4473" s="12"/>
      <c r="I4473" s="12"/>
      <c r="J4473" s="12"/>
      <c r="K4473" s="12"/>
      <c r="L4473" s="12"/>
      <c r="M4473" s="11"/>
      <c r="N4473" s="11"/>
      <c r="O4473" s="11"/>
      <c r="P4473" s="11"/>
    </row>
    <row r="4474" spans="8:16" x14ac:dyDescent="0.25">
      <c r="H4474" s="12"/>
      <c r="I4474" s="12"/>
      <c r="J4474" s="12"/>
      <c r="K4474" s="12"/>
      <c r="L4474" s="12"/>
      <c r="M4474" s="11"/>
      <c r="N4474" s="11"/>
      <c r="O4474" s="11"/>
      <c r="P4474" s="11"/>
    </row>
    <row r="4475" spans="8:16" x14ac:dyDescent="0.25">
      <c r="H4475" s="12"/>
      <c r="I4475" s="12"/>
      <c r="J4475" s="12"/>
      <c r="K4475" s="12"/>
      <c r="L4475" s="12"/>
      <c r="M4475" s="11"/>
      <c r="N4475" s="11"/>
      <c r="O4475" s="11"/>
      <c r="P4475" s="11"/>
    </row>
    <row r="4476" spans="8:16" x14ac:dyDescent="0.25">
      <c r="H4476" s="12"/>
      <c r="I4476" s="12"/>
      <c r="J4476" s="12"/>
      <c r="K4476" s="12"/>
      <c r="L4476" s="12"/>
      <c r="M4476" s="11"/>
      <c r="N4476" s="11"/>
      <c r="O4476" s="11"/>
      <c r="P4476" s="11"/>
    </row>
    <row r="4477" spans="8:16" x14ac:dyDescent="0.25">
      <c r="H4477" s="12"/>
      <c r="I4477" s="12"/>
      <c r="J4477" s="12"/>
      <c r="K4477" s="12"/>
      <c r="L4477" s="12"/>
      <c r="M4477" s="11"/>
      <c r="N4477" s="11"/>
      <c r="O4477" s="11"/>
      <c r="P4477" s="11"/>
    </row>
    <row r="4478" spans="8:16" x14ac:dyDescent="0.25">
      <c r="H4478" s="12"/>
      <c r="I4478" s="12"/>
      <c r="J4478" s="12"/>
      <c r="K4478" s="12"/>
      <c r="L4478" s="12"/>
      <c r="M4478" s="11"/>
      <c r="N4478" s="11"/>
      <c r="O4478" s="11"/>
      <c r="P4478" s="11"/>
    </row>
    <row r="4479" spans="8:16" x14ac:dyDescent="0.25">
      <c r="H4479" s="12"/>
      <c r="I4479" s="12"/>
      <c r="J4479" s="12"/>
      <c r="K4479" s="12"/>
      <c r="L4479" s="12"/>
      <c r="M4479" s="11"/>
      <c r="N4479" s="11"/>
      <c r="O4479" s="11"/>
      <c r="P4479" s="11"/>
    </row>
    <row r="4480" spans="8:16" x14ac:dyDescent="0.25">
      <c r="H4480" s="12"/>
      <c r="I4480" s="12"/>
      <c r="J4480" s="12"/>
      <c r="K4480" s="12"/>
      <c r="L4480" s="12"/>
      <c r="M4480" s="11"/>
      <c r="N4480" s="11"/>
      <c r="O4480" s="11"/>
      <c r="P4480" s="11"/>
    </row>
    <row r="4481" spans="8:16" x14ac:dyDescent="0.25">
      <c r="H4481" s="12"/>
      <c r="I4481" s="12"/>
      <c r="J4481" s="12"/>
      <c r="K4481" s="12"/>
      <c r="L4481" s="12"/>
      <c r="M4481" s="11"/>
      <c r="N4481" s="11"/>
      <c r="O4481" s="11"/>
      <c r="P4481" s="11"/>
    </row>
    <row r="4482" spans="8:16" x14ac:dyDescent="0.25">
      <c r="H4482" s="12"/>
      <c r="I4482" s="12"/>
      <c r="J4482" s="12"/>
      <c r="K4482" s="12"/>
      <c r="L4482" s="12"/>
      <c r="M4482" s="11"/>
      <c r="N4482" s="11"/>
      <c r="O4482" s="11"/>
      <c r="P4482" s="11"/>
    </row>
    <row r="4483" spans="8:16" x14ac:dyDescent="0.25">
      <c r="H4483" s="12"/>
      <c r="I4483" s="12"/>
      <c r="J4483" s="12"/>
      <c r="K4483" s="12"/>
      <c r="L4483" s="12"/>
      <c r="M4483" s="11"/>
      <c r="N4483" s="11"/>
      <c r="O4483" s="11"/>
      <c r="P4483" s="11"/>
    </row>
    <row r="4484" spans="8:16" x14ac:dyDescent="0.25">
      <c r="H4484" s="12"/>
      <c r="I4484" s="12"/>
      <c r="J4484" s="12"/>
      <c r="K4484" s="12"/>
      <c r="L4484" s="12"/>
      <c r="M4484" s="11"/>
      <c r="N4484" s="11"/>
      <c r="O4484" s="11"/>
      <c r="P4484" s="11"/>
    </row>
    <row r="4485" spans="8:16" x14ac:dyDescent="0.25">
      <c r="H4485" s="12"/>
      <c r="I4485" s="12"/>
      <c r="J4485" s="12"/>
      <c r="K4485" s="12"/>
      <c r="L4485" s="12"/>
      <c r="M4485" s="11"/>
      <c r="N4485" s="11"/>
      <c r="O4485" s="11"/>
      <c r="P4485" s="11"/>
    </row>
    <row r="4486" spans="8:16" x14ac:dyDescent="0.25">
      <c r="H4486" s="12"/>
      <c r="I4486" s="12"/>
      <c r="J4486" s="12"/>
      <c r="K4486" s="12"/>
      <c r="L4486" s="12"/>
      <c r="M4486" s="11"/>
      <c r="N4486" s="11"/>
      <c r="O4486" s="11"/>
      <c r="P4486" s="11"/>
    </row>
    <row r="4487" spans="8:16" x14ac:dyDescent="0.25">
      <c r="H4487" s="12"/>
      <c r="I4487" s="12"/>
      <c r="J4487" s="12"/>
      <c r="K4487" s="12"/>
      <c r="L4487" s="12"/>
      <c r="M4487" s="11"/>
      <c r="N4487" s="11"/>
      <c r="O4487" s="11"/>
      <c r="P4487" s="11"/>
    </row>
    <row r="4488" spans="8:16" x14ac:dyDescent="0.25">
      <c r="H4488" s="12"/>
      <c r="I4488" s="12"/>
      <c r="J4488" s="12"/>
      <c r="K4488" s="12"/>
      <c r="L4488" s="12"/>
      <c r="M4488" s="11"/>
      <c r="N4488" s="11"/>
      <c r="O4488" s="11"/>
      <c r="P4488" s="11"/>
    </row>
    <row r="4489" spans="8:16" x14ac:dyDescent="0.25">
      <c r="H4489" s="12"/>
      <c r="I4489" s="12"/>
      <c r="J4489" s="12"/>
      <c r="K4489" s="12"/>
      <c r="L4489" s="12"/>
      <c r="M4489" s="11"/>
      <c r="N4489" s="11"/>
      <c r="O4489" s="11"/>
      <c r="P4489" s="11"/>
    </row>
    <row r="4490" spans="8:16" x14ac:dyDescent="0.25">
      <c r="H4490" s="12"/>
      <c r="I4490" s="12"/>
      <c r="J4490" s="12"/>
      <c r="K4490" s="12"/>
      <c r="L4490" s="12"/>
      <c r="M4490" s="11"/>
      <c r="N4490" s="11"/>
      <c r="O4490" s="11"/>
      <c r="P4490" s="11"/>
    </row>
    <row r="4491" spans="8:16" x14ac:dyDescent="0.25">
      <c r="H4491" s="12"/>
      <c r="I4491" s="12"/>
      <c r="J4491" s="12"/>
      <c r="K4491" s="12"/>
      <c r="L4491" s="12"/>
      <c r="M4491" s="11"/>
      <c r="N4491" s="11"/>
      <c r="O4491" s="11"/>
      <c r="P4491" s="11"/>
    </row>
    <row r="4492" spans="8:16" x14ac:dyDescent="0.25">
      <c r="H4492" s="12"/>
      <c r="I4492" s="12"/>
      <c r="J4492" s="12"/>
      <c r="K4492" s="12"/>
      <c r="L4492" s="12"/>
      <c r="M4492" s="11"/>
      <c r="N4492" s="11"/>
      <c r="O4492" s="11"/>
      <c r="P4492" s="11"/>
    </row>
    <row r="4493" spans="8:16" x14ac:dyDescent="0.25">
      <c r="H4493" s="12"/>
      <c r="I4493" s="12"/>
      <c r="J4493" s="12"/>
      <c r="K4493" s="12"/>
      <c r="L4493" s="12"/>
      <c r="M4493" s="11"/>
      <c r="N4493" s="11"/>
      <c r="O4493" s="11"/>
      <c r="P4493" s="11"/>
    </row>
    <row r="4494" spans="8:16" x14ac:dyDescent="0.25">
      <c r="H4494" s="12"/>
      <c r="I4494" s="12"/>
      <c r="J4494" s="12"/>
      <c r="K4494" s="12"/>
      <c r="L4494" s="12"/>
      <c r="M4494" s="11"/>
      <c r="N4494" s="11"/>
      <c r="O4494" s="11"/>
      <c r="P4494" s="11"/>
    </row>
    <row r="4495" spans="8:16" x14ac:dyDescent="0.25">
      <c r="H4495" s="12"/>
      <c r="I4495" s="12"/>
      <c r="J4495" s="12"/>
      <c r="K4495" s="12"/>
      <c r="L4495" s="12"/>
      <c r="M4495" s="11"/>
      <c r="N4495" s="11"/>
      <c r="O4495" s="11"/>
      <c r="P4495" s="11"/>
    </row>
    <row r="4496" spans="8:16" x14ac:dyDescent="0.25">
      <c r="H4496" s="12"/>
      <c r="I4496" s="12"/>
      <c r="J4496" s="12"/>
      <c r="K4496" s="12"/>
      <c r="L4496" s="12"/>
      <c r="M4496" s="11"/>
      <c r="N4496" s="11"/>
      <c r="O4496" s="11"/>
      <c r="P4496" s="11"/>
    </row>
    <row r="4497" spans="8:16" x14ac:dyDescent="0.25">
      <c r="H4497" s="12"/>
      <c r="I4497" s="12"/>
      <c r="J4497" s="12"/>
      <c r="K4497" s="12"/>
      <c r="L4497" s="12"/>
      <c r="M4497" s="11"/>
      <c r="N4497" s="11"/>
      <c r="O4497" s="11"/>
      <c r="P4497" s="11"/>
    </row>
    <row r="4498" spans="8:16" x14ac:dyDescent="0.25">
      <c r="H4498" s="12"/>
      <c r="I4498" s="12"/>
      <c r="J4498" s="12"/>
      <c r="K4498" s="12"/>
      <c r="L4498" s="12"/>
      <c r="M4498" s="11"/>
      <c r="N4498" s="11"/>
      <c r="O4498" s="11"/>
      <c r="P4498" s="11"/>
    </row>
    <row r="4499" spans="8:16" x14ac:dyDescent="0.25">
      <c r="H4499" s="12"/>
      <c r="I4499" s="12"/>
      <c r="J4499" s="12"/>
      <c r="K4499" s="12"/>
      <c r="L4499" s="12"/>
      <c r="M4499" s="11"/>
      <c r="N4499" s="11"/>
      <c r="O4499" s="11"/>
      <c r="P4499" s="11"/>
    </row>
    <row r="4500" spans="8:16" x14ac:dyDescent="0.25">
      <c r="H4500" s="12"/>
      <c r="I4500" s="12"/>
      <c r="J4500" s="12"/>
      <c r="K4500" s="12"/>
      <c r="L4500" s="12"/>
      <c r="M4500" s="11"/>
      <c r="N4500" s="11"/>
      <c r="O4500" s="11"/>
      <c r="P4500" s="11"/>
    </row>
    <row r="4501" spans="8:16" x14ac:dyDescent="0.25">
      <c r="H4501" s="12"/>
      <c r="I4501" s="12"/>
      <c r="J4501" s="12"/>
      <c r="K4501" s="12"/>
      <c r="L4501" s="12"/>
      <c r="M4501" s="11"/>
      <c r="N4501" s="11"/>
      <c r="O4501" s="11"/>
      <c r="P4501" s="11"/>
    </row>
    <row r="4502" spans="8:16" x14ac:dyDescent="0.25">
      <c r="H4502" s="12"/>
      <c r="I4502" s="12"/>
      <c r="J4502" s="12"/>
      <c r="K4502" s="12"/>
      <c r="L4502" s="12"/>
      <c r="M4502" s="11"/>
      <c r="N4502" s="11"/>
      <c r="O4502" s="11"/>
      <c r="P4502" s="11"/>
    </row>
    <row r="4503" spans="8:16" x14ac:dyDescent="0.25">
      <c r="H4503" s="12"/>
      <c r="I4503" s="12"/>
      <c r="J4503" s="12"/>
      <c r="K4503" s="12"/>
      <c r="L4503" s="12"/>
      <c r="M4503" s="11"/>
      <c r="N4503" s="11"/>
      <c r="O4503" s="11"/>
      <c r="P4503" s="11"/>
    </row>
    <row r="4504" spans="8:16" x14ac:dyDescent="0.25">
      <c r="H4504" s="12"/>
      <c r="I4504" s="12"/>
      <c r="J4504" s="12"/>
      <c r="K4504" s="12"/>
      <c r="L4504" s="12"/>
      <c r="M4504" s="11"/>
      <c r="N4504" s="11"/>
      <c r="O4504" s="11"/>
      <c r="P4504" s="11"/>
    </row>
    <row r="4505" spans="8:16" x14ac:dyDescent="0.25">
      <c r="H4505" s="12"/>
      <c r="I4505" s="12"/>
      <c r="J4505" s="12"/>
      <c r="K4505" s="12"/>
      <c r="L4505" s="12"/>
      <c r="M4505" s="11"/>
      <c r="N4505" s="11"/>
      <c r="O4505" s="11"/>
      <c r="P4505" s="11"/>
    </row>
    <row r="4506" spans="8:16" x14ac:dyDescent="0.25">
      <c r="H4506" s="12"/>
      <c r="I4506" s="12"/>
      <c r="J4506" s="12"/>
      <c r="K4506" s="12"/>
      <c r="L4506" s="12"/>
      <c r="M4506" s="11"/>
      <c r="N4506" s="11"/>
      <c r="O4506" s="11"/>
      <c r="P4506" s="11"/>
    </row>
    <row r="4507" spans="8:16" x14ac:dyDescent="0.25">
      <c r="H4507" s="12"/>
      <c r="I4507" s="12"/>
      <c r="J4507" s="12"/>
      <c r="K4507" s="12"/>
      <c r="L4507" s="12"/>
      <c r="M4507" s="11"/>
      <c r="N4507" s="11"/>
      <c r="O4507" s="11"/>
      <c r="P4507" s="11"/>
    </row>
    <row r="4508" spans="8:16" x14ac:dyDescent="0.25">
      <c r="H4508" s="12"/>
      <c r="I4508" s="12"/>
      <c r="J4508" s="12"/>
      <c r="K4508" s="12"/>
      <c r="L4508" s="12"/>
      <c r="M4508" s="11"/>
      <c r="N4508" s="11"/>
      <c r="O4508" s="11"/>
      <c r="P4508" s="11"/>
    </row>
    <row r="4509" spans="8:16" x14ac:dyDescent="0.25">
      <c r="H4509" s="12"/>
      <c r="I4509" s="12"/>
      <c r="J4509" s="12"/>
      <c r="K4509" s="12"/>
      <c r="L4509" s="12"/>
      <c r="M4509" s="11"/>
      <c r="N4509" s="11"/>
      <c r="O4509" s="11"/>
      <c r="P4509" s="11"/>
    </row>
    <row r="4510" spans="8:16" x14ac:dyDescent="0.25">
      <c r="H4510" s="12"/>
      <c r="I4510" s="12"/>
      <c r="J4510" s="12"/>
      <c r="K4510" s="12"/>
      <c r="L4510" s="12"/>
      <c r="M4510" s="11"/>
      <c r="N4510" s="11"/>
      <c r="O4510" s="11"/>
      <c r="P4510" s="11"/>
    </row>
    <row r="4511" spans="8:16" x14ac:dyDescent="0.25">
      <c r="H4511" s="12"/>
      <c r="I4511" s="12"/>
      <c r="J4511" s="12"/>
      <c r="K4511" s="12"/>
      <c r="L4511" s="12"/>
      <c r="M4511" s="11"/>
      <c r="N4511" s="11"/>
      <c r="O4511" s="11"/>
      <c r="P4511" s="11"/>
    </row>
    <row r="4512" spans="8:16" x14ac:dyDescent="0.25">
      <c r="H4512" s="12"/>
      <c r="I4512" s="12"/>
      <c r="J4512" s="12"/>
      <c r="K4512" s="12"/>
      <c r="L4512" s="12"/>
      <c r="M4512" s="11"/>
      <c r="N4512" s="11"/>
      <c r="O4512" s="11"/>
      <c r="P4512" s="11"/>
    </row>
    <row r="4513" spans="8:16" x14ac:dyDescent="0.25">
      <c r="H4513" s="12"/>
      <c r="I4513" s="12"/>
      <c r="J4513" s="12"/>
      <c r="K4513" s="12"/>
      <c r="L4513" s="12"/>
      <c r="M4513" s="11"/>
      <c r="N4513" s="11"/>
      <c r="O4513" s="11"/>
      <c r="P4513" s="11"/>
    </row>
    <row r="4514" spans="8:16" x14ac:dyDescent="0.25">
      <c r="H4514" s="12"/>
      <c r="I4514" s="12"/>
      <c r="J4514" s="12"/>
      <c r="K4514" s="12"/>
      <c r="L4514" s="12"/>
      <c r="M4514" s="11"/>
      <c r="N4514" s="11"/>
      <c r="O4514" s="11"/>
      <c r="P4514" s="11"/>
    </row>
    <row r="4515" spans="8:16" x14ac:dyDescent="0.25">
      <c r="H4515" s="12"/>
      <c r="I4515" s="12"/>
      <c r="J4515" s="12"/>
      <c r="K4515" s="12"/>
      <c r="L4515" s="12"/>
      <c r="M4515" s="11"/>
      <c r="N4515" s="11"/>
      <c r="O4515" s="11"/>
      <c r="P4515" s="11"/>
    </row>
    <row r="4516" spans="8:16" x14ac:dyDescent="0.25">
      <c r="H4516" s="12"/>
      <c r="I4516" s="12"/>
      <c r="J4516" s="12"/>
      <c r="K4516" s="12"/>
      <c r="L4516" s="12"/>
      <c r="M4516" s="11"/>
      <c r="N4516" s="11"/>
      <c r="O4516" s="11"/>
      <c r="P4516" s="11"/>
    </row>
    <row r="4517" spans="8:16" x14ac:dyDescent="0.25">
      <c r="H4517" s="12"/>
      <c r="I4517" s="12"/>
      <c r="J4517" s="12"/>
      <c r="K4517" s="12"/>
      <c r="L4517" s="12"/>
      <c r="M4517" s="11"/>
      <c r="N4517" s="11"/>
      <c r="O4517" s="11"/>
      <c r="P4517" s="11"/>
    </row>
    <row r="4518" spans="8:16" x14ac:dyDescent="0.25">
      <c r="H4518" s="12"/>
      <c r="I4518" s="12"/>
      <c r="J4518" s="12"/>
      <c r="K4518" s="12"/>
      <c r="L4518" s="12"/>
      <c r="M4518" s="11"/>
      <c r="N4518" s="11"/>
      <c r="O4518" s="11"/>
      <c r="P4518" s="11"/>
    </row>
    <row r="4519" spans="8:16" x14ac:dyDescent="0.25">
      <c r="H4519" s="12"/>
      <c r="I4519" s="12"/>
      <c r="J4519" s="12"/>
      <c r="K4519" s="12"/>
      <c r="L4519" s="12"/>
      <c r="M4519" s="11"/>
      <c r="N4519" s="11"/>
      <c r="O4519" s="11"/>
      <c r="P4519" s="11"/>
    </row>
    <row r="4520" spans="8:16" x14ac:dyDescent="0.25">
      <c r="H4520" s="12"/>
      <c r="I4520" s="12"/>
      <c r="J4520" s="12"/>
      <c r="K4520" s="12"/>
      <c r="L4520" s="12"/>
      <c r="M4520" s="11"/>
      <c r="N4520" s="11"/>
      <c r="O4520" s="11"/>
      <c r="P4520" s="11"/>
    </row>
    <row r="4521" spans="8:16" x14ac:dyDescent="0.25">
      <c r="H4521" s="12"/>
      <c r="I4521" s="12"/>
      <c r="J4521" s="12"/>
      <c r="K4521" s="12"/>
      <c r="L4521" s="12"/>
      <c r="M4521" s="11"/>
      <c r="N4521" s="11"/>
      <c r="O4521" s="11"/>
      <c r="P4521" s="11"/>
    </row>
    <row r="4522" spans="8:16" x14ac:dyDescent="0.25">
      <c r="H4522" s="12"/>
      <c r="I4522" s="12"/>
      <c r="J4522" s="12"/>
      <c r="K4522" s="12"/>
      <c r="L4522" s="12"/>
      <c r="M4522" s="11"/>
      <c r="N4522" s="11"/>
      <c r="O4522" s="11"/>
      <c r="P4522" s="11"/>
    </row>
    <row r="4523" spans="8:16" x14ac:dyDescent="0.25">
      <c r="H4523" s="12"/>
      <c r="I4523" s="12"/>
      <c r="J4523" s="12"/>
      <c r="K4523" s="12"/>
      <c r="L4523" s="12"/>
      <c r="M4523" s="11"/>
      <c r="N4523" s="11"/>
      <c r="O4523" s="11"/>
      <c r="P4523" s="11"/>
    </row>
    <row r="4524" spans="8:16" x14ac:dyDescent="0.25">
      <c r="H4524" s="12"/>
      <c r="I4524" s="12"/>
      <c r="J4524" s="12"/>
      <c r="K4524" s="12"/>
      <c r="L4524" s="12"/>
      <c r="M4524" s="11"/>
      <c r="N4524" s="11"/>
      <c r="O4524" s="11"/>
      <c r="P4524" s="11"/>
    </row>
    <row r="4525" spans="8:16" x14ac:dyDescent="0.25">
      <c r="H4525" s="12"/>
      <c r="I4525" s="12"/>
      <c r="J4525" s="12"/>
      <c r="K4525" s="12"/>
      <c r="L4525" s="12"/>
      <c r="M4525" s="11"/>
      <c r="N4525" s="11"/>
      <c r="O4525" s="11"/>
      <c r="P4525" s="11"/>
    </row>
    <row r="4526" spans="8:16" x14ac:dyDescent="0.25">
      <c r="H4526" s="12"/>
      <c r="I4526" s="12"/>
      <c r="J4526" s="12"/>
      <c r="K4526" s="12"/>
      <c r="L4526" s="12"/>
      <c r="M4526" s="11"/>
      <c r="N4526" s="11"/>
      <c r="O4526" s="11"/>
      <c r="P4526" s="11"/>
    </row>
    <row r="4527" spans="8:16" x14ac:dyDescent="0.25">
      <c r="H4527" s="12"/>
      <c r="I4527" s="12"/>
      <c r="J4527" s="12"/>
      <c r="K4527" s="12"/>
      <c r="L4527" s="12"/>
      <c r="M4527" s="11"/>
      <c r="N4527" s="11"/>
      <c r="O4527" s="11"/>
      <c r="P4527" s="11"/>
    </row>
    <row r="4528" spans="8:16" x14ac:dyDescent="0.25">
      <c r="H4528" s="12"/>
      <c r="I4528" s="12"/>
      <c r="J4528" s="12"/>
      <c r="K4528" s="12"/>
      <c r="L4528" s="12"/>
      <c r="M4528" s="11"/>
      <c r="N4528" s="11"/>
      <c r="O4528" s="11"/>
      <c r="P4528" s="11"/>
    </row>
    <row r="4529" spans="8:16" x14ac:dyDescent="0.25">
      <c r="H4529" s="12"/>
      <c r="I4529" s="12"/>
      <c r="J4529" s="12"/>
      <c r="K4529" s="12"/>
      <c r="L4529" s="12"/>
      <c r="M4529" s="11"/>
      <c r="N4529" s="11"/>
      <c r="O4529" s="11"/>
      <c r="P4529" s="11"/>
    </row>
    <row r="4530" spans="8:16" x14ac:dyDescent="0.25">
      <c r="H4530" s="12"/>
      <c r="I4530" s="12"/>
      <c r="J4530" s="12"/>
      <c r="K4530" s="12"/>
      <c r="L4530" s="12"/>
      <c r="M4530" s="11"/>
      <c r="N4530" s="11"/>
      <c r="O4530" s="11"/>
      <c r="P4530" s="11"/>
    </row>
    <row r="4531" spans="8:16" x14ac:dyDescent="0.25">
      <c r="H4531" s="12"/>
      <c r="I4531" s="12"/>
      <c r="J4531" s="12"/>
      <c r="K4531" s="12"/>
      <c r="L4531" s="12"/>
      <c r="M4531" s="11"/>
      <c r="N4531" s="11"/>
      <c r="O4531" s="11"/>
      <c r="P4531" s="11"/>
    </row>
    <row r="4532" spans="8:16" x14ac:dyDescent="0.25">
      <c r="H4532" s="12"/>
      <c r="I4532" s="12"/>
      <c r="J4532" s="12"/>
      <c r="K4532" s="12"/>
      <c r="L4532" s="12"/>
      <c r="M4532" s="11"/>
      <c r="N4532" s="11"/>
      <c r="O4532" s="11"/>
      <c r="P4532" s="11"/>
    </row>
    <row r="4533" spans="8:16" x14ac:dyDescent="0.25">
      <c r="H4533" s="12"/>
      <c r="I4533" s="12"/>
      <c r="J4533" s="12"/>
      <c r="K4533" s="12"/>
      <c r="L4533" s="12"/>
      <c r="M4533" s="11"/>
      <c r="N4533" s="11"/>
      <c r="O4533" s="11"/>
      <c r="P4533" s="11"/>
    </row>
    <row r="4534" spans="8:16" x14ac:dyDescent="0.25">
      <c r="H4534" s="12"/>
      <c r="I4534" s="12"/>
      <c r="J4534" s="12"/>
      <c r="K4534" s="12"/>
      <c r="L4534" s="12"/>
      <c r="M4534" s="11"/>
      <c r="N4534" s="11"/>
      <c r="O4534" s="11"/>
      <c r="P4534" s="11"/>
    </row>
    <row r="4535" spans="8:16" x14ac:dyDescent="0.25">
      <c r="H4535" s="12"/>
      <c r="I4535" s="12"/>
      <c r="J4535" s="12"/>
      <c r="K4535" s="12"/>
      <c r="L4535" s="12"/>
      <c r="M4535" s="11"/>
      <c r="N4535" s="11"/>
      <c r="O4535" s="11"/>
      <c r="P4535" s="11"/>
    </row>
    <row r="4536" spans="8:16" x14ac:dyDescent="0.25">
      <c r="H4536" s="12"/>
      <c r="I4536" s="12"/>
      <c r="J4536" s="12"/>
      <c r="K4536" s="12"/>
      <c r="L4536" s="12"/>
      <c r="M4536" s="11"/>
      <c r="N4536" s="11"/>
      <c r="O4536" s="11"/>
      <c r="P4536" s="11"/>
    </row>
    <row r="4537" spans="8:16" x14ac:dyDescent="0.25">
      <c r="H4537" s="12"/>
      <c r="I4537" s="12"/>
      <c r="J4537" s="12"/>
      <c r="K4537" s="12"/>
      <c r="L4537" s="12"/>
      <c r="M4537" s="11"/>
      <c r="N4537" s="11"/>
      <c r="O4537" s="11"/>
      <c r="P4537" s="11"/>
    </row>
    <row r="4538" spans="8:16" x14ac:dyDescent="0.25">
      <c r="H4538" s="12"/>
      <c r="I4538" s="12"/>
      <c r="J4538" s="12"/>
      <c r="K4538" s="12"/>
      <c r="L4538" s="12"/>
      <c r="M4538" s="11"/>
      <c r="N4538" s="11"/>
      <c r="O4538" s="11"/>
      <c r="P4538" s="11"/>
    </row>
    <row r="4539" spans="8:16" x14ac:dyDescent="0.25">
      <c r="H4539" s="12"/>
      <c r="I4539" s="12"/>
      <c r="J4539" s="12"/>
      <c r="K4539" s="12"/>
      <c r="L4539" s="12"/>
      <c r="M4539" s="11"/>
      <c r="N4539" s="11"/>
      <c r="O4539" s="11"/>
      <c r="P4539" s="11"/>
    </row>
    <row r="4540" spans="8:16" x14ac:dyDescent="0.25">
      <c r="H4540" s="12"/>
      <c r="I4540" s="12"/>
      <c r="J4540" s="12"/>
      <c r="K4540" s="12"/>
      <c r="L4540" s="12"/>
      <c r="M4540" s="11"/>
      <c r="N4540" s="11"/>
      <c r="O4540" s="11"/>
      <c r="P4540" s="11"/>
    </row>
    <row r="4541" spans="8:16" x14ac:dyDescent="0.25">
      <c r="H4541" s="12"/>
      <c r="I4541" s="12"/>
      <c r="J4541" s="12"/>
      <c r="K4541" s="12"/>
      <c r="L4541" s="12"/>
      <c r="M4541" s="11"/>
      <c r="N4541" s="11"/>
      <c r="O4541" s="11"/>
      <c r="P4541" s="11"/>
    </row>
    <row r="4542" spans="8:16" x14ac:dyDescent="0.25">
      <c r="H4542" s="12"/>
      <c r="I4542" s="12"/>
      <c r="J4542" s="12"/>
      <c r="K4542" s="12"/>
      <c r="L4542" s="12"/>
      <c r="M4542" s="11"/>
      <c r="N4542" s="11"/>
      <c r="O4542" s="11"/>
      <c r="P4542" s="11"/>
    </row>
    <row r="4543" spans="8:16" x14ac:dyDescent="0.25">
      <c r="H4543" s="12"/>
      <c r="I4543" s="12"/>
      <c r="J4543" s="12"/>
      <c r="K4543" s="12"/>
      <c r="L4543" s="12"/>
      <c r="M4543" s="11"/>
      <c r="N4543" s="11"/>
      <c r="O4543" s="11"/>
      <c r="P4543" s="11"/>
    </row>
    <row r="4544" spans="8:16" x14ac:dyDescent="0.25">
      <c r="H4544" s="12"/>
      <c r="I4544" s="12"/>
      <c r="J4544" s="12"/>
      <c r="K4544" s="12"/>
      <c r="L4544" s="12"/>
      <c r="M4544" s="11"/>
      <c r="N4544" s="11"/>
      <c r="O4544" s="11"/>
      <c r="P4544" s="11"/>
    </row>
    <row r="4545" spans="8:16" x14ac:dyDescent="0.25">
      <c r="H4545" s="12"/>
      <c r="I4545" s="12"/>
      <c r="J4545" s="12"/>
      <c r="K4545" s="12"/>
      <c r="L4545" s="12"/>
      <c r="M4545" s="11"/>
      <c r="N4545" s="11"/>
      <c r="O4545" s="11"/>
      <c r="P4545" s="11"/>
    </row>
    <row r="4546" spans="8:16" x14ac:dyDescent="0.25">
      <c r="H4546" s="12"/>
      <c r="I4546" s="12"/>
      <c r="J4546" s="12"/>
      <c r="K4546" s="12"/>
      <c r="L4546" s="12"/>
      <c r="M4546" s="11"/>
      <c r="N4546" s="11"/>
      <c r="O4546" s="11"/>
      <c r="P4546" s="11"/>
    </row>
    <row r="4547" spans="8:16" x14ac:dyDescent="0.25">
      <c r="H4547" s="12"/>
      <c r="I4547" s="12"/>
      <c r="J4547" s="12"/>
      <c r="K4547" s="12"/>
      <c r="L4547" s="12"/>
      <c r="M4547" s="11"/>
      <c r="N4547" s="11"/>
      <c r="O4547" s="11"/>
      <c r="P4547" s="11"/>
    </row>
    <row r="4548" spans="8:16" x14ac:dyDescent="0.25">
      <c r="H4548" s="12"/>
      <c r="I4548" s="12"/>
      <c r="J4548" s="12"/>
      <c r="K4548" s="12"/>
      <c r="L4548" s="12"/>
      <c r="M4548" s="11"/>
      <c r="N4548" s="11"/>
      <c r="O4548" s="11"/>
      <c r="P4548" s="11"/>
    </row>
    <row r="4549" spans="8:16" x14ac:dyDescent="0.25">
      <c r="H4549" s="12"/>
      <c r="I4549" s="12"/>
      <c r="J4549" s="12"/>
      <c r="K4549" s="12"/>
      <c r="L4549" s="12"/>
      <c r="M4549" s="11"/>
      <c r="N4549" s="11"/>
      <c r="O4549" s="11"/>
      <c r="P4549" s="11"/>
    </row>
    <row r="4550" spans="8:16" x14ac:dyDescent="0.25">
      <c r="H4550" s="12"/>
      <c r="I4550" s="12"/>
      <c r="J4550" s="12"/>
      <c r="K4550" s="12"/>
      <c r="L4550" s="12"/>
      <c r="M4550" s="11"/>
      <c r="N4550" s="11"/>
      <c r="O4550" s="11"/>
      <c r="P4550" s="11"/>
    </row>
    <row r="4551" spans="8:16" x14ac:dyDescent="0.25">
      <c r="H4551" s="12"/>
      <c r="I4551" s="12"/>
      <c r="J4551" s="12"/>
      <c r="K4551" s="12"/>
      <c r="L4551" s="12"/>
      <c r="M4551" s="11"/>
      <c r="N4551" s="11"/>
      <c r="O4551" s="11"/>
      <c r="P4551" s="11"/>
    </row>
    <row r="4552" spans="8:16" x14ac:dyDescent="0.25">
      <c r="H4552" s="12"/>
      <c r="I4552" s="12"/>
      <c r="J4552" s="12"/>
      <c r="K4552" s="12"/>
      <c r="L4552" s="12"/>
      <c r="M4552" s="11"/>
      <c r="N4552" s="11"/>
      <c r="O4552" s="11"/>
      <c r="P4552" s="11"/>
    </row>
    <row r="4553" spans="8:16" x14ac:dyDescent="0.25">
      <c r="H4553" s="12"/>
      <c r="I4553" s="12"/>
      <c r="J4553" s="12"/>
      <c r="K4553" s="12"/>
      <c r="L4553" s="12"/>
      <c r="M4553" s="11"/>
      <c r="N4553" s="11"/>
      <c r="O4553" s="11"/>
      <c r="P4553" s="11"/>
    </row>
    <row r="4554" spans="8:16" x14ac:dyDescent="0.25">
      <c r="H4554" s="12"/>
      <c r="I4554" s="12"/>
      <c r="J4554" s="12"/>
      <c r="K4554" s="12"/>
      <c r="L4554" s="12"/>
      <c r="M4554" s="11"/>
      <c r="N4554" s="11"/>
      <c r="O4554" s="11"/>
      <c r="P4554" s="11"/>
    </row>
    <row r="4555" spans="8:16" x14ac:dyDescent="0.25">
      <c r="H4555" s="12"/>
      <c r="I4555" s="12"/>
      <c r="J4555" s="12"/>
      <c r="K4555" s="12"/>
      <c r="L4555" s="12"/>
      <c r="M4555" s="11"/>
      <c r="N4555" s="11"/>
      <c r="O4555" s="11"/>
      <c r="P4555" s="11"/>
    </row>
    <row r="4556" spans="8:16" x14ac:dyDescent="0.25">
      <c r="H4556" s="12"/>
      <c r="I4556" s="12"/>
      <c r="J4556" s="12"/>
      <c r="K4556" s="12"/>
      <c r="L4556" s="12"/>
      <c r="M4556" s="11"/>
      <c r="N4556" s="11"/>
      <c r="O4556" s="11"/>
      <c r="P4556" s="11"/>
    </row>
    <row r="4557" spans="8:16" x14ac:dyDescent="0.25">
      <c r="H4557" s="12"/>
      <c r="I4557" s="12"/>
      <c r="J4557" s="12"/>
      <c r="K4557" s="12"/>
      <c r="L4557" s="12"/>
      <c r="M4557" s="11"/>
      <c r="N4557" s="11"/>
      <c r="O4557" s="11"/>
      <c r="P4557" s="11"/>
    </row>
    <row r="4558" spans="8:16" x14ac:dyDescent="0.25">
      <c r="H4558" s="12"/>
      <c r="I4558" s="12"/>
      <c r="J4558" s="12"/>
      <c r="K4558" s="12"/>
      <c r="L4558" s="12"/>
      <c r="M4558" s="11"/>
      <c r="N4558" s="11"/>
      <c r="O4558" s="11"/>
      <c r="P4558" s="11"/>
    </row>
    <row r="4559" spans="8:16" x14ac:dyDescent="0.25">
      <c r="H4559" s="12"/>
      <c r="I4559" s="12"/>
      <c r="J4559" s="12"/>
      <c r="K4559" s="12"/>
      <c r="L4559" s="12"/>
      <c r="M4559" s="11"/>
      <c r="N4559" s="11"/>
      <c r="O4559" s="11"/>
      <c r="P4559" s="11"/>
    </row>
    <row r="4560" spans="8:16" x14ac:dyDescent="0.25">
      <c r="H4560" s="12"/>
      <c r="I4560" s="12"/>
      <c r="J4560" s="12"/>
      <c r="K4560" s="12"/>
      <c r="L4560" s="12"/>
      <c r="M4560" s="11"/>
      <c r="N4560" s="11"/>
      <c r="O4560" s="11"/>
      <c r="P4560" s="11"/>
    </row>
    <row r="4561" spans="8:16" x14ac:dyDescent="0.25">
      <c r="H4561" s="12"/>
      <c r="I4561" s="12"/>
      <c r="J4561" s="12"/>
      <c r="K4561" s="12"/>
      <c r="L4561" s="12"/>
      <c r="M4561" s="11"/>
      <c r="N4561" s="11"/>
      <c r="O4561" s="11"/>
      <c r="P4561" s="11"/>
    </row>
    <row r="4562" spans="8:16" x14ac:dyDescent="0.25">
      <c r="H4562" s="12"/>
      <c r="I4562" s="12"/>
      <c r="J4562" s="12"/>
      <c r="K4562" s="12"/>
      <c r="L4562" s="12"/>
      <c r="M4562" s="11"/>
      <c r="N4562" s="11"/>
      <c r="O4562" s="11"/>
      <c r="P4562" s="11"/>
    </row>
    <row r="4563" spans="8:16" x14ac:dyDescent="0.25">
      <c r="H4563" s="12"/>
      <c r="I4563" s="12"/>
      <c r="J4563" s="12"/>
      <c r="K4563" s="12"/>
      <c r="L4563" s="12"/>
      <c r="M4563" s="11"/>
      <c r="N4563" s="11"/>
      <c r="O4563" s="11"/>
      <c r="P4563" s="11"/>
    </row>
    <row r="4564" spans="8:16" x14ac:dyDescent="0.25">
      <c r="H4564" s="12"/>
      <c r="I4564" s="12"/>
      <c r="J4564" s="12"/>
      <c r="K4564" s="12"/>
      <c r="L4564" s="12"/>
      <c r="M4564" s="11"/>
      <c r="N4564" s="11"/>
      <c r="O4564" s="11"/>
      <c r="P4564" s="11"/>
    </row>
    <row r="4565" spans="8:16" x14ac:dyDescent="0.25">
      <c r="H4565" s="12"/>
      <c r="I4565" s="12"/>
      <c r="J4565" s="12"/>
      <c r="K4565" s="12"/>
      <c r="L4565" s="12"/>
      <c r="M4565" s="11"/>
      <c r="N4565" s="11"/>
      <c r="O4565" s="11"/>
      <c r="P4565" s="11"/>
    </row>
    <row r="4566" spans="8:16" x14ac:dyDescent="0.25">
      <c r="H4566" s="12"/>
      <c r="I4566" s="12"/>
      <c r="J4566" s="12"/>
      <c r="K4566" s="12"/>
      <c r="L4566" s="12"/>
      <c r="M4566" s="11"/>
      <c r="N4566" s="11"/>
      <c r="O4566" s="11"/>
      <c r="P4566" s="11"/>
    </row>
    <row r="4567" spans="8:16" x14ac:dyDescent="0.25">
      <c r="H4567" s="12"/>
      <c r="I4567" s="12"/>
      <c r="J4567" s="12"/>
      <c r="K4567" s="12"/>
      <c r="L4567" s="12"/>
      <c r="M4567" s="11"/>
      <c r="N4567" s="11"/>
      <c r="O4567" s="11"/>
      <c r="P4567" s="11"/>
    </row>
    <row r="4568" spans="8:16" x14ac:dyDescent="0.25">
      <c r="H4568" s="12"/>
      <c r="I4568" s="12"/>
      <c r="J4568" s="12"/>
      <c r="K4568" s="12"/>
      <c r="L4568" s="12"/>
      <c r="M4568" s="11"/>
      <c r="N4568" s="11"/>
      <c r="O4568" s="11"/>
      <c r="P4568" s="11"/>
    </row>
    <row r="4569" spans="8:16" x14ac:dyDescent="0.25">
      <c r="H4569" s="12"/>
      <c r="I4569" s="12"/>
      <c r="J4569" s="12"/>
      <c r="K4569" s="12"/>
      <c r="L4569" s="12"/>
      <c r="M4569" s="11"/>
      <c r="N4569" s="11"/>
      <c r="O4569" s="11"/>
      <c r="P4569" s="11"/>
    </row>
    <row r="4570" spans="8:16" x14ac:dyDescent="0.25">
      <c r="H4570" s="12"/>
      <c r="I4570" s="12"/>
      <c r="J4570" s="12"/>
      <c r="K4570" s="12"/>
      <c r="L4570" s="12"/>
      <c r="M4570" s="11"/>
      <c r="N4570" s="11"/>
      <c r="O4570" s="11"/>
      <c r="P4570" s="11"/>
    </row>
    <row r="4571" spans="8:16" x14ac:dyDescent="0.25">
      <c r="H4571" s="12"/>
      <c r="I4571" s="12"/>
      <c r="J4571" s="12"/>
      <c r="K4571" s="12"/>
      <c r="L4571" s="12"/>
      <c r="M4571" s="11"/>
      <c r="N4571" s="11"/>
      <c r="O4571" s="11"/>
      <c r="P4571" s="11"/>
    </row>
    <row r="4572" spans="8:16" x14ac:dyDescent="0.25">
      <c r="H4572" s="12"/>
      <c r="I4572" s="12"/>
      <c r="J4572" s="12"/>
      <c r="K4572" s="12"/>
      <c r="L4572" s="12"/>
      <c r="M4572" s="11"/>
      <c r="N4572" s="11"/>
      <c r="O4572" s="11"/>
      <c r="P4572" s="11"/>
    </row>
    <row r="4573" spans="8:16" x14ac:dyDescent="0.25">
      <c r="H4573" s="12"/>
      <c r="I4573" s="12"/>
      <c r="J4573" s="12"/>
      <c r="K4573" s="12"/>
      <c r="L4573" s="12"/>
      <c r="M4573" s="11"/>
      <c r="N4573" s="11"/>
      <c r="O4573" s="11"/>
      <c r="P4573" s="11"/>
    </row>
    <row r="4574" spans="8:16" x14ac:dyDescent="0.25">
      <c r="H4574" s="12"/>
      <c r="I4574" s="12"/>
      <c r="J4574" s="12"/>
      <c r="K4574" s="12"/>
      <c r="L4574" s="12"/>
      <c r="M4574" s="11"/>
      <c r="N4574" s="11"/>
      <c r="O4574" s="11"/>
      <c r="P4574" s="11"/>
    </row>
    <row r="4575" spans="8:16" x14ac:dyDescent="0.25">
      <c r="H4575" s="12"/>
      <c r="I4575" s="12"/>
      <c r="J4575" s="12"/>
      <c r="K4575" s="12"/>
      <c r="L4575" s="12"/>
      <c r="M4575" s="11"/>
      <c r="N4575" s="11"/>
      <c r="O4575" s="11"/>
      <c r="P4575" s="11"/>
    </row>
    <row r="4576" spans="8:16" x14ac:dyDescent="0.25">
      <c r="H4576" s="12"/>
      <c r="I4576" s="12"/>
      <c r="J4576" s="12"/>
      <c r="K4576" s="12"/>
      <c r="L4576" s="12"/>
      <c r="M4576" s="11"/>
      <c r="N4576" s="11"/>
      <c r="O4576" s="11"/>
      <c r="P4576" s="11"/>
    </row>
    <row r="4577" spans="8:16" x14ac:dyDescent="0.25">
      <c r="H4577" s="12"/>
      <c r="I4577" s="12"/>
      <c r="J4577" s="12"/>
      <c r="K4577" s="12"/>
      <c r="L4577" s="12"/>
      <c r="M4577" s="11"/>
      <c r="N4577" s="11"/>
      <c r="O4577" s="11"/>
      <c r="P4577" s="11"/>
    </row>
    <row r="4578" spans="8:16" x14ac:dyDescent="0.25">
      <c r="H4578" s="12"/>
      <c r="I4578" s="12"/>
      <c r="J4578" s="12"/>
      <c r="K4578" s="12"/>
      <c r="L4578" s="12"/>
      <c r="M4578" s="11"/>
      <c r="N4578" s="11"/>
      <c r="O4578" s="11"/>
      <c r="P4578" s="11"/>
    </row>
    <row r="4579" spans="8:16" x14ac:dyDescent="0.25">
      <c r="H4579" s="12"/>
      <c r="I4579" s="12"/>
      <c r="J4579" s="12"/>
      <c r="K4579" s="12"/>
      <c r="L4579" s="12"/>
      <c r="M4579" s="11"/>
      <c r="N4579" s="11"/>
      <c r="O4579" s="11"/>
      <c r="P4579" s="11"/>
    </row>
    <row r="4580" spans="8:16" x14ac:dyDescent="0.25">
      <c r="H4580" s="12"/>
      <c r="I4580" s="12"/>
      <c r="J4580" s="12"/>
      <c r="K4580" s="12"/>
      <c r="L4580" s="12"/>
      <c r="M4580" s="11"/>
      <c r="N4580" s="11"/>
      <c r="O4580" s="11"/>
      <c r="P4580" s="11"/>
    </row>
    <row r="4581" spans="8:16" x14ac:dyDescent="0.25">
      <c r="H4581" s="12"/>
      <c r="I4581" s="12"/>
      <c r="J4581" s="12"/>
      <c r="K4581" s="12"/>
      <c r="L4581" s="12"/>
      <c r="M4581" s="11"/>
      <c r="N4581" s="11"/>
      <c r="O4581" s="11"/>
      <c r="P4581" s="11"/>
    </row>
    <row r="4582" spans="8:16" x14ac:dyDescent="0.25">
      <c r="H4582" s="12"/>
      <c r="I4582" s="12"/>
      <c r="J4582" s="12"/>
      <c r="K4582" s="12"/>
      <c r="L4582" s="12"/>
      <c r="M4582" s="11"/>
      <c r="N4582" s="11"/>
      <c r="O4582" s="11"/>
      <c r="P4582" s="11"/>
    </row>
    <row r="4583" spans="8:16" x14ac:dyDescent="0.25">
      <c r="H4583" s="12"/>
      <c r="I4583" s="12"/>
      <c r="J4583" s="12"/>
      <c r="K4583" s="12"/>
      <c r="L4583" s="12"/>
      <c r="M4583" s="11"/>
      <c r="N4583" s="11"/>
      <c r="O4583" s="11"/>
      <c r="P4583" s="11"/>
    </row>
    <row r="4584" spans="8:16" x14ac:dyDescent="0.25">
      <c r="H4584" s="12"/>
      <c r="I4584" s="12"/>
      <c r="J4584" s="12"/>
      <c r="K4584" s="12"/>
      <c r="L4584" s="12"/>
      <c r="M4584" s="11"/>
      <c r="N4584" s="11"/>
      <c r="O4584" s="11"/>
      <c r="P4584" s="11"/>
    </row>
    <row r="4585" spans="8:16" x14ac:dyDescent="0.25">
      <c r="H4585" s="12"/>
      <c r="I4585" s="12"/>
      <c r="J4585" s="12"/>
      <c r="K4585" s="12"/>
      <c r="L4585" s="12"/>
      <c r="M4585" s="11"/>
      <c r="N4585" s="11"/>
      <c r="O4585" s="11"/>
      <c r="P4585" s="11"/>
    </row>
    <row r="4586" spans="8:16" x14ac:dyDescent="0.25">
      <c r="H4586" s="12"/>
      <c r="I4586" s="12"/>
      <c r="J4586" s="12"/>
      <c r="K4586" s="12"/>
      <c r="L4586" s="12"/>
      <c r="M4586" s="11"/>
      <c r="N4586" s="11"/>
      <c r="O4586" s="11"/>
      <c r="P4586" s="11"/>
    </row>
    <row r="4587" spans="8:16" x14ac:dyDescent="0.25">
      <c r="H4587" s="12"/>
      <c r="I4587" s="12"/>
      <c r="J4587" s="12"/>
      <c r="K4587" s="12"/>
      <c r="L4587" s="12"/>
      <c r="M4587" s="11"/>
      <c r="N4587" s="11"/>
      <c r="O4587" s="11"/>
      <c r="P4587" s="11"/>
    </row>
    <row r="4588" spans="8:16" x14ac:dyDescent="0.25">
      <c r="H4588" s="12"/>
      <c r="I4588" s="12"/>
      <c r="J4588" s="12"/>
      <c r="K4588" s="12"/>
      <c r="L4588" s="12"/>
      <c r="M4588" s="11"/>
      <c r="N4588" s="11"/>
      <c r="O4588" s="11"/>
      <c r="P4588" s="11"/>
    </row>
    <row r="4589" spans="8:16" x14ac:dyDescent="0.25">
      <c r="H4589" s="12"/>
      <c r="I4589" s="12"/>
      <c r="J4589" s="12"/>
      <c r="K4589" s="12"/>
      <c r="L4589" s="12"/>
      <c r="M4589" s="11"/>
      <c r="N4589" s="11"/>
      <c r="O4589" s="11"/>
      <c r="P4589" s="11"/>
    </row>
    <row r="4590" spans="8:16" x14ac:dyDescent="0.25">
      <c r="H4590" s="12"/>
      <c r="I4590" s="12"/>
      <c r="J4590" s="12"/>
      <c r="K4590" s="12"/>
      <c r="L4590" s="12"/>
      <c r="M4590" s="11"/>
      <c r="N4590" s="11"/>
      <c r="O4590" s="11"/>
      <c r="P4590" s="11"/>
    </row>
    <row r="4591" spans="8:16" x14ac:dyDescent="0.25">
      <c r="H4591" s="12"/>
      <c r="I4591" s="12"/>
      <c r="J4591" s="12"/>
      <c r="K4591" s="12"/>
      <c r="L4591" s="12"/>
      <c r="M4591" s="11"/>
      <c r="N4591" s="11"/>
      <c r="O4591" s="11"/>
      <c r="P4591" s="11"/>
    </row>
    <row r="4592" spans="8:16" x14ac:dyDescent="0.25">
      <c r="H4592" s="12"/>
      <c r="I4592" s="12"/>
      <c r="J4592" s="12"/>
      <c r="K4592" s="12"/>
      <c r="L4592" s="12"/>
      <c r="M4592" s="11"/>
      <c r="N4592" s="11"/>
      <c r="O4592" s="11"/>
      <c r="P4592" s="11"/>
    </row>
    <row r="4593" spans="8:16" x14ac:dyDescent="0.25">
      <c r="H4593" s="12"/>
      <c r="I4593" s="12"/>
      <c r="J4593" s="12"/>
      <c r="K4593" s="12"/>
      <c r="L4593" s="12"/>
      <c r="M4593" s="11"/>
      <c r="N4593" s="11"/>
      <c r="O4593" s="11"/>
      <c r="P4593" s="11"/>
    </row>
    <row r="4594" spans="8:16" x14ac:dyDescent="0.25">
      <c r="H4594" s="12"/>
      <c r="I4594" s="12"/>
      <c r="J4594" s="12"/>
      <c r="K4594" s="12"/>
      <c r="L4594" s="12"/>
      <c r="M4594" s="11"/>
      <c r="N4594" s="11"/>
      <c r="O4594" s="11"/>
      <c r="P4594" s="11"/>
    </row>
    <row r="4595" spans="8:16" x14ac:dyDescent="0.25">
      <c r="H4595" s="12"/>
      <c r="I4595" s="12"/>
      <c r="J4595" s="12"/>
      <c r="K4595" s="12"/>
      <c r="L4595" s="12"/>
      <c r="M4595" s="11"/>
      <c r="N4595" s="11"/>
      <c r="O4595" s="11"/>
      <c r="P4595" s="11"/>
    </row>
    <row r="4596" spans="8:16" x14ac:dyDescent="0.25">
      <c r="H4596" s="12"/>
      <c r="I4596" s="12"/>
      <c r="J4596" s="12"/>
      <c r="K4596" s="12"/>
      <c r="L4596" s="12"/>
      <c r="M4596" s="11"/>
      <c r="N4596" s="11"/>
      <c r="O4596" s="11"/>
      <c r="P4596" s="11"/>
    </row>
    <row r="4597" spans="8:16" x14ac:dyDescent="0.25">
      <c r="H4597" s="12"/>
      <c r="I4597" s="12"/>
      <c r="J4597" s="12"/>
      <c r="K4597" s="12"/>
      <c r="L4597" s="12"/>
      <c r="M4597" s="11"/>
      <c r="N4597" s="11"/>
      <c r="O4597" s="11"/>
      <c r="P4597" s="11"/>
    </row>
    <row r="4598" spans="8:16" x14ac:dyDescent="0.25">
      <c r="H4598" s="12"/>
      <c r="I4598" s="12"/>
      <c r="J4598" s="12"/>
      <c r="K4598" s="12"/>
      <c r="L4598" s="12"/>
      <c r="M4598" s="11"/>
      <c r="N4598" s="11"/>
      <c r="O4598" s="11"/>
      <c r="P4598" s="11"/>
    </row>
    <row r="4599" spans="8:16" x14ac:dyDescent="0.25">
      <c r="H4599" s="12"/>
      <c r="I4599" s="12"/>
      <c r="J4599" s="12"/>
      <c r="K4599" s="12"/>
      <c r="L4599" s="12"/>
      <c r="M4599" s="11"/>
      <c r="N4599" s="11"/>
      <c r="O4599" s="11"/>
      <c r="P4599" s="11"/>
    </row>
    <row r="4600" spans="8:16" x14ac:dyDescent="0.25">
      <c r="H4600" s="12"/>
      <c r="I4600" s="12"/>
      <c r="J4600" s="12"/>
      <c r="K4600" s="12"/>
      <c r="L4600" s="12"/>
      <c r="M4600" s="11"/>
      <c r="N4600" s="11"/>
      <c r="O4600" s="11"/>
      <c r="P4600" s="11"/>
    </row>
    <row r="4601" spans="8:16" x14ac:dyDescent="0.25">
      <c r="H4601" s="12"/>
      <c r="I4601" s="12"/>
      <c r="J4601" s="12"/>
      <c r="K4601" s="12"/>
      <c r="L4601" s="12"/>
      <c r="M4601" s="11"/>
      <c r="N4601" s="11"/>
      <c r="O4601" s="11"/>
      <c r="P4601" s="11"/>
    </row>
    <row r="4602" spans="8:16" x14ac:dyDescent="0.25">
      <c r="H4602" s="12"/>
      <c r="I4602" s="12"/>
      <c r="J4602" s="12"/>
      <c r="K4602" s="12"/>
      <c r="L4602" s="12"/>
      <c r="M4602" s="11"/>
      <c r="N4602" s="11"/>
      <c r="O4602" s="11"/>
      <c r="P4602" s="11"/>
    </row>
    <row r="4603" spans="8:16" x14ac:dyDescent="0.25">
      <c r="H4603" s="12"/>
      <c r="I4603" s="12"/>
      <c r="J4603" s="12"/>
      <c r="K4603" s="12"/>
      <c r="L4603" s="12"/>
      <c r="M4603" s="11"/>
      <c r="N4603" s="11"/>
      <c r="O4603" s="11"/>
      <c r="P4603" s="11"/>
    </row>
    <row r="4604" spans="8:16" x14ac:dyDescent="0.25">
      <c r="H4604" s="12"/>
      <c r="I4604" s="12"/>
      <c r="J4604" s="12"/>
      <c r="K4604" s="12"/>
      <c r="L4604" s="12"/>
      <c r="M4604" s="11"/>
      <c r="N4604" s="11"/>
      <c r="O4604" s="11"/>
      <c r="P4604" s="11"/>
    </row>
    <row r="4605" spans="8:16" x14ac:dyDescent="0.25">
      <c r="H4605" s="12"/>
      <c r="I4605" s="12"/>
      <c r="J4605" s="12"/>
      <c r="K4605" s="12"/>
      <c r="L4605" s="12"/>
      <c r="M4605" s="11"/>
      <c r="N4605" s="11"/>
      <c r="O4605" s="11"/>
      <c r="P4605" s="11"/>
    </row>
    <row r="4606" spans="8:16" x14ac:dyDescent="0.25">
      <c r="H4606" s="12"/>
      <c r="I4606" s="12"/>
      <c r="J4606" s="12"/>
      <c r="K4606" s="12"/>
      <c r="L4606" s="12"/>
      <c r="M4606" s="11"/>
      <c r="N4606" s="11"/>
      <c r="O4606" s="11"/>
      <c r="P4606" s="11"/>
    </row>
    <row r="4607" spans="8:16" x14ac:dyDescent="0.25">
      <c r="H4607" s="12"/>
      <c r="I4607" s="12"/>
      <c r="J4607" s="12"/>
      <c r="K4607" s="12"/>
      <c r="L4607" s="12"/>
      <c r="M4607" s="11"/>
      <c r="N4607" s="11"/>
      <c r="O4607" s="11"/>
      <c r="P4607" s="11"/>
    </row>
    <row r="4608" spans="8:16" x14ac:dyDescent="0.25">
      <c r="H4608" s="12"/>
      <c r="I4608" s="12"/>
      <c r="J4608" s="12"/>
      <c r="K4608" s="12"/>
      <c r="L4608" s="12"/>
      <c r="M4608" s="11"/>
      <c r="N4608" s="11"/>
      <c r="O4608" s="11"/>
      <c r="P4608" s="11"/>
    </row>
    <row r="4609" spans="8:16" x14ac:dyDescent="0.25">
      <c r="H4609" s="12"/>
      <c r="I4609" s="12"/>
      <c r="J4609" s="12"/>
      <c r="K4609" s="12"/>
      <c r="L4609" s="12"/>
      <c r="M4609" s="11"/>
      <c r="N4609" s="11"/>
      <c r="O4609" s="11"/>
      <c r="P4609" s="11"/>
    </row>
    <row r="4610" spans="8:16" x14ac:dyDescent="0.25">
      <c r="H4610" s="12"/>
      <c r="I4610" s="12"/>
      <c r="J4610" s="12"/>
      <c r="K4610" s="12"/>
      <c r="L4610" s="12"/>
      <c r="M4610" s="11"/>
      <c r="N4610" s="11"/>
      <c r="O4610" s="11"/>
      <c r="P4610" s="11"/>
    </row>
    <row r="4611" spans="8:16" x14ac:dyDescent="0.25">
      <c r="H4611" s="12"/>
      <c r="I4611" s="12"/>
      <c r="J4611" s="12"/>
      <c r="K4611" s="12"/>
      <c r="L4611" s="12"/>
      <c r="M4611" s="11"/>
      <c r="N4611" s="11"/>
      <c r="O4611" s="11"/>
      <c r="P4611" s="11"/>
    </row>
    <row r="4612" spans="8:16" x14ac:dyDescent="0.25">
      <c r="H4612" s="12"/>
      <c r="I4612" s="12"/>
      <c r="J4612" s="12"/>
      <c r="K4612" s="12"/>
      <c r="L4612" s="12"/>
      <c r="M4612" s="11"/>
      <c r="N4612" s="11"/>
      <c r="O4612" s="11"/>
      <c r="P4612" s="11"/>
    </row>
    <row r="4613" spans="8:16" x14ac:dyDescent="0.25">
      <c r="H4613" s="12"/>
      <c r="I4613" s="12"/>
      <c r="J4613" s="12"/>
      <c r="K4613" s="12"/>
      <c r="L4613" s="12"/>
      <c r="M4613" s="11"/>
      <c r="N4613" s="11"/>
      <c r="O4613" s="11"/>
      <c r="P4613" s="11"/>
    </row>
    <row r="4614" spans="8:16" x14ac:dyDescent="0.25">
      <c r="H4614" s="12"/>
      <c r="I4614" s="12"/>
      <c r="J4614" s="12"/>
      <c r="K4614" s="12"/>
      <c r="L4614" s="12"/>
      <c r="M4614" s="11"/>
      <c r="N4614" s="11"/>
      <c r="O4614" s="11"/>
      <c r="P4614" s="11"/>
    </row>
    <row r="4615" spans="8:16" x14ac:dyDescent="0.25">
      <c r="H4615" s="12"/>
      <c r="I4615" s="12"/>
      <c r="J4615" s="12"/>
      <c r="K4615" s="12"/>
      <c r="L4615" s="12"/>
      <c r="M4615" s="11"/>
      <c r="N4615" s="11"/>
      <c r="O4615" s="11"/>
      <c r="P4615" s="11"/>
    </row>
    <row r="4616" spans="8:16" x14ac:dyDescent="0.25">
      <c r="H4616" s="12"/>
      <c r="I4616" s="12"/>
      <c r="J4616" s="12"/>
      <c r="K4616" s="12"/>
      <c r="L4616" s="12"/>
      <c r="M4616" s="11"/>
      <c r="N4616" s="11"/>
      <c r="O4616" s="11"/>
      <c r="P4616" s="11"/>
    </row>
    <row r="4617" spans="8:16" x14ac:dyDescent="0.25">
      <c r="H4617" s="12"/>
      <c r="I4617" s="12"/>
      <c r="J4617" s="12"/>
      <c r="K4617" s="12"/>
      <c r="L4617" s="12"/>
      <c r="M4617" s="11"/>
      <c r="N4617" s="11"/>
      <c r="O4617" s="11"/>
      <c r="P4617" s="11"/>
    </row>
    <row r="4618" spans="8:16" x14ac:dyDescent="0.25">
      <c r="H4618" s="12"/>
      <c r="I4618" s="12"/>
      <c r="J4618" s="12"/>
      <c r="K4618" s="12"/>
      <c r="L4618" s="12"/>
      <c r="M4618" s="11"/>
      <c r="N4618" s="11"/>
      <c r="O4618" s="11"/>
      <c r="P4618" s="11"/>
    </row>
    <row r="4619" spans="8:16" x14ac:dyDescent="0.25">
      <c r="H4619" s="12"/>
      <c r="I4619" s="12"/>
      <c r="J4619" s="12"/>
      <c r="K4619" s="12"/>
      <c r="L4619" s="12"/>
      <c r="M4619" s="11"/>
      <c r="N4619" s="11"/>
      <c r="O4619" s="11"/>
      <c r="P4619" s="11"/>
    </row>
    <row r="4620" spans="8:16" x14ac:dyDescent="0.25">
      <c r="H4620" s="12"/>
      <c r="I4620" s="12"/>
      <c r="J4620" s="12"/>
      <c r="K4620" s="12"/>
      <c r="L4620" s="12"/>
      <c r="M4620" s="11"/>
      <c r="N4620" s="11"/>
      <c r="O4620" s="11"/>
      <c r="P4620" s="11"/>
    </row>
    <row r="4621" spans="8:16" x14ac:dyDescent="0.25">
      <c r="H4621" s="12"/>
      <c r="I4621" s="12"/>
      <c r="J4621" s="12"/>
      <c r="K4621" s="12"/>
      <c r="L4621" s="12"/>
      <c r="M4621" s="11"/>
      <c r="N4621" s="11"/>
      <c r="O4621" s="11"/>
      <c r="P4621" s="11"/>
    </row>
    <row r="4622" spans="8:16" x14ac:dyDescent="0.25">
      <c r="H4622" s="12"/>
      <c r="I4622" s="12"/>
      <c r="J4622" s="12"/>
      <c r="K4622" s="12"/>
      <c r="L4622" s="12"/>
      <c r="M4622" s="11"/>
      <c r="N4622" s="11"/>
      <c r="O4622" s="11"/>
      <c r="P4622" s="11"/>
    </row>
    <row r="4623" spans="8:16" x14ac:dyDescent="0.25">
      <c r="H4623" s="12"/>
      <c r="I4623" s="12"/>
      <c r="J4623" s="12"/>
      <c r="K4623" s="12"/>
      <c r="L4623" s="12"/>
      <c r="M4623" s="11"/>
      <c r="N4623" s="11"/>
      <c r="O4623" s="11"/>
      <c r="P4623" s="11"/>
    </row>
    <row r="4624" spans="8:16" x14ac:dyDescent="0.25">
      <c r="H4624" s="12"/>
      <c r="I4624" s="12"/>
      <c r="J4624" s="12"/>
      <c r="K4624" s="12"/>
      <c r="L4624" s="12"/>
      <c r="M4624" s="11"/>
      <c r="N4624" s="11"/>
      <c r="O4624" s="11"/>
      <c r="P4624" s="11"/>
    </row>
    <row r="4625" spans="8:16" x14ac:dyDescent="0.25">
      <c r="H4625" s="12"/>
      <c r="I4625" s="12"/>
      <c r="J4625" s="12"/>
      <c r="K4625" s="12"/>
      <c r="L4625" s="12"/>
      <c r="M4625" s="11"/>
      <c r="N4625" s="11"/>
      <c r="O4625" s="11"/>
      <c r="P4625" s="11"/>
    </row>
    <row r="4626" spans="8:16" x14ac:dyDescent="0.25">
      <c r="H4626" s="12"/>
      <c r="I4626" s="12"/>
      <c r="J4626" s="12"/>
      <c r="K4626" s="12"/>
      <c r="L4626" s="12"/>
      <c r="M4626" s="11"/>
      <c r="N4626" s="11"/>
      <c r="O4626" s="11"/>
      <c r="P4626" s="11"/>
    </row>
    <row r="4627" spans="8:16" x14ac:dyDescent="0.25">
      <c r="H4627" s="12"/>
      <c r="I4627" s="12"/>
      <c r="J4627" s="12"/>
      <c r="K4627" s="12"/>
      <c r="L4627" s="12"/>
      <c r="M4627" s="11"/>
      <c r="N4627" s="11"/>
      <c r="O4627" s="11"/>
      <c r="P4627" s="11"/>
    </row>
    <row r="4628" spans="8:16" x14ac:dyDescent="0.25">
      <c r="H4628" s="12"/>
      <c r="I4628" s="12"/>
      <c r="J4628" s="12"/>
      <c r="K4628" s="12"/>
      <c r="L4628" s="12"/>
      <c r="M4628" s="11"/>
      <c r="N4628" s="11"/>
      <c r="O4628" s="11"/>
      <c r="P4628" s="11"/>
    </row>
    <row r="4629" spans="8:16" x14ac:dyDescent="0.25">
      <c r="H4629" s="12"/>
      <c r="I4629" s="12"/>
      <c r="J4629" s="12"/>
      <c r="K4629" s="12"/>
      <c r="L4629" s="12"/>
      <c r="M4629" s="11"/>
      <c r="N4629" s="11"/>
      <c r="O4629" s="11"/>
      <c r="P4629" s="11"/>
    </row>
    <row r="4630" spans="8:16" x14ac:dyDescent="0.25">
      <c r="H4630" s="12"/>
      <c r="I4630" s="12"/>
      <c r="J4630" s="12"/>
      <c r="K4630" s="12"/>
      <c r="L4630" s="12"/>
      <c r="M4630" s="11"/>
      <c r="N4630" s="11"/>
      <c r="O4630" s="11"/>
      <c r="P4630" s="11"/>
    </row>
    <row r="4631" spans="8:16" x14ac:dyDescent="0.25">
      <c r="H4631" s="12"/>
      <c r="I4631" s="12"/>
      <c r="J4631" s="12"/>
      <c r="K4631" s="12"/>
      <c r="L4631" s="12"/>
      <c r="M4631" s="11"/>
      <c r="N4631" s="11"/>
      <c r="O4631" s="11"/>
      <c r="P4631" s="11"/>
    </row>
    <row r="4632" spans="8:16" x14ac:dyDescent="0.25">
      <c r="H4632" s="12"/>
      <c r="I4632" s="12"/>
      <c r="J4632" s="12"/>
      <c r="K4632" s="12"/>
      <c r="L4632" s="12"/>
      <c r="M4632" s="11"/>
      <c r="N4632" s="11"/>
      <c r="O4632" s="11"/>
      <c r="P4632" s="11"/>
    </row>
    <row r="4633" spans="8:16" x14ac:dyDescent="0.25">
      <c r="H4633" s="12"/>
      <c r="I4633" s="12"/>
      <c r="J4633" s="12"/>
      <c r="K4633" s="12"/>
      <c r="L4633" s="12"/>
      <c r="M4633" s="11"/>
      <c r="N4633" s="11"/>
      <c r="O4633" s="11"/>
      <c r="P4633" s="11"/>
    </row>
    <row r="4634" spans="8:16" x14ac:dyDescent="0.25">
      <c r="H4634" s="12"/>
      <c r="I4634" s="12"/>
      <c r="J4634" s="12"/>
      <c r="K4634" s="12"/>
      <c r="L4634" s="12"/>
      <c r="M4634" s="11"/>
      <c r="N4634" s="11"/>
      <c r="O4634" s="11"/>
      <c r="P4634" s="11"/>
    </row>
    <row r="4635" spans="8:16" x14ac:dyDescent="0.25">
      <c r="H4635" s="12"/>
      <c r="I4635" s="12"/>
      <c r="J4635" s="12"/>
      <c r="K4635" s="12"/>
      <c r="L4635" s="12"/>
      <c r="M4635" s="11"/>
      <c r="N4635" s="11"/>
      <c r="O4635" s="11"/>
      <c r="P4635" s="11"/>
    </row>
    <row r="4636" spans="8:16" x14ac:dyDescent="0.25">
      <c r="H4636" s="12"/>
      <c r="I4636" s="12"/>
      <c r="J4636" s="12"/>
      <c r="K4636" s="12"/>
      <c r="L4636" s="12"/>
      <c r="M4636" s="11"/>
      <c r="N4636" s="11"/>
      <c r="O4636" s="11"/>
      <c r="P4636" s="11"/>
    </row>
    <row r="4637" spans="8:16" x14ac:dyDescent="0.25">
      <c r="H4637" s="12"/>
      <c r="I4637" s="12"/>
      <c r="J4637" s="12"/>
      <c r="K4637" s="12"/>
      <c r="L4637" s="12"/>
      <c r="M4637" s="11"/>
      <c r="N4637" s="11"/>
      <c r="O4637" s="11"/>
      <c r="P4637" s="11"/>
    </row>
    <row r="4638" spans="8:16" x14ac:dyDescent="0.25">
      <c r="H4638" s="12"/>
      <c r="I4638" s="12"/>
      <c r="J4638" s="12"/>
      <c r="K4638" s="12"/>
      <c r="L4638" s="12"/>
      <c r="M4638" s="11"/>
      <c r="N4638" s="11"/>
      <c r="O4638" s="11"/>
      <c r="P4638" s="11"/>
    </row>
    <row r="4639" spans="8:16" x14ac:dyDescent="0.25">
      <c r="H4639" s="12"/>
      <c r="I4639" s="12"/>
      <c r="J4639" s="12"/>
      <c r="K4639" s="12"/>
      <c r="L4639" s="12"/>
      <c r="M4639" s="11"/>
      <c r="N4639" s="11"/>
      <c r="O4639" s="11"/>
      <c r="P4639" s="11"/>
    </row>
    <row r="4640" spans="8:16" x14ac:dyDescent="0.25">
      <c r="H4640" s="12"/>
      <c r="I4640" s="12"/>
      <c r="J4640" s="12"/>
      <c r="K4640" s="12"/>
      <c r="L4640" s="12"/>
      <c r="M4640" s="11"/>
      <c r="N4640" s="11"/>
      <c r="O4640" s="11"/>
      <c r="P4640" s="11"/>
    </row>
    <row r="4641" spans="8:16" x14ac:dyDescent="0.25">
      <c r="H4641" s="12"/>
      <c r="I4641" s="12"/>
      <c r="J4641" s="12"/>
      <c r="K4641" s="12"/>
      <c r="L4641" s="12"/>
      <c r="M4641" s="11"/>
      <c r="N4641" s="11"/>
      <c r="O4641" s="11"/>
      <c r="P4641" s="11"/>
    </row>
    <row r="4642" spans="8:16" x14ac:dyDescent="0.25">
      <c r="H4642" s="12"/>
      <c r="I4642" s="12"/>
      <c r="J4642" s="12"/>
      <c r="K4642" s="12"/>
      <c r="L4642" s="12"/>
      <c r="M4642" s="11"/>
      <c r="N4642" s="11"/>
      <c r="O4642" s="11"/>
      <c r="P4642" s="11"/>
    </row>
    <row r="4643" spans="8:16" x14ac:dyDescent="0.25">
      <c r="H4643" s="12"/>
      <c r="I4643" s="12"/>
      <c r="J4643" s="12"/>
      <c r="K4643" s="12"/>
      <c r="L4643" s="12"/>
      <c r="M4643" s="11"/>
      <c r="N4643" s="11"/>
      <c r="O4643" s="11"/>
      <c r="P4643" s="11"/>
    </row>
    <row r="4644" spans="8:16" x14ac:dyDescent="0.25">
      <c r="H4644" s="12"/>
      <c r="I4644" s="12"/>
      <c r="J4644" s="12"/>
      <c r="K4644" s="12"/>
      <c r="L4644" s="12"/>
      <c r="M4644" s="11"/>
      <c r="N4644" s="11"/>
      <c r="O4644" s="11"/>
      <c r="P4644" s="11"/>
    </row>
    <row r="4645" spans="8:16" x14ac:dyDescent="0.25">
      <c r="H4645" s="12"/>
      <c r="I4645" s="12"/>
      <c r="J4645" s="12"/>
      <c r="K4645" s="12"/>
      <c r="L4645" s="12"/>
      <c r="M4645" s="11"/>
      <c r="N4645" s="11"/>
      <c r="O4645" s="11"/>
      <c r="P4645" s="11"/>
    </row>
    <row r="4646" spans="8:16" x14ac:dyDescent="0.25">
      <c r="H4646" s="12"/>
      <c r="I4646" s="12"/>
      <c r="J4646" s="12"/>
      <c r="K4646" s="12"/>
      <c r="L4646" s="12"/>
      <c r="M4646" s="11"/>
      <c r="N4646" s="11"/>
      <c r="O4646" s="11"/>
      <c r="P4646" s="11"/>
    </row>
    <row r="4647" spans="8:16" x14ac:dyDescent="0.25">
      <c r="H4647" s="12"/>
      <c r="I4647" s="12"/>
      <c r="J4647" s="12"/>
      <c r="K4647" s="12"/>
      <c r="L4647" s="12"/>
      <c r="M4647" s="11"/>
      <c r="N4647" s="11"/>
      <c r="O4647" s="11"/>
      <c r="P4647" s="11"/>
    </row>
    <row r="4648" spans="8:16" x14ac:dyDescent="0.25">
      <c r="H4648" s="12"/>
      <c r="I4648" s="12"/>
      <c r="J4648" s="12"/>
      <c r="K4648" s="12"/>
      <c r="L4648" s="12"/>
      <c r="M4648" s="11"/>
      <c r="N4648" s="11"/>
      <c r="O4648" s="11"/>
      <c r="P4648" s="11"/>
    </row>
    <row r="4649" spans="8:16" x14ac:dyDescent="0.25">
      <c r="H4649" s="12"/>
      <c r="I4649" s="12"/>
      <c r="J4649" s="12"/>
      <c r="K4649" s="12"/>
      <c r="L4649" s="12"/>
      <c r="M4649" s="11"/>
      <c r="N4649" s="11"/>
      <c r="O4649" s="11"/>
      <c r="P4649" s="11"/>
    </row>
    <row r="4650" spans="8:16" x14ac:dyDescent="0.25">
      <c r="H4650" s="12"/>
      <c r="I4650" s="12"/>
      <c r="J4650" s="12"/>
      <c r="K4650" s="12"/>
      <c r="L4650" s="12"/>
      <c r="M4650" s="11"/>
      <c r="N4650" s="11"/>
      <c r="O4650" s="11"/>
      <c r="P4650" s="11"/>
    </row>
    <row r="4651" spans="8:16" x14ac:dyDescent="0.25">
      <c r="H4651" s="12"/>
      <c r="I4651" s="12"/>
      <c r="J4651" s="12"/>
      <c r="K4651" s="12"/>
      <c r="L4651" s="12"/>
      <c r="M4651" s="11"/>
      <c r="N4651" s="11"/>
      <c r="O4651" s="11"/>
      <c r="P4651" s="11"/>
    </row>
    <row r="4652" spans="8:16" x14ac:dyDescent="0.25">
      <c r="H4652" s="12"/>
      <c r="I4652" s="12"/>
      <c r="J4652" s="12"/>
      <c r="K4652" s="12"/>
      <c r="L4652" s="12"/>
      <c r="M4652" s="11"/>
      <c r="N4652" s="11"/>
      <c r="O4652" s="11"/>
      <c r="P4652" s="11"/>
    </row>
    <row r="4653" spans="8:16" x14ac:dyDescent="0.25">
      <c r="H4653" s="12"/>
      <c r="I4653" s="12"/>
      <c r="J4653" s="12"/>
      <c r="K4653" s="12"/>
      <c r="L4653" s="12"/>
      <c r="M4653" s="11"/>
      <c r="N4653" s="11"/>
      <c r="O4653" s="11"/>
      <c r="P4653" s="11"/>
    </row>
    <row r="4654" spans="8:16" x14ac:dyDescent="0.25">
      <c r="H4654" s="12"/>
      <c r="I4654" s="12"/>
      <c r="J4654" s="12"/>
      <c r="K4654" s="12"/>
      <c r="L4654" s="12"/>
      <c r="M4654" s="11"/>
      <c r="N4654" s="11"/>
      <c r="O4654" s="11"/>
      <c r="P4654" s="11"/>
    </row>
    <row r="4655" spans="8:16" x14ac:dyDescent="0.25">
      <c r="H4655" s="12"/>
      <c r="I4655" s="12"/>
      <c r="J4655" s="12"/>
      <c r="K4655" s="12"/>
      <c r="L4655" s="12"/>
      <c r="M4655" s="11"/>
      <c r="N4655" s="11"/>
      <c r="O4655" s="11"/>
      <c r="P4655" s="11"/>
    </row>
    <row r="4656" spans="8:16" x14ac:dyDescent="0.25">
      <c r="H4656" s="12"/>
      <c r="I4656" s="12"/>
      <c r="J4656" s="12"/>
      <c r="K4656" s="12"/>
      <c r="L4656" s="12"/>
      <c r="M4656" s="11"/>
      <c r="N4656" s="11"/>
      <c r="O4656" s="11"/>
      <c r="P4656" s="11"/>
    </row>
    <row r="4657" spans="8:16" x14ac:dyDescent="0.25">
      <c r="H4657" s="12"/>
      <c r="I4657" s="12"/>
      <c r="J4657" s="12"/>
      <c r="K4657" s="12"/>
      <c r="L4657" s="12"/>
      <c r="M4657" s="11"/>
      <c r="N4657" s="11"/>
      <c r="O4657" s="11"/>
      <c r="P4657" s="11"/>
    </row>
    <row r="4658" spans="8:16" x14ac:dyDescent="0.25">
      <c r="H4658" s="12"/>
      <c r="I4658" s="12"/>
      <c r="J4658" s="12"/>
      <c r="K4658" s="12"/>
      <c r="L4658" s="12"/>
      <c r="M4658" s="11"/>
      <c r="N4658" s="11"/>
      <c r="O4658" s="11"/>
      <c r="P4658" s="11"/>
    </row>
    <row r="4659" spans="8:16" x14ac:dyDescent="0.25">
      <c r="H4659" s="12"/>
      <c r="I4659" s="12"/>
      <c r="J4659" s="12"/>
      <c r="K4659" s="12"/>
      <c r="L4659" s="12"/>
      <c r="M4659" s="11"/>
      <c r="N4659" s="11"/>
      <c r="O4659" s="11"/>
      <c r="P4659" s="11"/>
    </row>
    <row r="4660" spans="8:16" x14ac:dyDescent="0.25">
      <c r="H4660" s="12"/>
      <c r="I4660" s="12"/>
      <c r="J4660" s="12"/>
      <c r="K4660" s="12"/>
      <c r="L4660" s="12"/>
      <c r="M4660" s="11"/>
      <c r="N4660" s="11"/>
      <c r="O4660" s="11"/>
      <c r="P4660" s="11"/>
    </row>
    <row r="4661" spans="8:16" x14ac:dyDescent="0.25">
      <c r="H4661" s="12"/>
      <c r="I4661" s="12"/>
      <c r="J4661" s="12"/>
      <c r="K4661" s="12"/>
      <c r="L4661" s="12"/>
      <c r="M4661" s="11"/>
      <c r="N4661" s="11"/>
      <c r="O4661" s="11"/>
      <c r="P4661" s="11"/>
    </row>
    <row r="4662" spans="8:16" x14ac:dyDescent="0.25">
      <c r="H4662" s="12"/>
      <c r="I4662" s="12"/>
      <c r="J4662" s="12"/>
      <c r="K4662" s="12"/>
      <c r="L4662" s="12"/>
      <c r="M4662" s="11"/>
      <c r="N4662" s="11"/>
      <c r="O4662" s="11"/>
      <c r="P4662" s="11"/>
    </row>
    <row r="4663" spans="8:16" x14ac:dyDescent="0.25">
      <c r="H4663" s="12"/>
      <c r="I4663" s="12"/>
      <c r="J4663" s="12"/>
      <c r="K4663" s="12"/>
      <c r="L4663" s="12"/>
      <c r="M4663" s="11"/>
      <c r="N4663" s="11"/>
      <c r="O4663" s="11"/>
      <c r="P4663" s="11"/>
    </row>
    <row r="4664" spans="8:16" x14ac:dyDescent="0.25">
      <c r="H4664" s="12"/>
      <c r="I4664" s="12"/>
      <c r="J4664" s="12"/>
      <c r="K4664" s="12"/>
      <c r="L4664" s="12"/>
      <c r="M4664" s="11"/>
      <c r="N4664" s="11"/>
      <c r="O4664" s="11"/>
      <c r="P4664" s="11"/>
    </row>
    <row r="4665" spans="8:16" x14ac:dyDescent="0.25">
      <c r="H4665" s="12"/>
      <c r="I4665" s="12"/>
      <c r="J4665" s="12"/>
      <c r="K4665" s="12"/>
      <c r="L4665" s="12"/>
      <c r="M4665" s="11"/>
      <c r="N4665" s="11"/>
      <c r="O4665" s="11"/>
      <c r="P4665" s="11"/>
    </row>
    <row r="4666" spans="8:16" x14ac:dyDescent="0.25">
      <c r="H4666" s="12"/>
      <c r="I4666" s="12"/>
      <c r="J4666" s="12"/>
      <c r="K4666" s="12"/>
      <c r="L4666" s="12"/>
      <c r="M4666" s="11"/>
      <c r="N4666" s="11"/>
      <c r="O4666" s="11"/>
      <c r="P4666" s="11"/>
    </row>
    <row r="4667" spans="8:16" x14ac:dyDescent="0.25">
      <c r="H4667" s="12"/>
      <c r="I4667" s="12"/>
      <c r="J4667" s="12"/>
      <c r="K4667" s="12"/>
      <c r="L4667" s="12"/>
      <c r="M4667" s="11"/>
      <c r="N4667" s="11"/>
      <c r="O4667" s="11"/>
      <c r="P4667" s="11"/>
    </row>
    <row r="4668" spans="8:16" x14ac:dyDescent="0.25">
      <c r="H4668" s="12"/>
      <c r="I4668" s="12"/>
      <c r="J4668" s="12"/>
      <c r="K4668" s="12"/>
      <c r="L4668" s="12"/>
      <c r="M4668" s="11"/>
      <c r="N4668" s="11"/>
      <c r="O4668" s="11"/>
      <c r="P4668" s="11"/>
    </row>
    <row r="4669" spans="8:16" x14ac:dyDescent="0.25">
      <c r="H4669" s="12"/>
      <c r="I4669" s="12"/>
      <c r="J4669" s="12"/>
      <c r="K4669" s="12"/>
      <c r="L4669" s="12"/>
      <c r="M4669" s="11"/>
      <c r="N4669" s="11"/>
      <c r="O4669" s="11"/>
      <c r="P4669" s="11"/>
    </row>
    <row r="4670" spans="8:16" x14ac:dyDescent="0.25">
      <c r="H4670" s="12"/>
      <c r="I4670" s="12"/>
      <c r="J4670" s="12"/>
      <c r="K4670" s="12"/>
      <c r="L4670" s="12"/>
      <c r="M4670" s="11"/>
      <c r="N4670" s="11"/>
      <c r="O4670" s="11"/>
      <c r="P4670" s="11"/>
    </row>
    <row r="4671" spans="8:16" x14ac:dyDescent="0.25">
      <c r="H4671" s="12"/>
      <c r="I4671" s="12"/>
      <c r="J4671" s="12"/>
      <c r="K4671" s="12"/>
      <c r="L4671" s="12"/>
      <c r="M4671" s="11"/>
      <c r="N4671" s="11"/>
      <c r="O4671" s="11"/>
      <c r="P4671" s="11"/>
    </row>
    <row r="4672" spans="8:16" x14ac:dyDescent="0.25">
      <c r="H4672" s="12"/>
      <c r="I4672" s="12"/>
      <c r="J4672" s="12"/>
      <c r="K4672" s="12"/>
      <c r="L4672" s="12"/>
      <c r="M4672" s="11"/>
      <c r="N4672" s="11"/>
      <c r="O4672" s="11"/>
      <c r="P4672" s="11"/>
    </row>
    <row r="4673" spans="8:16" x14ac:dyDescent="0.25">
      <c r="H4673" s="12"/>
      <c r="I4673" s="12"/>
      <c r="J4673" s="12"/>
      <c r="K4673" s="12"/>
      <c r="L4673" s="12"/>
      <c r="M4673" s="11"/>
      <c r="N4673" s="11"/>
      <c r="O4673" s="11"/>
      <c r="P4673" s="11"/>
    </row>
    <row r="4674" spans="8:16" x14ac:dyDescent="0.25">
      <c r="H4674" s="12"/>
      <c r="I4674" s="12"/>
      <c r="J4674" s="12"/>
      <c r="K4674" s="12"/>
      <c r="L4674" s="12"/>
      <c r="M4674" s="11"/>
      <c r="N4674" s="11"/>
      <c r="O4674" s="11"/>
      <c r="P4674" s="11"/>
    </row>
    <row r="4675" spans="8:16" x14ac:dyDescent="0.25">
      <c r="H4675" s="12"/>
      <c r="I4675" s="12"/>
      <c r="J4675" s="12"/>
      <c r="K4675" s="12"/>
      <c r="L4675" s="12"/>
      <c r="M4675" s="11"/>
      <c r="N4675" s="11"/>
      <c r="O4675" s="11"/>
      <c r="P4675" s="11"/>
    </row>
    <row r="4676" spans="8:16" x14ac:dyDescent="0.25">
      <c r="H4676" s="12"/>
      <c r="I4676" s="12"/>
      <c r="J4676" s="12"/>
      <c r="K4676" s="12"/>
      <c r="L4676" s="12"/>
      <c r="M4676" s="11"/>
      <c r="N4676" s="11"/>
      <c r="O4676" s="11"/>
      <c r="P4676" s="11"/>
    </row>
    <row r="4677" spans="8:16" x14ac:dyDescent="0.25">
      <c r="H4677" s="12"/>
      <c r="I4677" s="12"/>
      <c r="J4677" s="12"/>
      <c r="K4677" s="12"/>
      <c r="L4677" s="12"/>
      <c r="M4677" s="11"/>
      <c r="N4677" s="11"/>
      <c r="O4677" s="11"/>
      <c r="P4677" s="11"/>
    </row>
    <row r="4678" spans="8:16" x14ac:dyDescent="0.25">
      <c r="H4678" s="12"/>
      <c r="I4678" s="12"/>
      <c r="J4678" s="12"/>
      <c r="K4678" s="12"/>
      <c r="L4678" s="12"/>
      <c r="M4678" s="11"/>
      <c r="N4678" s="11"/>
      <c r="O4678" s="11"/>
      <c r="P4678" s="11"/>
    </row>
    <row r="4679" spans="8:16" x14ac:dyDescent="0.25">
      <c r="H4679" s="12"/>
      <c r="I4679" s="12"/>
      <c r="J4679" s="12"/>
      <c r="K4679" s="12"/>
      <c r="L4679" s="12"/>
      <c r="M4679" s="11"/>
      <c r="N4679" s="11"/>
      <c r="O4679" s="11"/>
      <c r="P4679" s="11"/>
    </row>
    <row r="4680" spans="8:16" x14ac:dyDescent="0.25">
      <c r="H4680" s="12"/>
      <c r="I4680" s="12"/>
      <c r="J4680" s="12"/>
      <c r="K4680" s="12"/>
      <c r="L4680" s="12"/>
      <c r="M4680" s="11"/>
      <c r="N4680" s="11"/>
      <c r="O4680" s="11"/>
      <c r="P4680" s="11"/>
    </row>
    <row r="4681" spans="8:16" x14ac:dyDescent="0.25">
      <c r="H4681" s="12"/>
      <c r="I4681" s="12"/>
      <c r="J4681" s="12"/>
      <c r="K4681" s="12"/>
      <c r="L4681" s="12"/>
      <c r="M4681" s="11"/>
      <c r="N4681" s="11"/>
      <c r="O4681" s="11"/>
      <c r="P4681" s="11"/>
    </row>
    <row r="4682" spans="8:16" x14ac:dyDescent="0.25">
      <c r="H4682" s="12"/>
      <c r="I4682" s="12"/>
      <c r="J4682" s="12"/>
      <c r="K4682" s="12"/>
      <c r="L4682" s="12"/>
      <c r="M4682" s="11"/>
      <c r="N4682" s="11"/>
      <c r="O4682" s="11"/>
      <c r="P4682" s="11"/>
    </row>
    <row r="4683" spans="8:16" x14ac:dyDescent="0.25">
      <c r="H4683" s="12"/>
      <c r="I4683" s="12"/>
      <c r="J4683" s="12"/>
      <c r="K4683" s="12"/>
      <c r="L4683" s="12"/>
      <c r="M4683" s="11"/>
      <c r="N4683" s="11"/>
      <c r="O4683" s="11"/>
      <c r="P4683" s="11"/>
    </row>
    <row r="4684" spans="8:16" x14ac:dyDescent="0.25">
      <c r="H4684" s="12"/>
      <c r="I4684" s="12"/>
      <c r="J4684" s="12"/>
      <c r="K4684" s="12"/>
      <c r="L4684" s="12"/>
      <c r="M4684" s="11"/>
      <c r="N4684" s="11"/>
      <c r="O4684" s="11"/>
      <c r="P4684" s="11"/>
    </row>
    <row r="4685" spans="8:16" x14ac:dyDescent="0.25">
      <c r="H4685" s="12"/>
      <c r="I4685" s="12"/>
      <c r="J4685" s="12"/>
      <c r="K4685" s="12"/>
      <c r="L4685" s="12"/>
      <c r="M4685" s="11"/>
      <c r="N4685" s="11"/>
      <c r="O4685" s="11"/>
      <c r="P4685" s="11"/>
    </row>
    <row r="4686" spans="8:16" x14ac:dyDescent="0.25">
      <c r="H4686" s="12"/>
      <c r="I4686" s="12"/>
      <c r="J4686" s="12"/>
      <c r="K4686" s="12"/>
      <c r="L4686" s="12"/>
      <c r="M4686" s="11"/>
      <c r="N4686" s="11"/>
      <c r="O4686" s="11"/>
      <c r="P4686" s="11"/>
    </row>
    <row r="4687" spans="8:16" x14ac:dyDescent="0.25">
      <c r="H4687" s="12"/>
      <c r="I4687" s="12"/>
      <c r="J4687" s="12"/>
      <c r="K4687" s="12"/>
      <c r="L4687" s="12"/>
      <c r="M4687" s="11"/>
      <c r="N4687" s="11"/>
      <c r="O4687" s="11"/>
      <c r="P4687" s="11"/>
    </row>
    <row r="4688" spans="8:16" x14ac:dyDescent="0.25">
      <c r="H4688" s="12"/>
      <c r="I4688" s="12"/>
      <c r="J4688" s="12"/>
      <c r="K4688" s="12"/>
      <c r="L4688" s="12"/>
      <c r="M4688" s="11"/>
      <c r="N4688" s="11"/>
      <c r="O4688" s="11"/>
      <c r="P4688" s="11"/>
    </row>
    <row r="4689" spans="8:16" x14ac:dyDescent="0.25">
      <c r="H4689" s="12"/>
      <c r="I4689" s="12"/>
      <c r="J4689" s="12"/>
      <c r="K4689" s="12"/>
      <c r="L4689" s="12"/>
      <c r="M4689" s="11"/>
      <c r="N4689" s="11"/>
      <c r="O4689" s="11"/>
      <c r="P4689" s="11"/>
    </row>
    <row r="4690" spans="8:16" x14ac:dyDescent="0.25">
      <c r="H4690" s="12"/>
      <c r="I4690" s="12"/>
      <c r="J4690" s="12"/>
      <c r="K4690" s="12"/>
      <c r="L4690" s="12"/>
      <c r="M4690" s="11"/>
      <c r="N4690" s="11"/>
      <c r="O4690" s="11"/>
      <c r="P4690" s="11"/>
    </row>
    <row r="4691" spans="8:16" x14ac:dyDescent="0.25">
      <c r="H4691" s="12"/>
      <c r="I4691" s="12"/>
      <c r="J4691" s="12"/>
      <c r="K4691" s="12"/>
      <c r="L4691" s="12"/>
      <c r="M4691" s="11"/>
      <c r="N4691" s="11"/>
      <c r="O4691" s="11"/>
      <c r="P4691" s="11"/>
    </row>
    <row r="4692" spans="8:16" x14ac:dyDescent="0.25">
      <c r="H4692" s="12"/>
      <c r="I4692" s="12"/>
      <c r="J4692" s="12"/>
      <c r="K4692" s="12"/>
      <c r="L4692" s="12"/>
      <c r="M4692" s="11"/>
      <c r="N4692" s="11"/>
      <c r="O4692" s="11"/>
      <c r="P4692" s="11"/>
    </row>
    <row r="4693" spans="8:16" x14ac:dyDescent="0.25">
      <c r="H4693" s="12"/>
      <c r="I4693" s="12"/>
      <c r="J4693" s="12"/>
      <c r="K4693" s="12"/>
      <c r="L4693" s="12"/>
      <c r="M4693" s="11"/>
      <c r="N4693" s="11"/>
      <c r="O4693" s="11"/>
      <c r="P4693" s="11"/>
    </row>
    <row r="4694" spans="8:16" x14ac:dyDescent="0.25">
      <c r="H4694" s="12"/>
      <c r="I4694" s="12"/>
      <c r="J4694" s="12"/>
      <c r="K4694" s="12"/>
      <c r="L4694" s="12"/>
      <c r="M4694" s="11"/>
      <c r="N4694" s="11"/>
      <c r="O4694" s="11"/>
      <c r="P4694" s="11"/>
    </row>
    <row r="4695" spans="8:16" x14ac:dyDescent="0.25">
      <c r="H4695" s="12"/>
      <c r="I4695" s="12"/>
      <c r="J4695" s="12"/>
      <c r="K4695" s="12"/>
      <c r="L4695" s="12"/>
      <c r="M4695" s="11"/>
      <c r="N4695" s="11"/>
      <c r="O4695" s="11"/>
      <c r="P4695" s="11"/>
    </row>
    <row r="4696" spans="8:16" x14ac:dyDescent="0.25">
      <c r="H4696" s="12"/>
      <c r="I4696" s="12"/>
      <c r="J4696" s="12"/>
      <c r="K4696" s="12"/>
      <c r="L4696" s="12"/>
      <c r="M4696" s="11"/>
      <c r="N4696" s="11"/>
      <c r="O4696" s="11"/>
      <c r="P4696" s="11"/>
    </row>
    <row r="4697" spans="8:16" x14ac:dyDescent="0.25">
      <c r="H4697" s="12"/>
      <c r="I4697" s="12"/>
      <c r="J4697" s="12"/>
      <c r="K4697" s="12"/>
      <c r="L4697" s="12"/>
      <c r="M4697" s="11"/>
      <c r="N4697" s="11"/>
      <c r="O4697" s="11"/>
      <c r="P4697" s="11"/>
    </row>
    <row r="4698" spans="8:16" x14ac:dyDescent="0.25">
      <c r="H4698" s="12"/>
      <c r="I4698" s="12"/>
      <c r="J4698" s="12"/>
      <c r="K4698" s="12"/>
      <c r="L4698" s="12"/>
      <c r="M4698" s="11"/>
      <c r="N4698" s="11"/>
      <c r="O4698" s="11"/>
      <c r="P4698" s="11"/>
    </row>
    <row r="4699" spans="8:16" x14ac:dyDescent="0.25">
      <c r="H4699" s="12"/>
      <c r="I4699" s="12"/>
      <c r="J4699" s="12"/>
      <c r="K4699" s="12"/>
      <c r="L4699" s="12"/>
      <c r="M4699" s="11"/>
      <c r="N4699" s="11"/>
      <c r="O4699" s="11"/>
      <c r="P4699" s="11"/>
    </row>
    <row r="4700" spans="8:16" x14ac:dyDescent="0.25">
      <c r="H4700" s="12"/>
      <c r="I4700" s="12"/>
      <c r="J4700" s="12"/>
      <c r="K4700" s="12"/>
      <c r="L4700" s="12"/>
      <c r="M4700" s="11"/>
      <c r="N4700" s="11"/>
      <c r="O4700" s="11"/>
      <c r="P4700" s="11"/>
    </row>
    <row r="4701" spans="8:16" x14ac:dyDescent="0.25">
      <c r="H4701" s="12"/>
      <c r="I4701" s="12"/>
      <c r="J4701" s="12"/>
      <c r="K4701" s="12"/>
      <c r="L4701" s="12"/>
      <c r="M4701" s="11"/>
      <c r="N4701" s="11"/>
      <c r="O4701" s="11"/>
      <c r="P4701" s="11"/>
    </row>
    <row r="4702" spans="8:16" x14ac:dyDescent="0.25">
      <c r="H4702" s="12"/>
      <c r="I4702" s="12"/>
      <c r="J4702" s="12"/>
      <c r="K4702" s="12"/>
      <c r="L4702" s="12"/>
      <c r="M4702" s="11"/>
      <c r="N4702" s="11"/>
      <c r="O4702" s="11"/>
      <c r="P4702" s="11"/>
    </row>
    <row r="4703" spans="8:16" x14ac:dyDescent="0.25">
      <c r="H4703" s="12"/>
      <c r="I4703" s="12"/>
      <c r="J4703" s="12"/>
      <c r="K4703" s="12"/>
      <c r="L4703" s="12"/>
      <c r="M4703" s="11"/>
      <c r="N4703" s="11"/>
      <c r="O4703" s="11"/>
      <c r="P4703" s="11"/>
    </row>
    <row r="4704" spans="8:16" x14ac:dyDescent="0.25">
      <c r="H4704" s="12"/>
      <c r="I4704" s="12"/>
      <c r="J4704" s="12"/>
      <c r="K4704" s="12"/>
      <c r="L4704" s="12"/>
      <c r="M4704" s="11"/>
      <c r="N4704" s="11"/>
      <c r="O4704" s="11"/>
      <c r="P4704" s="11"/>
    </row>
    <row r="4705" spans="8:16" x14ac:dyDescent="0.25">
      <c r="H4705" s="12"/>
      <c r="I4705" s="12"/>
      <c r="J4705" s="12"/>
      <c r="K4705" s="12"/>
      <c r="L4705" s="12"/>
      <c r="M4705" s="11"/>
      <c r="N4705" s="11"/>
      <c r="O4705" s="11"/>
      <c r="P4705" s="11"/>
    </row>
    <row r="4706" spans="8:16" x14ac:dyDescent="0.25">
      <c r="H4706" s="12"/>
      <c r="I4706" s="12"/>
      <c r="J4706" s="12"/>
      <c r="K4706" s="12"/>
      <c r="L4706" s="12"/>
      <c r="M4706" s="11"/>
      <c r="N4706" s="11"/>
      <c r="O4706" s="11"/>
      <c r="P4706" s="11"/>
    </row>
    <row r="4707" spans="8:16" x14ac:dyDescent="0.25">
      <c r="H4707" s="12"/>
      <c r="I4707" s="12"/>
      <c r="J4707" s="12"/>
      <c r="K4707" s="12"/>
      <c r="L4707" s="12"/>
      <c r="M4707" s="11"/>
      <c r="N4707" s="11"/>
      <c r="O4707" s="11"/>
      <c r="P4707" s="11"/>
    </row>
    <row r="4708" spans="8:16" x14ac:dyDescent="0.25">
      <c r="H4708" s="12"/>
      <c r="I4708" s="12"/>
      <c r="J4708" s="12"/>
      <c r="K4708" s="12"/>
      <c r="L4708" s="12"/>
      <c r="M4708" s="11"/>
      <c r="N4708" s="11"/>
      <c r="O4708" s="11"/>
      <c r="P4708" s="11"/>
    </row>
    <row r="4709" spans="8:16" x14ac:dyDescent="0.25">
      <c r="H4709" s="12"/>
      <c r="I4709" s="12"/>
      <c r="J4709" s="12"/>
      <c r="K4709" s="12"/>
      <c r="L4709" s="12"/>
      <c r="M4709" s="11"/>
      <c r="N4709" s="11"/>
      <c r="O4709" s="11"/>
      <c r="P4709" s="11"/>
    </row>
    <row r="4710" spans="8:16" x14ac:dyDescent="0.25">
      <c r="H4710" s="12"/>
      <c r="I4710" s="12"/>
      <c r="J4710" s="12"/>
      <c r="K4710" s="12"/>
      <c r="L4710" s="12"/>
      <c r="M4710" s="11"/>
      <c r="N4710" s="11"/>
      <c r="O4710" s="11"/>
      <c r="P4710" s="11"/>
    </row>
    <row r="4711" spans="8:16" x14ac:dyDescent="0.25">
      <c r="H4711" s="12"/>
      <c r="I4711" s="12"/>
      <c r="J4711" s="12"/>
      <c r="K4711" s="12"/>
      <c r="L4711" s="12"/>
      <c r="M4711" s="11"/>
      <c r="N4711" s="11"/>
      <c r="O4711" s="11"/>
      <c r="P4711" s="11"/>
    </row>
    <row r="4712" spans="8:16" x14ac:dyDescent="0.25">
      <c r="H4712" s="12"/>
      <c r="I4712" s="12"/>
      <c r="J4712" s="12"/>
      <c r="K4712" s="12"/>
      <c r="L4712" s="12"/>
      <c r="M4712" s="11"/>
      <c r="N4712" s="11"/>
      <c r="O4712" s="11"/>
      <c r="P4712" s="11"/>
    </row>
    <row r="4713" spans="8:16" x14ac:dyDescent="0.25">
      <c r="H4713" s="12"/>
      <c r="I4713" s="12"/>
      <c r="J4713" s="12"/>
      <c r="K4713" s="12"/>
      <c r="L4713" s="12"/>
      <c r="M4713" s="11"/>
      <c r="N4713" s="11"/>
      <c r="O4713" s="11"/>
      <c r="P4713" s="11"/>
    </row>
    <row r="4714" spans="8:16" x14ac:dyDescent="0.25">
      <c r="H4714" s="12"/>
      <c r="I4714" s="12"/>
      <c r="J4714" s="12"/>
      <c r="K4714" s="12"/>
      <c r="L4714" s="12"/>
      <c r="M4714" s="11"/>
      <c r="N4714" s="11"/>
      <c r="O4714" s="11"/>
      <c r="P4714" s="11"/>
    </row>
    <row r="4715" spans="8:16" x14ac:dyDescent="0.25">
      <c r="H4715" s="12"/>
      <c r="I4715" s="12"/>
      <c r="J4715" s="12"/>
      <c r="K4715" s="12"/>
      <c r="L4715" s="12"/>
      <c r="M4715" s="11"/>
      <c r="N4715" s="11"/>
      <c r="O4715" s="11"/>
      <c r="P4715" s="11"/>
    </row>
    <row r="4716" spans="8:16" x14ac:dyDescent="0.25">
      <c r="H4716" s="12"/>
      <c r="I4716" s="12"/>
      <c r="J4716" s="12"/>
      <c r="K4716" s="12"/>
      <c r="L4716" s="12"/>
      <c r="M4716" s="11"/>
      <c r="N4716" s="11"/>
      <c r="O4716" s="11"/>
      <c r="P4716" s="11"/>
    </row>
    <row r="4717" spans="8:16" x14ac:dyDescent="0.25">
      <c r="H4717" s="12"/>
      <c r="I4717" s="12"/>
      <c r="J4717" s="12"/>
      <c r="K4717" s="12"/>
      <c r="L4717" s="12"/>
      <c r="M4717" s="11"/>
      <c r="N4717" s="11"/>
      <c r="O4717" s="11"/>
      <c r="P4717" s="11"/>
    </row>
    <row r="4718" spans="8:16" x14ac:dyDescent="0.25">
      <c r="H4718" s="12"/>
      <c r="I4718" s="12"/>
      <c r="J4718" s="12"/>
      <c r="K4718" s="12"/>
      <c r="L4718" s="12"/>
      <c r="M4718" s="11"/>
      <c r="N4718" s="11"/>
      <c r="O4718" s="11"/>
      <c r="P4718" s="11"/>
    </row>
    <row r="4719" spans="8:16" x14ac:dyDescent="0.25">
      <c r="H4719" s="12"/>
      <c r="I4719" s="12"/>
      <c r="J4719" s="12"/>
      <c r="K4719" s="12"/>
      <c r="L4719" s="12"/>
      <c r="M4719" s="11"/>
      <c r="N4719" s="11"/>
      <c r="O4719" s="11"/>
      <c r="P4719" s="11"/>
    </row>
    <row r="4720" spans="8:16" x14ac:dyDescent="0.25">
      <c r="H4720" s="12"/>
      <c r="I4720" s="12"/>
      <c r="J4720" s="12"/>
      <c r="K4720" s="12"/>
      <c r="L4720" s="12"/>
      <c r="M4720" s="11"/>
      <c r="N4720" s="11"/>
      <c r="O4720" s="11"/>
      <c r="P4720" s="11"/>
    </row>
    <row r="4721" spans="8:16" x14ac:dyDescent="0.25">
      <c r="H4721" s="12"/>
      <c r="I4721" s="12"/>
      <c r="J4721" s="12"/>
      <c r="K4721" s="12"/>
      <c r="L4721" s="12"/>
      <c r="M4721" s="11"/>
      <c r="N4721" s="11"/>
      <c r="O4721" s="11"/>
      <c r="P4721" s="11"/>
    </row>
    <row r="4722" spans="8:16" x14ac:dyDescent="0.25">
      <c r="H4722" s="12"/>
      <c r="I4722" s="12"/>
      <c r="J4722" s="12"/>
      <c r="K4722" s="12"/>
      <c r="L4722" s="12"/>
      <c r="M4722" s="11"/>
      <c r="N4722" s="11"/>
      <c r="O4722" s="11"/>
      <c r="P4722" s="11"/>
    </row>
    <row r="4723" spans="8:16" x14ac:dyDescent="0.25">
      <c r="H4723" s="12"/>
      <c r="I4723" s="12"/>
      <c r="J4723" s="12"/>
      <c r="K4723" s="12"/>
      <c r="L4723" s="12"/>
      <c r="M4723" s="11"/>
      <c r="N4723" s="11"/>
      <c r="O4723" s="11"/>
      <c r="P4723" s="11"/>
    </row>
    <row r="4724" spans="8:16" x14ac:dyDescent="0.25">
      <c r="H4724" s="12"/>
      <c r="I4724" s="12"/>
      <c r="J4724" s="12"/>
      <c r="K4724" s="12"/>
      <c r="L4724" s="12"/>
      <c r="M4724" s="11"/>
      <c r="N4724" s="11"/>
      <c r="O4724" s="11"/>
      <c r="P4724" s="11"/>
    </row>
    <row r="4725" spans="8:16" x14ac:dyDescent="0.25">
      <c r="H4725" s="12"/>
      <c r="I4725" s="12"/>
      <c r="J4725" s="12"/>
      <c r="K4725" s="12"/>
      <c r="L4725" s="12"/>
      <c r="M4725" s="11"/>
      <c r="N4725" s="11"/>
      <c r="O4725" s="11"/>
      <c r="P4725" s="11"/>
    </row>
    <row r="4726" spans="8:16" x14ac:dyDescent="0.25">
      <c r="H4726" s="12"/>
      <c r="I4726" s="12"/>
      <c r="J4726" s="12"/>
      <c r="K4726" s="12"/>
      <c r="L4726" s="12"/>
      <c r="M4726" s="11"/>
      <c r="N4726" s="11"/>
      <c r="O4726" s="11"/>
      <c r="P4726" s="11"/>
    </row>
    <row r="4727" spans="8:16" x14ac:dyDescent="0.25">
      <c r="H4727" s="12"/>
      <c r="I4727" s="12"/>
      <c r="J4727" s="12"/>
      <c r="K4727" s="12"/>
      <c r="L4727" s="12"/>
      <c r="M4727" s="11"/>
      <c r="N4727" s="11"/>
      <c r="O4727" s="11"/>
      <c r="P4727" s="11"/>
    </row>
    <row r="4728" spans="8:16" x14ac:dyDescent="0.25">
      <c r="H4728" s="12"/>
      <c r="I4728" s="12"/>
      <c r="J4728" s="12"/>
      <c r="K4728" s="12"/>
      <c r="L4728" s="12"/>
      <c r="M4728" s="11"/>
      <c r="N4728" s="11"/>
      <c r="O4728" s="11"/>
      <c r="P4728" s="11"/>
    </row>
    <row r="4729" spans="8:16" x14ac:dyDescent="0.25">
      <c r="H4729" s="12"/>
      <c r="I4729" s="12"/>
      <c r="J4729" s="12"/>
      <c r="K4729" s="12"/>
      <c r="L4729" s="12"/>
      <c r="M4729" s="11"/>
      <c r="N4729" s="11"/>
      <c r="O4729" s="11"/>
      <c r="P4729" s="11"/>
    </row>
    <row r="4730" spans="8:16" x14ac:dyDescent="0.25">
      <c r="H4730" s="12"/>
      <c r="I4730" s="12"/>
      <c r="J4730" s="12"/>
      <c r="K4730" s="12"/>
      <c r="L4730" s="12"/>
      <c r="M4730" s="11"/>
      <c r="N4730" s="11"/>
      <c r="O4730" s="11"/>
      <c r="P4730" s="11"/>
    </row>
    <row r="4731" spans="8:16" x14ac:dyDescent="0.25">
      <c r="H4731" s="12"/>
      <c r="I4731" s="12"/>
      <c r="J4731" s="12"/>
      <c r="K4731" s="12"/>
      <c r="L4731" s="12"/>
      <c r="M4731" s="11"/>
      <c r="N4731" s="11"/>
      <c r="O4731" s="11"/>
      <c r="P4731" s="11"/>
    </row>
    <row r="4732" spans="8:16" x14ac:dyDescent="0.25">
      <c r="H4732" s="12"/>
      <c r="I4732" s="12"/>
      <c r="J4732" s="12"/>
      <c r="K4732" s="12"/>
      <c r="L4732" s="12"/>
      <c r="M4732" s="11"/>
      <c r="N4732" s="11"/>
      <c r="O4732" s="11"/>
      <c r="P4732" s="11"/>
    </row>
    <row r="4733" spans="8:16" x14ac:dyDescent="0.25">
      <c r="H4733" s="12"/>
      <c r="I4733" s="12"/>
      <c r="J4733" s="12"/>
      <c r="K4733" s="12"/>
      <c r="L4733" s="12"/>
      <c r="M4733" s="11"/>
      <c r="N4733" s="11"/>
      <c r="O4733" s="11"/>
      <c r="P4733" s="11"/>
    </row>
    <row r="4734" spans="8:16" x14ac:dyDescent="0.25">
      <c r="H4734" s="12"/>
      <c r="I4734" s="12"/>
      <c r="J4734" s="12"/>
      <c r="K4734" s="12"/>
      <c r="L4734" s="12"/>
      <c r="M4734" s="11"/>
      <c r="N4734" s="11"/>
      <c r="O4734" s="11"/>
      <c r="P4734" s="11"/>
    </row>
    <row r="4735" spans="8:16" x14ac:dyDescent="0.25">
      <c r="H4735" s="12"/>
      <c r="I4735" s="12"/>
      <c r="J4735" s="12"/>
      <c r="K4735" s="12"/>
      <c r="L4735" s="12"/>
      <c r="M4735" s="11"/>
      <c r="N4735" s="11"/>
      <c r="O4735" s="11"/>
      <c r="P4735" s="11"/>
    </row>
    <row r="4736" spans="8:16" x14ac:dyDescent="0.25">
      <c r="H4736" s="12"/>
      <c r="I4736" s="12"/>
      <c r="J4736" s="12"/>
      <c r="K4736" s="12"/>
      <c r="L4736" s="12"/>
      <c r="M4736" s="11"/>
      <c r="N4736" s="11"/>
      <c r="O4736" s="11"/>
      <c r="P4736" s="11"/>
    </row>
    <row r="4737" spans="8:16" x14ac:dyDescent="0.25">
      <c r="H4737" s="12"/>
      <c r="I4737" s="12"/>
      <c r="J4737" s="12"/>
      <c r="K4737" s="12"/>
      <c r="L4737" s="12"/>
      <c r="M4737" s="11"/>
      <c r="N4737" s="11"/>
      <c r="O4737" s="11"/>
      <c r="P4737" s="11"/>
    </row>
    <row r="4738" spans="8:16" x14ac:dyDescent="0.25">
      <c r="H4738" s="12"/>
      <c r="I4738" s="12"/>
      <c r="J4738" s="12"/>
      <c r="K4738" s="12"/>
      <c r="L4738" s="12"/>
      <c r="M4738" s="11"/>
      <c r="N4738" s="11"/>
      <c r="O4738" s="11"/>
      <c r="P4738" s="11"/>
    </row>
    <row r="4739" spans="8:16" x14ac:dyDescent="0.25">
      <c r="H4739" s="12"/>
      <c r="I4739" s="12"/>
      <c r="J4739" s="12"/>
      <c r="K4739" s="12"/>
      <c r="L4739" s="12"/>
      <c r="M4739" s="11"/>
      <c r="N4739" s="11"/>
      <c r="O4739" s="11"/>
      <c r="P4739" s="11"/>
    </row>
    <row r="4740" spans="8:16" x14ac:dyDescent="0.25">
      <c r="H4740" s="12"/>
      <c r="I4740" s="12"/>
      <c r="J4740" s="12"/>
      <c r="K4740" s="12"/>
      <c r="L4740" s="12"/>
      <c r="M4740" s="11"/>
      <c r="N4740" s="11"/>
      <c r="O4740" s="11"/>
      <c r="P4740" s="11"/>
    </row>
    <row r="4741" spans="8:16" x14ac:dyDescent="0.25">
      <c r="H4741" s="12"/>
      <c r="I4741" s="12"/>
      <c r="J4741" s="12"/>
      <c r="K4741" s="12"/>
      <c r="L4741" s="12"/>
      <c r="M4741" s="11"/>
      <c r="N4741" s="11"/>
      <c r="O4741" s="11"/>
      <c r="P4741" s="11"/>
    </row>
    <row r="4742" spans="8:16" x14ac:dyDescent="0.25">
      <c r="H4742" s="12"/>
      <c r="I4742" s="12"/>
      <c r="J4742" s="12"/>
      <c r="K4742" s="12"/>
      <c r="L4742" s="12"/>
      <c r="M4742" s="11"/>
      <c r="N4742" s="11"/>
      <c r="O4742" s="11"/>
      <c r="P4742" s="11"/>
    </row>
    <row r="4743" spans="8:16" x14ac:dyDescent="0.25">
      <c r="H4743" s="12"/>
      <c r="I4743" s="12"/>
      <c r="J4743" s="12"/>
      <c r="K4743" s="12"/>
      <c r="L4743" s="12"/>
      <c r="M4743" s="11"/>
      <c r="N4743" s="11"/>
      <c r="O4743" s="11"/>
      <c r="P4743" s="11"/>
    </row>
    <row r="4744" spans="8:16" x14ac:dyDescent="0.25">
      <c r="H4744" s="12"/>
      <c r="I4744" s="12"/>
      <c r="J4744" s="12"/>
      <c r="K4744" s="12"/>
      <c r="L4744" s="12"/>
      <c r="M4744" s="11"/>
      <c r="N4744" s="11"/>
      <c r="O4744" s="11"/>
      <c r="P4744" s="11"/>
    </row>
    <row r="4745" spans="8:16" x14ac:dyDescent="0.25">
      <c r="H4745" s="12"/>
      <c r="I4745" s="12"/>
      <c r="J4745" s="12"/>
      <c r="K4745" s="12"/>
      <c r="L4745" s="12"/>
      <c r="M4745" s="11"/>
      <c r="N4745" s="11"/>
      <c r="O4745" s="11"/>
      <c r="P4745" s="11"/>
    </row>
    <row r="4746" spans="8:16" x14ac:dyDescent="0.25">
      <c r="H4746" s="12"/>
      <c r="I4746" s="12"/>
      <c r="J4746" s="12"/>
      <c r="K4746" s="12"/>
      <c r="L4746" s="12"/>
      <c r="M4746" s="11"/>
      <c r="N4746" s="11"/>
      <c r="O4746" s="11"/>
      <c r="P4746" s="11"/>
    </row>
    <row r="4747" spans="8:16" x14ac:dyDescent="0.25">
      <c r="H4747" s="12"/>
      <c r="I4747" s="12"/>
      <c r="J4747" s="12"/>
      <c r="K4747" s="12"/>
      <c r="L4747" s="12"/>
      <c r="M4747" s="11"/>
      <c r="N4747" s="11"/>
      <c r="O4747" s="11"/>
      <c r="P4747" s="11"/>
    </row>
    <row r="4748" spans="8:16" x14ac:dyDescent="0.25">
      <c r="H4748" s="12"/>
      <c r="I4748" s="12"/>
      <c r="J4748" s="12"/>
      <c r="K4748" s="12"/>
      <c r="L4748" s="12"/>
      <c r="M4748" s="11"/>
      <c r="N4748" s="11"/>
      <c r="O4748" s="11"/>
      <c r="P4748" s="11"/>
    </row>
    <row r="4749" spans="8:16" x14ac:dyDescent="0.25">
      <c r="H4749" s="12"/>
      <c r="I4749" s="12"/>
      <c r="J4749" s="12"/>
      <c r="K4749" s="12"/>
      <c r="L4749" s="12"/>
      <c r="M4749" s="11"/>
      <c r="N4749" s="11"/>
      <c r="O4749" s="11"/>
      <c r="P4749" s="11"/>
    </row>
    <row r="4750" spans="8:16" x14ac:dyDescent="0.25">
      <c r="H4750" s="12"/>
      <c r="I4750" s="12"/>
      <c r="J4750" s="12"/>
      <c r="K4750" s="12"/>
      <c r="L4750" s="12"/>
      <c r="M4750" s="11"/>
      <c r="N4750" s="11"/>
      <c r="O4750" s="11"/>
      <c r="P4750" s="11"/>
    </row>
    <row r="4751" spans="8:16" x14ac:dyDescent="0.25">
      <c r="H4751" s="12"/>
      <c r="I4751" s="12"/>
      <c r="J4751" s="12"/>
      <c r="K4751" s="12"/>
      <c r="L4751" s="12"/>
      <c r="M4751" s="11"/>
      <c r="N4751" s="11"/>
      <c r="O4751" s="11"/>
      <c r="P4751" s="11"/>
    </row>
    <row r="4752" spans="8:16" x14ac:dyDescent="0.25">
      <c r="H4752" s="12"/>
      <c r="I4752" s="12"/>
      <c r="J4752" s="12"/>
      <c r="K4752" s="12"/>
      <c r="L4752" s="12"/>
      <c r="M4752" s="11"/>
      <c r="N4752" s="11"/>
      <c r="O4752" s="11"/>
      <c r="P4752" s="11"/>
    </row>
    <row r="4753" spans="8:16" x14ac:dyDescent="0.25">
      <c r="H4753" s="12"/>
      <c r="I4753" s="12"/>
      <c r="J4753" s="12"/>
      <c r="K4753" s="12"/>
      <c r="L4753" s="12"/>
      <c r="M4753" s="11"/>
      <c r="N4753" s="11"/>
      <c r="O4753" s="11"/>
      <c r="P4753" s="11"/>
    </row>
    <row r="4754" spans="8:16" x14ac:dyDescent="0.25">
      <c r="H4754" s="12"/>
      <c r="I4754" s="12"/>
      <c r="J4754" s="12"/>
      <c r="K4754" s="12"/>
      <c r="L4754" s="12"/>
      <c r="M4754" s="11"/>
      <c r="N4754" s="11"/>
      <c r="O4754" s="11"/>
      <c r="P4754" s="11"/>
    </row>
    <row r="4755" spans="8:16" x14ac:dyDescent="0.25">
      <c r="H4755" s="12"/>
      <c r="I4755" s="12"/>
      <c r="J4755" s="12"/>
      <c r="K4755" s="12"/>
      <c r="L4755" s="12"/>
      <c r="M4755" s="11"/>
      <c r="N4755" s="11"/>
      <c r="O4755" s="11"/>
      <c r="P4755" s="11"/>
    </row>
    <row r="4756" spans="8:16" x14ac:dyDescent="0.25">
      <c r="H4756" s="12"/>
      <c r="I4756" s="12"/>
      <c r="J4756" s="12"/>
      <c r="K4756" s="12"/>
      <c r="L4756" s="12"/>
      <c r="M4756" s="11"/>
      <c r="N4756" s="11"/>
      <c r="O4756" s="11"/>
      <c r="P4756" s="11"/>
    </row>
    <row r="4757" spans="8:16" x14ac:dyDescent="0.25">
      <c r="H4757" s="12"/>
      <c r="I4757" s="12"/>
      <c r="J4757" s="12"/>
      <c r="K4757" s="12"/>
      <c r="L4757" s="12"/>
      <c r="M4757" s="11"/>
      <c r="N4757" s="11"/>
      <c r="O4757" s="11"/>
      <c r="P4757" s="11"/>
    </row>
    <row r="4758" spans="8:16" x14ac:dyDescent="0.25">
      <c r="H4758" s="12"/>
      <c r="I4758" s="12"/>
      <c r="J4758" s="12"/>
      <c r="K4758" s="12"/>
      <c r="L4758" s="12"/>
      <c r="M4758" s="11"/>
      <c r="N4758" s="11"/>
      <c r="O4758" s="11"/>
      <c r="P4758" s="11"/>
    </row>
    <row r="4759" spans="8:16" x14ac:dyDescent="0.25">
      <c r="H4759" s="12"/>
      <c r="I4759" s="12"/>
      <c r="J4759" s="12"/>
      <c r="K4759" s="12"/>
      <c r="L4759" s="12"/>
      <c r="M4759" s="11"/>
      <c r="N4759" s="11"/>
      <c r="O4759" s="11"/>
      <c r="P4759" s="11"/>
    </row>
    <row r="4760" spans="8:16" x14ac:dyDescent="0.25">
      <c r="H4760" s="12"/>
      <c r="I4760" s="12"/>
      <c r="J4760" s="12"/>
      <c r="K4760" s="12"/>
      <c r="L4760" s="12"/>
      <c r="M4760" s="11"/>
      <c r="N4760" s="11"/>
      <c r="O4760" s="11"/>
      <c r="P4760" s="11"/>
    </row>
    <row r="4761" spans="8:16" x14ac:dyDescent="0.25">
      <c r="H4761" s="12"/>
      <c r="I4761" s="12"/>
      <c r="J4761" s="12"/>
      <c r="K4761" s="12"/>
      <c r="L4761" s="12"/>
      <c r="M4761" s="11"/>
      <c r="N4761" s="11"/>
      <c r="O4761" s="11"/>
      <c r="P4761" s="11"/>
    </row>
    <row r="4762" spans="8:16" x14ac:dyDescent="0.25">
      <c r="H4762" s="12"/>
      <c r="I4762" s="12"/>
      <c r="J4762" s="12"/>
      <c r="K4762" s="12"/>
      <c r="L4762" s="12"/>
      <c r="M4762" s="11"/>
      <c r="N4762" s="11"/>
      <c r="O4762" s="11"/>
      <c r="P4762" s="11"/>
    </row>
    <row r="4763" spans="8:16" x14ac:dyDescent="0.25">
      <c r="H4763" s="12"/>
      <c r="I4763" s="12"/>
      <c r="J4763" s="12"/>
      <c r="K4763" s="12"/>
      <c r="L4763" s="12"/>
      <c r="M4763" s="11"/>
      <c r="N4763" s="11"/>
      <c r="O4763" s="11"/>
      <c r="P4763" s="11"/>
    </row>
    <row r="4764" spans="8:16" x14ac:dyDescent="0.25">
      <c r="H4764" s="12"/>
      <c r="I4764" s="12"/>
      <c r="J4764" s="12"/>
      <c r="K4764" s="12"/>
      <c r="L4764" s="12"/>
      <c r="M4764" s="11"/>
      <c r="N4764" s="11"/>
      <c r="O4764" s="11"/>
      <c r="P4764" s="11"/>
    </row>
    <row r="4765" spans="8:16" x14ac:dyDescent="0.25">
      <c r="H4765" s="12"/>
      <c r="I4765" s="12"/>
      <c r="J4765" s="12"/>
      <c r="K4765" s="12"/>
      <c r="L4765" s="12"/>
      <c r="M4765" s="11"/>
      <c r="N4765" s="11"/>
      <c r="O4765" s="11"/>
      <c r="P4765" s="11"/>
    </row>
    <row r="4766" spans="8:16" x14ac:dyDescent="0.25">
      <c r="H4766" s="12"/>
      <c r="I4766" s="12"/>
      <c r="J4766" s="12"/>
      <c r="K4766" s="12"/>
      <c r="L4766" s="12"/>
      <c r="M4766" s="11"/>
      <c r="N4766" s="11"/>
      <c r="O4766" s="11"/>
      <c r="P4766" s="11"/>
    </row>
    <row r="4767" spans="8:16" x14ac:dyDescent="0.25">
      <c r="H4767" s="12"/>
      <c r="I4767" s="12"/>
      <c r="J4767" s="12"/>
      <c r="K4767" s="12"/>
      <c r="L4767" s="12"/>
      <c r="M4767" s="11"/>
      <c r="N4767" s="11"/>
      <c r="O4767" s="11"/>
      <c r="P4767" s="11"/>
    </row>
    <row r="4768" spans="8:16" x14ac:dyDescent="0.25">
      <c r="H4768" s="12"/>
      <c r="I4768" s="12"/>
      <c r="J4768" s="12"/>
      <c r="K4768" s="12"/>
      <c r="L4768" s="12"/>
      <c r="M4768" s="11"/>
      <c r="N4768" s="11"/>
      <c r="O4768" s="11"/>
      <c r="P4768" s="11"/>
    </row>
    <row r="4769" spans="8:16" x14ac:dyDescent="0.25">
      <c r="H4769" s="12"/>
      <c r="I4769" s="12"/>
      <c r="J4769" s="12"/>
      <c r="K4769" s="12"/>
      <c r="L4769" s="12"/>
      <c r="M4769" s="11"/>
      <c r="N4769" s="11"/>
      <c r="O4769" s="11"/>
      <c r="P4769" s="11"/>
    </row>
    <row r="4770" spans="8:16" x14ac:dyDescent="0.25">
      <c r="H4770" s="12"/>
      <c r="I4770" s="12"/>
      <c r="J4770" s="12"/>
      <c r="K4770" s="12"/>
      <c r="L4770" s="12"/>
      <c r="M4770" s="11"/>
      <c r="N4770" s="11"/>
      <c r="O4770" s="11"/>
      <c r="P4770" s="11"/>
    </row>
    <row r="4771" spans="8:16" x14ac:dyDescent="0.25">
      <c r="H4771" s="12"/>
      <c r="I4771" s="12"/>
      <c r="J4771" s="12"/>
      <c r="K4771" s="12"/>
      <c r="L4771" s="12"/>
      <c r="M4771" s="11"/>
      <c r="N4771" s="11"/>
      <c r="O4771" s="11"/>
      <c r="P4771" s="11"/>
    </row>
    <row r="4772" spans="8:16" x14ac:dyDescent="0.25">
      <c r="H4772" s="12"/>
      <c r="I4772" s="12"/>
      <c r="J4772" s="12"/>
      <c r="K4772" s="12"/>
      <c r="L4772" s="12"/>
      <c r="M4772" s="11"/>
      <c r="N4772" s="11"/>
      <c r="O4772" s="11"/>
      <c r="P4772" s="11"/>
    </row>
    <row r="4773" spans="8:16" x14ac:dyDescent="0.25">
      <c r="H4773" s="12"/>
      <c r="I4773" s="12"/>
      <c r="J4773" s="12"/>
      <c r="K4773" s="12"/>
      <c r="L4773" s="12"/>
      <c r="M4773" s="11"/>
      <c r="N4773" s="11"/>
      <c r="O4773" s="11"/>
      <c r="P4773" s="11"/>
    </row>
    <row r="4774" spans="8:16" x14ac:dyDescent="0.25">
      <c r="H4774" s="12"/>
      <c r="I4774" s="12"/>
      <c r="J4774" s="12"/>
      <c r="K4774" s="12"/>
      <c r="L4774" s="12"/>
      <c r="M4774" s="11"/>
      <c r="N4774" s="11"/>
      <c r="O4774" s="11"/>
      <c r="P4774" s="11"/>
    </row>
    <row r="4775" spans="8:16" x14ac:dyDescent="0.25">
      <c r="H4775" s="12"/>
      <c r="I4775" s="12"/>
      <c r="J4775" s="12"/>
      <c r="K4775" s="12"/>
      <c r="L4775" s="12"/>
      <c r="M4775" s="11"/>
      <c r="N4775" s="11"/>
      <c r="O4775" s="11"/>
      <c r="P4775" s="11"/>
    </row>
    <row r="4776" spans="8:16" x14ac:dyDescent="0.25">
      <c r="H4776" s="12"/>
      <c r="I4776" s="12"/>
      <c r="J4776" s="12"/>
      <c r="K4776" s="12"/>
      <c r="L4776" s="12"/>
      <c r="M4776" s="11"/>
      <c r="N4776" s="11"/>
      <c r="O4776" s="11"/>
      <c r="P4776" s="11"/>
    </row>
    <row r="4777" spans="8:16" x14ac:dyDescent="0.25">
      <c r="H4777" s="12"/>
      <c r="I4777" s="12"/>
      <c r="J4777" s="12"/>
      <c r="K4777" s="12"/>
      <c r="L4777" s="12"/>
      <c r="M4777" s="11"/>
      <c r="N4777" s="11"/>
      <c r="O4777" s="11"/>
      <c r="P4777" s="11"/>
    </row>
    <row r="4778" spans="8:16" x14ac:dyDescent="0.25">
      <c r="H4778" s="12"/>
      <c r="I4778" s="12"/>
      <c r="J4778" s="12"/>
      <c r="K4778" s="12"/>
      <c r="L4778" s="12"/>
      <c r="M4778" s="11"/>
      <c r="N4778" s="11"/>
      <c r="O4778" s="11"/>
      <c r="P4778" s="11"/>
    </row>
    <row r="4779" spans="8:16" x14ac:dyDescent="0.25">
      <c r="H4779" s="12"/>
      <c r="I4779" s="12"/>
      <c r="J4779" s="12"/>
      <c r="K4779" s="12"/>
      <c r="L4779" s="12"/>
      <c r="M4779" s="11"/>
      <c r="N4779" s="11"/>
      <c r="O4779" s="11"/>
      <c r="P4779" s="11"/>
    </row>
    <row r="4780" spans="8:16" x14ac:dyDescent="0.25">
      <c r="H4780" s="12"/>
      <c r="I4780" s="12"/>
      <c r="J4780" s="12"/>
      <c r="K4780" s="12"/>
      <c r="L4780" s="12"/>
      <c r="M4780" s="11"/>
      <c r="N4780" s="11"/>
      <c r="O4780" s="11"/>
      <c r="P4780" s="11"/>
    </row>
    <row r="4781" spans="8:16" x14ac:dyDescent="0.25">
      <c r="H4781" s="12"/>
      <c r="I4781" s="12"/>
      <c r="J4781" s="12"/>
      <c r="K4781" s="12"/>
      <c r="L4781" s="12"/>
      <c r="M4781" s="11"/>
      <c r="N4781" s="11"/>
      <c r="O4781" s="11"/>
      <c r="P4781" s="11"/>
    </row>
    <row r="4782" spans="8:16" x14ac:dyDescent="0.25">
      <c r="H4782" s="12"/>
      <c r="I4782" s="12"/>
      <c r="J4782" s="12"/>
      <c r="K4782" s="12"/>
      <c r="L4782" s="12"/>
      <c r="M4782" s="11"/>
      <c r="N4782" s="11"/>
      <c r="O4782" s="11"/>
      <c r="P4782" s="11"/>
    </row>
    <row r="4783" spans="8:16" x14ac:dyDescent="0.25">
      <c r="H4783" s="12"/>
      <c r="I4783" s="12"/>
      <c r="J4783" s="12"/>
      <c r="K4783" s="12"/>
      <c r="L4783" s="12"/>
      <c r="M4783" s="11"/>
      <c r="N4783" s="11"/>
      <c r="O4783" s="11"/>
      <c r="P4783" s="11"/>
    </row>
    <row r="4784" spans="8:16" x14ac:dyDescent="0.25">
      <c r="H4784" s="12"/>
      <c r="I4784" s="12"/>
      <c r="J4784" s="12"/>
      <c r="K4784" s="12"/>
      <c r="L4784" s="12"/>
      <c r="M4784" s="11"/>
      <c r="N4784" s="11"/>
      <c r="O4784" s="11"/>
      <c r="P4784" s="11"/>
    </row>
    <row r="4785" spans="8:16" x14ac:dyDescent="0.25">
      <c r="H4785" s="12"/>
      <c r="I4785" s="12"/>
      <c r="J4785" s="12"/>
      <c r="K4785" s="12"/>
      <c r="L4785" s="12"/>
      <c r="M4785" s="11"/>
      <c r="N4785" s="11"/>
      <c r="O4785" s="11"/>
      <c r="P4785" s="11"/>
    </row>
    <row r="4786" spans="8:16" x14ac:dyDescent="0.25">
      <c r="H4786" s="12"/>
      <c r="I4786" s="12"/>
      <c r="J4786" s="12"/>
      <c r="K4786" s="12"/>
      <c r="L4786" s="12"/>
      <c r="M4786" s="11"/>
      <c r="N4786" s="11"/>
      <c r="O4786" s="11"/>
      <c r="P4786" s="11"/>
    </row>
    <row r="4787" spans="8:16" x14ac:dyDescent="0.25">
      <c r="H4787" s="12"/>
      <c r="I4787" s="12"/>
      <c r="J4787" s="12"/>
      <c r="K4787" s="12"/>
      <c r="L4787" s="12"/>
      <c r="M4787" s="11"/>
      <c r="N4787" s="11"/>
      <c r="O4787" s="11"/>
      <c r="P4787" s="11"/>
    </row>
    <row r="4788" spans="8:16" x14ac:dyDescent="0.25">
      <c r="H4788" s="12"/>
      <c r="I4788" s="12"/>
      <c r="J4788" s="12"/>
      <c r="K4788" s="12"/>
      <c r="L4788" s="12"/>
      <c r="M4788" s="11"/>
      <c r="N4788" s="11"/>
      <c r="O4788" s="11"/>
      <c r="P4788" s="11"/>
    </row>
    <row r="4789" spans="8:16" x14ac:dyDescent="0.25">
      <c r="H4789" s="12"/>
      <c r="I4789" s="12"/>
      <c r="J4789" s="12"/>
      <c r="K4789" s="12"/>
      <c r="L4789" s="12"/>
      <c r="M4789" s="11"/>
      <c r="N4789" s="11"/>
      <c r="O4789" s="11"/>
      <c r="P4789" s="11"/>
    </row>
    <row r="4790" spans="8:16" x14ac:dyDescent="0.25">
      <c r="H4790" s="12"/>
      <c r="I4790" s="12"/>
      <c r="J4790" s="12"/>
      <c r="K4790" s="12"/>
      <c r="L4790" s="12"/>
      <c r="M4790" s="11"/>
      <c r="N4790" s="11"/>
      <c r="O4790" s="11"/>
      <c r="P4790" s="11"/>
    </row>
    <row r="4791" spans="8:16" x14ac:dyDescent="0.25">
      <c r="H4791" s="12"/>
      <c r="I4791" s="12"/>
      <c r="J4791" s="12"/>
      <c r="K4791" s="12"/>
      <c r="L4791" s="12"/>
      <c r="M4791" s="11"/>
      <c r="N4791" s="11"/>
      <c r="O4791" s="11"/>
      <c r="P4791" s="11"/>
    </row>
    <row r="4792" spans="8:16" x14ac:dyDescent="0.25">
      <c r="H4792" s="12"/>
      <c r="I4792" s="12"/>
      <c r="J4792" s="12"/>
      <c r="K4792" s="12"/>
      <c r="L4792" s="12"/>
      <c r="M4792" s="11"/>
      <c r="N4792" s="11"/>
      <c r="O4792" s="11"/>
      <c r="P4792" s="11"/>
    </row>
    <row r="4793" spans="8:16" x14ac:dyDescent="0.25">
      <c r="H4793" s="12"/>
      <c r="I4793" s="12"/>
      <c r="J4793" s="12"/>
      <c r="K4793" s="12"/>
      <c r="L4793" s="12"/>
      <c r="M4793" s="11"/>
      <c r="N4793" s="11"/>
      <c r="O4793" s="11"/>
      <c r="P4793" s="11"/>
    </row>
    <row r="4794" spans="8:16" x14ac:dyDescent="0.25">
      <c r="H4794" s="12"/>
      <c r="I4794" s="12"/>
      <c r="J4794" s="12"/>
      <c r="K4794" s="12"/>
      <c r="L4794" s="12"/>
      <c r="M4794" s="11"/>
      <c r="N4794" s="11"/>
      <c r="O4794" s="11"/>
      <c r="P4794" s="11"/>
    </row>
    <row r="4795" spans="8:16" x14ac:dyDescent="0.25">
      <c r="H4795" s="12"/>
      <c r="I4795" s="12"/>
      <c r="J4795" s="12"/>
      <c r="K4795" s="12"/>
      <c r="L4795" s="12"/>
      <c r="M4795" s="11"/>
      <c r="N4795" s="11"/>
      <c r="O4795" s="11"/>
      <c r="P4795" s="11"/>
    </row>
    <row r="4796" spans="8:16" x14ac:dyDescent="0.25">
      <c r="H4796" s="12"/>
      <c r="I4796" s="12"/>
      <c r="J4796" s="12"/>
      <c r="K4796" s="12"/>
      <c r="L4796" s="12"/>
      <c r="M4796" s="11"/>
      <c r="N4796" s="11"/>
      <c r="O4796" s="11"/>
      <c r="P4796" s="11"/>
    </row>
    <row r="4797" spans="8:16" x14ac:dyDescent="0.25">
      <c r="H4797" s="12"/>
      <c r="I4797" s="12"/>
      <c r="J4797" s="12"/>
      <c r="K4797" s="12"/>
      <c r="L4797" s="12"/>
      <c r="M4797" s="11"/>
      <c r="N4797" s="11"/>
      <c r="O4797" s="11"/>
      <c r="P4797" s="11"/>
    </row>
    <row r="4798" spans="8:16" x14ac:dyDescent="0.25">
      <c r="H4798" s="12"/>
      <c r="I4798" s="12"/>
      <c r="J4798" s="12"/>
      <c r="K4798" s="12"/>
      <c r="L4798" s="12"/>
      <c r="M4798" s="11"/>
      <c r="N4798" s="11"/>
      <c r="O4798" s="11"/>
      <c r="P4798" s="11"/>
    </row>
    <row r="4799" spans="8:16" x14ac:dyDescent="0.25">
      <c r="H4799" s="12"/>
      <c r="I4799" s="12"/>
      <c r="J4799" s="12"/>
      <c r="K4799" s="12"/>
      <c r="L4799" s="12"/>
      <c r="M4799" s="11"/>
      <c r="N4799" s="11"/>
      <c r="O4799" s="11"/>
      <c r="P4799" s="11"/>
    </row>
    <row r="4800" spans="8:16" x14ac:dyDescent="0.25">
      <c r="H4800" s="12"/>
      <c r="I4800" s="12"/>
      <c r="J4800" s="12"/>
      <c r="K4800" s="12"/>
      <c r="L4800" s="12"/>
      <c r="M4800" s="11"/>
      <c r="N4800" s="11"/>
      <c r="O4800" s="11"/>
      <c r="P4800" s="11"/>
    </row>
    <row r="4801" spans="8:16" x14ac:dyDescent="0.25">
      <c r="H4801" s="12"/>
      <c r="I4801" s="12"/>
      <c r="J4801" s="12"/>
      <c r="K4801" s="12"/>
      <c r="L4801" s="12"/>
      <c r="M4801" s="11"/>
      <c r="N4801" s="11"/>
      <c r="O4801" s="11"/>
      <c r="P4801" s="11"/>
    </row>
    <row r="4802" spans="8:16" x14ac:dyDescent="0.25">
      <c r="H4802" s="12"/>
      <c r="I4802" s="12"/>
      <c r="J4802" s="12"/>
      <c r="K4802" s="12"/>
      <c r="L4802" s="12"/>
      <c r="M4802" s="11"/>
      <c r="N4802" s="11"/>
      <c r="O4802" s="11"/>
      <c r="P4802" s="11"/>
    </row>
    <row r="4803" spans="8:16" x14ac:dyDescent="0.25">
      <c r="H4803" s="12"/>
      <c r="I4803" s="12"/>
      <c r="J4803" s="12"/>
      <c r="K4803" s="12"/>
      <c r="L4803" s="12"/>
      <c r="M4803" s="11"/>
      <c r="N4803" s="11"/>
      <c r="O4803" s="11"/>
      <c r="P4803" s="11"/>
    </row>
    <row r="4804" spans="8:16" x14ac:dyDescent="0.25">
      <c r="H4804" s="12"/>
      <c r="I4804" s="12"/>
      <c r="J4804" s="12"/>
      <c r="K4804" s="12"/>
      <c r="L4804" s="12"/>
      <c r="M4804" s="11"/>
      <c r="N4804" s="11"/>
      <c r="O4804" s="11"/>
      <c r="P4804" s="11"/>
    </row>
    <row r="4805" spans="8:16" x14ac:dyDescent="0.25">
      <c r="H4805" s="12"/>
      <c r="I4805" s="12"/>
      <c r="J4805" s="12"/>
      <c r="K4805" s="12"/>
      <c r="L4805" s="12"/>
      <c r="M4805" s="11"/>
      <c r="N4805" s="11"/>
      <c r="O4805" s="11"/>
      <c r="P4805" s="11"/>
    </row>
    <row r="4806" spans="8:16" x14ac:dyDescent="0.25">
      <c r="H4806" s="12"/>
      <c r="I4806" s="12"/>
      <c r="J4806" s="12"/>
      <c r="K4806" s="12"/>
      <c r="L4806" s="12"/>
      <c r="M4806" s="11"/>
      <c r="N4806" s="11"/>
      <c r="O4806" s="11"/>
      <c r="P4806" s="11"/>
    </row>
    <row r="4807" spans="8:16" x14ac:dyDescent="0.25">
      <c r="H4807" s="12"/>
      <c r="I4807" s="12"/>
      <c r="J4807" s="12"/>
      <c r="K4807" s="12"/>
      <c r="L4807" s="12"/>
      <c r="M4807" s="11"/>
      <c r="N4807" s="11"/>
      <c r="O4807" s="11"/>
      <c r="P4807" s="11"/>
    </row>
    <row r="4808" spans="8:16" x14ac:dyDescent="0.25">
      <c r="H4808" s="12"/>
      <c r="I4808" s="12"/>
      <c r="J4808" s="12"/>
      <c r="K4808" s="12"/>
      <c r="L4808" s="12"/>
      <c r="M4808" s="11"/>
      <c r="N4808" s="11"/>
      <c r="O4808" s="11"/>
      <c r="P4808" s="11"/>
    </row>
    <row r="4809" spans="8:16" x14ac:dyDescent="0.25">
      <c r="H4809" s="12"/>
      <c r="I4809" s="12"/>
      <c r="J4809" s="12"/>
      <c r="K4809" s="12"/>
      <c r="L4809" s="12"/>
      <c r="M4809" s="11"/>
      <c r="N4809" s="11"/>
      <c r="O4809" s="11"/>
      <c r="P4809" s="11"/>
    </row>
    <row r="4810" spans="8:16" x14ac:dyDescent="0.25">
      <c r="H4810" s="12"/>
      <c r="I4810" s="12"/>
      <c r="J4810" s="12"/>
      <c r="K4810" s="12"/>
      <c r="L4810" s="12"/>
      <c r="M4810" s="11"/>
      <c r="N4810" s="11"/>
      <c r="O4810" s="11"/>
      <c r="P4810" s="11"/>
    </row>
    <row r="4811" spans="8:16" x14ac:dyDescent="0.25">
      <c r="H4811" s="12"/>
      <c r="I4811" s="12"/>
      <c r="J4811" s="12"/>
      <c r="K4811" s="12"/>
      <c r="L4811" s="12"/>
      <c r="M4811" s="11"/>
      <c r="N4811" s="11"/>
      <c r="O4811" s="11"/>
      <c r="P4811" s="11"/>
    </row>
    <row r="4812" spans="8:16" x14ac:dyDescent="0.25">
      <c r="H4812" s="12"/>
      <c r="I4812" s="12"/>
      <c r="J4812" s="12"/>
      <c r="K4812" s="12"/>
      <c r="L4812" s="12"/>
      <c r="M4812" s="11"/>
      <c r="N4812" s="11"/>
      <c r="O4812" s="11"/>
      <c r="P4812" s="11"/>
    </row>
    <row r="4813" spans="8:16" x14ac:dyDescent="0.25">
      <c r="H4813" s="12"/>
      <c r="I4813" s="12"/>
      <c r="J4813" s="12"/>
      <c r="K4813" s="12"/>
      <c r="L4813" s="12"/>
      <c r="M4813" s="11"/>
      <c r="N4813" s="11"/>
      <c r="O4813" s="11"/>
      <c r="P4813" s="11"/>
    </row>
    <row r="4814" spans="8:16" x14ac:dyDescent="0.25">
      <c r="H4814" s="12"/>
      <c r="I4814" s="12"/>
      <c r="J4814" s="12"/>
      <c r="K4814" s="12"/>
      <c r="L4814" s="12"/>
      <c r="M4814" s="11"/>
      <c r="N4814" s="11"/>
      <c r="O4814" s="11"/>
      <c r="P4814" s="11"/>
    </row>
    <row r="4815" spans="8:16" x14ac:dyDescent="0.25">
      <c r="H4815" s="12"/>
      <c r="I4815" s="12"/>
      <c r="J4815" s="12"/>
      <c r="K4815" s="12"/>
      <c r="L4815" s="12"/>
      <c r="M4815" s="11"/>
      <c r="N4815" s="11"/>
      <c r="O4815" s="11"/>
      <c r="P4815" s="11"/>
    </row>
    <row r="4816" spans="8:16" x14ac:dyDescent="0.25">
      <c r="H4816" s="12"/>
      <c r="I4816" s="12"/>
      <c r="J4816" s="12"/>
      <c r="K4816" s="12"/>
      <c r="L4816" s="12"/>
      <c r="M4816" s="11"/>
      <c r="N4816" s="11"/>
      <c r="O4816" s="11"/>
      <c r="P4816" s="11"/>
    </row>
    <row r="4817" spans="8:16" x14ac:dyDescent="0.25">
      <c r="H4817" s="12"/>
      <c r="I4817" s="12"/>
      <c r="J4817" s="12"/>
      <c r="K4817" s="12"/>
      <c r="L4817" s="12"/>
      <c r="M4817" s="11"/>
      <c r="N4817" s="11"/>
      <c r="O4817" s="11"/>
      <c r="P4817" s="11"/>
    </row>
    <row r="4818" spans="8:16" x14ac:dyDescent="0.25">
      <c r="H4818" s="12"/>
      <c r="I4818" s="12"/>
      <c r="J4818" s="12"/>
      <c r="K4818" s="12"/>
      <c r="L4818" s="12"/>
      <c r="M4818" s="11"/>
      <c r="N4818" s="11"/>
      <c r="O4818" s="11"/>
      <c r="P4818" s="11"/>
    </row>
    <row r="4819" spans="8:16" x14ac:dyDescent="0.25">
      <c r="H4819" s="12"/>
      <c r="I4819" s="12"/>
      <c r="J4819" s="12"/>
      <c r="K4819" s="12"/>
      <c r="L4819" s="12"/>
      <c r="M4819" s="11"/>
      <c r="N4819" s="11"/>
      <c r="O4819" s="11"/>
      <c r="P4819" s="11"/>
    </row>
    <row r="4820" spans="8:16" x14ac:dyDescent="0.25">
      <c r="H4820" s="12"/>
      <c r="I4820" s="12"/>
      <c r="J4820" s="12"/>
      <c r="K4820" s="12"/>
      <c r="L4820" s="12"/>
      <c r="M4820" s="11"/>
      <c r="N4820" s="11"/>
      <c r="O4820" s="11"/>
      <c r="P4820" s="11"/>
    </row>
    <row r="4821" spans="8:16" x14ac:dyDescent="0.25">
      <c r="H4821" s="12"/>
      <c r="I4821" s="12"/>
      <c r="J4821" s="12"/>
      <c r="K4821" s="12"/>
      <c r="L4821" s="12"/>
      <c r="M4821" s="11"/>
      <c r="N4821" s="11"/>
      <c r="O4821" s="11"/>
      <c r="P4821" s="11"/>
    </row>
    <row r="4822" spans="8:16" x14ac:dyDescent="0.25">
      <c r="H4822" s="12"/>
      <c r="I4822" s="12"/>
      <c r="J4822" s="12"/>
      <c r="K4822" s="12"/>
      <c r="L4822" s="12"/>
      <c r="M4822" s="11"/>
      <c r="N4822" s="11"/>
      <c r="O4822" s="11"/>
      <c r="P4822" s="11"/>
    </row>
    <row r="4823" spans="8:16" x14ac:dyDescent="0.25">
      <c r="H4823" s="12"/>
      <c r="I4823" s="12"/>
      <c r="J4823" s="12"/>
      <c r="K4823" s="12"/>
      <c r="L4823" s="12"/>
      <c r="M4823" s="11"/>
      <c r="N4823" s="11"/>
      <c r="O4823" s="11"/>
      <c r="P4823" s="11"/>
    </row>
    <row r="4824" spans="8:16" x14ac:dyDescent="0.25">
      <c r="H4824" s="12"/>
      <c r="I4824" s="12"/>
      <c r="J4824" s="12"/>
      <c r="K4824" s="12"/>
      <c r="L4824" s="12"/>
      <c r="M4824" s="11"/>
      <c r="N4824" s="11"/>
      <c r="O4824" s="11"/>
      <c r="P4824" s="11"/>
    </row>
    <row r="4825" spans="8:16" x14ac:dyDescent="0.25">
      <c r="H4825" s="12"/>
      <c r="I4825" s="12"/>
      <c r="J4825" s="12"/>
      <c r="K4825" s="12"/>
      <c r="L4825" s="12"/>
      <c r="M4825" s="11"/>
      <c r="N4825" s="11"/>
      <c r="O4825" s="11"/>
      <c r="P4825" s="11"/>
    </row>
    <row r="4826" spans="8:16" x14ac:dyDescent="0.25">
      <c r="H4826" s="12"/>
      <c r="I4826" s="12"/>
      <c r="J4826" s="12"/>
      <c r="K4826" s="12"/>
      <c r="L4826" s="12"/>
      <c r="M4826" s="11"/>
      <c r="N4826" s="11"/>
      <c r="O4826" s="11"/>
      <c r="P4826" s="11"/>
    </row>
    <row r="4827" spans="8:16" x14ac:dyDescent="0.25">
      <c r="H4827" s="12"/>
      <c r="I4827" s="12"/>
      <c r="J4827" s="12"/>
      <c r="K4827" s="12"/>
      <c r="L4827" s="12"/>
      <c r="M4827" s="11"/>
      <c r="N4827" s="11"/>
      <c r="O4827" s="11"/>
      <c r="P4827" s="11"/>
    </row>
    <row r="4828" spans="8:16" x14ac:dyDescent="0.25">
      <c r="H4828" s="12"/>
      <c r="I4828" s="12"/>
      <c r="J4828" s="12"/>
      <c r="K4828" s="12"/>
      <c r="L4828" s="12"/>
      <c r="M4828" s="11"/>
      <c r="N4828" s="11"/>
      <c r="O4828" s="11"/>
      <c r="P4828" s="11"/>
    </row>
    <row r="4829" spans="8:16" x14ac:dyDescent="0.25">
      <c r="H4829" s="12"/>
      <c r="I4829" s="12"/>
      <c r="J4829" s="12"/>
      <c r="K4829" s="12"/>
      <c r="L4829" s="12"/>
      <c r="M4829" s="11"/>
      <c r="N4829" s="11"/>
      <c r="O4829" s="11"/>
      <c r="P4829" s="11"/>
    </row>
    <row r="4830" spans="8:16" x14ac:dyDescent="0.25">
      <c r="H4830" s="12"/>
      <c r="I4830" s="12"/>
      <c r="J4830" s="12"/>
      <c r="K4830" s="12"/>
      <c r="L4830" s="12"/>
      <c r="M4830" s="11"/>
      <c r="N4830" s="11"/>
      <c r="O4830" s="11"/>
      <c r="P4830" s="11"/>
    </row>
    <row r="4831" spans="8:16" x14ac:dyDescent="0.25">
      <c r="H4831" s="12"/>
      <c r="I4831" s="12"/>
      <c r="J4831" s="12"/>
      <c r="K4831" s="12"/>
      <c r="L4831" s="12"/>
      <c r="M4831" s="11"/>
      <c r="N4831" s="11"/>
      <c r="O4831" s="11"/>
      <c r="P4831" s="11"/>
    </row>
    <row r="4832" spans="8:16" x14ac:dyDescent="0.25">
      <c r="H4832" s="12"/>
      <c r="I4832" s="12"/>
      <c r="J4832" s="12"/>
      <c r="K4832" s="12"/>
      <c r="L4832" s="12"/>
      <c r="M4832" s="11"/>
      <c r="N4832" s="11"/>
      <c r="O4832" s="11"/>
      <c r="P4832" s="11"/>
    </row>
    <row r="4833" spans="8:16" x14ac:dyDescent="0.25">
      <c r="H4833" s="12"/>
      <c r="I4833" s="12"/>
      <c r="J4833" s="12"/>
      <c r="K4833" s="12"/>
      <c r="L4833" s="12"/>
      <c r="M4833" s="11"/>
      <c r="N4833" s="11"/>
      <c r="O4833" s="11"/>
      <c r="P4833" s="11"/>
    </row>
    <row r="4834" spans="8:16" x14ac:dyDescent="0.25">
      <c r="H4834" s="12"/>
      <c r="I4834" s="12"/>
      <c r="J4834" s="12"/>
      <c r="K4834" s="12"/>
      <c r="L4834" s="12"/>
      <c r="M4834" s="11"/>
      <c r="N4834" s="11"/>
      <c r="O4834" s="11"/>
      <c r="P4834" s="11"/>
    </row>
    <row r="4835" spans="8:16" x14ac:dyDescent="0.25">
      <c r="H4835" s="12"/>
      <c r="I4835" s="12"/>
      <c r="J4835" s="12"/>
      <c r="K4835" s="12"/>
      <c r="L4835" s="12"/>
      <c r="M4835" s="11"/>
      <c r="N4835" s="11"/>
      <c r="O4835" s="11"/>
      <c r="P4835" s="11"/>
    </row>
    <row r="4836" spans="8:16" x14ac:dyDescent="0.25">
      <c r="H4836" s="12"/>
      <c r="I4836" s="12"/>
      <c r="J4836" s="12"/>
      <c r="K4836" s="12"/>
      <c r="L4836" s="12"/>
      <c r="M4836" s="11"/>
      <c r="N4836" s="11"/>
      <c r="O4836" s="11"/>
      <c r="P4836" s="11"/>
    </row>
    <row r="4837" spans="8:16" x14ac:dyDescent="0.25">
      <c r="H4837" s="12"/>
      <c r="I4837" s="12"/>
      <c r="J4837" s="12"/>
      <c r="K4837" s="12"/>
      <c r="L4837" s="12"/>
      <c r="M4837" s="11"/>
      <c r="N4837" s="11"/>
      <c r="O4837" s="11"/>
      <c r="P4837" s="11"/>
    </row>
    <row r="4838" spans="8:16" x14ac:dyDescent="0.25">
      <c r="H4838" s="12"/>
      <c r="I4838" s="12"/>
      <c r="J4838" s="12"/>
      <c r="K4838" s="12"/>
      <c r="L4838" s="12"/>
      <c r="M4838" s="11"/>
      <c r="N4838" s="11"/>
      <c r="O4838" s="11"/>
      <c r="P4838" s="11"/>
    </row>
    <row r="4839" spans="8:16" x14ac:dyDescent="0.25">
      <c r="H4839" s="12"/>
      <c r="I4839" s="12"/>
      <c r="J4839" s="12"/>
      <c r="K4839" s="12"/>
      <c r="L4839" s="12"/>
      <c r="M4839" s="11"/>
      <c r="N4839" s="11"/>
      <c r="O4839" s="11"/>
      <c r="P4839" s="11"/>
    </row>
    <row r="4840" spans="8:16" x14ac:dyDescent="0.25">
      <c r="H4840" s="12"/>
      <c r="I4840" s="12"/>
      <c r="J4840" s="12"/>
      <c r="K4840" s="12"/>
      <c r="L4840" s="12"/>
      <c r="M4840" s="11"/>
      <c r="N4840" s="11"/>
      <c r="O4840" s="11"/>
      <c r="P4840" s="11"/>
    </row>
    <row r="4841" spans="8:16" x14ac:dyDescent="0.25">
      <c r="H4841" s="12"/>
      <c r="I4841" s="12"/>
      <c r="J4841" s="12"/>
      <c r="K4841" s="12"/>
      <c r="L4841" s="12"/>
      <c r="M4841" s="11"/>
      <c r="N4841" s="11"/>
      <c r="O4841" s="11"/>
      <c r="P4841" s="11"/>
    </row>
    <row r="4842" spans="8:16" x14ac:dyDescent="0.25">
      <c r="H4842" s="12"/>
      <c r="I4842" s="12"/>
      <c r="J4842" s="12"/>
      <c r="K4842" s="12"/>
      <c r="L4842" s="12"/>
      <c r="M4842" s="11"/>
      <c r="N4842" s="11"/>
      <c r="O4842" s="11"/>
      <c r="P4842" s="11"/>
    </row>
    <row r="4843" spans="8:16" x14ac:dyDescent="0.25">
      <c r="H4843" s="12"/>
      <c r="I4843" s="12"/>
      <c r="J4843" s="12"/>
      <c r="K4843" s="12"/>
      <c r="L4843" s="12"/>
      <c r="M4843" s="11"/>
      <c r="N4843" s="11"/>
      <c r="O4843" s="11"/>
      <c r="P4843" s="11"/>
    </row>
    <row r="4844" spans="8:16" x14ac:dyDescent="0.25">
      <c r="H4844" s="12"/>
      <c r="I4844" s="12"/>
      <c r="J4844" s="12"/>
      <c r="K4844" s="12"/>
      <c r="L4844" s="12"/>
      <c r="M4844" s="11"/>
      <c r="N4844" s="11"/>
      <c r="O4844" s="11"/>
      <c r="P4844" s="11"/>
    </row>
    <row r="4845" spans="8:16" x14ac:dyDescent="0.25">
      <c r="H4845" s="12"/>
      <c r="I4845" s="12"/>
      <c r="J4845" s="12"/>
      <c r="K4845" s="12"/>
      <c r="L4845" s="12"/>
      <c r="M4845" s="11"/>
      <c r="N4845" s="11"/>
      <c r="O4845" s="11"/>
      <c r="P4845" s="11"/>
    </row>
    <row r="4846" spans="8:16" x14ac:dyDescent="0.25">
      <c r="H4846" s="12"/>
      <c r="I4846" s="12"/>
      <c r="J4846" s="12"/>
      <c r="K4846" s="12"/>
      <c r="L4846" s="12"/>
      <c r="M4846" s="11"/>
      <c r="N4846" s="11"/>
      <c r="O4846" s="11"/>
      <c r="P4846" s="11"/>
    </row>
    <row r="4847" spans="8:16" x14ac:dyDescent="0.25">
      <c r="H4847" s="12"/>
      <c r="I4847" s="12"/>
      <c r="J4847" s="12"/>
      <c r="K4847" s="12"/>
      <c r="L4847" s="12"/>
      <c r="M4847" s="11"/>
      <c r="N4847" s="11"/>
      <c r="O4847" s="11"/>
      <c r="P4847" s="11"/>
    </row>
    <row r="4848" spans="8:16" x14ac:dyDescent="0.25">
      <c r="H4848" s="12"/>
      <c r="I4848" s="12"/>
      <c r="J4848" s="12"/>
      <c r="K4848" s="12"/>
      <c r="L4848" s="12"/>
      <c r="M4848" s="11"/>
      <c r="N4848" s="11"/>
      <c r="O4848" s="11"/>
      <c r="P4848" s="11"/>
    </row>
    <row r="4849" spans="8:16" x14ac:dyDescent="0.25">
      <c r="H4849" s="12"/>
      <c r="I4849" s="12"/>
      <c r="J4849" s="12"/>
      <c r="K4849" s="12"/>
      <c r="L4849" s="12"/>
      <c r="M4849" s="11"/>
      <c r="N4849" s="11"/>
      <c r="O4849" s="11"/>
      <c r="P4849" s="11"/>
    </row>
    <row r="4850" spans="8:16" x14ac:dyDescent="0.25">
      <c r="H4850" s="12"/>
      <c r="I4850" s="12"/>
      <c r="J4850" s="12"/>
      <c r="K4850" s="12"/>
      <c r="L4850" s="12"/>
      <c r="M4850" s="11"/>
      <c r="N4850" s="11"/>
      <c r="O4850" s="11"/>
      <c r="P4850" s="11"/>
    </row>
    <row r="4851" spans="8:16" x14ac:dyDescent="0.25">
      <c r="H4851" s="12"/>
      <c r="I4851" s="12"/>
      <c r="J4851" s="12"/>
      <c r="K4851" s="12"/>
      <c r="L4851" s="12"/>
      <c r="M4851" s="11"/>
      <c r="N4851" s="11"/>
      <c r="O4851" s="11"/>
      <c r="P4851" s="11"/>
    </row>
    <row r="4852" spans="8:16" x14ac:dyDescent="0.25">
      <c r="H4852" s="12"/>
      <c r="I4852" s="12"/>
      <c r="J4852" s="12"/>
      <c r="K4852" s="12"/>
      <c r="L4852" s="12"/>
      <c r="M4852" s="11"/>
      <c r="N4852" s="11"/>
      <c r="O4852" s="11"/>
      <c r="P4852" s="11"/>
    </row>
    <row r="4853" spans="8:16" x14ac:dyDescent="0.25">
      <c r="H4853" s="12"/>
      <c r="I4853" s="12"/>
      <c r="J4853" s="12"/>
      <c r="K4853" s="12"/>
      <c r="L4853" s="12"/>
      <c r="M4853" s="11"/>
      <c r="N4853" s="11"/>
      <c r="O4853" s="11"/>
      <c r="P4853" s="11"/>
    </row>
    <row r="4854" spans="8:16" x14ac:dyDescent="0.25">
      <c r="H4854" s="12"/>
      <c r="I4854" s="12"/>
      <c r="J4854" s="12"/>
      <c r="K4854" s="12"/>
      <c r="L4854" s="12"/>
      <c r="M4854" s="11"/>
      <c r="N4854" s="11"/>
      <c r="O4854" s="11"/>
      <c r="P4854" s="11"/>
    </row>
    <row r="4855" spans="8:16" x14ac:dyDescent="0.25">
      <c r="H4855" s="12"/>
      <c r="I4855" s="12"/>
      <c r="J4855" s="12"/>
      <c r="K4855" s="12"/>
      <c r="L4855" s="12"/>
      <c r="M4855" s="11"/>
      <c r="N4855" s="11"/>
      <c r="O4855" s="11"/>
      <c r="P4855" s="11"/>
    </row>
    <row r="4856" spans="8:16" x14ac:dyDescent="0.25">
      <c r="H4856" s="12"/>
      <c r="I4856" s="12"/>
      <c r="J4856" s="12"/>
      <c r="K4856" s="12"/>
      <c r="L4856" s="12"/>
      <c r="M4856" s="11"/>
      <c r="N4856" s="11"/>
      <c r="O4856" s="11"/>
      <c r="P4856" s="11"/>
    </row>
    <row r="4857" spans="8:16" x14ac:dyDescent="0.25">
      <c r="H4857" s="12"/>
      <c r="I4857" s="12"/>
      <c r="J4857" s="12"/>
      <c r="K4857" s="12"/>
      <c r="L4857" s="12"/>
      <c r="M4857" s="11"/>
      <c r="N4857" s="11"/>
      <c r="O4857" s="11"/>
      <c r="P4857" s="11"/>
    </row>
    <row r="4858" spans="8:16" x14ac:dyDescent="0.25">
      <c r="H4858" s="12"/>
      <c r="I4858" s="12"/>
      <c r="J4858" s="12"/>
      <c r="K4858" s="12"/>
      <c r="L4858" s="12"/>
      <c r="M4858" s="11"/>
      <c r="N4858" s="11"/>
      <c r="O4858" s="11"/>
      <c r="P4858" s="11"/>
    </row>
    <row r="4859" spans="8:16" x14ac:dyDescent="0.25">
      <c r="H4859" s="12"/>
      <c r="I4859" s="12"/>
      <c r="J4859" s="12"/>
      <c r="K4859" s="12"/>
      <c r="L4859" s="12"/>
      <c r="M4859" s="11"/>
      <c r="N4859" s="11"/>
      <c r="O4859" s="11"/>
      <c r="P4859" s="11"/>
    </row>
    <row r="4860" spans="8:16" x14ac:dyDescent="0.25">
      <c r="H4860" s="12"/>
      <c r="I4860" s="12"/>
      <c r="J4860" s="12"/>
      <c r="K4860" s="12"/>
      <c r="L4860" s="12"/>
      <c r="M4860" s="11"/>
      <c r="N4860" s="11"/>
      <c r="O4860" s="11"/>
      <c r="P4860" s="11"/>
    </row>
    <row r="4861" spans="8:16" x14ac:dyDescent="0.25">
      <c r="H4861" s="12"/>
      <c r="I4861" s="12"/>
      <c r="J4861" s="12"/>
      <c r="K4861" s="12"/>
      <c r="L4861" s="12"/>
      <c r="M4861" s="11"/>
      <c r="N4861" s="11"/>
      <c r="O4861" s="11"/>
      <c r="P4861" s="11"/>
    </row>
    <row r="4862" spans="8:16" x14ac:dyDescent="0.25">
      <c r="H4862" s="12"/>
      <c r="I4862" s="12"/>
      <c r="J4862" s="12"/>
      <c r="K4862" s="12"/>
      <c r="L4862" s="12"/>
      <c r="M4862" s="11"/>
      <c r="N4862" s="11"/>
      <c r="O4862" s="11"/>
      <c r="P4862" s="11"/>
    </row>
    <row r="4863" spans="8:16" x14ac:dyDescent="0.25">
      <c r="H4863" s="12"/>
      <c r="I4863" s="12"/>
      <c r="J4863" s="12"/>
      <c r="K4863" s="12"/>
      <c r="L4863" s="12"/>
      <c r="M4863" s="11"/>
      <c r="N4863" s="11"/>
      <c r="O4863" s="11"/>
      <c r="P4863" s="11"/>
    </row>
    <row r="4864" spans="8:16" x14ac:dyDescent="0.25">
      <c r="H4864" s="12"/>
      <c r="I4864" s="12"/>
      <c r="J4864" s="12"/>
      <c r="K4864" s="12"/>
      <c r="L4864" s="12"/>
      <c r="M4864" s="11"/>
      <c r="N4864" s="11"/>
      <c r="O4864" s="11"/>
      <c r="P4864" s="11"/>
    </row>
    <row r="4865" spans="8:16" x14ac:dyDescent="0.25">
      <c r="H4865" s="12"/>
      <c r="I4865" s="12"/>
      <c r="J4865" s="12"/>
      <c r="K4865" s="12"/>
      <c r="L4865" s="12"/>
      <c r="M4865" s="11"/>
      <c r="N4865" s="11"/>
      <c r="O4865" s="11"/>
      <c r="P4865" s="11"/>
    </row>
    <row r="4866" spans="8:16" x14ac:dyDescent="0.25">
      <c r="H4866" s="12"/>
      <c r="I4866" s="12"/>
      <c r="J4866" s="12"/>
      <c r="K4866" s="12"/>
      <c r="L4866" s="12"/>
      <c r="M4866" s="11"/>
      <c r="N4866" s="11"/>
      <c r="O4866" s="11"/>
      <c r="P4866" s="11"/>
    </row>
    <row r="4867" spans="8:16" x14ac:dyDescent="0.25">
      <c r="H4867" s="12"/>
      <c r="I4867" s="12"/>
      <c r="J4867" s="12"/>
      <c r="K4867" s="12"/>
      <c r="L4867" s="12"/>
      <c r="M4867" s="11"/>
      <c r="N4867" s="11"/>
      <c r="O4867" s="11"/>
      <c r="P4867" s="11"/>
    </row>
    <row r="4868" spans="8:16" x14ac:dyDescent="0.25">
      <c r="H4868" s="12"/>
      <c r="I4868" s="12"/>
      <c r="J4868" s="12"/>
      <c r="K4868" s="12"/>
      <c r="L4868" s="12"/>
      <c r="M4868" s="11"/>
      <c r="N4868" s="11"/>
      <c r="O4868" s="11"/>
      <c r="P4868" s="11"/>
    </row>
    <row r="4869" spans="8:16" x14ac:dyDescent="0.25">
      <c r="H4869" s="12"/>
      <c r="I4869" s="12"/>
      <c r="J4869" s="12"/>
      <c r="K4869" s="12"/>
      <c r="L4869" s="12"/>
      <c r="M4869" s="11"/>
      <c r="N4869" s="11"/>
      <c r="O4869" s="11"/>
      <c r="P4869" s="11"/>
    </row>
    <row r="4870" spans="8:16" x14ac:dyDescent="0.25">
      <c r="H4870" s="12"/>
      <c r="I4870" s="12"/>
      <c r="J4870" s="12"/>
      <c r="K4870" s="12"/>
      <c r="L4870" s="12"/>
      <c r="M4870" s="11"/>
      <c r="N4870" s="11"/>
      <c r="O4870" s="11"/>
      <c r="P4870" s="11"/>
    </row>
    <row r="4871" spans="8:16" x14ac:dyDescent="0.25">
      <c r="H4871" s="12"/>
      <c r="I4871" s="12"/>
      <c r="J4871" s="12"/>
      <c r="K4871" s="12"/>
      <c r="L4871" s="12"/>
      <c r="M4871" s="11"/>
      <c r="N4871" s="11"/>
      <c r="O4871" s="11"/>
      <c r="P4871" s="11"/>
    </row>
    <row r="4872" spans="8:16" x14ac:dyDescent="0.25">
      <c r="H4872" s="12"/>
      <c r="I4872" s="12"/>
      <c r="J4872" s="12"/>
      <c r="K4872" s="12"/>
      <c r="L4872" s="12"/>
      <c r="M4872" s="11"/>
      <c r="N4872" s="11"/>
      <c r="O4872" s="11"/>
      <c r="P4872" s="11"/>
    </row>
    <row r="4873" spans="8:16" x14ac:dyDescent="0.25">
      <c r="H4873" s="12"/>
      <c r="I4873" s="12"/>
      <c r="J4873" s="12"/>
      <c r="K4873" s="12"/>
      <c r="L4873" s="12"/>
      <c r="M4873" s="11"/>
      <c r="N4873" s="11"/>
      <c r="O4873" s="11"/>
      <c r="P4873" s="11"/>
    </row>
    <row r="4874" spans="8:16" x14ac:dyDescent="0.25">
      <c r="H4874" s="12"/>
      <c r="I4874" s="12"/>
      <c r="J4874" s="12"/>
      <c r="K4874" s="12"/>
      <c r="L4874" s="12"/>
      <c r="M4874" s="11"/>
      <c r="N4874" s="11"/>
      <c r="O4874" s="11"/>
      <c r="P4874" s="11"/>
    </row>
    <row r="4875" spans="8:16" x14ac:dyDescent="0.25">
      <c r="H4875" s="12"/>
      <c r="I4875" s="12"/>
      <c r="J4875" s="12"/>
      <c r="K4875" s="12"/>
      <c r="L4875" s="12"/>
      <c r="M4875" s="11"/>
      <c r="N4875" s="11"/>
      <c r="O4875" s="11"/>
      <c r="P4875" s="11"/>
    </row>
    <row r="4876" spans="8:16" x14ac:dyDescent="0.25">
      <c r="H4876" s="12"/>
      <c r="I4876" s="12"/>
      <c r="J4876" s="12"/>
      <c r="K4876" s="12"/>
      <c r="L4876" s="12"/>
      <c r="M4876" s="11"/>
      <c r="N4876" s="11"/>
      <c r="O4876" s="11"/>
      <c r="P4876" s="11"/>
    </row>
    <row r="4877" spans="8:16" x14ac:dyDescent="0.25">
      <c r="H4877" s="12"/>
      <c r="I4877" s="12"/>
      <c r="J4877" s="12"/>
      <c r="K4877" s="12"/>
      <c r="L4877" s="12"/>
      <c r="M4877" s="11"/>
      <c r="N4877" s="11"/>
      <c r="O4877" s="11"/>
      <c r="P4877" s="11"/>
    </row>
    <row r="4878" spans="8:16" x14ac:dyDescent="0.25">
      <c r="H4878" s="12"/>
      <c r="I4878" s="12"/>
      <c r="J4878" s="12"/>
      <c r="K4878" s="12"/>
      <c r="L4878" s="12"/>
      <c r="M4878" s="11"/>
      <c r="N4878" s="11"/>
      <c r="O4878" s="11"/>
      <c r="P4878" s="11"/>
    </row>
    <row r="4879" spans="8:16" x14ac:dyDescent="0.25">
      <c r="H4879" s="12"/>
      <c r="I4879" s="12"/>
      <c r="J4879" s="12"/>
      <c r="K4879" s="12"/>
      <c r="L4879" s="12"/>
      <c r="M4879" s="11"/>
      <c r="N4879" s="11"/>
      <c r="O4879" s="11"/>
      <c r="P4879" s="11"/>
    </row>
    <row r="4880" spans="8:16" x14ac:dyDescent="0.25">
      <c r="H4880" s="12"/>
      <c r="I4880" s="12"/>
      <c r="J4880" s="12"/>
      <c r="K4880" s="12"/>
      <c r="L4880" s="12"/>
      <c r="M4880" s="11"/>
      <c r="N4880" s="11"/>
      <c r="O4880" s="11"/>
      <c r="P4880" s="11"/>
    </row>
    <row r="4881" spans="8:16" x14ac:dyDescent="0.25">
      <c r="H4881" s="12"/>
      <c r="I4881" s="12"/>
      <c r="J4881" s="12"/>
      <c r="K4881" s="12"/>
      <c r="L4881" s="12"/>
      <c r="M4881" s="11"/>
      <c r="N4881" s="11"/>
      <c r="O4881" s="11"/>
      <c r="P4881" s="11"/>
    </row>
    <row r="4882" spans="8:16" x14ac:dyDescent="0.25">
      <c r="H4882" s="12"/>
      <c r="I4882" s="12"/>
      <c r="J4882" s="12"/>
      <c r="K4882" s="12"/>
      <c r="L4882" s="12"/>
      <c r="M4882" s="11"/>
      <c r="N4882" s="11"/>
      <c r="O4882" s="11"/>
      <c r="P4882" s="11"/>
    </row>
    <row r="4883" spans="8:16" x14ac:dyDescent="0.25">
      <c r="H4883" s="12"/>
      <c r="I4883" s="12"/>
      <c r="J4883" s="12"/>
      <c r="K4883" s="12"/>
      <c r="L4883" s="12"/>
      <c r="M4883" s="11"/>
      <c r="N4883" s="11"/>
      <c r="O4883" s="11"/>
      <c r="P4883" s="11"/>
    </row>
    <row r="4884" spans="8:16" x14ac:dyDescent="0.25">
      <c r="H4884" s="12"/>
      <c r="I4884" s="12"/>
      <c r="J4884" s="12"/>
      <c r="K4884" s="12"/>
      <c r="L4884" s="12"/>
      <c r="M4884" s="11"/>
      <c r="N4884" s="11"/>
      <c r="O4884" s="11"/>
      <c r="P4884" s="11"/>
    </row>
    <row r="4885" spans="8:16" x14ac:dyDescent="0.25">
      <c r="H4885" s="12"/>
      <c r="I4885" s="12"/>
      <c r="J4885" s="12"/>
      <c r="K4885" s="12"/>
      <c r="L4885" s="12"/>
      <c r="M4885" s="11"/>
      <c r="N4885" s="11"/>
      <c r="O4885" s="11"/>
      <c r="P4885" s="11"/>
    </row>
    <row r="4886" spans="8:16" x14ac:dyDescent="0.25">
      <c r="H4886" s="12"/>
      <c r="I4886" s="12"/>
      <c r="J4886" s="12"/>
      <c r="K4886" s="12"/>
      <c r="L4886" s="12"/>
      <c r="M4886" s="11"/>
      <c r="N4886" s="11"/>
      <c r="O4886" s="11"/>
      <c r="P4886" s="11"/>
    </row>
    <row r="4887" spans="8:16" x14ac:dyDescent="0.25">
      <c r="H4887" s="12"/>
      <c r="I4887" s="12"/>
      <c r="J4887" s="12"/>
      <c r="K4887" s="12"/>
      <c r="L4887" s="12"/>
      <c r="M4887" s="11"/>
      <c r="N4887" s="11"/>
      <c r="O4887" s="11"/>
      <c r="P4887" s="11"/>
    </row>
    <row r="4888" spans="8:16" x14ac:dyDescent="0.25">
      <c r="H4888" s="12"/>
      <c r="I4888" s="12"/>
      <c r="J4888" s="12"/>
      <c r="K4888" s="12"/>
      <c r="L4888" s="12"/>
      <c r="M4888" s="11"/>
      <c r="N4888" s="11"/>
      <c r="O4888" s="11"/>
      <c r="P4888" s="11"/>
    </row>
    <row r="4889" spans="8:16" x14ac:dyDescent="0.25">
      <c r="H4889" s="12"/>
      <c r="I4889" s="12"/>
      <c r="J4889" s="12"/>
      <c r="K4889" s="12"/>
      <c r="L4889" s="12"/>
      <c r="M4889" s="11"/>
      <c r="N4889" s="11"/>
      <c r="O4889" s="11"/>
      <c r="P4889" s="11"/>
    </row>
    <row r="4890" spans="8:16" x14ac:dyDescent="0.25">
      <c r="H4890" s="12"/>
      <c r="I4890" s="12"/>
      <c r="J4890" s="12"/>
      <c r="K4890" s="12"/>
      <c r="L4890" s="12"/>
      <c r="M4890" s="11"/>
      <c r="N4890" s="11"/>
      <c r="O4890" s="11"/>
      <c r="P4890" s="11"/>
    </row>
    <row r="4891" spans="8:16" x14ac:dyDescent="0.25">
      <c r="H4891" s="12"/>
      <c r="I4891" s="12"/>
      <c r="J4891" s="12"/>
      <c r="K4891" s="12"/>
      <c r="L4891" s="12"/>
      <c r="M4891" s="11"/>
      <c r="N4891" s="11"/>
      <c r="O4891" s="11"/>
      <c r="P4891" s="11"/>
    </row>
    <row r="4892" spans="8:16" x14ac:dyDescent="0.25">
      <c r="H4892" s="12"/>
      <c r="I4892" s="12"/>
      <c r="J4892" s="12"/>
      <c r="K4892" s="12"/>
      <c r="L4892" s="12"/>
      <c r="M4892" s="11"/>
      <c r="N4892" s="11"/>
      <c r="O4892" s="11"/>
      <c r="P4892" s="11"/>
    </row>
    <row r="4893" spans="8:16" x14ac:dyDescent="0.25">
      <c r="H4893" s="12"/>
      <c r="I4893" s="12"/>
      <c r="J4893" s="12"/>
      <c r="K4893" s="12"/>
      <c r="L4893" s="12"/>
      <c r="M4893" s="11"/>
      <c r="N4893" s="11"/>
      <c r="O4893" s="11"/>
      <c r="P4893" s="11"/>
    </row>
    <row r="4894" spans="8:16" x14ac:dyDescent="0.25">
      <c r="H4894" s="12"/>
      <c r="I4894" s="12"/>
      <c r="J4894" s="12"/>
      <c r="K4894" s="12"/>
      <c r="L4894" s="12"/>
      <c r="M4894" s="11"/>
      <c r="N4894" s="11"/>
      <c r="O4894" s="11"/>
      <c r="P4894" s="11"/>
    </row>
    <row r="4895" spans="8:16" x14ac:dyDescent="0.25">
      <c r="H4895" s="12"/>
      <c r="I4895" s="12"/>
      <c r="J4895" s="12"/>
      <c r="K4895" s="12"/>
      <c r="L4895" s="12"/>
      <c r="M4895" s="11"/>
      <c r="N4895" s="11"/>
      <c r="O4895" s="11"/>
      <c r="P4895" s="11"/>
    </row>
    <row r="4896" spans="8:16" x14ac:dyDescent="0.25">
      <c r="H4896" s="12"/>
      <c r="I4896" s="12"/>
      <c r="J4896" s="12"/>
      <c r="K4896" s="12"/>
      <c r="L4896" s="12"/>
      <c r="M4896" s="11"/>
      <c r="N4896" s="11"/>
      <c r="O4896" s="11"/>
      <c r="P4896" s="11"/>
    </row>
    <row r="4897" spans="8:16" x14ac:dyDescent="0.25">
      <c r="H4897" s="12"/>
      <c r="I4897" s="12"/>
      <c r="J4897" s="12"/>
      <c r="K4897" s="12"/>
      <c r="L4897" s="12"/>
      <c r="M4897" s="11"/>
      <c r="N4897" s="11"/>
      <c r="O4897" s="11"/>
      <c r="P4897" s="11"/>
    </row>
    <row r="4898" spans="8:16" x14ac:dyDescent="0.25">
      <c r="H4898" s="12"/>
      <c r="I4898" s="12"/>
      <c r="J4898" s="12"/>
      <c r="K4898" s="12"/>
      <c r="L4898" s="12"/>
      <c r="M4898" s="11"/>
      <c r="N4898" s="11"/>
      <c r="O4898" s="11"/>
      <c r="P4898" s="11"/>
    </row>
    <row r="4899" spans="8:16" x14ac:dyDescent="0.25">
      <c r="H4899" s="12"/>
      <c r="I4899" s="12"/>
      <c r="J4899" s="12"/>
      <c r="K4899" s="12"/>
      <c r="L4899" s="12"/>
      <c r="M4899" s="11"/>
      <c r="N4899" s="11"/>
      <c r="O4899" s="11"/>
      <c r="P4899" s="11"/>
    </row>
    <row r="4900" spans="8:16" x14ac:dyDescent="0.25">
      <c r="H4900" s="12"/>
      <c r="I4900" s="12"/>
      <c r="J4900" s="12"/>
      <c r="K4900" s="12"/>
      <c r="L4900" s="12"/>
      <c r="M4900" s="11"/>
      <c r="N4900" s="11"/>
      <c r="O4900" s="11"/>
      <c r="P4900" s="11"/>
    </row>
    <row r="4901" spans="8:16" x14ac:dyDescent="0.25">
      <c r="H4901" s="12"/>
      <c r="I4901" s="12"/>
      <c r="J4901" s="12"/>
      <c r="K4901" s="12"/>
      <c r="L4901" s="12"/>
      <c r="M4901" s="11"/>
      <c r="N4901" s="11"/>
      <c r="O4901" s="11"/>
      <c r="P4901" s="11"/>
    </row>
    <row r="4902" spans="8:16" x14ac:dyDescent="0.25">
      <c r="H4902" s="12"/>
      <c r="I4902" s="12"/>
      <c r="J4902" s="12"/>
      <c r="K4902" s="12"/>
      <c r="L4902" s="12"/>
      <c r="M4902" s="11"/>
      <c r="N4902" s="11"/>
      <c r="O4902" s="11"/>
      <c r="P4902" s="11"/>
    </row>
    <row r="4903" spans="8:16" x14ac:dyDescent="0.25">
      <c r="H4903" s="12"/>
      <c r="I4903" s="12"/>
      <c r="J4903" s="12"/>
      <c r="K4903" s="12"/>
      <c r="L4903" s="12"/>
      <c r="M4903" s="11"/>
      <c r="N4903" s="11"/>
      <c r="O4903" s="11"/>
      <c r="P4903" s="11"/>
    </row>
    <row r="4904" spans="8:16" x14ac:dyDescent="0.25">
      <c r="H4904" s="12"/>
      <c r="I4904" s="12"/>
      <c r="J4904" s="12"/>
      <c r="K4904" s="12"/>
      <c r="L4904" s="12"/>
      <c r="M4904" s="11"/>
      <c r="N4904" s="11"/>
      <c r="O4904" s="11"/>
      <c r="P4904" s="11"/>
    </row>
    <row r="4905" spans="8:16" x14ac:dyDescent="0.25">
      <c r="H4905" s="12"/>
      <c r="I4905" s="12"/>
      <c r="J4905" s="12"/>
      <c r="K4905" s="12"/>
      <c r="L4905" s="12"/>
      <c r="M4905" s="11"/>
      <c r="N4905" s="11"/>
      <c r="O4905" s="11"/>
      <c r="P4905" s="11"/>
    </row>
    <row r="4906" spans="8:16" x14ac:dyDescent="0.25">
      <c r="H4906" s="12"/>
      <c r="I4906" s="12"/>
      <c r="J4906" s="12"/>
      <c r="K4906" s="12"/>
      <c r="L4906" s="12"/>
      <c r="M4906" s="11"/>
      <c r="N4906" s="11"/>
      <c r="O4906" s="11"/>
      <c r="P4906" s="11"/>
    </row>
    <row r="4907" spans="8:16" x14ac:dyDescent="0.25">
      <c r="H4907" s="12"/>
      <c r="I4907" s="12"/>
      <c r="J4907" s="12"/>
      <c r="K4907" s="12"/>
      <c r="L4907" s="12"/>
      <c r="M4907" s="11"/>
      <c r="N4907" s="11"/>
      <c r="O4907" s="11"/>
      <c r="P4907" s="11"/>
    </row>
    <row r="4908" spans="8:16" x14ac:dyDescent="0.25">
      <c r="H4908" s="12"/>
      <c r="I4908" s="12"/>
      <c r="J4908" s="12"/>
      <c r="K4908" s="12"/>
      <c r="L4908" s="12"/>
      <c r="M4908" s="11"/>
      <c r="N4908" s="11"/>
      <c r="O4908" s="11"/>
      <c r="P4908" s="11"/>
    </row>
    <row r="4909" spans="8:16" x14ac:dyDescent="0.25">
      <c r="H4909" s="12"/>
      <c r="I4909" s="12"/>
      <c r="J4909" s="12"/>
      <c r="K4909" s="12"/>
      <c r="L4909" s="12"/>
      <c r="M4909" s="11"/>
      <c r="N4909" s="11"/>
      <c r="O4909" s="11"/>
      <c r="P4909" s="11"/>
    </row>
    <row r="4910" spans="8:16" x14ac:dyDescent="0.25">
      <c r="H4910" s="12"/>
      <c r="I4910" s="12"/>
      <c r="J4910" s="12"/>
      <c r="K4910" s="12"/>
      <c r="L4910" s="12"/>
      <c r="M4910" s="11"/>
      <c r="N4910" s="11"/>
      <c r="O4910" s="11"/>
      <c r="P4910" s="11"/>
    </row>
    <row r="4911" spans="8:16" x14ac:dyDescent="0.25">
      <c r="H4911" s="12"/>
      <c r="I4911" s="12"/>
      <c r="J4911" s="12"/>
      <c r="K4911" s="12"/>
      <c r="L4911" s="12"/>
      <c r="M4911" s="11"/>
      <c r="N4911" s="11"/>
      <c r="O4911" s="11"/>
      <c r="P4911" s="11"/>
    </row>
    <row r="4912" spans="8:16" x14ac:dyDescent="0.25">
      <c r="H4912" s="12"/>
      <c r="I4912" s="12"/>
      <c r="J4912" s="12"/>
      <c r="K4912" s="12"/>
      <c r="L4912" s="12"/>
      <c r="M4912" s="11"/>
      <c r="N4912" s="11"/>
      <c r="O4912" s="11"/>
      <c r="P4912" s="11"/>
    </row>
    <row r="4913" spans="8:16" x14ac:dyDescent="0.25">
      <c r="H4913" s="12"/>
      <c r="I4913" s="12"/>
      <c r="J4913" s="12"/>
      <c r="K4913" s="12"/>
      <c r="L4913" s="12"/>
      <c r="M4913" s="11"/>
      <c r="N4913" s="11"/>
      <c r="O4913" s="11"/>
      <c r="P4913" s="11"/>
    </row>
    <row r="4914" spans="8:16" x14ac:dyDescent="0.25">
      <c r="H4914" s="12"/>
      <c r="I4914" s="12"/>
      <c r="J4914" s="12"/>
      <c r="K4914" s="12"/>
      <c r="L4914" s="12"/>
      <c r="M4914" s="11"/>
      <c r="N4914" s="11"/>
      <c r="O4914" s="11"/>
      <c r="P4914" s="11"/>
    </row>
    <row r="4915" spans="8:16" x14ac:dyDescent="0.25">
      <c r="H4915" s="12"/>
      <c r="I4915" s="12"/>
      <c r="J4915" s="12"/>
      <c r="K4915" s="12"/>
      <c r="L4915" s="12"/>
      <c r="M4915" s="11"/>
      <c r="N4915" s="11"/>
      <c r="O4915" s="11"/>
      <c r="P4915" s="11"/>
    </row>
    <row r="4916" spans="8:16" x14ac:dyDescent="0.25">
      <c r="H4916" s="12"/>
      <c r="I4916" s="12"/>
      <c r="J4916" s="12"/>
      <c r="K4916" s="12"/>
      <c r="L4916" s="12"/>
      <c r="M4916" s="11"/>
      <c r="N4916" s="11"/>
      <c r="O4916" s="11"/>
      <c r="P4916" s="11"/>
    </row>
    <row r="4917" spans="8:16" x14ac:dyDescent="0.25">
      <c r="H4917" s="12"/>
      <c r="I4917" s="12"/>
      <c r="J4917" s="12"/>
      <c r="K4917" s="12"/>
      <c r="L4917" s="12"/>
      <c r="M4917" s="11"/>
      <c r="N4917" s="11"/>
      <c r="O4917" s="11"/>
      <c r="P4917" s="11"/>
    </row>
    <row r="4918" spans="8:16" x14ac:dyDescent="0.25">
      <c r="H4918" s="12"/>
      <c r="I4918" s="12"/>
      <c r="J4918" s="12"/>
      <c r="K4918" s="12"/>
      <c r="L4918" s="12"/>
      <c r="M4918" s="11"/>
      <c r="N4918" s="11"/>
      <c r="O4918" s="11"/>
      <c r="P4918" s="11"/>
    </row>
    <row r="4919" spans="8:16" x14ac:dyDescent="0.25">
      <c r="H4919" s="12"/>
      <c r="I4919" s="12"/>
      <c r="J4919" s="12"/>
      <c r="K4919" s="12"/>
      <c r="L4919" s="12"/>
      <c r="M4919" s="11"/>
      <c r="N4919" s="11"/>
      <c r="O4919" s="11"/>
      <c r="P4919" s="11"/>
    </row>
    <row r="4920" spans="8:16" x14ac:dyDescent="0.25">
      <c r="H4920" s="12"/>
      <c r="I4920" s="12"/>
      <c r="J4920" s="12"/>
      <c r="K4920" s="12"/>
      <c r="L4920" s="12"/>
      <c r="M4920" s="11"/>
      <c r="N4920" s="11"/>
      <c r="O4920" s="11"/>
      <c r="P4920" s="11"/>
    </row>
    <row r="4921" spans="8:16" x14ac:dyDescent="0.25">
      <c r="H4921" s="12"/>
      <c r="I4921" s="12"/>
      <c r="J4921" s="12"/>
      <c r="K4921" s="12"/>
      <c r="L4921" s="12"/>
      <c r="M4921" s="11"/>
      <c r="N4921" s="11"/>
      <c r="O4921" s="11"/>
      <c r="P4921" s="11"/>
    </row>
    <row r="4922" spans="8:16" x14ac:dyDescent="0.25">
      <c r="H4922" s="12"/>
      <c r="I4922" s="12"/>
      <c r="J4922" s="12"/>
      <c r="K4922" s="12"/>
      <c r="L4922" s="12"/>
      <c r="M4922" s="11"/>
      <c r="N4922" s="11"/>
      <c r="O4922" s="11"/>
      <c r="P4922" s="11"/>
    </row>
    <row r="4923" spans="8:16" x14ac:dyDescent="0.25">
      <c r="H4923" s="12"/>
      <c r="I4923" s="12"/>
      <c r="J4923" s="12"/>
      <c r="K4923" s="12"/>
      <c r="L4923" s="12"/>
      <c r="M4923" s="11"/>
      <c r="N4923" s="11"/>
      <c r="O4923" s="11"/>
      <c r="P4923" s="11"/>
    </row>
    <row r="4924" spans="8:16" x14ac:dyDescent="0.25">
      <c r="H4924" s="12"/>
      <c r="I4924" s="12"/>
      <c r="J4924" s="12"/>
      <c r="K4924" s="12"/>
      <c r="L4924" s="12"/>
      <c r="M4924" s="11"/>
      <c r="N4924" s="11"/>
      <c r="O4924" s="11"/>
      <c r="P4924" s="11"/>
    </row>
    <row r="4925" spans="8:16" x14ac:dyDescent="0.25">
      <c r="H4925" s="12"/>
      <c r="I4925" s="12"/>
      <c r="J4925" s="12"/>
      <c r="K4925" s="12"/>
      <c r="L4925" s="12"/>
      <c r="M4925" s="11"/>
      <c r="N4925" s="11"/>
      <c r="O4925" s="11"/>
      <c r="P4925" s="11"/>
    </row>
    <row r="4926" spans="8:16" x14ac:dyDescent="0.25">
      <c r="H4926" s="12"/>
      <c r="I4926" s="12"/>
      <c r="J4926" s="12"/>
      <c r="K4926" s="12"/>
      <c r="L4926" s="12"/>
      <c r="M4926" s="11"/>
      <c r="N4926" s="11"/>
      <c r="O4926" s="11"/>
      <c r="P4926" s="11"/>
    </row>
    <row r="4927" spans="8:16" x14ac:dyDescent="0.25">
      <c r="H4927" s="12"/>
      <c r="I4927" s="12"/>
      <c r="J4927" s="12"/>
      <c r="K4927" s="12"/>
      <c r="L4927" s="12"/>
      <c r="M4927" s="11"/>
      <c r="N4927" s="11"/>
      <c r="O4927" s="11"/>
      <c r="P4927" s="11"/>
    </row>
    <row r="4928" spans="8:16" x14ac:dyDescent="0.25">
      <c r="H4928" s="12"/>
      <c r="I4928" s="12"/>
      <c r="J4928" s="12"/>
      <c r="K4928" s="12"/>
      <c r="L4928" s="12"/>
      <c r="M4928" s="11"/>
      <c r="N4928" s="11"/>
      <c r="O4928" s="11"/>
      <c r="P4928" s="11"/>
    </row>
    <row r="4929" spans="8:16" x14ac:dyDescent="0.25">
      <c r="H4929" s="12"/>
      <c r="I4929" s="12"/>
      <c r="J4929" s="12"/>
      <c r="K4929" s="12"/>
      <c r="L4929" s="12"/>
      <c r="M4929" s="11"/>
      <c r="N4929" s="11"/>
      <c r="O4929" s="11"/>
      <c r="P4929" s="11"/>
    </row>
    <row r="4930" spans="8:16" x14ac:dyDescent="0.25">
      <c r="H4930" s="12"/>
      <c r="I4930" s="12"/>
      <c r="J4930" s="12"/>
      <c r="K4930" s="12"/>
      <c r="L4930" s="12"/>
      <c r="M4930" s="11"/>
      <c r="N4930" s="11"/>
      <c r="O4930" s="11"/>
      <c r="P4930" s="11"/>
    </row>
    <row r="4931" spans="8:16" x14ac:dyDescent="0.25">
      <c r="H4931" s="12"/>
      <c r="I4931" s="12"/>
      <c r="J4931" s="12"/>
      <c r="K4931" s="12"/>
      <c r="L4931" s="12"/>
      <c r="M4931" s="11"/>
      <c r="N4931" s="11"/>
      <c r="O4931" s="11"/>
      <c r="P4931" s="11"/>
    </row>
    <row r="4932" spans="8:16" x14ac:dyDescent="0.25">
      <c r="H4932" s="12"/>
      <c r="I4932" s="12"/>
      <c r="J4932" s="12"/>
      <c r="K4932" s="12"/>
      <c r="L4932" s="12"/>
      <c r="M4932" s="11"/>
      <c r="N4932" s="11"/>
      <c r="O4932" s="11"/>
      <c r="P4932" s="11"/>
    </row>
    <row r="4933" spans="8:16" x14ac:dyDescent="0.25">
      <c r="H4933" s="12"/>
      <c r="I4933" s="12"/>
      <c r="J4933" s="12"/>
      <c r="K4933" s="12"/>
      <c r="L4933" s="12"/>
      <c r="M4933" s="11"/>
      <c r="N4933" s="11"/>
      <c r="O4933" s="11"/>
      <c r="P4933" s="11"/>
    </row>
    <row r="4934" spans="8:16" x14ac:dyDescent="0.25">
      <c r="H4934" s="12"/>
      <c r="I4934" s="12"/>
      <c r="J4934" s="12"/>
      <c r="K4934" s="12"/>
      <c r="L4934" s="12"/>
      <c r="M4934" s="11"/>
      <c r="N4934" s="11"/>
      <c r="O4934" s="11"/>
      <c r="P4934" s="11"/>
    </row>
    <row r="4935" spans="8:16" x14ac:dyDescent="0.25">
      <c r="H4935" s="12"/>
      <c r="I4935" s="12"/>
      <c r="J4935" s="12"/>
      <c r="K4935" s="12"/>
      <c r="L4935" s="12"/>
      <c r="M4935" s="11"/>
      <c r="N4935" s="11"/>
      <c r="O4935" s="11"/>
      <c r="P4935" s="11"/>
    </row>
    <row r="4936" spans="8:16" x14ac:dyDescent="0.25">
      <c r="H4936" s="12"/>
      <c r="I4936" s="12"/>
      <c r="J4936" s="12"/>
      <c r="K4936" s="12"/>
      <c r="L4936" s="12"/>
      <c r="M4936" s="11"/>
      <c r="N4936" s="11"/>
      <c r="O4936" s="11"/>
      <c r="P4936" s="11"/>
    </row>
    <row r="4937" spans="8:16" x14ac:dyDescent="0.25">
      <c r="H4937" s="12"/>
      <c r="I4937" s="12"/>
      <c r="J4937" s="12"/>
      <c r="K4937" s="12"/>
      <c r="L4937" s="12"/>
      <c r="M4937" s="11"/>
      <c r="N4937" s="11"/>
      <c r="O4937" s="11"/>
      <c r="P4937" s="11"/>
    </row>
    <row r="4938" spans="8:16" x14ac:dyDescent="0.25">
      <c r="H4938" s="12"/>
      <c r="I4938" s="12"/>
      <c r="J4938" s="12"/>
      <c r="K4938" s="12"/>
      <c r="L4938" s="12"/>
      <c r="M4938" s="11"/>
      <c r="N4938" s="11"/>
      <c r="O4938" s="11"/>
      <c r="P4938" s="11"/>
    </row>
    <row r="4939" spans="8:16" x14ac:dyDescent="0.25">
      <c r="H4939" s="12"/>
      <c r="I4939" s="12"/>
      <c r="J4939" s="12"/>
      <c r="K4939" s="12"/>
      <c r="L4939" s="12"/>
      <c r="M4939" s="11"/>
      <c r="N4939" s="11"/>
      <c r="O4939" s="11"/>
      <c r="P4939" s="11"/>
    </row>
    <row r="4940" spans="8:16" x14ac:dyDescent="0.25">
      <c r="H4940" s="12"/>
      <c r="I4940" s="12"/>
      <c r="J4940" s="12"/>
      <c r="K4940" s="12"/>
      <c r="L4940" s="12"/>
      <c r="M4940" s="11"/>
      <c r="N4940" s="11"/>
      <c r="O4940" s="11"/>
      <c r="P4940" s="11"/>
    </row>
    <row r="4941" spans="8:16" x14ac:dyDescent="0.25">
      <c r="H4941" s="12"/>
      <c r="I4941" s="12"/>
      <c r="J4941" s="12"/>
      <c r="K4941" s="12"/>
      <c r="L4941" s="12"/>
      <c r="M4941" s="11"/>
      <c r="N4941" s="11"/>
      <c r="O4941" s="11"/>
      <c r="P4941" s="11"/>
    </row>
    <row r="4942" spans="8:16" x14ac:dyDescent="0.25">
      <c r="H4942" s="12"/>
      <c r="I4942" s="12"/>
      <c r="J4942" s="12"/>
      <c r="K4942" s="12"/>
      <c r="L4942" s="12"/>
      <c r="M4942" s="11"/>
      <c r="N4942" s="11"/>
      <c r="O4942" s="11"/>
      <c r="P4942" s="11"/>
    </row>
    <row r="4943" spans="8:16" x14ac:dyDescent="0.25">
      <c r="H4943" s="12"/>
      <c r="I4943" s="12"/>
      <c r="J4943" s="12"/>
      <c r="K4943" s="12"/>
      <c r="L4943" s="12"/>
      <c r="M4943" s="11"/>
      <c r="N4943" s="11"/>
      <c r="O4943" s="11"/>
      <c r="P4943" s="11"/>
    </row>
    <row r="4944" spans="8:16" x14ac:dyDescent="0.25">
      <c r="H4944" s="12"/>
      <c r="I4944" s="12"/>
      <c r="J4944" s="12"/>
      <c r="K4944" s="12"/>
      <c r="L4944" s="12"/>
      <c r="M4944" s="11"/>
      <c r="N4944" s="11"/>
      <c r="O4944" s="11"/>
      <c r="P4944" s="11"/>
    </row>
    <row r="4945" spans="8:16" x14ac:dyDescent="0.25">
      <c r="H4945" s="12"/>
      <c r="I4945" s="12"/>
      <c r="J4945" s="12"/>
      <c r="K4945" s="12"/>
      <c r="L4945" s="12"/>
      <c r="M4945" s="11"/>
      <c r="N4945" s="11"/>
      <c r="O4945" s="11"/>
      <c r="P4945" s="11"/>
    </row>
    <row r="4946" spans="8:16" x14ac:dyDescent="0.25">
      <c r="H4946" s="12"/>
      <c r="I4946" s="12"/>
      <c r="J4946" s="12"/>
      <c r="K4946" s="12"/>
      <c r="L4946" s="12"/>
      <c r="M4946" s="11"/>
      <c r="N4946" s="11"/>
      <c r="O4946" s="11"/>
      <c r="P4946" s="11"/>
    </row>
    <row r="4947" spans="8:16" x14ac:dyDescent="0.25">
      <c r="H4947" s="12"/>
      <c r="I4947" s="12"/>
      <c r="J4947" s="12"/>
      <c r="K4947" s="12"/>
      <c r="L4947" s="12"/>
      <c r="M4947" s="11"/>
      <c r="N4947" s="11"/>
      <c r="O4947" s="11"/>
      <c r="P4947" s="11"/>
    </row>
    <row r="4948" spans="8:16" x14ac:dyDescent="0.25">
      <c r="H4948" s="12"/>
      <c r="I4948" s="12"/>
      <c r="J4948" s="12"/>
      <c r="K4948" s="12"/>
      <c r="L4948" s="12"/>
      <c r="M4948" s="11"/>
      <c r="N4948" s="11"/>
      <c r="O4948" s="11"/>
      <c r="P4948" s="11"/>
    </row>
    <row r="4949" spans="8:16" x14ac:dyDescent="0.25">
      <c r="H4949" s="12"/>
      <c r="I4949" s="12"/>
      <c r="J4949" s="12"/>
      <c r="K4949" s="12"/>
      <c r="L4949" s="12"/>
      <c r="M4949" s="11"/>
      <c r="N4949" s="11"/>
      <c r="O4949" s="11"/>
      <c r="P4949" s="11"/>
    </row>
    <row r="4950" spans="8:16" x14ac:dyDescent="0.25">
      <c r="H4950" s="12"/>
      <c r="I4950" s="12"/>
      <c r="J4950" s="12"/>
      <c r="K4950" s="12"/>
      <c r="L4950" s="12"/>
      <c r="M4950" s="11"/>
      <c r="N4950" s="11"/>
      <c r="O4950" s="11"/>
      <c r="P4950" s="11"/>
    </row>
    <row r="4951" spans="8:16" x14ac:dyDescent="0.25">
      <c r="H4951" s="12"/>
      <c r="I4951" s="12"/>
      <c r="J4951" s="12"/>
      <c r="K4951" s="12"/>
      <c r="L4951" s="12"/>
      <c r="M4951" s="11"/>
      <c r="N4951" s="11"/>
      <c r="O4951" s="11"/>
      <c r="P4951" s="11"/>
    </row>
    <row r="4952" spans="8:16" x14ac:dyDescent="0.25">
      <c r="H4952" s="12"/>
      <c r="I4952" s="12"/>
      <c r="J4952" s="12"/>
      <c r="K4952" s="12"/>
      <c r="L4952" s="12"/>
      <c r="M4952" s="11"/>
      <c r="N4952" s="11"/>
      <c r="O4952" s="11"/>
      <c r="P4952" s="11"/>
    </row>
    <row r="4953" spans="8:16" x14ac:dyDescent="0.25">
      <c r="H4953" s="12"/>
      <c r="I4953" s="12"/>
      <c r="J4953" s="12"/>
      <c r="K4953" s="12"/>
      <c r="L4953" s="12"/>
      <c r="M4953" s="11"/>
      <c r="N4953" s="11"/>
      <c r="O4953" s="11"/>
      <c r="P4953" s="11"/>
    </row>
    <row r="4954" spans="8:16" x14ac:dyDescent="0.25">
      <c r="H4954" s="12"/>
      <c r="I4954" s="12"/>
      <c r="J4954" s="12"/>
      <c r="K4954" s="12"/>
      <c r="L4954" s="12"/>
      <c r="M4954" s="11"/>
      <c r="N4954" s="11"/>
      <c r="O4954" s="11"/>
      <c r="P4954" s="11"/>
    </row>
    <row r="4955" spans="8:16" x14ac:dyDescent="0.25">
      <c r="H4955" s="12"/>
      <c r="I4955" s="12"/>
      <c r="J4955" s="12"/>
      <c r="K4955" s="12"/>
      <c r="L4955" s="12"/>
      <c r="M4955" s="11"/>
      <c r="N4955" s="11"/>
      <c r="O4955" s="11"/>
      <c r="P4955" s="11"/>
    </row>
    <row r="4956" spans="8:16" x14ac:dyDescent="0.25">
      <c r="H4956" s="12"/>
      <c r="I4956" s="12"/>
      <c r="J4956" s="12"/>
      <c r="K4956" s="12"/>
      <c r="L4956" s="12"/>
      <c r="M4956" s="11"/>
      <c r="N4956" s="11"/>
      <c r="O4956" s="11"/>
      <c r="P4956" s="11"/>
    </row>
    <row r="4957" spans="8:16" x14ac:dyDescent="0.25">
      <c r="H4957" s="12"/>
      <c r="I4957" s="12"/>
      <c r="J4957" s="12"/>
      <c r="K4957" s="12"/>
      <c r="L4957" s="12"/>
      <c r="M4957" s="11"/>
      <c r="N4957" s="11"/>
      <c r="O4957" s="11"/>
      <c r="P4957" s="11"/>
    </row>
    <row r="4958" spans="8:16" x14ac:dyDescent="0.25">
      <c r="H4958" s="12"/>
      <c r="I4958" s="12"/>
      <c r="J4958" s="12"/>
      <c r="K4958" s="12"/>
      <c r="L4958" s="12"/>
      <c r="M4958" s="11"/>
      <c r="N4958" s="11"/>
      <c r="O4958" s="11"/>
      <c r="P4958" s="11"/>
    </row>
    <row r="4959" spans="8:16" x14ac:dyDescent="0.25">
      <c r="H4959" s="12"/>
      <c r="I4959" s="12"/>
      <c r="J4959" s="12"/>
      <c r="K4959" s="12"/>
      <c r="L4959" s="12"/>
      <c r="M4959" s="11"/>
      <c r="N4959" s="11"/>
      <c r="O4959" s="11"/>
      <c r="P4959" s="11"/>
    </row>
    <row r="4960" spans="8:16" x14ac:dyDescent="0.25">
      <c r="H4960" s="12"/>
      <c r="I4960" s="12"/>
      <c r="J4960" s="12"/>
      <c r="K4960" s="12"/>
      <c r="L4960" s="12"/>
      <c r="M4960" s="11"/>
      <c r="N4960" s="11"/>
      <c r="O4960" s="11"/>
      <c r="P4960" s="11"/>
    </row>
    <row r="4961" spans="8:16" x14ac:dyDescent="0.25">
      <c r="H4961" s="12"/>
      <c r="I4961" s="12"/>
      <c r="J4961" s="12"/>
      <c r="K4961" s="12"/>
      <c r="L4961" s="12"/>
      <c r="M4961" s="11"/>
      <c r="N4961" s="11"/>
      <c r="O4961" s="11"/>
      <c r="P4961" s="11"/>
    </row>
    <row r="4962" spans="8:16" x14ac:dyDescent="0.25">
      <c r="H4962" s="12"/>
      <c r="I4962" s="12"/>
      <c r="J4962" s="12"/>
      <c r="K4962" s="12"/>
      <c r="L4962" s="12"/>
      <c r="M4962" s="11"/>
      <c r="N4962" s="11"/>
      <c r="O4962" s="11"/>
      <c r="P4962" s="11"/>
    </row>
    <row r="4963" spans="8:16" x14ac:dyDescent="0.25">
      <c r="H4963" s="12"/>
      <c r="I4963" s="12"/>
      <c r="J4963" s="12"/>
      <c r="K4963" s="12"/>
      <c r="L4963" s="12"/>
      <c r="M4963" s="11"/>
      <c r="N4963" s="11"/>
      <c r="O4963" s="11"/>
      <c r="P4963" s="11"/>
    </row>
    <row r="4964" spans="8:16" x14ac:dyDescent="0.25">
      <c r="H4964" s="12"/>
      <c r="I4964" s="12"/>
      <c r="J4964" s="12"/>
      <c r="K4964" s="12"/>
      <c r="L4964" s="12"/>
      <c r="M4964" s="11"/>
      <c r="N4964" s="11"/>
      <c r="O4964" s="11"/>
      <c r="P4964" s="11"/>
    </row>
    <row r="4965" spans="8:16" x14ac:dyDescent="0.25">
      <c r="H4965" s="12"/>
      <c r="I4965" s="12"/>
      <c r="J4965" s="12"/>
      <c r="K4965" s="12"/>
      <c r="L4965" s="12"/>
      <c r="M4965" s="11"/>
      <c r="N4965" s="11"/>
      <c r="O4965" s="11"/>
      <c r="P4965" s="11"/>
    </row>
    <row r="4966" spans="8:16" x14ac:dyDescent="0.25">
      <c r="H4966" s="12"/>
      <c r="I4966" s="12"/>
      <c r="J4966" s="12"/>
      <c r="K4966" s="12"/>
      <c r="L4966" s="12"/>
      <c r="M4966" s="11"/>
      <c r="N4966" s="11"/>
      <c r="O4966" s="11"/>
      <c r="P4966" s="11"/>
    </row>
    <row r="4967" spans="8:16" x14ac:dyDescent="0.25">
      <c r="H4967" s="12"/>
      <c r="I4967" s="12"/>
      <c r="J4967" s="12"/>
      <c r="K4967" s="12"/>
      <c r="L4967" s="12"/>
      <c r="M4967" s="11"/>
      <c r="N4967" s="11"/>
      <c r="O4967" s="11"/>
      <c r="P4967" s="11"/>
    </row>
    <row r="4968" spans="8:16" x14ac:dyDescent="0.25">
      <c r="H4968" s="12"/>
      <c r="I4968" s="12"/>
      <c r="J4968" s="12"/>
      <c r="K4968" s="12"/>
      <c r="L4968" s="12"/>
      <c r="M4968" s="11"/>
      <c r="N4968" s="11"/>
      <c r="O4968" s="11"/>
      <c r="P4968" s="11"/>
    </row>
    <row r="4969" spans="8:16" x14ac:dyDescent="0.25">
      <c r="H4969" s="12"/>
      <c r="I4969" s="12"/>
      <c r="J4969" s="12"/>
      <c r="K4969" s="12"/>
      <c r="L4969" s="12"/>
      <c r="M4969" s="11"/>
      <c r="N4969" s="11"/>
      <c r="O4969" s="11"/>
      <c r="P4969" s="11"/>
    </row>
    <row r="4970" spans="8:16" x14ac:dyDescent="0.25">
      <c r="H4970" s="12"/>
      <c r="I4970" s="12"/>
      <c r="J4970" s="12"/>
      <c r="K4970" s="12"/>
      <c r="L4970" s="12"/>
      <c r="M4970" s="11"/>
      <c r="N4970" s="11"/>
      <c r="O4970" s="11"/>
      <c r="P4970" s="11"/>
    </row>
    <row r="4971" spans="8:16" x14ac:dyDescent="0.25">
      <c r="H4971" s="12"/>
      <c r="I4971" s="12"/>
      <c r="J4971" s="12"/>
      <c r="K4971" s="12"/>
      <c r="L4971" s="12"/>
      <c r="M4971" s="11"/>
      <c r="N4971" s="11"/>
      <c r="O4971" s="11"/>
      <c r="P4971" s="11"/>
    </row>
    <row r="4972" spans="8:16" x14ac:dyDescent="0.25">
      <c r="H4972" s="12"/>
      <c r="I4972" s="12"/>
      <c r="J4972" s="12"/>
      <c r="K4972" s="12"/>
      <c r="L4972" s="12"/>
      <c r="M4972" s="11"/>
      <c r="N4972" s="11"/>
      <c r="O4972" s="11"/>
      <c r="P4972" s="11"/>
    </row>
    <row r="4973" spans="8:16" x14ac:dyDescent="0.25">
      <c r="H4973" s="12"/>
      <c r="I4973" s="12"/>
      <c r="J4973" s="12"/>
      <c r="K4973" s="12"/>
      <c r="L4973" s="12"/>
      <c r="M4973" s="11"/>
      <c r="N4973" s="11"/>
      <c r="O4973" s="11"/>
      <c r="P4973" s="11"/>
    </row>
    <row r="4974" spans="8:16" x14ac:dyDescent="0.25">
      <c r="H4974" s="12"/>
      <c r="I4974" s="12"/>
      <c r="J4974" s="12"/>
      <c r="K4974" s="12"/>
      <c r="L4974" s="12"/>
      <c r="M4974" s="11"/>
      <c r="N4974" s="11"/>
      <c r="O4974" s="11"/>
      <c r="P4974" s="11"/>
    </row>
    <row r="4975" spans="8:16" x14ac:dyDescent="0.25">
      <c r="H4975" s="12"/>
      <c r="I4975" s="12"/>
      <c r="J4975" s="12"/>
      <c r="K4975" s="12"/>
      <c r="L4975" s="12"/>
      <c r="M4975" s="11"/>
      <c r="N4975" s="11"/>
      <c r="O4975" s="11"/>
      <c r="P4975" s="11"/>
    </row>
    <row r="4976" spans="8:16" x14ac:dyDescent="0.25">
      <c r="H4976" s="12"/>
      <c r="I4976" s="12"/>
      <c r="J4976" s="12"/>
      <c r="K4976" s="12"/>
      <c r="L4976" s="12"/>
      <c r="M4976" s="11"/>
      <c r="N4976" s="11"/>
      <c r="O4976" s="11"/>
      <c r="P4976" s="11"/>
    </row>
    <row r="4977" spans="8:16" x14ac:dyDescent="0.25">
      <c r="H4977" s="12"/>
      <c r="I4977" s="12"/>
      <c r="J4977" s="12"/>
      <c r="K4977" s="12"/>
      <c r="L4977" s="12"/>
      <c r="M4977" s="11"/>
      <c r="N4977" s="11"/>
      <c r="O4977" s="11"/>
      <c r="P4977" s="11"/>
    </row>
    <row r="4978" spans="8:16" x14ac:dyDescent="0.25">
      <c r="H4978" s="12"/>
      <c r="I4978" s="12"/>
      <c r="J4978" s="12"/>
      <c r="K4978" s="12"/>
      <c r="L4978" s="12"/>
      <c r="M4978" s="11"/>
      <c r="N4978" s="11"/>
      <c r="O4978" s="11"/>
      <c r="P4978" s="11"/>
    </row>
    <row r="4979" spans="8:16" x14ac:dyDescent="0.25">
      <c r="H4979" s="12"/>
      <c r="I4979" s="12"/>
      <c r="J4979" s="12"/>
      <c r="K4979" s="12"/>
      <c r="L4979" s="12"/>
      <c r="M4979" s="11"/>
      <c r="N4979" s="11"/>
      <c r="O4979" s="11"/>
      <c r="P4979" s="11"/>
    </row>
    <row r="4980" spans="8:16" x14ac:dyDescent="0.25">
      <c r="H4980" s="12"/>
      <c r="I4980" s="12"/>
      <c r="J4980" s="12"/>
      <c r="K4980" s="12"/>
      <c r="L4980" s="12"/>
      <c r="M4980" s="11"/>
      <c r="N4980" s="11"/>
      <c r="O4980" s="11"/>
      <c r="P4980" s="11"/>
    </row>
    <row r="4981" spans="8:16" x14ac:dyDescent="0.25">
      <c r="H4981" s="12"/>
      <c r="I4981" s="12"/>
      <c r="J4981" s="12"/>
      <c r="K4981" s="12"/>
      <c r="L4981" s="12"/>
      <c r="M4981" s="11"/>
      <c r="N4981" s="11"/>
      <c r="O4981" s="11"/>
      <c r="P4981" s="11"/>
    </row>
    <row r="4982" spans="8:16" x14ac:dyDescent="0.25">
      <c r="H4982" s="12"/>
      <c r="I4982" s="12"/>
      <c r="J4982" s="12"/>
      <c r="K4982" s="12"/>
      <c r="L4982" s="12"/>
      <c r="M4982" s="11"/>
      <c r="N4982" s="11"/>
      <c r="O4982" s="11"/>
      <c r="P4982" s="11"/>
    </row>
    <row r="4983" spans="8:16" x14ac:dyDescent="0.25">
      <c r="H4983" s="12"/>
      <c r="I4983" s="12"/>
      <c r="J4983" s="12"/>
      <c r="K4983" s="12"/>
      <c r="L4983" s="12"/>
      <c r="M4983" s="11"/>
      <c r="N4983" s="11"/>
      <c r="O4983" s="11"/>
      <c r="P4983" s="11"/>
    </row>
    <row r="4984" spans="8:16" x14ac:dyDescent="0.25">
      <c r="H4984" s="12"/>
      <c r="I4984" s="12"/>
      <c r="J4984" s="12"/>
      <c r="K4984" s="12"/>
      <c r="L4984" s="12"/>
      <c r="M4984" s="11"/>
      <c r="N4984" s="11"/>
      <c r="O4984" s="11"/>
      <c r="P4984" s="11"/>
    </row>
    <row r="4985" spans="8:16" x14ac:dyDescent="0.25">
      <c r="H4985" s="12"/>
      <c r="I4985" s="12"/>
      <c r="J4985" s="12"/>
      <c r="K4985" s="12"/>
      <c r="L4985" s="12"/>
      <c r="M4985" s="11"/>
      <c r="N4985" s="11"/>
      <c r="O4985" s="11"/>
      <c r="P4985" s="11"/>
    </row>
    <row r="4986" spans="8:16" x14ac:dyDescent="0.25">
      <c r="H4986" s="12"/>
      <c r="I4986" s="12"/>
      <c r="J4986" s="12"/>
      <c r="K4986" s="12"/>
      <c r="L4986" s="12"/>
      <c r="M4986" s="11"/>
      <c r="N4986" s="11"/>
      <c r="O4986" s="11"/>
      <c r="P4986" s="11"/>
    </row>
    <row r="4987" spans="8:16" x14ac:dyDescent="0.25">
      <c r="H4987" s="12"/>
      <c r="I4987" s="12"/>
      <c r="J4987" s="12"/>
      <c r="K4987" s="12"/>
      <c r="L4987" s="12"/>
      <c r="M4987" s="11"/>
      <c r="N4987" s="11"/>
      <c r="O4987" s="11"/>
      <c r="P4987" s="11"/>
    </row>
    <row r="4988" spans="8:16" x14ac:dyDescent="0.25">
      <c r="H4988" s="12"/>
      <c r="I4988" s="12"/>
      <c r="J4988" s="12"/>
      <c r="K4988" s="12"/>
      <c r="L4988" s="12"/>
      <c r="M4988" s="11"/>
      <c r="N4988" s="11"/>
      <c r="O4988" s="11"/>
      <c r="P4988" s="11"/>
    </row>
    <row r="4989" spans="8:16" x14ac:dyDescent="0.25">
      <c r="H4989" s="12"/>
      <c r="I4989" s="12"/>
      <c r="J4989" s="12"/>
      <c r="K4989" s="12"/>
      <c r="L4989" s="12"/>
      <c r="M4989" s="11"/>
      <c r="N4989" s="11"/>
      <c r="O4989" s="11"/>
      <c r="P4989" s="11"/>
    </row>
    <row r="4990" spans="8:16" x14ac:dyDescent="0.25">
      <c r="H4990" s="12"/>
      <c r="I4990" s="12"/>
      <c r="J4990" s="12"/>
      <c r="K4990" s="12"/>
      <c r="L4990" s="12"/>
      <c r="M4990" s="11"/>
      <c r="N4990" s="11"/>
      <c r="O4990" s="11"/>
      <c r="P4990" s="11"/>
    </row>
    <row r="4991" spans="8:16" x14ac:dyDescent="0.25">
      <c r="H4991" s="12"/>
      <c r="I4991" s="12"/>
      <c r="J4991" s="12"/>
      <c r="K4991" s="12"/>
      <c r="L4991" s="12"/>
      <c r="M4991" s="11"/>
      <c r="N4991" s="11"/>
      <c r="O4991" s="11"/>
      <c r="P4991" s="11"/>
    </row>
    <row r="4992" spans="8:16" x14ac:dyDescent="0.25">
      <c r="H4992" s="12"/>
      <c r="I4992" s="12"/>
      <c r="J4992" s="12"/>
      <c r="K4992" s="12"/>
      <c r="L4992" s="12"/>
      <c r="M4992" s="11"/>
      <c r="N4992" s="11"/>
      <c r="O4992" s="11"/>
      <c r="P4992" s="11"/>
    </row>
    <row r="4993" spans="8:16" x14ac:dyDescent="0.25">
      <c r="H4993" s="12"/>
      <c r="I4993" s="12"/>
      <c r="J4993" s="12"/>
      <c r="K4993" s="12"/>
      <c r="L4993" s="12"/>
      <c r="M4993" s="11"/>
      <c r="N4993" s="11"/>
      <c r="O4993" s="11"/>
      <c r="P4993" s="11"/>
    </row>
    <row r="4994" spans="8:16" x14ac:dyDescent="0.25">
      <c r="H4994" s="12"/>
      <c r="I4994" s="12"/>
      <c r="J4994" s="12"/>
      <c r="K4994" s="12"/>
      <c r="L4994" s="12"/>
      <c r="M4994" s="11"/>
      <c r="N4994" s="11"/>
      <c r="O4994" s="11"/>
      <c r="P4994" s="11"/>
    </row>
    <row r="4995" spans="8:16" x14ac:dyDescent="0.25">
      <c r="H4995" s="12"/>
      <c r="I4995" s="12"/>
      <c r="J4995" s="12"/>
      <c r="K4995" s="12"/>
      <c r="L4995" s="12"/>
      <c r="M4995" s="11"/>
      <c r="N4995" s="11"/>
      <c r="O4995" s="11"/>
      <c r="P4995" s="11"/>
    </row>
    <row r="4996" spans="8:16" x14ac:dyDescent="0.25">
      <c r="H4996" s="12"/>
      <c r="I4996" s="12"/>
      <c r="J4996" s="12"/>
      <c r="K4996" s="12"/>
      <c r="L4996" s="12"/>
      <c r="M4996" s="11"/>
      <c r="N4996" s="11"/>
      <c r="O4996" s="11"/>
      <c r="P4996" s="11"/>
    </row>
    <row r="4997" spans="8:16" x14ac:dyDescent="0.25">
      <c r="H4997" s="12"/>
      <c r="I4997" s="12"/>
      <c r="J4997" s="12"/>
      <c r="K4997" s="12"/>
      <c r="L4997" s="12"/>
      <c r="M4997" s="11"/>
      <c r="N4997" s="11"/>
      <c r="O4997" s="11"/>
      <c r="P4997" s="11"/>
    </row>
    <row r="4998" spans="8:16" x14ac:dyDescent="0.25">
      <c r="H4998" s="12"/>
      <c r="I4998" s="12"/>
      <c r="J4998" s="12"/>
      <c r="K4998" s="12"/>
      <c r="L4998" s="12"/>
      <c r="M4998" s="11"/>
      <c r="N4998" s="11"/>
      <c r="O4998" s="11"/>
      <c r="P4998" s="11"/>
    </row>
    <row r="4999" spans="8:16" x14ac:dyDescent="0.25">
      <c r="H4999" s="12"/>
      <c r="I4999" s="12"/>
      <c r="J4999" s="12"/>
      <c r="K4999" s="12"/>
      <c r="L4999" s="12"/>
      <c r="M4999" s="11"/>
      <c r="N4999" s="11"/>
      <c r="O4999" s="11"/>
      <c r="P4999" s="11"/>
    </row>
    <row r="5000" spans="8:16" x14ac:dyDescent="0.25">
      <c r="H5000" s="12"/>
      <c r="I5000" s="12"/>
      <c r="J5000" s="12"/>
      <c r="K5000" s="12"/>
      <c r="L5000" s="12"/>
      <c r="M5000" s="11"/>
      <c r="N5000" s="11"/>
      <c r="O5000" s="11"/>
      <c r="P5000" s="11"/>
    </row>
    <row r="5001" spans="8:16" x14ac:dyDescent="0.25">
      <c r="H5001" s="12"/>
      <c r="I5001" s="12"/>
      <c r="J5001" s="12"/>
      <c r="K5001" s="12"/>
      <c r="L5001" s="12"/>
      <c r="M5001" s="11"/>
      <c r="N5001" s="11"/>
      <c r="O5001" s="11"/>
      <c r="P5001" s="11"/>
    </row>
    <row r="5002" spans="8:16" x14ac:dyDescent="0.25">
      <c r="H5002" s="12"/>
      <c r="I5002" s="12"/>
      <c r="J5002" s="12"/>
      <c r="K5002" s="12"/>
      <c r="L5002" s="12"/>
      <c r="M5002" s="11"/>
      <c r="N5002" s="11"/>
      <c r="O5002" s="11"/>
      <c r="P5002" s="11"/>
    </row>
    <row r="5003" spans="8:16" x14ac:dyDescent="0.25">
      <c r="H5003" s="12"/>
      <c r="I5003" s="12"/>
      <c r="J5003" s="12"/>
      <c r="K5003" s="12"/>
      <c r="L5003" s="12"/>
      <c r="M5003" s="11"/>
      <c r="N5003" s="11"/>
      <c r="O5003" s="11"/>
      <c r="P5003" s="11"/>
    </row>
    <row r="5004" spans="8:16" x14ac:dyDescent="0.25">
      <c r="H5004" s="12"/>
      <c r="I5004" s="12"/>
      <c r="J5004" s="12"/>
      <c r="K5004" s="12"/>
      <c r="L5004" s="12"/>
      <c r="M5004" s="11"/>
      <c r="N5004" s="11"/>
      <c r="O5004" s="11"/>
      <c r="P5004" s="11"/>
    </row>
    <row r="5005" spans="8:16" x14ac:dyDescent="0.25">
      <c r="H5005" s="12"/>
      <c r="I5005" s="12"/>
      <c r="J5005" s="12"/>
      <c r="K5005" s="12"/>
      <c r="L5005" s="12"/>
      <c r="M5005" s="11"/>
      <c r="N5005" s="11"/>
      <c r="O5005" s="11"/>
      <c r="P5005" s="11"/>
    </row>
    <row r="5006" spans="8:16" x14ac:dyDescent="0.25">
      <c r="H5006" s="12"/>
      <c r="I5006" s="12"/>
      <c r="J5006" s="12"/>
      <c r="K5006" s="12"/>
      <c r="L5006" s="12"/>
      <c r="M5006" s="11"/>
      <c r="N5006" s="11"/>
      <c r="O5006" s="11"/>
      <c r="P5006" s="11"/>
    </row>
    <row r="5007" spans="8:16" x14ac:dyDescent="0.25">
      <c r="H5007" s="12"/>
      <c r="I5007" s="12"/>
      <c r="J5007" s="12"/>
      <c r="K5007" s="12"/>
      <c r="L5007" s="12"/>
      <c r="M5007" s="11"/>
      <c r="N5007" s="11"/>
      <c r="O5007" s="11"/>
      <c r="P5007" s="11"/>
    </row>
    <row r="5008" spans="8:16" x14ac:dyDescent="0.25">
      <c r="H5008" s="12"/>
      <c r="I5008" s="12"/>
      <c r="J5008" s="12"/>
      <c r="K5008" s="12"/>
      <c r="L5008" s="12"/>
      <c r="M5008" s="11"/>
      <c r="N5008" s="11"/>
      <c r="O5008" s="11"/>
      <c r="P5008" s="11"/>
    </row>
    <row r="5009" spans="8:16" x14ac:dyDescent="0.25">
      <c r="H5009" s="12"/>
      <c r="I5009" s="12"/>
      <c r="J5009" s="12"/>
      <c r="K5009" s="12"/>
      <c r="L5009" s="12"/>
      <c r="M5009" s="11"/>
      <c r="N5009" s="11"/>
      <c r="O5009" s="11"/>
      <c r="P5009" s="11"/>
    </row>
    <row r="5010" spans="8:16" x14ac:dyDescent="0.25">
      <c r="H5010" s="12"/>
      <c r="I5010" s="12"/>
      <c r="J5010" s="12"/>
      <c r="K5010" s="12"/>
      <c r="L5010" s="12"/>
      <c r="M5010" s="11"/>
      <c r="N5010" s="11"/>
      <c r="O5010" s="11"/>
      <c r="P5010" s="11"/>
    </row>
    <row r="5011" spans="8:16" x14ac:dyDescent="0.25">
      <c r="H5011" s="12"/>
      <c r="I5011" s="12"/>
      <c r="J5011" s="12"/>
      <c r="K5011" s="12"/>
      <c r="L5011" s="12"/>
      <c r="M5011" s="11"/>
      <c r="N5011" s="11"/>
      <c r="O5011" s="11"/>
      <c r="P5011" s="11"/>
    </row>
    <row r="5012" spans="8:16" x14ac:dyDescent="0.25">
      <c r="H5012" s="12"/>
      <c r="I5012" s="12"/>
      <c r="J5012" s="12"/>
      <c r="K5012" s="12"/>
      <c r="L5012" s="12"/>
      <c r="M5012" s="11"/>
      <c r="N5012" s="11"/>
      <c r="O5012" s="11"/>
      <c r="P5012" s="11"/>
    </row>
    <row r="5013" spans="8:16" x14ac:dyDescent="0.25">
      <c r="H5013" s="12"/>
      <c r="I5013" s="12"/>
      <c r="J5013" s="12"/>
      <c r="K5013" s="12"/>
      <c r="L5013" s="12"/>
      <c r="M5013" s="11"/>
      <c r="N5013" s="11"/>
      <c r="O5013" s="11"/>
      <c r="P5013" s="11"/>
    </row>
    <row r="5014" spans="8:16" x14ac:dyDescent="0.25">
      <c r="H5014" s="12"/>
      <c r="I5014" s="12"/>
      <c r="J5014" s="12"/>
      <c r="K5014" s="12"/>
      <c r="L5014" s="12"/>
      <c r="M5014" s="11"/>
      <c r="N5014" s="11"/>
      <c r="O5014" s="11"/>
      <c r="P5014" s="11"/>
    </row>
    <row r="5015" spans="8:16" x14ac:dyDescent="0.25">
      <c r="H5015" s="12"/>
      <c r="I5015" s="12"/>
      <c r="J5015" s="12"/>
      <c r="K5015" s="12"/>
      <c r="L5015" s="12"/>
      <c r="M5015" s="11"/>
      <c r="N5015" s="11"/>
      <c r="O5015" s="11"/>
      <c r="P5015" s="11"/>
    </row>
    <row r="5016" spans="8:16" x14ac:dyDescent="0.25">
      <c r="H5016" s="12"/>
      <c r="I5016" s="12"/>
      <c r="J5016" s="12"/>
      <c r="K5016" s="12"/>
      <c r="L5016" s="12"/>
      <c r="M5016" s="11"/>
      <c r="N5016" s="11"/>
      <c r="O5016" s="11"/>
      <c r="P5016" s="11"/>
    </row>
    <row r="5017" spans="8:16" x14ac:dyDescent="0.25">
      <c r="H5017" s="12"/>
      <c r="I5017" s="12"/>
      <c r="J5017" s="12"/>
      <c r="K5017" s="12"/>
      <c r="L5017" s="12"/>
      <c r="M5017" s="11"/>
      <c r="N5017" s="11"/>
      <c r="O5017" s="11"/>
      <c r="P5017" s="11"/>
    </row>
    <row r="5018" spans="8:16" x14ac:dyDescent="0.25">
      <c r="H5018" s="12"/>
      <c r="I5018" s="12"/>
      <c r="J5018" s="12"/>
      <c r="K5018" s="12"/>
      <c r="L5018" s="12"/>
      <c r="M5018" s="11"/>
      <c r="N5018" s="11"/>
      <c r="O5018" s="11"/>
      <c r="P5018" s="11"/>
    </row>
    <row r="5019" spans="8:16" x14ac:dyDescent="0.25">
      <c r="H5019" s="12"/>
      <c r="I5019" s="12"/>
      <c r="J5019" s="12"/>
      <c r="K5019" s="12"/>
      <c r="L5019" s="12"/>
      <c r="M5019" s="11"/>
      <c r="N5019" s="11"/>
      <c r="O5019" s="11"/>
      <c r="P5019" s="11"/>
    </row>
    <row r="5020" spans="8:16" x14ac:dyDescent="0.25">
      <c r="H5020" s="12"/>
      <c r="I5020" s="12"/>
      <c r="J5020" s="12"/>
      <c r="K5020" s="12"/>
      <c r="L5020" s="12"/>
      <c r="M5020" s="11"/>
      <c r="N5020" s="11"/>
      <c r="O5020" s="11"/>
      <c r="P5020" s="11"/>
    </row>
    <row r="5021" spans="8:16" x14ac:dyDescent="0.25">
      <c r="H5021" s="12"/>
      <c r="I5021" s="12"/>
      <c r="J5021" s="12"/>
      <c r="K5021" s="12"/>
      <c r="L5021" s="12"/>
      <c r="M5021" s="11"/>
      <c r="N5021" s="11"/>
      <c r="O5021" s="11"/>
      <c r="P5021" s="11"/>
    </row>
    <row r="5022" spans="8:16" x14ac:dyDescent="0.25">
      <c r="H5022" s="12"/>
      <c r="I5022" s="12"/>
      <c r="J5022" s="12"/>
      <c r="K5022" s="12"/>
      <c r="L5022" s="12"/>
      <c r="M5022" s="11"/>
      <c r="N5022" s="11"/>
      <c r="O5022" s="11"/>
      <c r="P5022" s="11"/>
    </row>
    <row r="5023" spans="8:16" x14ac:dyDescent="0.25">
      <c r="H5023" s="12"/>
      <c r="I5023" s="12"/>
      <c r="J5023" s="12"/>
      <c r="K5023" s="12"/>
      <c r="L5023" s="12"/>
      <c r="M5023" s="11"/>
      <c r="N5023" s="11"/>
      <c r="O5023" s="11"/>
      <c r="P5023" s="11"/>
    </row>
    <row r="5024" spans="8:16" x14ac:dyDescent="0.25">
      <c r="H5024" s="12"/>
      <c r="I5024" s="12"/>
      <c r="J5024" s="12"/>
      <c r="K5024" s="12"/>
      <c r="L5024" s="12"/>
      <c r="M5024" s="11"/>
      <c r="N5024" s="11"/>
      <c r="O5024" s="11"/>
      <c r="P5024" s="11"/>
    </row>
    <row r="5025" spans="8:16" x14ac:dyDescent="0.25">
      <c r="H5025" s="12"/>
      <c r="I5025" s="12"/>
      <c r="J5025" s="12"/>
      <c r="K5025" s="12"/>
      <c r="L5025" s="12"/>
      <c r="M5025" s="11"/>
      <c r="N5025" s="11"/>
      <c r="O5025" s="11"/>
      <c r="P5025" s="11"/>
    </row>
    <row r="5026" spans="8:16" x14ac:dyDescent="0.25">
      <c r="H5026" s="12"/>
      <c r="I5026" s="12"/>
      <c r="J5026" s="12"/>
      <c r="K5026" s="12"/>
      <c r="L5026" s="12"/>
      <c r="M5026" s="11"/>
      <c r="N5026" s="11"/>
      <c r="O5026" s="11"/>
      <c r="P5026" s="11"/>
    </row>
    <row r="5027" spans="8:16" x14ac:dyDescent="0.25">
      <c r="H5027" s="12"/>
      <c r="I5027" s="12"/>
      <c r="J5027" s="12"/>
      <c r="K5027" s="12"/>
      <c r="L5027" s="12"/>
      <c r="M5027" s="11"/>
      <c r="N5027" s="11"/>
      <c r="O5027" s="11"/>
      <c r="P5027" s="11"/>
    </row>
    <row r="5028" spans="8:16" x14ac:dyDescent="0.25">
      <c r="H5028" s="12"/>
      <c r="I5028" s="12"/>
      <c r="J5028" s="12"/>
      <c r="K5028" s="12"/>
      <c r="L5028" s="12"/>
      <c r="M5028" s="11"/>
      <c r="N5028" s="11"/>
      <c r="O5028" s="11"/>
      <c r="P5028" s="11"/>
    </row>
    <row r="5029" spans="8:16" x14ac:dyDescent="0.25">
      <c r="H5029" s="12"/>
      <c r="I5029" s="12"/>
      <c r="J5029" s="12"/>
      <c r="K5029" s="12"/>
      <c r="L5029" s="12"/>
      <c r="M5029" s="11"/>
      <c r="N5029" s="11"/>
      <c r="O5029" s="11"/>
      <c r="P5029" s="11"/>
    </row>
    <row r="5030" spans="8:16" x14ac:dyDescent="0.25">
      <c r="H5030" s="12"/>
      <c r="I5030" s="12"/>
      <c r="J5030" s="12"/>
      <c r="K5030" s="12"/>
      <c r="L5030" s="12"/>
      <c r="M5030" s="11"/>
      <c r="N5030" s="11"/>
      <c r="O5030" s="11"/>
      <c r="P5030" s="11"/>
    </row>
    <row r="5031" spans="8:16" x14ac:dyDescent="0.25">
      <c r="H5031" s="12"/>
      <c r="I5031" s="12"/>
      <c r="J5031" s="12"/>
      <c r="K5031" s="12"/>
      <c r="L5031" s="12"/>
      <c r="M5031" s="11"/>
      <c r="N5031" s="11"/>
      <c r="O5031" s="11"/>
      <c r="P5031" s="11"/>
    </row>
    <row r="5032" spans="8:16" x14ac:dyDescent="0.25">
      <c r="H5032" s="12"/>
      <c r="I5032" s="12"/>
      <c r="J5032" s="12"/>
      <c r="K5032" s="12"/>
      <c r="L5032" s="12"/>
      <c r="M5032" s="11"/>
      <c r="N5032" s="11"/>
      <c r="O5032" s="11"/>
      <c r="P5032" s="11"/>
    </row>
    <row r="5033" spans="8:16" x14ac:dyDescent="0.25">
      <c r="H5033" s="12"/>
      <c r="I5033" s="12"/>
      <c r="J5033" s="12"/>
      <c r="K5033" s="12"/>
      <c r="L5033" s="12"/>
      <c r="M5033" s="11"/>
      <c r="N5033" s="11"/>
      <c r="O5033" s="11"/>
      <c r="P5033" s="11"/>
    </row>
    <row r="5034" spans="8:16" x14ac:dyDescent="0.25">
      <c r="H5034" s="12"/>
      <c r="I5034" s="12"/>
      <c r="J5034" s="12"/>
      <c r="K5034" s="12"/>
      <c r="L5034" s="12"/>
      <c r="M5034" s="11"/>
      <c r="N5034" s="11"/>
      <c r="O5034" s="11"/>
      <c r="P5034" s="11"/>
    </row>
    <row r="5035" spans="8:16" x14ac:dyDescent="0.25">
      <c r="H5035" s="12"/>
      <c r="I5035" s="12"/>
      <c r="J5035" s="12"/>
      <c r="K5035" s="12"/>
      <c r="L5035" s="12"/>
      <c r="M5035" s="11"/>
      <c r="N5035" s="11"/>
      <c r="O5035" s="11"/>
      <c r="P5035" s="11"/>
    </row>
    <row r="5036" spans="8:16" x14ac:dyDescent="0.25">
      <c r="H5036" s="12"/>
      <c r="I5036" s="12"/>
      <c r="J5036" s="12"/>
      <c r="K5036" s="12"/>
      <c r="L5036" s="12"/>
      <c r="M5036" s="11"/>
      <c r="N5036" s="11"/>
      <c r="O5036" s="11"/>
      <c r="P5036" s="11"/>
    </row>
    <row r="5037" spans="8:16" x14ac:dyDescent="0.25">
      <c r="H5037" s="12"/>
      <c r="I5037" s="12"/>
      <c r="J5037" s="12"/>
      <c r="K5037" s="12"/>
      <c r="L5037" s="12"/>
      <c r="M5037" s="11"/>
      <c r="N5037" s="11"/>
      <c r="O5037" s="11"/>
      <c r="P5037" s="11"/>
    </row>
    <row r="5038" spans="8:16" x14ac:dyDescent="0.25">
      <c r="H5038" s="12"/>
      <c r="I5038" s="12"/>
      <c r="J5038" s="12"/>
      <c r="K5038" s="12"/>
      <c r="L5038" s="12"/>
      <c r="M5038" s="11"/>
      <c r="N5038" s="11"/>
      <c r="O5038" s="11"/>
      <c r="P5038" s="11"/>
    </row>
    <row r="5039" spans="8:16" x14ac:dyDescent="0.25">
      <c r="H5039" s="12"/>
      <c r="I5039" s="12"/>
      <c r="J5039" s="12"/>
      <c r="K5039" s="12"/>
      <c r="L5039" s="12"/>
      <c r="M5039" s="11"/>
      <c r="N5039" s="11"/>
      <c r="O5039" s="11"/>
      <c r="P5039" s="11"/>
    </row>
    <row r="5040" spans="8:16" x14ac:dyDescent="0.25">
      <c r="H5040" s="12"/>
      <c r="I5040" s="12"/>
      <c r="J5040" s="12"/>
      <c r="K5040" s="12"/>
      <c r="L5040" s="12"/>
      <c r="M5040" s="11"/>
      <c r="N5040" s="11"/>
      <c r="O5040" s="11"/>
      <c r="P5040" s="11"/>
    </row>
    <row r="5041" spans="8:16" x14ac:dyDescent="0.25">
      <c r="H5041" s="12"/>
      <c r="I5041" s="12"/>
      <c r="J5041" s="12"/>
      <c r="K5041" s="12"/>
      <c r="L5041" s="12"/>
      <c r="M5041" s="11"/>
      <c r="N5041" s="11"/>
      <c r="O5041" s="11"/>
      <c r="P5041" s="11"/>
    </row>
    <row r="5042" spans="8:16" x14ac:dyDescent="0.25">
      <c r="H5042" s="12"/>
      <c r="I5042" s="12"/>
      <c r="J5042" s="12"/>
      <c r="K5042" s="12"/>
      <c r="L5042" s="12"/>
      <c r="M5042" s="11"/>
      <c r="N5042" s="11"/>
      <c r="O5042" s="11"/>
      <c r="P5042" s="11"/>
    </row>
    <row r="5043" spans="8:16" x14ac:dyDescent="0.25">
      <c r="H5043" s="12"/>
      <c r="I5043" s="12"/>
      <c r="J5043" s="12"/>
      <c r="K5043" s="12"/>
      <c r="L5043" s="12"/>
      <c r="M5043" s="11"/>
      <c r="N5043" s="11"/>
      <c r="O5043" s="11"/>
      <c r="P5043" s="11"/>
    </row>
    <row r="5044" spans="8:16" x14ac:dyDescent="0.25">
      <c r="H5044" s="12"/>
      <c r="I5044" s="12"/>
      <c r="J5044" s="12"/>
      <c r="K5044" s="12"/>
      <c r="L5044" s="12"/>
      <c r="M5044" s="11"/>
      <c r="N5044" s="11"/>
      <c r="O5044" s="11"/>
      <c r="P5044" s="11"/>
    </row>
    <row r="5045" spans="8:16" x14ac:dyDescent="0.25">
      <c r="H5045" s="12"/>
      <c r="I5045" s="12"/>
      <c r="J5045" s="12"/>
      <c r="K5045" s="12"/>
      <c r="L5045" s="12"/>
      <c r="M5045" s="11"/>
      <c r="N5045" s="11"/>
      <c r="O5045" s="11"/>
      <c r="P5045" s="11"/>
    </row>
    <row r="5046" spans="8:16" x14ac:dyDescent="0.25">
      <c r="H5046" s="12"/>
      <c r="I5046" s="12"/>
      <c r="J5046" s="12"/>
      <c r="K5046" s="12"/>
      <c r="L5046" s="12"/>
      <c r="M5046" s="11"/>
      <c r="N5046" s="11"/>
      <c r="O5046" s="11"/>
      <c r="P5046" s="11"/>
    </row>
    <row r="5047" spans="8:16" x14ac:dyDescent="0.25">
      <c r="H5047" s="12"/>
      <c r="I5047" s="12"/>
      <c r="J5047" s="12"/>
      <c r="K5047" s="12"/>
      <c r="L5047" s="12"/>
      <c r="M5047" s="11"/>
      <c r="N5047" s="11"/>
      <c r="O5047" s="11"/>
      <c r="P5047" s="11"/>
    </row>
    <row r="5048" spans="8:16" x14ac:dyDescent="0.25">
      <c r="H5048" s="12"/>
      <c r="I5048" s="12"/>
      <c r="J5048" s="12"/>
      <c r="K5048" s="12"/>
      <c r="L5048" s="12"/>
      <c r="M5048" s="11"/>
      <c r="N5048" s="11"/>
      <c r="O5048" s="11"/>
      <c r="P5048" s="11"/>
    </row>
    <row r="5049" spans="8:16" x14ac:dyDescent="0.25">
      <c r="H5049" s="12"/>
      <c r="I5049" s="12"/>
      <c r="J5049" s="12"/>
      <c r="K5049" s="12"/>
      <c r="L5049" s="12"/>
      <c r="M5049" s="11"/>
      <c r="N5049" s="11"/>
      <c r="O5049" s="11"/>
      <c r="P5049" s="11"/>
    </row>
    <row r="5050" spans="8:16" x14ac:dyDescent="0.25">
      <c r="H5050" s="12"/>
      <c r="I5050" s="12"/>
      <c r="J5050" s="12"/>
      <c r="K5050" s="12"/>
      <c r="L5050" s="12"/>
      <c r="M5050" s="11"/>
      <c r="N5050" s="11"/>
      <c r="O5050" s="11"/>
      <c r="P5050" s="11"/>
    </row>
    <row r="5051" spans="8:16" x14ac:dyDescent="0.25">
      <c r="H5051" s="12"/>
      <c r="I5051" s="12"/>
      <c r="J5051" s="12"/>
      <c r="K5051" s="12"/>
      <c r="L5051" s="12"/>
      <c r="M5051" s="11"/>
      <c r="N5051" s="11"/>
      <c r="O5051" s="11"/>
      <c r="P5051" s="11"/>
    </row>
    <row r="5052" spans="8:16" x14ac:dyDescent="0.25">
      <c r="H5052" s="12"/>
      <c r="I5052" s="12"/>
      <c r="J5052" s="12"/>
      <c r="K5052" s="12"/>
      <c r="L5052" s="12"/>
      <c r="M5052" s="11"/>
      <c r="N5052" s="11"/>
      <c r="O5052" s="11"/>
      <c r="P5052" s="11"/>
    </row>
    <row r="5053" spans="8:16" x14ac:dyDescent="0.25">
      <c r="H5053" s="12"/>
      <c r="I5053" s="12"/>
      <c r="J5053" s="12"/>
      <c r="K5053" s="12"/>
      <c r="L5053" s="12"/>
      <c r="M5053" s="11"/>
      <c r="N5053" s="11"/>
      <c r="O5053" s="11"/>
      <c r="P5053" s="11"/>
    </row>
    <row r="5054" spans="8:16" x14ac:dyDescent="0.25">
      <c r="H5054" s="12"/>
      <c r="I5054" s="12"/>
      <c r="J5054" s="12"/>
      <c r="K5054" s="12"/>
      <c r="L5054" s="12"/>
      <c r="M5054" s="11"/>
      <c r="N5054" s="11"/>
      <c r="O5054" s="11"/>
      <c r="P5054" s="11"/>
    </row>
    <row r="5055" spans="8:16" x14ac:dyDescent="0.25">
      <c r="H5055" s="12"/>
      <c r="I5055" s="12"/>
      <c r="J5055" s="12"/>
      <c r="K5055" s="12"/>
      <c r="L5055" s="12"/>
      <c r="M5055" s="11"/>
      <c r="N5055" s="11"/>
      <c r="O5055" s="11"/>
      <c r="P5055" s="11"/>
    </row>
    <row r="5056" spans="8:16" x14ac:dyDescent="0.25">
      <c r="H5056" s="12"/>
      <c r="I5056" s="12"/>
      <c r="J5056" s="12"/>
      <c r="K5056" s="12"/>
      <c r="L5056" s="12"/>
      <c r="M5056" s="11"/>
      <c r="N5056" s="11"/>
      <c r="O5056" s="11"/>
      <c r="P5056" s="11"/>
    </row>
    <row r="5057" spans="8:16" x14ac:dyDescent="0.25">
      <c r="H5057" s="12"/>
      <c r="I5057" s="12"/>
      <c r="J5057" s="12"/>
      <c r="K5057" s="12"/>
      <c r="L5057" s="12"/>
      <c r="M5057" s="11"/>
      <c r="N5057" s="11"/>
      <c r="O5057" s="11"/>
      <c r="P5057" s="11"/>
    </row>
    <row r="5058" spans="8:16" x14ac:dyDescent="0.25">
      <c r="H5058" s="12"/>
      <c r="I5058" s="12"/>
      <c r="J5058" s="12"/>
      <c r="K5058" s="12"/>
      <c r="L5058" s="12"/>
      <c r="M5058" s="11"/>
      <c r="N5058" s="11"/>
      <c r="O5058" s="11"/>
      <c r="P5058" s="11"/>
    </row>
    <row r="5059" spans="8:16" x14ac:dyDescent="0.25">
      <c r="H5059" s="12"/>
      <c r="I5059" s="12"/>
      <c r="J5059" s="12"/>
      <c r="K5059" s="12"/>
      <c r="L5059" s="12"/>
      <c r="M5059" s="11"/>
      <c r="N5059" s="11"/>
      <c r="O5059" s="11"/>
      <c r="P5059" s="11"/>
    </row>
    <row r="5060" spans="8:16" x14ac:dyDescent="0.25">
      <c r="H5060" s="12"/>
      <c r="I5060" s="12"/>
      <c r="J5060" s="12"/>
      <c r="K5060" s="12"/>
      <c r="L5060" s="12"/>
      <c r="M5060" s="11"/>
      <c r="N5060" s="11"/>
      <c r="O5060" s="11"/>
      <c r="P5060" s="11"/>
    </row>
    <row r="5061" spans="8:16" x14ac:dyDescent="0.25">
      <c r="H5061" s="12"/>
      <c r="I5061" s="12"/>
      <c r="J5061" s="12"/>
      <c r="K5061" s="12"/>
      <c r="L5061" s="12"/>
      <c r="M5061" s="11"/>
      <c r="N5061" s="11"/>
      <c r="O5061" s="11"/>
      <c r="P5061" s="11"/>
    </row>
    <row r="5062" spans="8:16" x14ac:dyDescent="0.25">
      <c r="H5062" s="12"/>
      <c r="I5062" s="12"/>
      <c r="J5062" s="12"/>
      <c r="K5062" s="12"/>
      <c r="L5062" s="12"/>
      <c r="M5062" s="11"/>
      <c r="N5062" s="11"/>
      <c r="O5062" s="11"/>
      <c r="P5062" s="11"/>
    </row>
    <row r="5063" spans="8:16" x14ac:dyDescent="0.25">
      <c r="H5063" s="12"/>
      <c r="I5063" s="12"/>
      <c r="J5063" s="12"/>
      <c r="K5063" s="12"/>
      <c r="L5063" s="12"/>
      <c r="M5063" s="11"/>
      <c r="N5063" s="11"/>
      <c r="O5063" s="11"/>
      <c r="P5063" s="11"/>
    </row>
    <row r="5064" spans="8:16" x14ac:dyDescent="0.25">
      <c r="H5064" s="12"/>
      <c r="I5064" s="12"/>
      <c r="J5064" s="12"/>
      <c r="K5064" s="12"/>
      <c r="L5064" s="12"/>
      <c r="M5064" s="11"/>
      <c r="N5064" s="11"/>
      <c r="O5064" s="11"/>
      <c r="P5064" s="11"/>
    </row>
    <row r="5065" spans="8:16" x14ac:dyDescent="0.25">
      <c r="H5065" s="12"/>
      <c r="I5065" s="12"/>
      <c r="J5065" s="12"/>
      <c r="K5065" s="12"/>
      <c r="L5065" s="12"/>
      <c r="M5065" s="11"/>
      <c r="N5065" s="11"/>
      <c r="O5065" s="11"/>
      <c r="P5065" s="11"/>
    </row>
    <row r="5066" spans="8:16" x14ac:dyDescent="0.25">
      <c r="H5066" s="12"/>
      <c r="I5066" s="12"/>
      <c r="J5066" s="12"/>
      <c r="K5066" s="12"/>
      <c r="L5066" s="12"/>
      <c r="M5066" s="11"/>
      <c r="N5066" s="11"/>
      <c r="O5066" s="11"/>
      <c r="P5066" s="11"/>
    </row>
    <row r="5067" spans="8:16" x14ac:dyDescent="0.25">
      <c r="H5067" s="12"/>
      <c r="I5067" s="12"/>
      <c r="J5067" s="12"/>
      <c r="K5067" s="12"/>
      <c r="L5067" s="12"/>
      <c r="M5067" s="11"/>
      <c r="N5067" s="11"/>
      <c r="O5067" s="11"/>
      <c r="P5067" s="11"/>
    </row>
    <row r="5068" spans="8:16" x14ac:dyDescent="0.25">
      <c r="H5068" s="12"/>
      <c r="I5068" s="12"/>
      <c r="J5068" s="12"/>
      <c r="K5068" s="12"/>
      <c r="L5068" s="12"/>
      <c r="M5068" s="11"/>
      <c r="N5068" s="11"/>
      <c r="O5068" s="11"/>
      <c r="P5068" s="11"/>
    </row>
    <row r="5069" spans="8:16" x14ac:dyDescent="0.25">
      <c r="H5069" s="12"/>
      <c r="I5069" s="12"/>
      <c r="J5069" s="12"/>
      <c r="K5069" s="12"/>
      <c r="L5069" s="12"/>
      <c r="M5069" s="11"/>
      <c r="N5069" s="11"/>
      <c r="O5069" s="11"/>
      <c r="P5069" s="11"/>
    </row>
    <row r="5070" spans="8:16" x14ac:dyDescent="0.25">
      <c r="H5070" s="12"/>
      <c r="I5070" s="12"/>
      <c r="J5070" s="12"/>
      <c r="K5070" s="12"/>
      <c r="L5070" s="12"/>
      <c r="M5070" s="11"/>
      <c r="N5070" s="11"/>
      <c r="O5070" s="11"/>
      <c r="P5070" s="11"/>
    </row>
    <row r="5071" spans="8:16" x14ac:dyDescent="0.25">
      <c r="H5071" s="12"/>
      <c r="I5071" s="12"/>
      <c r="J5071" s="12"/>
      <c r="K5071" s="12"/>
      <c r="L5071" s="12"/>
      <c r="M5071" s="11"/>
      <c r="N5071" s="11"/>
      <c r="O5071" s="11"/>
      <c r="P5071" s="11"/>
    </row>
    <row r="5072" spans="8:16" x14ac:dyDescent="0.25">
      <c r="H5072" s="12"/>
      <c r="I5072" s="12"/>
      <c r="J5072" s="12"/>
      <c r="K5072" s="12"/>
      <c r="L5072" s="12"/>
      <c r="M5072" s="11"/>
      <c r="N5072" s="11"/>
      <c r="O5072" s="11"/>
      <c r="P5072" s="11"/>
    </row>
    <row r="5073" spans="8:16" x14ac:dyDescent="0.25">
      <c r="H5073" s="12"/>
      <c r="I5073" s="12"/>
      <c r="J5073" s="12"/>
      <c r="K5073" s="12"/>
      <c r="L5073" s="12"/>
      <c r="M5073" s="11"/>
      <c r="N5073" s="11"/>
      <c r="O5073" s="11"/>
      <c r="P5073" s="11"/>
    </row>
    <row r="5074" spans="8:16" x14ac:dyDescent="0.25">
      <c r="H5074" s="12"/>
      <c r="I5074" s="12"/>
      <c r="J5074" s="12"/>
      <c r="K5074" s="12"/>
      <c r="L5074" s="12"/>
      <c r="M5074" s="11"/>
      <c r="N5074" s="11"/>
      <c r="O5074" s="11"/>
      <c r="P5074" s="11"/>
    </row>
    <row r="5075" spans="8:16" x14ac:dyDescent="0.25">
      <c r="H5075" s="12"/>
      <c r="I5075" s="12"/>
      <c r="J5075" s="12"/>
      <c r="K5075" s="12"/>
      <c r="L5075" s="12"/>
      <c r="M5075" s="11"/>
      <c r="N5075" s="11"/>
      <c r="O5075" s="11"/>
      <c r="P5075" s="11"/>
    </row>
    <row r="5076" spans="8:16" x14ac:dyDescent="0.25">
      <c r="H5076" s="12"/>
      <c r="I5076" s="12"/>
      <c r="J5076" s="12"/>
      <c r="K5076" s="12"/>
      <c r="L5076" s="12"/>
      <c r="M5076" s="11"/>
      <c r="N5076" s="11"/>
      <c r="O5076" s="11"/>
      <c r="P5076" s="11"/>
    </row>
    <row r="5077" spans="8:16" x14ac:dyDescent="0.25">
      <c r="H5077" s="12"/>
      <c r="I5077" s="12"/>
      <c r="J5077" s="12"/>
      <c r="K5077" s="12"/>
      <c r="L5077" s="12"/>
      <c r="M5077" s="11"/>
      <c r="N5077" s="11"/>
      <c r="O5077" s="11"/>
      <c r="P5077" s="11"/>
    </row>
    <row r="5078" spans="8:16" x14ac:dyDescent="0.25">
      <c r="H5078" s="12"/>
      <c r="I5078" s="12"/>
      <c r="J5078" s="12"/>
      <c r="K5078" s="12"/>
      <c r="L5078" s="12"/>
      <c r="M5078" s="11"/>
      <c r="N5078" s="11"/>
      <c r="O5078" s="11"/>
      <c r="P5078" s="11"/>
    </row>
    <row r="5079" spans="8:16" x14ac:dyDescent="0.25">
      <c r="H5079" s="12"/>
      <c r="I5079" s="12"/>
      <c r="J5079" s="12"/>
      <c r="K5079" s="12"/>
      <c r="L5079" s="12"/>
      <c r="M5079" s="11"/>
      <c r="N5079" s="11"/>
      <c r="O5079" s="11"/>
      <c r="P5079" s="11"/>
    </row>
    <row r="5080" spans="8:16" x14ac:dyDescent="0.25">
      <c r="H5080" s="12"/>
      <c r="I5080" s="12"/>
      <c r="J5080" s="12"/>
      <c r="K5080" s="12"/>
      <c r="L5080" s="12"/>
      <c r="M5080" s="11"/>
      <c r="N5080" s="11"/>
      <c r="O5080" s="11"/>
      <c r="P5080" s="11"/>
    </row>
    <row r="5081" spans="8:16" x14ac:dyDescent="0.25">
      <c r="H5081" s="12"/>
      <c r="I5081" s="12"/>
      <c r="J5081" s="12"/>
      <c r="K5081" s="12"/>
      <c r="L5081" s="12"/>
      <c r="M5081" s="11"/>
      <c r="N5081" s="11"/>
      <c r="O5081" s="11"/>
      <c r="P5081" s="11"/>
    </row>
    <row r="5082" spans="8:16" x14ac:dyDescent="0.25">
      <c r="H5082" s="12"/>
      <c r="I5082" s="12"/>
      <c r="J5082" s="12"/>
      <c r="K5082" s="12"/>
      <c r="L5082" s="12"/>
      <c r="M5082" s="11"/>
      <c r="N5082" s="11"/>
      <c r="O5082" s="11"/>
      <c r="P5082" s="11"/>
    </row>
    <row r="5083" spans="8:16" x14ac:dyDescent="0.25">
      <c r="H5083" s="12"/>
      <c r="I5083" s="12"/>
      <c r="J5083" s="12"/>
      <c r="K5083" s="12"/>
      <c r="L5083" s="12"/>
      <c r="M5083" s="11"/>
      <c r="N5083" s="11"/>
      <c r="O5083" s="11"/>
      <c r="P5083" s="11"/>
    </row>
    <row r="5084" spans="8:16" x14ac:dyDescent="0.25">
      <c r="H5084" s="12"/>
      <c r="I5084" s="12"/>
      <c r="J5084" s="12"/>
      <c r="K5084" s="12"/>
      <c r="L5084" s="12"/>
      <c r="M5084" s="11"/>
      <c r="N5084" s="11"/>
      <c r="O5084" s="11"/>
      <c r="P5084" s="11"/>
    </row>
    <row r="5085" spans="8:16" x14ac:dyDescent="0.25">
      <c r="H5085" s="12"/>
      <c r="I5085" s="12"/>
      <c r="J5085" s="12"/>
      <c r="K5085" s="12"/>
      <c r="L5085" s="12"/>
      <c r="M5085" s="11"/>
      <c r="N5085" s="11"/>
      <c r="O5085" s="11"/>
      <c r="P5085" s="11"/>
    </row>
    <row r="5086" spans="8:16" x14ac:dyDescent="0.25">
      <c r="H5086" s="12"/>
      <c r="I5086" s="12"/>
      <c r="J5086" s="12"/>
      <c r="K5086" s="12"/>
      <c r="L5086" s="12"/>
      <c r="M5086" s="11"/>
      <c r="N5086" s="11"/>
      <c r="O5086" s="11"/>
      <c r="P5086" s="11"/>
    </row>
    <row r="5087" spans="8:16" x14ac:dyDescent="0.25">
      <c r="H5087" s="12"/>
      <c r="I5087" s="12"/>
      <c r="J5087" s="12"/>
      <c r="K5087" s="12"/>
      <c r="L5087" s="12"/>
      <c r="M5087" s="11"/>
      <c r="N5087" s="11"/>
      <c r="O5087" s="11"/>
      <c r="P5087" s="11"/>
    </row>
    <row r="5088" spans="8:16" x14ac:dyDescent="0.25">
      <c r="H5088" s="12"/>
      <c r="I5088" s="12"/>
      <c r="J5088" s="12"/>
      <c r="K5088" s="12"/>
      <c r="L5088" s="12"/>
      <c r="M5088" s="11"/>
      <c r="N5088" s="11"/>
      <c r="O5088" s="11"/>
      <c r="P5088" s="11"/>
    </row>
    <row r="5089" spans="8:16" x14ac:dyDescent="0.25">
      <c r="H5089" s="12"/>
      <c r="I5089" s="12"/>
      <c r="J5089" s="12"/>
      <c r="K5089" s="12"/>
      <c r="L5089" s="12"/>
      <c r="M5089" s="11"/>
      <c r="N5089" s="11"/>
      <c r="O5089" s="11"/>
      <c r="P5089" s="11"/>
    </row>
    <row r="5090" spans="8:16" x14ac:dyDescent="0.25">
      <c r="H5090" s="12"/>
      <c r="I5090" s="12"/>
      <c r="J5090" s="12"/>
      <c r="K5090" s="12"/>
      <c r="L5090" s="12"/>
      <c r="M5090" s="11"/>
      <c r="N5090" s="11"/>
      <c r="O5090" s="11"/>
      <c r="P5090" s="11"/>
    </row>
    <row r="5091" spans="8:16" x14ac:dyDescent="0.25">
      <c r="H5091" s="12"/>
      <c r="I5091" s="12"/>
      <c r="J5091" s="12"/>
      <c r="K5091" s="12"/>
      <c r="L5091" s="12"/>
      <c r="M5091" s="11"/>
      <c r="N5091" s="11"/>
      <c r="O5091" s="11"/>
      <c r="P5091" s="11"/>
    </row>
    <row r="5092" spans="8:16" x14ac:dyDescent="0.25">
      <c r="H5092" s="12"/>
      <c r="I5092" s="12"/>
      <c r="J5092" s="12"/>
      <c r="K5092" s="12"/>
      <c r="L5092" s="12"/>
      <c r="M5092" s="11"/>
      <c r="N5092" s="11"/>
      <c r="O5092" s="11"/>
      <c r="P5092" s="11"/>
    </row>
    <row r="5093" spans="8:16" x14ac:dyDescent="0.25">
      <c r="H5093" s="12"/>
      <c r="I5093" s="12"/>
      <c r="J5093" s="12"/>
      <c r="K5093" s="12"/>
      <c r="L5093" s="12"/>
      <c r="M5093" s="11"/>
      <c r="N5093" s="11"/>
      <c r="O5093" s="11"/>
      <c r="P5093" s="11"/>
    </row>
    <row r="5094" spans="8:16" x14ac:dyDescent="0.25">
      <c r="H5094" s="12"/>
      <c r="I5094" s="12"/>
      <c r="J5094" s="12"/>
      <c r="K5094" s="12"/>
      <c r="L5094" s="12"/>
      <c r="M5094" s="11"/>
      <c r="N5094" s="11"/>
      <c r="O5094" s="11"/>
      <c r="P5094" s="11"/>
    </row>
    <row r="5095" spans="8:16" x14ac:dyDescent="0.25">
      <c r="H5095" s="12"/>
      <c r="I5095" s="12"/>
      <c r="J5095" s="12"/>
      <c r="K5095" s="12"/>
      <c r="L5095" s="12"/>
      <c r="M5095" s="11"/>
      <c r="N5095" s="11"/>
      <c r="O5095" s="11"/>
      <c r="P5095" s="11"/>
    </row>
    <row r="5096" spans="8:16" x14ac:dyDescent="0.25">
      <c r="H5096" s="12"/>
      <c r="I5096" s="12"/>
      <c r="J5096" s="12"/>
      <c r="K5096" s="12"/>
      <c r="L5096" s="12"/>
      <c r="M5096" s="11"/>
      <c r="N5096" s="11"/>
      <c r="O5096" s="11"/>
      <c r="P5096" s="11"/>
    </row>
    <row r="5097" spans="8:16" x14ac:dyDescent="0.25">
      <c r="H5097" s="12"/>
      <c r="I5097" s="12"/>
      <c r="J5097" s="12"/>
      <c r="K5097" s="12"/>
      <c r="L5097" s="12"/>
      <c r="M5097" s="11"/>
      <c r="N5097" s="11"/>
      <c r="O5097" s="11"/>
      <c r="P5097" s="11"/>
    </row>
    <row r="5098" spans="8:16" x14ac:dyDescent="0.25">
      <c r="H5098" s="12"/>
      <c r="I5098" s="12"/>
      <c r="J5098" s="12"/>
      <c r="K5098" s="12"/>
      <c r="L5098" s="12"/>
      <c r="M5098" s="11"/>
      <c r="N5098" s="11"/>
      <c r="O5098" s="11"/>
      <c r="P5098" s="11"/>
    </row>
    <row r="5099" spans="8:16" x14ac:dyDescent="0.25">
      <c r="H5099" s="12"/>
      <c r="I5099" s="12"/>
      <c r="J5099" s="12"/>
      <c r="K5099" s="12"/>
      <c r="L5099" s="12"/>
      <c r="M5099" s="11"/>
      <c r="N5099" s="11"/>
      <c r="O5099" s="11"/>
      <c r="P5099" s="11"/>
    </row>
    <row r="5100" spans="8:16" x14ac:dyDescent="0.25">
      <c r="H5100" s="12"/>
      <c r="I5100" s="12"/>
      <c r="J5100" s="12"/>
      <c r="K5100" s="12"/>
      <c r="L5100" s="12"/>
      <c r="M5100" s="11"/>
      <c r="N5100" s="11"/>
      <c r="O5100" s="11"/>
      <c r="P5100" s="11"/>
    </row>
    <row r="5101" spans="8:16" x14ac:dyDescent="0.25">
      <c r="H5101" s="12"/>
      <c r="I5101" s="12"/>
      <c r="J5101" s="12"/>
      <c r="K5101" s="12"/>
      <c r="L5101" s="12"/>
      <c r="M5101" s="11"/>
      <c r="N5101" s="11"/>
      <c r="O5101" s="11"/>
      <c r="P5101" s="11"/>
    </row>
    <row r="5102" spans="8:16" x14ac:dyDescent="0.25">
      <c r="H5102" s="12"/>
      <c r="I5102" s="12"/>
      <c r="J5102" s="12"/>
      <c r="K5102" s="12"/>
      <c r="L5102" s="12"/>
      <c r="M5102" s="11"/>
      <c r="N5102" s="11"/>
      <c r="O5102" s="11"/>
      <c r="P5102" s="11"/>
    </row>
    <row r="5103" spans="8:16" x14ac:dyDescent="0.25">
      <c r="H5103" s="12"/>
      <c r="I5103" s="12"/>
      <c r="J5103" s="12"/>
      <c r="K5103" s="12"/>
      <c r="L5103" s="12"/>
      <c r="M5103" s="11"/>
      <c r="N5103" s="11"/>
      <c r="O5103" s="11"/>
      <c r="P5103" s="11"/>
    </row>
    <row r="5104" spans="8:16" x14ac:dyDescent="0.25">
      <c r="H5104" s="12"/>
      <c r="I5104" s="12"/>
      <c r="J5104" s="12"/>
      <c r="K5104" s="12"/>
      <c r="L5104" s="12"/>
      <c r="M5104" s="11"/>
      <c r="N5104" s="11"/>
      <c r="O5104" s="11"/>
      <c r="P5104" s="11"/>
    </row>
    <row r="5105" spans="8:16" x14ac:dyDescent="0.25">
      <c r="H5105" s="12"/>
      <c r="I5105" s="12"/>
      <c r="J5105" s="12"/>
      <c r="K5105" s="12"/>
      <c r="L5105" s="12"/>
      <c r="M5105" s="11"/>
      <c r="N5105" s="11"/>
      <c r="O5105" s="11"/>
      <c r="P5105" s="11"/>
    </row>
    <row r="5106" spans="8:16" x14ac:dyDescent="0.25">
      <c r="H5106" s="12"/>
      <c r="I5106" s="12"/>
      <c r="J5106" s="12"/>
      <c r="K5106" s="12"/>
      <c r="L5106" s="12"/>
      <c r="M5106" s="11"/>
      <c r="N5106" s="11"/>
      <c r="O5106" s="11"/>
      <c r="P5106" s="11"/>
    </row>
    <row r="5107" spans="8:16" x14ac:dyDescent="0.25">
      <c r="H5107" s="12"/>
      <c r="I5107" s="12"/>
      <c r="J5107" s="12"/>
      <c r="K5107" s="12"/>
      <c r="L5107" s="12"/>
      <c r="M5107" s="11"/>
      <c r="N5107" s="11"/>
      <c r="O5107" s="11"/>
      <c r="P5107" s="11"/>
    </row>
    <row r="5108" spans="8:16" x14ac:dyDescent="0.25">
      <c r="H5108" s="12"/>
      <c r="I5108" s="12"/>
      <c r="J5108" s="12"/>
      <c r="K5108" s="12"/>
      <c r="L5108" s="12"/>
      <c r="M5108" s="11"/>
      <c r="N5108" s="11"/>
      <c r="O5108" s="11"/>
      <c r="P5108" s="11"/>
    </row>
    <row r="5109" spans="8:16" x14ac:dyDescent="0.25">
      <c r="H5109" s="12"/>
      <c r="I5109" s="12"/>
      <c r="J5109" s="12"/>
      <c r="K5109" s="12"/>
      <c r="L5109" s="12"/>
      <c r="M5109" s="11"/>
      <c r="N5109" s="11"/>
      <c r="O5109" s="11"/>
      <c r="P5109" s="11"/>
    </row>
    <row r="5110" spans="8:16" x14ac:dyDescent="0.25">
      <c r="H5110" s="12"/>
      <c r="I5110" s="12"/>
      <c r="J5110" s="12"/>
      <c r="K5110" s="12"/>
      <c r="L5110" s="12"/>
      <c r="M5110" s="11"/>
      <c r="N5110" s="11"/>
      <c r="O5110" s="11"/>
      <c r="P5110" s="11"/>
    </row>
    <row r="5111" spans="8:16" x14ac:dyDescent="0.25">
      <c r="H5111" s="12"/>
      <c r="I5111" s="12"/>
      <c r="J5111" s="12"/>
      <c r="K5111" s="12"/>
      <c r="L5111" s="12"/>
      <c r="M5111" s="11"/>
      <c r="N5111" s="11"/>
      <c r="O5111" s="11"/>
      <c r="P5111" s="11"/>
    </row>
    <row r="5112" spans="8:16" x14ac:dyDescent="0.25">
      <c r="H5112" s="12"/>
      <c r="I5112" s="12"/>
      <c r="J5112" s="12"/>
      <c r="K5112" s="12"/>
      <c r="L5112" s="12"/>
      <c r="M5112" s="11"/>
      <c r="N5112" s="11"/>
      <c r="O5112" s="11"/>
      <c r="P5112" s="11"/>
    </row>
    <row r="5113" spans="8:16" x14ac:dyDescent="0.25">
      <c r="H5113" s="12"/>
      <c r="I5113" s="12"/>
      <c r="J5113" s="12"/>
      <c r="K5113" s="12"/>
      <c r="L5113" s="12"/>
      <c r="M5113" s="11"/>
      <c r="N5113" s="11"/>
      <c r="O5113" s="11"/>
      <c r="P5113" s="11"/>
    </row>
    <row r="5114" spans="8:16" x14ac:dyDescent="0.25">
      <c r="H5114" s="12"/>
      <c r="I5114" s="12"/>
      <c r="J5114" s="12"/>
      <c r="K5114" s="12"/>
      <c r="L5114" s="12"/>
      <c r="M5114" s="11"/>
      <c r="N5114" s="11"/>
      <c r="O5114" s="11"/>
      <c r="P5114" s="11"/>
    </row>
    <row r="5115" spans="8:16" x14ac:dyDescent="0.25">
      <c r="H5115" s="12"/>
      <c r="I5115" s="12"/>
      <c r="J5115" s="12"/>
      <c r="K5115" s="12"/>
      <c r="L5115" s="12"/>
      <c r="M5115" s="11"/>
      <c r="N5115" s="11"/>
      <c r="O5115" s="11"/>
      <c r="P5115" s="11"/>
    </row>
    <row r="5116" spans="8:16" x14ac:dyDescent="0.25">
      <c r="H5116" s="12"/>
      <c r="I5116" s="12"/>
      <c r="J5116" s="12"/>
      <c r="K5116" s="12"/>
      <c r="L5116" s="12"/>
      <c r="M5116" s="11"/>
      <c r="N5116" s="11"/>
      <c r="O5116" s="11"/>
      <c r="P5116" s="11"/>
    </row>
    <row r="5117" spans="8:16" x14ac:dyDescent="0.25">
      <c r="H5117" s="12"/>
      <c r="I5117" s="12"/>
      <c r="J5117" s="12"/>
      <c r="K5117" s="12"/>
      <c r="L5117" s="12"/>
      <c r="M5117" s="11"/>
      <c r="N5117" s="11"/>
      <c r="O5117" s="11"/>
      <c r="P5117" s="11"/>
    </row>
    <row r="5118" spans="8:16" x14ac:dyDescent="0.25">
      <c r="H5118" s="12"/>
      <c r="I5118" s="12"/>
      <c r="J5118" s="12"/>
      <c r="K5118" s="12"/>
      <c r="L5118" s="12"/>
      <c r="M5118" s="11"/>
      <c r="N5118" s="11"/>
      <c r="O5118" s="11"/>
      <c r="P5118" s="11"/>
    </row>
    <row r="5119" spans="8:16" x14ac:dyDescent="0.25">
      <c r="H5119" s="12"/>
      <c r="I5119" s="12"/>
      <c r="J5119" s="12"/>
      <c r="K5119" s="12"/>
      <c r="L5119" s="12"/>
      <c r="M5119" s="11"/>
      <c r="N5119" s="11"/>
      <c r="O5119" s="11"/>
      <c r="P5119" s="11"/>
    </row>
    <row r="5120" spans="8:16" x14ac:dyDescent="0.25">
      <c r="H5120" s="12"/>
      <c r="I5120" s="12"/>
      <c r="J5120" s="12"/>
      <c r="K5120" s="12"/>
      <c r="L5120" s="12"/>
      <c r="M5120" s="11"/>
      <c r="N5120" s="11"/>
      <c r="O5120" s="11"/>
      <c r="P5120" s="11"/>
    </row>
    <row r="5121" spans="8:16" x14ac:dyDescent="0.25">
      <c r="H5121" s="12"/>
      <c r="I5121" s="12"/>
      <c r="J5121" s="12"/>
      <c r="K5121" s="12"/>
      <c r="L5121" s="12"/>
      <c r="M5121" s="11"/>
      <c r="N5121" s="11"/>
      <c r="O5121" s="11"/>
      <c r="P5121" s="11"/>
    </row>
    <row r="5122" spans="8:16" x14ac:dyDescent="0.25">
      <c r="H5122" s="12"/>
      <c r="I5122" s="12"/>
      <c r="J5122" s="12"/>
      <c r="K5122" s="12"/>
      <c r="L5122" s="12"/>
      <c r="M5122" s="11"/>
      <c r="N5122" s="11"/>
      <c r="O5122" s="11"/>
      <c r="P5122" s="11"/>
    </row>
    <row r="5123" spans="8:16" x14ac:dyDescent="0.25">
      <c r="H5123" s="12"/>
      <c r="I5123" s="12"/>
      <c r="J5123" s="12"/>
      <c r="K5123" s="12"/>
      <c r="L5123" s="12"/>
      <c r="M5123" s="11"/>
      <c r="N5123" s="11"/>
      <c r="O5123" s="11"/>
      <c r="P5123" s="11"/>
    </row>
    <row r="5124" spans="8:16" x14ac:dyDescent="0.25">
      <c r="H5124" s="12"/>
      <c r="I5124" s="12"/>
      <c r="J5124" s="12"/>
      <c r="K5124" s="12"/>
      <c r="L5124" s="12"/>
      <c r="M5124" s="11"/>
      <c r="N5124" s="11"/>
      <c r="O5124" s="11"/>
      <c r="P5124" s="11"/>
    </row>
    <row r="5125" spans="8:16" x14ac:dyDescent="0.25">
      <c r="H5125" s="12"/>
      <c r="I5125" s="12"/>
      <c r="J5125" s="12"/>
      <c r="K5125" s="12"/>
      <c r="L5125" s="12"/>
      <c r="M5125" s="11"/>
      <c r="N5125" s="11"/>
      <c r="O5125" s="11"/>
      <c r="P5125" s="11"/>
    </row>
    <row r="5126" spans="8:16" x14ac:dyDescent="0.25">
      <c r="H5126" s="12"/>
      <c r="I5126" s="12"/>
      <c r="J5126" s="12"/>
      <c r="K5126" s="12"/>
      <c r="L5126" s="12"/>
      <c r="M5126" s="11"/>
      <c r="N5126" s="11"/>
      <c r="O5126" s="11"/>
      <c r="P5126" s="11"/>
    </row>
    <row r="5127" spans="8:16" x14ac:dyDescent="0.25">
      <c r="H5127" s="12"/>
      <c r="I5127" s="12"/>
      <c r="J5127" s="12"/>
      <c r="K5127" s="12"/>
      <c r="L5127" s="12"/>
      <c r="M5127" s="11"/>
      <c r="N5127" s="11"/>
      <c r="O5127" s="11"/>
      <c r="P5127" s="11"/>
    </row>
    <row r="5128" spans="8:16" x14ac:dyDescent="0.25">
      <c r="H5128" s="12"/>
      <c r="I5128" s="12"/>
      <c r="J5128" s="12"/>
      <c r="K5128" s="12"/>
      <c r="L5128" s="12"/>
      <c r="M5128" s="11"/>
      <c r="N5128" s="11"/>
      <c r="O5128" s="11"/>
      <c r="P5128" s="11"/>
    </row>
    <row r="5129" spans="8:16" x14ac:dyDescent="0.25">
      <c r="H5129" s="12"/>
      <c r="I5129" s="12"/>
      <c r="J5129" s="12"/>
      <c r="K5129" s="12"/>
      <c r="L5129" s="12"/>
      <c r="M5129" s="11"/>
      <c r="N5129" s="11"/>
      <c r="O5129" s="11"/>
      <c r="P5129" s="11"/>
    </row>
    <row r="5130" spans="8:16" x14ac:dyDescent="0.25">
      <c r="H5130" s="12"/>
      <c r="I5130" s="12"/>
      <c r="J5130" s="12"/>
      <c r="K5130" s="12"/>
      <c r="L5130" s="12"/>
      <c r="M5130" s="11"/>
      <c r="N5130" s="11"/>
      <c r="O5130" s="11"/>
      <c r="P5130" s="11"/>
    </row>
    <row r="5131" spans="8:16" x14ac:dyDescent="0.25">
      <c r="H5131" s="12"/>
      <c r="I5131" s="12"/>
      <c r="J5131" s="12"/>
      <c r="K5131" s="12"/>
      <c r="L5131" s="12"/>
      <c r="M5131" s="11"/>
      <c r="N5131" s="11"/>
      <c r="O5131" s="11"/>
      <c r="P5131" s="11"/>
    </row>
    <row r="5132" spans="8:16" x14ac:dyDescent="0.25">
      <c r="H5132" s="12"/>
      <c r="I5132" s="12"/>
      <c r="J5132" s="12"/>
      <c r="K5132" s="12"/>
      <c r="L5132" s="12"/>
      <c r="M5132" s="11"/>
      <c r="N5132" s="11"/>
      <c r="O5132" s="11"/>
      <c r="P5132" s="11"/>
    </row>
    <row r="5133" spans="8:16" x14ac:dyDescent="0.25">
      <c r="H5133" s="12"/>
      <c r="I5133" s="12"/>
      <c r="J5133" s="12"/>
      <c r="K5133" s="12"/>
      <c r="L5133" s="12"/>
      <c r="M5133" s="11"/>
      <c r="N5133" s="11"/>
      <c r="O5133" s="11"/>
      <c r="P5133" s="11"/>
    </row>
    <row r="5134" spans="8:16" x14ac:dyDescent="0.25">
      <c r="H5134" s="12"/>
      <c r="I5134" s="12"/>
      <c r="J5134" s="12"/>
      <c r="K5134" s="12"/>
      <c r="L5134" s="12"/>
      <c r="M5134" s="11"/>
      <c r="N5134" s="11"/>
      <c r="O5134" s="11"/>
      <c r="P5134" s="11"/>
    </row>
    <row r="5135" spans="8:16" x14ac:dyDescent="0.25">
      <c r="H5135" s="12"/>
      <c r="I5135" s="12"/>
      <c r="J5135" s="12"/>
      <c r="K5135" s="12"/>
      <c r="L5135" s="12"/>
      <c r="M5135" s="11"/>
      <c r="N5135" s="11"/>
      <c r="O5135" s="11"/>
      <c r="P5135" s="11"/>
    </row>
    <row r="5136" spans="8:16" x14ac:dyDescent="0.25">
      <c r="H5136" s="12"/>
      <c r="I5136" s="12"/>
      <c r="J5136" s="12"/>
      <c r="K5136" s="12"/>
      <c r="L5136" s="12"/>
      <c r="M5136" s="11"/>
      <c r="N5136" s="11"/>
      <c r="O5136" s="11"/>
      <c r="P5136" s="11"/>
    </row>
    <row r="5137" spans="8:16" x14ac:dyDescent="0.25">
      <c r="H5137" s="12"/>
      <c r="I5137" s="12"/>
      <c r="J5137" s="12"/>
      <c r="K5137" s="12"/>
      <c r="L5137" s="12"/>
      <c r="M5137" s="11"/>
      <c r="N5137" s="11"/>
      <c r="O5137" s="11"/>
      <c r="P5137" s="11"/>
    </row>
    <row r="5138" spans="8:16" x14ac:dyDescent="0.25">
      <c r="H5138" s="12"/>
      <c r="I5138" s="12"/>
      <c r="J5138" s="12"/>
      <c r="K5138" s="12"/>
      <c r="L5138" s="12"/>
      <c r="M5138" s="11"/>
      <c r="N5138" s="11"/>
      <c r="O5138" s="11"/>
      <c r="P5138" s="11"/>
    </row>
    <row r="5139" spans="8:16" x14ac:dyDescent="0.25">
      <c r="H5139" s="12"/>
      <c r="I5139" s="12"/>
      <c r="J5139" s="12"/>
      <c r="K5139" s="12"/>
      <c r="L5139" s="12"/>
      <c r="M5139" s="11"/>
      <c r="N5139" s="11"/>
      <c r="O5139" s="11"/>
      <c r="P5139" s="11"/>
    </row>
    <row r="5140" spans="8:16" x14ac:dyDescent="0.25">
      <c r="H5140" s="12"/>
      <c r="I5140" s="12"/>
      <c r="J5140" s="12"/>
      <c r="K5140" s="12"/>
      <c r="L5140" s="12"/>
      <c r="M5140" s="11"/>
      <c r="N5140" s="11"/>
      <c r="O5140" s="11"/>
      <c r="P5140" s="11"/>
    </row>
    <row r="5141" spans="8:16" x14ac:dyDescent="0.25">
      <c r="H5141" s="12"/>
      <c r="I5141" s="12"/>
      <c r="J5141" s="12"/>
      <c r="K5141" s="12"/>
      <c r="L5141" s="12"/>
      <c r="M5141" s="11"/>
      <c r="N5141" s="11"/>
      <c r="O5141" s="11"/>
      <c r="P5141" s="11"/>
    </row>
    <row r="5142" spans="8:16" x14ac:dyDescent="0.25">
      <c r="H5142" s="12"/>
      <c r="I5142" s="12"/>
      <c r="J5142" s="12"/>
      <c r="K5142" s="12"/>
      <c r="L5142" s="12"/>
      <c r="M5142" s="11"/>
      <c r="N5142" s="11"/>
      <c r="O5142" s="11"/>
      <c r="P5142" s="11"/>
    </row>
    <row r="5143" spans="8:16" x14ac:dyDescent="0.25">
      <c r="H5143" s="12"/>
      <c r="I5143" s="12"/>
      <c r="J5143" s="12"/>
      <c r="K5143" s="12"/>
      <c r="L5143" s="12"/>
      <c r="M5143" s="11"/>
      <c r="N5143" s="11"/>
      <c r="O5143" s="11"/>
      <c r="P5143" s="11"/>
    </row>
    <row r="5144" spans="8:16" x14ac:dyDescent="0.25">
      <c r="H5144" s="12"/>
      <c r="I5144" s="12"/>
      <c r="J5144" s="12"/>
      <c r="K5144" s="12"/>
      <c r="L5144" s="12"/>
      <c r="M5144" s="11"/>
      <c r="N5144" s="11"/>
      <c r="O5144" s="11"/>
      <c r="P5144" s="11"/>
    </row>
    <row r="5145" spans="8:16" x14ac:dyDescent="0.25">
      <c r="H5145" s="12"/>
      <c r="I5145" s="12"/>
      <c r="J5145" s="12"/>
      <c r="K5145" s="12"/>
      <c r="L5145" s="12"/>
      <c r="M5145" s="11"/>
      <c r="N5145" s="11"/>
      <c r="O5145" s="11"/>
      <c r="P5145" s="11"/>
    </row>
    <row r="5146" spans="8:16" x14ac:dyDescent="0.25">
      <c r="H5146" s="12"/>
      <c r="I5146" s="12"/>
      <c r="J5146" s="12"/>
      <c r="K5146" s="12"/>
      <c r="L5146" s="12"/>
      <c r="M5146" s="11"/>
      <c r="N5146" s="11"/>
      <c r="O5146" s="11"/>
      <c r="P5146" s="11"/>
    </row>
    <row r="5147" spans="8:16" x14ac:dyDescent="0.25">
      <c r="H5147" s="12"/>
      <c r="I5147" s="12"/>
      <c r="J5147" s="12"/>
      <c r="K5147" s="12"/>
      <c r="L5147" s="12"/>
      <c r="M5147" s="11"/>
      <c r="N5147" s="11"/>
      <c r="O5147" s="11"/>
      <c r="P5147" s="11"/>
    </row>
    <row r="5148" spans="8:16" x14ac:dyDescent="0.25">
      <c r="H5148" s="12"/>
      <c r="I5148" s="12"/>
      <c r="J5148" s="12"/>
      <c r="K5148" s="12"/>
      <c r="L5148" s="12"/>
      <c r="M5148" s="11"/>
      <c r="N5148" s="11"/>
      <c r="O5148" s="11"/>
      <c r="P5148" s="11"/>
    </row>
    <row r="5149" spans="8:16" x14ac:dyDescent="0.25">
      <c r="H5149" s="12"/>
      <c r="I5149" s="12"/>
      <c r="J5149" s="12"/>
      <c r="K5149" s="12"/>
      <c r="L5149" s="12"/>
      <c r="M5149" s="11"/>
      <c r="N5149" s="11"/>
      <c r="O5149" s="11"/>
      <c r="P5149" s="11"/>
    </row>
    <row r="5150" spans="8:16" x14ac:dyDescent="0.25">
      <c r="H5150" s="12"/>
      <c r="I5150" s="12"/>
      <c r="J5150" s="12"/>
      <c r="K5150" s="12"/>
      <c r="L5150" s="12"/>
      <c r="M5150" s="11"/>
      <c r="N5150" s="11"/>
      <c r="O5150" s="11"/>
      <c r="P5150" s="11"/>
    </row>
    <row r="5151" spans="8:16" x14ac:dyDescent="0.25">
      <c r="H5151" s="12"/>
      <c r="I5151" s="12"/>
      <c r="J5151" s="12"/>
      <c r="K5151" s="12"/>
      <c r="L5151" s="12"/>
      <c r="M5151" s="11"/>
      <c r="N5151" s="11"/>
      <c r="O5151" s="11"/>
      <c r="P5151" s="11"/>
    </row>
    <row r="5152" spans="8:16" x14ac:dyDescent="0.25">
      <c r="H5152" s="12"/>
      <c r="I5152" s="12"/>
      <c r="J5152" s="12"/>
      <c r="K5152" s="12"/>
      <c r="L5152" s="12"/>
      <c r="M5152" s="11"/>
      <c r="N5152" s="11"/>
      <c r="O5152" s="11"/>
      <c r="P5152" s="11"/>
    </row>
    <row r="5153" spans="8:16" x14ac:dyDescent="0.25">
      <c r="H5153" s="12"/>
      <c r="I5153" s="12"/>
      <c r="J5153" s="12"/>
      <c r="K5153" s="12"/>
      <c r="L5153" s="12"/>
      <c r="M5153" s="11"/>
      <c r="N5153" s="11"/>
      <c r="O5153" s="11"/>
      <c r="P5153" s="11"/>
    </row>
    <row r="5154" spans="8:16" x14ac:dyDescent="0.25">
      <c r="H5154" s="12"/>
      <c r="I5154" s="12"/>
      <c r="J5154" s="12"/>
      <c r="K5154" s="12"/>
      <c r="L5154" s="12"/>
      <c r="M5154" s="11"/>
      <c r="N5154" s="11"/>
      <c r="O5154" s="11"/>
      <c r="P5154" s="11"/>
    </row>
    <row r="5155" spans="8:16" x14ac:dyDescent="0.25">
      <c r="H5155" s="12"/>
      <c r="I5155" s="12"/>
      <c r="J5155" s="12"/>
      <c r="K5155" s="12"/>
      <c r="L5155" s="12"/>
      <c r="M5155" s="11"/>
      <c r="N5155" s="11"/>
      <c r="O5155" s="11"/>
      <c r="P5155" s="11"/>
    </row>
    <row r="5156" spans="8:16" x14ac:dyDescent="0.25">
      <c r="H5156" s="12"/>
      <c r="I5156" s="12"/>
      <c r="J5156" s="12"/>
      <c r="K5156" s="12"/>
      <c r="L5156" s="12"/>
      <c r="M5156" s="11"/>
      <c r="N5156" s="11"/>
      <c r="O5156" s="11"/>
      <c r="P5156" s="11"/>
    </row>
    <row r="5157" spans="8:16" x14ac:dyDescent="0.25">
      <c r="H5157" s="12"/>
      <c r="I5157" s="12"/>
      <c r="J5157" s="12"/>
      <c r="K5157" s="12"/>
      <c r="L5157" s="12"/>
      <c r="M5157" s="11"/>
      <c r="N5157" s="11"/>
      <c r="O5157" s="11"/>
      <c r="P5157" s="11"/>
    </row>
    <row r="5158" spans="8:16" x14ac:dyDescent="0.25">
      <c r="H5158" s="12"/>
      <c r="I5158" s="12"/>
      <c r="J5158" s="12"/>
      <c r="K5158" s="12"/>
      <c r="L5158" s="12"/>
      <c r="M5158" s="11"/>
      <c r="N5158" s="11"/>
      <c r="O5158" s="11"/>
      <c r="P5158" s="11"/>
    </row>
    <row r="5159" spans="8:16" x14ac:dyDescent="0.25">
      <c r="H5159" s="12"/>
      <c r="I5159" s="12"/>
      <c r="J5159" s="12"/>
      <c r="K5159" s="12"/>
      <c r="L5159" s="12"/>
      <c r="M5159" s="11"/>
      <c r="N5159" s="11"/>
      <c r="O5159" s="11"/>
      <c r="P5159" s="11"/>
    </row>
    <row r="5160" spans="8:16" x14ac:dyDescent="0.25">
      <c r="H5160" s="12"/>
      <c r="I5160" s="12"/>
      <c r="J5160" s="12"/>
      <c r="K5160" s="12"/>
      <c r="L5160" s="12"/>
      <c r="M5160" s="11"/>
      <c r="N5160" s="11"/>
      <c r="O5160" s="11"/>
      <c r="P5160" s="11"/>
    </row>
    <row r="5161" spans="8:16" x14ac:dyDescent="0.25">
      <c r="H5161" s="12"/>
      <c r="I5161" s="12"/>
      <c r="J5161" s="12"/>
      <c r="K5161" s="12"/>
      <c r="L5161" s="12"/>
      <c r="M5161" s="11"/>
      <c r="N5161" s="11"/>
      <c r="O5161" s="11"/>
      <c r="P5161" s="11"/>
    </row>
    <row r="5162" spans="8:16" x14ac:dyDescent="0.25">
      <c r="H5162" s="12"/>
      <c r="I5162" s="12"/>
      <c r="J5162" s="12"/>
      <c r="K5162" s="12"/>
      <c r="L5162" s="12"/>
      <c r="M5162" s="11"/>
      <c r="N5162" s="11"/>
      <c r="O5162" s="11"/>
      <c r="P5162" s="11"/>
    </row>
    <row r="5163" spans="8:16" x14ac:dyDescent="0.25">
      <c r="H5163" s="12"/>
      <c r="I5163" s="12"/>
      <c r="J5163" s="12"/>
      <c r="K5163" s="12"/>
      <c r="L5163" s="12"/>
      <c r="M5163" s="11"/>
      <c r="N5163" s="11"/>
      <c r="O5163" s="11"/>
      <c r="P5163" s="11"/>
    </row>
    <row r="5164" spans="8:16" x14ac:dyDescent="0.25">
      <c r="H5164" s="12"/>
      <c r="I5164" s="12"/>
      <c r="J5164" s="12"/>
      <c r="K5164" s="12"/>
      <c r="L5164" s="12"/>
      <c r="M5164" s="11"/>
      <c r="N5164" s="11"/>
      <c r="O5164" s="11"/>
      <c r="P5164" s="11"/>
    </row>
    <row r="5165" spans="8:16" x14ac:dyDescent="0.25">
      <c r="H5165" s="12"/>
      <c r="I5165" s="12"/>
      <c r="J5165" s="12"/>
      <c r="K5165" s="12"/>
      <c r="L5165" s="12"/>
      <c r="M5165" s="11"/>
      <c r="N5165" s="11"/>
      <c r="O5165" s="11"/>
      <c r="P5165" s="11"/>
    </row>
    <row r="5166" spans="8:16" x14ac:dyDescent="0.25">
      <c r="H5166" s="12"/>
      <c r="I5166" s="12"/>
      <c r="J5166" s="12"/>
      <c r="K5166" s="12"/>
      <c r="L5166" s="12"/>
      <c r="M5166" s="11"/>
      <c r="N5166" s="11"/>
      <c r="O5166" s="11"/>
      <c r="P5166" s="11"/>
    </row>
    <row r="5167" spans="8:16" x14ac:dyDescent="0.25">
      <c r="H5167" s="12"/>
      <c r="I5167" s="12"/>
      <c r="J5167" s="12"/>
      <c r="K5167" s="12"/>
      <c r="L5167" s="12"/>
      <c r="M5167" s="11"/>
      <c r="N5167" s="11"/>
      <c r="O5167" s="11"/>
      <c r="P5167" s="11"/>
    </row>
    <row r="5168" spans="8:16" x14ac:dyDescent="0.25">
      <c r="H5168" s="12"/>
      <c r="I5168" s="12"/>
      <c r="J5168" s="12"/>
      <c r="K5168" s="12"/>
      <c r="L5168" s="12"/>
      <c r="M5168" s="11"/>
      <c r="N5168" s="11"/>
      <c r="O5168" s="11"/>
      <c r="P5168" s="11"/>
    </row>
    <row r="5169" spans="8:16" x14ac:dyDescent="0.25">
      <c r="H5169" s="12"/>
      <c r="I5169" s="12"/>
      <c r="J5169" s="12"/>
      <c r="K5169" s="12"/>
      <c r="L5169" s="12"/>
      <c r="M5169" s="11"/>
      <c r="N5169" s="11"/>
      <c r="O5169" s="11"/>
      <c r="P5169" s="11"/>
    </row>
    <row r="5170" spans="8:16" x14ac:dyDescent="0.25">
      <c r="H5170" s="12"/>
      <c r="I5170" s="12"/>
      <c r="J5170" s="12"/>
      <c r="K5170" s="12"/>
      <c r="L5170" s="12"/>
      <c r="M5170" s="11"/>
      <c r="N5170" s="11"/>
      <c r="O5170" s="11"/>
      <c r="P5170" s="11"/>
    </row>
    <row r="5171" spans="8:16" x14ac:dyDescent="0.25">
      <c r="H5171" s="12"/>
      <c r="I5171" s="12"/>
      <c r="J5171" s="12"/>
      <c r="K5171" s="12"/>
      <c r="L5171" s="12"/>
      <c r="M5171" s="11"/>
      <c r="N5171" s="11"/>
      <c r="O5171" s="11"/>
      <c r="P5171" s="11"/>
    </row>
    <row r="5172" spans="8:16" x14ac:dyDescent="0.25">
      <c r="H5172" s="12"/>
      <c r="I5172" s="12"/>
      <c r="J5172" s="12"/>
      <c r="K5172" s="12"/>
      <c r="L5172" s="12"/>
      <c r="M5172" s="11"/>
      <c r="N5172" s="11"/>
      <c r="O5172" s="11"/>
      <c r="P5172" s="11"/>
    </row>
    <row r="5173" spans="8:16" x14ac:dyDescent="0.25">
      <c r="H5173" s="12"/>
      <c r="I5173" s="12"/>
      <c r="J5173" s="12"/>
      <c r="K5173" s="12"/>
      <c r="L5173" s="12"/>
      <c r="M5173" s="11"/>
      <c r="N5173" s="11"/>
      <c r="O5173" s="11"/>
      <c r="P5173" s="11"/>
    </row>
    <row r="5174" spans="8:16" x14ac:dyDescent="0.25">
      <c r="H5174" s="12"/>
      <c r="I5174" s="12"/>
      <c r="J5174" s="12"/>
      <c r="K5174" s="12"/>
      <c r="L5174" s="12"/>
      <c r="M5174" s="11"/>
      <c r="N5174" s="11"/>
      <c r="O5174" s="11"/>
      <c r="P5174" s="11"/>
    </row>
    <row r="5175" spans="8:16" x14ac:dyDescent="0.25">
      <c r="H5175" s="12"/>
      <c r="I5175" s="12"/>
      <c r="J5175" s="12"/>
      <c r="K5175" s="12"/>
      <c r="L5175" s="12"/>
      <c r="M5175" s="11"/>
      <c r="N5175" s="11"/>
      <c r="O5175" s="11"/>
      <c r="P5175" s="11"/>
    </row>
    <row r="5176" spans="8:16" x14ac:dyDescent="0.25">
      <c r="H5176" s="12"/>
      <c r="I5176" s="12"/>
      <c r="J5176" s="12"/>
      <c r="K5176" s="12"/>
      <c r="L5176" s="12"/>
      <c r="M5176" s="11"/>
      <c r="N5176" s="11"/>
      <c r="O5176" s="11"/>
      <c r="P5176" s="11"/>
    </row>
    <row r="5177" spans="8:16" x14ac:dyDescent="0.25">
      <c r="H5177" s="12"/>
      <c r="I5177" s="12"/>
      <c r="J5177" s="12"/>
      <c r="K5177" s="12"/>
      <c r="L5177" s="12"/>
      <c r="M5177" s="11"/>
      <c r="N5177" s="11"/>
      <c r="O5177" s="11"/>
      <c r="P5177" s="11"/>
    </row>
    <row r="5178" spans="8:16" x14ac:dyDescent="0.25">
      <c r="H5178" s="12"/>
      <c r="I5178" s="12"/>
      <c r="J5178" s="12"/>
      <c r="K5178" s="12"/>
      <c r="L5178" s="12"/>
      <c r="M5178" s="11"/>
      <c r="N5178" s="11"/>
      <c r="O5178" s="11"/>
      <c r="P5178" s="11"/>
    </row>
    <row r="5179" spans="8:16" x14ac:dyDescent="0.25">
      <c r="H5179" s="12"/>
      <c r="I5179" s="12"/>
      <c r="J5179" s="12"/>
      <c r="K5179" s="12"/>
      <c r="L5179" s="12"/>
      <c r="M5179" s="11"/>
      <c r="N5179" s="11"/>
      <c r="O5179" s="11"/>
      <c r="P5179" s="11"/>
    </row>
    <row r="5180" spans="8:16" x14ac:dyDescent="0.25">
      <c r="H5180" s="12"/>
      <c r="I5180" s="12"/>
      <c r="J5180" s="12"/>
      <c r="K5180" s="12"/>
      <c r="L5180" s="12"/>
      <c r="M5180" s="11"/>
      <c r="N5180" s="11"/>
      <c r="O5180" s="11"/>
      <c r="P5180" s="11"/>
    </row>
    <row r="5181" spans="8:16" x14ac:dyDescent="0.25">
      <c r="H5181" s="12"/>
      <c r="I5181" s="12"/>
      <c r="J5181" s="12"/>
      <c r="K5181" s="12"/>
      <c r="L5181" s="12"/>
      <c r="M5181" s="11"/>
      <c r="N5181" s="11"/>
      <c r="O5181" s="11"/>
      <c r="P5181" s="11"/>
    </row>
    <row r="5182" spans="8:16" x14ac:dyDescent="0.25">
      <c r="H5182" s="12"/>
      <c r="I5182" s="12"/>
      <c r="J5182" s="12"/>
      <c r="K5182" s="12"/>
      <c r="L5182" s="12"/>
      <c r="M5182" s="11"/>
      <c r="N5182" s="11"/>
      <c r="O5182" s="11"/>
      <c r="P5182" s="11"/>
    </row>
    <row r="5183" spans="8:16" x14ac:dyDescent="0.25">
      <c r="H5183" s="12"/>
      <c r="I5183" s="12"/>
      <c r="J5183" s="12"/>
      <c r="K5183" s="12"/>
      <c r="L5183" s="12"/>
      <c r="M5183" s="11"/>
      <c r="N5183" s="11"/>
      <c r="O5183" s="11"/>
      <c r="P5183" s="11"/>
    </row>
    <row r="5184" spans="8:16" x14ac:dyDescent="0.25">
      <c r="H5184" s="12"/>
      <c r="I5184" s="12"/>
      <c r="J5184" s="12"/>
      <c r="K5184" s="12"/>
      <c r="L5184" s="12"/>
      <c r="M5184" s="11"/>
      <c r="N5184" s="11"/>
      <c r="O5184" s="11"/>
      <c r="P5184" s="11"/>
    </row>
    <row r="5185" spans="8:16" x14ac:dyDescent="0.25">
      <c r="H5185" s="12"/>
      <c r="I5185" s="12"/>
      <c r="J5185" s="12"/>
      <c r="K5185" s="12"/>
      <c r="L5185" s="12"/>
      <c r="M5185" s="11"/>
      <c r="N5185" s="11"/>
      <c r="O5185" s="11"/>
      <c r="P5185" s="11"/>
    </row>
    <row r="5186" spans="8:16" x14ac:dyDescent="0.25">
      <c r="H5186" s="12"/>
      <c r="I5186" s="12"/>
      <c r="J5186" s="12"/>
      <c r="K5186" s="12"/>
      <c r="L5186" s="12"/>
      <c r="M5186" s="11"/>
      <c r="N5186" s="11"/>
      <c r="O5186" s="11"/>
      <c r="P5186" s="11"/>
    </row>
    <row r="5187" spans="8:16" x14ac:dyDescent="0.25">
      <c r="H5187" s="12"/>
      <c r="I5187" s="12"/>
      <c r="J5187" s="12"/>
      <c r="K5187" s="12"/>
      <c r="L5187" s="12"/>
      <c r="M5187" s="11"/>
      <c r="N5187" s="11"/>
      <c r="O5187" s="11"/>
      <c r="P5187" s="11"/>
    </row>
    <row r="5188" spans="8:16" x14ac:dyDescent="0.25">
      <c r="H5188" s="12"/>
      <c r="I5188" s="12"/>
      <c r="J5188" s="12"/>
      <c r="K5188" s="12"/>
      <c r="L5188" s="12"/>
      <c r="M5188" s="11"/>
      <c r="N5188" s="11"/>
      <c r="O5188" s="11"/>
      <c r="P5188" s="11"/>
    </row>
    <row r="5189" spans="8:16" x14ac:dyDescent="0.25">
      <c r="H5189" s="12"/>
      <c r="I5189" s="12"/>
      <c r="J5189" s="12"/>
      <c r="K5189" s="12"/>
      <c r="L5189" s="12"/>
      <c r="M5189" s="11"/>
      <c r="N5189" s="11"/>
      <c r="O5189" s="11"/>
      <c r="P5189" s="11"/>
    </row>
    <row r="5190" spans="8:16" x14ac:dyDescent="0.25">
      <c r="H5190" s="12"/>
      <c r="I5190" s="12"/>
      <c r="J5190" s="12"/>
      <c r="K5190" s="12"/>
      <c r="L5190" s="12"/>
      <c r="M5190" s="11"/>
      <c r="N5190" s="11"/>
      <c r="O5190" s="11"/>
      <c r="P5190" s="11"/>
    </row>
    <row r="5191" spans="8:16" x14ac:dyDescent="0.25">
      <c r="H5191" s="12"/>
      <c r="I5191" s="12"/>
      <c r="J5191" s="12"/>
      <c r="K5191" s="12"/>
      <c r="L5191" s="12"/>
      <c r="M5191" s="11"/>
      <c r="N5191" s="11"/>
      <c r="O5191" s="11"/>
      <c r="P5191" s="11"/>
    </row>
    <row r="5192" spans="8:16" x14ac:dyDescent="0.25">
      <c r="H5192" s="12"/>
      <c r="I5192" s="12"/>
      <c r="J5192" s="12"/>
      <c r="K5192" s="12"/>
      <c r="L5192" s="12"/>
      <c r="M5192" s="11"/>
      <c r="N5192" s="11"/>
      <c r="O5192" s="11"/>
      <c r="P5192" s="11"/>
    </row>
    <row r="5193" spans="8:16" x14ac:dyDescent="0.25">
      <c r="H5193" s="12"/>
      <c r="I5193" s="12"/>
      <c r="J5193" s="12"/>
      <c r="K5193" s="12"/>
      <c r="L5193" s="12"/>
      <c r="M5193" s="11"/>
      <c r="N5193" s="11"/>
      <c r="O5193" s="11"/>
      <c r="P5193" s="11"/>
    </row>
    <row r="5194" spans="8:16" x14ac:dyDescent="0.25">
      <c r="H5194" s="12"/>
      <c r="I5194" s="12"/>
      <c r="J5194" s="12"/>
      <c r="K5194" s="12"/>
      <c r="L5194" s="12"/>
      <c r="M5194" s="11"/>
      <c r="N5194" s="11"/>
      <c r="O5194" s="11"/>
      <c r="P5194" s="11"/>
    </row>
    <row r="5195" spans="8:16" x14ac:dyDescent="0.25">
      <c r="H5195" s="12"/>
      <c r="I5195" s="12"/>
      <c r="J5195" s="12"/>
      <c r="K5195" s="12"/>
      <c r="L5195" s="12"/>
      <c r="M5195" s="11"/>
      <c r="N5195" s="11"/>
      <c r="O5195" s="11"/>
      <c r="P5195" s="11"/>
    </row>
    <row r="5196" spans="8:16" x14ac:dyDescent="0.25">
      <c r="H5196" s="12"/>
      <c r="I5196" s="12"/>
      <c r="J5196" s="12"/>
      <c r="K5196" s="12"/>
      <c r="L5196" s="12"/>
      <c r="M5196" s="11"/>
      <c r="N5196" s="11"/>
      <c r="O5196" s="11"/>
      <c r="P5196" s="11"/>
    </row>
    <row r="5197" spans="8:16" x14ac:dyDescent="0.25">
      <c r="H5197" s="12"/>
      <c r="I5197" s="12"/>
      <c r="J5197" s="12"/>
      <c r="K5197" s="12"/>
      <c r="L5197" s="12"/>
      <c r="M5197" s="11"/>
      <c r="N5197" s="11"/>
      <c r="O5197" s="11"/>
      <c r="P5197" s="11"/>
    </row>
    <row r="5198" spans="8:16" x14ac:dyDescent="0.25">
      <c r="H5198" s="12"/>
      <c r="I5198" s="12"/>
      <c r="J5198" s="12"/>
      <c r="K5198" s="12"/>
      <c r="L5198" s="12"/>
      <c r="M5198" s="11"/>
      <c r="N5198" s="11"/>
      <c r="O5198" s="11"/>
      <c r="P5198" s="11"/>
    </row>
    <row r="5199" spans="8:16" x14ac:dyDescent="0.25">
      <c r="H5199" s="12"/>
      <c r="I5199" s="12"/>
      <c r="J5199" s="12"/>
      <c r="K5199" s="12"/>
      <c r="L5199" s="12"/>
      <c r="M5199" s="11"/>
      <c r="N5199" s="11"/>
      <c r="O5199" s="11"/>
      <c r="P5199" s="11"/>
    </row>
    <row r="5200" spans="8:16" x14ac:dyDescent="0.25">
      <c r="H5200" s="12"/>
      <c r="I5200" s="12"/>
      <c r="J5200" s="12"/>
      <c r="K5200" s="12"/>
      <c r="L5200" s="12"/>
      <c r="M5200" s="11"/>
      <c r="N5200" s="11"/>
      <c r="O5200" s="11"/>
      <c r="P5200" s="11"/>
    </row>
    <row r="5201" spans="8:16" x14ac:dyDescent="0.25">
      <c r="H5201" s="12"/>
      <c r="I5201" s="12"/>
      <c r="J5201" s="12"/>
      <c r="K5201" s="12"/>
      <c r="L5201" s="12"/>
      <c r="M5201" s="11"/>
      <c r="N5201" s="11"/>
      <c r="O5201" s="11"/>
      <c r="P5201" s="11"/>
    </row>
    <row r="5202" spans="8:16" x14ac:dyDescent="0.25">
      <c r="H5202" s="12"/>
      <c r="I5202" s="12"/>
      <c r="J5202" s="12"/>
      <c r="K5202" s="12"/>
      <c r="L5202" s="12"/>
      <c r="M5202" s="11"/>
      <c r="N5202" s="11"/>
      <c r="O5202" s="11"/>
      <c r="P5202" s="11"/>
    </row>
    <row r="5203" spans="8:16" x14ac:dyDescent="0.25">
      <c r="H5203" s="12"/>
      <c r="I5203" s="12"/>
      <c r="J5203" s="12"/>
      <c r="K5203" s="12"/>
      <c r="L5203" s="12"/>
      <c r="M5203" s="11"/>
      <c r="N5203" s="11"/>
      <c r="O5203" s="11"/>
      <c r="P5203" s="11"/>
    </row>
    <row r="5204" spans="8:16" x14ac:dyDescent="0.25">
      <c r="H5204" s="12"/>
      <c r="I5204" s="12"/>
      <c r="J5204" s="12"/>
      <c r="K5204" s="12"/>
      <c r="L5204" s="12"/>
      <c r="M5204" s="11"/>
      <c r="N5204" s="11"/>
      <c r="O5204" s="11"/>
      <c r="P5204" s="11"/>
    </row>
    <row r="5205" spans="8:16" x14ac:dyDescent="0.25">
      <c r="H5205" s="12"/>
      <c r="I5205" s="12"/>
      <c r="J5205" s="12"/>
      <c r="K5205" s="12"/>
      <c r="L5205" s="12"/>
      <c r="M5205" s="11"/>
      <c r="N5205" s="11"/>
      <c r="O5205" s="11"/>
      <c r="P5205" s="11"/>
    </row>
    <row r="5206" spans="8:16" x14ac:dyDescent="0.25">
      <c r="H5206" s="12"/>
      <c r="I5206" s="12"/>
      <c r="J5206" s="12"/>
      <c r="K5206" s="12"/>
      <c r="L5206" s="12"/>
      <c r="M5206" s="11"/>
      <c r="N5206" s="11"/>
      <c r="O5206" s="11"/>
      <c r="P5206" s="11"/>
    </row>
    <row r="5207" spans="8:16" x14ac:dyDescent="0.25">
      <c r="H5207" s="12"/>
      <c r="I5207" s="12"/>
      <c r="J5207" s="12"/>
      <c r="K5207" s="12"/>
      <c r="L5207" s="12"/>
      <c r="M5207" s="11"/>
      <c r="N5207" s="11"/>
      <c r="O5207" s="11"/>
      <c r="P5207" s="11"/>
    </row>
    <row r="5208" spans="8:16" x14ac:dyDescent="0.25">
      <c r="H5208" s="12"/>
      <c r="I5208" s="12"/>
      <c r="J5208" s="12"/>
      <c r="K5208" s="12"/>
      <c r="L5208" s="12"/>
      <c r="M5208" s="11"/>
      <c r="N5208" s="11"/>
      <c r="O5208" s="11"/>
      <c r="P5208" s="11"/>
    </row>
    <row r="5209" spans="8:16" x14ac:dyDescent="0.25">
      <c r="H5209" s="12"/>
      <c r="I5209" s="12"/>
      <c r="J5209" s="12"/>
      <c r="K5209" s="12"/>
      <c r="L5209" s="12"/>
      <c r="M5209" s="11"/>
      <c r="N5209" s="11"/>
      <c r="O5209" s="11"/>
      <c r="P5209" s="11"/>
    </row>
    <row r="5210" spans="8:16" x14ac:dyDescent="0.25">
      <c r="H5210" s="12"/>
      <c r="I5210" s="12"/>
      <c r="J5210" s="12"/>
      <c r="K5210" s="12"/>
      <c r="L5210" s="12"/>
      <c r="M5210" s="11"/>
      <c r="N5210" s="11"/>
      <c r="O5210" s="11"/>
      <c r="P5210" s="11"/>
    </row>
    <row r="5211" spans="8:16" x14ac:dyDescent="0.25">
      <c r="H5211" s="12"/>
      <c r="I5211" s="12"/>
      <c r="J5211" s="12"/>
      <c r="K5211" s="12"/>
      <c r="L5211" s="12"/>
      <c r="M5211" s="11"/>
      <c r="N5211" s="11"/>
      <c r="O5211" s="11"/>
      <c r="P5211" s="11"/>
    </row>
    <row r="5212" spans="8:16" x14ac:dyDescent="0.25">
      <c r="H5212" s="12"/>
      <c r="I5212" s="12"/>
      <c r="J5212" s="12"/>
      <c r="K5212" s="12"/>
      <c r="L5212" s="12"/>
      <c r="M5212" s="11"/>
      <c r="N5212" s="11"/>
      <c r="O5212" s="11"/>
      <c r="P5212" s="11"/>
    </row>
    <row r="5213" spans="8:16" x14ac:dyDescent="0.25">
      <c r="H5213" s="12"/>
      <c r="I5213" s="12"/>
      <c r="J5213" s="12"/>
      <c r="K5213" s="12"/>
      <c r="L5213" s="12"/>
      <c r="M5213" s="11"/>
      <c r="N5213" s="11"/>
      <c r="O5213" s="11"/>
      <c r="P5213" s="11"/>
    </row>
    <row r="5214" spans="8:16" x14ac:dyDescent="0.25">
      <c r="H5214" s="12"/>
      <c r="I5214" s="12"/>
      <c r="J5214" s="12"/>
      <c r="K5214" s="12"/>
      <c r="L5214" s="12"/>
      <c r="M5214" s="11"/>
      <c r="N5214" s="11"/>
      <c r="O5214" s="11"/>
      <c r="P5214" s="11"/>
    </row>
    <row r="5215" spans="8:16" x14ac:dyDescent="0.25">
      <c r="H5215" s="12"/>
      <c r="I5215" s="12"/>
      <c r="J5215" s="12"/>
      <c r="K5215" s="12"/>
      <c r="L5215" s="12"/>
      <c r="M5215" s="11"/>
      <c r="N5215" s="11"/>
      <c r="O5215" s="11"/>
      <c r="P5215" s="11"/>
    </row>
    <row r="5216" spans="8:16" x14ac:dyDescent="0.25">
      <c r="H5216" s="12"/>
      <c r="I5216" s="12"/>
      <c r="J5216" s="12"/>
      <c r="K5216" s="12"/>
      <c r="L5216" s="12"/>
      <c r="M5216" s="11"/>
      <c r="N5216" s="11"/>
      <c r="O5216" s="11"/>
      <c r="P5216" s="11"/>
    </row>
    <row r="5217" spans="8:16" x14ac:dyDescent="0.25">
      <c r="H5217" s="12"/>
      <c r="I5217" s="12"/>
      <c r="J5217" s="12"/>
      <c r="K5217" s="12"/>
      <c r="L5217" s="12"/>
      <c r="M5217" s="11"/>
      <c r="N5217" s="11"/>
      <c r="O5217" s="11"/>
      <c r="P5217" s="11"/>
    </row>
    <row r="5218" spans="8:16" x14ac:dyDescent="0.25">
      <c r="H5218" s="12"/>
      <c r="I5218" s="12"/>
      <c r="J5218" s="12"/>
      <c r="K5218" s="12"/>
      <c r="L5218" s="12"/>
      <c r="M5218" s="11"/>
      <c r="N5218" s="11"/>
      <c r="O5218" s="11"/>
      <c r="P5218" s="11"/>
    </row>
    <row r="5219" spans="8:16" x14ac:dyDescent="0.25">
      <c r="H5219" s="12"/>
      <c r="I5219" s="12"/>
      <c r="J5219" s="12"/>
      <c r="K5219" s="12"/>
      <c r="L5219" s="12"/>
      <c r="M5219" s="11"/>
      <c r="N5219" s="11"/>
      <c r="O5219" s="11"/>
      <c r="P5219" s="11"/>
    </row>
    <row r="5220" spans="8:16" x14ac:dyDescent="0.25">
      <c r="H5220" s="12"/>
      <c r="I5220" s="12"/>
      <c r="J5220" s="12"/>
      <c r="K5220" s="12"/>
      <c r="L5220" s="12"/>
      <c r="M5220" s="11"/>
      <c r="N5220" s="11"/>
      <c r="O5220" s="11"/>
      <c r="P5220" s="11"/>
    </row>
    <row r="5221" spans="8:16" x14ac:dyDescent="0.25">
      <c r="H5221" s="12"/>
      <c r="I5221" s="12"/>
      <c r="J5221" s="12"/>
      <c r="K5221" s="12"/>
      <c r="L5221" s="12"/>
      <c r="M5221" s="11"/>
      <c r="N5221" s="11"/>
      <c r="O5221" s="11"/>
      <c r="P5221" s="11"/>
    </row>
    <row r="5222" spans="8:16" x14ac:dyDescent="0.25">
      <c r="H5222" s="12"/>
      <c r="I5222" s="12"/>
      <c r="J5222" s="12"/>
      <c r="K5222" s="12"/>
      <c r="L5222" s="12"/>
      <c r="M5222" s="11"/>
      <c r="N5222" s="11"/>
      <c r="O5222" s="11"/>
      <c r="P5222" s="11"/>
    </row>
    <row r="5223" spans="8:16" x14ac:dyDescent="0.25">
      <c r="H5223" s="12"/>
      <c r="I5223" s="12"/>
      <c r="J5223" s="12"/>
      <c r="K5223" s="12"/>
      <c r="L5223" s="12"/>
      <c r="M5223" s="11"/>
      <c r="N5223" s="11"/>
      <c r="O5223" s="11"/>
      <c r="P5223" s="11"/>
    </row>
    <row r="5224" spans="8:16" x14ac:dyDescent="0.25">
      <c r="H5224" s="12"/>
      <c r="I5224" s="12"/>
      <c r="J5224" s="12"/>
      <c r="K5224" s="12"/>
      <c r="L5224" s="12"/>
      <c r="M5224" s="11"/>
      <c r="N5224" s="11"/>
      <c r="O5224" s="11"/>
      <c r="P5224" s="11"/>
    </row>
    <row r="5225" spans="8:16" x14ac:dyDescent="0.25">
      <c r="H5225" s="12"/>
      <c r="I5225" s="12"/>
      <c r="J5225" s="12"/>
      <c r="K5225" s="12"/>
      <c r="L5225" s="12"/>
      <c r="M5225" s="11"/>
      <c r="N5225" s="11"/>
      <c r="O5225" s="11"/>
      <c r="P5225" s="11"/>
    </row>
    <row r="5226" spans="8:16" x14ac:dyDescent="0.25">
      <c r="H5226" s="12"/>
      <c r="I5226" s="12"/>
      <c r="J5226" s="12"/>
      <c r="K5226" s="12"/>
      <c r="L5226" s="12"/>
      <c r="M5226" s="11"/>
      <c r="N5226" s="11"/>
      <c r="O5226" s="11"/>
      <c r="P5226" s="11"/>
    </row>
    <row r="5227" spans="8:16" x14ac:dyDescent="0.25">
      <c r="H5227" s="12"/>
      <c r="I5227" s="12"/>
      <c r="J5227" s="12"/>
      <c r="K5227" s="12"/>
      <c r="L5227" s="12"/>
      <c r="M5227" s="11"/>
      <c r="N5227" s="11"/>
      <c r="O5227" s="11"/>
      <c r="P5227" s="11"/>
    </row>
    <row r="5228" spans="8:16" x14ac:dyDescent="0.25">
      <c r="H5228" s="12"/>
      <c r="I5228" s="12"/>
      <c r="J5228" s="12"/>
      <c r="K5228" s="12"/>
      <c r="L5228" s="12"/>
      <c r="M5228" s="11"/>
      <c r="N5228" s="11"/>
      <c r="O5228" s="11"/>
      <c r="P5228" s="11"/>
    </row>
    <row r="5229" spans="8:16" x14ac:dyDescent="0.25">
      <c r="H5229" s="12"/>
      <c r="I5229" s="12"/>
      <c r="J5229" s="12"/>
      <c r="K5229" s="12"/>
      <c r="L5229" s="12"/>
      <c r="M5229" s="11"/>
      <c r="N5229" s="11"/>
      <c r="O5229" s="11"/>
      <c r="P5229" s="11"/>
    </row>
    <row r="5230" spans="8:16" x14ac:dyDescent="0.25">
      <c r="H5230" s="12"/>
      <c r="I5230" s="12"/>
      <c r="J5230" s="12"/>
      <c r="K5230" s="12"/>
      <c r="L5230" s="12"/>
      <c r="M5230" s="11"/>
      <c r="N5230" s="11"/>
      <c r="O5230" s="11"/>
      <c r="P5230" s="11"/>
    </row>
    <row r="5231" spans="8:16" x14ac:dyDescent="0.25">
      <c r="H5231" s="12"/>
      <c r="I5231" s="12"/>
      <c r="J5231" s="12"/>
      <c r="K5231" s="12"/>
      <c r="L5231" s="12"/>
      <c r="M5231" s="11"/>
      <c r="N5231" s="11"/>
      <c r="O5231" s="11"/>
      <c r="P5231" s="11"/>
    </row>
    <row r="5232" spans="8:16" x14ac:dyDescent="0.25">
      <c r="H5232" s="12"/>
      <c r="I5232" s="12"/>
      <c r="J5232" s="12"/>
      <c r="K5232" s="12"/>
      <c r="L5232" s="12"/>
      <c r="M5232" s="11"/>
      <c r="N5232" s="11"/>
      <c r="O5232" s="11"/>
      <c r="P5232" s="11"/>
    </row>
    <row r="5233" spans="8:16" x14ac:dyDescent="0.25">
      <c r="H5233" s="12"/>
      <c r="I5233" s="12"/>
      <c r="J5233" s="12"/>
      <c r="K5233" s="12"/>
      <c r="L5233" s="12"/>
      <c r="M5233" s="11"/>
      <c r="N5233" s="11"/>
      <c r="O5233" s="11"/>
      <c r="P5233" s="11"/>
    </row>
    <row r="5234" spans="8:16" x14ac:dyDescent="0.25">
      <c r="H5234" s="12"/>
      <c r="I5234" s="12"/>
      <c r="J5234" s="12"/>
      <c r="K5234" s="12"/>
      <c r="L5234" s="12"/>
      <c r="M5234" s="11"/>
      <c r="N5234" s="11"/>
      <c r="O5234" s="11"/>
      <c r="P5234" s="11"/>
    </row>
    <row r="5235" spans="8:16" x14ac:dyDescent="0.25">
      <c r="H5235" s="12"/>
      <c r="I5235" s="12"/>
      <c r="J5235" s="12"/>
      <c r="K5235" s="12"/>
      <c r="L5235" s="12"/>
      <c r="M5235" s="11"/>
      <c r="N5235" s="11"/>
      <c r="O5235" s="11"/>
      <c r="P5235" s="11"/>
    </row>
    <row r="5236" spans="8:16" x14ac:dyDescent="0.25">
      <c r="H5236" s="12"/>
      <c r="I5236" s="12"/>
      <c r="J5236" s="12"/>
      <c r="K5236" s="12"/>
      <c r="L5236" s="12"/>
      <c r="M5236" s="11"/>
      <c r="N5236" s="11"/>
      <c r="O5236" s="11"/>
      <c r="P5236" s="11"/>
    </row>
    <row r="5237" spans="8:16" x14ac:dyDescent="0.25">
      <c r="H5237" s="12"/>
      <c r="I5237" s="12"/>
      <c r="J5237" s="12"/>
      <c r="K5237" s="12"/>
      <c r="L5237" s="12"/>
      <c r="M5237" s="11"/>
      <c r="N5237" s="11"/>
      <c r="O5237" s="11"/>
      <c r="P5237" s="11"/>
    </row>
    <row r="5238" spans="8:16" x14ac:dyDescent="0.25">
      <c r="H5238" s="12"/>
      <c r="I5238" s="12"/>
      <c r="J5238" s="12"/>
      <c r="K5238" s="12"/>
      <c r="L5238" s="12"/>
      <c r="M5238" s="11"/>
      <c r="N5238" s="11"/>
      <c r="O5238" s="11"/>
      <c r="P5238" s="11"/>
    </row>
    <row r="5239" spans="8:16" x14ac:dyDescent="0.25">
      <c r="H5239" s="12"/>
      <c r="I5239" s="12"/>
      <c r="J5239" s="12"/>
      <c r="K5239" s="12"/>
      <c r="L5239" s="12"/>
      <c r="M5239" s="11"/>
      <c r="N5239" s="11"/>
      <c r="O5239" s="11"/>
      <c r="P5239" s="11"/>
    </row>
    <row r="5240" spans="8:16" x14ac:dyDescent="0.25">
      <c r="H5240" s="12"/>
      <c r="I5240" s="12"/>
      <c r="J5240" s="12"/>
      <c r="K5240" s="12"/>
      <c r="L5240" s="12"/>
      <c r="M5240" s="11"/>
      <c r="N5240" s="11"/>
      <c r="O5240" s="11"/>
      <c r="P5240" s="11"/>
    </row>
    <row r="5241" spans="8:16" x14ac:dyDescent="0.25">
      <c r="H5241" s="12"/>
      <c r="I5241" s="12"/>
      <c r="J5241" s="12"/>
      <c r="K5241" s="12"/>
      <c r="L5241" s="12"/>
      <c r="M5241" s="11"/>
      <c r="N5241" s="11"/>
      <c r="O5241" s="11"/>
      <c r="P5241" s="11"/>
    </row>
    <row r="5242" spans="8:16" x14ac:dyDescent="0.25">
      <c r="H5242" s="12"/>
      <c r="I5242" s="12"/>
      <c r="J5242" s="12"/>
      <c r="K5242" s="12"/>
      <c r="L5242" s="12"/>
      <c r="M5242" s="11"/>
      <c r="N5242" s="11"/>
      <c r="O5242" s="11"/>
      <c r="P5242" s="11"/>
    </row>
    <row r="5243" spans="8:16" x14ac:dyDescent="0.25">
      <c r="H5243" s="12"/>
      <c r="I5243" s="12"/>
      <c r="J5243" s="12"/>
      <c r="K5243" s="12"/>
      <c r="L5243" s="12"/>
      <c r="M5243" s="11"/>
      <c r="N5243" s="11"/>
      <c r="O5243" s="11"/>
      <c r="P5243" s="11"/>
    </row>
    <row r="5244" spans="8:16" x14ac:dyDescent="0.25">
      <c r="H5244" s="12"/>
      <c r="I5244" s="12"/>
      <c r="J5244" s="12"/>
      <c r="K5244" s="12"/>
      <c r="L5244" s="12"/>
      <c r="M5244" s="11"/>
      <c r="N5244" s="11"/>
      <c r="O5244" s="11"/>
      <c r="P5244" s="11"/>
    </row>
    <row r="5245" spans="8:16" x14ac:dyDescent="0.25">
      <c r="H5245" s="12"/>
      <c r="I5245" s="12"/>
      <c r="J5245" s="12"/>
      <c r="K5245" s="12"/>
      <c r="L5245" s="12"/>
      <c r="M5245" s="11"/>
      <c r="N5245" s="11"/>
      <c r="O5245" s="11"/>
      <c r="P5245" s="11"/>
    </row>
    <row r="5246" spans="8:16" x14ac:dyDescent="0.25">
      <c r="H5246" s="12"/>
      <c r="I5246" s="12"/>
      <c r="J5246" s="12"/>
      <c r="K5246" s="12"/>
      <c r="L5246" s="12"/>
      <c r="M5246" s="11"/>
      <c r="N5246" s="11"/>
      <c r="O5246" s="11"/>
      <c r="P5246" s="11"/>
    </row>
    <row r="5247" spans="8:16" x14ac:dyDescent="0.25">
      <c r="H5247" s="12"/>
      <c r="I5247" s="12"/>
      <c r="J5247" s="12"/>
      <c r="K5247" s="12"/>
      <c r="L5247" s="12"/>
      <c r="M5247" s="11"/>
      <c r="N5247" s="11"/>
      <c r="O5247" s="11"/>
      <c r="P5247" s="11"/>
    </row>
    <row r="5248" spans="8:16" x14ac:dyDescent="0.25">
      <c r="H5248" s="12"/>
      <c r="I5248" s="12"/>
      <c r="J5248" s="12"/>
      <c r="K5248" s="12"/>
      <c r="L5248" s="12"/>
      <c r="M5248" s="11"/>
      <c r="N5248" s="11"/>
      <c r="O5248" s="11"/>
      <c r="P5248" s="11"/>
    </row>
    <row r="5249" spans="8:16" x14ac:dyDescent="0.25">
      <c r="H5249" s="12"/>
      <c r="I5249" s="12"/>
      <c r="J5249" s="12"/>
      <c r="K5249" s="12"/>
      <c r="L5249" s="12"/>
      <c r="M5249" s="11"/>
      <c r="N5249" s="11"/>
      <c r="O5249" s="11"/>
      <c r="P5249" s="11"/>
    </row>
    <row r="5250" spans="8:16" x14ac:dyDescent="0.25">
      <c r="H5250" s="12"/>
      <c r="I5250" s="12"/>
      <c r="J5250" s="12"/>
      <c r="K5250" s="12"/>
      <c r="L5250" s="12"/>
      <c r="M5250" s="11"/>
      <c r="N5250" s="11"/>
      <c r="O5250" s="11"/>
      <c r="P5250" s="11"/>
    </row>
    <row r="5251" spans="8:16" x14ac:dyDescent="0.25">
      <c r="H5251" s="12"/>
      <c r="I5251" s="12"/>
      <c r="J5251" s="12"/>
      <c r="K5251" s="12"/>
      <c r="L5251" s="12"/>
      <c r="M5251" s="11"/>
      <c r="N5251" s="11"/>
      <c r="O5251" s="11"/>
      <c r="P5251" s="11"/>
    </row>
    <row r="5252" spans="8:16" x14ac:dyDescent="0.25">
      <c r="H5252" s="12"/>
      <c r="I5252" s="12"/>
      <c r="J5252" s="12"/>
      <c r="K5252" s="12"/>
      <c r="L5252" s="12"/>
      <c r="M5252" s="11"/>
      <c r="N5252" s="11"/>
      <c r="O5252" s="11"/>
      <c r="P5252" s="11"/>
    </row>
    <row r="5253" spans="8:16" x14ac:dyDescent="0.25">
      <c r="H5253" s="12"/>
      <c r="I5253" s="12"/>
      <c r="J5253" s="12"/>
      <c r="K5253" s="12"/>
      <c r="L5253" s="12"/>
      <c r="M5253" s="11"/>
      <c r="N5253" s="11"/>
      <c r="O5253" s="11"/>
      <c r="P5253" s="11"/>
    </row>
    <row r="5254" spans="8:16" x14ac:dyDescent="0.25">
      <c r="H5254" s="12"/>
      <c r="I5254" s="12"/>
      <c r="J5254" s="12"/>
      <c r="K5254" s="12"/>
      <c r="L5254" s="12"/>
      <c r="M5254" s="11"/>
      <c r="N5254" s="11"/>
      <c r="O5254" s="11"/>
      <c r="P5254" s="11"/>
    </row>
    <row r="5255" spans="8:16" x14ac:dyDescent="0.25">
      <c r="H5255" s="12"/>
      <c r="I5255" s="12"/>
      <c r="J5255" s="12"/>
      <c r="K5255" s="12"/>
      <c r="L5255" s="12"/>
      <c r="M5255" s="11"/>
      <c r="N5255" s="11"/>
      <c r="O5255" s="11"/>
      <c r="P5255" s="11"/>
    </row>
    <row r="5256" spans="8:16" x14ac:dyDescent="0.25">
      <c r="H5256" s="12"/>
      <c r="I5256" s="12"/>
      <c r="J5256" s="12"/>
      <c r="K5256" s="12"/>
      <c r="L5256" s="12"/>
      <c r="M5256" s="11"/>
      <c r="N5256" s="11"/>
      <c r="O5256" s="11"/>
      <c r="P5256" s="11"/>
    </row>
    <row r="5257" spans="8:16" x14ac:dyDescent="0.25">
      <c r="H5257" s="12"/>
      <c r="I5257" s="12"/>
      <c r="J5257" s="12"/>
      <c r="K5257" s="12"/>
      <c r="L5257" s="12"/>
      <c r="M5257" s="11"/>
      <c r="N5257" s="11"/>
      <c r="O5257" s="11"/>
      <c r="P5257" s="11"/>
    </row>
    <row r="5258" spans="8:16" x14ac:dyDescent="0.25">
      <c r="H5258" s="12"/>
      <c r="I5258" s="12"/>
      <c r="J5258" s="12"/>
      <c r="K5258" s="12"/>
      <c r="L5258" s="12"/>
      <c r="M5258" s="11"/>
      <c r="N5258" s="11"/>
      <c r="O5258" s="11"/>
      <c r="P5258" s="11"/>
    </row>
    <row r="5259" spans="8:16" x14ac:dyDescent="0.25">
      <c r="H5259" s="12"/>
      <c r="I5259" s="12"/>
      <c r="J5259" s="12"/>
      <c r="K5259" s="12"/>
      <c r="L5259" s="12"/>
      <c r="M5259" s="11"/>
      <c r="N5259" s="11"/>
      <c r="O5259" s="11"/>
      <c r="P5259" s="11"/>
    </row>
    <row r="5260" spans="8:16" x14ac:dyDescent="0.25">
      <c r="H5260" s="12"/>
      <c r="I5260" s="12"/>
      <c r="J5260" s="12"/>
      <c r="K5260" s="12"/>
      <c r="L5260" s="12"/>
      <c r="M5260" s="11"/>
      <c r="N5260" s="11"/>
      <c r="O5260" s="11"/>
      <c r="P5260" s="11"/>
    </row>
    <row r="5261" spans="8:16" x14ac:dyDescent="0.25">
      <c r="H5261" s="12"/>
      <c r="I5261" s="12"/>
      <c r="J5261" s="12"/>
      <c r="K5261" s="12"/>
      <c r="L5261" s="12"/>
      <c r="M5261" s="11"/>
      <c r="N5261" s="11"/>
      <c r="O5261" s="11"/>
      <c r="P5261" s="11"/>
    </row>
    <row r="5262" spans="8:16" x14ac:dyDescent="0.25">
      <c r="H5262" s="12"/>
      <c r="I5262" s="12"/>
      <c r="J5262" s="12"/>
      <c r="K5262" s="12"/>
      <c r="L5262" s="12"/>
      <c r="M5262" s="11"/>
      <c r="N5262" s="11"/>
      <c r="O5262" s="11"/>
      <c r="P5262" s="11"/>
    </row>
    <row r="5263" spans="8:16" x14ac:dyDescent="0.25">
      <c r="H5263" s="12"/>
      <c r="I5263" s="12"/>
      <c r="J5263" s="12"/>
      <c r="K5263" s="12"/>
      <c r="L5263" s="12"/>
      <c r="M5263" s="11"/>
      <c r="N5263" s="11"/>
      <c r="O5263" s="11"/>
      <c r="P5263" s="11"/>
    </row>
    <row r="5264" spans="8:16" x14ac:dyDescent="0.25">
      <c r="H5264" s="12"/>
      <c r="I5264" s="12"/>
      <c r="J5264" s="12"/>
      <c r="K5264" s="12"/>
      <c r="L5264" s="12"/>
      <c r="M5264" s="11"/>
      <c r="N5264" s="11"/>
      <c r="O5264" s="11"/>
      <c r="P5264" s="11"/>
    </row>
    <row r="5265" spans="8:16" x14ac:dyDescent="0.25">
      <c r="H5265" s="12"/>
      <c r="I5265" s="12"/>
      <c r="J5265" s="12"/>
      <c r="K5265" s="12"/>
      <c r="L5265" s="12"/>
      <c r="M5265" s="11"/>
      <c r="N5265" s="11"/>
      <c r="O5265" s="11"/>
      <c r="P5265" s="11"/>
    </row>
    <row r="5266" spans="8:16" x14ac:dyDescent="0.25">
      <c r="H5266" s="12"/>
      <c r="I5266" s="12"/>
      <c r="J5266" s="12"/>
      <c r="K5266" s="12"/>
      <c r="L5266" s="12"/>
      <c r="M5266" s="11"/>
      <c r="N5266" s="11"/>
      <c r="O5266" s="11"/>
      <c r="P5266" s="11"/>
    </row>
    <row r="5267" spans="8:16" x14ac:dyDescent="0.25">
      <c r="H5267" s="12"/>
      <c r="I5267" s="12"/>
      <c r="J5267" s="12"/>
      <c r="K5267" s="12"/>
      <c r="L5267" s="12"/>
      <c r="M5267" s="11"/>
      <c r="N5267" s="11"/>
      <c r="O5267" s="11"/>
      <c r="P5267" s="11"/>
    </row>
    <row r="5268" spans="8:16" x14ac:dyDescent="0.25">
      <c r="H5268" s="12"/>
      <c r="I5268" s="12"/>
      <c r="J5268" s="12"/>
      <c r="K5268" s="12"/>
      <c r="L5268" s="12"/>
      <c r="M5268" s="11"/>
      <c r="N5268" s="11"/>
      <c r="O5268" s="11"/>
      <c r="P5268" s="11"/>
    </row>
    <row r="5269" spans="8:16" x14ac:dyDescent="0.25">
      <c r="H5269" s="12"/>
      <c r="I5269" s="12"/>
      <c r="J5269" s="12"/>
      <c r="K5269" s="12"/>
      <c r="L5269" s="12"/>
      <c r="M5269" s="11"/>
      <c r="N5269" s="11"/>
      <c r="O5269" s="11"/>
      <c r="P5269" s="11"/>
    </row>
    <row r="5270" spans="8:16" x14ac:dyDescent="0.25">
      <c r="H5270" s="12"/>
      <c r="I5270" s="12"/>
      <c r="J5270" s="12"/>
      <c r="K5270" s="12"/>
      <c r="L5270" s="12"/>
      <c r="M5270" s="11"/>
      <c r="N5270" s="11"/>
      <c r="O5270" s="11"/>
      <c r="P5270" s="11"/>
    </row>
    <row r="5271" spans="8:16" x14ac:dyDescent="0.25">
      <c r="H5271" s="12"/>
      <c r="I5271" s="12"/>
      <c r="J5271" s="12"/>
      <c r="K5271" s="12"/>
      <c r="L5271" s="12"/>
      <c r="M5271" s="11"/>
      <c r="N5271" s="11"/>
      <c r="O5271" s="11"/>
      <c r="P5271" s="11"/>
    </row>
    <row r="5272" spans="8:16" x14ac:dyDescent="0.25">
      <c r="H5272" s="12"/>
      <c r="I5272" s="12"/>
      <c r="J5272" s="12"/>
      <c r="K5272" s="12"/>
      <c r="L5272" s="12"/>
      <c r="M5272" s="11"/>
      <c r="N5272" s="11"/>
      <c r="O5272" s="11"/>
      <c r="P5272" s="11"/>
    </row>
    <row r="5273" spans="8:16" x14ac:dyDescent="0.25">
      <c r="H5273" s="12"/>
      <c r="I5273" s="12"/>
      <c r="J5273" s="12"/>
      <c r="K5273" s="12"/>
      <c r="L5273" s="12"/>
      <c r="M5273" s="11"/>
      <c r="N5273" s="11"/>
      <c r="O5273" s="11"/>
      <c r="P5273" s="11"/>
    </row>
    <row r="5274" spans="8:16" x14ac:dyDescent="0.25">
      <c r="H5274" s="12"/>
      <c r="I5274" s="12"/>
      <c r="J5274" s="12"/>
      <c r="K5274" s="12"/>
      <c r="L5274" s="12"/>
      <c r="M5274" s="11"/>
      <c r="N5274" s="11"/>
      <c r="O5274" s="11"/>
      <c r="P5274" s="11"/>
    </row>
    <row r="5275" spans="8:16" x14ac:dyDescent="0.25">
      <c r="H5275" s="12"/>
      <c r="I5275" s="12"/>
      <c r="J5275" s="12"/>
      <c r="K5275" s="12"/>
      <c r="L5275" s="12"/>
      <c r="M5275" s="11"/>
      <c r="N5275" s="11"/>
      <c r="O5275" s="11"/>
      <c r="P5275" s="11"/>
    </row>
    <row r="5276" spans="8:16" x14ac:dyDescent="0.25">
      <c r="H5276" s="12"/>
      <c r="I5276" s="12"/>
      <c r="J5276" s="12"/>
      <c r="K5276" s="12"/>
      <c r="L5276" s="12"/>
      <c r="M5276" s="11"/>
      <c r="N5276" s="11"/>
      <c r="O5276" s="11"/>
      <c r="P5276" s="11"/>
    </row>
    <row r="5277" spans="8:16" x14ac:dyDescent="0.25">
      <c r="H5277" s="12"/>
      <c r="I5277" s="12"/>
      <c r="J5277" s="12"/>
      <c r="K5277" s="12"/>
      <c r="L5277" s="12"/>
      <c r="M5277" s="11"/>
      <c r="N5277" s="11"/>
      <c r="O5277" s="11"/>
      <c r="P5277" s="11"/>
    </row>
    <row r="5278" spans="8:16" x14ac:dyDescent="0.25">
      <c r="H5278" s="12"/>
      <c r="I5278" s="12"/>
      <c r="J5278" s="12"/>
      <c r="K5278" s="12"/>
      <c r="L5278" s="12"/>
      <c r="M5278" s="11"/>
      <c r="N5278" s="11"/>
      <c r="O5278" s="11"/>
      <c r="P5278" s="11"/>
    </row>
    <row r="5279" spans="8:16" x14ac:dyDescent="0.25">
      <c r="H5279" s="12"/>
      <c r="I5279" s="12"/>
      <c r="J5279" s="12"/>
      <c r="K5279" s="12"/>
      <c r="L5279" s="12"/>
      <c r="M5279" s="11"/>
      <c r="N5279" s="11"/>
      <c r="O5279" s="11"/>
      <c r="P5279" s="11"/>
    </row>
    <row r="5280" spans="8:16" x14ac:dyDescent="0.25">
      <c r="H5280" s="12"/>
      <c r="I5280" s="12"/>
      <c r="J5280" s="12"/>
      <c r="K5280" s="12"/>
      <c r="L5280" s="12"/>
      <c r="M5280" s="11"/>
      <c r="N5280" s="11"/>
      <c r="O5280" s="11"/>
      <c r="P5280" s="11"/>
    </row>
    <row r="5281" spans="8:16" x14ac:dyDescent="0.25">
      <c r="H5281" s="12"/>
      <c r="I5281" s="12"/>
      <c r="J5281" s="12"/>
      <c r="K5281" s="12"/>
      <c r="L5281" s="12"/>
      <c r="M5281" s="11"/>
      <c r="N5281" s="11"/>
      <c r="O5281" s="11"/>
      <c r="P5281" s="11"/>
    </row>
    <row r="5282" spans="8:16" x14ac:dyDescent="0.25">
      <c r="H5282" s="12"/>
      <c r="I5282" s="12"/>
      <c r="J5282" s="12"/>
      <c r="K5282" s="12"/>
      <c r="L5282" s="12"/>
      <c r="M5282" s="11"/>
      <c r="N5282" s="11"/>
      <c r="O5282" s="11"/>
      <c r="P5282" s="11"/>
    </row>
    <row r="5283" spans="8:16" x14ac:dyDescent="0.25">
      <c r="H5283" s="12"/>
      <c r="I5283" s="12"/>
      <c r="J5283" s="12"/>
      <c r="K5283" s="12"/>
      <c r="L5283" s="12"/>
      <c r="M5283" s="11"/>
      <c r="N5283" s="11"/>
      <c r="O5283" s="11"/>
      <c r="P5283" s="11"/>
    </row>
    <row r="5284" spans="8:16" x14ac:dyDescent="0.25">
      <c r="H5284" s="12"/>
      <c r="I5284" s="12"/>
      <c r="J5284" s="12"/>
      <c r="K5284" s="12"/>
      <c r="L5284" s="12"/>
      <c r="M5284" s="11"/>
      <c r="N5284" s="11"/>
      <c r="O5284" s="11"/>
      <c r="P5284" s="11"/>
    </row>
    <row r="5285" spans="8:16" x14ac:dyDescent="0.25">
      <c r="H5285" s="12"/>
      <c r="I5285" s="12"/>
      <c r="J5285" s="12"/>
      <c r="K5285" s="12"/>
      <c r="L5285" s="12"/>
      <c r="M5285" s="11"/>
      <c r="N5285" s="11"/>
      <c r="O5285" s="11"/>
      <c r="P5285" s="11"/>
    </row>
    <row r="5286" spans="8:16" x14ac:dyDescent="0.25">
      <c r="H5286" s="12"/>
      <c r="I5286" s="12"/>
      <c r="J5286" s="12"/>
      <c r="K5286" s="12"/>
      <c r="L5286" s="12"/>
      <c r="M5286" s="11"/>
      <c r="N5286" s="11"/>
      <c r="O5286" s="11"/>
      <c r="P5286" s="11"/>
    </row>
    <row r="5287" spans="8:16" x14ac:dyDescent="0.25">
      <c r="H5287" s="12"/>
      <c r="I5287" s="12"/>
      <c r="J5287" s="12"/>
      <c r="K5287" s="12"/>
      <c r="L5287" s="12"/>
      <c r="M5287" s="11"/>
      <c r="N5287" s="11"/>
      <c r="O5287" s="11"/>
      <c r="P5287" s="11"/>
    </row>
    <row r="5288" spans="8:16" x14ac:dyDescent="0.25">
      <c r="H5288" s="12"/>
      <c r="I5288" s="12"/>
      <c r="J5288" s="12"/>
      <c r="K5288" s="12"/>
      <c r="L5288" s="12"/>
      <c r="M5288" s="11"/>
      <c r="N5288" s="11"/>
      <c r="O5288" s="11"/>
      <c r="P5288" s="11"/>
    </row>
    <row r="5289" spans="8:16" x14ac:dyDescent="0.25">
      <c r="H5289" s="12"/>
      <c r="I5289" s="12"/>
      <c r="J5289" s="12"/>
      <c r="K5289" s="12"/>
      <c r="L5289" s="12"/>
      <c r="M5289" s="11"/>
      <c r="N5289" s="11"/>
      <c r="O5289" s="11"/>
      <c r="P5289" s="11"/>
    </row>
    <row r="5290" spans="8:16" x14ac:dyDescent="0.25">
      <c r="H5290" s="12"/>
      <c r="I5290" s="12"/>
      <c r="J5290" s="12"/>
      <c r="K5290" s="12"/>
      <c r="L5290" s="12"/>
      <c r="M5290" s="11"/>
      <c r="N5290" s="11"/>
      <c r="O5290" s="11"/>
      <c r="P5290" s="11"/>
    </row>
    <row r="5291" spans="8:16" x14ac:dyDescent="0.25">
      <c r="H5291" s="12"/>
      <c r="I5291" s="12"/>
      <c r="J5291" s="12"/>
      <c r="K5291" s="12"/>
      <c r="L5291" s="12"/>
      <c r="M5291" s="11"/>
      <c r="N5291" s="11"/>
      <c r="O5291" s="11"/>
      <c r="P5291" s="11"/>
    </row>
    <row r="5292" spans="8:16" x14ac:dyDescent="0.25">
      <c r="H5292" s="12"/>
      <c r="I5292" s="12"/>
      <c r="J5292" s="12"/>
      <c r="K5292" s="12"/>
      <c r="L5292" s="12"/>
      <c r="M5292" s="11"/>
      <c r="N5292" s="11"/>
      <c r="O5292" s="11"/>
      <c r="P5292" s="11"/>
    </row>
    <row r="5293" spans="8:16" x14ac:dyDescent="0.25">
      <c r="H5293" s="12"/>
      <c r="I5293" s="12"/>
      <c r="J5293" s="12"/>
      <c r="K5293" s="12"/>
      <c r="L5293" s="12"/>
      <c r="M5293" s="11"/>
      <c r="N5293" s="11"/>
      <c r="O5293" s="11"/>
      <c r="P5293" s="11"/>
    </row>
    <row r="5294" spans="8:16" x14ac:dyDescent="0.25">
      <c r="H5294" s="12"/>
      <c r="I5294" s="12"/>
      <c r="J5294" s="12"/>
      <c r="K5294" s="12"/>
      <c r="L5294" s="12"/>
      <c r="M5294" s="11"/>
      <c r="N5294" s="11"/>
      <c r="O5294" s="11"/>
      <c r="P5294" s="11"/>
    </row>
    <row r="5295" spans="8:16" x14ac:dyDescent="0.25">
      <c r="H5295" s="12"/>
      <c r="I5295" s="12"/>
      <c r="J5295" s="12"/>
      <c r="K5295" s="12"/>
      <c r="L5295" s="12"/>
      <c r="M5295" s="11"/>
      <c r="N5295" s="11"/>
      <c r="O5295" s="11"/>
      <c r="P5295" s="11"/>
    </row>
    <row r="5296" spans="8:16" x14ac:dyDescent="0.25">
      <c r="H5296" s="12"/>
      <c r="I5296" s="12"/>
      <c r="J5296" s="12"/>
      <c r="K5296" s="12"/>
      <c r="L5296" s="12"/>
      <c r="M5296" s="11"/>
      <c r="N5296" s="11"/>
      <c r="O5296" s="11"/>
      <c r="P5296" s="11"/>
    </row>
    <row r="5297" spans="8:16" x14ac:dyDescent="0.25">
      <c r="H5297" s="12"/>
      <c r="I5297" s="12"/>
      <c r="J5297" s="12"/>
      <c r="K5297" s="12"/>
      <c r="L5297" s="12"/>
      <c r="M5297" s="11"/>
      <c r="N5297" s="11"/>
      <c r="O5297" s="11"/>
      <c r="P5297" s="11"/>
    </row>
    <row r="5298" spans="8:16" x14ac:dyDescent="0.25">
      <c r="H5298" s="12"/>
      <c r="I5298" s="12"/>
      <c r="J5298" s="12"/>
      <c r="K5298" s="12"/>
      <c r="L5298" s="12"/>
      <c r="M5298" s="11"/>
      <c r="N5298" s="11"/>
      <c r="O5298" s="11"/>
      <c r="P5298" s="11"/>
    </row>
    <row r="5299" spans="8:16" x14ac:dyDescent="0.25">
      <c r="H5299" s="12"/>
      <c r="I5299" s="12"/>
      <c r="J5299" s="12"/>
      <c r="K5299" s="12"/>
      <c r="L5299" s="12"/>
      <c r="M5299" s="11"/>
      <c r="N5299" s="11"/>
      <c r="O5299" s="11"/>
      <c r="P5299" s="11"/>
    </row>
    <row r="5300" spans="8:16" x14ac:dyDescent="0.25">
      <c r="H5300" s="12"/>
      <c r="I5300" s="12"/>
      <c r="J5300" s="12"/>
      <c r="K5300" s="12"/>
      <c r="L5300" s="12"/>
      <c r="M5300" s="11"/>
      <c r="N5300" s="11"/>
      <c r="O5300" s="11"/>
      <c r="P5300" s="11"/>
    </row>
    <row r="5301" spans="8:16" x14ac:dyDescent="0.25">
      <c r="H5301" s="12"/>
      <c r="I5301" s="12"/>
      <c r="J5301" s="12"/>
      <c r="K5301" s="12"/>
      <c r="L5301" s="12"/>
      <c r="M5301" s="11"/>
      <c r="N5301" s="11"/>
      <c r="O5301" s="11"/>
      <c r="P5301" s="11"/>
    </row>
    <row r="5302" spans="8:16" x14ac:dyDescent="0.25">
      <c r="H5302" s="12"/>
      <c r="I5302" s="12"/>
      <c r="J5302" s="12"/>
      <c r="K5302" s="12"/>
      <c r="L5302" s="12"/>
      <c r="M5302" s="11"/>
      <c r="N5302" s="11"/>
      <c r="O5302" s="11"/>
      <c r="P5302" s="11"/>
    </row>
    <row r="5303" spans="8:16" x14ac:dyDescent="0.25">
      <c r="H5303" s="12"/>
      <c r="I5303" s="12"/>
      <c r="J5303" s="12"/>
      <c r="K5303" s="12"/>
      <c r="L5303" s="12"/>
      <c r="M5303" s="11"/>
      <c r="N5303" s="11"/>
      <c r="O5303" s="11"/>
      <c r="P5303" s="11"/>
    </row>
    <row r="5304" spans="8:16" x14ac:dyDescent="0.25">
      <c r="H5304" s="12"/>
      <c r="I5304" s="12"/>
      <c r="J5304" s="12"/>
      <c r="K5304" s="12"/>
      <c r="L5304" s="12"/>
      <c r="M5304" s="11"/>
      <c r="N5304" s="11"/>
      <c r="O5304" s="11"/>
      <c r="P5304" s="11"/>
    </row>
    <row r="5305" spans="8:16" x14ac:dyDescent="0.25">
      <c r="H5305" s="12"/>
      <c r="I5305" s="12"/>
      <c r="J5305" s="12"/>
      <c r="K5305" s="12"/>
      <c r="L5305" s="12"/>
      <c r="M5305" s="11"/>
      <c r="N5305" s="11"/>
      <c r="O5305" s="11"/>
      <c r="P5305" s="11"/>
    </row>
    <row r="5306" spans="8:16" x14ac:dyDescent="0.25">
      <c r="H5306" s="12"/>
      <c r="I5306" s="12"/>
      <c r="J5306" s="12"/>
      <c r="K5306" s="12"/>
      <c r="L5306" s="12"/>
      <c r="M5306" s="11"/>
      <c r="N5306" s="11"/>
      <c r="O5306" s="11"/>
      <c r="P5306" s="11"/>
    </row>
    <row r="5307" spans="8:16" x14ac:dyDescent="0.25">
      <c r="H5307" s="12"/>
      <c r="I5307" s="12"/>
      <c r="J5307" s="12"/>
      <c r="K5307" s="12"/>
      <c r="L5307" s="12"/>
      <c r="M5307" s="11"/>
      <c r="N5307" s="11"/>
      <c r="O5307" s="11"/>
      <c r="P5307" s="11"/>
    </row>
    <row r="5308" spans="8:16" x14ac:dyDescent="0.25">
      <c r="H5308" s="12"/>
      <c r="I5308" s="12"/>
      <c r="J5308" s="12"/>
      <c r="K5308" s="12"/>
      <c r="L5308" s="12"/>
      <c r="M5308" s="11"/>
      <c r="N5308" s="11"/>
      <c r="O5308" s="11"/>
      <c r="P5308" s="11"/>
    </row>
    <row r="5309" spans="8:16" x14ac:dyDescent="0.25">
      <c r="H5309" s="12"/>
      <c r="I5309" s="12"/>
      <c r="J5309" s="12"/>
      <c r="K5309" s="12"/>
      <c r="L5309" s="12"/>
      <c r="M5309" s="11"/>
      <c r="N5309" s="11"/>
      <c r="O5309" s="11"/>
      <c r="P5309" s="11"/>
    </row>
    <row r="5310" spans="8:16" x14ac:dyDescent="0.25">
      <c r="H5310" s="12"/>
      <c r="I5310" s="12"/>
      <c r="J5310" s="12"/>
      <c r="K5310" s="12"/>
      <c r="L5310" s="12"/>
      <c r="M5310" s="11"/>
      <c r="N5310" s="11"/>
      <c r="O5310" s="11"/>
      <c r="P5310" s="11"/>
    </row>
    <row r="5311" spans="8:16" x14ac:dyDescent="0.25">
      <c r="H5311" s="12"/>
      <c r="I5311" s="12"/>
      <c r="J5311" s="12"/>
      <c r="K5311" s="12"/>
      <c r="L5311" s="12"/>
      <c r="M5311" s="11"/>
      <c r="N5311" s="11"/>
      <c r="O5311" s="11"/>
      <c r="P5311" s="11"/>
    </row>
    <row r="5312" spans="8:16" x14ac:dyDescent="0.25">
      <c r="H5312" s="12"/>
      <c r="I5312" s="12"/>
      <c r="J5312" s="12"/>
      <c r="K5312" s="12"/>
      <c r="L5312" s="12"/>
      <c r="M5312" s="11"/>
      <c r="N5312" s="11"/>
      <c r="O5312" s="11"/>
      <c r="P5312" s="11"/>
    </row>
    <row r="5313" spans="8:16" x14ac:dyDescent="0.25">
      <c r="H5313" s="12"/>
      <c r="I5313" s="12"/>
      <c r="J5313" s="12"/>
      <c r="K5313" s="12"/>
      <c r="L5313" s="12"/>
      <c r="M5313" s="11"/>
      <c r="N5313" s="11"/>
      <c r="O5313" s="11"/>
      <c r="P5313" s="11"/>
    </row>
    <row r="5314" spans="8:16" x14ac:dyDescent="0.25">
      <c r="H5314" s="12"/>
      <c r="I5314" s="12"/>
      <c r="J5314" s="12"/>
      <c r="K5314" s="12"/>
      <c r="L5314" s="12"/>
      <c r="M5314" s="11"/>
      <c r="N5314" s="11"/>
      <c r="O5314" s="11"/>
      <c r="P5314" s="11"/>
    </row>
    <row r="5315" spans="8:16" x14ac:dyDescent="0.25">
      <c r="H5315" s="12"/>
      <c r="I5315" s="12"/>
      <c r="J5315" s="12"/>
      <c r="K5315" s="12"/>
      <c r="L5315" s="12"/>
      <c r="M5315" s="11"/>
      <c r="N5315" s="11"/>
      <c r="O5315" s="11"/>
      <c r="P5315" s="11"/>
    </row>
    <row r="5316" spans="8:16" x14ac:dyDescent="0.25">
      <c r="H5316" s="12"/>
      <c r="I5316" s="12"/>
      <c r="J5316" s="12"/>
      <c r="K5316" s="12"/>
      <c r="L5316" s="12"/>
      <c r="M5316" s="11"/>
      <c r="N5316" s="11"/>
      <c r="O5316" s="11"/>
      <c r="P5316" s="11"/>
    </row>
    <row r="5317" spans="8:16" x14ac:dyDescent="0.25">
      <c r="H5317" s="12"/>
      <c r="I5317" s="12"/>
      <c r="J5317" s="12"/>
      <c r="K5317" s="12"/>
      <c r="L5317" s="12"/>
      <c r="M5317" s="11"/>
      <c r="N5317" s="11"/>
      <c r="O5317" s="11"/>
      <c r="P5317" s="11"/>
    </row>
    <row r="5318" spans="8:16" x14ac:dyDescent="0.25">
      <c r="H5318" s="12"/>
      <c r="I5318" s="12"/>
      <c r="J5318" s="12"/>
      <c r="K5318" s="12"/>
      <c r="L5318" s="12"/>
      <c r="M5318" s="11"/>
      <c r="N5318" s="11"/>
      <c r="O5318" s="11"/>
      <c r="P5318" s="11"/>
    </row>
    <row r="5319" spans="8:16" x14ac:dyDescent="0.25">
      <c r="H5319" s="12"/>
      <c r="I5319" s="12"/>
      <c r="J5319" s="12"/>
      <c r="K5319" s="12"/>
      <c r="L5319" s="12"/>
      <c r="M5319" s="11"/>
      <c r="N5319" s="11"/>
      <c r="O5319" s="11"/>
      <c r="P5319" s="11"/>
    </row>
    <row r="5320" spans="8:16" x14ac:dyDescent="0.25">
      <c r="H5320" s="12"/>
      <c r="I5320" s="12"/>
      <c r="J5320" s="12"/>
      <c r="K5320" s="12"/>
      <c r="L5320" s="12"/>
      <c r="M5320" s="11"/>
      <c r="N5320" s="11"/>
      <c r="O5320" s="11"/>
      <c r="P5320" s="11"/>
    </row>
    <row r="5321" spans="8:16" x14ac:dyDescent="0.25">
      <c r="H5321" s="12"/>
      <c r="I5321" s="12"/>
      <c r="J5321" s="12"/>
      <c r="K5321" s="12"/>
      <c r="L5321" s="12"/>
      <c r="M5321" s="11"/>
      <c r="N5321" s="11"/>
      <c r="O5321" s="11"/>
      <c r="P5321" s="11"/>
    </row>
    <row r="5322" spans="8:16" x14ac:dyDescent="0.25">
      <c r="H5322" s="12"/>
      <c r="I5322" s="12"/>
      <c r="J5322" s="12"/>
      <c r="K5322" s="12"/>
      <c r="L5322" s="12"/>
      <c r="M5322" s="11"/>
      <c r="N5322" s="11"/>
      <c r="O5322" s="11"/>
      <c r="P5322" s="11"/>
    </row>
    <row r="5323" spans="8:16" x14ac:dyDescent="0.25">
      <c r="H5323" s="12"/>
      <c r="I5323" s="12"/>
      <c r="J5323" s="12"/>
      <c r="K5323" s="12"/>
      <c r="L5323" s="12"/>
      <c r="M5323" s="11"/>
      <c r="N5323" s="11"/>
      <c r="O5323" s="11"/>
      <c r="P5323" s="11"/>
    </row>
    <row r="5324" spans="8:16" x14ac:dyDescent="0.25">
      <c r="H5324" s="12"/>
      <c r="I5324" s="12"/>
      <c r="J5324" s="12"/>
      <c r="K5324" s="12"/>
      <c r="L5324" s="12"/>
      <c r="M5324" s="11"/>
      <c r="N5324" s="11"/>
      <c r="O5324" s="11"/>
      <c r="P5324" s="11"/>
    </row>
    <row r="5325" spans="8:16" x14ac:dyDescent="0.25">
      <c r="H5325" s="12"/>
      <c r="I5325" s="12"/>
      <c r="J5325" s="12"/>
      <c r="K5325" s="12"/>
      <c r="L5325" s="12"/>
      <c r="M5325" s="11"/>
      <c r="N5325" s="11"/>
      <c r="O5325" s="11"/>
      <c r="P5325" s="11"/>
    </row>
    <row r="5326" spans="8:16" x14ac:dyDescent="0.25">
      <c r="H5326" s="12"/>
      <c r="I5326" s="12"/>
      <c r="J5326" s="12"/>
      <c r="K5326" s="12"/>
      <c r="L5326" s="12"/>
      <c r="M5326" s="11"/>
      <c r="N5326" s="11"/>
      <c r="O5326" s="11"/>
      <c r="P5326" s="11"/>
    </row>
    <row r="5327" spans="8:16" x14ac:dyDescent="0.25">
      <c r="H5327" s="12"/>
      <c r="I5327" s="12"/>
      <c r="J5327" s="12"/>
      <c r="K5327" s="12"/>
      <c r="L5327" s="12"/>
      <c r="M5327" s="11"/>
      <c r="N5327" s="11"/>
      <c r="O5327" s="11"/>
      <c r="P5327" s="11"/>
    </row>
    <row r="5328" spans="8:16" x14ac:dyDescent="0.25">
      <c r="H5328" s="12"/>
      <c r="I5328" s="12"/>
      <c r="J5328" s="12"/>
      <c r="K5328" s="12"/>
      <c r="L5328" s="12"/>
      <c r="M5328" s="11"/>
      <c r="N5328" s="11"/>
      <c r="O5328" s="11"/>
      <c r="P5328" s="11"/>
    </row>
    <row r="5329" spans="8:16" x14ac:dyDescent="0.25">
      <c r="H5329" s="12"/>
      <c r="I5329" s="12"/>
      <c r="J5329" s="12"/>
      <c r="K5329" s="12"/>
      <c r="L5329" s="12"/>
      <c r="M5329" s="11"/>
      <c r="N5329" s="11"/>
      <c r="O5329" s="11"/>
      <c r="P5329" s="11"/>
    </row>
    <row r="5330" spans="8:16" x14ac:dyDescent="0.25">
      <c r="H5330" s="12"/>
      <c r="I5330" s="12"/>
      <c r="J5330" s="12"/>
      <c r="K5330" s="12"/>
      <c r="L5330" s="12"/>
      <c r="M5330" s="11"/>
      <c r="N5330" s="11"/>
      <c r="O5330" s="11"/>
      <c r="P5330" s="11"/>
    </row>
    <row r="5331" spans="8:16" x14ac:dyDescent="0.25">
      <c r="H5331" s="12"/>
      <c r="I5331" s="12"/>
      <c r="J5331" s="12"/>
      <c r="K5331" s="12"/>
      <c r="L5331" s="12"/>
      <c r="M5331" s="11"/>
      <c r="N5331" s="11"/>
      <c r="O5331" s="11"/>
      <c r="P5331" s="11"/>
    </row>
    <row r="5332" spans="8:16" x14ac:dyDescent="0.25">
      <c r="H5332" s="12"/>
      <c r="I5332" s="12"/>
      <c r="J5332" s="12"/>
      <c r="K5332" s="12"/>
      <c r="L5332" s="12"/>
      <c r="M5332" s="11"/>
      <c r="N5332" s="11"/>
      <c r="O5332" s="11"/>
      <c r="P5332" s="11"/>
    </row>
    <row r="5333" spans="8:16" x14ac:dyDescent="0.25">
      <c r="H5333" s="12"/>
      <c r="I5333" s="12"/>
      <c r="J5333" s="12"/>
      <c r="K5333" s="12"/>
      <c r="L5333" s="12"/>
      <c r="M5333" s="11"/>
      <c r="N5333" s="11"/>
      <c r="O5333" s="11"/>
      <c r="P5333" s="11"/>
    </row>
    <row r="5334" spans="8:16" x14ac:dyDescent="0.25">
      <c r="H5334" s="12"/>
      <c r="I5334" s="12"/>
      <c r="J5334" s="12"/>
      <c r="K5334" s="12"/>
      <c r="L5334" s="12"/>
      <c r="M5334" s="11"/>
      <c r="N5334" s="11"/>
      <c r="O5334" s="11"/>
      <c r="P5334" s="11"/>
    </row>
    <row r="5335" spans="8:16" x14ac:dyDescent="0.25">
      <c r="H5335" s="12"/>
      <c r="I5335" s="12"/>
      <c r="J5335" s="12"/>
      <c r="K5335" s="12"/>
      <c r="L5335" s="12"/>
      <c r="M5335" s="11"/>
      <c r="N5335" s="11"/>
      <c r="O5335" s="11"/>
      <c r="P5335" s="11"/>
    </row>
    <row r="5336" spans="8:16" x14ac:dyDescent="0.25">
      <c r="H5336" s="12"/>
      <c r="I5336" s="12"/>
      <c r="J5336" s="12"/>
      <c r="K5336" s="12"/>
      <c r="L5336" s="12"/>
      <c r="M5336" s="11"/>
      <c r="N5336" s="11"/>
      <c r="O5336" s="11"/>
      <c r="P5336" s="11"/>
    </row>
    <row r="5337" spans="8:16" x14ac:dyDescent="0.25">
      <c r="H5337" s="12"/>
      <c r="I5337" s="12"/>
      <c r="J5337" s="12"/>
      <c r="K5337" s="12"/>
      <c r="L5337" s="12"/>
      <c r="M5337" s="11"/>
      <c r="N5337" s="11"/>
      <c r="O5337" s="11"/>
      <c r="P5337" s="11"/>
    </row>
    <row r="5338" spans="8:16" x14ac:dyDescent="0.25">
      <c r="H5338" s="12"/>
      <c r="I5338" s="12"/>
      <c r="J5338" s="12"/>
      <c r="K5338" s="12"/>
      <c r="L5338" s="12"/>
      <c r="M5338" s="11"/>
      <c r="N5338" s="11"/>
      <c r="O5338" s="11"/>
      <c r="P5338" s="11"/>
    </row>
    <row r="5339" spans="8:16" x14ac:dyDescent="0.25">
      <c r="H5339" s="12"/>
      <c r="I5339" s="12"/>
      <c r="J5339" s="12"/>
      <c r="K5339" s="12"/>
      <c r="L5339" s="12"/>
      <c r="M5339" s="11"/>
      <c r="N5339" s="11"/>
      <c r="O5339" s="11"/>
      <c r="P5339" s="11"/>
    </row>
    <row r="5340" spans="8:16" x14ac:dyDescent="0.25">
      <c r="H5340" s="12"/>
      <c r="I5340" s="12"/>
      <c r="J5340" s="12"/>
      <c r="K5340" s="12"/>
      <c r="L5340" s="12"/>
      <c r="M5340" s="11"/>
      <c r="N5340" s="11"/>
      <c r="O5340" s="11"/>
      <c r="P5340" s="11"/>
    </row>
    <row r="5341" spans="8:16" x14ac:dyDescent="0.25">
      <c r="H5341" s="12"/>
      <c r="I5341" s="12"/>
      <c r="J5341" s="12"/>
      <c r="K5341" s="12"/>
      <c r="L5341" s="12"/>
      <c r="M5341" s="11"/>
      <c r="N5341" s="11"/>
      <c r="O5341" s="11"/>
      <c r="P5341" s="11"/>
    </row>
    <row r="5342" spans="8:16" x14ac:dyDescent="0.25">
      <c r="H5342" s="12"/>
      <c r="I5342" s="12"/>
      <c r="J5342" s="12"/>
      <c r="K5342" s="12"/>
      <c r="L5342" s="12"/>
      <c r="M5342" s="11"/>
      <c r="N5342" s="11"/>
      <c r="O5342" s="11"/>
      <c r="P5342" s="11"/>
    </row>
    <row r="5343" spans="8:16" x14ac:dyDescent="0.25">
      <c r="H5343" s="12"/>
      <c r="I5343" s="12"/>
      <c r="J5343" s="12"/>
      <c r="K5343" s="12"/>
      <c r="L5343" s="12"/>
      <c r="M5343" s="11"/>
      <c r="N5343" s="11"/>
      <c r="O5343" s="11"/>
      <c r="P5343" s="11"/>
    </row>
    <row r="5344" spans="8:16" x14ac:dyDescent="0.25">
      <c r="H5344" s="12"/>
      <c r="I5344" s="12"/>
      <c r="J5344" s="12"/>
      <c r="K5344" s="12"/>
      <c r="L5344" s="12"/>
      <c r="M5344" s="11"/>
      <c r="N5344" s="11"/>
      <c r="O5344" s="11"/>
      <c r="P5344" s="11"/>
    </row>
    <row r="5345" spans="8:16" x14ac:dyDescent="0.25">
      <c r="H5345" s="12"/>
      <c r="I5345" s="12"/>
      <c r="J5345" s="12"/>
      <c r="K5345" s="12"/>
      <c r="L5345" s="12"/>
      <c r="M5345" s="11"/>
      <c r="N5345" s="11"/>
      <c r="O5345" s="11"/>
      <c r="P5345" s="11"/>
    </row>
    <row r="5346" spans="8:16" x14ac:dyDescent="0.25">
      <c r="H5346" s="12"/>
      <c r="I5346" s="12"/>
      <c r="J5346" s="12"/>
      <c r="K5346" s="12"/>
      <c r="L5346" s="12"/>
      <c r="M5346" s="11"/>
      <c r="N5346" s="11"/>
      <c r="O5346" s="11"/>
      <c r="P5346" s="11"/>
    </row>
    <row r="5347" spans="8:16" x14ac:dyDescent="0.25">
      <c r="H5347" s="12"/>
      <c r="I5347" s="12"/>
      <c r="J5347" s="12"/>
      <c r="K5347" s="12"/>
      <c r="L5347" s="12"/>
      <c r="M5347" s="11"/>
      <c r="N5347" s="11"/>
      <c r="O5347" s="11"/>
      <c r="P5347" s="11"/>
    </row>
    <row r="5348" spans="8:16" x14ac:dyDescent="0.25">
      <c r="H5348" s="12"/>
      <c r="I5348" s="12"/>
      <c r="J5348" s="12"/>
      <c r="K5348" s="12"/>
      <c r="L5348" s="12"/>
      <c r="M5348" s="11"/>
      <c r="N5348" s="11"/>
      <c r="O5348" s="11"/>
      <c r="P5348" s="11"/>
    </row>
    <row r="5349" spans="8:16" x14ac:dyDescent="0.25">
      <c r="H5349" s="12"/>
      <c r="I5349" s="12"/>
      <c r="J5349" s="12"/>
      <c r="K5349" s="12"/>
      <c r="L5349" s="12"/>
      <c r="M5349" s="11"/>
      <c r="N5349" s="11"/>
      <c r="O5349" s="11"/>
      <c r="P5349" s="11"/>
    </row>
    <row r="5350" spans="8:16" x14ac:dyDescent="0.25">
      <c r="H5350" s="12"/>
      <c r="I5350" s="12"/>
      <c r="J5350" s="12"/>
      <c r="K5350" s="12"/>
      <c r="L5350" s="12"/>
      <c r="M5350" s="11"/>
      <c r="N5350" s="11"/>
      <c r="O5350" s="11"/>
      <c r="P5350" s="11"/>
    </row>
    <row r="5351" spans="8:16" x14ac:dyDescent="0.25">
      <c r="H5351" s="12"/>
      <c r="I5351" s="12"/>
      <c r="J5351" s="12"/>
      <c r="K5351" s="12"/>
      <c r="L5351" s="12"/>
      <c r="M5351" s="11"/>
      <c r="N5351" s="11"/>
      <c r="O5351" s="11"/>
      <c r="P5351" s="11"/>
    </row>
    <row r="5352" spans="8:16" x14ac:dyDescent="0.25">
      <c r="H5352" s="12"/>
      <c r="I5352" s="12"/>
      <c r="J5352" s="12"/>
      <c r="K5352" s="12"/>
      <c r="L5352" s="12"/>
      <c r="M5352" s="11"/>
      <c r="N5352" s="11"/>
      <c r="O5352" s="11"/>
      <c r="P5352" s="11"/>
    </row>
    <row r="5353" spans="8:16" x14ac:dyDescent="0.25">
      <c r="H5353" s="12"/>
      <c r="I5353" s="12"/>
      <c r="J5353" s="12"/>
      <c r="K5353" s="12"/>
      <c r="L5353" s="12"/>
      <c r="M5353" s="11"/>
      <c r="N5353" s="11"/>
      <c r="O5353" s="11"/>
      <c r="P5353" s="11"/>
    </row>
    <row r="5354" spans="8:16" x14ac:dyDescent="0.25">
      <c r="H5354" s="12"/>
      <c r="I5354" s="12"/>
      <c r="J5354" s="12"/>
      <c r="K5354" s="12"/>
      <c r="L5354" s="12"/>
      <c r="M5354" s="11"/>
      <c r="N5354" s="11"/>
      <c r="O5354" s="11"/>
      <c r="P5354" s="11"/>
    </row>
    <row r="5355" spans="8:16" x14ac:dyDescent="0.25">
      <c r="H5355" s="12"/>
      <c r="I5355" s="12"/>
      <c r="J5355" s="12"/>
      <c r="K5355" s="12"/>
      <c r="L5355" s="12"/>
      <c r="M5355" s="11"/>
      <c r="N5355" s="11"/>
      <c r="O5355" s="11"/>
      <c r="P5355" s="11"/>
    </row>
    <row r="5356" spans="8:16" x14ac:dyDescent="0.25">
      <c r="H5356" s="12"/>
      <c r="I5356" s="12"/>
      <c r="J5356" s="12"/>
      <c r="K5356" s="12"/>
      <c r="L5356" s="12"/>
      <c r="M5356" s="11"/>
      <c r="N5356" s="11"/>
      <c r="O5356" s="11"/>
      <c r="P5356" s="11"/>
    </row>
    <row r="5357" spans="8:16" x14ac:dyDescent="0.25">
      <c r="H5357" s="12"/>
      <c r="I5357" s="12"/>
      <c r="J5357" s="12"/>
      <c r="K5357" s="12"/>
      <c r="L5357" s="12"/>
      <c r="M5357" s="11"/>
      <c r="N5357" s="11"/>
      <c r="O5357" s="11"/>
      <c r="P5357" s="11"/>
    </row>
    <row r="5358" spans="8:16" x14ac:dyDescent="0.25">
      <c r="H5358" s="12"/>
      <c r="I5358" s="12"/>
      <c r="J5358" s="12"/>
      <c r="K5358" s="12"/>
      <c r="L5358" s="12"/>
      <c r="M5358" s="11"/>
      <c r="N5358" s="11"/>
      <c r="O5358" s="11"/>
      <c r="P5358" s="11"/>
    </row>
    <row r="5359" spans="8:16" x14ac:dyDescent="0.25">
      <c r="H5359" s="12"/>
      <c r="I5359" s="12"/>
      <c r="J5359" s="12"/>
      <c r="K5359" s="12"/>
      <c r="L5359" s="12"/>
      <c r="M5359" s="11"/>
      <c r="N5359" s="11"/>
      <c r="O5359" s="11"/>
      <c r="P5359" s="11"/>
    </row>
    <row r="5360" spans="8:16" x14ac:dyDescent="0.25">
      <c r="H5360" s="12"/>
      <c r="I5360" s="12"/>
      <c r="J5360" s="12"/>
      <c r="K5360" s="12"/>
      <c r="L5360" s="12"/>
      <c r="M5360" s="11"/>
      <c r="N5360" s="11"/>
      <c r="O5360" s="11"/>
      <c r="P5360" s="11"/>
    </row>
    <row r="5361" spans="8:16" x14ac:dyDescent="0.25">
      <c r="H5361" s="12"/>
      <c r="I5361" s="12"/>
      <c r="J5361" s="12"/>
      <c r="K5361" s="12"/>
      <c r="L5361" s="12"/>
      <c r="M5361" s="11"/>
      <c r="N5361" s="11"/>
      <c r="O5361" s="11"/>
      <c r="P5361" s="11"/>
    </row>
    <row r="5362" spans="8:16" x14ac:dyDescent="0.25">
      <c r="H5362" s="12"/>
      <c r="I5362" s="12"/>
      <c r="J5362" s="12"/>
      <c r="K5362" s="12"/>
      <c r="L5362" s="12"/>
      <c r="M5362" s="11"/>
      <c r="N5362" s="11"/>
      <c r="O5362" s="11"/>
      <c r="P5362" s="11"/>
    </row>
    <row r="5363" spans="8:16" x14ac:dyDescent="0.25">
      <c r="H5363" s="12"/>
      <c r="I5363" s="12"/>
      <c r="J5363" s="12"/>
      <c r="K5363" s="12"/>
      <c r="L5363" s="12"/>
      <c r="M5363" s="11"/>
      <c r="N5363" s="11"/>
      <c r="O5363" s="11"/>
      <c r="P5363" s="11"/>
    </row>
    <row r="5364" spans="8:16" x14ac:dyDescent="0.25">
      <c r="H5364" s="12"/>
      <c r="I5364" s="12"/>
      <c r="J5364" s="12"/>
      <c r="K5364" s="12"/>
      <c r="L5364" s="12"/>
      <c r="M5364" s="11"/>
      <c r="N5364" s="11"/>
      <c r="O5364" s="11"/>
      <c r="P5364" s="11"/>
    </row>
    <row r="5365" spans="8:16" x14ac:dyDescent="0.25">
      <c r="H5365" s="12"/>
      <c r="I5365" s="12"/>
      <c r="J5365" s="12"/>
      <c r="K5365" s="12"/>
      <c r="L5365" s="12"/>
      <c r="M5365" s="11"/>
      <c r="N5365" s="11"/>
      <c r="O5365" s="11"/>
      <c r="P5365" s="11"/>
    </row>
    <row r="5366" spans="8:16" x14ac:dyDescent="0.25">
      <c r="H5366" s="12"/>
      <c r="I5366" s="12"/>
      <c r="J5366" s="12"/>
      <c r="K5366" s="12"/>
      <c r="L5366" s="12"/>
      <c r="M5366" s="11"/>
      <c r="N5366" s="11"/>
      <c r="O5366" s="11"/>
      <c r="P5366" s="11"/>
    </row>
    <row r="5367" spans="8:16" x14ac:dyDescent="0.25">
      <c r="H5367" s="12"/>
      <c r="I5367" s="12"/>
      <c r="J5367" s="12"/>
      <c r="K5367" s="12"/>
      <c r="L5367" s="12"/>
      <c r="M5367" s="11"/>
      <c r="N5367" s="11"/>
      <c r="O5367" s="11"/>
      <c r="P5367" s="11"/>
    </row>
    <row r="5368" spans="8:16" x14ac:dyDescent="0.25">
      <c r="H5368" s="12"/>
      <c r="I5368" s="12"/>
      <c r="J5368" s="12"/>
      <c r="K5368" s="12"/>
      <c r="L5368" s="12"/>
      <c r="M5368" s="11"/>
      <c r="N5368" s="11"/>
      <c r="O5368" s="11"/>
      <c r="P5368" s="11"/>
    </row>
    <row r="5369" spans="8:16" x14ac:dyDescent="0.25">
      <c r="H5369" s="12"/>
      <c r="I5369" s="12"/>
      <c r="J5369" s="12"/>
      <c r="K5369" s="12"/>
      <c r="L5369" s="12"/>
      <c r="M5369" s="11"/>
      <c r="N5369" s="11"/>
      <c r="O5369" s="11"/>
      <c r="P5369" s="11"/>
    </row>
    <row r="5370" spans="8:16" x14ac:dyDescent="0.25">
      <c r="H5370" s="12"/>
      <c r="I5370" s="12"/>
      <c r="J5370" s="12"/>
      <c r="K5370" s="12"/>
      <c r="L5370" s="12"/>
      <c r="M5370" s="11"/>
      <c r="N5370" s="11"/>
      <c r="O5370" s="11"/>
      <c r="P5370" s="11"/>
    </row>
    <row r="5371" spans="8:16" x14ac:dyDescent="0.25">
      <c r="H5371" s="12"/>
      <c r="I5371" s="12"/>
      <c r="J5371" s="12"/>
      <c r="K5371" s="12"/>
      <c r="L5371" s="12"/>
      <c r="M5371" s="11"/>
      <c r="N5371" s="11"/>
      <c r="O5371" s="11"/>
      <c r="P5371" s="11"/>
    </row>
    <row r="5372" spans="8:16" x14ac:dyDescent="0.25">
      <c r="H5372" s="12"/>
      <c r="I5372" s="12"/>
      <c r="J5372" s="12"/>
      <c r="K5372" s="12"/>
      <c r="L5372" s="12"/>
      <c r="M5372" s="11"/>
      <c r="N5372" s="11"/>
      <c r="O5372" s="11"/>
      <c r="P5372" s="11"/>
    </row>
    <row r="5373" spans="8:16" x14ac:dyDescent="0.25">
      <c r="H5373" s="12"/>
      <c r="I5373" s="12"/>
      <c r="J5373" s="12"/>
      <c r="K5373" s="12"/>
      <c r="L5373" s="12"/>
      <c r="M5373" s="11"/>
      <c r="N5373" s="11"/>
      <c r="O5373" s="11"/>
      <c r="P5373" s="11"/>
    </row>
    <row r="5374" spans="8:16" x14ac:dyDescent="0.25">
      <c r="H5374" s="12"/>
      <c r="I5374" s="12"/>
      <c r="J5374" s="12"/>
      <c r="K5374" s="12"/>
      <c r="L5374" s="12"/>
      <c r="M5374" s="11"/>
      <c r="N5374" s="11"/>
      <c r="O5374" s="11"/>
      <c r="P5374" s="11"/>
    </row>
    <row r="5375" spans="8:16" x14ac:dyDescent="0.25">
      <c r="H5375" s="12"/>
      <c r="I5375" s="12"/>
      <c r="J5375" s="12"/>
      <c r="K5375" s="12"/>
      <c r="L5375" s="12"/>
      <c r="M5375" s="11"/>
      <c r="N5375" s="11"/>
      <c r="O5375" s="11"/>
      <c r="P5375" s="11"/>
    </row>
    <row r="5376" spans="8:16" x14ac:dyDescent="0.25">
      <c r="H5376" s="12"/>
      <c r="I5376" s="12"/>
      <c r="J5376" s="12"/>
      <c r="K5376" s="12"/>
      <c r="L5376" s="12"/>
      <c r="M5376" s="11"/>
      <c r="N5376" s="11"/>
      <c r="O5376" s="11"/>
      <c r="P5376" s="11"/>
    </row>
    <row r="5377" spans="8:16" x14ac:dyDescent="0.25">
      <c r="H5377" s="12"/>
      <c r="I5377" s="12"/>
      <c r="J5377" s="12"/>
      <c r="K5377" s="12"/>
      <c r="L5377" s="12"/>
      <c r="M5377" s="11"/>
      <c r="N5377" s="11"/>
      <c r="O5377" s="11"/>
      <c r="P5377" s="11"/>
    </row>
    <row r="5378" spans="8:16" x14ac:dyDescent="0.25">
      <c r="H5378" s="12"/>
      <c r="I5378" s="12"/>
      <c r="J5378" s="12"/>
      <c r="K5378" s="12"/>
      <c r="L5378" s="12"/>
      <c r="M5378" s="11"/>
      <c r="N5378" s="11"/>
      <c r="O5378" s="11"/>
      <c r="P5378" s="11"/>
    </row>
    <row r="5379" spans="8:16" x14ac:dyDescent="0.25">
      <c r="H5379" s="12"/>
      <c r="I5379" s="12"/>
      <c r="J5379" s="12"/>
      <c r="K5379" s="12"/>
      <c r="L5379" s="12"/>
      <c r="M5379" s="11"/>
      <c r="N5379" s="11"/>
      <c r="O5379" s="11"/>
      <c r="P5379" s="11"/>
    </row>
    <row r="5380" spans="8:16" x14ac:dyDescent="0.25">
      <c r="H5380" s="12"/>
      <c r="I5380" s="12"/>
      <c r="J5380" s="12"/>
      <c r="K5380" s="12"/>
      <c r="L5380" s="12"/>
      <c r="M5380" s="11"/>
      <c r="N5380" s="11"/>
      <c r="O5380" s="11"/>
      <c r="P5380" s="11"/>
    </row>
    <row r="5381" spans="8:16" x14ac:dyDescent="0.25">
      <c r="H5381" s="12"/>
      <c r="I5381" s="12"/>
      <c r="J5381" s="12"/>
      <c r="K5381" s="12"/>
      <c r="L5381" s="12"/>
      <c r="M5381" s="11"/>
      <c r="N5381" s="11"/>
      <c r="O5381" s="11"/>
      <c r="P5381" s="11"/>
    </row>
    <row r="5382" spans="8:16" x14ac:dyDescent="0.25">
      <c r="H5382" s="12"/>
      <c r="I5382" s="12"/>
      <c r="J5382" s="12"/>
      <c r="K5382" s="12"/>
      <c r="L5382" s="12"/>
      <c r="M5382" s="11"/>
      <c r="N5382" s="11"/>
      <c r="O5382" s="11"/>
      <c r="P5382" s="11"/>
    </row>
    <row r="5383" spans="8:16" x14ac:dyDescent="0.25">
      <c r="H5383" s="12"/>
      <c r="I5383" s="12"/>
      <c r="J5383" s="12"/>
      <c r="K5383" s="12"/>
      <c r="L5383" s="12"/>
      <c r="M5383" s="11"/>
      <c r="N5383" s="11"/>
      <c r="O5383" s="11"/>
      <c r="P5383" s="11"/>
    </row>
    <row r="5384" spans="8:16" x14ac:dyDescent="0.25">
      <c r="H5384" s="12"/>
      <c r="I5384" s="12"/>
      <c r="J5384" s="12"/>
      <c r="K5384" s="12"/>
      <c r="L5384" s="12"/>
      <c r="M5384" s="11"/>
      <c r="N5384" s="11"/>
      <c r="O5384" s="11"/>
      <c r="P5384" s="11"/>
    </row>
    <row r="5385" spans="8:16" x14ac:dyDescent="0.25">
      <c r="H5385" s="12"/>
      <c r="I5385" s="12"/>
      <c r="J5385" s="12"/>
      <c r="K5385" s="12"/>
      <c r="L5385" s="12"/>
      <c r="M5385" s="11"/>
      <c r="N5385" s="11"/>
      <c r="O5385" s="11"/>
      <c r="P5385" s="11"/>
    </row>
    <row r="5386" spans="8:16" x14ac:dyDescent="0.25">
      <c r="H5386" s="12"/>
      <c r="I5386" s="12"/>
      <c r="J5386" s="12"/>
      <c r="K5386" s="12"/>
      <c r="L5386" s="12"/>
      <c r="M5386" s="11"/>
      <c r="N5386" s="11"/>
      <c r="O5386" s="11"/>
      <c r="P5386" s="11"/>
    </row>
    <row r="5387" spans="8:16" x14ac:dyDescent="0.25">
      <c r="H5387" s="12"/>
      <c r="I5387" s="12"/>
      <c r="J5387" s="12"/>
      <c r="K5387" s="12"/>
      <c r="L5387" s="12"/>
      <c r="M5387" s="11"/>
      <c r="N5387" s="11"/>
      <c r="O5387" s="11"/>
      <c r="P5387" s="11"/>
    </row>
    <row r="5388" spans="8:16" x14ac:dyDescent="0.25">
      <c r="H5388" s="12"/>
      <c r="I5388" s="12"/>
      <c r="J5388" s="12"/>
      <c r="K5388" s="12"/>
      <c r="L5388" s="12"/>
      <c r="M5388" s="11"/>
      <c r="N5388" s="11"/>
      <c r="O5388" s="11"/>
      <c r="P5388" s="11"/>
    </row>
    <row r="5389" spans="8:16" x14ac:dyDescent="0.25">
      <c r="H5389" s="12"/>
      <c r="I5389" s="12"/>
      <c r="J5389" s="12"/>
      <c r="K5389" s="12"/>
      <c r="L5389" s="12"/>
      <c r="M5389" s="11"/>
      <c r="N5389" s="11"/>
      <c r="O5389" s="11"/>
      <c r="P5389" s="11"/>
    </row>
    <row r="5390" spans="8:16" x14ac:dyDescent="0.25">
      <c r="H5390" s="12"/>
      <c r="I5390" s="12"/>
      <c r="J5390" s="12"/>
      <c r="K5390" s="12"/>
      <c r="L5390" s="12"/>
      <c r="M5390" s="11"/>
      <c r="N5390" s="11"/>
      <c r="O5390" s="11"/>
      <c r="P5390" s="11"/>
    </row>
    <row r="5391" spans="8:16" x14ac:dyDescent="0.25">
      <c r="H5391" s="12"/>
      <c r="I5391" s="12"/>
      <c r="J5391" s="12"/>
      <c r="K5391" s="12"/>
      <c r="L5391" s="12"/>
      <c r="M5391" s="11"/>
      <c r="N5391" s="11"/>
      <c r="O5391" s="11"/>
      <c r="P5391" s="11"/>
    </row>
    <row r="5392" spans="8:16" x14ac:dyDescent="0.25">
      <c r="H5392" s="12"/>
      <c r="I5392" s="12"/>
      <c r="J5392" s="12"/>
      <c r="K5392" s="12"/>
      <c r="L5392" s="12"/>
      <c r="M5392" s="11"/>
      <c r="N5392" s="11"/>
      <c r="O5392" s="11"/>
      <c r="P5392" s="11"/>
    </row>
    <row r="5393" spans="8:16" x14ac:dyDescent="0.25">
      <c r="H5393" s="12"/>
      <c r="I5393" s="12"/>
      <c r="J5393" s="12"/>
      <c r="K5393" s="12"/>
      <c r="L5393" s="12"/>
      <c r="M5393" s="11"/>
      <c r="N5393" s="11"/>
      <c r="O5393" s="11"/>
      <c r="P5393" s="11"/>
    </row>
    <row r="5394" spans="8:16" x14ac:dyDescent="0.25">
      <c r="H5394" s="12"/>
      <c r="I5394" s="12"/>
      <c r="J5394" s="12"/>
      <c r="K5394" s="12"/>
      <c r="L5394" s="12"/>
      <c r="M5394" s="11"/>
      <c r="N5394" s="11"/>
      <c r="O5394" s="11"/>
      <c r="P5394" s="11"/>
    </row>
    <row r="5395" spans="8:16" x14ac:dyDescent="0.25">
      <c r="H5395" s="12"/>
      <c r="I5395" s="12"/>
      <c r="J5395" s="12"/>
      <c r="K5395" s="12"/>
      <c r="L5395" s="12"/>
      <c r="M5395" s="11"/>
      <c r="N5395" s="11"/>
      <c r="O5395" s="11"/>
      <c r="P5395" s="11"/>
    </row>
    <row r="5396" spans="8:16" x14ac:dyDescent="0.25">
      <c r="H5396" s="12"/>
      <c r="I5396" s="12"/>
      <c r="J5396" s="12"/>
      <c r="K5396" s="12"/>
      <c r="L5396" s="12"/>
      <c r="M5396" s="11"/>
      <c r="N5396" s="11"/>
      <c r="O5396" s="11"/>
      <c r="P5396" s="11"/>
    </row>
    <row r="5397" spans="8:16" x14ac:dyDescent="0.25">
      <c r="H5397" s="12"/>
      <c r="I5397" s="12"/>
      <c r="J5397" s="12"/>
      <c r="K5397" s="12"/>
      <c r="L5397" s="12"/>
      <c r="M5397" s="11"/>
      <c r="N5397" s="11"/>
      <c r="O5397" s="11"/>
      <c r="P5397" s="11"/>
    </row>
    <row r="5398" spans="8:16" x14ac:dyDescent="0.25">
      <c r="H5398" s="12"/>
      <c r="I5398" s="12"/>
      <c r="J5398" s="12"/>
      <c r="K5398" s="12"/>
      <c r="L5398" s="12"/>
      <c r="M5398" s="11"/>
      <c r="N5398" s="11"/>
      <c r="O5398" s="11"/>
      <c r="P5398" s="11"/>
    </row>
    <row r="5399" spans="8:16" x14ac:dyDescent="0.25">
      <c r="H5399" s="12"/>
      <c r="I5399" s="12"/>
      <c r="J5399" s="12"/>
      <c r="K5399" s="12"/>
      <c r="L5399" s="12"/>
      <c r="M5399" s="11"/>
      <c r="N5399" s="11"/>
      <c r="O5399" s="11"/>
      <c r="P5399" s="11"/>
    </row>
    <row r="5400" spans="8:16" x14ac:dyDescent="0.25">
      <c r="H5400" s="12"/>
      <c r="I5400" s="12"/>
      <c r="J5400" s="12"/>
      <c r="K5400" s="12"/>
      <c r="L5400" s="12"/>
      <c r="M5400" s="11"/>
      <c r="N5400" s="11"/>
      <c r="O5400" s="11"/>
      <c r="P5400" s="11"/>
    </row>
    <row r="5401" spans="8:16" x14ac:dyDescent="0.25">
      <c r="H5401" s="12"/>
      <c r="I5401" s="12"/>
      <c r="J5401" s="12"/>
      <c r="K5401" s="12"/>
      <c r="L5401" s="12"/>
      <c r="M5401" s="11"/>
      <c r="N5401" s="11"/>
      <c r="O5401" s="11"/>
      <c r="P5401" s="11"/>
    </row>
    <row r="5402" spans="8:16" x14ac:dyDescent="0.25">
      <c r="H5402" s="12"/>
      <c r="I5402" s="12"/>
      <c r="J5402" s="12"/>
      <c r="K5402" s="12"/>
      <c r="L5402" s="12"/>
      <c r="M5402" s="11"/>
      <c r="N5402" s="11"/>
      <c r="O5402" s="11"/>
      <c r="P5402" s="11"/>
    </row>
    <row r="5403" spans="8:16" x14ac:dyDescent="0.25">
      <c r="H5403" s="12"/>
      <c r="I5403" s="12"/>
      <c r="J5403" s="12"/>
      <c r="K5403" s="12"/>
      <c r="L5403" s="12"/>
      <c r="M5403" s="11"/>
      <c r="N5403" s="11"/>
      <c r="O5403" s="11"/>
      <c r="P5403" s="11"/>
    </row>
    <row r="5404" spans="8:16" x14ac:dyDescent="0.25">
      <c r="H5404" s="12"/>
      <c r="I5404" s="12"/>
      <c r="J5404" s="12"/>
      <c r="K5404" s="12"/>
      <c r="L5404" s="12"/>
      <c r="M5404" s="11"/>
      <c r="N5404" s="11"/>
      <c r="O5404" s="11"/>
      <c r="P5404" s="11"/>
    </row>
    <row r="5405" spans="8:16" x14ac:dyDescent="0.25">
      <c r="H5405" s="12"/>
      <c r="I5405" s="12"/>
      <c r="J5405" s="12"/>
      <c r="K5405" s="12"/>
      <c r="L5405" s="12"/>
      <c r="M5405" s="11"/>
      <c r="N5405" s="11"/>
      <c r="O5405" s="11"/>
      <c r="P5405" s="11"/>
    </row>
    <row r="5406" spans="8:16" x14ac:dyDescent="0.25">
      <c r="H5406" s="12"/>
      <c r="I5406" s="12"/>
      <c r="J5406" s="12"/>
      <c r="K5406" s="12"/>
      <c r="L5406" s="12"/>
      <c r="M5406" s="11"/>
      <c r="N5406" s="11"/>
      <c r="O5406" s="11"/>
      <c r="P5406" s="11"/>
    </row>
    <row r="5407" spans="8:16" x14ac:dyDescent="0.25">
      <c r="H5407" s="12"/>
      <c r="I5407" s="12"/>
      <c r="J5407" s="12"/>
      <c r="K5407" s="12"/>
      <c r="L5407" s="12"/>
      <c r="M5407" s="11"/>
      <c r="N5407" s="11"/>
      <c r="O5407" s="11"/>
      <c r="P5407" s="11"/>
    </row>
    <row r="5408" spans="8:16" x14ac:dyDescent="0.25">
      <c r="H5408" s="12"/>
      <c r="I5408" s="12"/>
      <c r="J5408" s="12"/>
      <c r="K5408" s="12"/>
      <c r="L5408" s="12"/>
      <c r="M5408" s="11"/>
      <c r="N5408" s="11"/>
      <c r="O5408" s="11"/>
      <c r="P5408" s="11"/>
    </row>
    <row r="5409" spans="8:16" x14ac:dyDescent="0.25">
      <c r="H5409" s="12"/>
      <c r="I5409" s="12"/>
      <c r="J5409" s="12"/>
      <c r="K5409" s="12"/>
      <c r="L5409" s="12"/>
      <c r="M5409" s="11"/>
      <c r="N5409" s="11"/>
      <c r="O5409" s="11"/>
      <c r="P5409" s="11"/>
    </row>
    <row r="5410" spans="8:16" x14ac:dyDescent="0.25">
      <c r="H5410" s="12"/>
      <c r="I5410" s="12"/>
      <c r="J5410" s="12"/>
      <c r="K5410" s="12"/>
      <c r="L5410" s="12"/>
      <c r="M5410" s="11"/>
      <c r="N5410" s="11"/>
      <c r="O5410" s="11"/>
      <c r="P5410" s="11"/>
    </row>
    <row r="5411" spans="8:16" x14ac:dyDescent="0.25">
      <c r="H5411" s="12"/>
      <c r="I5411" s="12"/>
      <c r="J5411" s="12"/>
      <c r="K5411" s="12"/>
      <c r="L5411" s="12"/>
      <c r="M5411" s="11"/>
      <c r="N5411" s="11"/>
      <c r="O5411" s="11"/>
      <c r="P5411" s="11"/>
    </row>
    <row r="5412" spans="8:16" x14ac:dyDescent="0.25">
      <c r="H5412" s="12"/>
      <c r="I5412" s="12"/>
      <c r="J5412" s="12"/>
      <c r="K5412" s="12"/>
      <c r="L5412" s="12"/>
      <c r="M5412" s="11"/>
      <c r="N5412" s="11"/>
      <c r="O5412" s="11"/>
      <c r="P5412" s="11"/>
    </row>
    <row r="5413" spans="8:16" x14ac:dyDescent="0.25">
      <c r="H5413" s="12"/>
      <c r="I5413" s="12"/>
      <c r="J5413" s="12"/>
      <c r="K5413" s="12"/>
      <c r="L5413" s="12"/>
      <c r="M5413" s="11"/>
      <c r="N5413" s="11"/>
      <c r="O5413" s="11"/>
      <c r="P5413" s="11"/>
    </row>
    <row r="5414" spans="8:16" x14ac:dyDescent="0.25">
      <c r="H5414" s="12"/>
      <c r="I5414" s="12"/>
      <c r="J5414" s="12"/>
      <c r="K5414" s="12"/>
      <c r="L5414" s="12"/>
      <c r="M5414" s="11"/>
      <c r="N5414" s="11"/>
      <c r="O5414" s="11"/>
      <c r="P5414" s="11"/>
    </row>
    <row r="5415" spans="8:16" x14ac:dyDescent="0.25">
      <c r="H5415" s="12"/>
      <c r="I5415" s="12"/>
      <c r="J5415" s="12"/>
      <c r="K5415" s="12"/>
      <c r="L5415" s="12"/>
      <c r="M5415" s="11"/>
      <c r="N5415" s="11"/>
      <c r="O5415" s="11"/>
      <c r="P5415" s="11"/>
    </row>
    <row r="5416" spans="8:16" x14ac:dyDescent="0.25">
      <c r="H5416" s="12"/>
      <c r="I5416" s="12"/>
      <c r="J5416" s="12"/>
      <c r="K5416" s="12"/>
      <c r="L5416" s="12"/>
      <c r="M5416" s="11"/>
      <c r="N5416" s="11"/>
      <c r="O5416" s="11"/>
      <c r="P5416" s="11"/>
    </row>
    <row r="5417" spans="8:16" x14ac:dyDescent="0.25">
      <c r="H5417" s="12"/>
      <c r="I5417" s="12"/>
      <c r="J5417" s="12"/>
      <c r="K5417" s="12"/>
      <c r="L5417" s="12"/>
      <c r="M5417" s="11"/>
      <c r="N5417" s="11"/>
      <c r="O5417" s="11"/>
      <c r="P5417" s="11"/>
    </row>
    <row r="5418" spans="8:16" x14ac:dyDescent="0.25">
      <c r="H5418" s="12"/>
      <c r="I5418" s="12"/>
      <c r="J5418" s="12"/>
      <c r="K5418" s="12"/>
      <c r="L5418" s="12"/>
      <c r="M5418" s="11"/>
      <c r="N5418" s="11"/>
      <c r="O5418" s="11"/>
      <c r="P5418" s="11"/>
    </row>
    <row r="5419" spans="8:16" x14ac:dyDescent="0.25">
      <c r="H5419" s="12"/>
      <c r="I5419" s="12"/>
      <c r="J5419" s="12"/>
      <c r="K5419" s="12"/>
      <c r="L5419" s="12"/>
      <c r="M5419" s="11"/>
      <c r="N5419" s="11"/>
      <c r="O5419" s="11"/>
      <c r="P5419" s="11"/>
    </row>
    <row r="5420" spans="8:16" x14ac:dyDescent="0.25">
      <c r="H5420" s="12"/>
      <c r="I5420" s="12"/>
      <c r="J5420" s="12"/>
      <c r="K5420" s="12"/>
      <c r="L5420" s="12"/>
      <c r="M5420" s="11"/>
      <c r="N5420" s="11"/>
      <c r="O5420" s="11"/>
      <c r="P5420" s="11"/>
    </row>
    <row r="5421" spans="8:16" x14ac:dyDescent="0.25">
      <c r="H5421" s="12"/>
      <c r="I5421" s="12"/>
      <c r="J5421" s="12"/>
      <c r="K5421" s="12"/>
      <c r="L5421" s="12"/>
      <c r="M5421" s="11"/>
      <c r="N5421" s="11"/>
      <c r="O5421" s="11"/>
      <c r="P5421" s="11"/>
    </row>
    <row r="5422" spans="8:16" x14ac:dyDescent="0.25">
      <c r="H5422" s="12"/>
      <c r="I5422" s="12"/>
      <c r="J5422" s="12"/>
      <c r="K5422" s="12"/>
      <c r="L5422" s="12"/>
      <c r="M5422" s="11"/>
      <c r="N5422" s="11"/>
      <c r="O5422" s="11"/>
      <c r="P5422" s="11"/>
    </row>
    <row r="5423" spans="8:16" x14ac:dyDescent="0.25">
      <c r="H5423" s="12"/>
      <c r="I5423" s="12"/>
      <c r="J5423" s="12"/>
      <c r="K5423" s="12"/>
      <c r="L5423" s="12"/>
      <c r="M5423" s="11"/>
      <c r="N5423" s="11"/>
      <c r="O5423" s="11"/>
      <c r="P5423" s="11"/>
    </row>
    <row r="5424" spans="8:16" x14ac:dyDescent="0.25">
      <c r="H5424" s="12"/>
      <c r="I5424" s="12"/>
      <c r="J5424" s="12"/>
      <c r="K5424" s="12"/>
      <c r="L5424" s="12"/>
      <c r="M5424" s="11"/>
      <c r="N5424" s="11"/>
      <c r="O5424" s="11"/>
      <c r="P5424" s="11"/>
    </row>
    <row r="5425" spans="8:16" x14ac:dyDescent="0.25">
      <c r="H5425" s="12"/>
      <c r="I5425" s="12"/>
      <c r="J5425" s="12"/>
      <c r="K5425" s="12"/>
      <c r="L5425" s="12"/>
      <c r="M5425" s="11"/>
      <c r="N5425" s="11"/>
      <c r="O5425" s="11"/>
      <c r="P5425" s="11"/>
    </row>
    <row r="5426" spans="8:16" x14ac:dyDescent="0.25">
      <c r="H5426" s="12"/>
      <c r="I5426" s="12"/>
      <c r="J5426" s="12"/>
      <c r="K5426" s="12"/>
      <c r="L5426" s="12"/>
      <c r="M5426" s="11"/>
      <c r="N5426" s="11"/>
      <c r="O5426" s="11"/>
      <c r="P5426" s="11"/>
    </row>
    <row r="5427" spans="8:16" x14ac:dyDescent="0.25">
      <c r="H5427" s="12"/>
      <c r="I5427" s="12"/>
      <c r="J5427" s="12"/>
      <c r="K5427" s="12"/>
      <c r="L5427" s="12"/>
      <c r="M5427" s="11"/>
      <c r="N5427" s="11"/>
      <c r="O5427" s="11"/>
      <c r="P5427" s="11"/>
    </row>
    <row r="5428" spans="8:16" x14ac:dyDescent="0.25">
      <c r="H5428" s="12"/>
      <c r="I5428" s="12"/>
      <c r="J5428" s="12"/>
      <c r="K5428" s="12"/>
      <c r="L5428" s="12"/>
      <c r="M5428" s="11"/>
      <c r="N5428" s="11"/>
      <c r="O5428" s="11"/>
      <c r="P5428" s="11"/>
    </row>
    <row r="5429" spans="8:16" x14ac:dyDescent="0.25">
      <c r="H5429" s="12"/>
      <c r="I5429" s="12"/>
      <c r="J5429" s="12"/>
      <c r="K5429" s="12"/>
      <c r="L5429" s="12"/>
      <c r="M5429" s="11"/>
      <c r="N5429" s="11"/>
      <c r="O5429" s="11"/>
      <c r="P5429" s="11"/>
    </row>
    <row r="5430" spans="8:16" x14ac:dyDescent="0.25">
      <c r="H5430" s="12"/>
      <c r="I5430" s="12"/>
      <c r="J5430" s="12"/>
      <c r="K5430" s="12"/>
      <c r="L5430" s="12"/>
      <c r="M5430" s="11"/>
      <c r="N5430" s="11"/>
      <c r="O5430" s="11"/>
      <c r="P5430" s="11"/>
    </row>
    <row r="5431" spans="8:16" x14ac:dyDescent="0.25">
      <c r="H5431" s="12"/>
      <c r="I5431" s="12"/>
      <c r="J5431" s="12"/>
      <c r="K5431" s="12"/>
      <c r="L5431" s="12"/>
      <c r="M5431" s="11"/>
      <c r="N5431" s="11"/>
      <c r="O5431" s="11"/>
      <c r="P5431" s="11"/>
    </row>
    <row r="5432" spans="8:16" x14ac:dyDescent="0.25">
      <c r="H5432" s="12"/>
      <c r="I5432" s="12"/>
      <c r="J5432" s="12"/>
      <c r="K5432" s="12"/>
      <c r="L5432" s="12"/>
      <c r="M5432" s="11"/>
      <c r="N5432" s="11"/>
      <c r="O5432" s="11"/>
      <c r="P5432" s="11"/>
    </row>
    <row r="5433" spans="8:16" x14ac:dyDescent="0.25">
      <c r="H5433" s="12"/>
      <c r="I5433" s="12"/>
      <c r="J5433" s="12"/>
      <c r="K5433" s="12"/>
      <c r="L5433" s="12"/>
      <c r="M5433" s="11"/>
      <c r="N5433" s="11"/>
      <c r="O5433" s="11"/>
      <c r="P5433" s="11"/>
    </row>
    <row r="5434" spans="8:16" x14ac:dyDescent="0.25">
      <c r="H5434" s="12"/>
      <c r="I5434" s="12"/>
      <c r="J5434" s="12"/>
      <c r="K5434" s="12"/>
      <c r="L5434" s="12"/>
      <c r="M5434" s="11"/>
      <c r="N5434" s="11"/>
      <c r="O5434" s="11"/>
      <c r="P5434" s="11"/>
    </row>
    <row r="5435" spans="8:16" x14ac:dyDescent="0.25">
      <c r="H5435" s="12"/>
      <c r="I5435" s="12"/>
      <c r="J5435" s="12"/>
      <c r="K5435" s="12"/>
      <c r="L5435" s="12"/>
      <c r="M5435" s="11"/>
      <c r="N5435" s="11"/>
      <c r="O5435" s="11"/>
      <c r="P5435" s="11"/>
    </row>
    <row r="5436" spans="8:16" x14ac:dyDescent="0.25">
      <c r="H5436" s="12"/>
      <c r="I5436" s="12"/>
      <c r="J5436" s="12"/>
      <c r="K5436" s="12"/>
      <c r="L5436" s="12"/>
      <c r="M5436" s="11"/>
      <c r="N5436" s="11"/>
      <c r="O5436" s="11"/>
      <c r="P5436" s="11"/>
    </row>
    <row r="5437" spans="8:16" x14ac:dyDescent="0.25">
      <c r="H5437" s="12"/>
      <c r="I5437" s="12"/>
      <c r="J5437" s="12"/>
      <c r="K5437" s="12"/>
      <c r="L5437" s="12"/>
      <c r="M5437" s="11"/>
      <c r="N5437" s="11"/>
      <c r="O5437" s="11"/>
      <c r="P5437" s="11"/>
    </row>
    <row r="5438" spans="8:16" x14ac:dyDescent="0.25">
      <c r="H5438" s="12"/>
      <c r="I5438" s="12"/>
      <c r="J5438" s="12"/>
      <c r="K5438" s="12"/>
      <c r="L5438" s="12"/>
      <c r="M5438" s="11"/>
      <c r="N5438" s="11"/>
      <c r="O5438" s="11"/>
      <c r="P5438" s="11"/>
    </row>
    <row r="5439" spans="8:16" x14ac:dyDescent="0.25">
      <c r="H5439" s="12"/>
      <c r="I5439" s="12"/>
      <c r="J5439" s="12"/>
      <c r="K5439" s="12"/>
      <c r="L5439" s="12"/>
      <c r="M5439" s="11"/>
      <c r="N5439" s="11"/>
      <c r="O5439" s="11"/>
      <c r="P5439" s="11"/>
    </row>
    <row r="5440" spans="8:16" x14ac:dyDescent="0.25">
      <c r="H5440" s="12"/>
      <c r="I5440" s="12"/>
      <c r="J5440" s="12"/>
      <c r="K5440" s="12"/>
      <c r="L5440" s="12"/>
      <c r="M5440" s="11"/>
      <c r="N5440" s="11"/>
      <c r="O5440" s="11"/>
      <c r="P5440" s="11"/>
    </row>
    <row r="5441" spans="8:16" x14ac:dyDescent="0.25">
      <c r="H5441" s="12"/>
      <c r="I5441" s="12"/>
      <c r="J5441" s="12"/>
      <c r="K5441" s="12"/>
      <c r="L5441" s="12"/>
      <c r="M5441" s="11"/>
      <c r="N5441" s="11"/>
      <c r="O5441" s="11"/>
      <c r="P5441" s="11"/>
    </row>
    <row r="5442" spans="8:16" x14ac:dyDescent="0.25">
      <c r="H5442" s="12"/>
      <c r="I5442" s="12"/>
      <c r="J5442" s="12"/>
      <c r="K5442" s="12"/>
      <c r="L5442" s="12"/>
      <c r="M5442" s="11"/>
      <c r="N5442" s="11"/>
      <c r="O5442" s="11"/>
      <c r="P5442" s="11"/>
    </row>
    <row r="5443" spans="8:16" x14ac:dyDescent="0.25">
      <c r="H5443" s="12"/>
      <c r="I5443" s="12"/>
      <c r="J5443" s="12"/>
      <c r="K5443" s="12"/>
      <c r="L5443" s="12"/>
      <c r="M5443" s="11"/>
      <c r="N5443" s="11"/>
      <c r="O5443" s="11"/>
      <c r="P5443" s="11"/>
    </row>
    <row r="5444" spans="8:16" x14ac:dyDescent="0.25">
      <c r="H5444" s="12"/>
      <c r="I5444" s="12"/>
      <c r="J5444" s="12"/>
      <c r="K5444" s="12"/>
      <c r="L5444" s="12"/>
      <c r="M5444" s="11"/>
      <c r="N5444" s="11"/>
      <c r="O5444" s="11"/>
      <c r="P5444" s="11"/>
    </row>
    <row r="5445" spans="8:16" x14ac:dyDescent="0.25">
      <c r="H5445" s="12"/>
      <c r="I5445" s="12"/>
      <c r="J5445" s="12"/>
      <c r="K5445" s="12"/>
      <c r="L5445" s="12"/>
      <c r="M5445" s="11"/>
      <c r="N5445" s="11"/>
      <c r="O5445" s="11"/>
      <c r="P5445" s="11"/>
    </row>
    <row r="5446" spans="8:16" x14ac:dyDescent="0.25">
      <c r="H5446" s="12"/>
      <c r="I5446" s="12"/>
      <c r="J5446" s="12"/>
      <c r="K5446" s="12"/>
      <c r="L5446" s="12"/>
      <c r="M5446" s="11"/>
      <c r="N5446" s="11"/>
      <c r="O5446" s="11"/>
      <c r="P5446" s="11"/>
    </row>
    <row r="5447" spans="8:16" x14ac:dyDescent="0.25">
      <c r="H5447" s="12"/>
      <c r="I5447" s="12"/>
      <c r="J5447" s="12"/>
      <c r="K5447" s="12"/>
      <c r="L5447" s="12"/>
      <c r="M5447" s="11"/>
      <c r="N5447" s="11"/>
      <c r="O5447" s="11"/>
      <c r="P5447" s="11"/>
    </row>
    <row r="5448" spans="8:16" x14ac:dyDescent="0.25">
      <c r="H5448" s="12"/>
      <c r="I5448" s="12"/>
      <c r="J5448" s="12"/>
      <c r="K5448" s="12"/>
      <c r="L5448" s="12"/>
      <c r="M5448" s="11"/>
      <c r="N5448" s="11"/>
      <c r="O5448" s="11"/>
      <c r="P5448" s="11"/>
    </row>
    <row r="5449" spans="8:16" x14ac:dyDescent="0.25">
      <c r="H5449" s="12"/>
      <c r="I5449" s="12"/>
      <c r="J5449" s="12"/>
      <c r="K5449" s="12"/>
      <c r="L5449" s="12"/>
      <c r="M5449" s="11"/>
      <c r="N5449" s="11"/>
      <c r="O5449" s="11"/>
      <c r="P5449" s="11"/>
    </row>
    <row r="5450" spans="8:16" x14ac:dyDescent="0.25">
      <c r="H5450" s="12"/>
      <c r="I5450" s="12"/>
      <c r="J5450" s="12"/>
      <c r="K5450" s="12"/>
      <c r="L5450" s="12"/>
      <c r="M5450" s="11"/>
      <c r="N5450" s="11"/>
      <c r="O5450" s="11"/>
      <c r="P5450" s="11"/>
    </row>
    <row r="5451" spans="8:16" x14ac:dyDescent="0.25">
      <c r="H5451" s="12"/>
      <c r="I5451" s="12"/>
      <c r="J5451" s="12"/>
      <c r="K5451" s="12"/>
      <c r="L5451" s="12"/>
      <c r="M5451" s="11"/>
      <c r="N5451" s="11"/>
      <c r="O5451" s="11"/>
      <c r="P5451" s="11"/>
    </row>
    <row r="5452" spans="8:16" x14ac:dyDescent="0.25">
      <c r="H5452" s="12"/>
      <c r="I5452" s="12"/>
      <c r="J5452" s="12"/>
      <c r="K5452" s="12"/>
      <c r="L5452" s="12"/>
      <c r="M5452" s="11"/>
      <c r="N5452" s="11"/>
      <c r="O5452" s="11"/>
      <c r="P5452" s="11"/>
    </row>
    <row r="5453" spans="8:16" x14ac:dyDescent="0.25">
      <c r="H5453" s="12"/>
      <c r="I5453" s="12"/>
      <c r="J5453" s="12"/>
      <c r="K5453" s="12"/>
      <c r="L5453" s="12"/>
      <c r="M5453" s="11"/>
      <c r="N5453" s="11"/>
      <c r="O5453" s="11"/>
      <c r="P5453" s="11"/>
    </row>
    <row r="5454" spans="8:16" x14ac:dyDescent="0.25">
      <c r="H5454" s="12"/>
      <c r="I5454" s="12"/>
      <c r="J5454" s="12"/>
      <c r="K5454" s="12"/>
      <c r="L5454" s="12"/>
      <c r="M5454" s="11"/>
      <c r="N5454" s="11"/>
      <c r="O5454" s="11"/>
      <c r="P5454" s="11"/>
    </row>
    <row r="5455" spans="8:16" x14ac:dyDescent="0.25">
      <c r="H5455" s="12"/>
      <c r="I5455" s="12"/>
      <c r="J5455" s="12"/>
      <c r="K5455" s="12"/>
      <c r="L5455" s="12"/>
      <c r="M5455" s="11"/>
      <c r="N5455" s="11"/>
      <c r="O5455" s="11"/>
      <c r="P5455" s="11"/>
    </row>
    <row r="5456" spans="8:16" x14ac:dyDescent="0.25">
      <c r="H5456" s="12"/>
      <c r="I5456" s="12"/>
      <c r="J5456" s="12"/>
      <c r="K5456" s="12"/>
      <c r="L5456" s="12"/>
      <c r="M5456" s="11"/>
      <c r="N5456" s="11"/>
      <c r="O5456" s="11"/>
      <c r="P5456" s="11"/>
    </row>
    <row r="5457" spans="8:16" x14ac:dyDescent="0.25">
      <c r="H5457" s="12"/>
      <c r="I5457" s="12"/>
      <c r="J5457" s="12"/>
      <c r="K5457" s="12"/>
      <c r="L5457" s="12"/>
      <c r="M5457" s="11"/>
      <c r="N5457" s="11"/>
      <c r="O5457" s="11"/>
      <c r="P5457" s="11"/>
    </row>
    <row r="5458" spans="8:16" x14ac:dyDescent="0.25">
      <c r="H5458" s="12"/>
      <c r="I5458" s="12"/>
      <c r="J5458" s="12"/>
      <c r="K5458" s="12"/>
      <c r="L5458" s="12"/>
      <c r="M5458" s="11"/>
      <c r="N5458" s="11"/>
      <c r="O5458" s="11"/>
      <c r="P5458" s="11"/>
    </row>
    <row r="5459" spans="8:16" x14ac:dyDescent="0.25">
      <c r="H5459" s="12"/>
      <c r="I5459" s="12"/>
      <c r="J5459" s="12"/>
      <c r="K5459" s="12"/>
      <c r="L5459" s="12"/>
      <c r="M5459" s="11"/>
      <c r="N5459" s="11"/>
      <c r="O5459" s="11"/>
      <c r="P5459" s="11"/>
    </row>
    <row r="5460" spans="8:16" x14ac:dyDescent="0.25">
      <c r="H5460" s="12"/>
      <c r="I5460" s="12"/>
      <c r="J5460" s="12"/>
      <c r="K5460" s="12"/>
      <c r="L5460" s="12"/>
      <c r="M5460" s="11"/>
      <c r="N5460" s="11"/>
      <c r="O5460" s="11"/>
      <c r="P5460" s="11"/>
    </row>
    <row r="5461" spans="8:16" x14ac:dyDescent="0.25">
      <c r="H5461" s="12"/>
      <c r="I5461" s="12"/>
      <c r="J5461" s="12"/>
      <c r="K5461" s="12"/>
      <c r="L5461" s="12"/>
      <c r="M5461" s="11"/>
      <c r="N5461" s="11"/>
      <c r="O5461" s="11"/>
      <c r="P5461" s="11"/>
    </row>
    <row r="5462" spans="8:16" x14ac:dyDescent="0.25">
      <c r="H5462" s="12"/>
      <c r="I5462" s="12"/>
      <c r="J5462" s="12"/>
      <c r="K5462" s="12"/>
      <c r="L5462" s="12"/>
      <c r="M5462" s="11"/>
      <c r="N5462" s="11"/>
      <c r="O5462" s="11"/>
      <c r="P5462" s="11"/>
    </row>
    <row r="5463" spans="8:16" x14ac:dyDescent="0.25">
      <c r="H5463" s="12"/>
      <c r="I5463" s="12"/>
      <c r="J5463" s="12"/>
      <c r="K5463" s="12"/>
      <c r="L5463" s="12"/>
      <c r="M5463" s="11"/>
      <c r="N5463" s="11"/>
      <c r="O5463" s="11"/>
      <c r="P5463" s="11"/>
    </row>
    <row r="5464" spans="8:16" x14ac:dyDescent="0.25">
      <c r="H5464" s="12"/>
      <c r="I5464" s="12"/>
      <c r="J5464" s="12"/>
      <c r="K5464" s="12"/>
      <c r="L5464" s="12"/>
      <c r="M5464" s="11"/>
      <c r="N5464" s="11"/>
      <c r="O5464" s="11"/>
      <c r="P5464" s="11"/>
    </row>
    <row r="5465" spans="8:16" x14ac:dyDescent="0.25">
      <c r="H5465" s="12"/>
      <c r="I5465" s="12"/>
      <c r="J5465" s="12"/>
      <c r="K5465" s="12"/>
      <c r="L5465" s="12"/>
      <c r="M5465" s="11"/>
      <c r="N5465" s="11"/>
      <c r="O5465" s="11"/>
      <c r="P5465" s="11"/>
    </row>
    <row r="5466" spans="8:16" x14ac:dyDescent="0.25">
      <c r="H5466" s="12"/>
      <c r="I5466" s="12"/>
      <c r="J5466" s="12"/>
      <c r="K5466" s="12"/>
      <c r="L5466" s="12"/>
      <c r="M5466" s="11"/>
      <c r="N5466" s="11"/>
      <c r="O5466" s="11"/>
      <c r="P5466" s="11"/>
    </row>
    <row r="5467" spans="8:16" x14ac:dyDescent="0.25">
      <c r="H5467" s="12"/>
      <c r="I5467" s="12"/>
      <c r="J5467" s="12"/>
      <c r="K5467" s="12"/>
      <c r="L5467" s="12"/>
      <c r="M5467" s="11"/>
      <c r="N5467" s="11"/>
      <c r="O5467" s="11"/>
      <c r="P5467" s="11"/>
    </row>
    <row r="5468" spans="8:16" x14ac:dyDescent="0.25">
      <c r="H5468" s="12"/>
      <c r="I5468" s="12"/>
      <c r="J5468" s="12"/>
      <c r="K5468" s="12"/>
      <c r="L5468" s="12"/>
      <c r="M5468" s="11"/>
      <c r="N5468" s="11"/>
      <c r="O5468" s="11"/>
      <c r="P5468" s="11"/>
    </row>
    <row r="5469" spans="8:16" x14ac:dyDescent="0.25">
      <c r="H5469" s="12"/>
      <c r="I5469" s="12"/>
      <c r="J5469" s="12"/>
      <c r="K5469" s="12"/>
      <c r="L5469" s="12"/>
      <c r="M5469" s="11"/>
      <c r="N5469" s="11"/>
      <c r="O5469" s="11"/>
      <c r="P5469" s="11"/>
    </row>
    <row r="5470" spans="8:16" x14ac:dyDescent="0.25">
      <c r="H5470" s="12"/>
      <c r="I5470" s="12"/>
      <c r="J5470" s="12"/>
      <c r="K5470" s="12"/>
      <c r="L5470" s="12"/>
      <c r="M5470" s="11"/>
      <c r="N5470" s="11"/>
      <c r="O5470" s="11"/>
      <c r="P5470" s="11"/>
    </row>
    <row r="5471" spans="8:16" x14ac:dyDescent="0.25">
      <c r="H5471" s="12"/>
      <c r="I5471" s="12"/>
      <c r="J5471" s="12"/>
      <c r="K5471" s="12"/>
      <c r="L5471" s="12"/>
      <c r="M5471" s="11"/>
      <c r="N5471" s="11"/>
      <c r="O5471" s="11"/>
      <c r="P5471" s="11"/>
    </row>
    <row r="5472" spans="8:16" x14ac:dyDescent="0.25">
      <c r="H5472" s="12"/>
      <c r="I5472" s="12"/>
      <c r="J5472" s="12"/>
      <c r="K5472" s="12"/>
      <c r="L5472" s="12"/>
      <c r="M5472" s="11"/>
      <c r="N5472" s="11"/>
      <c r="O5472" s="11"/>
      <c r="P5472" s="11"/>
    </row>
    <row r="5473" spans="8:16" x14ac:dyDescent="0.25">
      <c r="H5473" s="12"/>
      <c r="I5473" s="12"/>
      <c r="J5473" s="12"/>
      <c r="K5473" s="12"/>
      <c r="L5473" s="12"/>
      <c r="M5473" s="11"/>
      <c r="N5473" s="11"/>
      <c r="O5473" s="11"/>
      <c r="P5473" s="11"/>
    </row>
    <row r="5474" spans="8:16" x14ac:dyDescent="0.25">
      <c r="H5474" s="12"/>
      <c r="I5474" s="12"/>
      <c r="J5474" s="12"/>
      <c r="K5474" s="12"/>
      <c r="L5474" s="12"/>
      <c r="M5474" s="11"/>
      <c r="N5474" s="11"/>
      <c r="O5474" s="11"/>
      <c r="P5474" s="11"/>
    </row>
    <row r="5475" spans="8:16" x14ac:dyDescent="0.25">
      <c r="H5475" s="12"/>
      <c r="I5475" s="12"/>
      <c r="J5475" s="12"/>
      <c r="K5475" s="12"/>
      <c r="L5475" s="12"/>
      <c r="M5475" s="11"/>
      <c r="N5475" s="11"/>
      <c r="O5475" s="11"/>
      <c r="P5475" s="11"/>
    </row>
    <row r="5476" spans="8:16" x14ac:dyDescent="0.25">
      <c r="H5476" s="12"/>
      <c r="I5476" s="12"/>
      <c r="J5476" s="12"/>
      <c r="K5476" s="12"/>
      <c r="L5476" s="12"/>
      <c r="M5476" s="11"/>
      <c r="N5476" s="11"/>
      <c r="O5476" s="11"/>
      <c r="P5476" s="11"/>
    </row>
    <row r="5477" spans="8:16" x14ac:dyDescent="0.25">
      <c r="H5477" s="12"/>
      <c r="I5477" s="12"/>
      <c r="J5477" s="12"/>
      <c r="K5477" s="12"/>
      <c r="L5477" s="12"/>
      <c r="M5477" s="11"/>
      <c r="N5477" s="11"/>
      <c r="O5477" s="11"/>
      <c r="P5477" s="11"/>
    </row>
    <row r="5478" spans="8:16" x14ac:dyDescent="0.25">
      <c r="H5478" s="12"/>
      <c r="I5478" s="12"/>
      <c r="J5478" s="12"/>
      <c r="K5478" s="12"/>
      <c r="L5478" s="12"/>
      <c r="M5478" s="11"/>
      <c r="N5478" s="11"/>
      <c r="O5478" s="11"/>
      <c r="P5478" s="11"/>
    </row>
    <row r="5479" spans="8:16" x14ac:dyDescent="0.25">
      <c r="H5479" s="12"/>
      <c r="I5479" s="12"/>
      <c r="J5479" s="12"/>
      <c r="K5479" s="12"/>
      <c r="L5479" s="12"/>
      <c r="M5479" s="11"/>
      <c r="N5479" s="11"/>
      <c r="O5479" s="11"/>
      <c r="P5479" s="11"/>
    </row>
    <row r="5480" spans="8:16" x14ac:dyDescent="0.25">
      <c r="H5480" s="12"/>
      <c r="I5480" s="12"/>
      <c r="J5480" s="12"/>
      <c r="K5480" s="12"/>
      <c r="L5480" s="12"/>
      <c r="M5480" s="11"/>
      <c r="N5480" s="11"/>
      <c r="O5480" s="11"/>
      <c r="P5480" s="11"/>
    </row>
    <row r="5481" spans="8:16" x14ac:dyDescent="0.25">
      <c r="H5481" s="12"/>
      <c r="I5481" s="12"/>
      <c r="J5481" s="12"/>
      <c r="K5481" s="12"/>
      <c r="L5481" s="12"/>
      <c r="M5481" s="11"/>
      <c r="N5481" s="11"/>
      <c r="O5481" s="11"/>
      <c r="P5481" s="11"/>
    </row>
    <row r="5482" spans="8:16" x14ac:dyDescent="0.25">
      <c r="H5482" s="12"/>
      <c r="I5482" s="12"/>
      <c r="J5482" s="12"/>
      <c r="K5482" s="12"/>
      <c r="L5482" s="12"/>
      <c r="M5482" s="11"/>
      <c r="N5482" s="11"/>
      <c r="O5482" s="11"/>
      <c r="P5482" s="11"/>
    </row>
    <row r="5483" spans="8:16" x14ac:dyDescent="0.25">
      <c r="H5483" s="12"/>
      <c r="I5483" s="12"/>
      <c r="J5483" s="12"/>
      <c r="K5483" s="12"/>
      <c r="L5483" s="12"/>
      <c r="M5483" s="11"/>
      <c r="N5483" s="11"/>
      <c r="O5483" s="11"/>
      <c r="P5483" s="11"/>
    </row>
    <row r="5484" spans="8:16" x14ac:dyDescent="0.25">
      <c r="H5484" s="12"/>
      <c r="I5484" s="12"/>
      <c r="J5484" s="12"/>
      <c r="K5484" s="12"/>
      <c r="L5484" s="12"/>
      <c r="M5484" s="11"/>
      <c r="N5484" s="11"/>
      <c r="O5484" s="11"/>
      <c r="P5484" s="11"/>
    </row>
    <row r="5485" spans="8:16" x14ac:dyDescent="0.25">
      <c r="H5485" s="12"/>
      <c r="I5485" s="12"/>
      <c r="J5485" s="12"/>
      <c r="K5485" s="12"/>
      <c r="L5485" s="12"/>
      <c r="M5485" s="11"/>
      <c r="N5485" s="11"/>
      <c r="O5485" s="11"/>
      <c r="P5485" s="11"/>
    </row>
    <row r="5486" spans="8:16" x14ac:dyDescent="0.25">
      <c r="H5486" s="12"/>
      <c r="I5486" s="12"/>
      <c r="J5486" s="12"/>
      <c r="K5486" s="12"/>
      <c r="L5486" s="12"/>
      <c r="M5486" s="11"/>
      <c r="N5486" s="11"/>
      <c r="O5486" s="11"/>
      <c r="P5486" s="11"/>
    </row>
    <row r="5487" spans="8:16" x14ac:dyDescent="0.25">
      <c r="H5487" s="12"/>
      <c r="I5487" s="12"/>
      <c r="J5487" s="12"/>
      <c r="K5487" s="12"/>
      <c r="L5487" s="12"/>
      <c r="M5487" s="11"/>
      <c r="N5487" s="11"/>
      <c r="O5487" s="11"/>
      <c r="P5487" s="11"/>
    </row>
    <row r="5488" spans="8:16" x14ac:dyDescent="0.25">
      <c r="H5488" s="12"/>
      <c r="I5488" s="12"/>
      <c r="J5488" s="12"/>
      <c r="K5488" s="12"/>
      <c r="L5488" s="12"/>
      <c r="M5488" s="11"/>
      <c r="N5488" s="11"/>
      <c r="O5488" s="11"/>
      <c r="P5488" s="11"/>
    </row>
    <row r="5489" spans="8:16" x14ac:dyDescent="0.25">
      <c r="H5489" s="12"/>
      <c r="I5489" s="12"/>
      <c r="J5489" s="12"/>
      <c r="K5489" s="12"/>
      <c r="L5489" s="12"/>
      <c r="M5489" s="11"/>
      <c r="N5489" s="11"/>
      <c r="O5489" s="11"/>
      <c r="P5489" s="11"/>
    </row>
    <row r="5490" spans="8:16" x14ac:dyDescent="0.25">
      <c r="H5490" s="12"/>
      <c r="I5490" s="12"/>
      <c r="J5490" s="12"/>
      <c r="K5490" s="12"/>
      <c r="L5490" s="12"/>
      <c r="M5490" s="11"/>
      <c r="N5490" s="11"/>
      <c r="O5490" s="11"/>
      <c r="P5490" s="11"/>
    </row>
    <row r="5491" spans="8:16" x14ac:dyDescent="0.25">
      <c r="H5491" s="12"/>
      <c r="I5491" s="12"/>
      <c r="J5491" s="12"/>
      <c r="K5491" s="12"/>
      <c r="L5491" s="12"/>
      <c r="M5491" s="11"/>
      <c r="N5491" s="11"/>
      <c r="O5491" s="11"/>
      <c r="P5491" s="11"/>
    </row>
    <row r="5492" spans="8:16" x14ac:dyDescent="0.25">
      <c r="H5492" s="12"/>
      <c r="I5492" s="12"/>
      <c r="J5492" s="12"/>
      <c r="K5492" s="12"/>
      <c r="L5492" s="12"/>
      <c r="M5492" s="11"/>
      <c r="N5492" s="11"/>
      <c r="O5492" s="11"/>
      <c r="P5492" s="11"/>
    </row>
    <row r="5493" spans="8:16" x14ac:dyDescent="0.25">
      <c r="H5493" s="12"/>
      <c r="I5493" s="12"/>
      <c r="J5493" s="12"/>
      <c r="K5493" s="12"/>
      <c r="L5493" s="12"/>
      <c r="M5493" s="11"/>
      <c r="N5493" s="11"/>
      <c r="O5493" s="11"/>
      <c r="P5493" s="11"/>
    </row>
    <row r="5494" spans="8:16" x14ac:dyDescent="0.25">
      <c r="H5494" s="12"/>
      <c r="I5494" s="12"/>
      <c r="J5494" s="12"/>
      <c r="K5494" s="12"/>
      <c r="L5494" s="12"/>
      <c r="M5494" s="11"/>
      <c r="N5494" s="11"/>
      <c r="O5494" s="11"/>
      <c r="P5494" s="11"/>
    </row>
    <row r="5495" spans="8:16" x14ac:dyDescent="0.25">
      <c r="H5495" s="12"/>
      <c r="I5495" s="12"/>
      <c r="J5495" s="12"/>
      <c r="K5495" s="12"/>
      <c r="L5495" s="12"/>
      <c r="M5495" s="11"/>
      <c r="N5495" s="11"/>
      <c r="O5495" s="11"/>
      <c r="P5495" s="11"/>
    </row>
    <row r="5496" spans="8:16" x14ac:dyDescent="0.25">
      <c r="H5496" s="12"/>
      <c r="I5496" s="12"/>
      <c r="J5496" s="12"/>
      <c r="K5496" s="12"/>
      <c r="L5496" s="12"/>
      <c r="M5496" s="11"/>
      <c r="N5496" s="11"/>
      <c r="O5496" s="11"/>
      <c r="P5496" s="11"/>
    </row>
    <row r="5497" spans="8:16" x14ac:dyDescent="0.25">
      <c r="H5497" s="12"/>
      <c r="I5497" s="12"/>
      <c r="J5497" s="12"/>
      <c r="K5497" s="12"/>
      <c r="L5497" s="12"/>
      <c r="M5497" s="11"/>
      <c r="N5497" s="11"/>
      <c r="O5497" s="11"/>
      <c r="P5497" s="11"/>
    </row>
    <row r="5498" spans="8:16" x14ac:dyDescent="0.25">
      <c r="H5498" s="12"/>
      <c r="I5498" s="12"/>
      <c r="J5498" s="12"/>
      <c r="K5498" s="12"/>
      <c r="L5498" s="12"/>
      <c r="M5498" s="11"/>
      <c r="N5498" s="11"/>
      <c r="O5498" s="11"/>
      <c r="P5498" s="11"/>
    </row>
    <row r="5499" spans="8:16" x14ac:dyDescent="0.25">
      <c r="H5499" s="12"/>
      <c r="I5499" s="12"/>
      <c r="J5499" s="12"/>
      <c r="K5499" s="12"/>
      <c r="L5499" s="12"/>
      <c r="M5499" s="11"/>
      <c r="N5499" s="11"/>
      <c r="O5499" s="11"/>
      <c r="P5499" s="11"/>
    </row>
    <row r="5500" spans="8:16" x14ac:dyDescent="0.25">
      <c r="H5500" s="12"/>
      <c r="I5500" s="12"/>
      <c r="J5500" s="12"/>
      <c r="K5500" s="12"/>
      <c r="L5500" s="12"/>
      <c r="M5500" s="11"/>
      <c r="N5500" s="11"/>
      <c r="O5500" s="11"/>
      <c r="P5500" s="11"/>
    </row>
    <row r="5501" spans="8:16" x14ac:dyDescent="0.25">
      <c r="H5501" s="12"/>
      <c r="I5501" s="12"/>
      <c r="J5501" s="12"/>
      <c r="K5501" s="12"/>
      <c r="L5501" s="12"/>
      <c r="M5501" s="11"/>
      <c r="N5501" s="11"/>
      <c r="O5501" s="11"/>
      <c r="P5501" s="11"/>
    </row>
    <row r="5502" spans="8:16" x14ac:dyDescent="0.25">
      <c r="H5502" s="12"/>
      <c r="I5502" s="12"/>
      <c r="J5502" s="12"/>
      <c r="K5502" s="12"/>
      <c r="L5502" s="12"/>
      <c r="M5502" s="11"/>
      <c r="N5502" s="11"/>
      <c r="O5502" s="11"/>
      <c r="P5502" s="11"/>
    </row>
    <row r="5503" spans="8:16" x14ac:dyDescent="0.25">
      <c r="H5503" s="12"/>
      <c r="I5503" s="12"/>
      <c r="J5503" s="12"/>
      <c r="K5503" s="12"/>
      <c r="L5503" s="12"/>
      <c r="M5503" s="11"/>
      <c r="N5503" s="11"/>
      <c r="O5503" s="11"/>
      <c r="P5503" s="11"/>
    </row>
    <row r="5504" spans="8:16" x14ac:dyDescent="0.25">
      <c r="H5504" s="12"/>
      <c r="I5504" s="12"/>
      <c r="J5504" s="12"/>
      <c r="K5504" s="12"/>
      <c r="L5504" s="12"/>
      <c r="M5504" s="11"/>
      <c r="N5504" s="11"/>
      <c r="O5504" s="11"/>
      <c r="P5504" s="11"/>
    </row>
    <row r="5505" spans="8:16" x14ac:dyDescent="0.25">
      <c r="H5505" s="12"/>
      <c r="I5505" s="12"/>
      <c r="J5505" s="12"/>
      <c r="K5505" s="12"/>
      <c r="L5505" s="12"/>
      <c r="M5505" s="11"/>
      <c r="N5505" s="11"/>
      <c r="O5505" s="11"/>
      <c r="P5505" s="11"/>
    </row>
    <row r="5506" spans="8:16" x14ac:dyDescent="0.25">
      <c r="H5506" s="12"/>
      <c r="I5506" s="12"/>
      <c r="J5506" s="12"/>
      <c r="K5506" s="12"/>
      <c r="L5506" s="12"/>
      <c r="M5506" s="11"/>
      <c r="N5506" s="11"/>
      <c r="O5506" s="11"/>
      <c r="P5506" s="11"/>
    </row>
    <row r="5507" spans="8:16" x14ac:dyDescent="0.25">
      <c r="H5507" s="12"/>
      <c r="I5507" s="12"/>
      <c r="J5507" s="12"/>
      <c r="K5507" s="12"/>
      <c r="L5507" s="12"/>
      <c r="M5507" s="11"/>
      <c r="N5507" s="11"/>
      <c r="O5507" s="11"/>
      <c r="P5507" s="11"/>
    </row>
    <row r="5508" spans="8:16" x14ac:dyDescent="0.25">
      <c r="H5508" s="12"/>
      <c r="I5508" s="12"/>
      <c r="J5508" s="12"/>
      <c r="K5508" s="12"/>
      <c r="L5508" s="12"/>
      <c r="M5508" s="11"/>
      <c r="N5508" s="11"/>
      <c r="O5508" s="11"/>
      <c r="P5508" s="11"/>
    </row>
    <row r="5509" spans="8:16" x14ac:dyDescent="0.25">
      <c r="H5509" s="12"/>
      <c r="I5509" s="12"/>
      <c r="J5509" s="12"/>
      <c r="K5509" s="12"/>
      <c r="L5509" s="12"/>
      <c r="M5509" s="11"/>
      <c r="N5509" s="11"/>
      <c r="O5509" s="11"/>
      <c r="P5509" s="11"/>
    </row>
    <row r="5510" spans="8:16" x14ac:dyDescent="0.25">
      <c r="H5510" s="12"/>
      <c r="I5510" s="12"/>
      <c r="J5510" s="12"/>
      <c r="K5510" s="12"/>
      <c r="L5510" s="12"/>
      <c r="M5510" s="11"/>
      <c r="N5510" s="11"/>
      <c r="O5510" s="11"/>
      <c r="P5510" s="11"/>
    </row>
    <row r="5511" spans="8:16" x14ac:dyDescent="0.25">
      <c r="H5511" s="12"/>
      <c r="I5511" s="12"/>
      <c r="J5511" s="12"/>
      <c r="K5511" s="12"/>
      <c r="L5511" s="12"/>
      <c r="M5511" s="11"/>
      <c r="N5511" s="11"/>
      <c r="O5511" s="11"/>
      <c r="P5511" s="11"/>
    </row>
    <row r="5512" spans="8:16" x14ac:dyDescent="0.25">
      <c r="H5512" s="12"/>
      <c r="I5512" s="12"/>
      <c r="J5512" s="12"/>
      <c r="K5512" s="12"/>
      <c r="L5512" s="12"/>
      <c r="M5512" s="11"/>
      <c r="N5512" s="11"/>
      <c r="O5512" s="11"/>
      <c r="P5512" s="11"/>
    </row>
    <row r="5513" spans="8:16" x14ac:dyDescent="0.25">
      <c r="H5513" s="12"/>
      <c r="I5513" s="12"/>
      <c r="J5513" s="12"/>
      <c r="K5513" s="12"/>
      <c r="L5513" s="12"/>
      <c r="M5513" s="11"/>
      <c r="N5513" s="11"/>
      <c r="O5513" s="11"/>
      <c r="P5513" s="11"/>
    </row>
    <row r="5514" spans="8:16" x14ac:dyDescent="0.25">
      <c r="H5514" s="12"/>
      <c r="I5514" s="12"/>
      <c r="J5514" s="12"/>
      <c r="K5514" s="12"/>
      <c r="L5514" s="12"/>
      <c r="M5514" s="11"/>
      <c r="N5514" s="11"/>
      <c r="O5514" s="11"/>
      <c r="P5514" s="11"/>
    </row>
    <row r="5515" spans="8:16" x14ac:dyDescent="0.25">
      <c r="H5515" s="12"/>
      <c r="I5515" s="12"/>
      <c r="J5515" s="12"/>
      <c r="K5515" s="12"/>
      <c r="L5515" s="12"/>
      <c r="M5515" s="11"/>
      <c r="N5515" s="11"/>
      <c r="O5515" s="11"/>
      <c r="P5515" s="11"/>
    </row>
    <row r="5516" spans="8:16" x14ac:dyDescent="0.25">
      <c r="H5516" s="12"/>
      <c r="I5516" s="12"/>
      <c r="J5516" s="12"/>
      <c r="K5516" s="12"/>
      <c r="L5516" s="12"/>
      <c r="M5516" s="11"/>
      <c r="N5516" s="11"/>
      <c r="O5516" s="11"/>
      <c r="P5516" s="11"/>
    </row>
    <row r="5517" spans="8:16" x14ac:dyDescent="0.25">
      <c r="H5517" s="12"/>
      <c r="I5517" s="12"/>
      <c r="J5517" s="12"/>
      <c r="K5517" s="12"/>
      <c r="L5517" s="12"/>
      <c r="M5517" s="11"/>
      <c r="N5517" s="11"/>
      <c r="O5517" s="11"/>
      <c r="P5517" s="11"/>
    </row>
    <row r="5518" spans="8:16" x14ac:dyDescent="0.25">
      <c r="H5518" s="12"/>
      <c r="I5518" s="12"/>
      <c r="J5518" s="12"/>
      <c r="K5518" s="12"/>
      <c r="L5518" s="12"/>
      <c r="M5518" s="11"/>
      <c r="N5518" s="11"/>
      <c r="O5518" s="11"/>
      <c r="P5518" s="11"/>
    </row>
    <row r="5519" spans="8:16" x14ac:dyDescent="0.25">
      <c r="H5519" s="12"/>
      <c r="I5519" s="12"/>
      <c r="J5519" s="12"/>
      <c r="K5519" s="12"/>
      <c r="L5519" s="12"/>
      <c r="M5519" s="11"/>
      <c r="N5519" s="11"/>
      <c r="O5519" s="11"/>
      <c r="P5519" s="11"/>
    </row>
    <row r="5520" spans="8:16" x14ac:dyDescent="0.25">
      <c r="H5520" s="12"/>
      <c r="I5520" s="12"/>
      <c r="J5520" s="12"/>
      <c r="K5520" s="12"/>
      <c r="L5520" s="12"/>
      <c r="M5520" s="11"/>
      <c r="N5520" s="11"/>
      <c r="O5520" s="11"/>
      <c r="P5520" s="11"/>
    </row>
    <row r="5521" spans="8:16" x14ac:dyDescent="0.25">
      <c r="H5521" s="12"/>
      <c r="I5521" s="12"/>
      <c r="J5521" s="12"/>
      <c r="K5521" s="12"/>
      <c r="L5521" s="12"/>
      <c r="M5521" s="11"/>
      <c r="N5521" s="11"/>
      <c r="O5521" s="11"/>
      <c r="P5521" s="11"/>
    </row>
    <row r="5522" spans="8:16" x14ac:dyDescent="0.25">
      <c r="H5522" s="12"/>
      <c r="I5522" s="12"/>
      <c r="J5522" s="12"/>
      <c r="K5522" s="12"/>
      <c r="L5522" s="12"/>
      <c r="M5522" s="11"/>
      <c r="N5522" s="11"/>
      <c r="O5522" s="11"/>
      <c r="P5522" s="11"/>
    </row>
    <row r="5523" spans="8:16" x14ac:dyDescent="0.25">
      <c r="H5523" s="12"/>
      <c r="I5523" s="12"/>
      <c r="J5523" s="12"/>
      <c r="K5523" s="12"/>
      <c r="L5523" s="12"/>
      <c r="M5523" s="11"/>
      <c r="N5523" s="11"/>
      <c r="O5523" s="11"/>
      <c r="P5523" s="11"/>
    </row>
    <row r="5524" spans="8:16" x14ac:dyDescent="0.25">
      <c r="H5524" s="12"/>
      <c r="I5524" s="12"/>
      <c r="J5524" s="12"/>
      <c r="K5524" s="12"/>
      <c r="L5524" s="12"/>
      <c r="M5524" s="11"/>
      <c r="N5524" s="11"/>
      <c r="O5524" s="11"/>
      <c r="P5524" s="11"/>
    </row>
    <row r="5525" spans="8:16" x14ac:dyDescent="0.25">
      <c r="H5525" s="12"/>
      <c r="I5525" s="12"/>
      <c r="J5525" s="12"/>
      <c r="K5525" s="12"/>
      <c r="L5525" s="12"/>
      <c r="M5525" s="11"/>
      <c r="N5525" s="11"/>
      <c r="O5525" s="11"/>
      <c r="P5525" s="11"/>
    </row>
    <row r="5526" spans="8:16" x14ac:dyDescent="0.25">
      <c r="H5526" s="12"/>
      <c r="I5526" s="12"/>
      <c r="J5526" s="12"/>
      <c r="K5526" s="12"/>
      <c r="L5526" s="12"/>
      <c r="M5526" s="11"/>
      <c r="N5526" s="11"/>
      <c r="O5526" s="11"/>
      <c r="P5526" s="11"/>
    </row>
    <row r="5527" spans="8:16" x14ac:dyDescent="0.25">
      <c r="H5527" s="12"/>
      <c r="I5527" s="12"/>
      <c r="J5527" s="12"/>
      <c r="K5527" s="12"/>
      <c r="L5527" s="12"/>
      <c r="M5527" s="11"/>
      <c r="N5527" s="11"/>
      <c r="O5527" s="11"/>
      <c r="P5527" s="11"/>
    </row>
    <row r="5528" spans="8:16" x14ac:dyDescent="0.25">
      <c r="H5528" s="12"/>
      <c r="I5528" s="12"/>
      <c r="J5528" s="12"/>
      <c r="K5528" s="12"/>
      <c r="L5528" s="12"/>
      <c r="M5528" s="11"/>
      <c r="N5528" s="11"/>
      <c r="O5528" s="11"/>
      <c r="P5528" s="11"/>
    </row>
    <row r="5529" spans="8:16" x14ac:dyDescent="0.25">
      <c r="H5529" s="12"/>
      <c r="I5529" s="12"/>
      <c r="J5529" s="12"/>
      <c r="K5529" s="12"/>
      <c r="L5529" s="12"/>
      <c r="M5529" s="11"/>
      <c r="N5529" s="11"/>
      <c r="O5529" s="11"/>
      <c r="P5529" s="11"/>
    </row>
    <row r="5530" spans="8:16" x14ac:dyDescent="0.25">
      <c r="H5530" s="12"/>
      <c r="I5530" s="12"/>
      <c r="J5530" s="12"/>
      <c r="K5530" s="12"/>
      <c r="L5530" s="12"/>
      <c r="M5530" s="11"/>
      <c r="N5530" s="11"/>
      <c r="O5530" s="11"/>
      <c r="P5530" s="11"/>
    </row>
    <row r="5531" spans="8:16" x14ac:dyDescent="0.25">
      <c r="H5531" s="12"/>
      <c r="I5531" s="12"/>
      <c r="J5531" s="12"/>
      <c r="K5531" s="12"/>
      <c r="L5531" s="12"/>
      <c r="M5531" s="11"/>
      <c r="N5531" s="11"/>
      <c r="O5531" s="11"/>
      <c r="P5531" s="11"/>
    </row>
    <row r="5532" spans="8:16" x14ac:dyDescent="0.25">
      <c r="H5532" s="12"/>
      <c r="I5532" s="12"/>
      <c r="J5532" s="12"/>
      <c r="K5532" s="12"/>
      <c r="L5532" s="12"/>
      <c r="M5532" s="11"/>
      <c r="N5532" s="11"/>
      <c r="O5532" s="11"/>
      <c r="P5532" s="11"/>
    </row>
    <row r="5533" spans="8:16" x14ac:dyDescent="0.25">
      <c r="H5533" s="12"/>
      <c r="I5533" s="12"/>
      <c r="J5533" s="12"/>
      <c r="K5533" s="12"/>
      <c r="L5533" s="12"/>
      <c r="M5533" s="11"/>
      <c r="N5533" s="11"/>
      <c r="O5533" s="11"/>
      <c r="P5533" s="11"/>
    </row>
    <row r="5534" spans="8:16" x14ac:dyDescent="0.25">
      <c r="H5534" s="12"/>
      <c r="I5534" s="12"/>
      <c r="J5534" s="12"/>
      <c r="K5534" s="12"/>
      <c r="L5534" s="12"/>
      <c r="M5534" s="11"/>
      <c r="N5534" s="11"/>
      <c r="O5534" s="11"/>
      <c r="P5534" s="11"/>
    </row>
    <row r="5535" spans="8:16" x14ac:dyDescent="0.25">
      <c r="H5535" s="12"/>
      <c r="I5535" s="12"/>
      <c r="J5535" s="12"/>
      <c r="K5535" s="12"/>
      <c r="L5535" s="12"/>
      <c r="M5535" s="11"/>
      <c r="N5535" s="11"/>
      <c r="O5535" s="11"/>
      <c r="P5535" s="11"/>
    </row>
    <row r="5536" spans="8:16" x14ac:dyDescent="0.25">
      <c r="H5536" s="12"/>
      <c r="I5536" s="12"/>
      <c r="J5536" s="12"/>
      <c r="K5536" s="12"/>
      <c r="L5536" s="12"/>
      <c r="M5536" s="11"/>
      <c r="N5536" s="11"/>
      <c r="O5536" s="11"/>
      <c r="P5536" s="11"/>
    </row>
    <row r="5537" spans="8:16" x14ac:dyDescent="0.25">
      <c r="H5537" s="12"/>
      <c r="I5537" s="12"/>
      <c r="J5537" s="12"/>
      <c r="K5537" s="12"/>
      <c r="L5537" s="12"/>
      <c r="M5537" s="11"/>
      <c r="N5537" s="11"/>
      <c r="O5537" s="11"/>
      <c r="P5537" s="11"/>
    </row>
    <row r="5538" spans="8:16" x14ac:dyDescent="0.25">
      <c r="H5538" s="12"/>
      <c r="I5538" s="12"/>
      <c r="J5538" s="12"/>
      <c r="K5538" s="12"/>
      <c r="L5538" s="12"/>
      <c r="M5538" s="11"/>
      <c r="N5538" s="11"/>
      <c r="O5538" s="11"/>
      <c r="P5538" s="11"/>
    </row>
    <row r="5539" spans="8:16" x14ac:dyDescent="0.25">
      <c r="H5539" s="12"/>
      <c r="I5539" s="12"/>
      <c r="J5539" s="12"/>
      <c r="K5539" s="12"/>
      <c r="L5539" s="12"/>
      <c r="M5539" s="11"/>
      <c r="N5539" s="11"/>
      <c r="O5539" s="11"/>
      <c r="P5539" s="11"/>
    </row>
    <row r="5540" spans="8:16" x14ac:dyDescent="0.25">
      <c r="H5540" s="12"/>
      <c r="I5540" s="12"/>
      <c r="J5540" s="12"/>
      <c r="K5540" s="12"/>
      <c r="L5540" s="12"/>
      <c r="M5540" s="11"/>
      <c r="N5540" s="11"/>
      <c r="O5540" s="11"/>
      <c r="P5540" s="11"/>
    </row>
    <row r="5541" spans="8:16" x14ac:dyDescent="0.25">
      <c r="H5541" s="12"/>
      <c r="I5541" s="12"/>
      <c r="J5541" s="12"/>
      <c r="K5541" s="12"/>
      <c r="L5541" s="12"/>
      <c r="M5541" s="11"/>
      <c r="N5541" s="11"/>
      <c r="O5541" s="11"/>
      <c r="P5541" s="11"/>
    </row>
    <row r="5542" spans="8:16" x14ac:dyDescent="0.25">
      <c r="H5542" s="12"/>
      <c r="I5542" s="12"/>
      <c r="J5542" s="12"/>
      <c r="K5542" s="12"/>
      <c r="L5542" s="12"/>
      <c r="M5542" s="11"/>
      <c r="N5542" s="11"/>
      <c r="O5542" s="11"/>
      <c r="P5542" s="11"/>
    </row>
    <row r="5543" spans="8:16" x14ac:dyDescent="0.25">
      <c r="H5543" s="12"/>
      <c r="I5543" s="12"/>
      <c r="J5543" s="12"/>
      <c r="K5543" s="12"/>
      <c r="L5543" s="12"/>
      <c r="M5543" s="11"/>
      <c r="N5543" s="11"/>
      <c r="O5543" s="11"/>
      <c r="P5543" s="11"/>
    </row>
    <row r="5544" spans="8:16" x14ac:dyDescent="0.25">
      <c r="H5544" s="12"/>
      <c r="I5544" s="12"/>
      <c r="J5544" s="12"/>
      <c r="K5544" s="12"/>
      <c r="L5544" s="12"/>
      <c r="M5544" s="11"/>
      <c r="N5544" s="11"/>
      <c r="O5544" s="11"/>
      <c r="P5544" s="11"/>
    </row>
    <row r="5545" spans="8:16" x14ac:dyDescent="0.25">
      <c r="H5545" s="12"/>
      <c r="I5545" s="12"/>
      <c r="J5545" s="12"/>
      <c r="K5545" s="12"/>
      <c r="L5545" s="12"/>
      <c r="M5545" s="11"/>
      <c r="N5545" s="11"/>
      <c r="O5545" s="11"/>
      <c r="P5545" s="11"/>
    </row>
    <row r="5546" spans="8:16" x14ac:dyDescent="0.25">
      <c r="H5546" s="12"/>
      <c r="I5546" s="12"/>
      <c r="J5546" s="12"/>
      <c r="K5546" s="12"/>
      <c r="L5546" s="12"/>
      <c r="M5546" s="11"/>
      <c r="N5546" s="11"/>
      <c r="O5546" s="11"/>
      <c r="P5546" s="11"/>
    </row>
    <row r="5547" spans="8:16" x14ac:dyDescent="0.25">
      <c r="H5547" s="12"/>
      <c r="I5547" s="12"/>
      <c r="J5547" s="12"/>
      <c r="K5547" s="12"/>
      <c r="L5547" s="12"/>
      <c r="M5547" s="11"/>
      <c r="N5547" s="11"/>
      <c r="O5547" s="11"/>
      <c r="P5547" s="11"/>
    </row>
    <row r="5548" spans="8:16" x14ac:dyDescent="0.25">
      <c r="H5548" s="12"/>
      <c r="I5548" s="12"/>
      <c r="J5548" s="12"/>
      <c r="K5548" s="12"/>
      <c r="L5548" s="12"/>
      <c r="M5548" s="11"/>
      <c r="N5548" s="11"/>
      <c r="O5548" s="11"/>
      <c r="P5548" s="11"/>
    </row>
    <row r="5549" spans="8:16" x14ac:dyDescent="0.25">
      <c r="H5549" s="12"/>
      <c r="I5549" s="12"/>
      <c r="J5549" s="12"/>
      <c r="K5549" s="12"/>
      <c r="L5549" s="12"/>
      <c r="M5549" s="11"/>
      <c r="N5549" s="11"/>
      <c r="O5549" s="11"/>
      <c r="P5549" s="11"/>
    </row>
    <row r="5550" spans="8:16" x14ac:dyDescent="0.25">
      <c r="H5550" s="12"/>
      <c r="I5550" s="12"/>
      <c r="J5550" s="12"/>
      <c r="K5550" s="12"/>
      <c r="L5550" s="12"/>
      <c r="M5550" s="11"/>
      <c r="N5550" s="11"/>
      <c r="O5550" s="11"/>
      <c r="P5550" s="11"/>
    </row>
    <row r="5551" spans="8:16" x14ac:dyDescent="0.25">
      <c r="H5551" s="12"/>
      <c r="I5551" s="12"/>
      <c r="J5551" s="12"/>
      <c r="K5551" s="12"/>
      <c r="L5551" s="12"/>
      <c r="M5551" s="11"/>
      <c r="N5551" s="11"/>
      <c r="O5551" s="11"/>
      <c r="P5551" s="11"/>
    </row>
    <row r="5552" spans="8:16" x14ac:dyDescent="0.25">
      <c r="H5552" s="12"/>
      <c r="I5552" s="12"/>
      <c r="J5552" s="12"/>
      <c r="K5552" s="12"/>
      <c r="L5552" s="12"/>
      <c r="M5552" s="11"/>
      <c r="N5552" s="11"/>
      <c r="O5552" s="11"/>
      <c r="P5552" s="11"/>
    </row>
    <row r="5553" spans="8:16" x14ac:dyDescent="0.25">
      <c r="H5553" s="12"/>
      <c r="I5553" s="12"/>
      <c r="J5553" s="12"/>
      <c r="K5553" s="12"/>
      <c r="L5553" s="12"/>
      <c r="M5553" s="11"/>
      <c r="N5553" s="11"/>
      <c r="O5553" s="11"/>
      <c r="P5553" s="11"/>
    </row>
    <row r="5554" spans="8:16" x14ac:dyDescent="0.25">
      <c r="H5554" s="12"/>
      <c r="I5554" s="12"/>
      <c r="J5554" s="12"/>
      <c r="K5554" s="12"/>
      <c r="L5554" s="12"/>
      <c r="M5554" s="11"/>
      <c r="N5554" s="11"/>
      <c r="O5554" s="11"/>
      <c r="P5554" s="11"/>
    </row>
    <row r="5555" spans="8:16" x14ac:dyDescent="0.25">
      <c r="H5555" s="12"/>
      <c r="I5555" s="12"/>
      <c r="J5555" s="12"/>
      <c r="K5555" s="12"/>
      <c r="L5555" s="12"/>
      <c r="M5555" s="11"/>
      <c r="N5555" s="11"/>
      <c r="O5555" s="11"/>
      <c r="P5555" s="11"/>
    </row>
    <row r="5556" spans="8:16" x14ac:dyDescent="0.25">
      <c r="H5556" s="12"/>
      <c r="I5556" s="12"/>
      <c r="J5556" s="12"/>
      <c r="K5556" s="12"/>
      <c r="L5556" s="12"/>
      <c r="M5556" s="11"/>
      <c r="N5556" s="11"/>
      <c r="O5556" s="11"/>
      <c r="P5556" s="11"/>
    </row>
    <row r="5557" spans="8:16" x14ac:dyDescent="0.25">
      <c r="H5557" s="12"/>
      <c r="I5557" s="12"/>
      <c r="J5557" s="12"/>
      <c r="K5557" s="12"/>
      <c r="L5557" s="12"/>
      <c r="M5557" s="11"/>
      <c r="N5557" s="11"/>
      <c r="O5557" s="11"/>
      <c r="P5557" s="11"/>
    </row>
    <row r="5558" spans="8:16" x14ac:dyDescent="0.25">
      <c r="H5558" s="12"/>
      <c r="I5558" s="12"/>
      <c r="J5558" s="12"/>
      <c r="K5558" s="12"/>
      <c r="L5558" s="12"/>
      <c r="M5558" s="11"/>
      <c r="N5558" s="11"/>
      <c r="O5558" s="11"/>
      <c r="P5558" s="11"/>
    </row>
    <row r="5559" spans="8:16" x14ac:dyDescent="0.25">
      <c r="H5559" s="12"/>
      <c r="I5559" s="12"/>
      <c r="J5559" s="12"/>
      <c r="K5559" s="12"/>
      <c r="L5559" s="12"/>
      <c r="M5559" s="11"/>
      <c r="N5559" s="11"/>
      <c r="O5559" s="11"/>
      <c r="P5559" s="11"/>
    </row>
    <row r="5560" spans="8:16" x14ac:dyDescent="0.25">
      <c r="H5560" s="12"/>
      <c r="I5560" s="12"/>
      <c r="J5560" s="12"/>
      <c r="K5560" s="12"/>
      <c r="L5560" s="12"/>
      <c r="M5560" s="11"/>
      <c r="N5560" s="11"/>
      <c r="O5560" s="11"/>
      <c r="P5560" s="11"/>
    </row>
    <row r="5561" spans="8:16" x14ac:dyDescent="0.25">
      <c r="H5561" s="12"/>
      <c r="I5561" s="12"/>
      <c r="J5561" s="12"/>
      <c r="K5561" s="12"/>
      <c r="L5561" s="12"/>
      <c r="M5561" s="11"/>
      <c r="N5561" s="11"/>
      <c r="O5561" s="11"/>
      <c r="P5561" s="11"/>
    </row>
    <row r="5562" spans="8:16" x14ac:dyDescent="0.25">
      <c r="H5562" s="12"/>
      <c r="I5562" s="12"/>
      <c r="J5562" s="12"/>
      <c r="K5562" s="12"/>
      <c r="L5562" s="12"/>
      <c r="M5562" s="11"/>
      <c r="N5562" s="11"/>
      <c r="O5562" s="11"/>
      <c r="P5562" s="11"/>
    </row>
    <row r="5563" spans="8:16" x14ac:dyDescent="0.25">
      <c r="H5563" s="12"/>
      <c r="I5563" s="12"/>
      <c r="J5563" s="12"/>
      <c r="K5563" s="12"/>
      <c r="L5563" s="12"/>
      <c r="M5563" s="11"/>
      <c r="N5563" s="11"/>
      <c r="O5563" s="11"/>
      <c r="P5563" s="11"/>
    </row>
    <row r="5564" spans="8:16" x14ac:dyDescent="0.25">
      <c r="H5564" s="12"/>
      <c r="I5564" s="12"/>
      <c r="J5564" s="12"/>
      <c r="K5564" s="12"/>
      <c r="L5564" s="12"/>
      <c r="M5564" s="11"/>
      <c r="N5564" s="11"/>
      <c r="O5564" s="11"/>
      <c r="P5564" s="11"/>
    </row>
    <row r="5565" spans="8:16" x14ac:dyDescent="0.25">
      <c r="H5565" s="12"/>
      <c r="I5565" s="12"/>
      <c r="J5565" s="12"/>
      <c r="K5565" s="12"/>
      <c r="L5565" s="12"/>
      <c r="M5565" s="11"/>
      <c r="N5565" s="11"/>
      <c r="O5565" s="11"/>
      <c r="P5565" s="11"/>
    </row>
    <row r="5566" spans="8:16" x14ac:dyDescent="0.25">
      <c r="H5566" s="12"/>
      <c r="I5566" s="12"/>
      <c r="J5566" s="12"/>
      <c r="K5566" s="12"/>
      <c r="L5566" s="12"/>
      <c r="M5566" s="11"/>
      <c r="N5566" s="11"/>
      <c r="O5566" s="11"/>
      <c r="P5566" s="11"/>
    </row>
    <row r="5567" spans="8:16" x14ac:dyDescent="0.25">
      <c r="H5567" s="12"/>
      <c r="I5567" s="12"/>
      <c r="J5567" s="12"/>
      <c r="K5567" s="12"/>
      <c r="L5567" s="12"/>
      <c r="M5567" s="11"/>
      <c r="N5567" s="11"/>
      <c r="O5567" s="11"/>
      <c r="P5567" s="11"/>
    </row>
    <row r="5568" spans="8:16" x14ac:dyDescent="0.25">
      <c r="H5568" s="12"/>
      <c r="I5568" s="12"/>
      <c r="J5568" s="12"/>
      <c r="K5568" s="12"/>
      <c r="L5568" s="12"/>
      <c r="M5568" s="11"/>
      <c r="N5568" s="11"/>
      <c r="O5568" s="11"/>
      <c r="P5568" s="11"/>
    </row>
    <row r="5569" spans="8:16" x14ac:dyDescent="0.25">
      <c r="H5569" s="12"/>
      <c r="I5569" s="12"/>
      <c r="J5569" s="12"/>
      <c r="K5569" s="12"/>
      <c r="L5569" s="12"/>
      <c r="M5569" s="11"/>
      <c r="N5569" s="11"/>
      <c r="O5569" s="11"/>
      <c r="P5569" s="11"/>
    </row>
    <row r="5570" spans="8:16" x14ac:dyDescent="0.25">
      <c r="H5570" s="12"/>
      <c r="I5570" s="12"/>
      <c r="J5570" s="12"/>
      <c r="K5570" s="12"/>
      <c r="L5570" s="12"/>
      <c r="M5570" s="11"/>
      <c r="N5570" s="11"/>
      <c r="O5570" s="11"/>
      <c r="P5570" s="11"/>
    </row>
    <row r="5571" spans="8:16" x14ac:dyDescent="0.25">
      <c r="H5571" s="12"/>
      <c r="I5571" s="12"/>
      <c r="J5571" s="12"/>
      <c r="K5571" s="12"/>
      <c r="L5571" s="12"/>
      <c r="M5571" s="11"/>
      <c r="N5571" s="11"/>
      <c r="O5571" s="11"/>
      <c r="P5571" s="11"/>
    </row>
    <row r="5572" spans="8:16" x14ac:dyDescent="0.25">
      <c r="H5572" s="12"/>
      <c r="I5572" s="12"/>
      <c r="J5572" s="12"/>
      <c r="K5572" s="12"/>
      <c r="L5572" s="12"/>
      <c r="M5572" s="11"/>
      <c r="N5572" s="11"/>
      <c r="O5572" s="11"/>
      <c r="P5572" s="11"/>
    </row>
    <row r="5573" spans="8:16" x14ac:dyDescent="0.25">
      <c r="H5573" s="12"/>
      <c r="I5573" s="12"/>
      <c r="J5573" s="12"/>
      <c r="K5573" s="12"/>
      <c r="L5573" s="12"/>
      <c r="M5573" s="11"/>
      <c r="N5573" s="11"/>
      <c r="O5573" s="11"/>
      <c r="P5573" s="11"/>
    </row>
    <row r="5574" spans="8:16" x14ac:dyDescent="0.25">
      <c r="H5574" s="12"/>
      <c r="I5574" s="12"/>
      <c r="J5574" s="12"/>
      <c r="K5574" s="12"/>
      <c r="L5574" s="12"/>
      <c r="M5574" s="11"/>
      <c r="N5574" s="11"/>
      <c r="O5574" s="11"/>
      <c r="P5574" s="11"/>
    </row>
    <row r="5575" spans="8:16" x14ac:dyDescent="0.25">
      <c r="H5575" s="12"/>
      <c r="I5575" s="12"/>
      <c r="J5575" s="12"/>
      <c r="K5575" s="12"/>
      <c r="L5575" s="12"/>
      <c r="M5575" s="11"/>
      <c r="N5575" s="11"/>
      <c r="O5575" s="11"/>
      <c r="P5575" s="11"/>
    </row>
    <row r="5576" spans="8:16" x14ac:dyDescent="0.25">
      <c r="H5576" s="12"/>
      <c r="I5576" s="12"/>
      <c r="J5576" s="12"/>
      <c r="K5576" s="12"/>
      <c r="L5576" s="12"/>
      <c r="M5576" s="11"/>
      <c r="N5576" s="11"/>
      <c r="O5576" s="11"/>
      <c r="P5576" s="11"/>
    </row>
    <row r="5577" spans="8:16" x14ac:dyDescent="0.25">
      <c r="H5577" s="12"/>
      <c r="I5577" s="12"/>
      <c r="J5577" s="12"/>
      <c r="K5577" s="12"/>
      <c r="L5577" s="12"/>
      <c r="M5577" s="11"/>
      <c r="N5577" s="11"/>
      <c r="O5577" s="11"/>
      <c r="P5577" s="11"/>
    </row>
    <row r="5578" spans="8:16" x14ac:dyDescent="0.25">
      <c r="H5578" s="12"/>
      <c r="I5578" s="12"/>
      <c r="J5578" s="12"/>
      <c r="K5578" s="12"/>
      <c r="L5578" s="12"/>
      <c r="M5578" s="11"/>
      <c r="N5578" s="11"/>
      <c r="O5578" s="11"/>
      <c r="P5578" s="11"/>
    </row>
    <row r="5579" spans="8:16" x14ac:dyDescent="0.25">
      <c r="H5579" s="12"/>
      <c r="I5579" s="12"/>
      <c r="J5579" s="12"/>
      <c r="K5579" s="12"/>
      <c r="L5579" s="12"/>
      <c r="M5579" s="11"/>
      <c r="N5579" s="11"/>
      <c r="O5579" s="11"/>
      <c r="P5579" s="11"/>
    </row>
    <row r="5580" spans="8:16" x14ac:dyDescent="0.25">
      <c r="H5580" s="12"/>
      <c r="I5580" s="12"/>
      <c r="J5580" s="12"/>
      <c r="K5580" s="12"/>
      <c r="L5580" s="12"/>
      <c r="M5580" s="11"/>
      <c r="N5580" s="11"/>
      <c r="O5580" s="11"/>
      <c r="P5580" s="11"/>
    </row>
    <row r="5581" spans="8:16" x14ac:dyDescent="0.25">
      <c r="H5581" s="12"/>
      <c r="I5581" s="12"/>
      <c r="J5581" s="12"/>
      <c r="K5581" s="12"/>
      <c r="L5581" s="12"/>
      <c r="M5581" s="11"/>
      <c r="N5581" s="11"/>
      <c r="O5581" s="11"/>
      <c r="P5581" s="11"/>
    </row>
    <row r="5582" spans="8:16" x14ac:dyDescent="0.25">
      <c r="H5582" s="12"/>
      <c r="I5582" s="12"/>
      <c r="J5582" s="12"/>
      <c r="K5582" s="12"/>
      <c r="L5582" s="12"/>
      <c r="M5582" s="11"/>
      <c r="N5582" s="11"/>
      <c r="O5582" s="11"/>
      <c r="P5582" s="11"/>
    </row>
    <row r="5583" spans="8:16" x14ac:dyDescent="0.25">
      <c r="H5583" s="12"/>
      <c r="I5583" s="12"/>
      <c r="J5583" s="12"/>
      <c r="K5583" s="12"/>
      <c r="L5583" s="12"/>
      <c r="M5583" s="11"/>
      <c r="N5583" s="11"/>
      <c r="O5583" s="11"/>
      <c r="P5583" s="11"/>
    </row>
    <row r="5584" spans="8:16" x14ac:dyDescent="0.25">
      <c r="H5584" s="12"/>
      <c r="I5584" s="12"/>
      <c r="J5584" s="12"/>
      <c r="K5584" s="12"/>
      <c r="L5584" s="12"/>
      <c r="M5584" s="11"/>
      <c r="N5584" s="11"/>
      <c r="O5584" s="11"/>
      <c r="P5584" s="11"/>
    </row>
    <row r="5585" spans="8:16" x14ac:dyDescent="0.25">
      <c r="H5585" s="12"/>
      <c r="I5585" s="12"/>
      <c r="J5585" s="12"/>
      <c r="K5585" s="12"/>
      <c r="L5585" s="12"/>
      <c r="M5585" s="11"/>
      <c r="N5585" s="11"/>
      <c r="O5585" s="11"/>
      <c r="P5585" s="11"/>
    </row>
    <row r="5586" spans="8:16" x14ac:dyDescent="0.25">
      <c r="H5586" s="12"/>
      <c r="I5586" s="12"/>
      <c r="J5586" s="12"/>
      <c r="K5586" s="12"/>
      <c r="L5586" s="12"/>
      <c r="M5586" s="11"/>
      <c r="N5586" s="11"/>
      <c r="O5586" s="11"/>
      <c r="P5586" s="11"/>
    </row>
    <row r="5587" spans="8:16" x14ac:dyDescent="0.25">
      <c r="H5587" s="12"/>
      <c r="I5587" s="12"/>
      <c r="J5587" s="12"/>
      <c r="K5587" s="12"/>
      <c r="L5587" s="12"/>
      <c r="M5587" s="11"/>
      <c r="N5587" s="11"/>
      <c r="O5587" s="11"/>
      <c r="P5587" s="11"/>
    </row>
    <row r="5588" spans="8:16" x14ac:dyDescent="0.25">
      <c r="H5588" s="12"/>
      <c r="I5588" s="12"/>
      <c r="J5588" s="12"/>
      <c r="K5588" s="12"/>
      <c r="L5588" s="12"/>
      <c r="M5588" s="11"/>
      <c r="N5588" s="11"/>
      <c r="O5588" s="11"/>
      <c r="P5588" s="11"/>
    </row>
    <row r="5589" spans="8:16" x14ac:dyDescent="0.25">
      <c r="H5589" s="12"/>
      <c r="I5589" s="12"/>
      <c r="J5589" s="12"/>
      <c r="K5589" s="12"/>
      <c r="L5589" s="12"/>
      <c r="M5589" s="11"/>
      <c r="N5589" s="11"/>
      <c r="O5589" s="11"/>
      <c r="P5589" s="11"/>
    </row>
    <row r="5590" spans="8:16" x14ac:dyDescent="0.25">
      <c r="H5590" s="12"/>
      <c r="I5590" s="12"/>
      <c r="J5590" s="12"/>
      <c r="K5590" s="12"/>
      <c r="L5590" s="12"/>
      <c r="M5590" s="11"/>
      <c r="N5590" s="11"/>
      <c r="O5590" s="11"/>
      <c r="P5590" s="11"/>
    </row>
    <row r="5591" spans="8:16" x14ac:dyDescent="0.25">
      <c r="H5591" s="12"/>
      <c r="I5591" s="12"/>
      <c r="J5591" s="12"/>
      <c r="K5591" s="12"/>
      <c r="L5591" s="12"/>
      <c r="M5591" s="11"/>
      <c r="N5591" s="11"/>
      <c r="O5591" s="11"/>
      <c r="P5591" s="11"/>
    </row>
    <row r="5592" spans="8:16" x14ac:dyDescent="0.25">
      <c r="H5592" s="12"/>
      <c r="I5592" s="12"/>
      <c r="J5592" s="12"/>
      <c r="K5592" s="12"/>
      <c r="L5592" s="12"/>
      <c r="M5592" s="11"/>
      <c r="N5592" s="11"/>
      <c r="O5592" s="11"/>
      <c r="P5592" s="11"/>
    </row>
    <row r="5593" spans="8:16" x14ac:dyDescent="0.25">
      <c r="H5593" s="12"/>
      <c r="I5593" s="12"/>
      <c r="J5593" s="12"/>
      <c r="K5593" s="12"/>
      <c r="L5593" s="12"/>
      <c r="M5593" s="11"/>
      <c r="N5593" s="11"/>
      <c r="O5593" s="11"/>
      <c r="P5593" s="11"/>
    </row>
    <row r="5594" spans="8:16" x14ac:dyDescent="0.25">
      <c r="H5594" s="12"/>
      <c r="I5594" s="12"/>
      <c r="J5594" s="12"/>
      <c r="K5594" s="12"/>
      <c r="L5594" s="12"/>
      <c r="M5594" s="11"/>
      <c r="N5594" s="11"/>
      <c r="O5594" s="11"/>
      <c r="P5594" s="11"/>
    </row>
    <row r="5595" spans="8:16" x14ac:dyDescent="0.25">
      <c r="H5595" s="12"/>
      <c r="I5595" s="12"/>
      <c r="J5595" s="12"/>
      <c r="K5595" s="12"/>
      <c r="L5595" s="12"/>
      <c r="M5595" s="11"/>
      <c r="N5595" s="11"/>
      <c r="O5595" s="11"/>
      <c r="P5595" s="11"/>
    </row>
    <row r="5596" spans="8:16" x14ac:dyDescent="0.25">
      <c r="H5596" s="12"/>
      <c r="I5596" s="12"/>
      <c r="J5596" s="12"/>
      <c r="K5596" s="12"/>
      <c r="L5596" s="12"/>
      <c r="M5596" s="11"/>
      <c r="N5596" s="11"/>
      <c r="O5596" s="11"/>
      <c r="P5596" s="11"/>
    </row>
    <row r="5597" spans="8:16" x14ac:dyDescent="0.25">
      <c r="H5597" s="12"/>
      <c r="I5597" s="12"/>
      <c r="J5597" s="12"/>
      <c r="K5597" s="12"/>
      <c r="L5597" s="12"/>
      <c r="M5597" s="11"/>
      <c r="N5597" s="11"/>
      <c r="O5597" s="11"/>
      <c r="P5597" s="11"/>
    </row>
    <row r="5598" spans="8:16" x14ac:dyDescent="0.25">
      <c r="H5598" s="12"/>
      <c r="I5598" s="12"/>
      <c r="J5598" s="12"/>
      <c r="K5598" s="12"/>
      <c r="L5598" s="12"/>
      <c r="M5598" s="11"/>
      <c r="N5598" s="11"/>
      <c r="O5598" s="11"/>
      <c r="P5598" s="11"/>
    </row>
    <row r="5599" spans="8:16" x14ac:dyDescent="0.25">
      <c r="H5599" s="12"/>
      <c r="I5599" s="12"/>
      <c r="J5599" s="12"/>
      <c r="K5599" s="12"/>
      <c r="L5599" s="12"/>
      <c r="M5599" s="11"/>
      <c r="N5599" s="11"/>
      <c r="O5599" s="11"/>
      <c r="P5599" s="11"/>
    </row>
    <row r="5600" spans="8:16" x14ac:dyDescent="0.25">
      <c r="H5600" s="12"/>
      <c r="I5600" s="12"/>
      <c r="J5600" s="12"/>
      <c r="K5600" s="12"/>
      <c r="L5600" s="12"/>
      <c r="M5600" s="11"/>
      <c r="N5600" s="11"/>
      <c r="O5600" s="11"/>
      <c r="P5600" s="11"/>
    </row>
    <row r="5601" spans="8:16" x14ac:dyDescent="0.25">
      <c r="H5601" s="12"/>
      <c r="I5601" s="12"/>
      <c r="J5601" s="12"/>
      <c r="K5601" s="12"/>
      <c r="L5601" s="12"/>
      <c r="M5601" s="11"/>
      <c r="N5601" s="11"/>
      <c r="O5601" s="11"/>
      <c r="P5601" s="11"/>
    </row>
    <row r="5602" spans="8:16" x14ac:dyDescent="0.25">
      <c r="H5602" s="12"/>
      <c r="I5602" s="12"/>
      <c r="J5602" s="12"/>
      <c r="K5602" s="12"/>
      <c r="L5602" s="12"/>
      <c r="M5602" s="11"/>
      <c r="N5602" s="11"/>
      <c r="O5602" s="11"/>
      <c r="P5602" s="11"/>
    </row>
    <row r="5603" spans="8:16" x14ac:dyDescent="0.25">
      <c r="H5603" s="12"/>
      <c r="I5603" s="12"/>
      <c r="J5603" s="12"/>
      <c r="K5603" s="12"/>
      <c r="L5603" s="12"/>
      <c r="M5603" s="11"/>
      <c r="N5603" s="11"/>
      <c r="O5603" s="11"/>
      <c r="P5603" s="11"/>
    </row>
    <row r="5604" spans="8:16" x14ac:dyDescent="0.25">
      <c r="H5604" s="12"/>
      <c r="I5604" s="12"/>
      <c r="J5604" s="12"/>
      <c r="K5604" s="12"/>
      <c r="L5604" s="12"/>
      <c r="M5604" s="11"/>
      <c r="N5604" s="11"/>
      <c r="O5604" s="11"/>
      <c r="P5604" s="11"/>
    </row>
    <row r="5605" spans="8:16" x14ac:dyDescent="0.25">
      <c r="H5605" s="12"/>
      <c r="I5605" s="12"/>
      <c r="J5605" s="12"/>
      <c r="K5605" s="12"/>
      <c r="L5605" s="12"/>
      <c r="M5605" s="11"/>
      <c r="N5605" s="11"/>
      <c r="O5605" s="11"/>
      <c r="P5605" s="11"/>
    </row>
    <row r="5606" spans="8:16" x14ac:dyDescent="0.25">
      <c r="H5606" s="12"/>
      <c r="I5606" s="12"/>
      <c r="J5606" s="12"/>
      <c r="K5606" s="12"/>
      <c r="L5606" s="12"/>
      <c r="M5606" s="11"/>
      <c r="N5606" s="11"/>
      <c r="O5606" s="11"/>
      <c r="P5606" s="11"/>
    </row>
    <row r="5607" spans="8:16" x14ac:dyDescent="0.25">
      <c r="H5607" s="12"/>
      <c r="I5607" s="12"/>
      <c r="J5607" s="12"/>
      <c r="K5607" s="12"/>
      <c r="L5607" s="12"/>
      <c r="M5607" s="11"/>
      <c r="N5607" s="11"/>
      <c r="O5607" s="11"/>
      <c r="P5607" s="11"/>
    </row>
    <row r="5608" spans="8:16" x14ac:dyDescent="0.25">
      <c r="H5608" s="12"/>
      <c r="I5608" s="12"/>
      <c r="J5608" s="12"/>
      <c r="K5608" s="12"/>
      <c r="L5608" s="12"/>
      <c r="M5608" s="11"/>
      <c r="N5608" s="11"/>
      <c r="O5608" s="11"/>
      <c r="P5608" s="11"/>
    </row>
    <row r="5609" spans="8:16" x14ac:dyDescent="0.25">
      <c r="H5609" s="12"/>
      <c r="I5609" s="12"/>
      <c r="J5609" s="12"/>
      <c r="K5609" s="12"/>
      <c r="L5609" s="12"/>
      <c r="M5609" s="11"/>
      <c r="N5609" s="11"/>
      <c r="O5609" s="11"/>
      <c r="P5609" s="11"/>
    </row>
    <row r="5610" spans="8:16" x14ac:dyDescent="0.25">
      <c r="H5610" s="12"/>
      <c r="I5610" s="12"/>
      <c r="J5610" s="12"/>
      <c r="K5610" s="12"/>
      <c r="L5610" s="12"/>
      <c r="M5610" s="11"/>
      <c r="N5610" s="11"/>
      <c r="O5610" s="11"/>
      <c r="P5610" s="11"/>
    </row>
    <row r="5611" spans="8:16" x14ac:dyDescent="0.25">
      <c r="H5611" s="12"/>
      <c r="I5611" s="12"/>
      <c r="J5611" s="12"/>
      <c r="K5611" s="12"/>
      <c r="L5611" s="12"/>
      <c r="M5611" s="11"/>
      <c r="N5611" s="11"/>
      <c r="O5611" s="11"/>
      <c r="P5611" s="11"/>
    </row>
    <row r="5612" spans="8:16" x14ac:dyDescent="0.25">
      <c r="H5612" s="12"/>
      <c r="I5612" s="12"/>
      <c r="J5612" s="12"/>
      <c r="K5612" s="12"/>
      <c r="L5612" s="12"/>
      <c r="M5612" s="11"/>
      <c r="N5612" s="11"/>
      <c r="O5612" s="11"/>
      <c r="P5612" s="11"/>
    </row>
    <row r="5613" spans="8:16" x14ac:dyDescent="0.25">
      <c r="H5613" s="12"/>
      <c r="I5613" s="12"/>
      <c r="J5613" s="12"/>
      <c r="K5613" s="12"/>
      <c r="L5613" s="12"/>
      <c r="M5613" s="11"/>
      <c r="N5613" s="11"/>
      <c r="O5613" s="11"/>
      <c r="P5613" s="11"/>
    </row>
    <row r="5614" spans="8:16" x14ac:dyDescent="0.25">
      <c r="H5614" s="12"/>
      <c r="I5614" s="12"/>
      <c r="J5614" s="12"/>
      <c r="K5614" s="12"/>
      <c r="L5614" s="12"/>
      <c r="M5614" s="11"/>
      <c r="N5614" s="11"/>
      <c r="O5614" s="11"/>
      <c r="P5614" s="11"/>
    </row>
    <row r="5615" spans="8:16" x14ac:dyDescent="0.25">
      <c r="H5615" s="12"/>
      <c r="I5615" s="12"/>
      <c r="J5615" s="12"/>
      <c r="K5615" s="12"/>
      <c r="L5615" s="12"/>
      <c r="M5615" s="11"/>
      <c r="N5615" s="11"/>
      <c r="O5615" s="11"/>
      <c r="P5615" s="11"/>
    </row>
    <row r="5616" spans="8:16" x14ac:dyDescent="0.25">
      <c r="H5616" s="12"/>
      <c r="I5616" s="12"/>
      <c r="J5616" s="12"/>
      <c r="K5616" s="12"/>
      <c r="L5616" s="12"/>
      <c r="M5616" s="11"/>
      <c r="N5616" s="11"/>
      <c r="O5616" s="11"/>
      <c r="P5616" s="11"/>
    </row>
    <row r="5617" spans="8:16" x14ac:dyDescent="0.25">
      <c r="H5617" s="12"/>
      <c r="I5617" s="12"/>
      <c r="J5617" s="12"/>
      <c r="K5617" s="12"/>
      <c r="L5617" s="12"/>
      <c r="M5617" s="11"/>
      <c r="N5617" s="11"/>
      <c r="O5617" s="11"/>
      <c r="P5617" s="11"/>
    </row>
    <row r="5618" spans="8:16" x14ac:dyDescent="0.25">
      <c r="H5618" s="12"/>
      <c r="I5618" s="12"/>
      <c r="J5618" s="12"/>
      <c r="K5618" s="12"/>
      <c r="L5618" s="12"/>
      <c r="M5618" s="11"/>
      <c r="N5618" s="11"/>
      <c r="O5618" s="11"/>
      <c r="P5618" s="11"/>
    </row>
    <row r="5619" spans="8:16" x14ac:dyDescent="0.25">
      <c r="H5619" s="12"/>
      <c r="I5619" s="12"/>
      <c r="J5619" s="12"/>
      <c r="K5619" s="12"/>
      <c r="L5619" s="12"/>
      <c r="M5619" s="11"/>
      <c r="N5619" s="11"/>
      <c r="O5619" s="11"/>
      <c r="P5619" s="11"/>
    </row>
    <row r="5620" spans="8:16" x14ac:dyDescent="0.25">
      <c r="H5620" s="12"/>
      <c r="I5620" s="12"/>
      <c r="J5620" s="12"/>
      <c r="K5620" s="12"/>
      <c r="L5620" s="12"/>
      <c r="M5620" s="11"/>
      <c r="N5620" s="11"/>
      <c r="O5620" s="11"/>
      <c r="P5620" s="11"/>
    </row>
    <row r="5621" spans="8:16" x14ac:dyDescent="0.25">
      <c r="H5621" s="12"/>
      <c r="I5621" s="12"/>
      <c r="J5621" s="12"/>
      <c r="K5621" s="12"/>
      <c r="L5621" s="12"/>
      <c r="M5621" s="11"/>
      <c r="N5621" s="11"/>
      <c r="O5621" s="11"/>
      <c r="P5621" s="11"/>
    </row>
    <row r="5622" spans="8:16" x14ac:dyDescent="0.25">
      <c r="H5622" s="12"/>
      <c r="I5622" s="12"/>
      <c r="J5622" s="12"/>
      <c r="K5622" s="12"/>
      <c r="L5622" s="12"/>
      <c r="M5622" s="11"/>
      <c r="N5622" s="11"/>
      <c r="O5622" s="11"/>
      <c r="P5622" s="11"/>
    </row>
    <row r="5623" spans="8:16" x14ac:dyDescent="0.25">
      <c r="H5623" s="12"/>
      <c r="I5623" s="12"/>
      <c r="J5623" s="12"/>
      <c r="K5623" s="12"/>
      <c r="L5623" s="12"/>
      <c r="M5623" s="11"/>
      <c r="N5623" s="11"/>
      <c r="O5623" s="11"/>
      <c r="P5623" s="11"/>
    </row>
    <row r="5624" spans="8:16" x14ac:dyDescent="0.25">
      <c r="H5624" s="12"/>
      <c r="I5624" s="12"/>
      <c r="J5624" s="12"/>
      <c r="K5624" s="12"/>
      <c r="L5624" s="12"/>
      <c r="M5624" s="11"/>
      <c r="N5624" s="11"/>
      <c r="O5624" s="11"/>
      <c r="P5624" s="11"/>
    </row>
    <row r="5625" spans="8:16" x14ac:dyDescent="0.25">
      <c r="H5625" s="12"/>
      <c r="I5625" s="12"/>
      <c r="J5625" s="12"/>
      <c r="K5625" s="12"/>
      <c r="L5625" s="12"/>
      <c r="M5625" s="11"/>
      <c r="N5625" s="11"/>
      <c r="O5625" s="11"/>
      <c r="P5625" s="11"/>
    </row>
    <row r="5626" spans="8:16" x14ac:dyDescent="0.25">
      <c r="H5626" s="12"/>
      <c r="I5626" s="12"/>
      <c r="J5626" s="12"/>
      <c r="K5626" s="12"/>
      <c r="L5626" s="12"/>
      <c r="M5626" s="11"/>
      <c r="N5626" s="11"/>
      <c r="O5626" s="11"/>
      <c r="P5626" s="11"/>
    </row>
    <row r="5627" spans="8:16" x14ac:dyDescent="0.25">
      <c r="H5627" s="12"/>
      <c r="I5627" s="12"/>
      <c r="J5627" s="12"/>
      <c r="K5627" s="12"/>
      <c r="L5627" s="12"/>
      <c r="M5627" s="11"/>
      <c r="N5627" s="11"/>
      <c r="O5627" s="11"/>
      <c r="P5627" s="11"/>
    </row>
    <row r="5628" spans="8:16" x14ac:dyDescent="0.25">
      <c r="H5628" s="12"/>
      <c r="I5628" s="12"/>
      <c r="J5628" s="12"/>
      <c r="K5628" s="12"/>
      <c r="L5628" s="12"/>
      <c r="M5628" s="11"/>
      <c r="N5628" s="11"/>
      <c r="O5628" s="11"/>
      <c r="P5628" s="11"/>
    </row>
    <row r="5629" spans="8:16" x14ac:dyDescent="0.25">
      <c r="H5629" s="12"/>
      <c r="I5629" s="12"/>
      <c r="J5629" s="12"/>
      <c r="K5629" s="12"/>
      <c r="L5629" s="12"/>
      <c r="M5629" s="11"/>
      <c r="N5629" s="11"/>
      <c r="O5629" s="11"/>
      <c r="P5629" s="11"/>
    </row>
    <row r="5630" spans="8:16" x14ac:dyDescent="0.25">
      <c r="H5630" s="12"/>
      <c r="I5630" s="12"/>
      <c r="J5630" s="12"/>
      <c r="K5630" s="12"/>
      <c r="L5630" s="12"/>
      <c r="M5630" s="11"/>
      <c r="N5630" s="11"/>
      <c r="O5630" s="11"/>
      <c r="P5630" s="11"/>
    </row>
    <row r="5631" spans="8:16" x14ac:dyDescent="0.25">
      <c r="H5631" s="12"/>
      <c r="I5631" s="12"/>
      <c r="J5631" s="12"/>
      <c r="K5631" s="12"/>
      <c r="L5631" s="12"/>
      <c r="M5631" s="11"/>
      <c r="N5631" s="11"/>
      <c r="O5631" s="11"/>
      <c r="P5631" s="11"/>
    </row>
    <row r="5632" spans="8:16" x14ac:dyDescent="0.25">
      <c r="H5632" s="12"/>
      <c r="I5632" s="12"/>
      <c r="J5632" s="12"/>
      <c r="K5632" s="12"/>
      <c r="L5632" s="12"/>
      <c r="M5632" s="11"/>
      <c r="N5632" s="11"/>
      <c r="O5632" s="11"/>
      <c r="P5632" s="11"/>
    </row>
    <row r="5633" spans="8:16" x14ac:dyDescent="0.25">
      <c r="H5633" s="12"/>
      <c r="I5633" s="12"/>
      <c r="J5633" s="12"/>
      <c r="K5633" s="12"/>
      <c r="L5633" s="12"/>
      <c r="M5633" s="11"/>
      <c r="N5633" s="11"/>
      <c r="O5633" s="11"/>
      <c r="P5633" s="11"/>
    </row>
    <row r="5634" spans="8:16" x14ac:dyDescent="0.25">
      <c r="H5634" s="12"/>
      <c r="I5634" s="12"/>
      <c r="J5634" s="12"/>
      <c r="K5634" s="12"/>
      <c r="L5634" s="12"/>
      <c r="M5634" s="11"/>
      <c r="N5634" s="11"/>
      <c r="O5634" s="11"/>
      <c r="P5634" s="11"/>
    </row>
    <row r="5635" spans="8:16" x14ac:dyDescent="0.25">
      <c r="H5635" s="12"/>
      <c r="I5635" s="12"/>
      <c r="J5635" s="12"/>
      <c r="K5635" s="12"/>
      <c r="L5635" s="12"/>
      <c r="M5635" s="11"/>
      <c r="N5635" s="11"/>
      <c r="O5635" s="11"/>
      <c r="P5635" s="11"/>
    </row>
    <row r="5636" spans="8:16" x14ac:dyDescent="0.25">
      <c r="H5636" s="12"/>
      <c r="I5636" s="12"/>
      <c r="J5636" s="12"/>
      <c r="K5636" s="12"/>
      <c r="L5636" s="12"/>
      <c r="M5636" s="11"/>
      <c r="N5636" s="11"/>
      <c r="O5636" s="11"/>
      <c r="P5636" s="11"/>
    </row>
    <row r="5637" spans="8:16" x14ac:dyDescent="0.25">
      <c r="H5637" s="12"/>
      <c r="I5637" s="12"/>
      <c r="J5637" s="12"/>
      <c r="K5637" s="12"/>
      <c r="L5637" s="12"/>
      <c r="M5637" s="11"/>
      <c r="N5637" s="11"/>
      <c r="O5637" s="11"/>
      <c r="P5637" s="11"/>
    </row>
    <row r="5638" spans="8:16" x14ac:dyDescent="0.25">
      <c r="H5638" s="12"/>
      <c r="I5638" s="12"/>
      <c r="J5638" s="12"/>
      <c r="K5638" s="12"/>
      <c r="L5638" s="12"/>
      <c r="M5638" s="11"/>
      <c r="N5638" s="11"/>
      <c r="O5638" s="11"/>
      <c r="P5638" s="11"/>
    </row>
    <row r="5639" spans="8:16" x14ac:dyDescent="0.25">
      <c r="H5639" s="12"/>
      <c r="I5639" s="12"/>
      <c r="J5639" s="12"/>
      <c r="K5639" s="12"/>
      <c r="L5639" s="12"/>
      <c r="M5639" s="11"/>
      <c r="N5639" s="11"/>
      <c r="O5639" s="11"/>
      <c r="P5639" s="11"/>
    </row>
    <row r="5640" spans="8:16" x14ac:dyDescent="0.25">
      <c r="H5640" s="12"/>
      <c r="I5640" s="12"/>
      <c r="J5640" s="12"/>
      <c r="K5640" s="12"/>
      <c r="L5640" s="12"/>
      <c r="M5640" s="11"/>
      <c r="N5640" s="11"/>
      <c r="O5640" s="11"/>
      <c r="P5640" s="11"/>
    </row>
    <row r="5641" spans="8:16" x14ac:dyDescent="0.25">
      <c r="H5641" s="12"/>
      <c r="I5641" s="12"/>
      <c r="J5641" s="12"/>
      <c r="K5641" s="12"/>
      <c r="L5641" s="12"/>
      <c r="M5641" s="11"/>
      <c r="N5641" s="11"/>
      <c r="O5641" s="11"/>
      <c r="P5641" s="11"/>
    </row>
    <row r="5642" spans="8:16" x14ac:dyDescent="0.25">
      <c r="H5642" s="12"/>
      <c r="I5642" s="12"/>
      <c r="J5642" s="12"/>
      <c r="K5642" s="12"/>
      <c r="L5642" s="12"/>
      <c r="M5642" s="11"/>
      <c r="N5642" s="11"/>
      <c r="O5642" s="11"/>
      <c r="P5642" s="11"/>
    </row>
    <row r="5643" spans="8:16" x14ac:dyDescent="0.25">
      <c r="H5643" s="12"/>
      <c r="I5643" s="12"/>
      <c r="J5643" s="12"/>
      <c r="K5643" s="12"/>
      <c r="L5643" s="12"/>
      <c r="M5643" s="11"/>
      <c r="N5643" s="11"/>
      <c r="O5643" s="11"/>
      <c r="P5643" s="11"/>
    </row>
    <row r="5644" spans="8:16" x14ac:dyDescent="0.25">
      <c r="H5644" s="12"/>
      <c r="I5644" s="12"/>
      <c r="J5644" s="12"/>
      <c r="K5644" s="12"/>
      <c r="L5644" s="12"/>
      <c r="M5644" s="11"/>
      <c r="N5644" s="11"/>
      <c r="O5644" s="11"/>
      <c r="P5644" s="11"/>
    </row>
    <row r="5645" spans="8:16" x14ac:dyDescent="0.25">
      <c r="H5645" s="12"/>
      <c r="I5645" s="12"/>
      <c r="J5645" s="12"/>
      <c r="K5645" s="12"/>
      <c r="L5645" s="12"/>
      <c r="M5645" s="11"/>
      <c r="N5645" s="11"/>
      <c r="O5645" s="11"/>
      <c r="P5645" s="11"/>
    </row>
    <row r="5646" spans="8:16" x14ac:dyDescent="0.25">
      <c r="H5646" s="12"/>
      <c r="I5646" s="12"/>
      <c r="J5646" s="12"/>
      <c r="K5646" s="12"/>
      <c r="L5646" s="12"/>
      <c r="M5646" s="11"/>
      <c r="N5646" s="11"/>
      <c r="O5646" s="11"/>
      <c r="P5646" s="11"/>
    </row>
    <row r="5647" spans="8:16" x14ac:dyDescent="0.25">
      <c r="H5647" s="12"/>
      <c r="I5647" s="12"/>
      <c r="J5647" s="12"/>
      <c r="K5647" s="12"/>
      <c r="L5647" s="12"/>
      <c r="M5647" s="11"/>
      <c r="N5647" s="11"/>
      <c r="O5647" s="11"/>
      <c r="P5647" s="11"/>
    </row>
    <row r="5648" spans="8:16" x14ac:dyDescent="0.25">
      <c r="H5648" s="12"/>
      <c r="I5648" s="12"/>
      <c r="J5648" s="12"/>
      <c r="K5648" s="12"/>
      <c r="L5648" s="12"/>
      <c r="M5648" s="11"/>
      <c r="N5648" s="11"/>
      <c r="O5648" s="11"/>
      <c r="P5648" s="11"/>
    </row>
    <row r="5649" spans="8:16" x14ac:dyDescent="0.25">
      <c r="H5649" s="12"/>
      <c r="I5649" s="12"/>
      <c r="J5649" s="12"/>
      <c r="K5649" s="12"/>
      <c r="L5649" s="12"/>
      <c r="M5649" s="11"/>
      <c r="N5649" s="11"/>
      <c r="O5649" s="11"/>
      <c r="P5649" s="11"/>
    </row>
    <row r="5650" spans="8:16" x14ac:dyDescent="0.25">
      <c r="H5650" s="12"/>
      <c r="I5650" s="12"/>
      <c r="J5650" s="12"/>
      <c r="K5650" s="12"/>
      <c r="L5650" s="12"/>
      <c r="M5650" s="11"/>
      <c r="N5650" s="11"/>
      <c r="O5650" s="11"/>
      <c r="P5650" s="11"/>
    </row>
    <row r="5651" spans="8:16" x14ac:dyDescent="0.25">
      <c r="H5651" s="12"/>
      <c r="I5651" s="12"/>
      <c r="J5651" s="12"/>
      <c r="K5651" s="12"/>
      <c r="L5651" s="12"/>
      <c r="M5651" s="11"/>
      <c r="N5651" s="11"/>
      <c r="O5651" s="11"/>
      <c r="P5651" s="11"/>
    </row>
    <row r="5652" spans="8:16" x14ac:dyDescent="0.25">
      <c r="H5652" s="12"/>
      <c r="I5652" s="12"/>
      <c r="J5652" s="12"/>
      <c r="K5652" s="12"/>
      <c r="L5652" s="12"/>
      <c r="M5652" s="11"/>
      <c r="N5652" s="11"/>
      <c r="O5652" s="11"/>
      <c r="P5652" s="11"/>
    </row>
    <row r="5653" spans="8:16" x14ac:dyDescent="0.25">
      <c r="H5653" s="12"/>
      <c r="I5653" s="12"/>
      <c r="J5653" s="12"/>
      <c r="K5653" s="12"/>
      <c r="L5653" s="12"/>
      <c r="M5653" s="11"/>
      <c r="N5653" s="11"/>
      <c r="O5653" s="11"/>
      <c r="P5653" s="11"/>
    </row>
    <row r="5654" spans="8:16" x14ac:dyDescent="0.25">
      <c r="H5654" s="12"/>
      <c r="I5654" s="12"/>
      <c r="J5654" s="12"/>
      <c r="K5654" s="12"/>
      <c r="L5654" s="12"/>
      <c r="M5654" s="11"/>
      <c r="N5654" s="11"/>
      <c r="O5654" s="11"/>
      <c r="P5654" s="11"/>
    </row>
    <row r="5655" spans="8:16" x14ac:dyDescent="0.25">
      <c r="H5655" s="12"/>
      <c r="I5655" s="12"/>
      <c r="J5655" s="12"/>
      <c r="K5655" s="12"/>
      <c r="L5655" s="12"/>
      <c r="M5655" s="11"/>
      <c r="N5655" s="11"/>
      <c r="O5655" s="11"/>
      <c r="P5655" s="11"/>
    </row>
    <row r="5656" spans="8:16" x14ac:dyDescent="0.25">
      <c r="H5656" s="12"/>
      <c r="I5656" s="12"/>
      <c r="J5656" s="12"/>
      <c r="K5656" s="12"/>
      <c r="L5656" s="12"/>
      <c r="M5656" s="11"/>
      <c r="N5656" s="11"/>
      <c r="O5656" s="11"/>
      <c r="P5656" s="11"/>
    </row>
    <row r="5657" spans="8:16" x14ac:dyDescent="0.25">
      <c r="H5657" s="12"/>
      <c r="I5657" s="12"/>
      <c r="J5657" s="12"/>
      <c r="K5657" s="12"/>
      <c r="L5657" s="12"/>
      <c r="M5657" s="11"/>
      <c r="N5657" s="11"/>
      <c r="O5657" s="11"/>
      <c r="P5657" s="11"/>
    </row>
    <row r="5658" spans="8:16" x14ac:dyDescent="0.25">
      <c r="H5658" s="12"/>
      <c r="I5658" s="12"/>
      <c r="J5658" s="12"/>
      <c r="K5658" s="12"/>
      <c r="L5658" s="12"/>
      <c r="M5658" s="11"/>
      <c r="N5658" s="11"/>
      <c r="O5658" s="11"/>
      <c r="P5658" s="11"/>
    </row>
    <row r="5659" spans="8:16" x14ac:dyDescent="0.25">
      <c r="H5659" s="12"/>
      <c r="I5659" s="12"/>
      <c r="J5659" s="12"/>
      <c r="K5659" s="12"/>
      <c r="L5659" s="12"/>
      <c r="M5659" s="11"/>
      <c r="N5659" s="11"/>
      <c r="O5659" s="11"/>
      <c r="P5659" s="11"/>
    </row>
    <row r="5660" spans="8:16" x14ac:dyDescent="0.25">
      <c r="H5660" s="12"/>
      <c r="I5660" s="12"/>
      <c r="J5660" s="12"/>
      <c r="K5660" s="12"/>
      <c r="L5660" s="12"/>
      <c r="M5660" s="11"/>
      <c r="N5660" s="11"/>
      <c r="O5660" s="11"/>
      <c r="P5660" s="11"/>
    </row>
    <row r="5661" spans="8:16" x14ac:dyDescent="0.25">
      <c r="H5661" s="12"/>
      <c r="I5661" s="12"/>
      <c r="J5661" s="12"/>
      <c r="K5661" s="12"/>
      <c r="L5661" s="12"/>
      <c r="M5661" s="11"/>
      <c r="N5661" s="11"/>
      <c r="O5661" s="11"/>
      <c r="P5661" s="11"/>
    </row>
    <row r="5662" spans="8:16" x14ac:dyDescent="0.25">
      <c r="H5662" s="12"/>
      <c r="I5662" s="12"/>
      <c r="J5662" s="12"/>
      <c r="K5662" s="12"/>
      <c r="L5662" s="12"/>
      <c r="M5662" s="11"/>
      <c r="N5662" s="11"/>
      <c r="O5662" s="11"/>
      <c r="P5662" s="11"/>
    </row>
    <row r="5663" spans="8:16" x14ac:dyDescent="0.25">
      <c r="H5663" s="12"/>
      <c r="I5663" s="12"/>
      <c r="J5663" s="12"/>
      <c r="K5663" s="12"/>
      <c r="L5663" s="12"/>
      <c r="M5663" s="11"/>
      <c r="N5663" s="11"/>
      <c r="O5663" s="11"/>
      <c r="P5663" s="11"/>
    </row>
    <row r="5664" spans="8:16" x14ac:dyDescent="0.25">
      <c r="H5664" s="12"/>
      <c r="I5664" s="12"/>
      <c r="J5664" s="12"/>
      <c r="K5664" s="12"/>
      <c r="L5664" s="12"/>
      <c r="M5664" s="11"/>
      <c r="N5664" s="11"/>
      <c r="O5664" s="11"/>
      <c r="P5664" s="11"/>
    </row>
    <row r="5665" spans="8:16" x14ac:dyDescent="0.25">
      <c r="H5665" s="12"/>
      <c r="I5665" s="12"/>
      <c r="J5665" s="12"/>
      <c r="K5665" s="12"/>
      <c r="L5665" s="12"/>
      <c r="M5665" s="11"/>
      <c r="N5665" s="11"/>
      <c r="O5665" s="11"/>
      <c r="P5665" s="11"/>
    </row>
    <row r="5666" spans="8:16" x14ac:dyDescent="0.25">
      <c r="H5666" s="12"/>
      <c r="I5666" s="12"/>
      <c r="J5666" s="12"/>
      <c r="K5666" s="12"/>
      <c r="L5666" s="12"/>
      <c r="M5666" s="11"/>
      <c r="N5666" s="11"/>
      <c r="O5666" s="11"/>
      <c r="P5666" s="11"/>
    </row>
    <row r="5667" spans="8:16" x14ac:dyDescent="0.25">
      <c r="H5667" s="12"/>
      <c r="I5667" s="12"/>
      <c r="J5667" s="12"/>
      <c r="K5667" s="12"/>
      <c r="L5667" s="12"/>
      <c r="M5667" s="11"/>
      <c r="N5667" s="11"/>
      <c r="O5667" s="11"/>
      <c r="P5667" s="11"/>
    </row>
    <row r="5668" spans="8:16" x14ac:dyDescent="0.25">
      <c r="H5668" s="12"/>
      <c r="I5668" s="12"/>
      <c r="J5668" s="12"/>
      <c r="K5668" s="12"/>
      <c r="L5668" s="12"/>
      <c r="M5668" s="11"/>
      <c r="N5668" s="11"/>
      <c r="O5668" s="11"/>
      <c r="P5668" s="11"/>
    </row>
    <row r="5669" spans="8:16" x14ac:dyDescent="0.25">
      <c r="H5669" s="12"/>
      <c r="I5669" s="12"/>
      <c r="J5669" s="12"/>
      <c r="K5669" s="12"/>
      <c r="L5669" s="12"/>
      <c r="M5669" s="11"/>
      <c r="N5669" s="11"/>
      <c r="O5669" s="11"/>
      <c r="P5669" s="11"/>
    </row>
    <row r="5670" spans="8:16" x14ac:dyDescent="0.25">
      <c r="H5670" s="12"/>
      <c r="I5670" s="12"/>
      <c r="J5670" s="12"/>
      <c r="K5670" s="12"/>
      <c r="L5670" s="12"/>
      <c r="M5670" s="11"/>
      <c r="N5670" s="11"/>
      <c r="O5670" s="11"/>
      <c r="P5670" s="11"/>
    </row>
    <row r="5671" spans="8:16" x14ac:dyDescent="0.25">
      <c r="H5671" s="12"/>
      <c r="I5671" s="12"/>
      <c r="J5671" s="12"/>
      <c r="K5671" s="12"/>
      <c r="L5671" s="12"/>
      <c r="M5671" s="11"/>
      <c r="N5671" s="11"/>
      <c r="O5671" s="11"/>
      <c r="P5671" s="11"/>
    </row>
    <row r="5672" spans="8:16" x14ac:dyDescent="0.25">
      <c r="H5672" s="12"/>
      <c r="I5672" s="12"/>
      <c r="J5672" s="12"/>
      <c r="K5672" s="12"/>
      <c r="L5672" s="12"/>
      <c r="M5672" s="11"/>
      <c r="N5672" s="11"/>
      <c r="O5672" s="11"/>
      <c r="P5672" s="11"/>
    </row>
    <row r="5673" spans="8:16" x14ac:dyDescent="0.25">
      <c r="H5673" s="12"/>
      <c r="I5673" s="12"/>
      <c r="J5673" s="12"/>
      <c r="K5673" s="12"/>
      <c r="L5673" s="12"/>
      <c r="M5673" s="11"/>
      <c r="N5673" s="11"/>
      <c r="O5673" s="11"/>
      <c r="P5673" s="11"/>
    </row>
    <row r="5674" spans="8:16" x14ac:dyDescent="0.25">
      <c r="H5674" s="12"/>
      <c r="I5674" s="12"/>
      <c r="J5674" s="12"/>
      <c r="K5674" s="12"/>
      <c r="L5674" s="12"/>
      <c r="M5674" s="11"/>
      <c r="N5674" s="11"/>
      <c r="O5674" s="11"/>
      <c r="P5674" s="11"/>
    </row>
    <row r="5675" spans="8:16" x14ac:dyDescent="0.25">
      <c r="H5675" s="12"/>
      <c r="I5675" s="12"/>
      <c r="J5675" s="12"/>
      <c r="K5675" s="12"/>
      <c r="L5675" s="12"/>
      <c r="M5675" s="11"/>
      <c r="N5675" s="11"/>
      <c r="O5675" s="11"/>
      <c r="P5675" s="11"/>
    </row>
    <row r="5676" spans="8:16" x14ac:dyDescent="0.25">
      <c r="H5676" s="12"/>
      <c r="I5676" s="12"/>
      <c r="J5676" s="12"/>
      <c r="K5676" s="12"/>
      <c r="L5676" s="12"/>
      <c r="M5676" s="11"/>
      <c r="N5676" s="11"/>
      <c r="O5676" s="11"/>
      <c r="P5676" s="11"/>
    </row>
    <row r="5677" spans="8:16" x14ac:dyDescent="0.25">
      <c r="H5677" s="12"/>
      <c r="I5677" s="12"/>
      <c r="J5677" s="12"/>
      <c r="K5677" s="12"/>
      <c r="L5677" s="12"/>
      <c r="M5677" s="11"/>
      <c r="N5677" s="11"/>
      <c r="O5677" s="11"/>
      <c r="P5677" s="11"/>
    </row>
    <row r="5678" spans="8:16" x14ac:dyDescent="0.25">
      <c r="H5678" s="12"/>
      <c r="I5678" s="12"/>
      <c r="J5678" s="12"/>
      <c r="K5678" s="12"/>
      <c r="L5678" s="12"/>
      <c r="M5678" s="11"/>
      <c r="N5678" s="11"/>
      <c r="O5678" s="11"/>
      <c r="P5678" s="11"/>
    </row>
    <row r="5679" spans="8:16" x14ac:dyDescent="0.25">
      <c r="H5679" s="12"/>
      <c r="I5679" s="12"/>
      <c r="J5679" s="12"/>
      <c r="K5679" s="12"/>
      <c r="L5679" s="12"/>
      <c r="M5679" s="11"/>
      <c r="N5679" s="11"/>
      <c r="O5679" s="11"/>
      <c r="P5679" s="11"/>
    </row>
    <row r="5680" spans="8:16" x14ac:dyDescent="0.25">
      <c r="H5680" s="12"/>
      <c r="I5680" s="12"/>
      <c r="J5680" s="12"/>
      <c r="K5680" s="12"/>
      <c r="L5680" s="12"/>
      <c r="M5680" s="11"/>
      <c r="N5680" s="11"/>
      <c r="O5680" s="11"/>
      <c r="P5680" s="11"/>
    </row>
    <row r="5681" spans="8:16" x14ac:dyDescent="0.25">
      <c r="H5681" s="12"/>
      <c r="I5681" s="12"/>
      <c r="J5681" s="12"/>
      <c r="K5681" s="12"/>
      <c r="L5681" s="12"/>
      <c r="M5681" s="11"/>
      <c r="N5681" s="11"/>
      <c r="O5681" s="11"/>
      <c r="P5681" s="11"/>
    </row>
    <row r="5682" spans="8:16" x14ac:dyDescent="0.25">
      <c r="H5682" s="12"/>
      <c r="I5682" s="12"/>
      <c r="J5682" s="12"/>
      <c r="K5682" s="12"/>
      <c r="L5682" s="12"/>
      <c r="M5682" s="11"/>
      <c r="N5682" s="11"/>
      <c r="O5682" s="11"/>
      <c r="P5682" s="11"/>
    </row>
    <row r="5683" spans="8:16" x14ac:dyDescent="0.25">
      <c r="H5683" s="12"/>
      <c r="I5683" s="12"/>
      <c r="J5683" s="12"/>
      <c r="K5683" s="12"/>
      <c r="L5683" s="12"/>
      <c r="M5683" s="11"/>
      <c r="N5683" s="11"/>
      <c r="O5683" s="11"/>
      <c r="P5683" s="11"/>
    </row>
    <row r="5684" spans="8:16" x14ac:dyDescent="0.25">
      <c r="H5684" s="12"/>
      <c r="I5684" s="12"/>
      <c r="J5684" s="12"/>
      <c r="K5684" s="12"/>
      <c r="L5684" s="12"/>
      <c r="M5684" s="11"/>
      <c r="N5684" s="11"/>
      <c r="O5684" s="11"/>
      <c r="P5684" s="11"/>
    </row>
    <row r="5685" spans="8:16" x14ac:dyDescent="0.25">
      <c r="H5685" s="12"/>
      <c r="I5685" s="12"/>
      <c r="J5685" s="12"/>
      <c r="K5685" s="12"/>
      <c r="L5685" s="12"/>
      <c r="M5685" s="11"/>
      <c r="N5685" s="11"/>
      <c r="O5685" s="11"/>
      <c r="P5685" s="11"/>
    </row>
    <row r="5686" spans="8:16" x14ac:dyDescent="0.25">
      <c r="H5686" s="12"/>
      <c r="I5686" s="12"/>
      <c r="J5686" s="12"/>
      <c r="K5686" s="12"/>
      <c r="L5686" s="12"/>
      <c r="M5686" s="11"/>
      <c r="N5686" s="11"/>
      <c r="O5686" s="11"/>
      <c r="P5686" s="11"/>
    </row>
    <row r="5687" spans="8:16" x14ac:dyDescent="0.25">
      <c r="H5687" s="12"/>
      <c r="I5687" s="12"/>
      <c r="J5687" s="12"/>
      <c r="K5687" s="12"/>
      <c r="L5687" s="12"/>
      <c r="M5687" s="11"/>
      <c r="N5687" s="11"/>
      <c r="O5687" s="11"/>
      <c r="P5687" s="11"/>
    </row>
    <row r="5688" spans="8:16" x14ac:dyDescent="0.25">
      <c r="H5688" s="12"/>
      <c r="I5688" s="12"/>
      <c r="J5688" s="12"/>
      <c r="K5688" s="12"/>
      <c r="L5688" s="12"/>
      <c r="M5688" s="11"/>
      <c r="N5688" s="11"/>
      <c r="O5688" s="11"/>
      <c r="P5688" s="11"/>
    </row>
    <row r="5689" spans="8:16" x14ac:dyDescent="0.25">
      <c r="H5689" s="12"/>
      <c r="I5689" s="12"/>
      <c r="J5689" s="12"/>
      <c r="K5689" s="12"/>
      <c r="L5689" s="12"/>
      <c r="M5689" s="11"/>
      <c r="N5689" s="11"/>
      <c r="O5689" s="11"/>
      <c r="P5689" s="11"/>
    </row>
    <row r="5690" spans="8:16" x14ac:dyDescent="0.25">
      <c r="H5690" s="12"/>
      <c r="I5690" s="12"/>
      <c r="J5690" s="12"/>
      <c r="K5690" s="12"/>
      <c r="L5690" s="12"/>
      <c r="M5690" s="11"/>
      <c r="N5690" s="11"/>
      <c r="O5690" s="11"/>
      <c r="P5690" s="11"/>
    </row>
    <row r="5691" spans="8:16" x14ac:dyDescent="0.25">
      <c r="H5691" s="12"/>
      <c r="I5691" s="12"/>
      <c r="J5691" s="12"/>
      <c r="K5691" s="12"/>
      <c r="L5691" s="12"/>
      <c r="M5691" s="11"/>
      <c r="N5691" s="11"/>
      <c r="O5691" s="11"/>
      <c r="P5691" s="11"/>
    </row>
    <row r="5692" spans="8:16" x14ac:dyDescent="0.25">
      <c r="H5692" s="12"/>
      <c r="I5692" s="12"/>
      <c r="J5692" s="12"/>
      <c r="K5692" s="12"/>
      <c r="L5692" s="12"/>
      <c r="M5692" s="11"/>
      <c r="N5692" s="11"/>
      <c r="O5692" s="11"/>
      <c r="P5692" s="11"/>
    </row>
    <row r="5693" spans="8:16" x14ac:dyDescent="0.25">
      <c r="H5693" s="12"/>
      <c r="I5693" s="12"/>
      <c r="J5693" s="12"/>
      <c r="K5693" s="12"/>
      <c r="L5693" s="12"/>
      <c r="M5693" s="11"/>
      <c r="N5693" s="11"/>
      <c r="O5693" s="11"/>
      <c r="P5693" s="11"/>
    </row>
    <row r="5694" spans="8:16" x14ac:dyDescent="0.25">
      <c r="H5694" s="12"/>
      <c r="I5694" s="12"/>
      <c r="J5694" s="12"/>
      <c r="K5694" s="12"/>
      <c r="L5694" s="12"/>
      <c r="M5694" s="11"/>
      <c r="N5694" s="11"/>
      <c r="O5694" s="11"/>
      <c r="P5694" s="11"/>
    </row>
    <row r="5695" spans="8:16" x14ac:dyDescent="0.25">
      <c r="H5695" s="12"/>
      <c r="I5695" s="12"/>
      <c r="J5695" s="12"/>
      <c r="K5695" s="12"/>
      <c r="L5695" s="12"/>
      <c r="M5695" s="11"/>
      <c r="N5695" s="11"/>
      <c r="O5695" s="11"/>
      <c r="P5695" s="11"/>
    </row>
    <row r="5696" spans="8:16" x14ac:dyDescent="0.25">
      <c r="H5696" s="12"/>
      <c r="I5696" s="12"/>
      <c r="J5696" s="12"/>
      <c r="K5696" s="12"/>
      <c r="L5696" s="12"/>
      <c r="M5696" s="11"/>
      <c r="N5696" s="11"/>
      <c r="O5696" s="11"/>
      <c r="P5696" s="11"/>
    </row>
    <row r="5697" spans="8:16" x14ac:dyDescent="0.25">
      <c r="H5697" s="12"/>
      <c r="I5697" s="12"/>
      <c r="J5697" s="12"/>
      <c r="K5697" s="12"/>
      <c r="L5697" s="12"/>
      <c r="M5697" s="11"/>
      <c r="N5697" s="11"/>
      <c r="O5697" s="11"/>
      <c r="P5697" s="11"/>
    </row>
    <row r="5698" spans="8:16" x14ac:dyDescent="0.25">
      <c r="H5698" s="12"/>
      <c r="I5698" s="12"/>
      <c r="J5698" s="12"/>
      <c r="K5698" s="12"/>
      <c r="L5698" s="12"/>
      <c r="M5698" s="11"/>
      <c r="N5698" s="11"/>
      <c r="O5698" s="11"/>
      <c r="P5698" s="11"/>
    </row>
    <row r="5699" spans="8:16" x14ac:dyDescent="0.25">
      <c r="H5699" s="12"/>
      <c r="I5699" s="12"/>
      <c r="J5699" s="12"/>
      <c r="K5699" s="12"/>
      <c r="L5699" s="12"/>
      <c r="M5699" s="11"/>
      <c r="N5699" s="11"/>
      <c r="O5699" s="11"/>
      <c r="P5699" s="11"/>
    </row>
    <row r="5700" spans="8:16" x14ac:dyDescent="0.25">
      <c r="H5700" s="12"/>
      <c r="I5700" s="12"/>
      <c r="J5700" s="12"/>
      <c r="K5700" s="12"/>
      <c r="L5700" s="12"/>
      <c r="M5700" s="11"/>
      <c r="N5700" s="11"/>
      <c r="O5700" s="11"/>
      <c r="P5700" s="11"/>
    </row>
    <row r="5701" spans="8:16" x14ac:dyDescent="0.25">
      <c r="H5701" s="12"/>
      <c r="I5701" s="12"/>
      <c r="J5701" s="12"/>
      <c r="K5701" s="12"/>
      <c r="L5701" s="12"/>
      <c r="M5701" s="11"/>
      <c r="N5701" s="11"/>
      <c r="O5701" s="11"/>
      <c r="P5701" s="11"/>
    </row>
    <row r="5702" spans="8:16" x14ac:dyDescent="0.25">
      <c r="H5702" s="12"/>
      <c r="I5702" s="12"/>
      <c r="J5702" s="12"/>
      <c r="K5702" s="12"/>
      <c r="L5702" s="12"/>
      <c r="M5702" s="11"/>
      <c r="N5702" s="11"/>
      <c r="O5702" s="11"/>
      <c r="P5702" s="11"/>
    </row>
    <row r="5703" spans="8:16" x14ac:dyDescent="0.25">
      <c r="H5703" s="12"/>
      <c r="I5703" s="12"/>
      <c r="J5703" s="12"/>
      <c r="K5703" s="12"/>
      <c r="L5703" s="12"/>
      <c r="M5703" s="11"/>
      <c r="N5703" s="11"/>
      <c r="O5703" s="11"/>
      <c r="P5703" s="11"/>
    </row>
    <row r="5704" spans="8:16" x14ac:dyDescent="0.25">
      <c r="H5704" s="12"/>
      <c r="I5704" s="12"/>
      <c r="J5704" s="12"/>
      <c r="K5704" s="12"/>
      <c r="L5704" s="12"/>
      <c r="M5704" s="11"/>
      <c r="N5704" s="11"/>
      <c r="O5704" s="11"/>
      <c r="P5704" s="11"/>
    </row>
    <row r="5705" spans="8:16" x14ac:dyDescent="0.25">
      <c r="H5705" s="12"/>
      <c r="I5705" s="12"/>
      <c r="J5705" s="12"/>
      <c r="K5705" s="12"/>
      <c r="L5705" s="12"/>
      <c r="M5705" s="11"/>
      <c r="N5705" s="11"/>
      <c r="O5705" s="11"/>
      <c r="P5705" s="11"/>
    </row>
    <row r="5706" spans="8:16" x14ac:dyDescent="0.25">
      <c r="H5706" s="12"/>
      <c r="I5706" s="12"/>
      <c r="J5706" s="12"/>
      <c r="K5706" s="12"/>
      <c r="L5706" s="12"/>
      <c r="M5706" s="11"/>
      <c r="N5706" s="11"/>
      <c r="O5706" s="11"/>
      <c r="P5706" s="11"/>
    </row>
    <row r="5707" spans="8:16" x14ac:dyDescent="0.25">
      <c r="H5707" s="12"/>
      <c r="I5707" s="12"/>
      <c r="J5707" s="12"/>
      <c r="K5707" s="12"/>
      <c r="L5707" s="12"/>
      <c r="M5707" s="11"/>
      <c r="N5707" s="11"/>
      <c r="O5707" s="11"/>
      <c r="P5707" s="11"/>
    </row>
    <row r="5708" spans="8:16" x14ac:dyDescent="0.25">
      <c r="H5708" s="12"/>
      <c r="I5708" s="12"/>
      <c r="J5708" s="12"/>
      <c r="K5708" s="12"/>
      <c r="L5708" s="12"/>
      <c r="M5708" s="11"/>
      <c r="N5708" s="11"/>
      <c r="O5708" s="11"/>
      <c r="P5708" s="11"/>
    </row>
    <row r="5709" spans="8:16" x14ac:dyDescent="0.25">
      <c r="H5709" s="12"/>
      <c r="I5709" s="12"/>
      <c r="J5709" s="12"/>
      <c r="K5709" s="12"/>
      <c r="L5709" s="12"/>
      <c r="M5709" s="11"/>
      <c r="N5709" s="11"/>
      <c r="O5709" s="11"/>
      <c r="P5709" s="11"/>
    </row>
    <row r="5710" spans="8:16" x14ac:dyDescent="0.25">
      <c r="H5710" s="12"/>
      <c r="I5710" s="12"/>
      <c r="J5710" s="12"/>
      <c r="K5710" s="12"/>
      <c r="L5710" s="12"/>
      <c r="M5710" s="11"/>
      <c r="N5710" s="11"/>
      <c r="O5710" s="11"/>
      <c r="P5710" s="11"/>
    </row>
    <row r="5711" spans="8:16" x14ac:dyDescent="0.25">
      <c r="H5711" s="12"/>
      <c r="I5711" s="12"/>
      <c r="J5711" s="12"/>
      <c r="K5711" s="12"/>
      <c r="L5711" s="12"/>
      <c r="M5711" s="11"/>
      <c r="N5711" s="11"/>
      <c r="O5711" s="11"/>
      <c r="P5711" s="11"/>
    </row>
    <row r="5712" spans="8:16" x14ac:dyDescent="0.25">
      <c r="H5712" s="12"/>
      <c r="I5712" s="12"/>
      <c r="J5712" s="12"/>
      <c r="K5712" s="12"/>
      <c r="L5712" s="12"/>
      <c r="M5712" s="11"/>
      <c r="N5712" s="11"/>
      <c r="O5712" s="11"/>
      <c r="P5712" s="11"/>
    </row>
    <row r="5713" spans="8:16" x14ac:dyDescent="0.25">
      <c r="H5713" s="12"/>
      <c r="I5713" s="12"/>
      <c r="J5713" s="12"/>
      <c r="K5713" s="12"/>
      <c r="L5713" s="12"/>
      <c r="M5713" s="11"/>
      <c r="N5713" s="11"/>
      <c r="O5713" s="11"/>
      <c r="P5713" s="11"/>
    </row>
    <row r="5714" spans="8:16" x14ac:dyDescent="0.25">
      <c r="H5714" s="12"/>
      <c r="I5714" s="12"/>
      <c r="J5714" s="12"/>
      <c r="K5714" s="12"/>
      <c r="L5714" s="12"/>
      <c r="M5714" s="11"/>
      <c r="N5714" s="11"/>
      <c r="O5714" s="11"/>
      <c r="P5714" s="11"/>
    </row>
    <row r="5715" spans="8:16" x14ac:dyDescent="0.25">
      <c r="H5715" s="12"/>
      <c r="I5715" s="12"/>
      <c r="J5715" s="12"/>
      <c r="K5715" s="12"/>
      <c r="L5715" s="12"/>
      <c r="M5715" s="11"/>
      <c r="N5715" s="11"/>
      <c r="O5715" s="11"/>
      <c r="P5715" s="11"/>
    </row>
    <row r="5716" spans="8:16" x14ac:dyDescent="0.25">
      <c r="H5716" s="12"/>
      <c r="I5716" s="12"/>
      <c r="J5716" s="12"/>
      <c r="K5716" s="12"/>
      <c r="L5716" s="12"/>
      <c r="M5716" s="11"/>
      <c r="N5716" s="11"/>
      <c r="O5716" s="11"/>
      <c r="P5716" s="11"/>
    </row>
    <row r="5717" spans="8:16" x14ac:dyDescent="0.25">
      <c r="H5717" s="12"/>
      <c r="I5717" s="12"/>
      <c r="J5717" s="12"/>
      <c r="K5717" s="12"/>
      <c r="L5717" s="12"/>
      <c r="M5717" s="11"/>
      <c r="N5717" s="11"/>
      <c r="O5717" s="11"/>
      <c r="P5717" s="11"/>
    </row>
    <row r="5718" spans="8:16" x14ac:dyDescent="0.25">
      <c r="H5718" s="12"/>
      <c r="I5718" s="12"/>
      <c r="J5718" s="12"/>
      <c r="K5718" s="12"/>
      <c r="L5718" s="12"/>
      <c r="M5718" s="11"/>
      <c r="N5718" s="11"/>
      <c r="O5718" s="11"/>
      <c r="P5718" s="11"/>
    </row>
    <row r="5719" spans="8:16" x14ac:dyDescent="0.25">
      <c r="H5719" s="12"/>
      <c r="I5719" s="12"/>
      <c r="J5719" s="12"/>
      <c r="K5719" s="12"/>
      <c r="L5719" s="12"/>
      <c r="M5719" s="11"/>
      <c r="N5719" s="11"/>
      <c r="O5719" s="11"/>
      <c r="P5719" s="11"/>
    </row>
    <row r="5720" spans="8:16" x14ac:dyDescent="0.25">
      <c r="H5720" s="12"/>
      <c r="I5720" s="12"/>
      <c r="J5720" s="12"/>
      <c r="K5720" s="12"/>
      <c r="L5720" s="12"/>
      <c r="M5720" s="11"/>
      <c r="N5720" s="11"/>
      <c r="O5720" s="11"/>
      <c r="P5720" s="11"/>
    </row>
    <row r="5721" spans="8:16" x14ac:dyDescent="0.25">
      <c r="H5721" s="12"/>
      <c r="I5721" s="12"/>
      <c r="J5721" s="12"/>
      <c r="K5721" s="12"/>
      <c r="L5721" s="12"/>
      <c r="M5721" s="11"/>
      <c r="N5721" s="11"/>
      <c r="O5721" s="11"/>
      <c r="P5721" s="11"/>
    </row>
    <row r="5722" spans="8:16" x14ac:dyDescent="0.25">
      <c r="H5722" s="12"/>
      <c r="I5722" s="12"/>
      <c r="J5722" s="12"/>
      <c r="K5722" s="12"/>
      <c r="L5722" s="12"/>
      <c r="M5722" s="11"/>
      <c r="N5722" s="11"/>
      <c r="O5722" s="11"/>
      <c r="P5722" s="11"/>
    </row>
    <row r="5723" spans="8:16" x14ac:dyDescent="0.25">
      <c r="H5723" s="12"/>
      <c r="I5723" s="12"/>
      <c r="J5723" s="12"/>
      <c r="K5723" s="12"/>
      <c r="L5723" s="12"/>
      <c r="M5723" s="11"/>
      <c r="N5723" s="11"/>
      <c r="O5723" s="11"/>
      <c r="P5723" s="11"/>
    </row>
    <row r="5724" spans="8:16" x14ac:dyDescent="0.25">
      <c r="H5724" s="12"/>
      <c r="I5724" s="12"/>
      <c r="J5724" s="12"/>
      <c r="K5724" s="12"/>
      <c r="L5724" s="12"/>
      <c r="M5724" s="11"/>
      <c r="N5724" s="11"/>
      <c r="O5724" s="11"/>
      <c r="P5724" s="11"/>
    </row>
    <row r="5725" spans="8:16" x14ac:dyDescent="0.25">
      <c r="H5725" s="12"/>
      <c r="I5725" s="12"/>
      <c r="J5725" s="12"/>
      <c r="K5725" s="12"/>
      <c r="L5725" s="12"/>
      <c r="M5725" s="11"/>
      <c r="N5725" s="11"/>
      <c r="O5725" s="11"/>
      <c r="P5725" s="11"/>
    </row>
    <row r="5726" spans="8:16" x14ac:dyDescent="0.25">
      <c r="H5726" s="12"/>
      <c r="I5726" s="12"/>
      <c r="J5726" s="12"/>
      <c r="K5726" s="12"/>
      <c r="L5726" s="12"/>
      <c r="M5726" s="11"/>
      <c r="N5726" s="11"/>
      <c r="O5726" s="11"/>
      <c r="P5726" s="11"/>
    </row>
    <row r="5727" spans="8:16" x14ac:dyDescent="0.25">
      <c r="H5727" s="12"/>
      <c r="I5727" s="12"/>
      <c r="J5727" s="12"/>
      <c r="K5727" s="12"/>
      <c r="L5727" s="12"/>
      <c r="M5727" s="11"/>
      <c r="N5727" s="11"/>
      <c r="O5727" s="11"/>
      <c r="P5727" s="11"/>
    </row>
    <row r="5728" spans="8:16" x14ac:dyDescent="0.25">
      <c r="H5728" s="12"/>
      <c r="I5728" s="12"/>
      <c r="J5728" s="12"/>
      <c r="K5728" s="12"/>
      <c r="L5728" s="12"/>
      <c r="M5728" s="11"/>
      <c r="N5728" s="11"/>
      <c r="O5728" s="11"/>
      <c r="P5728" s="11"/>
    </row>
    <row r="5729" spans="8:16" x14ac:dyDescent="0.25">
      <c r="H5729" s="12"/>
      <c r="I5729" s="12"/>
      <c r="J5729" s="12"/>
      <c r="K5729" s="12"/>
      <c r="L5729" s="12"/>
      <c r="M5729" s="11"/>
      <c r="N5729" s="11"/>
      <c r="O5729" s="11"/>
      <c r="P5729" s="11"/>
    </row>
    <row r="5730" spans="8:16" x14ac:dyDescent="0.25">
      <c r="H5730" s="12"/>
      <c r="I5730" s="12"/>
      <c r="J5730" s="12"/>
      <c r="K5730" s="12"/>
      <c r="L5730" s="12"/>
      <c r="M5730" s="11"/>
      <c r="N5730" s="11"/>
      <c r="O5730" s="11"/>
      <c r="P5730" s="11"/>
    </row>
    <row r="5731" spans="8:16" x14ac:dyDescent="0.25">
      <c r="H5731" s="12"/>
      <c r="I5731" s="12"/>
      <c r="J5731" s="12"/>
      <c r="K5731" s="12"/>
      <c r="L5731" s="12"/>
      <c r="M5731" s="11"/>
      <c r="N5731" s="11"/>
      <c r="O5731" s="11"/>
      <c r="P5731" s="11"/>
    </row>
    <row r="5732" spans="8:16" x14ac:dyDescent="0.25">
      <c r="H5732" s="12"/>
      <c r="I5732" s="12"/>
      <c r="J5732" s="12"/>
      <c r="K5732" s="12"/>
      <c r="L5732" s="12"/>
      <c r="M5732" s="11"/>
      <c r="N5732" s="11"/>
      <c r="O5732" s="11"/>
      <c r="P5732" s="11"/>
    </row>
    <row r="5733" spans="8:16" x14ac:dyDescent="0.25">
      <c r="H5733" s="12"/>
      <c r="I5733" s="12"/>
      <c r="J5733" s="12"/>
      <c r="K5733" s="12"/>
      <c r="L5733" s="12"/>
      <c r="M5733" s="11"/>
      <c r="N5733" s="11"/>
      <c r="O5733" s="11"/>
      <c r="P5733" s="11"/>
    </row>
    <row r="5734" spans="8:16" x14ac:dyDescent="0.25">
      <c r="H5734" s="12"/>
      <c r="I5734" s="12"/>
      <c r="J5734" s="12"/>
      <c r="K5734" s="12"/>
      <c r="L5734" s="12"/>
      <c r="M5734" s="11"/>
      <c r="N5734" s="11"/>
      <c r="O5734" s="11"/>
      <c r="P5734" s="11"/>
    </row>
    <row r="5735" spans="8:16" x14ac:dyDescent="0.25">
      <c r="H5735" s="12"/>
      <c r="I5735" s="12"/>
      <c r="J5735" s="12"/>
      <c r="K5735" s="12"/>
      <c r="L5735" s="12"/>
      <c r="M5735" s="11"/>
      <c r="N5735" s="11"/>
      <c r="O5735" s="11"/>
      <c r="P5735" s="11"/>
    </row>
    <row r="5736" spans="8:16" x14ac:dyDescent="0.25">
      <c r="H5736" s="12"/>
      <c r="I5736" s="12"/>
      <c r="J5736" s="12"/>
      <c r="K5736" s="12"/>
      <c r="L5736" s="12"/>
      <c r="M5736" s="11"/>
      <c r="N5736" s="11"/>
      <c r="O5736" s="11"/>
      <c r="P5736" s="11"/>
    </row>
    <row r="5737" spans="8:16" x14ac:dyDescent="0.25">
      <c r="H5737" s="12"/>
      <c r="I5737" s="12"/>
      <c r="J5737" s="12"/>
      <c r="K5737" s="12"/>
      <c r="L5737" s="12"/>
      <c r="M5737" s="11"/>
      <c r="N5737" s="11"/>
      <c r="O5737" s="11"/>
      <c r="P5737" s="11"/>
    </row>
    <row r="5738" spans="8:16" x14ac:dyDescent="0.25">
      <c r="H5738" s="12"/>
      <c r="I5738" s="12"/>
      <c r="J5738" s="12"/>
      <c r="K5738" s="12"/>
      <c r="L5738" s="12"/>
      <c r="M5738" s="11"/>
      <c r="N5738" s="11"/>
      <c r="O5738" s="11"/>
      <c r="P5738" s="11"/>
    </row>
    <row r="5739" spans="8:16" x14ac:dyDescent="0.25">
      <c r="H5739" s="12"/>
      <c r="I5739" s="12"/>
      <c r="J5739" s="12"/>
      <c r="K5739" s="12"/>
      <c r="L5739" s="12"/>
      <c r="M5739" s="11"/>
      <c r="N5739" s="11"/>
      <c r="O5739" s="11"/>
      <c r="P5739" s="11"/>
    </row>
    <row r="5740" spans="8:16" x14ac:dyDescent="0.25">
      <c r="H5740" s="12"/>
      <c r="I5740" s="12"/>
      <c r="J5740" s="12"/>
      <c r="K5740" s="12"/>
      <c r="L5740" s="12"/>
      <c r="M5740" s="11"/>
      <c r="N5740" s="11"/>
      <c r="O5740" s="11"/>
      <c r="P5740" s="11"/>
    </row>
    <row r="5741" spans="8:16" x14ac:dyDescent="0.25">
      <c r="H5741" s="12"/>
      <c r="I5741" s="12"/>
      <c r="J5741" s="12"/>
      <c r="K5741" s="12"/>
      <c r="L5741" s="12"/>
      <c r="M5741" s="11"/>
      <c r="N5741" s="11"/>
      <c r="O5741" s="11"/>
      <c r="P5741" s="11"/>
    </row>
    <row r="5742" spans="8:16" x14ac:dyDescent="0.25">
      <c r="H5742" s="12"/>
      <c r="I5742" s="12"/>
      <c r="J5742" s="12"/>
      <c r="K5742" s="12"/>
      <c r="L5742" s="12"/>
      <c r="M5742" s="11"/>
      <c r="N5742" s="11"/>
      <c r="O5742" s="11"/>
      <c r="P5742" s="11"/>
    </row>
    <row r="5743" spans="8:16" x14ac:dyDescent="0.25">
      <c r="H5743" s="12"/>
      <c r="I5743" s="12"/>
      <c r="J5743" s="12"/>
      <c r="K5743" s="12"/>
      <c r="L5743" s="12"/>
      <c r="M5743" s="11"/>
      <c r="N5743" s="11"/>
      <c r="O5743" s="11"/>
      <c r="P5743" s="11"/>
    </row>
    <row r="5744" spans="8:16" x14ac:dyDescent="0.25">
      <c r="H5744" s="12"/>
      <c r="I5744" s="12"/>
      <c r="J5744" s="12"/>
      <c r="K5744" s="12"/>
      <c r="L5744" s="12"/>
      <c r="M5744" s="11"/>
      <c r="N5744" s="11"/>
      <c r="O5744" s="11"/>
      <c r="P5744" s="11"/>
    </row>
    <row r="5745" spans="8:16" x14ac:dyDescent="0.25">
      <c r="H5745" s="12"/>
      <c r="I5745" s="12"/>
      <c r="J5745" s="12"/>
      <c r="K5745" s="12"/>
      <c r="L5745" s="12"/>
      <c r="M5745" s="11"/>
      <c r="N5745" s="11"/>
      <c r="O5745" s="11"/>
      <c r="P5745" s="11"/>
    </row>
    <row r="5746" spans="8:16" x14ac:dyDescent="0.25">
      <c r="H5746" s="12"/>
      <c r="I5746" s="12"/>
      <c r="J5746" s="12"/>
      <c r="K5746" s="12"/>
      <c r="L5746" s="12"/>
      <c r="M5746" s="11"/>
      <c r="N5746" s="11"/>
      <c r="O5746" s="11"/>
      <c r="P5746" s="11"/>
    </row>
    <row r="5747" spans="8:16" x14ac:dyDescent="0.25">
      <c r="H5747" s="12"/>
      <c r="I5747" s="12"/>
      <c r="J5747" s="12"/>
      <c r="K5747" s="12"/>
      <c r="L5747" s="12"/>
      <c r="M5747" s="11"/>
      <c r="N5747" s="11"/>
      <c r="O5747" s="11"/>
      <c r="P5747" s="11"/>
    </row>
    <row r="5748" spans="8:16" x14ac:dyDescent="0.25">
      <c r="H5748" s="12"/>
      <c r="I5748" s="12"/>
      <c r="J5748" s="12"/>
      <c r="K5748" s="12"/>
      <c r="L5748" s="12"/>
      <c r="M5748" s="11"/>
      <c r="N5748" s="11"/>
      <c r="O5748" s="11"/>
      <c r="P5748" s="11"/>
    </row>
    <row r="5749" spans="8:16" x14ac:dyDescent="0.25">
      <c r="H5749" s="12"/>
      <c r="I5749" s="12"/>
      <c r="J5749" s="12"/>
      <c r="K5749" s="12"/>
      <c r="L5749" s="12"/>
      <c r="M5749" s="11"/>
      <c r="N5749" s="11"/>
      <c r="O5749" s="11"/>
      <c r="P5749" s="11"/>
    </row>
    <row r="5750" spans="8:16" x14ac:dyDescent="0.25">
      <c r="H5750" s="12"/>
      <c r="I5750" s="12"/>
      <c r="J5750" s="12"/>
      <c r="K5750" s="12"/>
      <c r="L5750" s="12"/>
      <c r="M5750" s="11"/>
      <c r="N5750" s="11"/>
      <c r="O5750" s="11"/>
      <c r="P5750" s="11"/>
    </row>
    <row r="5751" spans="8:16" x14ac:dyDescent="0.25">
      <c r="H5751" s="12"/>
      <c r="I5751" s="12"/>
      <c r="J5751" s="12"/>
      <c r="K5751" s="12"/>
      <c r="L5751" s="12"/>
      <c r="M5751" s="11"/>
      <c r="N5751" s="11"/>
      <c r="O5751" s="11"/>
      <c r="P5751" s="11"/>
    </row>
    <row r="5752" spans="8:16" x14ac:dyDescent="0.25">
      <c r="H5752" s="12"/>
      <c r="I5752" s="12"/>
      <c r="J5752" s="12"/>
      <c r="K5752" s="12"/>
      <c r="L5752" s="12"/>
      <c r="M5752" s="11"/>
      <c r="N5752" s="11"/>
      <c r="O5752" s="11"/>
      <c r="P5752" s="11"/>
    </row>
    <row r="5753" spans="8:16" x14ac:dyDescent="0.25">
      <c r="H5753" s="12"/>
      <c r="I5753" s="12"/>
      <c r="J5753" s="12"/>
      <c r="K5753" s="12"/>
      <c r="L5753" s="12"/>
      <c r="M5753" s="11"/>
      <c r="N5753" s="11"/>
      <c r="O5753" s="11"/>
      <c r="P5753" s="11"/>
    </row>
    <row r="5754" spans="8:16" x14ac:dyDescent="0.25">
      <c r="H5754" s="12"/>
      <c r="I5754" s="12"/>
      <c r="J5754" s="12"/>
      <c r="K5754" s="12"/>
      <c r="L5754" s="12"/>
      <c r="M5754" s="11"/>
      <c r="N5754" s="11"/>
      <c r="O5754" s="11"/>
      <c r="P5754" s="11"/>
    </row>
    <row r="5755" spans="8:16" x14ac:dyDescent="0.25">
      <c r="H5755" s="12"/>
      <c r="I5755" s="12"/>
      <c r="J5755" s="12"/>
      <c r="K5755" s="12"/>
      <c r="L5755" s="12"/>
      <c r="M5755" s="11"/>
      <c r="N5755" s="11"/>
      <c r="O5755" s="11"/>
      <c r="P5755" s="11"/>
    </row>
    <row r="5756" spans="8:16" x14ac:dyDescent="0.25">
      <c r="H5756" s="12"/>
      <c r="I5756" s="12"/>
      <c r="J5756" s="12"/>
      <c r="K5756" s="12"/>
      <c r="L5756" s="12"/>
      <c r="M5756" s="11"/>
      <c r="N5756" s="11"/>
      <c r="O5756" s="11"/>
      <c r="P5756" s="11"/>
    </row>
    <row r="5757" spans="8:16" x14ac:dyDescent="0.25">
      <c r="H5757" s="12"/>
      <c r="I5757" s="12"/>
      <c r="J5757" s="12"/>
      <c r="K5757" s="12"/>
      <c r="L5757" s="12"/>
      <c r="M5757" s="11"/>
      <c r="N5757" s="11"/>
      <c r="O5757" s="11"/>
      <c r="P5757" s="11"/>
    </row>
    <row r="5758" spans="8:16" x14ac:dyDescent="0.25">
      <c r="H5758" s="12"/>
      <c r="I5758" s="12"/>
      <c r="J5758" s="12"/>
      <c r="K5758" s="12"/>
      <c r="L5758" s="12"/>
      <c r="M5758" s="11"/>
      <c r="N5758" s="11"/>
      <c r="O5758" s="11"/>
      <c r="P5758" s="11"/>
    </row>
    <row r="5759" spans="8:16" x14ac:dyDescent="0.25">
      <c r="H5759" s="12"/>
      <c r="I5759" s="12"/>
      <c r="J5759" s="12"/>
      <c r="K5759" s="12"/>
      <c r="L5759" s="12"/>
      <c r="M5759" s="11"/>
      <c r="N5759" s="11"/>
      <c r="O5759" s="11"/>
      <c r="P5759" s="11"/>
    </row>
    <row r="5760" spans="8:16" x14ac:dyDescent="0.25">
      <c r="H5760" s="12"/>
      <c r="I5760" s="12"/>
      <c r="J5760" s="12"/>
      <c r="K5760" s="12"/>
      <c r="L5760" s="12"/>
      <c r="M5760" s="11"/>
      <c r="N5760" s="11"/>
      <c r="O5760" s="11"/>
      <c r="P5760" s="11"/>
    </row>
    <row r="5761" spans="8:16" x14ac:dyDescent="0.25">
      <c r="H5761" s="12"/>
      <c r="I5761" s="12"/>
      <c r="J5761" s="12"/>
      <c r="K5761" s="12"/>
      <c r="L5761" s="12"/>
      <c r="M5761" s="11"/>
      <c r="N5761" s="11"/>
      <c r="O5761" s="11"/>
      <c r="P5761" s="11"/>
    </row>
    <row r="5762" spans="8:16" x14ac:dyDescent="0.25">
      <c r="H5762" s="12"/>
      <c r="I5762" s="12"/>
      <c r="J5762" s="12"/>
      <c r="K5762" s="12"/>
      <c r="L5762" s="12"/>
      <c r="M5762" s="11"/>
      <c r="N5762" s="11"/>
      <c r="O5762" s="11"/>
      <c r="P5762" s="11"/>
    </row>
    <row r="5763" spans="8:16" x14ac:dyDescent="0.25">
      <c r="H5763" s="12"/>
      <c r="I5763" s="12"/>
      <c r="J5763" s="12"/>
      <c r="K5763" s="12"/>
      <c r="L5763" s="12"/>
      <c r="M5763" s="11"/>
      <c r="N5763" s="11"/>
      <c r="O5763" s="11"/>
      <c r="P5763" s="11"/>
    </row>
    <row r="5764" spans="8:16" x14ac:dyDescent="0.25">
      <c r="H5764" s="12"/>
      <c r="I5764" s="12"/>
      <c r="J5764" s="12"/>
      <c r="K5764" s="12"/>
      <c r="L5764" s="12"/>
      <c r="M5764" s="11"/>
      <c r="N5764" s="11"/>
      <c r="O5764" s="11"/>
      <c r="P5764" s="11"/>
    </row>
    <row r="5765" spans="8:16" x14ac:dyDescent="0.25">
      <c r="H5765" s="12"/>
      <c r="I5765" s="12"/>
      <c r="J5765" s="12"/>
      <c r="K5765" s="12"/>
      <c r="L5765" s="12"/>
      <c r="M5765" s="11"/>
      <c r="N5765" s="11"/>
      <c r="O5765" s="11"/>
      <c r="P5765" s="11"/>
    </row>
    <row r="5766" spans="8:16" x14ac:dyDescent="0.25">
      <c r="H5766" s="12"/>
      <c r="I5766" s="12"/>
      <c r="J5766" s="12"/>
      <c r="K5766" s="12"/>
      <c r="L5766" s="12"/>
      <c r="M5766" s="11"/>
      <c r="N5766" s="11"/>
      <c r="O5766" s="11"/>
      <c r="P5766" s="11"/>
    </row>
    <row r="5767" spans="8:16" x14ac:dyDescent="0.25">
      <c r="H5767" s="12"/>
      <c r="I5767" s="12"/>
      <c r="J5767" s="12"/>
      <c r="K5767" s="12"/>
      <c r="L5767" s="12"/>
      <c r="M5767" s="11"/>
      <c r="N5767" s="11"/>
      <c r="O5767" s="11"/>
      <c r="P5767" s="11"/>
    </row>
    <row r="5768" spans="8:16" x14ac:dyDescent="0.25">
      <c r="H5768" s="12"/>
      <c r="I5768" s="12"/>
      <c r="J5768" s="12"/>
      <c r="K5768" s="12"/>
      <c r="L5768" s="12"/>
      <c r="M5768" s="11"/>
      <c r="N5768" s="11"/>
      <c r="O5768" s="11"/>
      <c r="P5768" s="11"/>
    </row>
    <row r="5769" spans="8:16" x14ac:dyDescent="0.25">
      <c r="H5769" s="12"/>
      <c r="I5769" s="12"/>
      <c r="J5769" s="12"/>
      <c r="K5769" s="12"/>
      <c r="L5769" s="12"/>
      <c r="M5769" s="11"/>
      <c r="N5769" s="11"/>
      <c r="O5769" s="11"/>
      <c r="P5769" s="11"/>
    </row>
    <row r="5770" spans="8:16" x14ac:dyDescent="0.25">
      <c r="H5770" s="12"/>
      <c r="I5770" s="12"/>
      <c r="J5770" s="12"/>
      <c r="K5770" s="12"/>
      <c r="L5770" s="12"/>
      <c r="M5770" s="11"/>
      <c r="N5770" s="11"/>
      <c r="O5770" s="11"/>
      <c r="P5770" s="11"/>
    </row>
    <row r="5771" spans="8:16" x14ac:dyDescent="0.25">
      <c r="H5771" s="12"/>
      <c r="I5771" s="12"/>
      <c r="J5771" s="12"/>
      <c r="K5771" s="12"/>
      <c r="L5771" s="12"/>
      <c r="M5771" s="11"/>
      <c r="N5771" s="11"/>
      <c r="O5771" s="11"/>
      <c r="P5771" s="11"/>
    </row>
    <row r="5772" spans="8:16" x14ac:dyDescent="0.25">
      <c r="H5772" s="12"/>
      <c r="I5772" s="12"/>
      <c r="J5772" s="12"/>
      <c r="K5772" s="12"/>
      <c r="L5772" s="12"/>
      <c r="M5772" s="11"/>
      <c r="N5772" s="11"/>
      <c r="O5772" s="11"/>
      <c r="P5772" s="11"/>
    </row>
    <row r="5773" spans="8:16" x14ac:dyDescent="0.25">
      <c r="H5773" s="12"/>
      <c r="I5773" s="12"/>
      <c r="J5773" s="12"/>
      <c r="K5773" s="12"/>
      <c r="L5773" s="12"/>
      <c r="M5773" s="11"/>
      <c r="N5773" s="11"/>
      <c r="O5773" s="11"/>
      <c r="P5773" s="11"/>
    </row>
    <row r="5774" spans="8:16" x14ac:dyDescent="0.25">
      <c r="H5774" s="12"/>
      <c r="I5774" s="12"/>
      <c r="J5774" s="12"/>
      <c r="K5774" s="12"/>
      <c r="L5774" s="12"/>
      <c r="M5774" s="11"/>
      <c r="N5774" s="11"/>
      <c r="O5774" s="11"/>
      <c r="P5774" s="11"/>
    </row>
    <row r="5775" spans="8:16" x14ac:dyDescent="0.25">
      <c r="H5775" s="12"/>
      <c r="I5775" s="12"/>
      <c r="J5775" s="12"/>
      <c r="K5775" s="12"/>
      <c r="L5775" s="12"/>
      <c r="M5775" s="11"/>
      <c r="N5775" s="11"/>
      <c r="O5775" s="11"/>
      <c r="P5775" s="11"/>
    </row>
    <row r="5776" spans="8:16" x14ac:dyDescent="0.25">
      <c r="H5776" s="12"/>
      <c r="I5776" s="12"/>
      <c r="J5776" s="12"/>
      <c r="K5776" s="12"/>
      <c r="L5776" s="12"/>
      <c r="M5776" s="11"/>
      <c r="N5776" s="11"/>
      <c r="O5776" s="11"/>
      <c r="P5776" s="11"/>
    </row>
    <row r="5777" spans="8:16" x14ac:dyDescent="0.25">
      <c r="H5777" s="12"/>
      <c r="I5777" s="12"/>
      <c r="J5777" s="12"/>
      <c r="K5777" s="12"/>
      <c r="L5777" s="12"/>
      <c r="M5777" s="11"/>
      <c r="N5777" s="11"/>
      <c r="O5777" s="11"/>
      <c r="P5777" s="11"/>
    </row>
    <row r="5778" spans="8:16" x14ac:dyDescent="0.25">
      <c r="H5778" s="12"/>
      <c r="I5778" s="12"/>
      <c r="J5778" s="12"/>
      <c r="K5778" s="12"/>
      <c r="L5778" s="12"/>
      <c r="M5778" s="11"/>
      <c r="N5778" s="11"/>
      <c r="O5778" s="11"/>
      <c r="P5778" s="11"/>
    </row>
    <row r="5779" spans="8:16" x14ac:dyDescent="0.25">
      <c r="H5779" s="12"/>
      <c r="I5779" s="12"/>
      <c r="J5779" s="12"/>
      <c r="K5779" s="12"/>
      <c r="L5779" s="12"/>
      <c r="M5779" s="11"/>
      <c r="N5779" s="11"/>
      <c r="O5779" s="11"/>
      <c r="P5779" s="11"/>
    </row>
    <row r="5780" spans="8:16" x14ac:dyDescent="0.25">
      <c r="H5780" s="12"/>
      <c r="I5780" s="12"/>
      <c r="J5780" s="12"/>
      <c r="K5780" s="12"/>
      <c r="L5780" s="12"/>
      <c r="M5780" s="11"/>
      <c r="N5780" s="11"/>
      <c r="O5780" s="11"/>
      <c r="P5780" s="11"/>
    </row>
    <row r="5781" spans="8:16" x14ac:dyDescent="0.25">
      <c r="H5781" s="12"/>
      <c r="I5781" s="12"/>
      <c r="J5781" s="12"/>
      <c r="K5781" s="12"/>
      <c r="L5781" s="12"/>
      <c r="M5781" s="11"/>
      <c r="N5781" s="11"/>
      <c r="O5781" s="11"/>
      <c r="P5781" s="11"/>
    </row>
    <row r="5782" spans="8:16" x14ac:dyDescent="0.25">
      <c r="H5782" s="12"/>
      <c r="I5782" s="12"/>
      <c r="J5782" s="12"/>
      <c r="K5782" s="12"/>
      <c r="L5782" s="12"/>
      <c r="M5782" s="11"/>
      <c r="N5782" s="11"/>
      <c r="O5782" s="11"/>
      <c r="P5782" s="11"/>
    </row>
    <row r="5783" spans="8:16" x14ac:dyDescent="0.25">
      <c r="H5783" s="12"/>
      <c r="I5783" s="12"/>
      <c r="J5783" s="12"/>
      <c r="K5783" s="12"/>
      <c r="L5783" s="12"/>
      <c r="M5783" s="11"/>
      <c r="N5783" s="11"/>
      <c r="O5783" s="11"/>
      <c r="P5783" s="11"/>
    </row>
    <row r="5784" spans="8:16" x14ac:dyDescent="0.25">
      <c r="H5784" s="12"/>
      <c r="I5784" s="12"/>
      <c r="J5784" s="12"/>
      <c r="K5784" s="12"/>
      <c r="L5784" s="12"/>
      <c r="M5784" s="11"/>
      <c r="N5784" s="11"/>
      <c r="O5784" s="11"/>
      <c r="P5784" s="11"/>
    </row>
    <row r="5785" spans="8:16" x14ac:dyDescent="0.25">
      <c r="H5785" s="12"/>
      <c r="I5785" s="12"/>
      <c r="J5785" s="12"/>
      <c r="K5785" s="12"/>
      <c r="L5785" s="12"/>
      <c r="M5785" s="11"/>
      <c r="N5785" s="11"/>
      <c r="O5785" s="11"/>
      <c r="P5785" s="11"/>
    </row>
    <row r="5786" spans="8:16" x14ac:dyDescent="0.25">
      <c r="H5786" s="12"/>
      <c r="I5786" s="12"/>
      <c r="J5786" s="12"/>
      <c r="K5786" s="12"/>
      <c r="L5786" s="12"/>
      <c r="M5786" s="11"/>
      <c r="N5786" s="11"/>
      <c r="O5786" s="11"/>
      <c r="P5786" s="11"/>
    </row>
    <row r="5787" spans="8:16" x14ac:dyDescent="0.25">
      <c r="H5787" s="12"/>
      <c r="I5787" s="12"/>
      <c r="J5787" s="12"/>
      <c r="K5787" s="12"/>
      <c r="L5787" s="12"/>
      <c r="M5787" s="11"/>
      <c r="N5787" s="11"/>
      <c r="O5787" s="11"/>
      <c r="P5787" s="11"/>
    </row>
    <row r="5788" spans="8:16" x14ac:dyDescent="0.25">
      <c r="H5788" s="12"/>
      <c r="I5788" s="12"/>
      <c r="J5788" s="12"/>
      <c r="K5788" s="12"/>
      <c r="L5788" s="12"/>
      <c r="M5788" s="11"/>
      <c r="N5788" s="11"/>
      <c r="O5788" s="11"/>
      <c r="P5788" s="11"/>
    </row>
    <row r="5789" spans="8:16" x14ac:dyDescent="0.25">
      <c r="H5789" s="12"/>
      <c r="I5789" s="12"/>
      <c r="J5789" s="12"/>
      <c r="K5789" s="12"/>
      <c r="L5789" s="12"/>
      <c r="M5789" s="11"/>
      <c r="N5789" s="11"/>
      <c r="O5789" s="11"/>
      <c r="P5789" s="11"/>
    </row>
    <row r="5790" spans="8:16" x14ac:dyDescent="0.25">
      <c r="H5790" s="12"/>
      <c r="I5790" s="12"/>
      <c r="J5790" s="12"/>
      <c r="K5790" s="12"/>
      <c r="L5790" s="12"/>
      <c r="M5790" s="11"/>
      <c r="N5790" s="11"/>
      <c r="O5790" s="11"/>
      <c r="P5790" s="11"/>
    </row>
    <row r="5791" spans="8:16" x14ac:dyDescent="0.25">
      <c r="H5791" s="12"/>
      <c r="I5791" s="12"/>
      <c r="J5791" s="12"/>
      <c r="K5791" s="12"/>
      <c r="L5791" s="12"/>
      <c r="M5791" s="11"/>
      <c r="N5791" s="11"/>
      <c r="O5791" s="11"/>
      <c r="P5791" s="11"/>
    </row>
    <row r="5792" spans="8:16" x14ac:dyDescent="0.25">
      <c r="H5792" s="12"/>
      <c r="I5792" s="12"/>
      <c r="J5792" s="12"/>
      <c r="K5792" s="12"/>
      <c r="L5792" s="12"/>
      <c r="M5792" s="11"/>
      <c r="N5792" s="11"/>
      <c r="O5792" s="11"/>
      <c r="P5792" s="11"/>
    </row>
    <row r="5793" spans="8:16" x14ac:dyDescent="0.25">
      <c r="H5793" s="12"/>
      <c r="I5793" s="12"/>
      <c r="J5793" s="12"/>
      <c r="K5793" s="12"/>
      <c r="L5793" s="12"/>
      <c r="M5793" s="11"/>
      <c r="N5793" s="11"/>
      <c r="O5793" s="11"/>
      <c r="P5793" s="11"/>
    </row>
    <row r="5794" spans="8:16" x14ac:dyDescent="0.25">
      <c r="H5794" s="12"/>
      <c r="I5794" s="12"/>
      <c r="J5794" s="12"/>
      <c r="K5794" s="12"/>
      <c r="L5794" s="12"/>
      <c r="M5794" s="11"/>
      <c r="N5794" s="11"/>
      <c r="O5794" s="11"/>
      <c r="P5794" s="11"/>
    </row>
    <row r="5795" spans="8:16" x14ac:dyDescent="0.25">
      <c r="H5795" s="12"/>
      <c r="I5795" s="12"/>
      <c r="J5795" s="12"/>
      <c r="K5795" s="12"/>
      <c r="L5795" s="12"/>
      <c r="M5795" s="11"/>
      <c r="N5795" s="11"/>
      <c r="O5795" s="11"/>
      <c r="P5795" s="11"/>
    </row>
    <row r="5796" spans="8:16" x14ac:dyDescent="0.25">
      <c r="H5796" s="12"/>
      <c r="I5796" s="12"/>
      <c r="J5796" s="12"/>
      <c r="K5796" s="12"/>
      <c r="L5796" s="12"/>
      <c r="M5796" s="11"/>
      <c r="N5796" s="11"/>
      <c r="O5796" s="11"/>
      <c r="P5796" s="11"/>
    </row>
    <row r="5797" spans="8:16" x14ac:dyDescent="0.25">
      <c r="H5797" s="12"/>
      <c r="I5797" s="12"/>
      <c r="J5797" s="12"/>
      <c r="K5797" s="12"/>
      <c r="L5797" s="12"/>
      <c r="M5797" s="11"/>
      <c r="N5797" s="11"/>
      <c r="O5797" s="11"/>
      <c r="P5797" s="11"/>
    </row>
    <row r="5798" spans="8:16" x14ac:dyDescent="0.25">
      <c r="H5798" s="12"/>
      <c r="I5798" s="12"/>
      <c r="J5798" s="12"/>
      <c r="K5798" s="12"/>
      <c r="L5798" s="12"/>
      <c r="M5798" s="11"/>
      <c r="N5798" s="11"/>
      <c r="O5798" s="11"/>
      <c r="P5798" s="11"/>
    </row>
    <row r="5799" spans="8:16" x14ac:dyDescent="0.25">
      <c r="H5799" s="12"/>
      <c r="I5799" s="12"/>
      <c r="J5799" s="12"/>
      <c r="K5799" s="12"/>
      <c r="L5799" s="12"/>
      <c r="M5799" s="11"/>
      <c r="N5799" s="11"/>
      <c r="O5799" s="11"/>
      <c r="P5799" s="11"/>
    </row>
    <row r="5800" spans="8:16" x14ac:dyDescent="0.25">
      <c r="H5800" s="12"/>
      <c r="I5800" s="12"/>
      <c r="J5800" s="12"/>
      <c r="K5800" s="12"/>
      <c r="L5800" s="12"/>
      <c r="M5800" s="11"/>
      <c r="N5800" s="11"/>
      <c r="O5800" s="11"/>
      <c r="P5800" s="11"/>
    </row>
    <row r="5801" spans="8:16" x14ac:dyDescent="0.25">
      <c r="H5801" s="12"/>
      <c r="I5801" s="12"/>
      <c r="J5801" s="12"/>
      <c r="K5801" s="12"/>
      <c r="L5801" s="12"/>
      <c r="M5801" s="11"/>
      <c r="N5801" s="11"/>
      <c r="O5801" s="11"/>
      <c r="P5801" s="11"/>
    </row>
    <row r="5802" spans="8:16" x14ac:dyDescent="0.25">
      <c r="H5802" s="12"/>
      <c r="I5802" s="12"/>
      <c r="J5802" s="12"/>
      <c r="K5802" s="12"/>
      <c r="L5802" s="12"/>
      <c r="M5802" s="11"/>
      <c r="N5802" s="11"/>
      <c r="O5802" s="11"/>
      <c r="P5802" s="11"/>
    </row>
    <row r="5803" spans="8:16" x14ac:dyDescent="0.25">
      <c r="H5803" s="12"/>
      <c r="I5803" s="12"/>
      <c r="J5803" s="12"/>
      <c r="K5803" s="12"/>
      <c r="L5803" s="12"/>
      <c r="M5803" s="11"/>
      <c r="N5803" s="11"/>
      <c r="O5803" s="11"/>
      <c r="P5803" s="11"/>
    </row>
    <row r="5804" spans="8:16" x14ac:dyDescent="0.25">
      <c r="H5804" s="12"/>
      <c r="I5804" s="12"/>
      <c r="J5804" s="12"/>
      <c r="K5804" s="12"/>
      <c r="L5804" s="12"/>
      <c r="M5804" s="11"/>
      <c r="N5804" s="11"/>
      <c r="O5804" s="11"/>
      <c r="P5804" s="11"/>
    </row>
    <row r="5805" spans="8:16" x14ac:dyDescent="0.25">
      <c r="H5805" s="12"/>
      <c r="I5805" s="12"/>
      <c r="J5805" s="12"/>
      <c r="K5805" s="12"/>
      <c r="L5805" s="12"/>
      <c r="M5805" s="11"/>
      <c r="N5805" s="11"/>
      <c r="O5805" s="11"/>
      <c r="P5805" s="11"/>
    </row>
    <row r="5806" spans="8:16" x14ac:dyDescent="0.25">
      <c r="H5806" s="12"/>
      <c r="I5806" s="12"/>
      <c r="J5806" s="12"/>
      <c r="K5806" s="12"/>
      <c r="L5806" s="12"/>
      <c r="M5806" s="11"/>
      <c r="N5806" s="11"/>
      <c r="O5806" s="11"/>
      <c r="P5806" s="11"/>
    </row>
    <row r="5807" spans="8:16" x14ac:dyDescent="0.25">
      <c r="H5807" s="12"/>
      <c r="I5807" s="12"/>
      <c r="J5807" s="12"/>
      <c r="K5807" s="12"/>
      <c r="L5807" s="12"/>
      <c r="M5807" s="11"/>
      <c r="N5807" s="11"/>
      <c r="O5807" s="11"/>
      <c r="P5807" s="11"/>
    </row>
    <row r="5808" spans="8:16" x14ac:dyDescent="0.25">
      <c r="H5808" s="12"/>
      <c r="I5808" s="12"/>
      <c r="J5808" s="12"/>
      <c r="K5808" s="12"/>
      <c r="L5808" s="12"/>
      <c r="M5808" s="11"/>
      <c r="N5808" s="11"/>
      <c r="O5808" s="11"/>
      <c r="P5808" s="11"/>
    </row>
    <row r="5809" spans="8:16" x14ac:dyDescent="0.25">
      <c r="H5809" s="12"/>
      <c r="I5809" s="12"/>
      <c r="J5809" s="12"/>
      <c r="K5809" s="12"/>
      <c r="L5809" s="12"/>
      <c r="M5809" s="11"/>
      <c r="N5809" s="11"/>
      <c r="O5809" s="11"/>
      <c r="P5809" s="11"/>
    </row>
    <row r="5810" spans="8:16" x14ac:dyDescent="0.25">
      <c r="H5810" s="12"/>
      <c r="I5810" s="12"/>
      <c r="J5810" s="12"/>
      <c r="K5810" s="12"/>
      <c r="L5810" s="12"/>
      <c r="M5810" s="11"/>
      <c r="N5810" s="11"/>
      <c r="O5810" s="11"/>
      <c r="P5810" s="11"/>
    </row>
    <row r="5811" spans="8:16" x14ac:dyDescent="0.25">
      <c r="H5811" s="12"/>
      <c r="I5811" s="12"/>
      <c r="J5811" s="12"/>
      <c r="K5811" s="12"/>
      <c r="L5811" s="12"/>
      <c r="M5811" s="11"/>
      <c r="N5811" s="11"/>
      <c r="O5811" s="11"/>
      <c r="P5811" s="11"/>
    </row>
    <row r="5812" spans="8:16" x14ac:dyDescent="0.25">
      <c r="H5812" s="12"/>
      <c r="I5812" s="12"/>
      <c r="J5812" s="12"/>
      <c r="K5812" s="12"/>
      <c r="L5812" s="12"/>
      <c r="M5812" s="11"/>
      <c r="N5812" s="11"/>
      <c r="O5812" s="11"/>
      <c r="P5812" s="11"/>
    </row>
    <row r="5813" spans="8:16" x14ac:dyDescent="0.25">
      <c r="H5813" s="12"/>
      <c r="I5813" s="12"/>
      <c r="J5813" s="12"/>
      <c r="K5813" s="12"/>
      <c r="L5813" s="12"/>
      <c r="M5813" s="11"/>
      <c r="N5813" s="11"/>
      <c r="O5813" s="11"/>
      <c r="P5813" s="11"/>
    </row>
    <row r="5814" spans="8:16" x14ac:dyDescent="0.25">
      <c r="H5814" s="12"/>
      <c r="I5814" s="12"/>
      <c r="J5814" s="12"/>
      <c r="K5814" s="12"/>
      <c r="L5814" s="12"/>
      <c r="M5814" s="11"/>
      <c r="N5814" s="11"/>
      <c r="O5814" s="11"/>
      <c r="P5814" s="11"/>
    </row>
    <row r="5815" spans="8:16" x14ac:dyDescent="0.25">
      <c r="H5815" s="12"/>
      <c r="I5815" s="12"/>
      <c r="J5815" s="12"/>
      <c r="K5815" s="12"/>
      <c r="L5815" s="12"/>
      <c r="M5815" s="11"/>
      <c r="N5815" s="11"/>
      <c r="O5815" s="11"/>
      <c r="P5815" s="11"/>
    </row>
    <row r="5816" spans="8:16" x14ac:dyDescent="0.25">
      <c r="H5816" s="12"/>
      <c r="I5816" s="12"/>
      <c r="J5816" s="12"/>
      <c r="K5816" s="12"/>
      <c r="L5816" s="12"/>
      <c r="M5816" s="11"/>
      <c r="N5816" s="11"/>
      <c r="O5816" s="11"/>
      <c r="P5816" s="11"/>
    </row>
    <row r="5817" spans="8:16" x14ac:dyDescent="0.25">
      <c r="H5817" s="12"/>
      <c r="I5817" s="12"/>
      <c r="J5817" s="12"/>
      <c r="K5817" s="12"/>
      <c r="L5817" s="12"/>
      <c r="M5817" s="11"/>
      <c r="N5817" s="11"/>
      <c r="O5817" s="11"/>
      <c r="P5817" s="11"/>
    </row>
    <row r="5818" spans="8:16" x14ac:dyDescent="0.25">
      <c r="H5818" s="12"/>
      <c r="I5818" s="12"/>
      <c r="J5818" s="12"/>
      <c r="K5818" s="12"/>
      <c r="L5818" s="12"/>
      <c r="M5818" s="11"/>
      <c r="N5818" s="11"/>
      <c r="O5818" s="11"/>
      <c r="P5818" s="11"/>
    </row>
    <row r="5819" spans="8:16" x14ac:dyDescent="0.25">
      <c r="H5819" s="12"/>
      <c r="I5819" s="12"/>
      <c r="J5819" s="12"/>
      <c r="K5819" s="12"/>
      <c r="L5819" s="12"/>
      <c r="M5819" s="11"/>
      <c r="N5819" s="11"/>
      <c r="O5819" s="11"/>
      <c r="P5819" s="11"/>
    </row>
    <row r="5820" spans="8:16" x14ac:dyDescent="0.25">
      <c r="H5820" s="12"/>
      <c r="I5820" s="12"/>
      <c r="J5820" s="12"/>
      <c r="K5820" s="12"/>
      <c r="L5820" s="12"/>
      <c r="M5820" s="11"/>
      <c r="N5820" s="11"/>
      <c r="O5820" s="11"/>
      <c r="P5820" s="11"/>
    </row>
    <row r="5821" spans="8:16" x14ac:dyDescent="0.25">
      <c r="H5821" s="12"/>
      <c r="I5821" s="12"/>
      <c r="J5821" s="12"/>
      <c r="K5821" s="12"/>
      <c r="L5821" s="12"/>
      <c r="M5821" s="11"/>
      <c r="N5821" s="11"/>
      <c r="O5821" s="11"/>
      <c r="P5821" s="11"/>
    </row>
    <row r="5822" spans="8:16" x14ac:dyDescent="0.25">
      <c r="H5822" s="12"/>
      <c r="I5822" s="12"/>
      <c r="J5822" s="12"/>
      <c r="K5822" s="12"/>
      <c r="L5822" s="12"/>
      <c r="M5822" s="11"/>
      <c r="N5822" s="11"/>
      <c r="O5822" s="11"/>
      <c r="P5822" s="11"/>
    </row>
    <row r="5823" spans="8:16" x14ac:dyDescent="0.25">
      <c r="H5823" s="12"/>
      <c r="I5823" s="12"/>
      <c r="J5823" s="12"/>
      <c r="K5823" s="12"/>
      <c r="L5823" s="12"/>
      <c r="M5823" s="11"/>
      <c r="N5823" s="11"/>
      <c r="O5823" s="11"/>
      <c r="P5823" s="11"/>
    </row>
    <row r="5824" spans="8:16" x14ac:dyDescent="0.25">
      <c r="H5824" s="12"/>
      <c r="I5824" s="12"/>
      <c r="J5824" s="12"/>
      <c r="K5824" s="12"/>
      <c r="L5824" s="12"/>
      <c r="M5824" s="11"/>
      <c r="N5824" s="11"/>
      <c r="O5824" s="11"/>
      <c r="P5824" s="11"/>
    </row>
    <row r="5825" spans="8:16" x14ac:dyDescent="0.25">
      <c r="H5825" s="12"/>
      <c r="I5825" s="12"/>
      <c r="J5825" s="12"/>
      <c r="K5825" s="12"/>
      <c r="L5825" s="12"/>
      <c r="M5825" s="11"/>
      <c r="N5825" s="11"/>
      <c r="O5825" s="11"/>
      <c r="P5825" s="11"/>
    </row>
    <row r="5826" spans="8:16" x14ac:dyDescent="0.25">
      <c r="H5826" s="12"/>
      <c r="I5826" s="12"/>
      <c r="J5826" s="12"/>
      <c r="K5826" s="12"/>
      <c r="L5826" s="12"/>
      <c r="M5826" s="11"/>
      <c r="N5826" s="11"/>
      <c r="O5826" s="11"/>
      <c r="P5826" s="11"/>
    </row>
    <row r="5827" spans="8:16" x14ac:dyDescent="0.25">
      <c r="H5827" s="12"/>
      <c r="I5827" s="12"/>
      <c r="J5827" s="12"/>
      <c r="K5827" s="12"/>
      <c r="L5827" s="12"/>
      <c r="M5827" s="11"/>
      <c r="N5827" s="11"/>
      <c r="O5827" s="11"/>
      <c r="P5827" s="11"/>
    </row>
    <row r="5828" spans="8:16" x14ac:dyDescent="0.25">
      <c r="H5828" s="12"/>
      <c r="I5828" s="12"/>
      <c r="J5828" s="12"/>
      <c r="K5828" s="12"/>
      <c r="L5828" s="12"/>
      <c r="M5828" s="11"/>
      <c r="N5828" s="11"/>
      <c r="O5828" s="11"/>
      <c r="P5828" s="11"/>
    </row>
    <row r="5829" spans="8:16" x14ac:dyDescent="0.25">
      <c r="H5829" s="12"/>
      <c r="I5829" s="12"/>
      <c r="J5829" s="12"/>
      <c r="K5829" s="12"/>
      <c r="L5829" s="12"/>
      <c r="M5829" s="11"/>
      <c r="N5829" s="11"/>
      <c r="O5829" s="11"/>
      <c r="P5829" s="11"/>
    </row>
    <row r="5830" spans="8:16" x14ac:dyDescent="0.25">
      <c r="H5830" s="12"/>
      <c r="I5830" s="12"/>
      <c r="J5830" s="12"/>
      <c r="K5830" s="12"/>
      <c r="L5830" s="12"/>
      <c r="M5830" s="11"/>
      <c r="N5830" s="11"/>
      <c r="O5830" s="11"/>
      <c r="P5830" s="11"/>
    </row>
    <row r="5831" spans="8:16" x14ac:dyDescent="0.25">
      <c r="H5831" s="12"/>
      <c r="I5831" s="12"/>
      <c r="J5831" s="12"/>
      <c r="K5831" s="12"/>
      <c r="L5831" s="12"/>
      <c r="M5831" s="11"/>
      <c r="N5831" s="11"/>
      <c r="O5831" s="11"/>
      <c r="P5831" s="11"/>
    </row>
    <row r="5832" spans="8:16" x14ac:dyDescent="0.25">
      <c r="H5832" s="12"/>
      <c r="I5832" s="12"/>
      <c r="J5832" s="12"/>
      <c r="K5832" s="12"/>
      <c r="L5832" s="12"/>
      <c r="M5832" s="11"/>
      <c r="N5832" s="11"/>
      <c r="O5832" s="11"/>
      <c r="P5832" s="11"/>
    </row>
    <row r="5833" spans="8:16" x14ac:dyDescent="0.25">
      <c r="H5833" s="12"/>
      <c r="I5833" s="12"/>
      <c r="J5833" s="12"/>
      <c r="K5833" s="12"/>
      <c r="L5833" s="12"/>
      <c r="M5833" s="11"/>
      <c r="N5833" s="11"/>
      <c r="O5833" s="11"/>
      <c r="P5833" s="11"/>
    </row>
    <row r="5834" spans="8:16" x14ac:dyDescent="0.25">
      <c r="H5834" s="12"/>
      <c r="I5834" s="12"/>
      <c r="J5834" s="12"/>
      <c r="K5834" s="12"/>
      <c r="L5834" s="12"/>
      <c r="M5834" s="11"/>
      <c r="N5834" s="11"/>
      <c r="O5834" s="11"/>
      <c r="P5834" s="11"/>
    </row>
    <row r="5835" spans="8:16" x14ac:dyDescent="0.25">
      <c r="H5835" s="12"/>
      <c r="I5835" s="12"/>
      <c r="J5835" s="12"/>
      <c r="K5835" s="12"/>
      <c r="L5835" s="12"/>
      <c r="M5835" s="11"/>
      <c r="N5835" s="11"/>
      <c r="O5835" s="11"/>
      <c r="P5835" s="11"/>
    </row>
    <row r="5836" spans="8:16" x14ac:dyDescent="0.25">
      <c r="H5836" s="12"/>
      <c r="I5836" s="12"/>
      <c r="J5836" s="12"/>
      <c r="K5836" s="12"/>
      <c r="L5836" s="12"/>
      <c r="M5836" s="11"/>
      <c r="N5836" s="11"/>
      <c r="O5836" s="11"/>
      <c r="P5836" s="11"/>
    </row>
    <row r="5837" spans="8:16" x14ac:dyDescent="0.25">
      <c r="H5837" s="12"/>
      <c r="I5837" s="12"/>
      <c r="J5837" s="12"/>
      <c r="K5837" s="12"/>
      <c r="L5837" s="12"/>
      <c r="M5837" s="11"/>
      <c r="N5837" s="11"/>
      <c r="O5837" s="11"/>
      <c r="P5837" s="11"/>
    </row>
    <row r="5838" spans="8:16" x14ac:dyDescent="0.25">
      <c r="H5838" s="12"/>
      <c r="I5838" s="12"/>
      <c r="J5838" s="12"/>
      <c r="K5838" s="12"/>
      <c r="L5838" s="12"/>
      <c r="M5838" s="11"/>
      <c r="N5838" s="11"/>
      <c r="O5838" s="11"/>
      <c r="P5838" s="11"/>
    </row>
    <row r="5839" spans="8:16" x14ac:dyDescent="0.25">
      <c r="H5839" s="12"/>
      <c r="I5839" s="12"/>
      <c r="J5839" s="12"/>
      <c r="K5839" s="12"/>
      <c r="L5839" s="12"/>
      <c r="M5839" s="11"/>
      <c r="N5839" s="11"/>
      <c r="O5839" s="11"/>
      <c r="P5839" s="11"/>
    </row>
    <row r="5840" spans="8:16" x14ac:dyDescent="0.25">
      <c r="H5840" s="12"/>
      <c r="I5840" s="12"/>
      <c r="J5840" s="12"/>
      <c r="K5840" s="12"/>
      <c r="L5840" s="12"/>
      <c r="M5840" s="11"/>
      <c r="N5840" s="11"/>
      <c r="O5840" s="11"/>
      <c r="P5840" s="11"/>
    </row>
    <row r="5841" spans="8:16" x14ac:dyDescent="0.25">
      <c r="H5841" s="12"/>
      <c r="I5841" s="12"/>
      <c r="J5841" s="12"/>
      <c r="K5841" s="12"/>
      <c r="L5841" s="12"/>
      <c r="M5841" s="11"/>
      <c r="N5841" s="11"/>
      <c r="O5841" s="11"/>
      <c r="P5841" s="11"/>
    </row>
    <row r="5842" spans="8:16" x14ac:dyDescent="0.25">
      <c r="H5842" s="12"/>
      <c r="I5842" s="12"/>
      <c r="J5842" s="12"/>
      <c r="K5842" s="12"/>
      <c r="L5842" s="12"/>
      <c r="M5842" s="11"/>
      <c r="N5842" s="11"/>
      <c r="O5842" s="11"/>
      <c r="P5842" s="11"/>
    </row>
    <row r="5843" spans="8:16" x14ac:dyDescent="0.25">
      <c r="H5843" s="12"/>
      <c r="I5843" s="12"/>
      <c r="J5843" s="12"/>
      <c r="K5843" s="12"/>
      <c r="L5843" s="12"/>
      <c r="M5843" s="11"/>
      <c r="N5843" s="11"/>
      <c r="O5843" s="11"/>
      <c r="P5843" s="11"/>
    </row>
    <row r="5844" spans="8:16" x14ac:dyDescent="0.25">
      <c r="H5844" s="12"/>
      <c r="I5844" s="12"/>
      <c r="J5844" s="12"/>
      <c r="K5844" s="12"/>
      <c r="L5844" s="12"/>
      <c r="M5844" s="11"/>
      <c r="N5844" s="11"/>
      <c r="O5844" s="11"/>
      <c r="P5844" s="11"/>
    </row>
    <row r="5845" spans="8:16" x14ac:dyDescent="0.25">
      <c r="H5845" s="12"/>
      <c r="I5845" s="12"/>
      <c r="J5845" s="12"/>
      <c r="K5845" s="12"/>
      <c r="L5845" s="12"/>
      <c r="M5845" s="11"/>
      <c r="N5845" s="11"/>
      <c r="O5845" s="11"/>
      <c r="P5845" s="11"/>
    </row>
    <row r="5846" spans="8:16" x14ac:dyDescent="0.25">
      <c r="H5846" s="12"/>
      <c r="I5846" s="12"/>
      <c r="J5846" s="12"/>
      <c r="K5846" s="12"/>
      <c r="L5846" s="12"/>
      <c r="M5846" s="11"/>
      <c r="N5846" s="11"/>
      <c r="O5846" s="11"/>
      <c r="P5846" s="11"/>
    </row>
    <row r="5847" spans="8:16" x14ac:dyDescent="0.25">
      <c r="H5847" s="12"/>
      <c r="I5847" s="12"/>
      <c r="J5847" s="12"/>
      <c r="K5847" s="12"/>
      <c r="L5847" s="12"/>
      <c r="M5847" s="11"/>
      <c r="N5847" s="11"/>
      <c r="O5847" s="11"/>
      <c r="P5847" s="11"/>
    </row>
    <row r="5848" spans="8:16" x14ac:dyDescent="0.25">
      <c r="H5848" s="12"/>
      <c r="I5848" s="12"/>
      <c r="J5848" s="12"/>
      <c r="K5848" s="12"/>
      <c r="L5848" s="12"/>
      <c r="M5848" s="11"/>
      <c r="N5848" s="11"/>
      <c r="O5848" s="11"/>
      <c r="P5848" s="11"/>
    </row>
    <row r="5849" spans="8:16" x14ac:dyDescent="0.25">
      <c r="H5849" s="12"/>
      <c r="I5849" s="12"/>
      <c r="J5849" s="12"/>
      <c r="K5849" s="12"/>
      <c r="L5849" s="12"/>
      <c r="M5849" s="11"/>
      <c r="N5849" s="11"/>
      <c r="O5849" s="11"/>
      <c r="P5849" s="11"/>
    </row>
    <row r="5850" spans="8:16" x14ac:dyDescent="0.25">
      <c r="H5850" s="12"/>
      <c r="I5850" s="12"/>
      <c r="J5850" s="12"/>
      <c r="K5850" s="12"/>
      <c r="L5850" s="12"/>
      <c r="M5850" s="11"/>
      <c r="N5850" s="11"/>
      <c r="O5850" s="11"/>
      <c r="P5850" s="11"/>
    </row>
    <row r="5851" spans="8:16" x14ac:dyDescent="0.25">
      <c r="H5851" s="12"/>
      <c r="I5851" s="12"/>
      <c r="J5851" s="12"/>
      <c r="K5851" s="12"/>
      <c r="L5851" s="12"/>
      <c r="M5851" s="11"/>
      <c r="N5851" s="11"/>
      <c r="O5851" s="11"/>
      <c r="P5851" s="11"/>
    </row>
    <row r="5852" spans="8:16" x14ac:dyDescent="0.25">
      <c r="H5852" s="12"/>
      <c r="I5852" s="12"/>
      <c r="J5852" s="12"/>
      <c r="K5852" s="12"/>
      <c r="L5852" s="12"/>
      <c r="M5852" s="11"/>
      <c r="N5852" s="11"/>
      <c r="O5852" s="11"/>
      <c r="P5852" s="11"/>
    </row>
    <row r="5853" spans="8:16" x14ac:dyDescent="0.25">
      <c r="H5853" s="12"/>
      <c r="I5853" s="12"/>
      <c r="J5853" s="12"/>
      <c r="K5853" s="12"/>
      <c r="L5853" s="12"/>
      <c r="M5853" s="11"/>
      <c r="N5853" s="11"/>
      <c r="O5853" s="11"/>
      <c r="P5853" s="11"/>
    </row>
    <row r="5854" spans="8:16" x14ac:dyDescent="0.25">
      <c r="H5854" s="12"/>
      <c r="I5854" s="12"/>
      <c r="J5854" s="12"/>
      <c r="K5854" s="12"/>
      <c r="L5854" s="12"/>
      <c r="M5854" s="11"/>
      <c r="N5854" s="11"/>
      <c r="O5854" s="11"/>
      <c r="P5854" s="11"/>
    </row>
    <row r="5855" spans="8:16" x14ac:dyDescent="0.25">
      <c r="H5855" s="12"/>
      <c r="I5855" s="12"/>
      <c r="J5855" s="12"/>
      <c r="K5855" s="12"/>
      <c r="L5855" s="12"/>
      <c r="M5855" s="11"/>
      <c r="N5855" s="11"/>
      <c r="O5855" s="11"/>
      <c r="P5855" s="11"/>
    </row>
    <row r="5856" spans="8:16" x14ac:dyDescent="0.25">
      <c r="H5856" s="12"/>
      <c r="I5856" s="12"/>
      <c r="J5856" s="12"/>
      <c r="K5856" s="12"/>
      <c r="L5856" s="12"/>
      <c r="M5856" s="11"/>
      <c r="N5856" s="11"/>
      <c r="O5856" s="11"/>
      <c r="P5856" s="11"/>
    </row>
    <row r="5857" spans="8:16" x14ac:dyDescent="0.25">
      <c r="H5857" s="12"/>
      <c r="I5857" s="12"/>
      <c r="J5857" s="12"/>
      <c r="K5857" s="12"/>
      <c r="L5857" s="12"/>
      <c r="M5857" s="11"/>
      <c r="N5857" s="11"/>
      <c r="O5857" s="11"/>
      <c r="P5857" s="11"/>
    </row>
    <row r="5858" spans="8:16" x14ac:dyDescent="0.25">
      <c r="H5858" s="12"/>
      <c r="I5858" s="12"/>
      <c r="J5858" s="12"/>
      <c r="K5858" s="12"/>
      <c r="L5858" s="12"/>
      <c r="M5858" s="11"/>
      <c r="N5858" s="11"/>
      <c r="O5858" s="11"/>
      <c r="P5858" s="11"/>
    </row>
    <row r="5859" spans="8:16" x14ac:dyDescent="0.25">
      <c r="H5859" s="12"/>
      <c r="I5859" s="12"/>
      <c r="J5859" s="12"/>
      <c r="K5859" s="12"/>
      <c r="L5859" s="12"/>
      <c r="M5859" s="11"/>
      <c r="N5859" s="11"/>
      <c r="O5859" s="11"/>
      <c r="P5859" s="11"/>
    </row>
    <row r="5860" spans="8:16" x14ac:dyDescent="0.25">
      <c r="H5860" s="12"/>
      <c r="I5860" s="12"/>
      <c r="J5860" s="12"/>
      <c r="K5860" s="12"/>
      <c r="L5860" s="12"/>
      <c r="M5860" s="11"/>
      <c r="N5860" s="11"/>
      <c r="O5860" s="11"/>
      <c r="P5860" s="11"/>
    </row>
    <row r="5861" spans="8:16" x14ac:dyDescent="0.25">
      <c r="H5861" s="12"/>
      <c r="I5861" s="12"/>
      <c r="J5861" s="12"/>
      <c r="K5861" s="12"/>
      <c r="L5861" s="12"/>
      <c r="M5861" s="11"/>
      <c r="N5861" s="11"/>
      <c r="O5861" s="11"/>
      <c r="P5861" s="11"/>
    </row>
    <row r="5862" spans="8:16" x14ac:dyDescent="0.25">
      <c r="H5862" s="12"/>
      <c r="I5862" s="12"/>
      <c r="J5862" s="12"/>
      <c r="K5862" s="12"/>
      <c r="L5862" s="12"/>
      <c r="M5862" s="11"/>
      <c r="N5862" s="11"/>
      <c r="O5862" s="11"/>
      <c r="P5862" s="11"/>
    </row>
    <row r="5863" spans="8:16" x14ac:dyDescent="0.25">
      <c r="H5863" s="12"/>
      <c r="I5863" s="12"/>
      <c r="J5863" s="12"/>
      <c r="K5863" s="12"/>
      <c r="L5863" s="12"/>
      <c r="M5863" s="11"/>
      <c r="N5863" s="11"/>
      <c r="O5863" s="11"/>
      <c r="P5863" s="11"/>
    </row>
    <row r="5864" spans="8:16" x14ac:dyDescent="0.25">
      <c r="H5864" s="12"/>
      <c r="I5864" s="12"/>
      <c r="J5864" s="12"/>
      <c r="K5864" s="12"/>
      <c r="L5864" s="12"/>
      <c r="M5864" s="11"/>
      <c r="N5864" s="11"/>
      <c r="O5864" s="11"/>
      <c r="P5864" s="11"/>
    </row>
    <row r="5865" spans="8:16" x14ac:dyDescent="0.25">
      <c r="H5865" s="12"/>
      <c r="I5865" s="12"/>
      <c r="J5865" s="12"/>
      <c r="K5865" s="12"/>
      <c r="L5865" s="12"/>
      <c r="M5865" s="11"/>
      <c r="N5865" s="11"/>
      <c r="O5865" s="11"/>
      <c r="P5865" s="11"/>
    </row>
    <row r="5866" spans="8:16" x14ac:dyDescent="0.25">
      <c r="H5866" s="12"/>
      <c r="I5866" s="12"/>
      <c r="J5866" s="12"/>
      <c r="K5866" s="12"/>
      <c r="L5866" s="12"/>
      <c r="M5866" s="11"/>
      <c r="N5866" s="11"/>
      <c r="O5866" s="11"/>
      <c r="P5866" s="11"/>
    </row>
    <row r="5867" spans="8:16" x14ac:dyDescent="0.25">
      <c r="H5867" s="12"/>
      <c r="I5867" s="12"/>
      <c r="J5867" s="12"/>
      <c r="K5867" s="12"/>
      <c r="L5867" s="12"/>
      <c r="M5867" s="11"/>
      <c r="N5867" s="11"/>
      <c r="O5867" s="11"/>
      <c r="P5867" s="11"/>
    </row>
    <row r="5868" spans="8:16" x14ac:dyDescent="0.25">
      <c r="H5868" s="12"/>
      <c r="I5868" s="12"/>
      <c r="J5868" s="12"/>
      <c r="K5868" s="12"/>
      <c r="L5868" s="12"/>
      <c r="M5868" s="11"/>
      <c r="N5868" s="11"/>
      <c r="O5868" s="11"/>
      <c r="P5868" s="11"/>
    </row>
    <row r="5869" spans="8:16" x14ac:dyDescent="0.25">
      <c r="H5869" s="12"/>
      <c r="I5869" s="12"/>
      <c r="J5869" s="12"/>
      <c r="K5869" s="12"/>
      <c r="L5869" s="12"/>
      <c r="M5869" s="11"/>
      <c r="N5869" s="11"/>
      <c r="O5869" s="11"/>
      <c r="P5869" s="11"/>
    </row>
    <row r="5870" spans="8:16" x14ac:dyDescent="0.25">
      <c r="H5870" s="12"/>
      <c r="I5870" s="12"/>
      <c r="J5870" s="12"/>
      <c r="K5870" s="12"/>
      <c r="L5870" s="12"/>
      <c r="M5870" s="11"/>
      <c r="N5870" s="11"/>
      <c r="O5870" s="11"/>
      <c r="P5870" s="11"/>
    </row>
    <row r="5871" spans="8:16" x14ac:dyDescent="0.25">
      <c r="H5871" s="12"/>
      <c r="I5871" s="12"/>
      <c r="J5871" s="12"/>
      <c r="K5871" s="12"/>
      <c r="L5871" s="12"/>
      <c r="M5871" s="11"/>
      <c r="N5871" s="11"/>
      <c r="O5871" s="11"/>
      <c r="P5871" s="11"/>
    </row>
    <row r="5872" spans="8:16" x14ac:dyDescent="0.25">
      <c r="H5872" s="12"/>
      <c r="I5872" s="12"/>
      <c r="J5872" s="12"/>
      <c r="K5872" s="12"/>
      <c r="L5872" s="12"/>
      <c r="M5872" s="11"/>
      <c r="N5872" s="11"/>
      <c r="O5872" s="11"/>
      <c r="P5872" s="11"/>
    </row>
    <row r="5873" spans="8:16" x14ac:dyDescent="0.25">
      <c r="H5873" s="12"/>
      <c r="I5873" s="12"/>
      <c r="J5873" s="12"/>
      <c r="K5873" s="12"/>
      <c r="L5873" s="12"/>
      <c r="M5873" s="11"/>
      <c r="N5873" s="11"/>
      <c r="O5873" s="11"/>
      <c r="P5873" s="11"/>
    </row>
    <row r="5874" spans="8:16" x14ac:dyDescent="0.25">
      <c r="H5874" s="12"/>
      <c r="I5874" s="12"/>
      <c r="J5874" s="12"/>
      <c r="K5874" s="12"/>
      <c r="L5874" s="12"/>
      <c r="M5874" s="11"/>
      <c r="N5874" s="11"/>
      <c r="O5874" s="11"/>
      <c r="P5874" s="11"/>
    </row>
    <row r="5875" spans="8:16" x14ac:dyDescent="0.25">
      <c r="H5875" s="12"/>
      <c r="I5875" s="12"/>
      <c r="J5875" s="12"/>
      <c r="K5875" s="12"/>
      <c r="L5875" s="12"/>
      <c r="M5875" s="11"/>
      <c r="N5875" s="11"/>
      <c r="O5875" s="11"/>
      <c r="P5875" s="11"/>
    </row>
    <row r="5876" spans="8:16" x14ac:dyDescent="0.25">
      <c r="H5876" s="12"/>
      <c r="I5876" s="12"/>
      <c r="J5876" s="12"/>
      <c r="K5876" s="12"/>
      <c r="L5876" s="12"/>
      <c r="M5876" s="11"/>
      <c r="N5876" s="11"/>
      <c r="O5876" s="11"/>
      <c r="P5876" s="11"/>
    </row>
    <row r="5877" spans="8:16" x14ac:dyDescent="0.25">
      <c r="H5877" s="12"/>
      <c r="I5877" s="12"/>
      <c r="J5877" s="12"/>
      <c r="K5877" s="12"/>
      <c r="L5877" s="12"/>
      <c r="M5877" s="11"/>
      <c r="N5877" s="11"/>
      <c r="O5877" s="11"/>
      <c r="P5877" s="11"/>
    </row>
    <row r="5878" spans="8:16" x14ac:dyDescent="0.25">
      <c r="H5878" s="12"/>
      <c r="I5878" s="12"/>
      <c r="J5878" s="12"/>
      <c r="K5878" s="12"/>
      <c r="L5878" s="12"/>
      <c r="M5878" s="11"/>
      <c r="N5878" s="11"/>
      <c r="O5878" s="11"/>
      <c r="P5878" s="11"/>
    </row>
    <row r="5879" spans="8:16" x14ac:dyDescent="0.25">
      <c r="H5879" s="12"/>
      <c r="I5879" s="12"/>
      <c r="J5879" s="12"/>
      <c r="K5879" s="12"/>
      <c r="L5879" s="12"/>
      <c r="M5879" s="11"/>
      <c r="N5879" s="11"/>
      <c r="O5879" s="11"/>
      <c r="P5879" s="11"/>
    </row>
    <row r="5880" spans="8:16" x14ac:dyDescent="0.25">
      <c r="H5880" s="12"/>
      <c r="I5880" s="12"/>
      <c r="J5880" s="12"/>
      <c r="K5880" s="12"/>
      <c r="L5880" s="12"/>
      <c r="M5880" s="11"/>
      <c r="N5880" s="11"/>
      <c r="O5880" s="11"/>
      <c r="P5880" s="11"/>
    </row>
    <row r="5881" spans="8:16" x14ac:dyDescent="0.25">
      <c r="H5881" s="12"/>
      <c r="I5881" s="12"/>
      <c r="J5881" s="12"/>
      <c r="K5881" s="12"/>
      <c r="L5881" s="12"/>
      <c r="M5881" s="11"/>
      <c r="N5881" s="11"/>
      <c r="O5881" s="11"/>
      <c r="P5881" s="11"/>
    </row>
    <row r="5882" spans="8:16" x14ac:dyDescent="0.25">
      <c r="H5882" s="12"/>
      <c r="I5882" s="12"/>
      <c r="J5882" s="12"/>
      <c r="K5882" s="12"/>
      <c r="L5882" s="12"/>
      <c r="M5882" s="11"/>
      <c r="N5882" s="11"/>
      <c r="O5882" s="11"/>
      <c r="P5882" s="11"/>
    </row>
    <row r="5883" spans="8:16" x14ac:dyDescent="0.25">
      <c r="H5883" s="12"/>
      <c r="I5883" s="12"/>
      <c r="J5883" s="12"/>
      <c r="K5883" s="12"/>
      <c r="L5883" s="12"/>
      <c r="M5883" s="11"/>
      <c r="N5883" s="11"/>
      <c r="O5883" s="11"/>
      <c r="P5883" s="11"/>
    </row>
    <row r="5884" spans="8:16" x14ac:dyDescent="0.25">
      <c r="H5884" s="12"/>
      <c r="I5884" s="12"/>
      <c r="J5884" s="12"/>
      <c r="K5884" s="12"/>
      <c r="L5884" s="12"/>
      <c r="M5884" s="11"/>
      <c r="N5884" s="11"/>
      <c r="O5884" s="11"/>
      <c r="P5884" s="11"/>
    </row>
    <row r="5885" spans="8:16" x14ac:dyDescent="0.25">
      <c r="H5885" s="12"/>
      <c r="I5885" s="12"/>
      <c r="J5885" s="12"/>
      <c r="K5885" s="12"/>
      <c r="L5885" s="12"/>
      <c r="M5885" s="11"/>
      <c r="N5885" s="11"/>
      <c r="O5885" s="11"/>
      <c r="P5885" s="11"/>
    </row>
    <row r="5886" spans="8:16" x14ac:dyDescent="0.25">
      <c r="H5886" s="12"/>
      <c r="I5886" s="12"/>
      <c r="J5886" s="12"/>
      <c r="K5886" s="12"/>
      <c r="L5886" s="12"/>
      <c r="M5886" s="11"/>
      <c r="N5886" s="11"/>
      <c r="O5886" s="11"/>
      <c r="P5886" s="11"/>
    </row>
    <row r="5887" spans="8:16" x14ac:dyDescent="0.25">
      <c r="H5887" s="12"/>
      <c r="I5887" s="12"/>
      <c r="J5887" s="12"/>
      <c r="K5887" s="12"/>
      <c r="L5887" s="12"/>
      <c r="M5887" s="11"/>
      <c r="N5887" s="11"/>
      <c r="O5887" s="11"/>
      <c r="P5887" s="11"/>
    </row>
    <row r="5888" spans="8:16" x14ac:dyDescent="0.25">
      <c r="H5888" s="12"/>
      <c r="I5888" s="12"/>
      <c r="J5888" s="12"/>
      <c r="K5888" s="12"/>
      <c r="L5888" s="12"/>
      <c r="M5888" s="11"/>
      <c r="N5888" s="11"/>
      <c r="O5888" s="11"/>
      <c r="P5888" s="11"/>
    </row>
    <row r="5889" spans="8:16" x14ac:dyDescent="0.25">
      <c r="H5889" s="12"/>
      <c r="I5889" s="12"/>
      <c r="J5889" s="12"/>
      <c r="K5889" s="12"/>
      <c r="L5889" s="12"/>
      <c r="M5889" s="11"/>
      <c r="N5889" s="11"/>
      <c r="O5889" s="11"/>
      <c r="P5889" s="11"/>
    </row>
    <row r="5890" spans="8:16" x14ac:dyDescent="0.25">
      <c r="H5890" s="12"/>
      <c r="I5890" s="12"/>
      <c r="J5890" s="12"/>
      <c r="K5890" s="12"/>
      <c r="L5890" s="12"/>
      <c r="M5890" s="11"/>
      <c r="N5890" s="11"/>
      <c r="O5890" s="11"/>
      <c r="P5890" s="11"/>
    </row>
    <row r="5891" spans="8:16" x14ac:dyDescent="0.25">
      <c r="H5891" s="12"/>
      <c r="I5891" s="12"/>
      <c r="J5891" s="12"/>
      <c r="K5891" s="12"/>
      <c r="L5891" s="12"/>
      <c r="M5891" s="11"/>
      <c r="N5891" s="11"/>
      <c r="O5891" s="11"/>
      <c r="P5891" s="11"/>
    </row>
    <row r="5892" spans="8:16" x14ac:dyDescent="0.25">
      <c r="H5892" s="12"/>
      <c r="I5892" s="12"/>
      <c r="J5892" s="12"/>
      <c r="K5892" s="12"/>
      <c r="L5892" s="12"/>
      <c r="M5892" s="11"/>
      <c r="N5892" s="11"/>
      <c r="O5892" s="11"/>
      <c r="P5892" s="11"/>
    </row>
    <row r="5893" spans="8:16" x14ac:dyDescent="0.25">
      <c r="H5893" s="12"/>
      <c r="I5893" s="12"/>
      <c r="J5893" s="12"/>
      <c r="K5893" s="12"/>
      <c r="L5893" s="12"/>
      <c r="M5893" s="11"/>
      <c r="N5893" s="11"/>
      <c r="O5893" s="11"/>
      <c r="P5893" s="11"/>
    </row>
    <row r="5894" spans="8:16" x14ac:dyDescent="0.25">
      <c r="H5894" s="12"/>
      <c r="I5894" s="12"/>
      <c r="J5894" s="12"/>
      <c r="K5894" s="12"/>
      <c r="L5894" s="12"/>
      <c r="M5894" s="11"/>
      <c r="N5894" s="11"/>
      <c r="O5894" s="11"/>
      <c r="P5894" s="11"/>
    </row>
    <row r="5895" spans="8:16" x14ac:dyDescent="0.25">
      <c r="H5895" s="12"/>
      <c r="I5895" s="12"/>
      <c r="J5895" s="12"/>
      <c r="K5895" s="12"/>
      <c r="L5895" s="12"/>
      <c r="M5895" s="11"/>
      <c r="N5895" s="11"/>
      <c r="O5895" s="11"/>
      <c r="P5895" s="11"/>
    </row>
    <row r="5896" spans="8:16" x14ac:dyDescent="0.25">
      <c r="H5896" s="12"/>
      <c r="I5896" s="12"/>
      <c r="J5896" s="12"/>
      <c r="K5896" s="12"/>
      <c r="L5896" s="12"/>
      <c r="M5896" s="11"/>
      <c r="N5896" s="11"/>
      <c r="O5896" s="11"/>
      <c r="P5896" s="11"/>
    </row>
    <row r="5897" spans="8:16" x14ac:dyDescent="0.25">
      <c r="H5897" s="12"/>
      <c r="I5897" s="12"/>
      <c r="J5897" s="12"/>
      <c r="K5897" s="12"/>
      <c r="L5897" s="12"/>
      <c r="M5897" s="11"/>
      <c r="N5897" s="11"/>
      <c r="O5897" s="11"/>
      <c r="P5897" s="11"/>
    </row>
    <row r="5898" spans="8:16" x14ac:dyDescent="0.25">
      <c r="H5898" s="12"/>
      <c r="I5898" s="12"/>
      <c r="J5898" s="12"/>
      <c r="K5898" s="12"/>
      <c r="L5898" s="12"/>
      <c r="M5898" s="11"/>
      <c r="N5898" s="11"/>
      <c r="O5898" s="11"/>
      <c r="P5898" s="11"/>
    </row>
    <row r="5899" spans="8:16" x14ac:dyDescent="0.25">
      <c r="H5899" s="12"/>
      <c r="I5899" s="12"/>
      <c r="J5899" s="12"/>
      <c r="K5899" s="12"/>
      <c r="L5899" s="12"/>
      <c r="M5899" s="11"/>
      <c r="N5899" s="11"/>
      <c r="O5899" s="11"/>
      <c r="P5899" s="11"/>
    </row>
    <row r="5900" spans="8:16" x14ac:dyDescent="0.25">
      <c r="H5900" s="12"/>
      <c r="I5900" s="12"/>
      <c r="J5900" s="12"/>
      <c r="K5900" s="12"/>
      <c r="L5900" s="12"/>
      <c r="M5900" s="11"/>
      <c r="N5900" s="11"/>
      <c r="O5900" s="11"/>
      <c r="P5900" s="11"/>
    </row>
    <row r="5901" spans="8:16" x14ac:dyDescent="0.25">
      <c r="H5901" s="12"/>
      <c r="I5901" s="12"/>
      <c r="J5901" s="12"/>
      <c r="K5901" s="12"/>
      <c r="L5901" s="12"/>
      <c r="M5901" s="11"/>
      <c r="N5901" s="11"/>
      <c r="O5901" s="11"/>
      <c r="P5901" s="11"/>
    </row>
    <row r="5902" spans="8:16" x14ac:dyDescent="0.25">
      <c r="H5902" s="12"/>
      <c r="I5902" s="12"/>
      <c r="J5902" s="12"/>
      <c r="K5902" s="12"/>
      <c r="L5902" s="12"/>
      <c r="M5902" s="11"/>
      <c r="N5902" s="11"/>
      <c r="O5902" s="11"/>
      <c r="P5902" s="11"/>
    </row>
    <row r="5903" spans="8:16" x14ac:dyDescent="0.25">
      <c r="H5903" s="12"/>
      <c r="I5903" s="12"/>
      <c r="J5903" s="12"/>
      <c r="K5903" s="12"/>
      <c r="L5903" s="12"/>
      <c r="M5903" s="11"/>
      <c r="N5903" s="11"/>
      <c r="O5903" s="11"/>
      <c r="P5903" s="11"/>
    </row>
    <row r="5904" spans="8:16" x14ac:dyDescent="0.25">
      <c r="H5904" s="12"/>
      <c r="I5904" s="12"/>
      <c r="J5904" s="12"/>
      <c r="K5904" s="12"/>
      <c r="L5904" s="12"/>
      <c r="M5904" s="11"/>
      <c r="N5904" s="11"/>
      <c r="O5904" s="11"/>
      <c r="P5904" s="11"/>
    </row>
    <row r="5905" spans="8:16" x14ac:dyDescent="0.25">
      <c r="H5905" s="12"/>
      <c r="I5905" s="12"/>
      <c r="J5905" s="12"/>
      <c r="K5905" s="12"/>
      <c r="L5905" s="12"/>
      <c r="M5905" s="11"/>
      <c r="N5905" s="11"/>
      <c r="O5905" s="11"/>
      <c r="P5905" s="11"/>
    </row>
    <row r="5906" spans="8:16" x14ac:dyDescent="0.25">
      <c r="H5906" s="12"/>
      <c r="I5906" s="12"/>
      <c r="J5906" s="12"/>
      <c r="K5906" s="12"/>
      <c r="L5906" s="12"/>
      <c r="M5906" s="11"/>
      <c r="N5906" s="11"/>
      <c r="O5906" s="11"/>
      <c r="P5906" s="11"/>
    </row>
    <row r="5907" spans="8:16" x14ac:dyDescent="0.25">
      <c r="H5907" s="12"/>
      <c r="I5907" s="12"/>
      <c r="J5907" s="12"/>
      <c r="K5907" s="12"/>
      <c r="L5907" s="12"/>
      <c r="M5907" s="11"/>
      <c r="N5907" s="11"/>
      <c r="O5907" s="11"/>
      <c r="P5907" s="11"/>
    </row>
    <row r="5908" spans="8:16" x14ac:dyDescent="0.25">
      <c r="H5908" s="12"/>
      <c r="I5908" s="12"/>
      <c r="J5908" s="12"/>
      <c r="K5908" s="12"/>
      <c r="L5908" s="12"/>
      <c r="M5908" s="11"/>
      <c r="N5908" s="11"/>
      <c r="O5908" s="11"/>
      <c r="P5908" s="11"/>
    </row>
    <row r="5909" spans="8:16" x14ac:dyDescent="0.25">
      <c r="H5909" s="12"/>
      <c r="I5909" s="12"/>
      <c r="J5909" s="12"/>
      <c r="K5909" s="12"/>
      <c r="L5909" s="12"/>
      <c r="M5909" s="11"/>
      <c r="N5909" s="11"/>
      <c r="O5909" s="11"/>
      <c r="P5909" s="11"/>
    </row>
    <row r="5910" spans="8:16" x14ac:dyDescent="0.25">
      <c r="H5910" s="12"/>
      <c r="I5910" s="12"/>
      <c r="J5910" s="12"/>
      <c r="K5910" s="12"/>
      <c r="L5910" s="12"/>
      <c r="M5910" s="11"/>
      <c r="N5910" s="11"/>
      <c r="O5910" s="11"/>
      <c r="P5910" s="11"/>
    </row>
    <row r="5911" spans="8:16" x14ac:dyDescent="0.25">
      <c r="H5911" s="12"/>
      <c r="I5911" s="12"/>
      <c r="J5911" s="12"/>
      <c r="K5911" s="12"/>
      <c r="L5911" s="12"/>
      <c r="M5911" s="11"/>
      <c r="N5911" s="11"/>
      <c r="O5911" s="11"/>
      <c r="P5911" s="11"/>
    </row>
    <row r="5912" spans="8:16" x14ac:dyDescent="0.25">
      <c r="H5912" s="12"/>
      <c r="I5912" s="12"/>
      <c r="J5912" s="12"/>
      <c r="K5912" s="12"/>
      <c r="L5912" s="12"/>
      <c r="M5912" s="11"/>
      <c r="N5912" s="11"/>
      <c r="O5912" s="11"/>
      <c r="P5912" s="11"/>
    </row>
    <row r="5913" spans="8:16" x14ac:dyDescent="0.25">
      <c r="H5913" s="12"/>
      <c r="I5913" s="12"/>
      <c r="J5913" s="12"/>
      <c r="K5913" s="12"/>
      <c r="L5913" s="12"/>
      <c r="M5913" s="11"/>
      <c r="N5913" s="11"/>
      <c r="O5913" s="11"/>
      <c r="P5913" s="11"/>
    </row>
    <row r="5914" spans="8:16" x14ac:dyDescent="0.25">
      <c r="H5914" s="12"/>
      <c r="I5914" s="12"/>
      <c r="J5914" s="12"/>
      <c r="K5914" s="12"/>
      <c r="L5914" s="12"/>
      <c r="M5914" s="11"/>
      <c r="N5914" s="11"/>
      <c r="O5914" s="11"/>
      <c r="P5914" s="11"/>
    </row>
    <row r="5915" spans="8:16" x14ac:dyDescent="0.25">
      <c r="H5915" s="12"/>
      <c r="I5915" s="12"/>
      <c r="J5915" s="12"/>
      <c r="K5915" s="12"/>
      <c r="L5915" s="12"/>
      <c r="M5915" s="11"/>
      <c r="N5915" s="11"/>
      <c r="O5915" s="11"/>
      <c r="P5915" s="11"/>
    </row>
    <row r="5916" spans="8:16" x14ac:dyDescent="0.25">
      <c r="H5916" s="12"/>
      <c r="I5916" s="12"/>
      <c r="J5916" s="12"/>
      <c r="K5916" s="12"/>
      <c r="L5916" s="12"/>
      <c r="M5916" s="11"/>
      <c r="N5916" s="11"/>
      <c r="O5916" s="11"/>
      <c r="P5916" s="11"/>
    </row>
    <row r="5917" spans="8:16" x14ac:dyDescent="0.25">
      <c r="H5917" s="12"/>
      <c r="I5917" s="12"/>
      <c r="J5917" s="12"/>
      <c r="K5917" s="12"/>
      <c r="L5917" s="12"/>
      <c r="M5917" s="11"/>
      <c r="N5917" s="11"/>
      <c r="O5917" s="11"/>
      <c r="P5917" s="11"/>
    </row>
    <row r="5918" spans="8:16" x14ac:dyDescent="0.25">
      <c r="H5918" s="12"/>
      <c r="I5918" s="12"/>
      <c r="J5918" s="12"/>
      <c r="K5918" s="12"/>
      <c r="L5918" s="12"/>
      <c r="M5918" s="11"/>
      <c r="N5918" s="11"/>
      <c r="O5918" s="11"/>
      <c r="P5918" s="11"/>
    </row>
    <row r="5919" spans="8:16" x14ac:dyDescent="0.25">
      <c r="H5919" s="12"/>
      <c r="I5919" s="12"/>
      <c r="J5919" s="12"/>
      <c r="K5919" s="12"/>
      <c r="L5919" s="12"/>
      <c r="M5919" s="11"/>
      <c r="N5919" s="11"/>
      <c r="O5919" s="11"/>
      <c r="P5919" s="11"/>
    </row>
    <row r="5920" spans="8:16" x14ac:dyDescent="0.25">
      <c r="H5920" s="12"/>
      <c r="I5920" s="12"/>
      <c r="J5920" s="12"/>
      <c r="K5920" s="12"/>
      <c r="L5920" s="12"/>
      <c r="M5920" s="11"/>
      <c r="N5920" s="11"/>
      <c r="O5920" s="11"/>
      <c r="P5920" s="11"/>
    </row>
    <row r="5921" spans="8:16" x14ac:dyDescent="0.25">
      <c r="H5921" s="12"/>
      <c r="I5921" s="12"/>
      <c r="J5921" s="12"/>
      <c r="K5921" s="12"/>
      <c r="L5921" s="12"/>
      <c r="M5921" s="11"/>
      <c r="N5921" s="11"/>
      <c r="O5921" s="11"/>
      <c r="P5921" s="11"/>
    </row>
    <row r="5922" spans="8:16" x14ac:dyDescent="0.25">
      <c r="H5922" s="12"/>
      <c r="I5922" s="12"/>
      <c r="J5922" s="12"/>
      <c r="K5922" s="12"/>
      <c r="L5922" s="12"/>
      <c r="M5922" s="11"/>
      <c r="N5922" s="11"/>
      <c r="O5922" s="11"/>
      <c r="P5922" s="11"/>
    </row>
    <row r="5923" spans="8:16" x14ac:dyDescent="0.25">
      <c r="H5923" s="12"/>
      <c r="I5923" s="12"/>
      <c r="J5923" s="12"/>
      <c r="K5923" s="12"/>
      <c r="L5923" s="12"/>
      <c r="M5923" s="11"/>
      <c r="N5923" s="11"/>
      <c r="O5923" s="11"/>
      <c r="P5923" s="11"/>
    </row>
    <row r="5924" spans="8:16" x14ac:dyDescent="0.25">
      <c r="H5924" s="12"/>
      <c r="I5924" s="12"/>
      <c r="J5924" s="12"/>
      <c r="K5924" s="12"/>
      <c r="L5924" s="12"/>
      <c r="M5924" s="11"/>
      <c r="N5924" s="11"/>
      <c r="O5924" s="11"/>
      <c r="P5924" s="11"/>
    </row>
    <row r="5925" spans="8:16" x14ac:dyDescent="0.25">
      <c r="H5925" s="12"/>
      <c r="I5925" s="12"/>
      <c r="J5925" s="12"/>
      <c r="K5925" s="12"/>
      <c r="L5925" s="12"/>
      <c r="M5925" s="11"/>
      <c r="N5925" s="11"/>
      <c r="O5925" s="11"/>
      <c r="P5925" s="11"/>
    </row>
    <row r="5926" spans="8:16" x14ac:dyDescent="0.25">
      <c r="H5926" s="12"/>
      <c r="I5926" s="12"/>
      <c r="J5926" s="12"/>
      <c r="K5926" s="12"/>
      <c r="L5926" s="12"/>
      <c r="M5926" s="11"/>
      <c r="N5926" s="11"/>
      <c r="O5926" s="11"/>
      <c r="P5926" s="11"/>
    </row>
    <row r="5927" spans="8:16" x14ac:dyDescent="0.25">
      <c r="H5927" s="12"/>
      <c r="I5927" s="12"/>
      <c r="J5927" s="12"/>
      <c r="K5927" s="12"/>
      <c r="L5927" s="12"/>
      <c r="M5927" s="11"/>
      <c r="N5927" s="11"/>
      <c r="O5927" s="11"/>
      <c r="P5927" s="11"/>
    </row>
    <row r="5928" spans="8:16" x14ac:dyDescent="0.25">
      <c r="H5928" s="12"/>
      <c r="I5928" s="12"/>
      <c r="J5928" s="12"/>
      <c r="K5928" s="12"/>
      <c r="L5928" s="12"/>
      <c r="M5928" s="11"/>
      <c r="N5928" s="11"/>
      <c r="O5928" s="11"/>
      <c r="P5928" s="11"/>
    </row>
    <row r="5929" spans="8:16" x14ac:dyDescent="0.25">
      <c r="H5929" s="12"/>
      <c r="I5929" s="12"/>
      <c r="J5929" s="12"/>
      <c r="K5929" s="12"/>
      <c r="L5929" s="12"/>
      <c r="M5929" s="11"/>
      <c r="N5929" s="11"/>
      <c r="O5929" s="11"/>
      <c r="P5929" s="11"/>
    </row>
    <row r="5930" spans="8:16" x14ac:dyDescent="0.25">
      <c r="H5930" s="12"/>
      <c r="I5930" s="12"/>
      <c r="J5930" s="12"/>
      <c r="K5930" s="12"/>
      <c r="L5930" s="12"/>
      <c r="M5930" s="11"/>
      <c r="N5930" s="11"/>
      <c r="O5930" s="11"/>
      <c r="P5930" s="11"/>
    </row>
    <row r="5931" spans="8:16" x14ac:dyDescent="0.25">
      <c r="H5931" s="12"/>
      <c r="I5931" s="12"/>
      <c r="J5931" s="12"/>
      <c r="K5931" s="12"/>
      <c r="L5931" s="12"/>
      <c r="M5931" s="11"/>
      <c r="N5931" s="11"/>
      <c r="O5931" s="11"/>
      <c r="P5931" s="11"/>
    </row>
    <row r="5932" spans="8:16" x14ac:dyDescent="0.25">
      <c r="H5932" s="12"/>
      <c r="I5932" s="12"/>
      <c r="J5932" s="12"/>
      <c r="K5932" s="12"/>
      <c r="L5932" s="12"/>
      <c r="M5932" s="11"/>
      <c r="N5932" s="11"/>
      <c r="O5932" s="11"/>
      <c r="P5932" s="11"/>
    </row>
    <row r="5933" spans="8:16" x14ac:dyDescent="0.25">
      <c r="H5933" s="12"/>
      <c r="I5933" s="12"/>
      <c r="J5933" s="12"/>
      <c r="K5933" s="12"/>
      <c r="L5933" s="12"/>
      <c r="M5933" s="11"/>
      <c r="N5933" s="11"/>
      <c r="O5933" s="11"/>
      <c r="P5933" s="11"/>
    </row>
    <row r="5934" spans="8:16" x14ac:dyDescent="0.25">
      <c r="H5934" s="12"/>
      <c r="I5934" s="12"/>
      <c r="J5934" s="12"/>
      <c r="K5934" s="12"/>
      <c r="L5934" s="12"/>
      <c r="M5934" s="11"/>
      <c r="N5934" s="11"/>
      <c r="O5934" s="11"/>
      <c r="P5934" s="11"/>
    </row>
    <row r="5935" spans="8:16" x14ac:dyDescent="0.25">
      <c r="H5935" s="12"/>
      <c r="I5935" s="12"/>
      <c r="J5935" s="12"/>
      <c r="K5935" s="12"/>
      <c r="L5935" s="12"/>
      <c r="M5935" s="11"/>
      <c r="N5935" s="11"/>
      <c r="O5935" s="11"/>
      <c r="P5935" s="11"/>
    </row>
    <row r="5936" spans="8:16" x14ac:dyDescent="0.25">
      <c r="H5936" s="12"/>
      <c r="I5936" s="12"/>
      <c r="J5936" s="12"/>
      <c r="K5936" s="12"/>
      <c r="L5936" s="12"/>
      <c r="M5936" s="11"/>
      <c r="N5936" s="11"/>
      <c r="O5936" s="11"/>
      <c r="P5936" s="11"/>
    </row>
    <row r="5937" spans="8:16" x14ac:dyDescent="0.25">
      <c r="H5937" s="12"/>
      <c r="I5937" s="12"/>
      <c r="J5937" s="12"/>
      <c r="K5937" s="12"/>
      <c r="L5937" s="12"/>
      <c r="M5937" s="11"/>
      <c r="N5937" s="11"/>
      <c r="O5937" s="11"/>
      <c r="P5937" s="11"/>
    </row>
    <row r="5938" spans="8:16" x14ac:dyDescent="0.25">
      <c r="H5938" s="12"/>
      <c r="I5938" s="12"/>
      <c r="J5938" s="12"/>
      <c r="K5938" s="12"/>
      <c r="L5938" s="12"/>
      <c r="M5938" s="11"/>
      <c r="N5938" s="11"/>
      <c r="O5938" s="11"/>
      <c r="P5938" s="11"/>
    </row>
    <row r="5939" spans="8:16" x14ac:dyDescent="0.25">
      <c r="H5939" s="12"/>
      <c r="I5939" s="12"/>
      <c r="J5939" s="12"/>
      <c r="K5939" s="12"/>
      <c r="L5939" s="12"/>
      <c r="M5939" s="11"/>
      <c r="N5939" s="11"/>
      <c r="O5939" s="11"/>
      <c r="P5939" s="11"/>
    </row>
    <row r="5940" spans="8:16" x14ac:dyDescent="0.25">
      <c r="H5940" s="12"/>
      <c r="I5940" s="12"/>
      <c r="J5940" s="12"/>
      <c r="K5940" s="12"/>
      <c r="L5940" s="12"/>
      <c r="M5940" s="11"/>
      <c r="N5940" s="11"/>
      <c r="O5940" s="11"/>
      <c r="P5940" s="11"/>
    </row>
    <row r="5941" spans="8:16" x14ac:dyDescent="0.25">
      <c r="H5941" s="12"/>
      <c r="I5941" s="12"/>
      <c r="J5941" s="12"/>
      <c r="K5941" s="12"/>
      <c r="L5941" s="12"/>
      <c r="M5941" s="11"/>
      <c r="N5941" s="11"/>
      <c r="O5941" s="11"/>
      <c r="P5941" s="11"/>
    </row>
    <row r="5942" spans="8:16" x14ac:dyDescent="0.25">
      <c r="H5942" s="12"/>
      <c r="I5942" s="12"/>
      <c r="J5942" s="12"/>
      <c r="K5942" s="12"/>
      <c r="L5942" s="12"/>
      <c r="M5942" s="11"/>
      <c r="N5942" s="11"/>
      <c r="O5942" s="11"/>
      <c r="P5942" s="11"/>
    </row>
    <row r="5943" spans="8:16" x14ac:dyDescent="0.25">
      <c r="H5943" s="12"/>
      <c r="I5943" s="12"/>
      <c r="J5943" s="12"/>
      <c r="K5943" s="12"/>
      <c r="L5943" s="12"/>
      <c r="M5943" s="11"/>
      <c r="N5943" s="11"/>
      <c r="O5943" s="11"/>
      <c r="P5943" s="11"/>
    </row>
    <row r="5944" spans="8:16" x14ac:dyDescent="0.25">
      <c r="H5944" s="12"/>
      <c r="I5944" s="12"/>
      <c r="J5944" s="12"/>
      <c r="K5944" s="12"/>
      <c r="L5944" s="12"/>
      <c r="M5944" s="11"/>
      <c r="N5944" s="11"/>
      <c r="O5944" s="11"/>
      <c r="P5944" s="11"/>
    </row>
    <row r="5945" spans="8:16" x14ac:dyDescent="0.25">
      <c r="H5945" s="12"/>
      <c r="I5945" s="12"/>
      <c r="J5945" s="12"/>
      <c r="K5945" s="12"/>
      <c r="L5945" s="12"/>
      <c r="M5945" s="11"/>
      <c r="N5945" s="11"/>
      <c r="O5945" s="11"/>
      <c r="P5945" s="11"/>
    </row>
    <row r="5946" spans="8:16" x14ac:dyDescent="0.25">
      <c r="H5946" s="12"/>
      <c r="I5946" s="12"/>
      <c r="J5946" s="12"/>
      <c r="K5946" s="12"/>
      <c r="L5946" s="12"/>
      <c r="M5946" s="11"/>
      <c r="N5946" s="11"/>
      <c r="O5946" s="11"/>
      <c r="P5946" s="11"/>
    </row>
    <row r="5947" spans="8:16" x14ac:dyDescent="0.25">
      <c r="H5947" s="12"/>
      <c r="I5947" s="12"/>
      <c r="J5947" s="12"/>
      <c r="K5947" s="12"/>
      <c r="L5947" s="12"/>
      <c r="M5947" s="11"/>
      <c r="N5947" s="11"/>
      <c r="O5947" s="11"/>
      <c r="P5947" s="11"/>
    </row>
    <row r="5948" spans="8:16" x14ac:dyDescent="0.25">
      <c r="H5948" s="12"/>
      <c r="I5948" s="12"/>
      <c r="J5948" s="12"/>
      <c r="K5948" s="12"/>
      <c r="L5948" s="12"/>
      <c r="M5948" s="11"/>
      <c r="N5948" s="11"/>
      <c r="O5948" s="11"/>
      <c r="P5948" s="11"/>
    </row>
    <row r="5949" spans="8:16" x14ac:dyDescent="0.25">
      <c r="H5949" s="12"/>
      <c r="I5949" s="12"/>
      <c r="J5949" s="12"/>
      <c r="K5949" s="12"/>
      <c r="L5949" s="12"/>
      <c r="M5949" s="11"/>
      <c r="N5949" s="11"/>
      <c r="O5949" s="11"/>
      <c r="P5949" s="11"/>
    </row>
    <row r="5950" spans="8:16" x14ac:dyDescent="0.25">
      <c r="H5950" s="12"/>
      <c r="I5950" s="12"/>
      <c r="J5950" s="12"/>
      <c r="K5950" s="12"/>
      <c r="L5950" s="12"/>
      <c r="M5950" s="11"/>
      <c r="N5950" s="11"/>
      <c r="O5950" s="11"/>
      <c r="P5950" s="11"/>
    </row>
    <row r="5951" spans="8:16" x14ac:dyDescent="0.25">
      <c r="H5951" s="12"/>
      <c r="I5951" s="12"/>
      <c r="J5951" s="12"/>
      <c r="K5951" s="12"/>
      <c r="L5951" s="12"/>
      <c r="M5951" s="11"/>
      <c r="N5951" s="11"/>
      <c r="O5951" s="11"/>
      <c r="P5951" s="11"/>
    </row>
    <row r="5952" spans="8:16" x14ac:dyDescent="0.25">
      <c r="H5952" s="12"/>
      <c r="I5952" s="12"/>
      <c r="J5952" s="12"/>
      <c r="K5952" s="12"/>
      <c r="L5952" s="12"/>
      <c r="M5952" s="11"/>
      <c r="N5952" s="11"/>
      <c r="O5952" s="11"/>
      <c r="P5952" s="11"/>
    </row>
    <row r="5953" spans="8:16" x14ac:dyDescent="0.25">
      <c r="H5953" s="12"/>
      <c r="I5953" s="12"/>
      <c r="J5953" s="12"/>
      <c r="K5953" s="12"/>
      <c r="L5953" s="12"/>
      <c r="M5953" s="11"/>
      <c r="N5953" s="11"/>
      <c r="O5953" s="11"/>
      <c r="P5953" s="11"/>
    </row>
    <row r="5954" spans="8:16" x14ac:dyDescent="0.25">
      <c r="H5954" s="12"/>
      <c r="I5954" s="12"/>
      <c r="J5954" s="12"/>
      <c r="K5954" s="12"/>
      <c r="L5954" s="12"/>
      <c r="M5954" s="11"/>
      <c r="N5954" s="11"/>
      <c r="O5954" s="11"/>
      <c r="P5954" s="11"/>
    </row>
    <row r="5955" spans="8:16" x14ac:dyDescent="0.25">
      <c r="H5955" s="12"/>
      <c r="I5955" s="12"/>
      <c r="J5955" s="12"/>
      <c r="K5955" s="12"/>
      <c r="L5955" s="12"/>
      <c r="M5955" s="11"/>
      <c r="N5955" s="11"/>
      <c r="O5955" s="11"/>
      <c r="P5955" s="11"/>
    </row>
    <row r="5956" spans="8:16" x14ac:dyDescent="0.25">
      <c r="H5956" s="12"/>
      <c r="I5956" s="12"/>
      <c r="J5956" s="12"/>
      <c r="K5956" s="12"/>
      <c r="L5956" s="12"/>
      <c r="M5956" s="11"/>
      <c r="N5956" s="11"/>
      <c r="O5956" s="11"/>
      <c r="P5956" s="11"/>
    </row>
    <row r="5957" spans="8:16" x14ac:dyDescent="0.25">
      <c r="H5957" s="12"/>
      <c r="I5957" s="12"/>
      <c r="J5957" s="12"/>
      <c r="K5957" s="12"/>
      <c r="L5957" s="12"/>
      <c r="M5957" s="11"/>
      <c r="N5957" s="11"/>
      <c r="O5957" s="11"/>
      <c r="P5957" s="11"/>
    </row>
    <row r="5958" spans="8:16" x14ac:dyDescent="0.25">
      <c r="H5958" s="12"/>
      <c r="I5958" s="12"/>
      <c r="J5958" s="12"/>
      <c r="K5958" s="12"/>
      <c r="L5958" s="12"/>
      <c r="M5958" s="11"/>
      <c r="N5958" s="11"/>
      <c r="O5958" s="11"/>
      <c r="P5958" s="11"/>
    </row>
    <row r="5959" spans="8:16" x14ac:dyDescent="0.25">
      <c r="H5959" s="12"/>
      <c r="I5959" s="12"/>
      <c r="J5959" s="12"/>
      <c r="K5959" s="12"/>
      <c r="L5959" s="12"/>
      <c r="M5959" s="11"/>
      <c r="N5959" s="11"/>
      <c r="O5959" s="11"/>
      <c r="P5959" s="11"/>
    </row>
    <row r="5960" spans="8:16" x14ac:dyDescent="0.25">
      <c r="H5960" s="12"/>
      <c r="I5960" s="12"/>
      <c r="J5960" s="12"/>
      <c r="K5960" s="12"/>
      <c r="L5960" s="12"/>
      <c r="M5960" s="11"/>
      <c r="N5960" s="11"/>
      <c r="O5960" s="11"/>
      <c r="P5960" s="11"/>
    </row>
    <row r="5961" spans="8:16" x14ac:dyDescent="0.25">
      <c r="H5961" s="12"/>
      <c r="I5961" s="12"/>
      <c r="J5961" s="12"/>
      <c r="K5961" s="12"/>
      <c r="L5961" s="12"/>
      <c r="M5961" s="11"/>
      <c r="N5961" s="11"/>
      <c r="O5961" s="11"/>
      <c r="P5961" s="11"/>
    </row>
    <row r="5962" spans="8:16" x14ac:dyDescent="0.25">
      <c r="H5962" s="12"/>
      <c r="I5962" s="12"/>
      <c r="J5962" s="12"/>
      <c r="K5962" s="12"/>
      <c r="L5962" s="12"/>
      <c r="M5962" s="11"/>
      <c r="N5962" s="11"/>
      <c r="O5962" s="11"/>
      <c r="P5962" s="11"/>
    </row>
    <row r="5963" spans="8:16" x14ac:dyDescent="0.25">
      <c r="H5963" s="12"/>
      <c r="I5963" s="12"/>
      <c r="J5963" s="12"/>
      <c r="K5963" s="12"/>
      <c r="L5963" s="12"/>
      <c r="M5963" s="11"/>
      <c r="N5963" s="11"/>
      <c r="O5963" s="11"/>
      <c r="P5963" s="11"/>
    </row>
    <row r="5964" spans="8:16" x14ac:dyDescent="0.25">
      <c r="H5964" s="12"/>
      <c r="I5964" s="12"/>
      <c r="J5964" s="12"/>
      <c r="K5964" s="12"/>
      <c r="L5964" s="12"/>
      <c r="M5964" s="11"/>
      <c r="N5964" s="11"/>
      <c r="O5964" s="11"/>
      <c r="P5964" s="11"/>
    </row>
    <row r="5965" spans="8:16" x14ac:dyDescent="0.25">
      <c r="H5965" s="12"/>
      <c r="I5965" s="12"/>
      <c r="J5965" s="12"/>
      <c r="K5965" s="12"/>
      <c r="L5965" s="12"/>
      <c r="M5965" s="11"/>
      <c r="N5965" s="11"/>
      <c r="O5965" s="11"/>
      <c r="P5965" s="11"/>
    </row>
    <row r="5966" spans="8:16" x14ac:dyDescent="0.25">
      <c r="H5966" s="12"/>
      <c r="I5966" s="12"/>
      <c r="J5966" s="12"/>
      <c r="K5966" s="12"/>
      <c r="L5966" s="12"/>
      <c r="M5966" s="11"/>
      <c r="N5966" s="11"/>
      <c r="O5966" s="11"/>
      <c r="P5966" s="11"/>
    </row>
    <row r="5967" spans="8:16" x14ac:dyDescent="0.25">
      <c r="H5967" s="12"/>
      <c r="I5967" s="12"/>
      <c r="J5967" s="12"/>
      <c r="K5967" s="12"/>
      <c r="L5967" s="12"/>
      <c r="M5967" s="11"/>
      <c r="N5967" s="11"/>
      <c r="O5967" s="11"/>
      <c r="P5967" s="11"/>
    </row>
    <row r="5968" spans="8:16" x14ac:dyDescent="0.25">
      <c r="H5968" s="12"/>
      <c r="I5968" s="12"/>
      <c r="J5968" s="12"/>
      <c r="K5968" s="12"/>
      <c r="L5968" s="12"/>
      <c r="M5968" s="11"/>
      <c r="N5968" s="11"/>
      <c r="O5968" s="11"/>
      <c r="P5968" s="11"/>
    </row>
    <row r="5969" spans="8:16" x14ac:dyDescent="0.25">
      <c r="H5969" s="12"/>
      <c r="I5969" s="12"/>
      <c r="J5969" s="12"/>
      <c r="K5969" s="12"/>
      <c r="L5969" s="12"/>
      <c r="M5969" s="11"/>
      <c r="N5969" s="11"/>
      <c r="O5969" s="11"/>
      <c r="P5969" s="11"/>
    </row>
    <row r="5970" spans="8:16" x14ac:dyDescent="0.25">
      <c r="H5970" s="12"/>
      <c r="I5970" s="12"/>
      <c r="J5970" s="12"/>
      <c r="K5970" s="12"/>
      <c r="L5970" s="12"/>
      <c r="M5970" s="11"/>
      <c r="N5970" s="11"/>
      <c r="O5970" s="11"/>
      <c r="P5970" s="11"/>
    </row>
    <row r="5971" spans="8:16" x14ac:dyDescent="0.25">
      <c r="H5971" s="12"/>
      <c r="I5971" s="12"/>
      <c r="J5971" s="12"/>
      <c r="K5971" s="12"/>
      <c r="L5971" s="12"/>
      <c r="M5971" s="11"/>
      <c r="N5971" s="11"/>
      <c r="O5971" s="11"/>
      <c r="P5971" s="11"/>
    </row>
    <row r="5972" spans="8:16" x14ac:dyDescent="0.25">
      <c r="H5972" s="12"/>
      <c r="I5972" s="12"/>
      <c r="J5972" s="12"/>
      <c r="K5972" s="12"/>
      <c r="L5972" s="12"/>
      <c r="M5972" s="11"/>
      <c r="N5972" s="11"/>
      <c r="O5972" s="11"/>
      <c r="P5972" s="11"/>
    </row>
    <row r="5973" spans="8:16" x14ac:dyDescent="0.25">
      <c r="H5973" s="12"/>
      <c r="I5973" s="12"/>
      <c r="J5973" s="12"/>
      <c r="K5973" s="12"/>
      <c r="L5973" s="12"/>
      <c r="M5973" s="11"/>
      <c r="N5973" s="11"/>
      <c r="O5973" s="11"/>
      <c r="P5973" s="11"/>
    </row>
    <row r="5974" spans="8:16" x14ac:dyDescent="0.25">
      <c r="H5974" s="12"/>
      <c r="I5974" s="12"/>
      <c r="J5974" s="12"/>
      <c r="K5974" s="12"/>
      <c r="L5974" s="12"/>
      <c r="M5974" s="11"/>
      <c r="N5974" s="11"/>
      <c r="O5974" s="11"/>
      <c r="P5974" s="11"/>
    </row>
    <row r="5975" spans="8:16" x14ac:dyDescent="0.25">
      <c r="H5975" s="12"/>
      <c r="I5975" s="12"/>
      <c r="J5975" s="12"/>
      <c r="K5975" s="12"/>
      <c r="L5975" s="12"/>
      <c r="M5975" s="11"/>
      <c r="N5975" s="11"/>
      <c r="O5975" s="11"/>
      <c r="P5975" s="11"/>
    </row>
    <row r="5976" spans="8:16" x14ac:dyDescent="0.25">
      <c r="H5976" s="12"/>
      <c r="I5976" s="12"/>
      <c r="J5976" s="12"/>
      <c r="K5976" s="12"/>
      <c r="L5976" s="12"/>
      <c r="M5976" s="11"/>
      <c r="N5976" s="11"/>
      <c r="O5976" s="11"/>
      <c r="P5976" s="11"/>
    </row>
    <row r="5977" spans="8:16" x14ac:dyDescent="0.25">
      <c r="H5977" s="12"/>
      <c r="I5977" s="12"/>
      <c r="J5977" s="12"/>
      <c r="K5977" s="12"/>
      <c r="L5977" s="12"/>
      <c r="M5977" s="11"/>
      <c r="N5977" s="11"/>
      <c r="O5977" s="11"/>
      <c r="P5977" s="11"/>
    </row>
    <row r="5978" spans="8:16" x14ac:dyDescent="0.25">
      <c r="H5978" s="12"/>
      <c r="I5978" s="12"/>
      <c r="J5978" s="12"/>
      <c r="K5978" s="12"/>
      <c r="L5978" s="12"/>
      <c r="M5978" s="11"/>
      <c r="N5978" s="11"/>
      <c r="O5978" s="11"/>
      <c r="P5978" s="11"/>
    </row>
    <row r="5979" spans="8:16" x14ac:dyDescent="0.25">
      <c r="H5979" s="12"/>
      <c r="I5979" s="12"/>
      <c r="J5979" s="12"/>
      <c r="K5979" s="12"/>
      <c r="L5979" s="12"/>
      <c r="M5979" s="11"/>
      <c r="N5979" s="11"/>
      <c r="O5979" s="11"/>
      <c r="P5979" s="11"/>
    </row>
    <row r="5980" spans="8:16" x14ac:dyDescent="0.25">
      <c r="H5980" s="12"/>
      <c r="I5980" s="12"/>
      <c r="J5980" s="12"/>
      <c r="K5980" s="12"/>
      <c r="L5980" s="12"/>
      <c r="M5980" s="11"/>
      <c r="N5980" s="11"/>
      <c r="O5980" s="11"/>
      <c r="P5980" s="11"/>
    </row>
    <row r="5981" spans="8:16" x14ac:dyDescent="0.25">
      <c r="H5981" s="12"/>
      <c r="I5981" s="12"/>
      <c r="J5981" s="12"/>
      <c r="K5981" s="12"/>
      <c r="L5981" s="12"/>
      <c r="M5981" s="11"/>
      <c r="N5981" s="11"/>
      <c r="O5981" s="11"/>
      <c r="P5981" s="11"/>
    </row>
    <row r="5982" spans="8:16" x14ac:dyDescent="0.25">
      <c r="H5982" s="12"/>
      <c r="I5982" s="12"/>
      <c r="J5982" s="12"/>
      <c r="K5982" s="12"/>
      <c r="L5982" s="12"/>
      <c r="M5982" s="11"/>
      <c r="N5982" s="11"/>
      <c r="O5982" s="11"/>
      <c r="P5982" s="11"/>
    </row>
    <row r="5983" spans="8:16" x14ac:dyDescent="0.25">
      <c r="H5983" s="12"/>
      <c r="I5983" s="12"/>
      <c r="J5983" s="12"/>
      <c r="K5983" s="12"/>
      <c r="L5983" s="12"/>
      <c r="M5983" s="11"/>
      <c r="N5983" s="11"/>
      <c r="O5983" s="11"/>
      <c r="P5983" s="11"/>
    </row>
    <row r="5984" spans="8:16" x14ac:dyDescent="0.25">
      <c r="H5984" s="12"/>
      <c r="I5984" s="12"/>
      <c r="J5984" s="12"/>
      <c r="K5984" s="12"/>
      <c r="L5984" s="12"/>
      <c r="M5984" s="11"/>
      <c r="N5984" s="11"/>
      <c r="O5984" s="11"/>
      <c r="P5984" s="11"/>
    </row>
    <row r="5985" spans="8:16" x14ac:dyDescent="0.25">
      <c r="H5985" s="12"/>
      <c r="I5985" s="12"/>
      <c r="J5985" s="12"/>
      <c r="K5985" s="12"/>
      <c r="L5985" s="12"/>
      <c r="M5985" s="11"/>
      <c r="N5985" s="11"/>
      <c r="O5985" s="11"/>
      <c r="P5985" s="11"/>
    </row>
    <row r="5986" spans="8:16" x14ac:dyDescent="0.25">
      <c r="H5986" s="12"/>
      <c r="I5986" s="12"/>
      <c r="J5986" s="12"/>
      <c r="K5986" s="12"/>
      <c r="L5986" s="12"/>
      <c r="M5986" s="11"/>
      <c r="N5986" s="11"/>
      <c r="O5986" s="11"/>
      <c r="P5986" s="11"/>
    </row>
    <row r="5987" spans="8:16" x14ac:dyDescent="0.25">
      <c r="H5987" s="12"/>
      <c r="I5987" s="12"/>
      <c r="J5987" s="12"/>
      <c r="K5987" s="12"/>
      <c r="L5987" s="12"/>
      <c r="M5987" s="11"/>
      <c r="N5987" s="11"/>
      <c r="O5987" s="11"/>
      <c r="P5987" s="11"/>
    </row>
    <row r="5988" spans="8:16" x14ac:dyDescent="0.25">
      <c r="H5988" s="12"/>
      <c r="I5988" s="12"/>
      <c r="J5988" s="12"/>
      <c r="K5988" s="12"/>
      <c r="L5988" s="12"/>
      <c r="M5988" s="11"/>
      <c r="N5988" s="11"/>
      <c r="O5988" s="11"/>
      <c r="P5988" s="11"/>
    </row>
    <row r="5989" spans="8:16" x14ac:dyDescent="0.25">
      <c r="H5989" s="12"/>
      <c r="I5989" s="12"/>
      <c r="J5989" s="12"/>
      <c r="K5989" s="12"/>
      <c r="L5989" s="12"/>
      <c r="M5989" s="11"/>
      <c r="N5989" s="11"/>
      <c r="O5989" s="11"/>
      <c r="P5989" s="11"/>
    </row>
    <row r="5990" spans="8:16" x14ac:dyDescent="0.25">
      <c r="H5990" s="12"/>
      <c r="I5990" s="12"/>
      <c r="J5990" s="12"/>
      <c r="K5990" s="12"/>
      <c r="L5990" s="12"/>
      <c r="M5990" s="11"/>
      <c r="N5990" s="11"/>
      <c r="O5990" s="11"/>
      <c r="P5990" s="11"/>
    </row>
    <row r="5991" spans="8:16" x14ac:dyDescent="0.25">
      <c r="H5991" s="12"/>
      <c r="I5991" s="12"/>
      <c r="J5991" s="12"/>
      <c r="K5991" s="12"/>
      <c r="L5991" s="12"/>
      <c r="M5991" s="11"/>
      <c r="N5991" s="11"/>
      <c r="O5991" s="11"/>
      <c r="P5991" s="11"/>
    </row>
    <row r="5992" spans="8:16" x14ac:dyDescent="0.25">
      <c r="H5992" s="12"/>
      <c r="I5992" s="12"/>
      <c r="J5992" s="12"/>
      <c r="K5992" s="12"/>
      <c r="L5992" s="12"/>
      <c r="M5992" s="11"/>
      <c r="N5992" s="11"/>
      <c r="O5992" s="11"/>
      <c r="P5992" s="11"/>
    </row>
    <row r="5993" spans="8:16" x14ac:dyDescent="0.25">
      <c r="H5993" s="12"/>
      <c r="I5993" s="12"/>
      <c r="J5993" s="12"/>
      <c r="K5993" s="12"/>
      <c r="L5993" s="12"/>
      <c r="M5993" s="11"/>
      <c r="N5993" s="11"/>
      <c r="O5993" s="11"/>
      <c r="P5993" s="11"/>
    </row>
    <row r="5994" spans="8:16" x14ac:dyDescent="0.25">
      <c r="H5994" s="12"/>
      <c r="I5994" s="12"/>
      <c r="J5994" s="12"/>
      <c r="K5994" s="12"/>
      <c r="L5994" s="12"/>
      <c r="M5994" s="11"/>
      <c r="N5994" s="11"/>
      <c r="O5994" s="11"/>
      <c r="P5994" s="11"/>
    </row>
    <row r="5995" spans="8:16" x14ac:dyDescent="0.25">
      <c r="H5995" s="12"/>
      <c r="I5995" s="12"/>
      <c r="J5995" s="12"/>
      <c r="K5995" s="12"/>
      <c r="L5995" s="12"/>
      <c r="M5995" s="11"/>
      <c r="N5995" s="11"/>
      <c r="O5995" s="11"/>
      <c r="P5995" s="11"/>
    </row>
    <row r="5996" spans="8:16" x14ac:dyDescent="0.25">
      <c r="H5996" s="12"/>
      <c r="I5996" s="12"/>
      <c r="J5996" s="12"/>
      <c r="K5996" s="12"/>
      <c r="L5996" s="12"/>
      <c r="M5996" s="11"/>
      <c r="N5996" s="11"/>
      <c r="O5996" s="11"/>
      <c r="P5996" s="11"/>
    </row>
    <row r="5997" spans="8:16" x14ac:dyDescent="0.25">
      <c r="H5997" s="12"/>
      <c r="I5997" s="12"/>
      <c r="J5997" s="12"/>
      <c r="K5997" s="12"/>
      <c r="L5997" s="12"/>
      <c r="M5997" s="11"/>
      <c r="N5997" s="11"/>
      <c r="O5997" s="11"/>
      <c r="P5997" s="11"/>
    </row>
    <row r="5998" spans="8:16" x14ac:dyDescent="0.25">
      <c r="H5998" s="12"/>
      <c r="I5998" s="12"/>
      <c r="J5998" s="12"/>
      <c r="K5998" s="12"/>
      <c r="L5998" s="12"/>
      <c r="M5998" s="11"/>
      <c r="N5998" s="11"/>
      <c r="O5998" s="11"/>
      <c r="P5998" s="11"/>
    </row>
    <row r="5999" spans="8:16" x14ac:dyDescent="0.25">
      <c r="H5999" s="12"/>
      <c r="I5999" s="12"/>
      <c r="J5999" s="12"/>
      <c r="K5999" s="12"/>
      <c r="L5999" s="12"/>
      <c r="M5999" s="11"/>
      <c r="N5999" s="11"/>
      <c r="O5999" s="11"/>
      <c r="P5999" s="11"/>
    </row>
    <row r="6000" spans="8:16" x14ac:dyDescent="0.25">
      <c r="H6000" s="12"/>
      <c r="I6000" s="12"/>
      <c r="J6000" s="12"/>
      <c r="K6000" s="12"/>
      <c r="L6000" s="12"/>
      <c r="M6000" s="11"/>
      <c r="N6000" s="11"/>
      <c r="O6000" s="11"/>
      <c r="P6000" s="11"/>
    </row>
    <row r="6001" spans="8:16" x14ac:dyDescent="0.25">
      <c r="H6001" s="12"/>
      <c r="I6001" s="12"/>
      <c r="J6001" s="12"/>
      <c r="K6001" s="12"/>
      <c r="L6001" s="12"/>
      <c r="M6001" s="11"/>
      <c r="N6001" s="11"/>
      <c r="O6001" s="11"/>
      <c r="P6001" s="11"/>
    </row>
    <row r="6002" spans="8:16" x14ac:dyDescent="0.25">
      <c r="H6002" s="12"/>
      <c r="I6002" s="12"/>
      <c r="J6002" s="12"/>
      <c r="K6002" s="12"/>
      <c r="L6002" s="12"/>
      <c r="M6002" s="11"/>
      <c r="N6002" s="11"/>
      <c r="O6002" s="11"/>
      <c r="P6002" s="11"/>
    </row>
    <row r="6003" spans="8:16" x14ac:dyDescent="0.25">
      <c r="H6003" s="12"/>
      <c r="I6003" s="12"/>
      <c r="J6003" s="12"/>
      <c r="K6003" s="12"/>
      <c r="L6003" s="12"/>
      <c r="M6003" s="11"/>
      <c r="N6003" s="11"/>
      <c r="O6003" s="11"/>
      <c r="P6003" s="11"/>
    </row>
    <row r="6004" spans="8:16" x14ac:dyDescent="0.25">
      <c r="H6004" s="12"/>
      <c r="I6004" s="12"/>
      <c r="J6004" s="12"/>
      <c r="K6004" s="12"/>
      <c r="L6004" s="12"/>
      <c r="M6004" s="11"/>
      <c r="N6004" s="11"/>
      <c r="O6004" s="11"/>
      <c r="P6004" s="11"/>
    </row>
    <row r="6005" spans="8:16" x14ac:dyDescent="0.25">
      <c r="H6005" s="12"/>
      <c r="I6005" s="12"/>
      <c r="J6005" s="12"/>
      <c r="K6005" s="12"/>
      <c r="L6005" s="12"/>
      <c r="M6005" s="11"/>
      <c r="N6005" s="11"/>
      <c r="O6005" s="11"/>
      <c r="P6005" s="11"/>
    </row>
    <row r="6006" spans="8:16" x14ac:dyDescent="0.25">
      <c r="H6006" s="12"/>
      <c r="I6006" s="12"/>
      <c r="J6006" s="12"/>
      <c r="K6006" s="12"/>
      <c r="L6006" s="12"/>
      <c r="M6006" s="11"/>
      <c r="N6006" s="11"/>
      <c r="O6006" s="11"/>
      <c r="P6006" s="11"/>
    </row>
    <row r="6007" spans="8:16" x14ac:dyDescent="0.25">
      <c r="H6007" s="12"/>
      <c r="I6007" s="12"/>
      <c r="J6007" s="12"/>
      <c r="K6007" s="12"/>
      <c r="L6007" s="12"/>
      <c r="M6007" s="11"/>
      <c r="N6007" s="11"/>
      <c r="O6007" s="11"/>
      <c r="P6007" s="11"/>
    </row>
    <row r="6008" spans="8:16" x14ac:dyDescent="0.25">
      <c r="H6008" s="12"/>
      <c r="I6008" s="12"/>
      <c r="J6008" s="12"/>
      <c r="K6008" s="12"/>
      <c r="L6008" s="12"/>
      <c r="M6008" s="11"/>
      <c r="N6008" s="11"/>
      <c r="O6008" s="11"/>
      <c r="P6008" s="11"/>
    </row>
    <row r="6009" spans="8:16" x14ac:dyDescent="0.25">
      <c r="H6009" s="12"/>
      <c r="I6009" s="12"/>
      <c r="J6009" s="12"/>
      <c r="K6009" s="12"/>
      <c r="L6009" s="12"/>
      <c r="M6009" s="11"/>
      <c r="N6009" s="11"/>
      <c r="O6009" s="11"/>
      <c r="P6009" s="11"/>
    </row>
    <row r="6010" spans="8:16" x14ac:dyDescent="0.25">
      <c r="H6010" s="12"/>
      <c r="I6010" s="12"/>
      <c r="J6010" s="12"/>
      <c r="K6010" s="12"/>
      <c r="L6010" s="12"/>
      <c r="M6010" s="11"/>
      <c r="N6010" s="11"/>
      <c r="O6010" s="11"/>
      <c r="P6010" s="11"/>
    </row>
    <row r="6011" spans="8:16" x14ac:dyDescent="0.25">
      <c r="H6011" s="12"/>
      <c r="I6011" s="12"/>
      <c r="J6011" s="12"/>
      <c r="K6011" s="12"/>
      <c r="L6011" s="12"/>
      <c r="M6011" s="11"/>
      <c r="N6011" s="11"/>
      <c r="O6011" s="11"/>
      <c r="P6011" s="11"/>
    </row>
    <row r="6012" spans="8:16" x14ac:dyDescent="0.25">
      <c r="H6012" s="12"/>
      <c r="I6012" s="12"/>
      <c r="J6012" s="12"/>
      <c r="K6012" s="12"/>
      <c r="L6012" s="12"/>
      <c r="M6012" s="11"/>
      <c r="N6012" s="11"/>
      <c r="O6012" s="11"/>
      <c r="P6012" s="11"/>
    </row>
    <row r="6013" spans="8:16" x14ac:dyDescent="0.25">
      <c r="H6013" s="12"/>
      <c r="I6013" s="12"/>
      <c r="J6013" s="12"/>
      <c r="K6013" s="12"/>
      <c r="L6013" s="12"/>
      <c r="M6013" s="11"/>
      <c r="N6013" s="11"/>
      <c r="O6013" s="11"/>
      <c r="P6013" s="11"/>
    </row>
    <row r="6014" spans="8:16" x14ac:dyDescent="0.25">
      <c r="H6014" s="12"/>
      <c r="I6014" s="12"/>
      <c r="J6014" s="12"/>
      <c r="K6014" s="12"/>
      <c r="L6014" s="12"/>
      <c r="M6014" s="11"/>
      <c r="N6014" s="11"/>
      <c r="O6014" s="11"/>
      <c r="P6014" s="11"/>
    </row>
    <row r="6015" spans="8:16" x14ac:dyDescent="0.25">
      <c r="H6015" s="12"/>
      <c r="I6015" s="12"/>
      <c r="J6015" s="12"/>
      <c r="K6015" s="12"/>
      <c r="L6015" s="12"/>
      <c r="M6015" s="11"/>
      <c r="N6015" s="11"/>
      <c r="O6015" s="11"/>
      <c r="P6015" s="11"/>
    </row>
    <row r="6016" spans="8:16" x14ac:dyDescent="0.25">
      <c r="H6016" s="12"/>
      <c r="I6016" s="12"/>
      <c r="J6016" s="12"/>
      <c r="K6016" s="12"/>
      <c r="L6016" s="12"/>
      <c r="M6016" s="11"/>
      <c r="N6016" s="11"/>
      <c r="O6016" s="11"/>
      <c r="P6016" s="11"/>
    </row>
    <row r="6017" spans="8:16" x14ac:dyDescent="0.25">
      <c r="H6017" s="12"/>
      <c r="I6017" s="12"/>
      <c r="J6017" s="12"/>
      <c r="K6017" s="12"/>
      <c r="L6017" s="12"/>
      <c r="M6017" s="11"/>
      <c r="N6017" s="11"/>
      <c r="O6017" s="11"/>
      <c r="P6017" s="11"/>
    </row>
    <row r="6018" spans="8:16" x14ac:dyDescent="0.25">
      <c r="H6018" s="12"/>
      <c r="I6018" s="12"/>
      <c r="J6018" s="12"/>
      <c r="K6018" s="12"/>
      <c r="L6018" s="12"/>
      <c r="M6018" s="11"/>
      <c r="N6018" s="11"/>
      <c r="O6018" s="11"/>
      <c r="P6018" s="11"/>
    </row>
    <row r="6019" spans="8:16" x14ac:dyDescent="0.25">
      <c r="H6019" s="12"/>
      <c r="I6019" s="12"/>
      <c r="J6019" s="12"/>
      <c r="K6019" s="12"/>
      <c r="L6019" s="12"/>
      <c r="M6019" s="11"/>
      <c r="N6019" s="11"/>
      <c r="O6019" s="11"/>
      <c r="P6019" s="11"/>
    </row>
    <row r="6020" spans="8:16" x14ac:dyDescent="0.25">
      <c r="H6020" s="12"/>
      <c r="I6020" s="12"/>
      <c r="J6020" s="12"/>
      <c r="K6020" s="12"/>
      <c r="L6020" s="12"/>
      <c r="M6020" s="11"/>
      <c r="N6020" s="11"/>
      <c r="O6020" s="11"/>
      <c r="P6020" s="11"/>
    </row>
    <row r="6021" spans="8:16" x14ac:dyDescent="0.25">
      <c r="H6021" s="12"/>
      <c r="I6021" s="12"/>
      <c r="J6021" s="12"/>
      <c r="K6021" s="12"/>
      <c r="L6021" s="12"/>
      <c r="M6021" s="11"/>
      <c r="N6021" s="11"/>
      <c r="O6021" s="11"/>
      <c r="P6021" s="11"/>
    </row>
    <row r="6022" spans="8:16" x14ac:dyDescent="0.25">
      <c r="H6022" s="12"/>
      <c r="I6022" s="12"/>
      <c r="J6022" s="12"/>
      <c r="K6022" s="12"/>
      <c r="L6022" s="12"/>
      <c r="M6022" s="11"/>
      <c r="N6022" s="11"/>
      <c r="O6022" s="11"/>
      <c r="P6022" s="11"/>
    </row>
    <row r="6023" spans="8:16" x14ac:dyDescent="0.25">
      <c r="H6023" s="12"/>
      <c r="I6023" s="12"/>
      <c r="J6023" s="12"/>
      <c r="K6023" s="12"/>
      <c r="L6023" s="12"/>
      <c r="M6023" s="11"/>
      <c r="N6023" s="11"/>
      <c r="O6023" s="11"/>
      <c r="P6023" s="11"/>
    </row>
    <row r="6024" spans="8:16" x14ac:dyDescent="0.25">
      <c r="H6024" s="12"/>
      <c r="I6024" s="12"/>
      <c r="J6024" s="12"/>
      <c r="K6024" s="12"/>
      <c r="L6024" s="12"/>
      <c r="M6024" s="11"/>
      <c r="N6024" s="11"/>
      <c r="O6024" s="11"/>
      <c r="P6024" s="11"/>
    </row>
    <row r="6025" spans="8:16" x14ac:dyDescent="0.25">
      <c r="H6025" s="12"/>
      <c r="I6025" s="12"/>
      <c r="J6025" s="12"/>
      <c r="K6025" s="12"/>
      <c r="L6025" s="12"/>
      <c r="M6025" s="11"/>
      <c r="N6025" s="11"/>
      <c r="O6025" s="11"/>
      <c r="P6025" s="11"/>
    </row>
    <row r="6026" spans="8:16" x14ac:dyDescent="0.25">
      <c r="H6026" s="12"/>
      <c r="I6026" s="12"/>
      <c r="J6026" s="12"/>
      <c r="K6026" s="12"/>
      <c r="L6026" s="12"/>
      <c r="M6026" s="11"/>
      <c r="N6026" s="11"/>
      <c r="O6026" s="11"/>
      <c r="P6026" s="11"/>
    </row>
    <row r="6027" spans="8:16" x14ac:dyDescent="0.25">
      <c r="H6027" s="12"/>
      <c r="I6027" s="12"/>
      <c r="J6027" s="12"/>
      <c r="K6027" s="12"/>
      <c r="L6027" s="12"/>
      <c r="M6027" s="11"/>
      <c r="N6027" s="11"/>
      <c r="O6027" s="11"/>
      <c r="P6027" s="11"/>
    </row>
    <row r="6028" spans="8:16" x14ac:dyDescent="0.25">
      <c r="H6028" s="12"/>
      <c r="I6028" s="12"/>
      <c r="J6028" s="12"/>
      <c r="K6028" s="12"/>
      <c r="L6028" s="12"/>
      <c r="M6028" s="11"/>
      <c r="N6028" s="11"/>
      <c r="O6028" s="11"/>
      <c r="P6028" s="11"/>
    </row>
    <row r="6029" spans="8:16" x14ac:dyDescent="0.25">
      <c r="H6029" s="12"/>
      <c r="I6029" s="12"/>
      <c r="J6029" s="12"/>
      <c r="K6029" s="12"/>
      <c r="L6029" s="12"/>
      <c r="M6029" s="11"/>
      <c r="N6029" s="11"/>
      <c r="O6029" s="11"/>
      <c r="P6029" s="11"/>
    </row>
    <row r="6030" spans="8:16" x14ac:dyDescent="0.25">
      <c r="H6030" s="12"/>
      <c r="I6030" s="12"/>
      <c r="J6030" s="12"/>
      <c r="K6030" s="12"/>
      <c r="L6030" s="12"/>
      <c r="M6030" s="11"/>
      <c r="N6030" s="11"/>
      <c r="O6030" s="11"/>
      <c r="P6030" s="11"/>
    </row>
    <row r="6031" spans="8:16" x14ac:dyDescent="0.25">
      <c r="H6031" s="12"/>
      <c r="I6031" s="12"/>
      <c r="J6031" s="12"/>
      <c r="K6031" s="12"/>
      <c r="L6031" s="12"/>
      <c r="M6031" s="11"/>
      <c r="N6031" s="11"/>
      <c r="O6031" s="11"/>
      <c r="P6031" s="11"/>
    </row>
    <row r="6032" spans="8:16" x14ac:dyDescent="0.25">
      <c r="H6032" s="12"/>
      <c r="I6032" s="12"/>
      <c r="J6032" s="12"/>
      <c r="K6032" s="12"/>
      <c r="L6032" s="12"/>
      <c r="M6032" s="11"/>
      <c r="N6032" s="11"/>
      <c r="O6032" s="11"/>
      <c r="P6032" s="11"/>
    </row>
    <row r="6033" spans="8:16" x14ac:dyDescent="0.25">
      <c r="H6033" s="12"/>
      <c r="I6033" s="12"/>
      <c r="J6033" s="12"/>
      <c r="K6033" s="12"/>
      <c r="L6033" s="12"/>
      <c r="M6033" s="11"/>
      <c r="N6033" s="11"/>
      <c r="O6033" s="11"/>
      <c r="P6033" s="11"/>
    </row>
    <row r="6034" spans="8:16" x14ac:dyDescent="0.25">
      <c r="H6034" s="12"/>
      <c r="I6034" s="12"/>
      <c r="J6034" s="12"/>
      <c r="K6034" s="12"/>
      <c r="L6034" s="12"/>
      <c r="M6034" s="11"/>
      <c r="N6034" s="11"/>
      <c r="O6034" s="11"/>
      <c r="P6034" s="11"/>
    </row>
    <row r="6035" spans="8:16" x14ac:dyDescent="0.25">
      <c r="H6035" s="12"/>
      <c r="I6035" s="12"/>
      <c r="J6035" s="12"/>
      <c r="K6035" s="12"/>
      <c r="L6035" s="12"/>
      <c r="M6035" s="11"/>
      <c r="N6035" s="11"/>
      <c r="O6035" s="11"/>
      <c r="P6035" s="11"/>
    </row>
    <row r="6036" spans="8:16" x14ac:dyDescent="0.25">
      <c r="H6036" s="12"/>
      <c r="I6036" s="12"/>
      <c r="J6036" s="12"/>
      <c r="K6036" s="12"/>
      <c r="L6036" s="12"/>
      <c r="M6036" s="11"/>
      <c r="N6036" s="11"/>
      <c r="O6036" s="11"/>
      <c r="P6036" s="11"/>
    </row>
    <row r="6037" spans="8:16" x14ac:dyDescent="0.25">
      <c r="H6037" s="12"/>
      <c r="I6037" s="12"/>
      <c r="J6037" s="12"/>
      <c r="K6037" s="12"/>
      <c r="L6037" s="12"/>
      <c r="M6037" s="11"/>
      <c r="N6037" s="11"/>
      <c r="O6037" s="11"/>
      <c r="P6037" s="11"/>
    </row>
    <row r="6038" spans="8:16" x14ac:dyDescent="0.25">
      <c r="H6038" s="12"/>
      <c r="I6038" s="12"/>
      <c r="J6038" s="12"/>
      <c r="K6038" s="12"/>
      <c r="L6038" s="12"/>
      <c r="M6038" s="11"/>
      <c r="N6038" s="11"/>
      <c r="O6038" s="11"/>
      <c r="P6038" s="11"/>
    </row>
    <row r="6039" spans="8:16" x14ac:dyDescent="0.25">
      <c r="H6039" s="12"/>
      <c r="I6039" s="12"/>
      <c r="J6039" s="12"/>
      <c r="K6039" s="12"/>
      <c r="L6039" s="12"/>
      <c r="M6039" s="11"/>
      <c r="N6039" s="11"/>
      <c r="O6039" s="11"/>
      <c r="P6039" s="11"/>
    </row>
    <row r="6040" spans="8:16" x14ac:dyDescent="0.25">
      <c r="H6040" s="12"/>
      <c r="I6040" s="12"/>
      <c r="J6040" s="12"/>
      <c r="K6040" s="12"/>
      <c r="L6040" s="12"/>
      <c r="M6040" s="11"/>
      <c r="N6040" s="11"/>
      <c r="O6040" s="11"/>
      <c r="P6040" s="11"/>
    </row>
    <row r="6041" spans="8:16" x14ac:dyDescent="0.25">
      <c r="H6041" s="12"/>
      <c r="I6041" s="12"/>
      <c r="J6041" s="12"/>
      <c r="K6041" s="12"/>
      <c r="L6041" s="12"/>
      <c r="M6041" s="11"/>
      <c r="N6041" s="11"/>
      <c r="O6041" s="11"/>
      <c r="P6041" s="11"/>
    </row>
    <row r="6042" spans="8:16" x14ac:dyDescent="0.25">
      <c r="H6042" s="12"/>
      <c r="I6042" s="12"/>
      <c r="J6042" s="12"/>
      <c r="K6042" s="12"/>
      <c r="L6042" s="12"/>
      <c r="M6042" s="11"/>
      <c r="N6042" s="11"/>
      <c r="O6042" s="11"/>
      <c r="P6042" s="11"/>
    </row>
    <row r="6043" spans="8:16" x14ac:dyDescent="0.25">
      <c r="H6043" s="12"/>
      <c r="I6043" s="12"/>
      <c r="J6043" s="12"/>
      <c r="K6043" s="12"/>
      <c r="L6043" s="12"/>
      <c r="M6043" s="11"/>
      <c r="N6043" s="11"/>
      <c r="O6043" s="11"/>
      <c r="P6043" s="11"/>
    </row>
    <row r="6044" spans="8:16" x14ac:dyDescent="0.25">
      <c r="H6044" s="12"/>
      <c r="I6044" s="12"/>
      <c r="J6044" s="12"/>
      <c r="K6044" s="12"/>
      <c r="L6044" s="12"/>
      <c r="M6044" s="11"/>
      <c r="N6044" s="11"/>
      <c r="O6044" s="11"/>
      <c r="P6044" s="11"/>
    </row>
    <row r="6045" spans="8:16" x14ac:dyDescent="0.25">
      <c r="H6045" s="12"/>
      <c r="I6045" s="12"/>
      <c r="J6045" s="12"/>
      <c r="K6045" s="12"/>
      <c r="L6045" s="12"/>
      <c r="M6045" s="11"/>
      <c r="N6045" s="11"/>
      <c r="O6045" s="11"/>
      <c r="P6045" s="11"/>
    </row>
    <row r="6046" spans="8:16" x14ac:dyDescent="0.25">
      <c r="H6046" s="12"/>
      <c r="I6046" s="12"/>
      <c r="J6046" s="12"/>
      <c r="K6046" s="12"/>
      <c r="L6046" s="12"/>
      <c r="M6046" s="11"/>
      <c r="N6046" s="11"/>
      <c r="O6046" s="11"/>
      <c r="P6046" s="11"/>
    </row>
    <row r="6047" spans="8:16" x14ac:dyDescent="0.25">
      <c r="H6047" s="12"/>
      <c r="I6047" s="12"/>
      <c r="J6047" s="12"/>
      <c r="K6047" s="12"/>
      <c r="L6047" s="12"/>
      <c r="M6047" s="11"/>
      <c r="N6047" s="11"/>
      <c r="O6047" s="11"/>
      <c r="P6047" s="11"/>
    </row>
    <row r="6048" spans="8:16" x14ac:dyDescent="0.25">
      <c r="H6048" s="12"/>
      <c r="I6048" s="12"/>
      <c r="J6048" s="12"/>
      <c r="K6048" s="12"/>
      <c r="L6048" s="12"/>
      <c r="M6048" s="11"/>
      <c r="N6048" s="11"/>
      <c r="O6048" s="11"/>
      <c r="P6048" s="11"/>
    </row>
    <row r="6049" spans="8:16" x14ac:dyDescent="0.25">
      <c r="H6049" s="12"/>
      <c r="I6049" s="12"/>
      <c r="J6049" s="12"/>
      <c r="K6049" s="12"/>
      <c r="L6049" s="12"/>
      <c r="M6049" s="11"/>
      <c r="N6049" s="11"/>
      <c r="O6049" s="11"/>
      <c r="P6049" s="11"/>
    </row>
    <row r="6050" spans="8:16" x14ac:dyDescent="0.25">
      <c r="H6050" s="12"/>
      <c r="I6050" s="12"/>
      <c r="J6050" s="12"/>
      <c r="K6050" s="12"/>
      <c r="L6050" s="12"/>
      <c r="M6050" s="11"/>
      <c r="N6050" s="11"/>
      <c r="O6050" s="11"/>
      <c r="P6050" s="11"/>
    </row>
    <row r="6051" spans="8:16" x14ac:dyDescent="0.25">
      <c r="H6051" s="12"/>
      <c r="I6051" s="12"/>
      <c r="J6051" s="12"/>
      <c r="K6051" s="12"/>
      <c r="L6051" s="12"/>
      <c r="M6051" s="11"/>
      <c r="N6051" s="11"/>
      <c r="O6051" s="11"/>
      <c r="P6051" s="11"/>
    </row>
    <row r="6052" spans="8:16" x14ac:dyDescent="0.25">
      <c r="H6052" s="12"/>
      <c r="I6052" s="12"/>
      <c r="J6052" s="12"/>
      <c r="K6052" s="12"/>
      <c r="L6052" s="12"/>
      <c r="M6052" s="11"/>
      <c r="N6052" s="11"/>
      <c r="O6052" s="11"/>
      <c r="P6052" s="11"/>
    </row>
    <row r="6053" spans="8:16" x14ac:dyDescent="0.25">
      <c r="H6053" s="12"/>
      <c r="I6053" s="12"/>
      <c r="J6053" s="12"/>
      <c r="K6053" s="12"/>
      <c r="L6053" s="12"/>
      <c r="M6053" s="11"/>
      <c r="N6053" s="11"/>
      <c r="O6053" s="11"/>
      <c r="P6053" s="11"/>
    </row>
    <row r="6054" spans="8:16" x14ac:dyDescent="0.25">
      <c r="H6054" s="12"/>
      <c r="I6054" s="12"/>
      <c r="J6054" s="12"/>
      <c r="K6054" s="12"/>
      <c r="L6054" s="12"/>
      <c r="M6054" s="11"/>
      <c r="N6054" s="11"/>
      <c r="O6054" s="11"/>
      <c r="P6054" s="11"/>
    </row>
    <row r="6055" spans="8:16" x14ac:dyDescent="0.25">
      <c r="H6055" s="12"/>
      <c r="I6055" s="12"/>
      <c r="J6055" s="12"/>
      <c r="K6055" s="12"/>
      <c r="L6055" s="12"/>
      <c r="M6055" s="11"/>
      <c r="N6055" s="11"/>
      <c r="O6055" s="11"/>
      <c r="P6055" s="11"/>
    </row>
    <row r="6056" spans="8:16" x14ac:dyDescent="0.25">
      <c r="H6056" s="12"/>
      <c r="I6056" s="12"/>
      <c r="J6056" s="12"/>
      <c r="K6056" s="12"/>
      <c r="L6056" s="12"/>
      <c r="M6056" s="11"/>
      <c r="N6056" s="11"/>
      <c r="O6056" s="11"/>
      <c r="P6056" s="11"/>
    </row>
    <row r="6057" spans="8:16" x14ac:dyDescent="0.25">
      <c r="H6057" s="12"/>
      <c r="I6057" s="12"/>
      <c r="J6057" s="12"/>
      <c r="K6057" s="12"/>
      <c r="L6057" s="12"/>
      <c r="M6057" s="11"/>
      <c r="N6057" s="11"/>
      <c r="O6057" s="11"/>
      <c r="P6057" s="11"/>
    </row>
    <row r="6058" spans="8:16" x14ac:dyDescent="0.25">
      <c r="H6058" s="12"/>
      <c r="I6058" s="12"/>
      <c r="J6058" s="12"/>
      <c r="K6058" s="12"/>
      <c r="L6058" s="12"/>
      <c r="M6058" s="11"/>
      <c r="N6058" s="11"/>
      <c r="O6058" s="11"/>
      <c r="P6058" s="11"/>
    </row>
    <row r="6059" spans="8:16" x14ac:dyDescent="0.25">
      <c r="H6059" s="12"/>
      <c r="I6059" s="12"/>
      <c r="J6059" s="12"/>
      <c r="K6059" s="12"/>
      <c r="L6059" s="12"/>
      <c r="M6059" s="11"/>
      <c r="N6059" s="11"/>
      <c r="O6059" s="11"/>
      <c r="P6059" s="11"/>
    </row>
    <row r="6060" spans="8:16" x14ac:dyDescent="0.25">
      <c r="H6060" s="12"/>
      <c r="I6060" s="12"/>
      <c r="J6060" s="12"/>
      <c r="K6060" s="12"/>
      <c r="L6060" s="12"/>
      <c r="M6060" s="11"/>
      <c r="N6060" s="11"/>
      <c r="O6060" s="11"/>
      <c r="P6060" s="11"/>
    </row>
    <row r="6061" spans="8:16" x14ac:dyDescent="0.25">
      <c r="H6061" s="12"/>
      <c r="I6061" s="12"/>
      <c r="J6061" s="12"/>
      <c r="K6061" s="12"/>
      <c r="L6061" s="12"/>
      <c r="M6061" s="11"/>
      <c r="N6061" s="11"/>
      <c r="O6061" s="11"/>
      <c r="P6061" s="11"/>
    </row>
    <row r="6062" spans="8:16" x14ac:dyDescent="0.25">
      <c r="H6062" s="12"/>
      <c r="I6062" s="12"/>
      <c r="J6062" s="12"/>
      <c r="K6062" s="12"/>
      <c r="L6062" s="12"/>
      <c r="M6062" s="11"/>
      <c r="N6062" s="11"/>
      <c r="O6062" s="11"/>
      <c r="P6062" s="11"/>
    </row>
    <row r="6063" spans="8:16" x14ac:dyDescent="0.25">
      <c r="H6063" s="12"/>
      <c r="I6063" s="12"/>
      <c r="J6063" s="12"/>
      <c r="K6063" s="12"/>
      <c r="L6063" s="12"/>
      <c r="M6063" s="11"/>
      <c r="N6063" s="11"/>
      <c r="O6063" s="11"/>
      <c r="P6063" s="11"/>
    </row>
    <row r="6064" spans="8:16" x14ac:dyDescent="0.25">
      <c r="H6064" s="12"/>
      <c r="I6064" s="12"/>
      <c r="J6064" s="12"/>
      <c r="K6064" s="12"/>
      <c r="L6064" s="12"/>
      <c r="M6064" s="11"/>
      <c r="N6064" s="11"/>
      <c r="O6064" s="11"/>
      <c r="P6064" s="11"/>
    </row>
    <row r="6065" spans="8:16" x14ac:dyDescent="0.25">
      <c r="H6065" s="12"/>
      <c r="I6065" s="12"/>
      <c r="J6065" s="12"/>
      <c r="K6065" s="12"/>
      <c r="L6065" s="12"/>
      <c r="M6065" s="11"/>
      <c r="N6065" s="11"/>
      <c r="O6065" s="11"/>
      <c r="P6065" s="11"/>
    </row>
    <row r="6066" spans="8:16" x14ac:dyDescent="0.25">
      <c r="H6066" s="12"/>
      <c r="I6066" s="12"/>
      <c r="J6066" s="12"/>
      <c r="K6066" s="12"/>
      <c r="L6066" s="12"/>
      <c r="M6066" s="11"/>
      <c r="N6066" s="11"/>
      <c r="O6066" s="11"/>
      <c r="P6066" s="11"/>
    </row>
    <row r="6067" spans="8:16" x14ac:dyDescent="0.25">
      <c r="H6067" s="12"/>
      <c r="I6067" s="12"/>
      <c r="J6067" s="12"/>
      <c r="K6067" s="12"/>
      <c r="L6067" s="12"/>
      <c r="M6067" s="11"/>
      <c r="N6067" s="11"/>
      <c r="O6067" s="11"/>
      <c r="P6067" s="11"/>
    </row>
    <row r="6068" spans="8:16" x14ac:dyDescent="0.25">
      <c r="H6068" s="12"/>
      <c r="I6068" s="12"/>
      <c r="J6068" s="12"/>
      <c r="K6068" s="12"/>
      <c r="L6068" s="12"/>
      <c r="M6068" s="11"/>
      <c r="N6068" s="11"/>
      <c r="O6068" s="11"/>
      <c r="P6068" s="11"/>
    </row>
    <row r="6069" spans="8:16" x14ac:dyDescent="0.25">
      <c r="H6069" s="12"/>
      <c r="I6069" s="12"/>
      <c r="J6069" s="12"/>
      <c r="K6069" s="12"/>
      <c r="L6069" s="12"/>
      <c r="M6069" s="11"/>
      <c r="N6069" s="11"/>
      <c r="O6069" s="11"/>
      <c r="P6069" s="11"/>
    </row>
    <row r="6070" spans="8:16" x14ac:dyDescent="0.25">
      <c r="H6070" s="12"/>
      <c r="I6070" s="12"/>
      <c r="J6070" s="12"/>
      <c r="K6070" s="12"/>
      <c r="L6070" s="12"/>
      <c r="M6070" s="11"/>
      <c r="N6070" s="11"/>
      <c r="O6070" s="11"/>
      <c r="P6070" s="11"/>
    </row>
    <row r="6071" spans="8:16" x14ac:dyDescent="0.25">
      <c r="H6071" s="12"/>
      <c r="I6071" s="12"/>
      <c r="J6071" s="12"/>
      <c r="K6071" s="12"/>
      <c r="L6071" s="12"/>
      <c r="M6071" s="11"/>
      <c r="N6071" s="11"/>
      <c r="O6071" s="11"/>
      <c r="P6071" s="11"/>
    </row>
    <row r="6072" spans="8:16" x14ac:dyDescent="0.25">
      <c r="H6072" s="12"/>
      <c r="I6072" s="12"/>
      <c r="J6072" s="12"/>
      <c r="K6072" s="12"/>
      <c r="L6072" s="12"/>
      <c r="M6072" s="11"/>
      <c r="N6072" s="11"/>
      <c r="O6072" s="11"/>
      <c r="P6072" s="11"/>
    </row>
    <row r="6073" spans="8:16" x14ac:dyDescent="0.25">
      <c r="H6073" s="12"/>
      <c r="I6073" s="12"/>
      <c r="J6073" s="12"/>
      <c r="K6073" s="12"/>
      <c r="L6073" s="12"/>
      <c r="M6073" s="11"/>
      <c r="N6073" s="11"/>
      <c r="O6073" s="11"/>
      <c r="P6073" s="11"/>
    </row>
    <row r="6074" spans="8:16" x14ac:dyDescent="0.25">
      <c r="H6074" s="12"/>
      <c r="I6074" s="12"/>
      <c r="J6074" s="12"/>
      <c r="K6074" s="12"/>
      <c r="L6074" s="12"/>
      <c r="M6074" s="11"/>
      <c r="N6074" s="11"/>
      <c r="O6074" s="11"/>
      <c r="P6074" s="11"/>
    </row>
    <row r="6075" spans="8:16" x14ac:dyDescent="0.25">
      <c r="H6075" s="12"/>
      <c r="I6075" s="12"/>
      <c r="J6075" s="12"/>
      <c r="K6075" s="12"/>
      <c r="L6075" s="12"/>
      <c r="M6075" s="11"/>
      <c r="N6075" s="11"/>
      <c r="O6075" s="11"/>
      <c r="P6075" s="11"/>
    </row>
    <row r="6076" spans="8:16" x14ac:dyDescent="0.25">
      <c r="H6076" s="12"/>
      <c r="I6076" s="12"/>
      <c r="J6076" s="12"/>
      <c r="K6076" s="12"/>
      <c r="L6076" s="12"/>
      <c r="M6076" s="11"/>
      <c r="N6076" s="11"/>
      <c r="O6076" s="11"/>
      <c r="P6076" s="11"/>
    </row>
    <row r="6077" spans="8:16" x14ac:dyDescent="0.25">
      <c r="H6077" s="12"/>
      <c r="I6077" s="12"/>
      <c r="J6077" s="12"/>
      <c r="K6077" s="12"/>
      <c r="L6077" s="12"/>
      <c r="M6077" s="11"/>
      <c r="N6077" s="11"/>
      <c r="O6077" s="11"/>
      <c r="P6077" s="11"/>
    </row>
    <row r="6078" spans="8:16" x14ac:dyDescent="0.25">
      <c r="H6078" s="12"/>
      <c r="I6078" s="12"/>
      <c r="J6078" s="12"/>
      <c r="K6078" s="12"/>
      <c r="L6078" s="12"/>
      <c r="M6078" s="11"/>
      <c r="N6078" s="11"/>
      <c r="O6078" s="11"/>
      <c r="P6078" s="11"/>
    </row>
    <row r="6079" spans="8:16" x14ac:dyDescent="0.25">
      <c r="H6079" s="12"/>
      <c r="I6079" s="12"/>
      <c r="J6079" s="12"/>
      <c r="K6079" s="12"/>
      <c r="L6079" s="12"/>
      <c r="M6079" s="11"/>
      <c r="N6079" s="11"/>
      <c r="O6079" s="11"/>
      <c r="P6079" s="11"/>
    </row>
    <row r="6080" spans="8:16" x14ac:dyDescent="0.25">
      <c r="H6080" s="12"/>
      <c r="I6080" s="12"/>
      <c r="J6080" s="12"/>
      <c r="K6080" s="12"/>
      <c r="L6080" s="12"/>
      <c r="M6080" s="11"/>
      <c r="N6080" s="11"/>
      <c r="O6080" s="11"/>
      <c r="P6080" s="11"/>
    </row>
    <row r="6081" spans="8:16" x14ac:dyDescent="0.25">
      <c r="H6081" s="12"/>
      <c r="I6081" s="12"/>
      <c r="J6081" s="12"/>
      <c r="K6081" s="12"/>
      <c r="L6081" s="12"/>
      <c r="M6081" s="11"/>
      <c r="N6081" s="11"/>
      <c r="O6081" s="11"/>
      <c r="P6081" s="11"/>
    </row>
    <row r="6082" spans="8:16" x14ac:dyDescent="0.25">
      <c r="H6082" s="12"/>
      <c r="I6082" s="12"/>
      <c r="J6082" s="12"/>
      <c r="K6082" s="12"/>
      <c r="L6082" s="12"/>
      <c r="M6082" s="11"/>
      <c r="N6082" s="11"/>
      <c r="O6082" s="11"/>
      <c r="P6082" s="11"/>
    </row>
    <row r="6083" spans="8:16" x14ac:dyDescent="0.25">
      <c r="H6083" s="12"/>
      <c r="I6083" s="12"/>
      <c r="J6083" s="12"/>
      <c r="K6083" s="12"/>
      <c r="L6083" s="12"/>
      <c r="M6083" s="11"/>
      <c r="N6083" s="11"/>
      <c r="O6083" s="11"/>
      <c r="P6083" s="11"/>
    </row>
    <row r="6084" spans="8:16" x14ac:dyDescent="0.25">
      <c r="H6084" s="12"/>
      <c r="I6084" s="12"/>
      <c r="J6084" s="12"/>
      <c r="K6084" s="12"/>
      <c r="L6084" s="12"/>
      <c r="M6084" s="11"/>
      <c r="N6084" s="11"/>
      <c r="O6084" s="11"/>
      <c r="P6084" s="11"/>
    </row>
    <row r="6085" spans="8:16" x14ac:dyDescent="0.25">
      <c r="H6085" s="12"/>
      <c r="I6085" s="12"/>
      <c r="J6085" s="12"/>
      <c r="K6085" s="12"/>
      <c r="L6085" s="12"/>
      <c r="M6085" s="11"/>
      <c r="N6085" s="11"/>
      <c r="O6085" s="11"/>
      <c r="P6085" s="11"/>
    </row>
    <row r="6086" spans="8:16" x14ac:dyDescent="0.25">
      <c r="H6086" s="12"/>
      <c r="I6086" s="12"/>
      <c r="J6086" s="12"/>
      <c r="K6086" s="12"/>
      <c r="L6086" s="12"/>
      <c r="M6086" s="11"/>
      <c r="N6086" s="11"/>
      <c r="O6086" s="11"/>
      <c r="P6086" s="11"/>
    </row>
    <row r="6087" spans="8:16" x14ac:dyDescent="0.25">
      <c r="H6087" s="12"/>
      <c r="I6087" s="12"/>
      <c r="J6087" s="12"/>
      <c r="K6087" s="12"/>
      <c r="L6087" s="12"/>
      <c r="M6087" s="11"/>
      <c r="N6087" s="11"/>
      <c r="O6087" s="11"/>
      <c r="P6087" s="11"/>
    </row>
    <row r="6088" spans="8:16" x14ac:dyDescent="0.25">
      <c r="H6088" s="12"/>
      <c r="I6088" s="12"/>
      <c r="J6088" s="12"/>
      <c r="K6088" s="12"/>
      <c r="L6088" s="12"/>
      <c r="M6088" s="11"/>
      <c r="N6088" s="11"/>
      <c r="O6088" s="11"/>
      <c r="P6088" s="11"/>
    </row>
    <row r="6089" spans="8:16" x14ac:dyDescent="0.25">
      <c r="H6089" s="12"/>
      <c r="I6089" s="12"/>
      <c r="J6089" s="12"/>
      <c r="K6089" s="12"/>
      <c r="L6089" s="12"/>
      <c r="M6089" s="11"/>
      <c r="N6089" s="11"/>
      <c r="O6089" s="11"/>
      <c r="P6089" s="11"/>
    </row>
    <row r="6090" spans="8:16" x14ac:dyDescent="0.25">
      <c r="H6090" s="12"/>
      <c r="I6090" s="12"/>
      <c r="J6090" s="12"/>
      <c r="K6090" s="12"/>
      <c r="L6090" s="12"/>
      <c r="M6090" s="11"/>
      <c r="N6090" s="11"/>
      <c r="O6090" s="11"/>
      <c r="P6090" s="11"/>
    </row>
    <row r="6091" spans="8:16" x14ac:dyDescent="0.25">
      <c r="H6091" s="12"/>
      <c r="I6091" s="12"/>
      <c r="J6091" s="12"/>
      <c r="K6091" s="12"/>
      <c r="L6091" s="12"/>
      <c r="M6091" s="11"/>
      <c r="N6091" s="11"/>
      <c r="O6091" s="11"/>
      <c r="P6091" s="11"/>
    </row>
    <row r="6092" spans="8:16" x14ac:dyDescent="0.25">
      <c r="H6092" s="12"/>
      <c r="I6092" s="12"/>
      <c r="J6092" s="12"/>
      <c r="K6092" s="12"/>
      <c r="L6092" s="12"/>
      <c r="M6092" s="11"/>
      <c r="N6092" s="11"/>
      <c r="O6092" s="11"/>
      <c r="P6092" s="11"/>
    </row>
    <row r="6093" spans="8:16" x14ac:dyDescent="0.25">
      <c r="H6093" s="12"/>
      <c r="I6093" s="12"/>
      <c r="J6093" s="12"/>
      <c r="K6093" s="12"/>
      <c r="L6093" s="12"/>
      <c r="M6093" s="11"/>
      <c r="N6093" s="11"/>
      <c r="O6093" s="11"/>
      <c r="P6093" s="11"/>
    </row>
    <row r="6094" spans="8:16" x14ac:dyDescent="0.25">
      <c r="H6094" s="12"/>
      <c r="I6094" s="12"/>
      <c r="J6094" s="12"/>
      <c r="K6094" s="12"/>
      <c r="L6094" s="12"/>
      <c r="M6094" s="11"/>
      <c r="N6094" s="11"/>
      <c r="O6094" s="11"/>
      <c r="P6094" s="11"/>
    </row>
    <row r="6095" spans="8:16" x14ac:dyDescent="0.25">
      <c r="H6095" s="12"/>
      <c r="I6095" s="12"/>
      <c r="J6095" s="12"/>
      <c r="K6095" s="12"/>
      <c r="L6095" s="12"/>
      <c r="M6095" s="11"/>
      <c r="N6095" s="11"/>
      <c r="O6095" s="11"/>
      <c r="P6095" s="11"/>
    </row>
    <row r="6096" spans="8:16" x14ac:dyDescent="0.25">
      <c r="H6096" s="12"/>
      <c r="I6096" s="12"/>
      <c r="J6096" s="12"/>
      <c r="K6096" s="12"/>
      <c r="L6096" s="12"/>
      <c r="M6096" s="11"/>
      <c r="N6096" s="11"/>
      <c r="O6096" s="11"/>
      <c r="P6096" s="11"/>
    </row>
    <row r="6097" spans="8:16" x14ac:dyDescent="0.25">
      <c r="H6097" s="12"/>
      <c r="I6097" s="12"/>
      <c r="J6097" s="12"/>
      <c r="K6097" s="12"/>
      <c r="L6097" s="12"/>
      <c r="M6097" s="11"/>
      <c r="N6097" s="11"/>
      <c r="O6097" s="11"/>
      <c r="P6097" s="11"/>
    </row>
    <row r="6098" spans="8:16" x14ac:dyDescent="0.25">
      <c r="H6098" s="12"/>
      <c r="I6098" s="12"/>
      <c r="J6098" s="12"/>
      <c r="K6098" s="12"/>
      <c r="L6098" s="12"/>
      <c r="M6098" s="11"/>
      <c r="N6098" s="11"/>
      <c r="O6098" s="11"/>
      <c r="P6098" s="11"/>
    </row>
    <row r="6099" spans="8:16" x14ac:dyDescent="0.25">
      <c r="H6099" s="12"/>
      <c r="I6099" s="12"/>
      <c r="J6099" s="12"/>
      <c r="K6099" s="12"/>
      <c r="L6099" s="12"/>
      <c r="M6099" s="11"/>
      <c r="N6099" s="11"/>
      <c r="O6099" s="11"/>
      <c r="P6099" s="11"/>
    </row>
    <row r="6100" spans="8:16" x14ac:dyDescent="0.25">
      <c r="H6100" s="12"/>
      <c r="I6100" s="12"/>
      <c r="J6100" s="12"/>
      <c r="K6100" s="12"/>
      <c r="L6100" s="12"/>
      <c r="M6100" s="11"/>
      <c r="N6100" s="11"/>
      <c r="O6100" s="11"/>
      <c r="P6100" s="11"/>
    </row>
    <row r="6101" spans="8:16" x14ac:dyDescent="0.25">
      <c r="H6101" s="12"/>
      <c r="I6101" s="12"/>
      <c r="J6101" s="12"/>
      <c r="K6101" s="12"/>
      <c r="L6101" s="12"/>
      <c r="M6101" s="11"/>
      <c r="N6101" s="11"/>
      <c r="O6101" s="11"/>
      <c r="P6101" s="11"/>
    </row>
    <row r="6102" spans="8:16" x14ac:dyDescent="0.25">
      <c r="H6102" s="12"/>
      <c r="I6102" s="12"/>
      <c r="J6102" s="12"/>
      <c r="K6102" s="12"/>
      <c r="L6102" s="12"/>
      <c r="M6102" s="11"/>
      <c r="N6102" s="11"/>
      <c r="O6102" s="11"/>
      <c r="P6102" s="11"/>
    </row>
    <row r="6103" spans="8:16" x14ac:dyDescent="0.25">
      <c r="H6103" s="12"/>
      <c r="I6103" s="12"/>
      <c r="J6103" s="12"/>
      <c r="K6103" s="12"/>
      <c r="L6103" s="12"/>
      <c r="M6103" s="11"/>
      <c r="N6103" s="11"/>
      <c r="O6103" s="11"/>
      <c r="P6103" s="11"/>
    </row>
    <row r="6104" spans="8:16" x14ac:dyDescent="0.25">
      <c r="H6104" s="12"/>
      <c r="I6104" s="12"/>
      <c r="J6104" s="12"/>
      <c r="K6104" s="12"/>
      <c r="L6104" s="12"/>
      <c r="M6104" s="11"/>
      <c r="N6104" s="11"/>
      <c r="O6104" s="11"/>
      <c r="P6104" s="11"/>
    </row>
    <row r="6105" spans="8:16" x14ac:dyDescent="0.25">
      <c r="H6105" s="12"/>
      <c r="I6105" s="12"/>
      <c r="J6105" s="12"/>
      <c r="K6105" s="12"/>
      <c r="L6105" s="12"/>
      <c r="M6105" s="11"/>
      <c r="N6105" s="11"/>
      <c r="O6105" s="11"/>
      <c r="P6105" s="11"/>
    </row>
    <row r="6106" spans="8:16" x14ac:dyDescent="0.25">
      <c r="H6106" s="12"/>
      <c r="I6106" s="12"/>
      <c r="J6106" s="12"/>
      <c r="K6106" s="12"/>
      <c r="L6106" s="12"/>
      <c r="M6106" s="11"/>
      <c r="N6106" s="11"/>
      <c r="O6106" s="11"/>
      <c r="P6106" s="11"/>
    </row>
    <row r="6107" spans="8:16" x14ac:dyDescent="0.25">
      <c r="H6107" s="12"/>
      <c r="I6107" s="12"/>
      <c r="J6107" s="12"/>
      <c r="K6107" s="12"/>
      <c r="L6107" s="12"/>
      <c r="M6107" s="11"/>
      <c r="N6107" s="11"/>
      <c r="O6107" s="11"/>
      <c r="P6107" s="11"/>
    </row>
    <row r="6108" spans="8:16" x14ac:dyDescent="0.25">
      <c r="H6108" s="12"/>
      <c r="I6108" s="12"/>
      <c r="J6108" s="12"/>
      <c r="K6108" s="12"/>
      <c r="L6108" s="12"/>
      <c r="M6108" s="11"/>
      <c r="N6108" s="11"/>
      <c r="O6108" s="11"/>
      <c r="P6108" s="11"/>
    </row>
    <row r="6109" spans="8:16" x14ac:dyDescent="0.25">
      <c r="H6109" s="12"/>
      <c r="I6109" s="12"/>
      <c r="J6109" s="12"/>
      <c r="K6109" s="12"/>
      <c r="L6109" s="12"/>
      <c r="M6109" s="11"/>
      <c r="N6109" s="11"/>
      <c r="O6109" s="11"/>
      <c r="P6109" s="11"/>
    </row>
    <row r="6110" spans="8:16" x14ac:dyDescent="0.25">
      <c r="H6110" s="12"/>
      <c r="I6110" s="12"/>
      <c r="J6110" s="12"/>
      <c r="K6110" s="12"/>
      <c r="L6110" s="12"/>
      <c r="M6110" s="11"/>
      <c r="N6110" s="11"/>
      <c r="O6110" s="11"/>
      <c r="P6110" s="11"/>
    </row>
    <row r="6111" spans="8:16" x14ac:dyDescent="0.25">
      <c r="H6111" s="12"/>
      <c r="I6111" s="12"/>
      <c r="J6111" s="12"/>
      <c r="K6111" s="12"/>
      <c r="L6111" s="12"/>
      <c r="M6111" s="11"/>
      <c r="N6111" s="11"/>
      <c r="O6111" s="11"/>
      <c r="P6111" s="11"/>
    </row>
    <row r="6112" spans="8:16" x14ac:dyDescent="0.25">
      <c r="H6112" s="12"/>
      <c r="I6112" s="12"/>
      <c r="J6112" s="12"/>
      <c r="K6112" s="12"/>
      <c r="L6112" s="12"/>
      <c r="M6112" s="11"/>
      <c r="N6112" s="11"/>
      <c r="O6112" s="11"/>
      <c r="P6112" s="11"/>
    </row>
    <row r="6113" spans="8:16" x14ac:dyDescent="0.25">
      <c r="H6113" s="12"/>
      <c r="I6113" s="12"/>
      <c r="J6113" s="12"/>
      <c r="K6113" s="12"/>
      <c r="L6113" s="12"/>
      <c r="M6113" s="11"/>
      <c r="N6113" s="11"/>
      <c r="O6113" s="11"/>
      <c r="P6113" s="11"/>
    </row>
    <row r="6114" spans="8:16" x14ac:dyDescent="0.25">
      <c r="H6114" s="12"/>
      <c r="I6114" s="12"/>
      <c r="J6114" s="12"/>
      <c r="K6114" s="12"/>
      <c r="L6114" s="12"/>
      <c r="M6114" s="11"/>
      <c r="N6114" s="11"/>
      <c r="O6114" s="11"/>
      <c r="P6114" s="11"/>
    </row>
    <row r="6115" spans="8:16" x14ac:dyDescent="0.25">
      <c r="H6115" s="12"/>
      <c r="I6115" s="12"/>
      <c r="J6115" s="12"/>
      <c r="K6115" s="12"/>
      <c r="L6115" s="12"/>
      <c r="M6115" s="11"/>
      <c r="N6115" s="11"/>
      <c r="O6115" s="11"/>
      <c r="P6115" s="11"/>
    </row>
    <row r="6116" spans="8:16" x14ac:dyDescent="0.25">
      <c r="H6116" s="12"/>
      <c r="I6116" s="12"/>
      <c r="J6116" s="12"/>
      <c r="K6116" s="12"/>
      <c r="L6116" s="12"/>
      <c r="M6116" s="11"/>
      <c r="N6116" s="11"/>
      <c r="O6116" s="11"/>
      <c r="P6116" s="11"/>
    </row>
    <row r="6117" spans="8:16" x14ac:dyDescent="0.25">
      <c r="H6117" s="12"/>
      <c r="I6117" s="12"/>
      <c r="J6117" s="12"/>
      <c r="K6117" s="12"/>
      <c r="L6117" s="12"/>
      <c r="M6117" s="11"/>
      <c r="N6117" s="11"/>
      <c r="O6117" s="11"/>
      <c r="P6117" s="11"/>
    </row>
    <row r="6118" spans="8:16" x14ac:dyDescent="0.25">
      <c r="H6118" s="12"/>
      <c r="I6118" s="12"/>
      <c r="J6118" s="12"/>
      <c r="K6118" s="12"/>
      <c r="L6118" s="12"/>
      <c r="M6118" s="11"/>
      <c r="N6118" s="11"/>
      <c r="O6118" s="11"/>
      <c r="P6118" s="11"/>
    </row>
    <row r="6119" spans="8:16" x14ac:dyDescent="0.25">
      <c r="H6119" s="12"/>
      <c r="I6119" s="12"/>
      <c r="J6119" s="12"/>
      <c r="K6119" s="12"/>
      <c r="L6119" s="12"/>
      <c r="M6119" s="11"/>
      <c r="N6119" s="11"/>
      <c r="O6119" s="11"/>
      <c r="P6119" s="11"/>
    </row>
    <row r="6120" spans="8:16" x14ac:dyDescent="0.25">
      <c r="H6120" s="12"/>
      <c r="I6120" s="12"/>
      <c r="J6120" s="12"/>
      <c r="K6120" s="12"/>
      <c r="L6120" s="12"/>
      <c r="M6120" s="11"/>
      <c r="N6120" s="11"/>
      <c r="O6120" s="11"/>
      <c r="P6120" s="11"/>
    </row>
    <row r="6121" spans="8:16" x14ac:dyDescent="0.25">
      <c r="H6121" s="12"/>
      <c r="I6121" s="12"/>
      <c r="J6121" s="12"/>
      <c r="K6121" s="12"/>
      <c r="L6121" s="12"/>
      <c r="M6121" s="11"/>
      <c r="N6121" s="11"/>
      <c r="O6121" s="11"/>
      <c r="P6121" s="11"/>
    </row>
    <row r="6122" spans="8:16" x14ac:dyDescent="0.25">
      <c r="H6122" s="12"/>
      <c r="I6122" s="12"/>
      <c r="J6122" s="12"/>
      <c r="K6122" s="12"/>
      <c r="L6122" s="12"/>
      <c r="M6122" s="11"/>
      <c r="N6122" s="11"/>
      <c r="O6122" s="11"/>
      <c r="P6122" s="11"/>
    </row>
    <row r="6123" spans="8:16" x14ac:dyDescent="0.25">
      <c r="H6123" s="12"/>
      <c r="I6123" s="12"/>
      <c r="J6123" s="12"/>
      <c r="K6123" s="12"/>
      <c r="L6123" s="12"/>
      <c r="M6123" s="11"/>
      <c r="N6123" s="11"/>
      <c r="O6123" s="11"/>
      <c r="P6123" s="11"/>
    </row>
    <row r="6124" spans="8:16" x14ac:dyDescent="0.25">
      <c r="H6124" s="12"/>
      <c r="I6124" s="12"/>
      <c r="J6124" s="12"/>
      <c r="K6124" s="12"/>
      <c r="L6124" s="12"/>
      <c r="M6124" s="11"/>
      <c r="N6124" s="11"/>
      <c r="O6124" s="11"/>
      <c r="P6124" s="11"/>
    </row>
    <row r="6125" spans="8:16" x14ac:dyDescent="0.25">
      <c r="H6125" s="12"/>
      <c r="I6125" s="12"/>
      <c r="J6125" s="12"/>
      <c r="K6125" s="12"/>
      <c r="L6125" s="12"/>
      <c r="M6125" s="11"/>
      <c r="N6125" s="11"/>
      <c r="O6125" s="11"/>
      <c r="P6125" s="11"/>
    </row>
    <row r="6126" spans="8:16" x14ac:dyDescent="0.25">
      <c r="H6126" s="12"/>
      <c r="I6126" s="12"/>
      <c r="J6126" s="12"/>
      <c r="K6126" s="12"/>
      <c r="L6126" s="12"/>
      <c r="M6126" s="11"/>
      <c r="N6126" s="11"/>
      <c r="O6126" s="11"/>
      <c r="P6126" s="11"/>
    </row>
    <row r="6127" spans="8:16" x14ac:dyDescent="0.25">
      <c r="H6127" s="12"/>
      <c r="I6127" s="12"/>
      <c r="J6127" s="12"/>
      <c r="K6127" s="12"/>
      <c r="L6127" s="12"/>
      <c r="M6127" s="11"/>
      <c r="N6127" s="11"/>
      <c r="O6127" s="11"/>
      <c r="P6127" s="11"/>
    </row>
    <row r="6128" spans="8:16" x14ac:dyDescent="0.25">
      <c r="H6128" s="12"/>
      <c r="I6128" s="12"/>
      <c r="J6128" s="12"/>
      <c r="K6128" s="12"/>
      <c r="L6128" s="12"/>
      <c r="M6128" s="11"/>
      <c r="N6128" s="11"/>
      <c r="O6128" s="11"/>
      <c r="P6128" s="11"/>
    </row>
    <row r="6129" spans="8:16" x14ac:dyDescent="0.25">
      <c r="H6129" s="12"/>
      <c r="I6129" s="12"/>
      <c r="J6129" s="12"/>
      <c r="K6129" s="12"/>
      <c r="L6129" s="12"/>
      <c r="M6129" s="11"/>
      <c r="N6129" s="11"/>
      <c r="O6129" s="11"/>
      <c r="P6129" s="11"/>
    </row>
    <row r="6130" spans="8:16" x14ac:dyDescent="0.25">
      <c r="H6130" s="12"/>
      <c r="I6130" s="12"/>
      <c r="J6130" s="12"/>
      <c r="K6130" s="12"/>
      <c r="L6130" s="12"/>
      <c r="M6130" s="11"/>
      <c r="N6130" s="11"/>
      <c r="O6130" s="11"/>
      <c r="P6130" s="11"/>
    </row>
    <row r="6131" spans="8:16" x14ac:dyDescent="0.25">
      <c r="H6131" s="12"/>
      <c r="I6131" s="12"/>
      <c r="J6131" s="12"/>
      <c r="K6131" s="12"/>
      <c r="L6131" s="12"/>
      <c r="M6131" s="11"/>
      <c r="N6131" s="11"/>
      <c r="O6131" s="11"/>
      <c r="P6131" s="11"/>
    </row>
    <row r="6132" spans="8:16" x14ac:dyDescent="0.25">
      <c r="H6132" s="12"/>
      <c r="I6132" s="12"/>
      <c r="J6132" s="12"/>
      <c r="K6132" s="12"/>
      <c r="L6132" s="12"/>
      <c r="M6132" s="11"/>
      <c r="N6132" s="11"/>
      <c r="O6132" s="11"/>
      <c r="P6132" s="11"/>
    </row>
    <row r="6133" spans="8:16" x14ac:dyDescent="0.25">
      <c r="H6133" s="12"/>
      <c r="I6133" s="12"/>
      <c r="J6133" s="12"/>
      <c r="K6133" s="12"/>
      <c r="L6133" s="12"/>
      <c r="M6133" s="11"/>
      <c r="N6133" s="11"/>
      <c r="O6133" s="11"/>
      <c r="P6133" s="11"/>
    </row>
    <row r="6134" spans="8:16" x14ac:dyDescent="0.25">
      <c r="H6134" s="12"/>
      <c r="I6134" s="12"/>
      <c r="J6134" s="12"/>
      <c r="K6134" s="12"/>
      <c r="L6134" s="12"/>
      <c r="M6134" s="11"/>
      <c r="N6134" s="11"/>
      <c r="O6134" s="11"/>
      <c r="P6134" s="11"/>
    </row>
    <row r="6135" spans="8:16" x14ac:dyDescent="0.25">
      <c r="H6135" s="12"/>
      <c r="I6135" s="12"/>
      <c r="J6135" s="12"/>
      <c r="K6135" s="12"/>
      <c r="L6135" s="12"/>
      <c r="M6135" s="11"/>
      <c r="N6135" s="11"/>
      <c r="O6135" s="11"/>
      <c r="P6135" s="11"/>
    </row>
    <row r="6136" spans="8:16" x14ac:dyDescent="0.25">
      <c r="H6136" s="12"/>
      <c r="I6136" s="12"/>
      <c r="J6136" s="12"/>
      <c r="K6136" s="12"/>
      <c r="L6136" s="12"/>
      <c r="M6136" s="11"/>
      <c r="N6136" s="11"/>
      <c r="O6136" s="11"/>
      <c r="P6136" s="11"/>
    </row>
    <row r="6137" spans="8:16" x14ac:dyDescent="0.25">
      <c r="H6137" s="12"/>
      <c r="I6137" s="12"/>
      <c r="J6137" s="12"/>
      <c r="K6137" s="12"/>
      <c r="L6137" s="12"/>
      <c r="M6137" s="11"/>
      <c r="N6137" s="11"/>
      <c r="O6137" s="11"/>
      <c r="P6137" s="11"/>
    </row>
    <row r="6138" spans="8:16" x14ac:dyDescent="0.25">
      <c r="H6138" s="12"/>
      <c r="I6138" s="12"/>
      <c r="J6138" s="12"/>
      <c r="K6138" s="12"/>
      <c r="L6138" s="12"/>
      <c r="M6138" s="11"/>
      <c r="N6138" s="11"/>
      <c r="O6138" s="11"/>
      <c r="P6138" s="11"/>
    </row>
    <row r="6139" spans="8:16" x14ac:dyDescent="0.25">
      <c r="H6139" s="12"/>
      <c r="I6139" s="12"/>
      <c r="J6139" s="12"/>
      <c r="K6139" s="12"/>
      <c r="L6139" s="12"/>
      <c r="M6139" s="11"/>
      <c r="N6139" s="11"/>
      <c r="O6139" s="11"/>
      <c r="P6139" s="11"/>
    </row>
    <row r="6140" spans="8:16" x14ac:dyDescent="0.25">
      <c r="H6140" s="12"/>
      <c r="I6140" s="12"/>
      <c r="J6140" s="12"/>
      <c r="K6140" s="12"/>
      <c r="L6140" s="12"/>
      <c r="M6140" s="11"/>
      <c r="N6140" s="11"/>
      <c r="O6140" s="11"/>
      <c r="P6140" s="11"/>
    </row>
    <row r="6141" spans="8:16" x14ac:dyDescent="0.25">
      <c r="H6141" s="12"/>
      <c r="I6141" s="12"/>
      <c r="J6141" s="12"/>
      <c r="K6141" s="12"/>
      <c r="L6141" s="12"/>
      <c r="M6141" s="11"/>
      <c r="N6141" s="11"/>
      <c r="O6141" s="11"/>
      <c r="P6141" s="11"/>
    </row>
    <row r="6142" spans="8:16" x14ac:dyDescent="0.25">
      <c r="H6142" s="12"/>
      <c r="I6142" s="12"/>
      <c r="J6142" s="12"/>
      <c r="K6142" s="12"/>
      <c r="L6142" s="12"/>
      <c r="M6142" s="11"/>
      <c r="N6142" s="11"/>
      <c r="O6142" s="11"/>
      <c r="P6142" s="11"/>
    </row>
    <row r="6143" spans="8:16" x14ac:dyDescent="0.25">
      <c r="H6143" s="12"/>
      <c r="I6143" s="12"/>
      <c r="J6143" s="12"/>
      <c r="K6143" s="12"/>
      <c r="L6143" s="12"/>
      <c r="M6143" s="11"/>
      <c r="N6143" s="11"/>
      <c r="O6143" s="11"/>
      <c r="P6143" s="11"/>
    </row>
    <row r="6144" spans="8:16" x14ac:dyDescent="0.25">
      <c r="H6144" s="12"/>
      <c r="I6144" s="12"/>
      <c r="J6144" s="12"/>
      <c r="K6144" s="12"/>
      <c r="L6144" s="12"/>
      <c r="M6144" s="11"/>
      <c r="N6144" s="11"/>
      <c r="O6144" s="11"/>
      <c r="P6144" s="11"/>
    </row>
    <row r="6145" spans="8:16" x14ac:dyDescent="0.25">
      <c r="H6145" s="12"/>
      <c r="I6145" s="12"/>
      <c r="J6145" s="12"/>
      <c r="K6145" s="12"/>
      <c r="L6145" s="12"/>
      <c r="M6145" s="11"/>
      <c r="N6145" s="11"/>
      <c r="O6145" s="11"/>
      <c r="P6145" s="11"/>
    </row>
    <row r="6146" spans="8:16" x14ac:dyDescent="0.25">
      <c r="H6146" s="12"/>
      <c r="I6146" s="12"/>
      <c r="J6146" s="12"/>
      <c r="K6146" s="12"/>
      <c r="L6146" s="12"/>
      <c r="M6146" s="11"/>
      <c r="N6146" s="11"/>
      <c r="O6146" s="11"/>
      <c r="P6146" s="11"/>
    </row>
    <row r="6147" spans="8:16" x14ac:dyDescent="0.25">
      <c r="H6147" s="12"/>
      <c r="I6147" s="12"/>
      <c r="J6147" s="12"/>
      <c r="K6147" s="12"/>
      <c r="L6147" s="12"/>
      <c r="M6147" s="11"/>
      <c r="N6147" s="11"/>
      <c r="O6147" s="11"/>
      <c r="P6147" s="11"/>
    </row>
    <row r="6148" spans="8:16" x14ac:dyDescent="0.25">
      <c r="H6148" s="12"/>
      <c r="I6148" s="12"/>
      <c r="J6148" s="12"/>
      <c r="K6148" s="12"/>
      <c r="L6148" s="12"/>
      <c r="M6148" s="11"/>
      <c r="N6148" s="11"/>
      <c r="O6148" s="11"/>
      <c r="P6148" s="11"/>
    </row>
    <row r="6149" spans="8:16" x14ac:dyDescent="0.25">
      <c r="H6149" s="12"/>
      <c r="I6149" s="12"/>
      <c r="J6149" s="12"/>
      <c r="K6149" s="12"/>
      <c r="L6149" s="12"/>
      <c r="M6149" s="11"/>
      <c r="N6149" s="11"/>
      <c r="O6149" s="11"/>
      <c r="P6149" s="11"/>
    </row>
    <row r="6150" spans="8:16" x14ac:dyDescent="0.25">
      <c r="H6150" s="12"/>
      <c r="I6150" s="12"/>
      <c r="J6150" s="12"/>
      <c r="K6150" s="12"/>
      <c r="L6150" s="12"/>
      <c r="M6150" s="11"/>
      <c r="N6150" s="11"/>
      <c r="O6150" s="11"/>
      <c r="P6150" s="11"/>
    </row>
    <row r="6151" spans="8:16" x14ac:dyDescent="0.25">
      <c r="H6151" s="12"/>
      <c r="I6151" s="12"/>
      <c r="J6151" s="12"/>
      <c r="K6151" s="12"/>
      <c r="L6151" s="12"/>
      <c r="M6151" s="11"/>
      <c r="N6151" s="11"/>
      <c r="O6151" s="11"/>
      <c r="P6151" s="11"/>
    </row>
    <row r="6152" spans="8:16" x14ac:dyDescent="0.25">
      <c r="H6152" s="12"/>
      <c r="I6152" s="12"/>
      <c r="J6152" s="12"/>
      <c r="K6152" s="12"/>
      <c r="L6152" s="12"/>
      <c r="M6152" s="11"/>
      <c r="N6152" s="11"/>
      <c r="O6152" s="11"/>
      <c r="P6152" s="11"/>
    </row>
    <row r="6153" spans="8:16" x14ac:dyDescent="0.25">
      <c r="H6153" s="12"/>
      <c r="I6153" s="12"/>
      <c r="J6153" s="12"/>
      <c r="K6153" s="12"/>
      <c r="L6153" s="12"/>
      <c r="M6153" s="11"/>
      <c r="N6153" s="11"/>
      <c r="O6153" s="11"/>
      <c r="P6153" s="11"/>
    </row>
    <row r="6154" spans="8:16" x14ac:dyDescent="0.25">
      <c r="H6154" s="12"/>
      <c r="I6154" s="12"/>
      <c r="J6154" s="12"/>
      <c r="K6154" s="12"/>
      <c r="L6154" s="12"/>
      <c r="M6154" s="11"/>
      <c r="N6154" s="11"/>
      <c r="O6154" s="11"/>
      <c r="P6154" s="11"/>
    </row>
    <row r="6155" spans="8:16" x14ac:dyDescent="0.25">
      <c r="H6155" s="12"/>
      <c r="I6155" s="12"/>
      <c r="J6155" s="12"/>
      <c r="K6155" s="12"/>
      <c r="L6155" s="12"/>
      <c r="M6155" s="11"/>
      <c r="N6155" s="11"/>
      <c r="O6155" s="11"/>
      <c r="P6155" s="11"/>
    </row>
    <row r="6156" spans="8:16" x14ac:dyDescent="0.25">
      <c r="H6156" s="12"/>
      <c r="I6156" s="12"/>
      <c r="J6156" s="12"/>
      <c r="K6156" s="12"/>
      <c r="L6156" s="12"/>
      <c r="M6156" s="11"/>
      <c r="N6156" s="11"/>
      <c r="O6156" s="11"/>
      <c r="P6156" s="11"/>
    </row>
    <row r="6157" spans="8:16" x14ac:dyDescent="0.25">
      <c r="H6157" s="12"/>
      <c r="I6157" s="12"/>
      <c r="J6157" s="12"/>
      <c r="K6157" s="12"/>
      <c r="L6157" s="12"/>
      <c r="M6157" s="11"/>
      <c r="N6157" s="11"/>
      <c r="O6157" s="11"/>
      <c r="P6157" s="11"/>
    </row>
    <row r="6158" spans="8:16" x14ac:dyDescent="0.25">
      <c r="H6158" s="12"/>
      <c r="I6158" s="12"/>
      <c r="J6158" s="12"/>
      <c r="K6158" s="12"/>
      <c r="L6158" s="12"/>
      <c r="M6158" s="11"/>
      <c r="N6158" s="11"/>
      <c r="O6158" s="11"/>
      <c r="P6158" s="11"/>
    </row>
    <row r="6159" spans="8:16" x14ac:dyDescent="0.25">
      <c r="H6159" s="12"/>
      <c r="I6159" s="12"/>
      <c r="J6159" s="12"/>
      <c r="K6159" s="12"/>
      <c r="L6159" s="12"/>
      <c r="M6159" s="11"/>
      <c r="N6159" s="11"/>
      <c r="O6159" s="11"/>
      <c r="P6159" s="11"/>
    </row>
    <row r="6160" spans="8:16" x14ac:dyDescent="0.25">
      <c r="H6160" s="12"/>
      <c r="I6160" s="12"/>
      <c r="J6160" s="12"/>
      <c r="K6160" s="12"/>
      <c r="L6160" s="12"/>
      <c r="M6160" s="11"/>
      <c r="N6160" s="11"/>
      <c r="O6160" s="11"/>
      <c r="P6160" s="11"/>
    </row>
    <row r="6161" spans="8:16" x14ac:dyDescent="0.25">
      <c r="H6161" s="12"/>
      <c r="I6161" s="12"/>
      <c r="J6161" s="12"/>
      <c r="K6161" s="12"/>
      <c r="L6161" s="12"/>
      <c r="M6161" s="11"/>
      <c r="N6161" s="11"/>
      <c r="O6161" s="11"/>
      <c r="P6161" s="11"/>
    </row>
    <row r="6162" spans="8:16" x14ac:dyDescent="0.25">
      <c r="H6162" s="12"/>
      <c r="I6162" s="12"/>
      <c r="J6162" s="12"/>
      <c r="K6162" s="12"/>
      <c r="L6162" s="12"/>
      <c r="M6162" s="11"/>
      <c r="N6162" s="11"/>
      <c r="O6162" s="11"/>
      <c r="P6162" s="11"/>
    </row>
    <row r="6163" spans="8:16" x14ac:dyDescent="0.25">
      <c r="H6163" s="12"/>
      <c r="I6163" s="12"/>
      <c r="J6163" s="12"/>
      <c r="K6163" s="12"/>
      <c r="L6163" s="12"/>
      <c r="M6163" s="11"/>
      <c r="N6163" s="11"/>
      <c r="O6163" s="11"/>
      <c r="P6163" s="11"/>
    </row>
    <row r="6164" spans="8:16" x14ac:dyDescent="0.25">
      <c r="H6164" s="12"/>
      <c r="I6164" s="12"/>
      <c r="J6164" s="12"/>
      <c r="K6164" s="12"/>
      <c r="L6164" s="12"/>
      <c r="M6164" s="11"/>
      <c r="N6164" s="11"/>
      <c r="O6164" s="11"/>
      <c r="P6164" s="11"/>
    </row>
    <row r="6165" spans="8:16" x14ac:dyDescent="0.25">
      <c r="H6165" s="12"/>
      <c r="I6165" s="12"/>
      <c r="J6165" s="12"/>
      <c r="K6165" s="12"/>
      <c r="L6165" s="12"/>
      <c r="M6165" s="11"/>
      <c r="N6165" s="11"/>
      <c r="O6165" s="11"/>
      <c r="P6165" s="11"/>
    </row>
    <row r="6166" spans="8:16" x14ac:dyDescent="0.25">
      <c r="H6166" s="12"/>
      <c r="I6166" s="12"/>
      <c r="J6166" s="12"/>
      <c r="K6166" s="12"/>
      <c r="L6166" s="12"/>
      <c r="M6166" s="11"/>
      <c r="N6166" s="11"/>
      <c r="O6166" s="11"/>
      <c r="P6166" s="11"/>
    </row>
    <row r="6167" spans="8:16" x14ac:dyDescent="0.25">
      <c r="H6167" s="12"/>
      <c r="I6167" s="12"/>
      <c r="J6167" s="12"/>
      <c r="K6167" s="12"/>
      <c r="L6167" s="12"/>
      <c r="M6167" s="11"/>
      <c r="N6167" s="11"/>
      <c r="O6167" s="11"/>
      <c r="P6167" s="11"/>
    </row>
    <row r="6168" spans="8:16" x14ac:dyDescent="0.25">
      <c r="H6168" s="12"/>
      <c r="I6168" s="12"/>
      <c r="J6168" s="12"/>
      <c r="K6168" s="12"/>
      <c r="L6168" s="12"/>
      <c r="M6168" s="11"/>
      <c r="N6168" s="11"/>
      <c r="O6168" s="11"/>
      <c r="P6168" s="11"/>
    </row>
    <row r="6169" spans="8:16" x14ac:dyDescent="0.25">
      <c r="H6169" s="12"/>
      <c r="I6169" s="12"/>
      <c r="J6169" s="12"/>
      <c r="K6169" s="12"/>
      <c r="L6169" s="12"/>
      <c r="M6169" s="11"/>
      <c r="N6169" s="11"/>
      <c r="O6169" s="11"/>
      <c r="P6169" s="11"/>
    </row>
    <row r="6170" spans="8:16" x14ac:dyDescent="0.25">
      <c r="H6170" s="12"/>
      <c r="I6170" s="12"/>
      <c r="J6170" s="12"/>
      <c r="K6170" s="12"/>
      <c r="L6170" s="12"/>
      <c r="M6170" s="11"/>
      <c r="N6170" s="11"/>
      <c r="O6170" s="11"/>
      <c r="P6170" s="11"/>
    </row>
    <row r="6171" spans="8:16" x14ac:dyDescent="0.25">
      <c r="H6171" s="12"/>
      <c r="I6171" s="12"/>
      <c r="J6171" s="12"/>
      <c r="K6171" s="12"/>
      <c r="L6171" s="12"/>
      <c r="M6171" s="11"/>
      <c r="N6171" s="11"/>
      <c r="O6171" s="11"/>
      <c r="P6171" s="11"/>
    </row>
    <row r="6172" spans="8:16" x14ac:dyDescent="0.25">
      <c r="H6172" s="12"/>
      <c r="I6172" s="12"/>
      <c r="J6172" s="12"/>
      <c r="K6172" s="12"/>
      <c r="L6172" s="12"/>
      <c r="M6172" s="11"/>
      <c r="N6172" s="11"/>
      <c r="O6172" s="11"/>
      <c r="P6172" s="11"/>
    </row>
    <row r="6173" spans="8:16" x14ac:dyDescent="0.25">
      <c r="H6173" s="12"/>
      <c r="I6173" s="12"/>
      <c r="J6173" s="12"/>
      <c r="K6173" s="12"/>
      <c r="L6173" s="12"/>
      <c r="M6173" s="11"/>
      <c r="N6173" s="11"/>
      <c r="O6173" s="11"/>
      <c r="P6173" s="11"/>
    </row>
    <row r="6174" spans="8:16" x14ac:dyDescent="0.25">
      <c r="H6174" s="12"/>
      <c r="I6174" s="12"/>
      <c r="J6174" s="12"/>
      <c r="K6174" s="12"/>
      <c r="L6174" s="12"/>
      <c r="M6174" s="11"/>
      <c r="N6174" s="11"/>
      <c r="O6174" s="11"/>
      <c r="P6174" s="11"/>
    </row>
    <row r="6175" spans="8:16" x14ac:dyDescent="0.25">
      <c r="H6175" s="12"/>
      <c r="I6175" s="12"/>
      <c r="J6175" s="12"/>
      <c r="K6175" s="12"/>
      <c r="L6175" s="12"/>
      <c r="M6175" s="11"/>
      <c r="N6175" s="11"/>
      <c r="O6175" s="11"/>
      <c r="P6175" s="11"/>
    </row>
    <row r="6176" spans="8:16" x14ac:dyDescent="0.25">
      <c r="H6176" s="12"/>
      <c r="I6176" s="12"/>
      <c r="J6176" s="12"/>
      <c r="K6176" s="12"/>
      <c r="L6176" s="12"/>
      <c r="M6176" s="11"/>
      <c r="N6176" s="11"/>
      <c r="O6176" s="11"/>
      <c r="P6176" s="11"/>
    </row>
    <row r="6177" spans="8:16" x14ac:dyDescent="0.25">
      <c r="H6177" s="12"/>
      <c r="I6177" s="12"/>
      <c r="J6177" s="12"/>
      <c r="K6177" s="12"/>
      <c r="L6177" s="12"/>
      <c r="M6177" s="11"/>
      <c r="N6177" s="11"/>
      <c r="O6177" s="11"/>
      <c r="P6177" s="11"/>
    </row>
    <row r="6178" spans="8:16" x14ac:dyDescent="0.25">
      <c r="H6178" s="12"/>
      <c r="I6178" s="12"/>
      <c r="J6178" s="12"/>
      <c r="K6178" s="12"/>
      <c r="L6178" s="12"/>
      <c r="M6178" s="11"/>
      <c r="N6178" s="11"/>
      <c r="O6178" s="11"/>
      <c r="P6178" s="11"/>
    </row>
    <row r="6179" spans="8:16" x14ac:dyDescent="0.25">
      <c r="H6179" s="12"/>
      <c r="I6179" s="12"/>
      <c r="J6179" s="12"/>
      <c r="K6179" s="12"/>
      <c r="L6179" s="12"/>
      <c r="M6179" s="11"/>
      <c r="N6179" s="11"/>
      <c r="O6179" s="11"/>
      <c r="P6179" s="11"/>
    </row>
    <row r="6180" spans="8:16" x14ac:dyDescent="0.25">
      <c r="H6180" s="12"/>
      <c r="I6180" s="12"/>
      <c r="J6180" s="12"/>
      <c r="K6180" s="12"/>
      <c r="L6180" s="12"/>
      <c r="M6180" s="11"/>
      <c r="N6180" s="11"/>
      <c r="O6180" s="11"/>
      <c r="P6180" s="11"/>
    </row>
    <row r="6181" spans="8:16" x14ac:dyDescent="0.25">
      <c r="H6181" s="12"/>
      <c r="I6181" s="12"/>
      <c r="J6181" s="12"/>
      <c r="K6181" s="12"/>
      <c r="L6181" s="12"/>
      <c r="M6181" s="11"/>
      <c r="N6181" s="11"/>
      <c r="O6181" s="11"/>
      <c r="P6181" s="11"/>
    </row>
    <row r="6182" spans="8:16" x14ac:dyDescent="0.25">
      <c r="H6182" s="12"/>
      <c r="I6182" s="12"/>
      <c r="J6182" s="12"/>
      <c r="K6182" s="12"/>
      <c r="L6182" s="12"/>
      <c r="M6182" s="11"/>
      <c r="N6182" s="11"/>
      <c r="O6182" s="11"/>
      <c r="P6182" s="11"/>
    </row>
    <row r="6183" spans="8:16" x14ac:dyDescent="0.25">
      <c r="H6183" s="12"/>
      <c r="I6183" s="12"/>
      <c r="J6183" s="12"/>
      <c r="K6183" s="12"/>
      <c r="L6183" s="12"/>
      <c r="M6183" s="11"/>
      <c r="N6183" s="11"/>
      <c r="O6183" s="11"/>
      <c r="P6183" s="11"/>
    </row>
    <row r="6184" spans="8:16" x14ac:dyDescent="0.25">
      <c r="H6184" s="12"/>
      <c r="I6184" s="12"/>
      <c r="J6184" s="12"/>
      <c r="K6184" s="12"/>
      <c r="L6184" s="12"/>
      <c r="M6184" s="11"/>
      <c r="N6184" s="11"/>
      <c r="O6184" s="11"/>
      <c r="P6184" s="11"/>
    </row>
    <row r="6185" spans="8:16" x14ac:dyDescent="0.25">
      <c r="H6185" s="12"/>
      <c r="I6185" s="12"/>
      <c r="J6185" s="12"/>
      <c r="K6185" s="12"/>
      <c r="L6185" s="12"/>
      <c r="M6185" s="11"/>
      <c r="N6185" s="11"/>
      <c r="O6185" s="11"/>
      <c r="P6185" s="11"/>
    </row>
    <row r="6186" spans="8:16" x14ac:dyDescent="0.25">
      <c r="H6186" s="12"/>
      <c r="I6186" s="12"/>
      <c r="J6186" s="12"/>
      <c r="K6186" s="12"/>
      <c r="L6186" s="12"/>
      <c r="M6186" s="11"/>
      <c r="N6186" s="11"/>
      <c r="O6186" s="11"/>
      <c r="P6186" s="11"/>
    </row>
    <row r="6187" spans="8:16" x14ac:dyDescent="0.25">
      <c r="H6187" s="12"/>
      <c r="I6187" s="12"/>
      <c r="J6187" s="12"/>
      <c r="K6187" s="12"/>
      <c r="L6187" s="12"/>
      <c r="M6187" s="11"/>
      <c r="N6187" s="11"/>
      <c r="O6187" s="11"/>
      <c r="P6187" s="11"/>
    </row>
    <row r="6188" spans="8:16" x14ac:dyDescent="0.25">
      <c r="H6188" s="12"/>
      <c r="I6188" s="12"/>
      <c r="J6188" s="12"/>
      <c r="K6188" s="12"/>
      <c r="L6188" s="12"/>
      <c r="M6188" s="11"/>
      <c r="N6188" s="11"/>
      <c r="O6188" s="11"/>
      <c r="P6188" s="11"/>
    </row>
    <row r="6189" spans="8:16" x14ac:dyDescent="0.25">
      <c r="H6189" s="12"/>
      <c r="I6189" s="12"/>
      <c r="J6189" s="12"/>
      <c r="K6189" s="12"/>
      <c r="L6189" s="12"/>
      <c r="M6189" s="11"/>
      <c r="N6189" s="11"/>
      <c r="O6189" s="11"/>
      <c r="P6189" s="11"/>
    </row>
    <row r="6190" spans="8:16" x14ac:dyDescent="0.25">
      <c r="H6190" s="12"/>
      <c r="I6190" s="12"/>
      <c r="J6190" s="12"/>
      <c r="K6190" s="12"/>
      <c r="L6190" s="12"/>
      <c r="M6190" s="11"/>
      <c r="N6190" s="11"/>
      <c r="O6190" s="11"/>
      <c r="P6190" s="11"/>
    </row>
    <row r="6191" spans="8:16" x14ac:dyDescent="0.25">
      <c r="H6191" s="12"/>
      <c r="I6191" s="12"/>
      <c r="J6191" s="12"/>
      <c r="K6191" s="12"/>
      <c r="L6191" s="12"/>
      <c r="M6191" s="11"/>
      <c r="N6191" s="11"/>
      <c r="O6191" s="11"/>
      <c r="P6191" s="11"/>
    </row>
    <row r="6192" spans="8:16" x14ac:dyDescent="0.25">
      <c r="H6192" s="12"/>
      <c r="I6192" s="12"/>
      <c r="J6192" s="12"/>
      <c r="K6192" s="12"/>
      <c r="L6192" s="12"/>
      <c r="M6192" s="11"/>
      <c r="N6192" s="11"/>
      <c r="O6192" s="11"/>
      <c r="P6192" s="11"/>
    </row>
    <row r="6193" spans="8:16" x14ac:dyDescent="0.25">
      <c r="H6193" s="12"/>
      <c r="I6193" s="12"/>
      <c r="J6193" s="12"/>
      <c r="K6193" s="12"/>
      <c r="L6193" s="12"/>
      <c r="M6193" s="11"/>
      <c r="N6193" s="11"/>
      <c r="O6193" s="11"/>
      <c r="P6193" s="11"/>
    </row>
    <row r="6194" spans="8:16" x14ac:dyDescent="0.25">
      <c r="H6194" s="12"/>
      <c r="I6194" s="12"/>
      <c r="J6194" s="12"/>
      <c r="K6194" s="12"/>
      <c r="L6194" s="12"/>
      <c r="M6194" s="11"/>
      <c r="N6194" s="11"/>
      <c r="O6194" s="11"/>
      <c r="P6194" s="11"/>
    </row>
    <row r="6195" spans="8:16" x14ac:dyDescent="0.25">
      <c r="H6195" s="12"/>
      <c r="I6195" s="12"/>
      <c r="J6195" s="12"/>
      <c r="K6195" s="12"/>
      <c r="L6195" s="12"/>
      <c r="M6195" s="11"/>
      <c r="N6195" s="11"/>
      <c r="O6195" s="11"/>
      <c r="P6195" s="11"/>
    </row>
    <row r="6196" spans="8:16" x14ac:dyDescent="0.25">
      <c r="H6196" s="12"/>
      <c r="I6196" s="12"/>
      <c r="J6196" s="12"/>
      <c r="K6196" s="12"/>
      <c r="L6196" s="12"/>
      <c r="M6196" s="11"/>
      <c r="N6196" s="11"/>
      <c r="O6196" s="11"/>
      <c r="P6196" s="11"/>
    </row>
    <row r="6197" spans="8:16" x14ac:dyDescent="0.25">
      <c r="H6197" s="12"/>
      <c r="I6197" s="12"/>
      <c r="J6197" s="12"/>
      <c r="K6197" s="12"/>
      <c r="L6197" s="12"/>
      <c r="M6197" s="11"/>
      <c r="N6197" s="11"/>
      <c r="O6197" s="11"/>
      <c r="P6197" s="11"/>
    </row>
    <row r="6198" spans="8:16" x14ac:dyDescent="0.25">
      <c r="H6198" s="12"/>
      <c r="I6198" s="12"/>
      <c r="J6198" s="12"/>
      <c r="K6198" s="12"/>
      <c r="L6198" s="12"/>
      <c r="M6198" s="11"/>
      <c r="N6198" s="11"/>
      <c r="O6198" s="11"/>
      <c r="P6198" s="11"/>
    </row>
    <row r="6199" spans="8:16" x14ac:dyDescent="0.25">
      <c r="H6199" s="12"/>
      <c r="I6199" s="12"/>
      <c r="J6199" s="12"/>
      <c r="K6199" s="12"/>
      <c r="L6199" s="12"/>
      <c r="M6199" s="11"/>
      <c r="N6199" s="11"/>
      <c r="O6199" s="11"/>
      <c r="P6199" s="11"/>
    </row>
    <row r="6200" spans="8:16" x14ac:dyDescent="0.25">
      <c r="H6200" s="12"/>
      <c r="I6200" s="12"/>
      <c r="J6200" s="12"/>
      <c r="K6200" s="12"/>
      <c r="L6200" s="12"/>
      <c r="M6200" s="11"/>
      <c r="N6200" s="11"/>
      <c r="O6200" s="11"/>
      <c r="P6200" s="11"/>
    </row>
    <row r="6201" spans="8:16" x14ac:dyDescent="0.25">
      <c r="H6201" s="12"/>
      <c r="I6201" s="12"/>
      <c r="J6201" s="12"/>
      <c r="K6201" s="12"/>
      <c r="L6201" s="12"/>
      <c r="M6201" s="11"/>
      <c r="N6201" s="11"/>
      <c r="O6201" s="11"/>
      <c r="P6201" s="11"/>
    </row>
    <row r="6202" spans="8:16" x14ac:dyDescent="0.25">
      <c r="H6202" s="12"/>
      <c r="I6202" s="12"/>
      <c r="J6202" s="12"/>
      <c r="K6202" s="12"/>
      <c r="L6202" s="12"/>
      <c r="M6202" s="11"/>
      <c r="N6202" s="11"/>
      <c r="O6202" s="11"/>
      <c r="P6202" s="11"/>
    </row>
    <row r="6203" spans="8:16" x14ac:dyDescent="0.25">
      <c r="H6203" s="12"/>
      <c r="I6203" s="12"/>
      <c r="J6203" s="12"/>
      <c r="K6203" s="12"/>
      <c r="L6203" s="12"/>
      <c r="M6203" s="11"/>
      <c r="N6203" s="11"/>
      <c r="O6203" s="11"/>
      <c r="P6203" s="11"/>
    </row>
    <row r="6204" spans="8:16" x14ac:dyDescent="0.25">
      <c r="H6204" s="12"/>
      <c r="I6204" s="12"/>
      <c r="J6204" s="12"/>
      <c r="K6204" s="12"/>
      <c r="L6204" s="12"/>
      <c r="M6204" s="11"/>
      <c r="N6204" s="11"/>
      <c r="O6204" s="11"/>
      <c r="P6204" s="11"/>
    </row>
    <row r="6205" spans="8:16" x14ac:dyDescent="0.25">
      <c r="H6205" s="12"/>
      <c r="I6205" s="12"/>
      <c r="J6205" s="12"/>
      <c r="K6205" s="12"/>
      <c r="L6205" s="12"/>
      <c r="M6205" s="11"/>
      <c r="N6205" s="11"/>
      <c r="O6205" s="11"/>
      <c r="P6205" s="11"/>
    </row>
    <row r="6206" spans="8:16" x14ac:dyDescent="0.25">
      <c r="H6206" s="12"/>
      <c r="I6206" s="12"/>
      <c r="J6206" s="12"/>
      <c r="K6206" s="12"/>
      <c r="L6206" s="12"/>
      <c r="M6206" s="11"/>
      <c r="N6206" s="11"/>
      <c r="O6206" s="11"/>
      <c r="P6206" s="11"/>
    </row>
    <row r="6207" spans="8:16" x14ac:dyDescent="0.25">
      <c r="H6207" s="12"/>
      <c r="I6207" s="12"/>
      <c r="J6207" s="12"/>
      <c r="K6207" s="12"/>
      <c r="L6207" s="12"/>
      <c r="M6207" s="11"/>
      <c r="N6207" s="11"/>
      <c r="O6207" s="11"/>
      <c r="P6207" s="11"/>
    </row>
    <row r="6208" spans="8:16" x14ac:dyDescent="0.25">
      <c r="H6208" s="12"/>
      <c r="I6208" s="12"/>
      <c r="J6208" s="12"/>
      <c r="K6208" s="12"/>
      <c r="L6208" s="12"/>
      <c r="M6208" s="11"/>
      <c r="N6208" s="11"/>
      <c r="O6208" s="11"/>
      <c r="P6208" s="11"/>
    </row>
    <row r="6209" spans="8:16" x14ac:dyDescent="0.25">
      <c r="H6209" s="12"/>
      <c r="I6209" s="12"/>
      <c r="J6209" s="12"/>
      <c r="K6209" s="12"/>
      <c r="L6209" s="12"/>
      <c r="M6209" s="11"/>
      <c r="N6209" s="11"/>
      <c r="O6209" s="11"/>
      <c r="P6209" s="11"/>
    </row>
    <row r="6210" spans="8:16" x14ac:dyDescent="0.25">
      <c r="H6210" s="12"/>
      <c r="I6210" s="12"/>
      <c r="J6210" s="12"/>
      <c r="K6210" s="12"/>
      <c r="L6210" s="12"/>
      <c r="M6210" s="11"/>
      <c r="N6210" s="11"/>
      <c r="O6210" s="11"/>
      <c r="P6210" s="11"/>
    </row>
    <row r="6211" spans="8:16" x14ac:dyDescent="0.25">
      <c r="H6211" s="12"/>
      <c r="I6211" s="12"/>
      <c r="J6211" s="12"/>
      <c r="K6211" s="12"/>
      <c r="L6211" s="12"/>
      <c r="M6211" s="11"/>
      <c r="N6211" s="11"/>
      <c r="O6211" s="11"/>
      <c r="P6211" s="11"/>
    </row>
    <row r="6212" spans="8:16" x14ac:dyDescent="0.25">
      <c r="H6212" s="12"/>
      <c r="I6212" s="12"/>
      <c r="J6212" s="12"/>
      <c r="K6212" s="12"/>
      <c r="L6212" s="12"/>
      <c r="M6212" s="11"/>
      <c r="N6212" s="11"/>
      <c r="O6212" s="11"/>
      <c r="P6212" s="11"/>
    </row>
    <row r="6213" spans="8:16" x14ac:dyDescent="0.25">
      <c r="H6213" s="12"/>
      <c r="I6213" s="12"/>
      <c r="J6213" s="12"/>
      <c r="K6213" s="12"/>
      <c r="L6213" s="12"/>
      <c r="M6213" s="11"/>
      <c r="N6213" s="11"/>
      <c r="O6213" s="11"/>
      <c r="P6213" s="11"/>
    </row>
    <row r="6214" spans="8:16" x14ac:dyDescent="0.25">
      <c r="H6214" s="12"/>
      <c r="I6214" s="12"/>
      <c r="J6214" s="12"/>
      <c r="K6214" s="12"/>
      <c r="L6214" s="12"/>
      <c r="M6214" s="11"/>
      <c r="N6214" s="11"/>
      <c r="O6214" s="11"/>
      <c r="P6214" s="11"/>
    </row>
    <row r="6215" spans="8:16" x14ac:dyDescent="0.25">
      <c r="H6215" s="12"/>
      <c r="I6215" s="12"/>
      <c r="J6215" s="12"/>
      <c r="K6215" s="12"/>
      <c r="L6215" s="12"/>
      <c r="M6215" s="11"/>
      <c r="N6215" s="11"/>
      <c r="O6215" s="11"/>
      <c r="P6215" s="11"/>
    </row>
    <row r="6216" spans="8:16" x14ac:dyDescent="0.25">
      <c r="H6216" s="12"/>
      <c r="I6216" s="12"/>
      <c r="J6216" s="12"/>
      <c r="K6216" s="12"/>
      <c r="L6216" s="12"/>
      <c r="M6216" s="11"/>
      <c r="N6216" s="11"/>
      <c r="O6216" s="11"/>
      <c r="P6216" s="11"/>
    </row>
    <row r="6217" spans="8:16" x14ac:dyDescent="0.25">
      <c r="H6217" s="12"/>
      <c r="I6217" s="12"/>
      <c r="J6217" s="12"/>
      <c r="K6217" s="12"/>
      <c r="L6217" s="12"/>
      <c r="M6217" s="11"/>
      <c r="N6217" s="11"/>
      <c r="O6217" s="11"/>
      <c r="P6217" s="11"/>
    </row>
    <row r="6218" spans="8:16" x14ac:dyDescent="0.25">
      <c r="H6218" s="12"/>
      <c r="I6218" s="12"/>
      <c r="J6218" s="12"/>
      <c r="K6218" s="12"/>
      <c r="L6218" s="12"/>
      <c r="M6218" s="11"/>
      <c r="N6218" s="11"/>
      <c r="O6218" s="11"/>
      <c r="P6218" s="11"/>
    </row>
    <row r="6219" spans="8:16" x14ac:dyDescent="0.25">
      <c r="H6219" s="12"/>
      <c r="I6219" s="12"/>
      <c r="J6219" s="12"/>
      <c r="K6219" s="12"/>
      <c r="L6219" s="12"/>
      <c r="M6219" s="11"/>
      <c r="N6219" s="11"/>
      <c r="O6219" s="11"/>
      <c r="P6219" s="11"/>
    </row>
    <row r="6220" spans="8:16" x14ac:dyDescent="0.25">
      <c r="H6220" s="12"/>
      <c r="I6220" s="12"/>
      <c r="J6220" s="12"/>
      <c r="K6220" s="12"/>
      <c r="L6220" s="12"/>
      <c r="M6220" s="11"/>
      <c r="N6220" s="11"/>
      <c r="O6220" s="11"/>
      <c r="P6220" s="11"/>
    </row>
    <row r="6221" spans="8:16" x14ac:dyDescent="0.25">
      <c r="H6221" s="12"/>
      <c r="I6221" s="12"/>
      <c r="J6221" s="12"/>
      <c r="K6221" s="12"/>
      <c r="L6221" s="12"/>
      <c r="M6221" s="11"/>
      <c r="N6221" s="11"/>
      <c r="O6221" s="11"/>
      <c r="P6221" s="11"/>
    </row>
    <row r="6222" spans="8:16" x14ac:dyDescent="0.25">
      <c r="H6222" s="12"/>
      <c r="I6222" s="12"/>
      <c r="J6222" s="12"/>
      <c r="K6222" s="12"/>
      <c r="L6222" s="12"/>
      <c r="M6222" s="11"/>
      <c r="N6222" s="11"/>
      <c r="O6222" s="11"/>
      <c r="P6222" s="11"/>
    </row>
    <row r="6223" spans="8:16" x14ac:dyDescent="0.25">
      <c r="H6223" s="12"/>
      <c r="I6223" s="12"/>
      <c r="J6223" s="12"/>
      <c r="K6223" s="12"/>
      <c r="L6223" s="12"/>
      <c r="M6223" s="11"/>
      <c r="N6223" s="11"/>
      <c r="O6223" s="11"/>
      <c r="P6223" s="11"/>
    </row>
    <row r="6224" spans="8:16" x14ac:dyDescent="0.25">
      <c r="H6224" s="12"/>
      <c r="I6224" s="12"/>
      <c r="J6224" s="12"/>
      <c r="K6224" s="12"/>
      <c r="L6224" s="12"/>
      <c r="M6224" s="11"/>
      <c r="N6224" s="11"/>
      <c r="O6224" s="11"/>
      <c r="P6224" s="11"/>
    </row>
    <row r="6225" spans="8:16" x14ac:dyDescent="0.25">
      <c r="H6225" s="12"/>
      <c r="I6225" s="12"/>
      <c r="J6225" s="12"/>
      <c r="K6225" s="12"/>
      <c r="L6225" s="12"/>
      <c r="M6225" s="11"/>
      <c r="N6225" s="11"/>
      <c r="O6225" s="11"/>
      <c r="P6225" s="11"/>
    </row>
    <row r="6226" spans="8:16" x14ac:dyDescent="0.25">
      <c r="H6226" s="12"/>
      <c r="I6226" s="12"/>
      <c r="J6226" s="12"/>
      <c r="K6226" s="12"/>
      <c r="L6226" s="12"/>
      <c r="M6226" s="11"/>
      <c r="N6226" s="11"/>
      <c r="O6226" s="11"/>
      <c r="P6226" s="11"/>
    </row>
    <row r="6227" spans="8:16" x14ac:dyDescent="0.25">
      <c r="H6227" s="12"/>
      <c r="I6227" s="12"/>
      <c r="J6227" s="12"/>
      <c r="K6227" s="12"/>
      <c r="L6227" s="12"/>
      <c r="M6227" s="11"/>
      <c r="N6227" s="11"/>
      <c r="O6227" s="11"/>
      <c r="P6227" s="11"/>
    </row>
    <row r="6228" spans="8:16" x14ac:dyDescent="0.25">
      <c r="H6228" s="12"/>
      <c r="I6228" s="12"/>
      <c r="J6228" s="12"/>
      <c r="K6228" s="12"/>
      <c r="L6228" s="12"/>
      <c r="M6228" s="11"/>
      <c r="N6228" s="11"/>
      <c r="O6228" s="11"/>
      <c r="P6228" s="11"/>
    </row>
    <row r="6229" spans="8:16" x14ac:dyDescent="0.25">
      <c r="H6229" s="12"/>
      <c r="I6229" s="12"/>
      <c r="J6229" s="12"/>
      <c r="K6229" s="12"/>
      <c r="L6229" s="12"/>
      <c r="M6229" s="11"/>
      <c r="N6229" s="11"/>
      <c r="O6229" s="11"/>
      <c r="P6229" s="11"/>
    </row>
    <row r="6230" spans="8:16" x14ac:dyDescent="0.25">
      <c r="H6230" s="12"/>
      <c r="I6230" s="12"/>
      <c r="J6230" s="12"/>
      <c r="K6230" s="12"/>
      <c r="L6230" s="12"/>
      <c r="M6230" s="11"/>
      <c r="N6230" s="11"/>
      <c r="O6230" s="11"/>
      <c r="P6230" s="11"/>
    </row>
    <row r="6231" spans="8:16" x14ac:dyDescent="0.25">
      <c r="H6231" s="12"/>
      <c r="I6231" s="12"/>
      <c r="J6231" s="12"/>
      <c r="K6231" s="12"/>
      <c r="L6231" s="12"/>
      <c r="M6231" s="11"/>
      <c r="N6231" s="11"/>
      <c r="O6231" s="11"/>
      <c r="P6231" s="11"/>
    </row>
    <row r="6232" spans="8:16" x14ac:dyDescent="0.25">
      <c r="H6232" s="12"/>
      <c r="I6232" s="12"/>
      <c r="J6232" s="12"/>
      <c r="K6232" s="12"/>
      <c r="L6232" s="12"/>
      <c r="M6232" s="11"/>
      <c r="N6232" s="11"/>
      <c r="O6232" s="11"/>
      <c r="P6232" s="11"/>
    </row>
    <row r="6233" spans="8:16" x14ac:dyDescent="0.25">
      <c r="H6233" s="12"/>
      <c r="I6233" s="12"/>
      <c r="J6233" s="12"/>
      <c r="K6233" s="12"/>
      <c r="L6233" s="12"/>
      <c r="M6233" s="11"/>
      <c r="N6233" s="11"/>
      <c r="O6233" s="11"/>
      <c r="P6233" s="11"/>
    </row>
    <row r="6234" spans="8:16" x14ac:dyDescent="0.25">
      <c r="H6234" s="12"/>
      <c r="I6234" s="12"/>
      <c r="J6234" s="12"/>
      <c r="K6234" s="12"/>
      <c r="L6234" s="12"/>
      <c r="M6234" s="11"/>
      <c r="N6234" s="11"/>
      <c r="O6234" s="11"/>
      <c r="P6234" s="11"/>
    </row>
    <row r="6235" spans="8:16" x14ac:dyDescent="0.25">
      <c r="H6235" s="12"/>
      <c r="I6235" s="12"/>
      <c r="J6235" s="12"/>
      <c r="K6235" s="12"/>
      <c r="L6235" s="12"/>
      <c r="M6235" s="11"/>
      <c r="N6235" s="11"/>
      <c r="O6235" s="11"/>
      <c r="P6235" s="11"/>
    </row>
    <row r="6236" spans="8:16" x14ac:dyDescent="0.25">
      <c r="H6236" s="12"/>
      <c r="I6236" s="12"/>
      <c r="J6236" s="12"/>
      <c r="K6236" s="12"/>
      <c r="L6236" s="12"/>
      <c r="M6236" s="11"/>
      <c r="N6236" s="11"/>
      <c r="O6236" s="11"/>
      <c r="P6236" s="11"/>
    </row>
    <row r="6237" spans="8:16" x14ac:dyDescent="0.25">
      <c r="H6237" s="12"/>
      <c r="I6237" s="12"/>
      <c r="J6237" s="12"/>
      <c r="K6237" s="12"/>
      <c r="L6237" s="12"/>
      <c r="M6237" s="11"/>
      <c r="N6237" s="11"/>
      <c r="O6237" s="11"/>
      <c r="P6237" s="11"/>
    </row>
    <row r="6238" spans="8:16" x14ac:dyDescent="0.25">
      <c r="H6238" s="12"/>
      <c r="I6238" s="12"/>
      <c r="J6238" s="12"/>
      <c r="K6238" s="12"/>
      <c r="L6238" s="12"/>
      <c r="M6238" s="11"/>
      <c r="N6238" s="11"/>
      <c r="O6238" s="11"/>
      <c r="P6238" s="11"/>
    </row>
    <row r="6239" spans="8:16" x14ac:dyDescent="0.25">
      <c r="H6239" s="12"/>
      <c r="I6239" s="12"/>
      <c r="J6239" s="12"/>
      <c r="K6239" s="12"/>
      <c r="L6239" s="12"/>
      <c r="M6239" s="11"/>
      <c r="N6239" s="11"/>
      <c r="O6239" s="11"/>
      <c r="P6239" s="11"/>
    </row>
    <row r="6240" spans="8:16" x14ac:dyDescent="0.25">
      <c r="H6240" s="12"/>
      <c r="I6240" s="12"/>
      <c r="J6240" s="12"/>
      <c r="K6240" s="12"/>
      <c r="L6240" s="12"/>
      <c r="M6240" s="11"/>
      <c r="N6240" s="11"/>
      <c r="O6240" s="11"/>
      <c r="P6240" s="11"/>
    </row>
    <row r="6241" spans="8:16" x14ac:dyDescent="0.25">
      <c r="H6241" s="12"/>
      <c r="I6241" s="12"/>
      <c r="J6241" s="12"/>
      <c r="K6241" s="12"/>
      <c r="L6241" s="12"/>
      <c r="M6241" s="11"/>
      <c r="N6241" s="11"/>
      <c r="O6241" s="11"/>
      <c r="P6241" s="11"/>
    </row>
    <row r="6242" spans="8:16" x14ac:dyDescent="0.25">
      <c r="H6242" s="12"/>
      <c r="I6242" s="12"/>
      <c r="J6242" s="12"/>
      <c r="K6242" s="12"/>
      <c r="L6242" s="12"/>
      <c r="M6242" s="11"/>
      <c r="N6242" s="11"/>
      <c r="O6242" s="11"/>
      <c r="P6242" s="11"/>
    </row>
    <row r="6243" spans="8:16" x14ac:dyDescent="0.25">
      <c r="H6243" s="12"/>
      <c r="I6243" s="12"/>
      <c r="J6243" s="12"/>
      <c r="K6243" s="12"/>
      <c r="L6243" s="12"/>
      <c r="M6243" s="11"/>
      <c r="N6243" s="11"/>
      <c r="O6243" s="11"/>
      <c r="P6243" s="11"/>
    </row>
    <row r="6244" spans="8:16" x14ac:dyDescent="0.25">
      <c r="H6244" s="12"/>
      <c r="I6244" s="12"/>
      <c r="J6244" s="12"/>
      <c r="K6244" s="12"/>
      <c r="L6244" s="12"/>
      <c r="M6244" s="11"/>
      <c r="N6244" s="11"/>
      <c r="O6244" s="11"/>
      <c r="P6244" s="11"/>
    </row>
    <row r="6245" spans="8:16" x14ac:dyDescent="0.25">
      <c r="H6245" s="12"/>
      <c r="I6245" s="12"/>
      <c r="J6245" s="12"/>
      <c r="K6245" s="12"/>
      <c r="L6245" s="12"/>
      <c r="M6245" s="11"/>
      <c r="N6245" s="11"/>
      <c r="O6245" s="11"/>
      <c r="P6245" s="11"/>
    </row>
    <row r="6246" spans="8:16" x14ac:dyDescent="0.25">
      <c r="H6246" s="12"/>
      <c r="I6246" s="12"/>
      <c r="J6246" s="12"/>
      <c r="K6246" s="12"/>
      <c r="L6246" s="12"/>
      <c r="M6246" s="11"/>
      <c r="N6246" s="11"/>
      <c r="O6246" s="11"/>
      <c r="P6246" s="11"/>
    </row>
    <row r="6247" spans="8:16" x14ac:dyDescent="0.25">
      <c r="H6247" s="12"/>
      <c r="I6247" s="12"/>
      <c r="J6247" s="12"/>
      <c r="K6247" s="12"/>
      <c r="L6247" s="12"/>
      <c r="M6247" s="11"/>
      <c r="N6247" s="11"/>
      <c r="O6247" s="11"/>
      <c r="P6247" s="11"/>
    </row>
    <row r="6248" spans="8:16" x14ac:dyDescent="0.25">
      <c r="H6248" s="12"/>
      <c r="I6248" s="12"/>
      <c r="J6248" s="12"/>
      <c r="K6248" s="12"/>
      <c r="L6248" s="12"/>
      <c r="M6248" s="11"/>
      <c r="N6248" s="11"/>
      <c r="O6248" s="11"/>
      <c r="P6248" s="11"/>
    </row>
    <row r="6249" spans="8:16" x14ac:dyDescent="0.25">
      <c r="H6249" s="12"/>
      <c r="I6249" s="12"/>
      <c r="J6249" s="12"/>
      <c r="K6249" s="12"/>
      <c r="L6249" s="12"/>
      <c r="M6249" s="11"/>
      <c r="N6249" s="11"/>
      <c r="O6249" s="11"/>
      <c r="P6249" s="11"/>
    </row>
    <row r="6250" spans="8:16" x14ac:dyDescent="0.25">
      <c r="H6250" s="12"/>
      <c r="I6250" s="12"/>
      <c r="J6250" s="12"/>
      <c r="K6250" s="12"/>
      <c r="L6250" s="12"/>
      <c r="M6250" s="11"/>
      <c r="N6250" s="11"/>
      <c r="O6250" s="11"/>
      <c r="P6250" s="11"/>
    </row>
    <row r="6251" spans="8:16" x14ac:dyDescent="0.25">
      <c r="H6251" s="12"/>
      <c r="I6251" s="12"/>
      <c r="J6251" s="12"/>
      <c r="K6251" s="12"/>
      <c r="L6251" s="12"/>
      <c r="M6251" s="11"/>
      <c r="N6251" s="11"/>
      <c r="O6251" s="11"/>
      <c r="P6251" s="11"/>
    </row>
    <row r="6252" spans="8:16" x14ac:dyDescent="0.25">
      <c r="H6252" s="12"/>
      <c r="I6252" s="12"/>
      <c r="J6252" s="12"/>
      <c r="K6252" s="12"/>
      <c r="L6252" s="12"/>
      <c r="M6252" s="11"/>
      <c r="N6252" s="11"/>
      <c r="O6252" s="11"/>
      <c r="P6252" s="11"/>
    </row>
    <row r="6253" spans="8:16" x14ac:dyDescent="0.25">
      <c r="H6253" s="12"/>
      <c r="I6253" s="12"/>
      <c r="J6253" s="12"/>
      <c r="K6253" s="12"/>
      <c r="L6253" s="12"/>
      <c r="M6253" s="11"/>
      <c r="N6253" s="11"/>
      <c r="O6253" s="11"/>
      <c r="P6253" s="11"/>
    </row>
    <row r="6254" spans="8:16" x14ac:dyDescent="0.25">
      <c r="H6254" s="12"/>
      <c r="I6254" s="12"/>
      <c r="J6254" s="12"/>
      <c r="K6254" s="12"/>
      <c r="L6254" s="12"/>
      <c r="M6254" s="11"/>
      <c r="N6254" s="11"/>
      <c r="O6254" s="11"/>
      <c r="P6254" s="11"/>
    </row>
    <row r="6255" spans="8:16" x14ac:dyDescent="0.25">
      <c r="H6255" s="12"/>
      <c r="I6255" s="12"/>
      <c r="J6255" s="12"/>
      <c r="K6255" s="12"/>
      <c r="L6255" s="12"/>
      <c r="M6255" s="11"/>
      <c r="N6255" s="11"/>
      <c r="O6255" s="11"/>
      <c r="P6255" s="11"/>
    </row>
    <row r="6256" spans="8:16" x14ac:dyDescent="0.25">
      <c r="H6256" s="12"/>
      <c r="I6256" s="12"/>
      <c r="J6256" s="12"/>
      <c r="K6256" s="12"/>
      <c r="L6256" s="12"/>
      <c r="M6256" s="11"/>
      <c r="N6256" s="11"/>
      <c r="O6256" s="11"/>
      <c r="P6256" s="11"/>
    </row>
    <row r="6257" spans="8:16" x14ac:dyDescent="0.25">
      <c r="H6257" s="12"/>
      <c r="I6257" s="12"/>
      <c r="J6257" s="12"/>
      <c r="K6257" s="12"/>
      <c r="L6257" s="12"/>
      <c r="M6257" s="11"/>
      <c r="N6257" s="11"/>
      <c r="O6257" s="11"/>
      <c r="P6257" s="11"/>
    </row>
    <row r="6258" spans="8:16" x14ac:dyDescent="0.25">
      <c r="H6258" s="12"/>
      <c r="I6258" s="12"/>
      <c r="J6258" s="12"/>
      <c r="K6258" s="12"/>
      <c r="L6258" s="12"/>
      <c r="M6258" s="11"/>
      <c r="N6258" s="11"/>
      <c r="O6258" s="11"/>
      <c r="P6258" s="11"/>
    </row>
    <row r="6259" spans="8:16" x14ac:dyDescent="0.25">
      <c r="H6259" s="12"/>
      <c r="I6259" s="12"/>
      <c r="J6259" s="12"/>
      <c r="K6259" s="12"/>
      <c r="L6259" s="12"/>
      <c r="M6259" s="11"/>
      <c r="N6259" s="11"/>
      <c r="O6259" s="11"/>
      <c r="P6259" s="11"/>
    </row>
    <row r="6260" spans="8:16" x14ac:dyDescent="0.25">
      <c r="H6260" s="12"/>
      <c r="I6260" s="12"/>
      <c r="J6260" s="12"/>
      <c r="K6260" s="12"/>
      <c r="L6260" s="12"/>
      <c r="M6260" s="11"/>
      <c r="N6260" s="11"/>
      <c r="O6260" s="11"/>
      <c r="P6260" s="11"/>
    </row>
    <row r="6261" spans="8:16" x14ac:dyDescent="0.25">
      <c r="H6261" s="12"/>
      <c r="I6261" s="12"/>
      <c r="J6261" s="12"/>
      <c r="K6261" s="12"/>
      <c r="L6261" s="12"/>
      <c r="M6261" s="11"/>
      <c r="N6261" s="11"/>
      <c r="O6261" s="11"/>
      <c r="P6261" s="11"/>
    </row>
    <row r="6262" spans="8:16" x14ac:dyDescent="0.25">
      <c r="H6262" s="12"/>
      <c r="I6262" s="12"/>
      <c r="J6262" s="12"/>
      <c r="K6262" s="12"/>
      <c r="L6262" s="12"/>
      <c r="M6262" s="11"/>
      <c r="N6262" s="11"/>
      <c r="O6262" s="11"/>
      <c r="P6262" s="11"/>
    </row>
    <row r="6263" spans="8:16" x14ac:dyDescent="0.25">
      <c r="H6263" s="12"/>
      <c r="I6263" s="12"/>
      <c r="J6263" s="12"/>
      <c r="K6263" s="12"/>
      <c r="L6263" s="12"/>
      <c r="M6263" s="11"/>
      <c r="N6263" s="11"/>
      <c r="O6263" s="11"/>
      <c r="P6263" s="11"/>
    </row>
    <row r="6264" spans="8:16" x14ac:dyDescent="0.25">
      <c r="H6264" s="12"/>
      <c r="I6264" s="12"/>
      <c r="J6264" s="12"/>
      <c r="K6264" s="12"/>
      <c r="L6264" s="12"/>
      <c r="M6264" s="11"/>
      <c r="N6264" s="11"/>
      <c r="O6264" s="11"/>
      <c r="P6264" s="11"/>
    </row>
    <row r="6265" spans="8:16" x14ac:dyDescent="0.25">
      <c r="H6265" s="12"/>
      <c r="I6265" s="12"/>
      <c r="J6265" s="12"/>
      <c r="K6265" s="12"/>
      <c r="L6265" s="12"/>
      <c r="M6265" s="11"/>
      <c r="N6265" s="11"/>
      <c r="O6265" s="11"/>
      <c r="P6265" s="11"/>
    </row>
    <row r="6266" spans="8:16" x14ac:dyDescent="0.25">
      <c r="H6266" s="12"/>
      <c r="I6266" s="12"/>
      <c r="J6266" s="12"/>
      <c r="K6266" s="12"/>
      <c r="L6266" s="12"/>
      <c r="M6266" s="11"/>
      <c r="N6266" s="11"/>
      <c r="O6266" s="11"/>
      <c r="P6266" s="11"/>
    </row>
    <row r="6267" spans="8:16" x14ac:dyDescent="0.25">
      <c r="H6267" s="12"/>
      <c r="I6267" s="12"/>
      <c r="J6267" s="12"/>
      <c r="K6267" s="12"/>
      <c r="L6267" s="12"/>
      <c r="M6267" s="11"/>
      <c r="N6267" s="11"/>
      <c r="O6267" s="11"/>
      <c r="P6267" s="11"/>
    </row>
    <row r="6268" spans="8:16" x14ac:dyDescent="0.25">
      <c r="H6268" s="12"/>
      <c r="I6268" s="12"/>
      <c r="J6268" s="12"/>
      <c r="K6268" s="12"/>
      <c r="L6268" s="12"/>
      <c r="M6268" s="11"/>
      <c r="N6268" s="11"/>
      <c r="O6268" s="11"/>
      <c r="P6268" s="11"/>
    </row>
    <row r="6269" spans="8:16" x14ac:dyDescent="0.25">
      <c r="H6269" s="12"/>
      <c r="I6269" s="12"/>
      <c r="J6269" s="12"/>
      <c r="K6269" s="12"/>
      <c r="L6269" s="12"/>
      <c r="M6269" s="11"/>
      <c r="N6269" s="11"/>
      <c r="O6269" s="11"/>
      <c r="P6269" s="11"/>
    </row>
    <row r="6270" spans="8:16" x14ac:dyDescent="0.25">
      <c r="H6270" s="12"/>
      <c r="I6270" s="12"/>
      <c r="J6270" s="12"/>
      <c r="K6270" s="12"/>
      <c r="L6270" s="12"/>
      <c r="M6270" s="11"/>
      <c r="N6270" s="11"/>
      <c r="O6270" s="11"/>
      <c r="P6270" s="11"/>
    </row>
    <row r="6271" spans="8:16" x14ac:dyDescent="0.25">
      <c r="H6271" s="12"/>
      <c r="I6271" s="12"/>
      <c r="J6271" s="12"/>
      <c r="K6271" s="12"/>
      <c r="L6271" s="12"/>
      <c r="M6271" s="11"/>
      <c r="N6271" s="11"/>
      <c r="O6271" s="11"/>
      <c r="P6271" s="11"/>
    </row>
    <row r="6272" spans="8:16" x14ac:dyDescent="0.25">
      <c r="H6272" s="12"/>
      <c r="I6272" s="12"/>
      <c r="J6272" s="12"/>
      <c r="K6272" s="12"/>
      <c r="L6272" s="12"/>
      <c r="M6272" s="11"/>
      <c r="N6272" s="11"/>
      <c r="O6272" s="11"/>
      <c r="P6272" s="11"/>
    </row>
    <row r="6273" spans="8:16" x14ac:dyDescent="0.25">
      <c r="H6273" s="12"/>
      <c r="I6273" s="12"/>
      <c r="J6273" s="12"/>
      <c r="K6273" s="12"/>
      <c r="L6273" s="12"/>
      <c r="M6273" s="11"/>
      <c r="N6273" s="11"/>
      <c r="O6273" s="11"/>
      <c r="P6273" s="11"/>
    </row>
    <row r="6274" spans="8:16" x14ac:dyDescent="0.25">
      <c r="H6274" s="12"/>
      <c r="I6274" s="12"/>
      <c r="J6274" s="12"/>
      <c r="K6274" s="12"/>
      <c r="L6274" s="12"/>
      <c r="M6274" s="11"/>
      <c r="N6274" s="11"/>
      <c r="O6274" s="11"/>
      <c r="P6274" s="11"/>
    </row>
    <row r="6275" spans="8:16" x14ac:dyDescent="0.25">
      <c r="H6275" s="12"/>
      <c r="I6275" s="12"/>
      <c r="J6275" s="12"/>
      <c r="K6275" s="12"/>
      <c r="L6275" s="12"/>
      <c r="M6275" s="11"/>
      <c r="N6275" s="11"/>
      <c r="O6275" s="11"/>
      <c r="P6275" s="11"/>
    </row>
    <row r="6276" spans="8:16" x14ac:dyDescent="0.25">
      <c r="H6276" s="12"/>
      <c r="I6276" s="12"/>
      <c r="J6276" s="12"/>
      <c r="K6276" s="12"/>
      <c r="L6276" s="12"/>
      <c r="M6276" s="11"/>
      <c r="N6276" s="11"/>
      <c r="O6276" s="11"/>
      <c r="P6276" s="11"/>
    </row>
    <row r="6277" spans="8:16" x14ac:dyDescent="0.25">
      <c r="H6277" s="12"/>
      <c r="I6277" s="12"/>
      <c r="J6277" s="12"/>
      <c r="K6277" s="12"/>
      <c r="L6277" s="12"/>
      <c r="M6277" s="11"/>
      <c r="N6277" s="11"/>
      <c r="O6277" s="11"/>
      <c r="P6277" s="11"/>
    </row>
    <row r="6278" spans="8:16" x14ac:dyDescent="0.25">
      <c r="H6278" s="12"/>
      <c r="I6278" s="12"/>
      <c r="J6278" s="12"/>
      <c r="K6278" s="12"/>
      <c r="L6278" s="12"/>
      <c r="M6278" s="11"/>
      <c r="N6278" s="11"/>
      <c r="O6278" s="11"/>
      <c r="P6278" s="11"/>
    </row>
    <row r="6279" spans="8:16" x14ac:dyDescent="0.25">
      <c r="H6279" s="12"/>
      <c r="I6279" s="12"/>
      <c r="J6279" s="12"/>
      <c r="K6279" s="12"/>
      <c r="L6279" s="12"/>
      <c r="M6279" s="11"/>
      <c r="N6279" s="11"/>
      <c r="O6279" s="11"/>
      <c r="P6279" s="11"/>
    </row>
    <row r="6280" spans="8:16" x14ac:dyDescent="0.25">
      <c r="H6280" s="12"/>
      <c r="I6280" s="12"/>
      <c r="J6280" s="12"/>
      <c r="K6280" s="12"/>
      <c r="L6280" s="12"/>
      <c r="M6280" s="11"/>
      <c r="N6280" s="11"/>
      <c r="O6280" s="11"/>
      <c r="P6280" s="11"/>
    </row>
    <row r="6281" spans="8:16" x14ac:dyDescent="0.25">
      <c r="H6281" s="12"/>
      <c r="I6281" s="12"/>
      <c r="J6281" s="12"/>
      <c r="K6281" s="12"/>
      <c r="L6281" s="12"/>
      <c r="M6281" s="11"/>
      <c r="N6281" s="11"/>
      <c r="O6281" s="11"/>
      <c r="P6281" s="11"/>
    </row>
    <row r="6282" spans="8:16" x14ac:dyDescent="0.25">
      <c r="H6282" s="12"/>
      <c r="I6282" s="12"/>
      <c r="J6282" s="12"/>
      <c r="K6282" s="12"/>
      <c r="L6282" s="12"/>
      <c r="M6282" s="11"/>
      <c r="N6282" s="11"/>
      <c r="O6282" s="11"/>
      <c r="P6282" s="11"/>
    </row>
    <row r="6283" spans="8:16" x14ac:dyDescent="0.25">
      <c r="H6283" s="12"/>
      <c r="I6283" s="12"/>
      <c r="J6283" s="12"/>
      <c r="K6283" s="12"/>
      <c r="L6283" s="12"/>
      <c r="M6283" s="11"/>
      <c r="N6283" s="11"/>
      <c r="O6283" s="11"/>
      <c r="P6283" s="11"/>
    </row>
    <row r="6284" spans="8:16" x14ac:dyDescent="0.25">
      <c r="H6284" s="12"/>
      <c r="I6284" s="12"/>
      <c r="J6284" s="12"/>
      <c r="K6284" s="12"/>
      <c r="L6284" s="12"/>
      <c r="M6284" s="11"/>
      <c r="N6284" s="11"/>
      <c r="O6284" s="11"/>
      <c r="P6284" s="11"/>
    </row>
    <row r="6285" spans="8:16" x14ac:dyDescent="0.25">
      <c r="H6285" s="12"/>
      <c r="I6285" s="12"/>
      <c r="J6285" s="12"/>
      <c r="K6285" s="12"/>
      <c r="L6285" s="12"/>
      <c r="M6285" s="11"/>
      <c r="N6285" s="11"/>
      <c r="O6285" s="11"/>
      <c r="P6285" s="11"/>
    </row>
    <row r="6286" spans="8:16" x14ac:dyDescent="0.25">
      <c r="H6286" s="12"/>
      <c r="I6286" s="12"/>
      <c r="J6286" s="12"/>
      <c r="K6286" s="12"/>
      <c r="L6286" s="12"/>
      <c r="M6286" s="11"/>
      <c r="N6286" s="11"/>
      <c r="O6286" s="11"/>
      <c r="P6286" s="11"/>
    </row>
    <row r="6287" spans="8:16" x14ac:dyDescent="0.25">
      <c r="H6287" s="12"/>
      <c r="I6287" s="12"/>
      <c r="J6287" s="12"/>
      <c r="K6287" s="12"/>
      <c r="L6287" s="12"/>
      <c r="M6287" s="11"/>
      <c r="N6287" s="11"/>
      <c r="O6287" s="11"/>
      <c r="P6287" s="11"/>
    </row>
    <row r="6288" spans="8:16" x14ac:dyDescent="0.25">
      <c r="H6288" s="12"/>
      <c r="I6288" s="12"/>
      <c r="J6288" s="12"/>
      <c r="K6288" s="12"/>
      <c r="L6288" s="12"/>
      <c r="M6288" s="11"/>
      <c r="N6288" s="11"/>
      <c r="O6288" s="11"/>
      <c r="P6288" s="11"/>
    </row>
    <row r="6289" spans="8:16" x14ac:dyDescent="0.25">
      <c r="H6289" s="12"/>
      <c r="I6289" s="12"/>
      <c r="J6289" s="12"/>
      <c r="K6289" s="12"/>
      <c r="L6289" s="12"/>
      <c r="M6289" s="11"/>
      <c r="N6289" s="11"/>
      <c r="O6289" s="11"/>
      <c r="P6289" s="11"/>
    </row>
    <row r="6290" spans="8:16" x14ac:dyDescent="0.25">
      <c r="H6290" s="12"/>
      <c r="I6290" s="12"/>
      <c r="J6290" s="12"/>
      <c r="K6290" s="12"/>
      <c r="L6290" s="12"/>
      <c r="M6290" s="11"/>
      <c r="N6290" s="11"/>
      <c r="O6290" s="11"/>
      <c r="P6290" s="11"/>
    </row>
    <row r="6291" spans="8:16" x14ac:dyDescent="0.25">
      <c r="H6291" s="12"/>
      <c r="I6291" s="12"/>
      <c r="J6291" s="12"/>
      <c r="K6291" s="12"/>
      <c r="L6291" s="12"/>
      <c r="M6291" s="11"/>
      <c r="N6291" s="11"/>
      <c r="O6291" s="11"/>
      <c r="P6291" s="11"/>
    </row>
    <row r="6292" spans="8:16" x14ac:dyDescent="0.25">
      <c r="H6292" s="12"/>
      <c r="I6292" s="12"/>
      <c r="J6292" s="12"/>
      <c r="K6292" s="12"/>
      <c r="L6292" s="12"/>
      <c r="M6292" s="11"/>
      <c r="N6292" s="11"/>
      <c r="O6292" s="11"/>
      <c r="P6292" s="11"/>
    </row>
    <row r="6293" spans="8:16" x14ac:dyDescent="0.25">
      <c r="H6293" s="12"/>
      <c r="I6293" s="12"/>
      <c r="J6293" s="12"/>
      <c r="K6293" s="12"/>
      <c r="L6293" s="12"/>
      <c r="M6293" s="11"/>
      <c r="N6293" s="11"/>
      <c r="O6293" s="11"/>
      <c r="P6293" s="11"/>
    </row>
    <row r="6294" spans="8:16" x14ac:dyDescent="0.25">
      <c r="H6294" s="12"/>
      <c r="I6294" s="12"/>
      <c r="J6294" s="12"/>
      <c r="K6294" s="12"/>
      <c r="L6294" s="12"/>
      <c r="M6294" s="11"/>
      <c r="N6294" s="11"/>
      <c r="O6294" s="11"/>
      <c r="P6294" s="11"/>
    </row>
    <row r="6295" spans="8:16" x14ac:dyDescent="0.25">
      <c r="H6295" s="12"/>
      <c r="I6295" s="12"/>
      <c r="J6295" s="12"/>
      <c r="K6295" s="12"/>
      <c r="L6295" s="12"/>
      <c r="M6295" s="11"/>
      <c r="N6295" s="11"/>
      <c r="O6295" s="11"/>
      <c r="P6295" s="11"/>
    </row>
    <row r="6296" spans="8:16" x14ac:dyDescent="0.25">
      <c r="H6296" s="12"/>
      <c r="I6296" s="12"/>
      <c r="J6296" s="12"/>
      <c r="K6296" s="12"/>
      <c r="L6296" s="12"/>
      <c r="M6296" s="11"/>
      <c r="N6296" s="11"/>
      <c r="O6296" s="11"/>
      <c r="P6296" s="11"/>
    </row>
    <row r="6297" spans="8:16" x14ac:dyDescent="0.25">
      <c r="H6297" s="12"/>
      <c r="I6297" s="12"/>
      <c r="J6297" s="12"/>
      <c r="K6297" s="12"/>
      <c r="L6297" s="12"/>
      <c r="M6297" s="11"/>
      <c r="N6297" s="11"/>
      <c r="O6297" s="11"/>
      <c r="P6297" s="11"/>
    </row>
    <row r="6298" spans="8:16" x14ac:dyDescent="0.25">
      <c r="H6298" s="12"/>
      <c r="I6298" s="12"/>
      <c r="J6298" s="12"/>
      <c r="K6298" s="12"/>
      <c r="L6298" s="12"/>
      <c r="M6298" s="11"/>
      <c r="N6298" s="11"/>
      <c r="O6298" s="11"/>
      <c r="P6298" s="11"/>
    </row>
    <row r="6299" spans="8:16" x14ac:dyDescent="0.25">
      <c r="H6299" s="12"/>
      <c r="I6299" s="12"/>
      <c r="J6299" s="12"/>
      <c r="K6299" s="12"/>
      <c r="L6299" s="12"/>
      <c r="M6299" s="11"/>
      <c r="N6299" s="11"/>
      <c r="O6299" s="11"/>
      <c r="P6299" s="11"/>
    </row>
    <row r="6300" spans="8:16" x14ac:dyDescent="0.25">
      <c r="H6300" s="12"/>
      <c r="I6300" s="12"/>
      <c r="J6300" s="12"/>
      <c r="K6300" s="12"/>
      <c r="L6300" s="12"/>
      <c r="M6300" s="11"/>
      <c r="N6300" s="11"/>
      <c r="O6300" s="11"/>
      <c r="P6300" s="11"/>
    </row>
    <row r="6301" spans="8:16" x14ac:dyDescent="0.25">
      <c r="H6301" s="12"/>
      <c r="I6301" s="12"/>
      <c r="J6301" s="12"/>
      <c r="K6301" s="12"/>
      <c r="L6301" s="12"/>
      <c r="M6301" s="11"/>
      <c r="N6301" s="11"/>
      <c r="O6301" s="11"/>
      <c r="P6301" s="11"/>
    </row>
    <row r="6302" spans="8:16" x14ac:dyDescent="0.25">
      <c r="H6302" s="12"/>
      <c r="I6302" s="12"/>
      <c r="J6302" s="12"/>
      <c r="K6302" s="12"/>
      <c r="L6302" s="12"/>
      <c r="M6302" s="11"/>
      <c r="N6302" s="11"/>
      <c r="O6302" s="11"/>
      <c r="P6302" s="11"/>
    </row>
    <row r="6303" spans="8:16" x14ac:dyDescent="0.25">
      <c r="H6303" s="12"/>
      <c r="I6303" s="12"/>
      <c r="J6303" s="12"/>
      <c r="K6303" s="12"/>
      <c r="L6303" s="12"/>
      <c r="M6303" s="11"/>
      <c r="N6303" s="11"/>
      <c r="O6303" s="11"/>
      <c r="P6303" s="11"/>
    </row>
    <row r="6304" spans="8:16" x14ac:dyDescent="0.25">
      <c r="H6304" s="12"/>
      <c r="I6304" s="12"/>
      <c r="J6304" s="12"/>
      <c r="K6304" s="12"/>
      <c r="L6304" s="12"/>
      <c r="M6304" s="11"/>
      <c r="N6304" s="11"/>
      <c r="O6304" s="11"/>
      <c r="P6304" s="11"/>
    </row>
    <row r="6305" spans="8:16" x14ac:dyDescent="0.25">
      <c r="H6305" s="12"/>
      <c r="I6305" s="12"/>
      <c r="J6305" s="12"/>
      <c r="K6305" s="12"/>
      <c r="L6305" s="12"/>
      <c r="M6305" s="11"/>
      <c r="N6305" s="11"/>
      <c r="O6305" s="11"/>
      <c r="P6305" s="11"/>
    </row>
    <row r="6306" spans="8:16" x14ac:dyDescent="0.25">
      <c r="H6306" s="12"/>
      <c r="I6306" s="12"/>
      <c r="J6306" s="12"/>
      <c r="K6306" s="12"/>
      <c r="L6306" s="12"/>
      <c r="M6306" s="11"/>
      <c r="N6306" s="11"/>
      <c r="O6306" s="11"/>
      <c r="P6306" s="11"/>
    </row>
    <row r="6307" spans="8:16" x14ac:dyDescent="0.25">
      <c r="H6307" s="12"/>
      <c r="I6307" s="12"/>
      <c r="J6307" s="12"/>
      <c r="K6307" s="12"/>
      <c r="L6307" s="12"/>
      <c r="M6307" s="11"/>
      <c r="N6307" s="11"/>
      <c r="O6307" s="11"/>
      <c r="P6307" s="11"/>
    </row>
    <row r="6308" spans="8:16" x14ac:dyDescent="0.25">
      <c r="H6308" s="12"/>
      <c r="I6308" s="12"/>
      <c r="J6308" s="12"/>
      <c r="K6308" s="12"/>
      <c r="L6308" s="12"/>
      <c r="M6308" s="11"/>
      <c r="N6308" s="11"/>
      <c r="O6308" s="11"/>
      <c r="P6308" s="11"/>
    </row>
    <row r="6309" spans="8:16" x14ac:dyDescent="0.25">
      <c r="H6309" s="12"/>
      <c r="I6309" s="12"/>
      <c r="J6309" s="12"/>
      <c r="K6309" s="12"/>
      <c r="L6309" s="12"/>
      <c r="M6309" s="11"/>
      <c r="N6309" s="11"/>
      <c r="O6309" s="11"/>
      <c r="P6309" s="11"/>
    </row>
    <row r="6310" spans="8:16" x14ac:dyDescent="0.25">
      <c r="H6310" s="12"/>
      <c r="I6310" s="12"/>
      <c r="J6310" s="12"/>
      <c r="K6310" s="12"/>
      <c r="L6310" s="12"/>
      <c r="M6310" s="11"/>
      <c r="N6310" s="11"/>
      <c r="O6310" s="11"/>
      <c r="P6310" s="11"/>
    </row>
    <row r="6311" spans="8:16" x14ac:dyDescent="0.25">
      <c r="H6311" s="12"/>
      <c r="I6311" s="12"/>
      <c r="J6311" s="12"/>
      <c r="K6311" s="12"/>
      <c r="L6311" s="12"/>
      <c r="M6311" s="11"/>
      <c r="N6311" s="11"/>
      <c r="O6311" s="11"/>
      <c r="P6311" s="11"/>
    </row>
    <row r="6312" spans="8:16" x14ac:dyDescent="0.25">
      <c r="H6312" s="12"/>
      <c r="I6312" s="12"/>
      <c r="J6312" s="12"/>
      <c r="K6312" s="12"/>
      <c r="L6312" s="12"/>
      <c r="M6312" s="11"/>
      <c r="N6312" s="11"/>
      <c r="O6312" s="11"/>
      <c r="P6312" s="11"/>
    </row>
    <row r="6313" spans="8:16" x14ac:dyDescent="0.25">
      <c r="H6313" s="12"/>
      <c r="I6313" s="12"/>
      <c r="J6313" s="12"/>
      <c r="K6313" s="12"/>
      <c r="L6313" s="12"/>
      <c r="M6313" s="11"/>
      <c r="N6313" s="11"/>
      <c r="O6313" s="11"/>
      <c r="P6313" s="11"/>
    </row>
    <row r="6314" spans="8:16" x14ac:dyDescent="0.25">
      <c r="H6314" s="12"/>
      <c r="I6314" s="12"/>
      <c r="J6314" s="12"/>
      <c r="K6314" s="12"/>
      <c r="L6314" s="12"/>
      <c r="M6314" s="11"/>
      <c r="N6314" s="11"/>
      <c r="O6314" s="11"/>
      <c r="P6314" s="11"/>
    </row>
    <row r="6315" spans="8:16" x14ac:dyDescent="0.25">
      <c r="H6315" s="12"/>
      <c r="I6315" s="12"/>
      <c r="J6315" s="12"/>
      <c r="K6315" s="12"/>
      <c r="L6315" s="12"/>
      <c r="M6315" s="11"/>
      <c r="N6315" s="11"/>
      <c r="O6315" s="11"/>
      <c r="P6315" s="11"/>
    </row>
    <row r="6316" spans="8:16" x14ac:dyDescent="0.25">
      <c r="H6316" s="12"/>
      <c r="I6316" s="12"/>
      <c r="J6316" s="12"/>
      <c r="K6316" s="12"/>
      <c r="L6316" s="12"/>
      <c r="M6316" s="11"/>
      <c r="N6316" s="11"/>
      <c r="O6316" s="11"/>
      <c r="P6316" s="11"/>
    </row>
    <row r="6317" spans="8:16" x14ac:dyDescent="0.25">
      <c r="H6317" s="12"/>
      <c r="I6317" s="12"/>
      <c r="J6317" s="12"/>
      <c r="K6317" s="12"/>
      <c r="L6317" s="12"/>
      <c r="M6317" s="11"/>
      <c r="N6317" s="11"/>
      <c r="O6317" s="11"/>
      <c r="P6317" s="11"/>
    </row>
    <row r="6318" spans="8:16" x14ac:dyDescent="0.25">
      <c r="H6318" s="12"/>
      <c r="I6318" s="12"/>
      <c r="J6318" s="12"/>
      <c r="K6318" s="12"/>
      <c r="L6318" s="12"/>
      <c r="M6318" s="11"/>
      <c r="N6318" s="11"/>
      <c r="O6318" s="11"/>
      <c r="P6318" s="11"/>
    </row>
    <row r="6319" spans="8:16" x14ac:dyDescent="0.25">
      <c r="H6319" s="12"/>
      <c r="I6319" s="12"/>
      <c r="J6319" s="12"/>
      <c r="K6319" s="12"/>
      <c r="L6319" s="12"/>
      <c r="M6319" s="11"/>
      <c r="N6319" s="11"/>
      <c r="O6319" s="11"/>
      <c r="P6319" s="11"/>
    </row>
    <row r="6320" spans="8:16" x14ac:dyDescent="0.25">
      <c r="H6320" s="12"/>
      <c r="I6320" s="12"/>
      <c r="J6320" s="12"/>
      <c r="K6320" s="12"/>
      <c r="L6320" s="12"/>
      <c r="M6320" s="11"/>
      <c r="N6320" s="11"/>
      <c r="O6320" s="11"/>
      <c r="P6320" s="11"/>
    </row>
    <row r="6321" spans="8:16" x14ac:dyDescent="0.25">
      <c r="H6321" s="12"/>
      <c r="I6321" s="12"/>
      <c r="J6321" s="12"/>
      <c r="K6321" s="12"/>
      <c r="L6321" s="12"/>
      <c r="M6321" s="11"/>
      <c r="N6321" s="11"/>
      <c r="O6321" s="11"/>
      <c r="P6321" s="11"/>
    </row>
    <row r="6322" spans="8:16" x14ac:dyDescent="0.25">
      <c r="H6322" s="12"/>
      <c r="I6322" s="12"/>
      <c r="J6322" s="12"/>
      <c r="K6322" s="12"/>
      <c r="L6322" s="12"/>
      <c r="M6322" s="11"/>
      <c r="N6322" s="11"/>
      <c r="O6322" s="11"/>
      <c r="P6322" s="11"/>
    </row>
    <row r="6323" spans="8:16" x14ac:dyDescent="0.25">
      <c r="H6323" s="12"/>
      <c r="I6323" s="12"/>
      <c r="J6323" s="12"/>
      <c r="K6323" s="12"/>
      <c r="L6323" s="12"/>
      <c r="M6323" s="11"/>
      <c r="N6323" s="11"/>
      <c r="O6323" s="11"/>
      <c r="P6323" s="11"/>
    </row>
    <row r="6324" spans="8:16" x14ac:dyDescent="0.25">
      <c r="H6324" s="12"/>
      <c r="I6324" s="12"/>
      <c r="J6324" s="12"/>
      <c r="K6324" s="12"/>
      <c r="L6324" s="12"/>
      <c r="M6324" s="11"/>
      <c r="N6324" s="11"/>
      <c r="O6324" s="11"/>
      <c r="P6324" s="11"/>
    </row>
    <row r="6325" spans="8:16" x14ac:dyDescent="0.25">
      <c r="H6325" s="12"/>
      <c r="I6325" s="12"/>
      <c r="J6325" s="12"/>
      <c r="K6325" s="12"/>
      <c r="L6325" s="12"/>
      <c r="M6325" s="11"/>
      <c r="N6325" s="11"/>
      <c r="O6325" s="11"/>
      <c r="P6325" s="11"/>
    </row>
    <row r="6326" spans="8:16" x14ac:dyDescent="0.25">
      <c r="H6326" s="12"/>
      <c r="I6326" s="12"/>
      <c r="J6326" s="12"/>
      <c r="K6326" s="12"/>
      <c r="L6326" s="12"/>
      <c r="M6326" s="11"/>
      <c r="N6326" s="11"/>
      <c r="O6326" s="11"/>
      <c r="P6326" s="11"/>
    </row>
    <row r="6327" spans="8:16" x14ac:dyDescent="0.25">
      <c r="H6327" s="12"/>
      <c r="I6327" s="12"/>
      <c r="J6327" s="12"/>
      <c r="K6327" s="12"/>
      <c r="L6327" s="12"/>
      <c r="M6327" s="11"/>
      <c r="N6327" s="11"/>
      <c r="O6327" s="11"/>
      <c r="P6327" s="11"/>
    </row>
    <row r="6328" spans="8:16" x14ac:dyDescent="0.25">
      <c r="H6328" s="12"/>
      <c r="I6328" s="12"/>
      <c r="J6328" s="12"/>
      <c r="K6328" s="12"/>
      <c r="L6328" s="12"/>
      <c r="M6328" s="11"/>
      <c r="N6328" s="11"/>
      <c r="O6328" s="11"/>
      <c r="P6328" s="11"/>
    </row>
    <row r="6329" spans="8:16" x14ac:dyDescent="0.25">
      <c r="H6329" s="12"/>
      <c r="I6329" s="12"/>
      <c r="J6329" s="12"/>
      <c r="K6329" s="12"/>
      <c r="L6329" s="12"/>
      <c r="M6329" s="11"/>
      <c r="N6329" s="11"/>
      <c r="O6329" s="11"/>
      <c r="P6329" s="11"/>
    </row>
    <row r="6330" spans="8:16" x14ac:dyDescent="0.25">
      <c r="H6330" s="12"/>
      <c r="I6330" s="12"/>
      <c r="J6330" s="12"/>
      <c r="K6330" s="12"/>
      <c r="L6330" s="12"/>
      <c r="M6330" s="11"/>
      <c r="N6330" s="11"/>
      <c r="O6330" s="11"/>
      <c r="P6330" s="11"/>
    </row>
    <row r="6331" spans="8:16" x14ac:dyDescent="0.25">
      <c r="H6331" s="12"/>
      <c r="I6331" s="12"/>
      <c r="J6331" s="12"/>
      <c r="K6331" s="12"/>
      <c r="L6331" s="12"/>
      <c r="M6331" s="11"/>
      <c r="N6331" s="11"/>
      <c r="O6331" s="11"/>
      <c r="P6331" s="11"/>
    </row>
    <row r="6332" spans="8:16" x14ac:dyDescent="0.25">
      <c r="H6332" s="12"/>
      <c r="I6332" s="12"/>
      <c r="J6332" s="12"/>
      <c r="K6332" s="12"/>
      <c r="L6332" s="12"/>
      <c r="M6332" s="11"/>
      <c r="N6332" s="11"/>
      <c r="O6332" s="11"/>
      <c r="P6332" s="11"/>
    </row>
    <row r="6333" spans="8:16" x14ac:dyDescent="0.25">
      <c r="H6333" s="12"/>
      <c r="I6333" s="12"/>
      <c r="J6333" s="12"/>
      <c r="K6333" s="12"/>
      <c r="L6333" s="12"/>
      <c r="M6333" s="11"/>
      <c r="N6333" s="11"/>
      <c r="O6333" s="11"/>
      <c r="P6333" s="11"/>
    </row>
    <row r="6334" spans="8:16" x14ac:dyDescent="0.25">
      <c r="H6334" s="12"/>
      <c r="I6334" s="12"/>
      <c r="J6334" s="12"/>
      <c r="K6334" s="12"/>
      <c r="L6334" s="12"/>
      <c r="M6334" s="11"/>
      <c r="N6334" s="11"/>
      <c r="O6334" s="11"/>
      <c r="P6334" s="11"/>
    </row>
    <row r="6335" spans="8:16" x14ac:dyDescent="0.25">
      <c r="H6335" s="12"/>
      <c r="I6335" s="12"/>
      <c r="J6335" s="12"/>
      <c r="K6335" s="12"/>
      <c r="L6335" s="12"/>
      <c r="M6335" s="11"/>
      <c r="N6335" s="11"/>
      <c r="O6335" s="11"/>
      <c r="P6335" s="11"/>
    </row>
    <row r="6336" spans="8:16" x14ac:dyDescent="0.25">
      <c r="H6336" s="12"/>
      <c r="I6336" s="12"/>
      <c r="J6336" s="12"/>
      <c r="K6336" s="12"/>
      <c r="L6336" s="12"/>
      <c r="M6336" s="11"/>
      <c r="N6336" s="11"/>
      <c r="O6336" s="11"/>
      <c r="P6336" s="11"/>
    </row>
    <row r="6337" spans="8:16" x14ac:dyDescent="0.25">
      <c r="H6337" s="12"/>
      <c r="I6337" s="12"/>
      <c r="J6337" s="12"/>
      <c r="K6337" s="12"/>
      <c r="L6337" s="12"/>
      <c r="M6337" s="11"/>
      <c r="N6337" s="11"/>
      <c r="O6337" s="11"/>
      <c r="P6337" s="11"/>
    </row>
    <row r="6338" spans="8:16" x14ac:dyDescent="0.25">
      <c r="H6338" s="12"/>
      <c r="I6338" s="12"/>
      <c r="J6338" s="12"/>
      <c r="K6338" s="12"/>
      <c r="L6338" s="12"/>
      <c r="M6338" s="11"/>
      <c r="N6338" s="11"/>
      <c r="O6338" s="11"/>
      <c r="P6338" s="11"/>
    </row>
    <row r="6339" spans="8:16" x14ac:dyDescent="0.25">
      <c r="H6339" s="12"/>
      <c r="I6339" s="12"/>
      <c r="J6339" s="12"/>
      <c r="K6339" s="12"/>
      <c r="L6339" s="12"/>
      <c r="M6339" s="11"/>
      <c r="N6339" s="11"/>
      <c r="O6339" s="11"/>
      <c r="P6339" s="11"/>
    </row>
    <row r="6340" spans="8:16" x14ac:dyDescent="0.25">
      <c r="H6340" s="12"/>
      <c r="I6340" s="12"/>
      <c r="J6340" s="12"/>
      <c r="K6340" s="12"/>
      <c r="L6340" s="12"/>
      <c r="M6340" s="11"/>
      <c r="N6340" s="11"/>
      <c r="O6340" s="11"/>
      <c r="P6340" s="11"/>
    </row>
    <row r="6341" spans="8:16" x14ac:dyDescent="0.25">
      <c r="H6341" s="12"/>
      <c r="I6341" s="12"/>
      <c r="J6341" s="12"/>
      <c r="K6341" s="12"/>
      <c r="L6341" s="12"/>
      <c r="M6341" s="11"/>
      <c r="N6341" s="11"/>
      <c r="O6341" s="11"/>
      <c r="P6341" s="11"/>
    </row>
    <row r="6342" spans="8:16" x14ac:dyDescent="0.25">
      <c r="H6342" s="12"/>
      <c r="I6342" s="12"/>
      <c r="J6342" s="12"/>
      <c r="K6342" s="12"/>
      <c r="L6342" s="12"/>
      <c r="M6342" s="11"/>
      <c r="N6342" s="11"/>
      <c r="O6342" s="11"/>
      <c r="P6342" s="11"/>
    </row>
    <row r="6343" spans="8:16" x14ac:dyDescent="0.25">
      <c r="H6343" s="12"/>
      <c r="I6343" s="12"/>
      <c r="J6343" s="12"/>
      <c r="K6343" s="12"/>
      <c r="L6343" s="12"/>
      <c r="M6343" s="11"/>
      <c r="N6343" s="11"/>
      <c r="O6343" s="11"/>
      <c r="P6343" s="11"/>
    </row>
    <row r="6344" spans="8:16" x14ac:dyDescent="0.25">
      <c r="H6344" s="12"/>
      <c r="I6344" s="12"/>
      <c r="J6344" s="12"/>
      <c r="K6344" s="12"/>
      <c r="L6344" s="12"/>
      <c r="M6344" s="11"/>
      <c r="N6344" s="11"/>
      <c r="O6344" s="11"/>
      <c r="P6344" s="11"/>
    </row>
    <row r="6345" spans="8:16" x14ac:dyDescent="0.25">
      <c r="H6345" s="12"/>
      <c r="I6345" s="12"/>
      <c r="J6345" s="12"/>
      <c r="K6345" s="12"/>
      <c r="L6345" s="12"/>
      <c r="M6345" s="11"/>
      <c r="N6345" s="11"/>
      <c r="O6345" s="11"/>
      <c r="P6345" s="11"/>
    </row>
    <row r="6346" spans="8:16" x14ac:dyDescent="0.25">
      <c r="H6346" s="12"/>
      <c r="I6346" s="12"/>
      <c r="J6346" s="12"/>
      <c r="K6346" s="12"/>
      <c r="L6346" s="12"/>
      <c r="M6346" s="11"/>
      <c r="N6346" s="11"/>
      <c r="O6346" s="11"/>
      <c r="P6346" s="11"/>
    </row>
    <row r="6347" spans="8:16" x14ac:dyDescent="0.25">
      <c r="H6347" s="12"/>
      <c r="I6347" s="12"/>
      <c r="J6347" s="12"/>
      <c r="K6347" s="12"/>
      <c r="L6347" s="12"/>
      <c r="M6347" s="11"/>
      <c r="N6347" s="11"/>
      <c r="O6347" s="11"/>
      <c r="P6347" s="11"/>
    </row>
    <row r="6348" spans="8:16" x14ac:dyDescent="0.25">
      <c r="H6348" s="12"/>
      <c r="I6348" s="12"/>
      <c r="J6348" s="12"/>
      <c r="K6348" s="12"/>
      <c r="L6348" s="12"/>
      <c r="M6348" s="11"/>
      <c r="N6348" s="11"/>
      <c r="O6348" s="11"/>
      <c r="P6348" s="11"/>
    </row>
    <row r="6349" spans="8:16" x14ac:dyDescent="0.25">
      <c r="H6349" s="12"/>
      <c r="I6349" s="12"/>
      <c r="J6349" s="12"/>
      <c r="K6349" s="12"/>
      <c r="L6349" s="12"/>
      <c r="M6349" s="11"/>
      <c r="N6349" s="11"/>
      <c r="O6349" s="11"/>
      <c r="P6349" s="11"/>
    </row>
    <row r="6350" spans="8:16" x14ac:dyDescent="0.25">
      <c r="H6350" s="12"/>
      <c r="I6350" s="12"/>
      <c r="J6350" s="12"/>
      <c r="K6350" s="12"/>
      <c r="L6350" s="12"/>
      <c r="M6350" s="11"/>
      <c r="N6350" s="11"/>
      <c r="O6350" s="11"/>
      <c r="P6350" s="11"/>
    </row>
    <row r="6351" spans="8:16" x14ac:dyDescent="0.25">
      <c r="H6351" s="12"/>
      <c r="I6351" s="12"/>
      <c r="J6351" s="12"/>
      <c r="K6351" s="12"/>
      <c r="L6351" s="12"/>
      <c r="M6351" s="11"/>
      <c r="N6351" s="11"/>
      <c r="O6351" s="11"/>
      <c r="P6351" s="11"/>
    </row>
    <row r="6352" spans="8:16" x14ac:dyDescent="0.25">
      <c r="H6352" s="12"/>
      <c r="I6352" s="12"/>
      <c r="J6352" s="12"/>
      <c r="K6352" s="12"/>
      <c r="L6352" s="12"/>
      <c r="M6352" s="11"/>
      <c r="N6352" s="11"/>
      <c r="O6352" s="11"/>
      <c r="P6352" s="11"/>
    </row>
    <row r="6353" spans="8:16" x14ac:dyDescent="0.25">
      <c r="H6353" s="12"/>
      <c r="I6353" s="12"/>
      <c r="J6353" s="12"/>
      <c r="K6353" s="12"/>
      <c r="L6353" s="12"/>
      <c r="M6353" s="11"/>
      <c r="N6353" s="11"/>
      <c r="O6353" s="11"/>
      <c r="P6353" s="11"/>
    </row>
    <row r="6354" spans="8:16" x14ac:dyDescent="0.25">
      <c r="H6354" s="12"/>
      <c r="I6354" s="12"/>
      <c r="J6354" s="12"/>
      <c r="K6354" s="12"/>
      <c r="L6354" s="12"/>
      <c r="M6354" s="11"/>
      <c r="N6354" s="11"/>
      <c r="O6354" s="11"/>
      <c r="P6354" s="11"/>
    </row>
    <row r="6355" spans="8:16" x14ac:dyDescent="0.25">
      <c r="H6355" s="12"/>
      <c r="I6355" s="12"/>
      <c r="J6355" s="12"/>
      <c r="K6355" s="12"/>
      <c r="L6355" s="12"/>
      <c r="M6355" s="11"/>
      <c r="N6355" s="11"/>
      <c r="O6355" s="11"/>
      <c r="P6355" s="11"/>
    </row>
    <row r="6356" spans="8:16" x14ac:dyDescent="0.25">
      <c r="H6356" s="12"/>
      <c r="I6356" s="12"/>
      <c r="J6356" s="12"/>
      <c r="K6356" s="12"/>
      <c r="L6356" s="12"/>
      <c r="M6356" s="11"/>
      <c r="N6356" s="11"/>
      <c r="O6356" s="11"/>
      <c r="P6356" s="11"/>
    </row>
    <row r="6357" spans="8:16" x14ac:dyDescent="0.25">
      <c r="H6357" s="12"/>
      <c r="I6357" s="12"/>
      <c r="J6357" s="12"/>
      <c r="K6357" s="12"/>
      <c r="L6357" s="12"/>
      <c r="M6357" s="11"/>
      <c r="N6357" s="11"/>
      <c r="O6357" s="11"/>
      <c r="P6357" s="11"/>
    </row>
    <row r="6358" spans="8:16" x14ac:dyDescent="0.25">
      <c r="H6358" s="12"/>
      <c r="I6358" s="12"/>
      <c r="J6358" s="12"/>
      <c r="K6358" s="12"/>
      <c r="L6358" s="12"/>
      <c r="M6358" s="11"/>
      <c r="N6358" s="11"/>
      <c r="O6358" s="11"/>
      <c r="P6358" s="11"/>
    </row>
    <row r="6359" spans="8:16" x14ac:dyDescent="0.25">
      <c r="H6359" s="12"/>
      <c r="I6359" s="12"/>
      <c r="J6359" s="12"/>
      <c r="K6359" s="12"/>
      <c r="L6359" s="12"/>
      <c r="M6359" s="11"/>
      <c r="N6359" s="11"/>
      <c r="O6359" s="11"/>
      <c r="P6359" s="11"/>
    </row>
    <row r="6360" spans="8:16" x14ac:dyDescent="0.25">
      <c r="H6360" s="12"/>
      <c r="I6360" s="12"/>
      <c r="J6360" s="12"/>
      <c r="K6360" s="12"/>
      <c r="L6360" s="12"/>
      <c r="M6360" s="11"/>
      <c r="N6360" s="11"/>
      <c r="O6360" s="11"/>
      <c r="P6360" s="11"/>
    </row>
    <row r="6361" spans="8:16" x14ac:dyDescent="0.25">
      <c r="H6361" s="12"/>
      <c r="I6361" s="12"/>
      <c r="J6361" s="12"/>
      <c r="K6361" s="12"/>
      <c r="L6361" s="12"/>
      <c r="M6361" s="11"/>
      <c r="N6361" s="11"/>
      <c r="O6361" s="11"/>
      <c r="P6361" s="11"/>
    </row>
    <row r="6362" spans="8:16" x14ac:dyDescent="0.25">
      <c r="H6362" s="12"/>
      <c r="I6362" s="12"/>
      <c r="J6362" s="12"/>
      <c r="K6362" s="12"/>
      <c r="L6362" s="12"/>
      <c r="M6362" s="11"/>
      <c r="N6362" s="11"/>
      <c r="O6362" s="11"/>
      <c r="P6362" s="11"/>
    </row>
    <row r="6363" spans="8:16" x14ac:dyDescent="0.25">
      <c r="H6363" s="12"/>
      <c r="I6363" s="12"/>
      <c r="J6363" s="12"/>
      <c r="K6363" s="12"/>
      <c r="L6363" s="12"/>
      <c r="M6363" s="11"/>
      <c r="N6363" s="11"/>
      <c r="O6363" s="11"/>
      <c r="P6363" s="11"/>
    </row>
    <row r="6364" spans="8:16" x14ac:dyDescent="0.25">
      <c r="H6364" s="12"/>
      <c r="I6364" s="12"/>
      <c r="J6364" s="12"/>
      <c r="K6364" s="12"/>
      <c r="L6364" s="12"/>
      <c r="M6364" s="11"/>
      <c r="N6364" s="11"/>
      <c r="O6364" s="11"/>
      <c r="P6364" s="11"/>
    </row>
    <row r="6365" spans="8:16" x14ac:dyDescent="0.25">
      <c r="H6365" s="12"/>
      <c r="I6365" s="12"/>
      <c r="J6365" s="12"/>
      <c r="K6365" s="12"/>
      <c r="L6365" s="12"/>
      <c r="M6365" s="11"/>
      <c r="N6365" s="11"/>
      <c r="O6365" s="11"/>
      <c r="P6365" s="11"/>
    </row>
    <row r="6366" spans="8:16" x14ac:dyDescent="0.25">
      <c r="H6366" s="12"/>
      <c r="I6366" s="12"/>
      <c r="J6366" s="12"/>
      <c r="K6366" s="12"/>
      <c r="L6366" s="12"/>
      <c r="M6366" s="11"/>
      <c r="N6366" s="11"/>
      <c r="O6366" s="11"/>
      <c r="P6366" s="11"/>
    </row>
    <row r="6367" spans="8:16" x14ac:dyDescent="0.25">
      <c r="H6367" s="12"/>
      <c r="I6367" s="12"/>
      <c r="J6367" s="12"/>
      <c r="K6367" s="12"/>
      <c r="L6367" s="12"/>
      <c r="M6367" s="11"/>
      <c r="N6367" s="11"/>
      <c r="O6367" s="11"/>
      <c r="P6367" s="11"/>
    </row>
    <row r="6368" spans="8:16" x14ac:dyDescent="0.25">
      <c r="H6368" s="12"/>
      <c r="I6368" s="12"/>
      <c r="J6368" s="12"/>
      <c r="K6368" s="12"/>
      <c r="L6368" s="12"/>
      <c r="M6368" s="11"/>
      <c r="N6368" s="11"/>
      <c r="O6368" s="11"/>
      <c r="P6368" s="11"/>
    </row>
    <row r="6369" spans="8:16" x14ac:dyDescent="0.25">
      <c r="H6369" s="12"/>
      <c r="I6369" s="12"/>
      <c r="J6369" s="12"/>
      <c r="K6369" s="12"/>
      <c r="L6369" s="12"/>
      <c r="M6369" s="11"/>
      <c r="N6369" s="11"/>
      <c r="O6369" s="11"/>
      <c r="P6369" s="11"/>
    </row>
    <row r="6370" spans="8:16" x14ac:dyDescent="0.25">
      <c r="H6370" s="12"/>
      <c r="I6370" s="12"/>
      <c r="J6370" s="12"/>
      <c r="K6370" s="12"/>
      <c r="L6370" s="12"/>
      <c r="M6370" s="11"/>
      <c r="N6370" s="11"/>
      <c r="O6370" s="11"/>
      <c r="P6370" s="11"/>
    </row>
    <row r="6371" spans="8:16" x14ac:dyDescent="0.25">
      <c r="H6371" s="12"/>
      <c r="I6371" s="12"/>
      <c r="J6371" s="12"/>
      <c r="K6371" s="12"/>
      <c r="L6371" s="12"/>
      <c r="M6371" s="11"/>
      <c r="N6371" s="11"/>
      <c r="O6371" s="11"/>
      <c r="P6371" s="11"/>
    </row>
    <row r="6372" spans="8:16" x14ac:dyDescent="0.25">
      <c r="H6372" s="12"/>
      <c r="I6372" s="12"/>
      <c r="J6372" s="12"/>
      <c r="K6372" s="12"/>
      <c r="L6372" s="12"/>
      <c r="M6372" s="11"/>
      <c r="N6372" s="11"/>
      <c r="O6372" s="11"/>
      <c r="P6372" s="11"/>
    </row>
    <row r="6373" spans="8:16" x14ac:dyDescent="0.25">
      <c r="H6373" s="12"/>
      <c r="I6373" s="12"/>
      <c r="J6373" s="12"/>
      <c r="K6373" s="12"/>
      <c r="L6373" s="12"/>
      <c r="M6373" s="11"/>
      <c r="N6373" s="11"/>
      <c r="O6373" s="11"/>
      <c r="P6373" s="11"/>
    </row>
    <row r="6374" spans="8:16" x14ac:dyDescent="0.25">
      <c r="H6374" s="12"/>
      <c r="I6374" s="12"/>
      <c r="J6374" s="12"/>
      <c r="K6374" s="12"/>
      <c r="L6374" s="12"/>
      <c r="M6374" s="11"/>
      <c r="N6374" s="11"/>
      <c r="O6374" s="11"/>
      <c r="P6374" s="11"/>
    </row>
    <row r="6375" spans="8:16" x14ac:dyDescent="0.25">
      <c r="H6375" s="12"/>
      <c r="I6375" s="12"/>
      <c r="J6375" s="12"/>
      <c r="K6375" s="12"/>
      <c r="L6375" s="12"/>
      <c r="M6375" s="11"/>
      <c r="N6375" s="11"/>
      <c r="O6375" s="11"/>
      <c r="P6375" s="11"/>
    </row>
    <row r="6376" spans="8:16" x14ac:dyDescent="0.25">
      <c r="H6376" s="12"/>
      <c r="I6376" s="12"/>
      <c r="J6376" s="12"/>
      <c r="K6376" s="12"/>
      <c r="L6376" s="12"/>
      <c r="M6376" s="11"/>
      <c r="N6376" s="11"/>
      <c r="O6376" s="11"/>
      <c r="P6376" s="11"/>
    </row>
    <row r="6377" spans="8:16" x14ac:dyDescent="0.25">
      <c r="H6377" s="12"/>
      <c r="I6377" s="12"/>
      <c r="J6377" s="12"/>
      <c r="K6377" s="12"/>
      <c r="L6377" s="12"/>
      <c r="M6377" s="11"/>
      <c r="N6377" s="11"/>
      <c r="O6377" s="11"/>
      <c r="P6377" s="11"/>
    </row>
    <row r="6378" spans="8:16" x14ac:dyDescent="0.25">
      <c r="H6378" s="12"/>
      <c r="I6378" s="12"/>
      <c r="J6378" s="12"/>
      <c r="K6378" s="12"/>
      <c r="L6378" s="12"/>
      <c r="M6378" s="11"/>
      <c r="N6378" s="11"/>
      <c r="O6378" s="11"/>
      <c r="P6378" s="11"/>
    </row>
    <row r="6379" spans="8:16" x14ac:dyDescent="0.25">
      <c r="H6379" s="12"/>
      <c r="I6379" s="12"/>
      <c r="J6379" s="12"/>
      <c r="K6379" s="12"/>
      <c r="L6379" s="12"/>
      <c r="M6379" s="11"/>
      <c r="N6379" s="11"/>
      <c r="O6379" s="11"/>
      <c r="P6379" s="11"/>
    </row>
    <row r="6380" spans="8:16" x14ac:dyDescent="0.25">
      <c r="H6380" s="12"/>
      <c r="I6380" s="12"/>
      <c r="J6380" s="12"/>
      <c r="K6380" s="12"/>
      <c r="L6380" s="12"/>
      <c r="M6380" s="11"/>
      <c r="N6380" s="11"/>
      <c r="O6380" s="11"/>
      <c r="P6380" s="11"/>
    </row>
    <row r="6381" spans="8:16" x14ac:dyDescent="0.25">
      <c r="H6381" s="12"/>
      <c r="I6381" s="12"/>
      <c r="J6381" s="12"/>
      <c r="K6381" s="12"/>
      <c r="L6381" s="12"/>
      <c r="M6381" s="11"/>
      <c r="N6381" s="11"/>
      <c r="O6381" s="11"/>
      <c r="P6381" s="11"/>
    </row>
    <row r="6382" spans="8:16" x14ac:dyDescent="0.25">
      <c r="H6382" s="12"/>
      <c r="I6382" s="12"/>
      <c r="J6382" s="12"/>
      <c r="K6382" s="12"/>
      <c r="L6382" s="12"/>
      <c r="M6382" s="11"/>
      <c r="N6382" s="11"/>
      <c r="O6382" s="11"/>
      <c r="P6382" s="11"/>
    </row>
    <row r="6383" spans="8:16" x14ac:dyDescent="0.25">
      <c r="H6383" s="12"/>
      <c r="I6383" s="12"/>
      <c r="J6383" s="12"/>
      <c r="K6383" s="12"/>
      <c r="L6383" s="12"/>
      <c r="M6383" s="11"/>
      <c r="N6383" s="11"/>
      <c r="O6383" s="11"/>
      <c r="P6383" s="11"/>
    </row>
    <row r="6384" spans="8:16" x14ac:dyDescent="0.25">
      <c r="H6384" s="12"/>
      <c r="I6384" s="12"/>
      <c r="J6384" s="12"/>
      <c r="K6384" s="12"/>
      <c r="L6384" s="12"/>
      <c r="M6384" s="11"/>
      <c r="N6384" s="11"/>
      <c r="O6384" s="11"/>
      <c r="P6384" s="11"/>
    </row>
    <row r="6385" spans="8:16" x14ac:dyDescent="0.25">
      <c r="H6385" s="12"/>
      <c r="I6385" s="12"/>
      <c r="J6385" s="12"/>
      <c r="K6385" s="12"/>
      <c r="L6385" s="12"/>
      <c r="M6385" s="11"/>
      <c r="N6385" s="11"/>
      <c r="O6385" s="11"/>
      <c r="P6385" s="11"/>
    </row>
    <row r="6386" spans="8:16" x14ac:dyDescent="0.25">
      <c r="H6386" s="12"/>
      <c r="I6386" s="12"/>
      <c r="J6386" s="12"/>
      <c r="K6386" s="12"/>
      <c r="L6386" s="12"/>
      <c r="M6386" s="11"/>
      <c r="N6386" s="11"/>
      <c r="O6386" s="11"/>
      <c r="P6386" s="11"/>
    </row>
    <row r="6387" spans="8:16" x14ac:dyDescent="0.25">
      <c r="H6387" s="12"/>
      <c r="I6387" s="12"/>
      <c r="J6387" s="12"/>
      <c r="K6387" s="12"/>
      <c r="L6387" s="12"/>
      <c r="M6387" s="11"/>
      <c r="N6387" s="11"/>
      <c r="O6387" s="11"/>
      <c r="P6387" s="11"/>
    </row>
    <row r="6388" spans="8:16" x14ac:dyDescent="0.25">
      <c r="H6388" s="12"/>
      <c r="I6388" s="12"/>
      <c r="J6388" s="12"/>
      <c r="K6388" s="12"/>
      <c r="L6388" s="12"/>
      <c r="M6388" s="11"/>
      <c r="N6388" s="11"/>
      <c r="O6388" s="11"/>
      <c r="P6388" s="11"/>
    </row>
    <row r="6389" spans="8:16" x14ac:dyDescent="0.25">
      <c r="H6389" s="12"/>
      <c r="I6389" s="12"/>
      <c r="J6389" s="12"/>
      <c r="K6389" s="12"/>
      <c r="L6389" s="12"/>
      <c r="M6389" s="11"/>
      <c r="N6389" s="11"/>
      <c r="O6389" s="11"/>
      <c r="P6389" s="11"/>
    </row>
    <row r="6390" spans="8:16" x14ac:dyDescent="0.25">
      <c r="H6390" s="12"/>
      <c r="I6390" s="12"/>
      <c r="J6390" s="12"/>
      <c r="K6390" s="12"/>
      <c r="L6390" s="12"/>
      <c r="M6390" s="11"/>
      <c r="N6390" s="11"/>
      <c r="O6390" s="11"/>
      <c r="P6390" s="11"/>
    </row>
    <row r="6391" spans="8:16" x14ac:dyDescent="0.25">
      <c r="H6391" s="12"/>
      <c r="I6391" s="12"/>
      <c r="J6391" s="12"/>
      <c r="K6391" s="12"/>
      <c r="L6391" s="12"/>
      <c r="M6391" s="11"/>
      <c r="N6391" s="11"/>
      <c r="O6391" s="11"/>
      <c r="P6391" s="11"/>
    </row>
    <row r="6392" spans="8:16" x14ac:dyDescent="0.25">
      <c r="H6392" s="12"/>
      <c r="I6392" s="12"/>
      <c r="J6392" s="12"/>
      <c r="K6392" s="12"/>
      <c r="L6392" s="12"/>
      <c r="M6392" s="11"/>
      <c r="N6392" s="11"/>
      <c r="O6392" s="11"/>
      <c r="P6392" s="11"/>
    </row>
    <row r="6393" spans="8:16" x14ac:dyDescent="0.25">
      <c r="H6393" s="12"/>
      <c r="I6393" s="12"/>
      <c r="J6393" s="12"/>
      <c r="K6393" s="12"/>
      <c r="L6393" s="12"/>
      <c r="M6393" s="11"/>
      <c r="N6393" s="11"/>
      <c r="O6393" s="11"/>
      <c r="P6393" s="11"/>
    </row>
    <row r="6394" spans="8:16" x14ac:dyDescent="0.25">
      <c r="H6394" s="12"/>
      <c r="I6394" s="12"/>
      <c r="J6394" s="12"/>
      <c r="K6394" s="12"/>
      <c r="L6394" s="12"/>
      <c r="M6394" s="11"/>
      <c r="N6394" s="11"/>
      <c r="O6394" s="11"/>
      <c r="P6394" s="11"/>
    </row>
    <row r="6395" spans="8:16" x14ac:dyDescent="0.25">
      <c r="H6395" s="12"/>
      <c r="I6395" s="12"/>
      <c r="J6395" s="12"/>
      <c r="K6395" s="12"/>
      <c r="L6395" s="12"/>
      <c r="M6395" s="11"/>
      <c r="N6395" s="11"/>
      <c r="O6395" s="11"/>
      <c r="P6395" s="11"/>
    </row>
    <row r="6396" spans="8:16" x14ac:dyDescent="0.25">
      <c r="H6396" s="12"/>
      <c r="I6396" s="12"/>
      <c r="J6396" s="12"/>
      <c r="K6396" s="12"/>
      <c r="L6396" s="12"/>
      <c r="M6396" s="11"/>
      <c r="N6396" s="11"/>
      <c r="O6396" s="11"/>
      <c r="P6396" s="11"/>
    </row>
    <row r="6397" spans="8:16" x14ac:dyDescent="0.25">
      <c r="H6397" s="12"/>
      <c r="I6397" s="12"/>
      <c r="J6397" s="12"/>
      <c r="K6397" s="12"/>
      <c r="L6397" s="12"/>
      <c r="M6397" s="11"/>
      <c r="N6397" s="11"/>
      <c r="O6397" s="11"/>
      <c r="P6397" s="11"/>
    </row>
    <row r="6398" spans="8:16" x14ac:dyDescent="0.25">
      <c r="H6398" s="12"/>
      <c r="I6398" s="12"/>
      <c r="J6398" s="12"/>
      <c r="K6398" s="12"/>
      <c r="L6398" s="12"/>
      <c r="M6398" s="11"/>
      <c r="N6398" s="11"/>
      <c r="O6398" s="11"/>
      <c r="P6398" s="11"/>
    </row>
    <row r="6399" spans="8:16" x14ac:dyDescent="0.25">
      <c r="H6399" s="12"/>
      <c r="I6399" s="12"/>
      <c r="J6399" s="12"/>
      <c r="K6399" s="12"/>
      <c r="L6399" s="12"/>
      <c r="M6399" s="11"/>
      <c r="N6399" s="11"/>
      <c r="O6399" s="11"/>
      <c r="P6399" s="11"/>
    </row>
    <row r="6400" spans="8:16" x14ac:dyDescent="0.25">
      <c r="H6400" s="12"/>
      <c r="I6400" s="12"/>
      <c r="J6400" s="12"/>
      <c r="K6400" s="12"/>
      <c r="L6400" s="12"/>
      <c r="M6400" s="11"/>
      <c r="N6400" s="11"/>
      <c r="O6400" s="11"/>
      <c r="P6400" s="11"/>
    </row>
    <row r="6401" spans="8:16" x14ac:dyDescent="0.25">
      <c r="H6401" s="12"/>
      <c r="I6401" s="12"/>
      <c r="J6401" s="12"/>
      <c r="K6401" s="12"/>
      <c r="L6401" s="12"/>
      <c r="M6401" s="11"/>
      <c r="N6401" s="11"/>
      <c r="O6401" s="11"/>
      <c r="P6401" s="11"/>
    </row>
    <row r="6402" spans="8:16" x14ac:dyDescent="0.25">
      <c r="H6402" s="12"/>
      <c r="I6402" s="12"/>
      <c r="J6402" s="12"/>
      <c r="K6402" s="12"/>
      <c r="L6402" s="12"/>
      <c r="M6402" s="11"/>
      <c r="N6402" s="11"/>
      <c r="O6402" s="11"/>
      <c r="P6402" s="11"/>
    </row>
    <row r="6403" spans="8:16" x14ac:dyDescent="0.25">
      <c r="H6403" s="12"/>
      <c r="I6403" s="12"/>
      <c r="J6403" s="12"/>
      <c r="K6403" s="12"/>
      <c r="L6403" s="12"/>
      <c r="M6403" s="11"/>
      <c r="N6403" s="11"/>
      <c r="O6403" s="11"/>
      <c r="P6403" s="11"/>
    </row>
    <row r="6404" spans="8:16" x14ac:dyDescent="0.25">
      <c r="H6404" s="12"/>
      <c r="I6404" s="12"/>
      <c r="J6404" s="12"/>
      <c r="K6404" s="12"/>
      <c r="L6404" s="12"/>
      <c r="M6404" s="11"/>
      <c r="N6404" s="11"/>
      <c r="O6404" s="11"/>
      <c r="P6404" s="11"/>
    </row>
    <row r="6405" spans="8:16" x14ac:dyDescent="0.25">
      <c r="H6405" s="12"/>
      <c r="I6405" s="12"/>
      <c r="J6405" s="12"/>
      <c r="K6405" s="12"/>
      <c r="L6405" s="12"/>
      <c r="M6405" s="11"/>
      <c r="N6405" s="11"/>
      <c r="O6405" s="11"/>
      <c r="P6405" s="11"/>
    </row>
    <row r="6406" spans="8:16" x14ac:dyDescent="0.25">
      <c r="H6406" s="12"/>
      <c r="I6406" s="12"/>
      <c r="J6406" s="12"/>
      <c r="K6406" s="12"/>
      <c r="L6406" s="12"/>
      <c r="M6406" s="11"/>
      <c r="N6406" s="11"/>
      <c r="O6406" s="11"/>
      <c r="P6406" s="11"/>
    </row>
    <row r="6407" spans="8:16" x14ac:dyDescent="0.25">
      <c r="H6407" s="12"/>
      <c r="I6407" s="12"/>
      <c r="J6407" s="12"/>
      <c r="K6407" s="12"/>
      <c r="L6407" s="12"/>
      <c r="M6407" s="11"/>
      <c r="N6407" s="11"/>
      <c r="O6407" s="11"/>
      <c r="P6407" s="11"/>
    </row>
    <row r="6408" spans="8:16" x14ac:dyDescent="0.25">
      <c r="H6408" s="12"/>
      <c r="I6408" s="12"/>
      <c r="J6408" s="12"/>
      <c r="K6408" s="12"/>
      <c r="L6408" s="12"/>
      <c r="M6408" s="11"/>
      <c r="N6408" s="11"/>
      <c r="O6408" s="11"/>
      <c r="P6408" s="11"/>
    </row>
    <row r="6409" spans="8:16" x14ac:dyDescent="0.25">
      <c r="H6409" s="12"/>
      <c r="I6409" s="12"/>
      <c r="J6409" s="12"/>
      <c r="K6409" s="12"/>
      <c r="L6409" s="12"/>
      <c r="M6409" s="11"/>
      <c r="N6409" s="11"/>
      <c r="O6409" s="11"/>
      <c r="P6409" s="11"/>
    </row>
    <row r="6410" spans="8:16" x14ac:dyDescent="0.25">
      <c r="H6410" s="12"/>
      <c r="I6410" s="12"/>
      <c r="J6410" s="12"/>
      <c r="K6410" s="12"/>
      <c r="L6410" s="12"/>
      <c r="M6410" s="11"/>
      <c r="N6410" s="11"/>
      <c r="O6410" s="11"/>
      <c r="P6410" s="11"/>
    </row>
    <row r="6411" spans="8:16" x14ac:dyDescent="0.25">
      <c r="H6411" s="12"/>
      <c r="I6411" s="12"/>
      <c r="J6411" s="12"/>
      <c r="K6411" s="12"/>
      <c r="L6411" s="12"/>
      <c r="M6411" s="11"/>
      <c r="N6411" s="11"/>
      <c r="O6411" s="11"/>
      <c r="P6411" s="11"/>
    </row>
    <row r="6412" spans="8:16" x14ac:dyDescent="0.25">
      <c r="H6412" s="12"/>
      <c r="I6412" s="12"/>
      <c r="J6412" s="12"/>
      <c r="K6412" s="12"/>
      <c r="L6412" s="12"/>
      <c r="M6412" s="11"/>
      <c r="N6412" s="11"/>
      <c r="O6412" s="11"/>
      <c r="P6412" s="11"/>
    </row>
    <row r="6413" spans="8:16" x14ac:dyDescent="0.25">
      <c r="H6413" s="12"/>
      <c r="I6413" s="12"/>
      <c r="J6413" s="12"/>
      <c r="K6413" s="12"/>
      <c r="L6413" s="12"/>
      <c r="M6413" s="11"/>
      <c r="N6413" s="11"/>
      <c r="O6413" s="11"/>
      <c r="P6413" s="11"/>
    </row>
    <row r="6414" spans="8:16" x14ac:dyDescent="0.25">
      <c r="H6414" s="12"/>
      <c r="I6414" s="12"/>
      <c r="J6414" s="12"/>
      <c r="K6414" s="12"/>
      <c r="L6414" s="12"/>
      <c r="M6414" s="11"/>
      <c r="N6414" s="11"/>
      <c r="O6414" s="11"/>
      <c r="P6414" s="11"/>
    </row>
    <row r="6415" spans="8:16" x14ac:dyDescent="0.25">
      <c r="H6415" s="12"/>
      <c r="I6415" s="12"/>
      <c r="J6415" s="12"/>
      <c r="K6415" s="12"/>
      <c r="L6415" s="12"/>
      <c r="M6415" s="11"/>
      <c r="N6415" s="11"/>
      <c r="O6415" s="11"/>
      <c r="P6415" s="11"/>
    </row>
    <row r="6416" spans="8:16" x14ac:dyDescent="0.25">
      <c r="H6416" s="12"/>
      <c r="I6416" s="12"/>
      <c r="J6416" s="12"/>
      <c r="K6416" s="12"/>
      <c r="L6416" s="12"/>
      <c r="M6416" s="11"/>
      <c r="N6416" s="11"/>
      <c r="O6416" s="11"/>
      <c r="P6416" s="11"/>
    </row>
    <row r="6417" spans="8:16" x14ac:dyDescent="0.25">
      <c r="H6417" s="12"/>
      <c r="I6417" s="12"/>
      <c r="J6417" s="12"/>
      <c r="K6417" s="12"/>
      <c r="L6417" s="12"/>
      <c r="M6417" s="11"/>
      <c r="N6417" s="11"/>
      <c r="O6417" s="11"/>
      <c r="P6417" s="11"/>
    </row>
    <row r="6418" spans="8:16" x14ac:dyDescent="0.25">
      <c r="H6418" s="12"/>
      <c r="I6418" s="12"/>
      <c r="J6418" s="12"/>
      <c r="K6418" s="12"/>
      <c r="L6418" s="12"/>
      <c r="M6418" s="11"/>
      <c r="N6418" s="11"/>
      <c r="O6418" s="11"/>
      <c r="P6418" s="11"/>
    </row>
    <row r="6419" spans="8:16" x14ac:dyDescent="0.25">
      <c r="H6419" s="12"/>
      <c r="I6419" s="12"/>
      <c r="J6419" s="12"/>
      <c r="K6419" s="12"/>
      <c r="L6419" s="12"/>
      <c r="M6419" s="11"/>
      <c r="N6419" s="11"/>
      <c r="O6419" s="11"/>
      <c r="P6419" s="11"/>
    </row>
    <row r="6420" spans="8:16" x14ac:dyDescent="0.25">
      <c r="H6420" s="12"/>
      <c r="I6420" s="12"/>
      <c r="J6420" s="12"/>
      <c r="K6420" s="12"/>
      <c r="L6420" s="12"/>
      <c r="M6420" s="11"/>
      <c r="N6420" s="11"/>
      <c r="O6420" s="11"/>
      <c r="P6420" s="11"/>
    </row>
    <row r="6421" spans="8:16" x14ac:dyDescent="0.25">
      <c r="H6421" s="12"/>
      <c r="I6421" s="12"/>
      <c r="J6421" s="12"/>
      <c r="K6421" s="12"/>
      <c r="L6421" s="12"/>
      <c r="M6421" s="11"/>
      <c r="N6421" s="11"/>
      <c r="O6421" s="11"/>
      <c r="P6421" s="11"/>
    </row>
    <row r="6422" spans="8:16" x14ac:dyDescent="0.25">
      <c r="H6422" s="12"/>
      <c r="I6422" s="12"/>
      <c r="J6422" s="12"/>
      <c r="K6422" s="12"/>
      <c r="L6422" s="12"/>
      <c r="M6422" s="11"/>
      <c r="N6422" s="11"/>
      <c r="O6422" s="11"/>
      <c r="P6422" s="11"/>
    </row>
    <row r="6423" spans="8:16" x14ac:dyDescent="0.25">
      <c r="H6423" s="12"/>
      <c r="I6423" s="12"/>
      <c r="J6423" s="12"/>
      <c r="K6423" s="12"/>
      <c r="L6423" s="12"/>
      <c r="M6423" s="11"/>
      <c r="N6423" s="11"/>
      <c r="O6423" s="11"/>
      <c r="P6423" s="11"/>
    </row>
    <row r="6424" spans="8:16" x14ac:dyDescent="0.25">
      <c r="H6424" s="12"/>
      <c r="I6424" s="12"/>
      <c r="J6424" s="12"/>
      <c r="K6424" s="12"/>
      <c r="L6424" s="12"/>
      <c r="M6424" s="11"/>
      <c r="N6424" s="11"/>
      <c r="O6424" s="11"/>
      <c r="P6424" s="11"/>
    </row>
    <row r="6425" spans="8:16" x14ac:dyDescent="0.25">
      <c r="H6425" s="12"/>
      <c r="I6425" s="12"/>
      <c r="J6425" s="12"/>
      <c r="K6425" s="12"/>
      <c r="L6425" s="12"/>
      <c r="M6425" s="11"/>
      <c r="N6425" s="11"/>
      <c r="O6425" s="11"/>
      <c r="P6425" s="11"/>
    </row>
    <row r="6426" spans="8:16" x14ac:dyDescent="0.25">
      <c r="H6426" s="12"/>
      <c r="I6426" s="12"/>
      <c r="J6426" s="12"/>
      <c r="K6426" s="12"/>
      <c r="L6426" s="12"/>
      <c r="M6426" s="11"/>
      <c r="N6426" s="11"/>
      <c r="O6426" s="11"/>
      <c r="P6426" s="11"/>
    </row>
    <row r="6427" spans="8:16" x14ac:dyDescent="0.25">
      <c r="H6427" s="12"/>
      <c r="I6427" s="12"/>
      <c r="J6427" s="12"/>
      <c r="K6427" s="12"/>
      <c r="L6427" s="12"/>
      <c r="M6427" s="11"/>
      <c r="N6427" s="11"/>
      <c r="O6427" s="11"/>
      <c r="P6427" s="11"/>
    </row>
    <row r="6428" spans="8:16" x14ac:dyDescent="0.25">
      <c r="H6428" s="12"/>
      <c r="I6428" s="12"/>
      <c r="J6428" s="12"/>
      <c r="K6428" s="12"/>
      <c r="L6428" s="12"/>
      <c r="M6428" s="11"/>
      <c r="N6428" s="11"/>
      <c r="O6428" s="11"/>
      <c r="P6428" s="11"/>
    </row>
    <row r="6429" spans="8:16" x14ac:dyDescent="0.25">
      <c r="H6429" s="12"/>
      <c r="I6429" s="12"/>
      <c r="J6429" s="12"/>
      <c r="K6429" s="12"/>
      <c r="L6429" s="12"/>
      <c r="M6429" s="11"/>
      <c r="N6429" s="11"/>
      <c r="O6429" s="11"/>
      <c r="P6429" s="11"/>
    </row>
    <row r="6430" spans="8:16" x14ac:dyDescent="0.25">
      <c r="H6430" s="12"/>
      <c r="I6430" s="12"/>
      <c r="J6430" s="12"/>
      <c r="K6430" s="12"/>
      <c r="L6430" s="12"/>
      <c r="M6430" s="11"/>
      <c r="N6430" s="11"/>
      <c r="O6430" s="11"/>
      <c r="P6430" s="11"/>
    </row>
    <row r="6431" spans="8:16" x14ac:dyDescent="0.25">
      <c r="H6431" s="12"/>
      <c r="I6431" s="12"/>
      <c r="J6431" s="12"/>
      <c r="K6431" s="12"/>
      <c r="L6431" s="12"/>
      <c r="M6431" s="11"/>
      <c r="N6431" s="11"/>
      <c r="O6431" s="11"/>
      <c r="P6431" s="11"/>
    </row>
    <row r="6432" spans="8:16" x14ac:dyDescent="0.25">
      <c r="H6432" s="12"/>
      <c r="I6432" s="12"/>
      <c r="J6432" s="12"/>
      <c r="K6432" s="12"/>
      <c r="L6432" s="12"/>
      <c r="M6432" s="11"/>
      <c r="N6432" s="11"/>
      <c r="O6432" s="11"/>
      <c r="P6432" s="11"/>
    </row>
    <row r="6433" spans="8:16" x14ac:dyDescent="0.25">
      <c r="H6433" s="12"/>
      <c r="I6433" s="12"/>
      <c r="J6433" s="12"/>
      <c r="K6433" s="12"/>
      <c r="L6433" s="12"/>
      <c r="M6433" s="11"/>
      <c r="N6433" s="11"/>
      <c r="O6433" s="11"/>
      <c r="P6433" s="11"/>
    </row>
    <row r="6434" spans="8:16" x14ac:dyDescent="0.25">
      <c r="H6434" s="12"/>
      <c r="I6434" s="12"/>
      <c r="J6434" s="12"/>
      <c r="K6434" s="12"/>
      <c r="L6434" s="12"/>
      <c r="M6434" s="11"/>
      <c r="N6434" s="11"/>
      <c r="O6434" s="11"/>
      <c r="P6434" s="11"/>
    </row>
    <row r="6435" spans="8:16" x14ac:dyDescent="0.25">
      <c r="H6435" s="12"/>
      <c r="I6435" s="12"/>
      <c r="J6435" s="12"/>
      <c r="K6435" s="12"/>
      <c r="L6435" s="12"/>
      <c r="M6435" s="11"/>
      <c r="N6435" s="11"/>
      <c r="O6435" s="11"/>
      <c r="P6435" s="11"/>
    </row>
    <row r="6436" spans="8:16" x14ac:dyDescent="0.25">
      <c r="H6436" s="12"/>
      <c r="I6436" s="12"/>
      <c r="J6436" s="12"/>
      <c r="K6436" s="12"/>
      <c r="L6436" s="12"/>
      <c r="M6436" s="11"/>
      <c r="N6436" s="11"/>
      <c r="O6436" s="11"/>
      <c r="P6436" s="11"/>
    </row>
    <row r="6437" spans="8:16" x14ac:dyDescent="0.25">
      <c r="H6437" s="12"/>
      <c r="I6437" s="12"/>
      <c r="J6437" s="12"/>
      <c r="K6437" s="12"/>
      <c r="L6437" s="12"/>
      <c r="M6437" s="11"/>
      <c r="N6437" s="11"/>
      <c r="O6437" s="11"/>
      <c r="P6437" s="11"/>
    </row>
    <row r="6438" spans="8:16" x14ac:dyDescent="0.25">
      <c r="H6438" s="12"/>
      <c r="I6438" s="12"/>
      <c r="J6438" s="12"/>
      <c r="K6438" s="12"/>
      <c r="L6438" s="12"/>
      <c r="M6438" s="11"/>
      <c r="N6438" s="11"/>
      <c r="O6438" s="11"/>
      <c r="P6438" s="11"/>
    </row>
    <row r="6439" spans="8:16" x14ac:dyDescent="0.25">
      <c r="H6439" s="12"/>
      <c r="I6439" s="12"/>
      <c r="J6439" s="12"/>
      <c r="K6439" s="12"/>
      <c r="L6439" s="12"/>
      <c r="M6439" s="11"/>
      <c r="N6439" s="11"/>
      <c r="O6439" s="11"/>
      <c r="P6439" s="11"/>
    </row>
    <row r="6440" spans="8:16" x14ac:dyDescent="0.25">
      <c r="H6440" s="12"/>
      <c r="I6440" s="12"/>
      <c r="J6440" s="12"/>
      <c r="K6440" s="12"/>
      <c r="L6440" s="12"/>
      <c r="M6440" s="11"/>
      <c r="N6440" s="11"/>
      <c r="O6440" s="11"/>
      <c r="P6440" s="11"/>
    </row>
    <row r="6441" spans="8:16" x14ac:dyDescent="0.25">
      <c r="H6441" s="12"/>
      <c r="I6441" s="12"/>
      <c r="J6441" s="12"/>
      <c r="K6441" s="12"/>
      <c r="L6441" s="12"/>
      <c r="M6441" s="11"/>
      <c r="N6441" s="11"/>
      <c r="O6441" s="11"/>
      <c r="P6441" s="11"/>
    </row>
    <row r="6442" spans="8:16" x14ac:dyDescent="0.25">
      <c r="H6442" s="12"/>
      <c r="I6442" s="12"/>
      <c r="J6442" s="12"/>
      <c r="K6442" s="12"/>
      <c r="L6442" s="12"/>
      <c r="M6442" s="11"/>
      <c r="N6442" s="11"/>
      <c r="O6442" s="11"/>
      <c r="P6442" s="11"/>
    </row>
    <row r="6443" spans="8:16" x14ac:dyDescent="0.25">
      <c r="H6443" s="12"/>
      <c r="I6443" s="12"/>
      <c r="J6443" s="12"/>
      <c r="K6443" s="12"/>
      <c r="L6443" s="12"/>
      <c r="M6443" s="11"/>
      <c r="N6443" s="11"/>
      <c r="O6443" s="11"/>
      <c r="P6443" s="11"/>
    </row>
    <row r="6444" spans="8:16" x14ac:dyDescent="0.25">
      <c r="H6444" s="12"/>
      <c r="I6444" s="12"/>
      <c r="J6444" s="12"/>
      <c r="K6444" s="12"/>
      <c r="L6444" s="12"/>
      <c r="M6444" s="11"/>
      <c r="N6444" s="11"/>
      <c r="O6444" s="11"/>
      <c r="P6444" s="11"/>
    </row>
    <row r="6445" spans="8:16" x14ac:dyDescent="0.25">
      <c r="H6445" s="12"/>
      <c r="I6445" s="12"/>
      <c r="J6445" s="12"/>
      <c r="K6445" s="12"/>
      <c r="L6445" s="12"/>
      <c r="M6445" s="11"/>
      <c r="N6445" s="11"/>
      <c r="O6445" s="11"/>
      <c r="P6445" s="11"/>
    </row>
    <row r="6446" spans="8:16" x14ac:dyDescent="0.25">
      <c r="H6446" s="12"/>
      <c r="I6446" s="12"/>
      <c r="J6446" s="12"/>
      <c r="K6446" s="12"/>
      <c r="L6446" s="12"/>
      <c r="M6446" s="11"/>
      <c r="N6446" s="11"/>
      <c r="O6446" s="11"/>
      <c r="P6446" s="11"/>
    </row>
    <row r="6447" spans="8:16" x14ac:dyDescent="0.25">
      <c r="H6447" s="12"/>
      <c r="I6447" s="12"/>
      <c r="J6447" s="12"/>
      <c r="K6447" s="12"/>
      <c r="L6447" s="12"/>
      <c r="M6447" s="11"/>
      <c r="N6447" s="11"/>
      <c r="O6447" s="11"/>
      <c r="P6447" s="11"/>
    </row>
    <row r="6448" spans="8:16" x14ac:dyDescent="0.25">
      <c r="H6448" s="12"/>
      <c r="I6448" s="12"/>
      <c r="J6448" s="12"/>
      <c r="K6448" s="12"/>
      <c r="L6448" s="12"/>
      <c r="M6448" s="11"/>
      <c r="N6448" s="11"/>
      <c r="O6448" s="11"/>
      <c r="P6448" s="11"/>
    </row>
    <row r="6449" spans="8:16" x14ac:dyDescent="0.25">
      <c r="H6449" s="12"/>
      <c r="I6449" s="12"/>
      <c r="J6449" s="12"/>
      <c r="K6449" s="12"/>
      <c r="L6449" s="12"/>
      <c r="M6449" s="11"/>
      <c r="N6449" s="11"/>
      <c r="O6449" s="11"/>
      <c r="P6449" s="11"/>
    </row>
    <row r="6450" spans="8:16" x14ac:dyDescent="0.25">
      <c r="H6450" s="12"/>
      <c r="I6450" s="12"/>
      <c r="J6450" s="12"/>
      <c r="K6450" s="12"/>
      <c r="L6450" s="12"/>
      <c r="M6450" s="11"/>
      <c r="N6450" s="11"/>
      <c r="O6450" s="11"/>
      <c r="P6450" s="11"/>
    </row>
    <row r="6451" spans="8:16" x14ac:dyDescent="0.25">
      <c r="H6451" s="12"/>
      <c r="I6451" s="12"/>
      <c r="J6451" s="12"/>
      <c r="K6451" s="12"/>
      <c r="L6451" s="12"/>
      <c r="M6451" s="11"/>
      <c r="N6451" s="11"/>
      <c r="O6451" s="11"/>
      <c r="P6451" s="11"/>
    </row>
    <row r="6452" spans="8:16" x14ac:dyDescent="0.25">
      <c r="H6452" s="12"/>
      <c r="I6452" s="12"/>
      <c r="J6452" s="12"/>
      <c r="K6452" s="12"/>
      <c r="L6452" s="12"/>
      <c r="M6452" s="11"/>
      <c r="N6452" s="11"/>
      <c r="O6452" s="11"/>
      <c r="P6452" s="11"/>
    </row>
    <row r="6453" spans="8:16" x14ac:dyDescent="0.25">
      <c r="H6453" s="12"/>
      <c r="I6453" s="12"/>
      <c r="J6453" s="12"/>
      <c r="K6453" s="12"/>
      <c r="L6453" s="12"/>
      <c r="M6453" s="11"/>
      <c r="N6453" s="11"/>
      <c r="O6453" s="11"/>
      <c r="P6453" s="11"/>
    </row>
    <row r="6454" spans="8:16" x14ac:dyDescent="0.25">
      <c r="H6454" s="12"/>
      <c r="I6454" s="12"/>
      <c r="J6454" s="12"/>
      <c r="K6454" s="12"/>
      <c r="L6454" s="12"/>
      <c r="M6454" s="11"/>
      <c r="N6454" s="11"/>
      <c r="O6454" s="11"/>
      <c r="P6454" s="11"/>
    </row>
    <row r="6455" spans="8:16" x14ac:dyDescent="0.25">
      <c r="H6455" s="12"/>
      <c r="I6455" s="12"/>
      <c r="J6455" s="12"/>
      <c r="K6455" s="12"/>
      <c r="L6455" s="12"/>
      <c r="M6455" s="11"/>
      <c r="N6455" s="11"/>
      <c r="O6455" s="11"/>
      <c r="P6455" s="11"/>
    </row>
    <row r="6456" spans="8:16" x14ac:dyDescent="0.25">
      <c r="H6456" s="12"/>
      <c r="I6456" s="12"/>
      <c r="J6456" s="12"/>
      <c r="K6456" s="12"/>
      <c r="L6456" s="12"/>
      <c r="M6456" s="11"/>
      <c r="N6456" s="11"/>
      <c r="O6456" s="11"/>
      <c r="P6456" s="11"/>
    </row>
    <row r="6457" spans="8:16" x14ac:dyDescent="0.25">
      <c r="H6457" s="12"/>
      <c r="I6457" s="12"/>
      <c r="J6457" s="12"/>
      <c r="K6457" s="12"/>
      <c r="L6457" s="12"/>
      <c r="M6457" s="11"/>
      <c r="N6457" s="11"/>
      <c r="O6457" s="11"/>
      <c r="P6457" s="11"/>
    </row>
    <row r="6458" spans="8:16" x14ac:dyDescent="0.25">
      <c r="H6458" s="12"/>
      <c r="I6458" s="12"/>
      <c r="J6458" s="12"/>
      <c r="K6458" s="12"/>
      <c r="L6458" s="12"/>
      <c r="M6458" s="11"/>
      <c r="N6458" s="11"/>
      <c r="O6458" s="11"/>
      <c r="P6458" s="11"/>
    </row>
    <row r="6459" spans="8:16" x14ac:dyDescent="0.25">
      <c r="H6459" s="12"/>
      <c r="I6459" s="12"/>
      <c r="J6459" s="12"/>
      <c r="K6459" s="12"/>
      <c r="L6459" s="12"/>
      <c r="M6459" s="11"/>
      <c r="N6459" s="11"/>
      <c r="O6459" s="11"/>
      <c r="P6459" s="11"/>
    </row>
    <row r="6460" spans="8:16" x14ac:dyDescent="0.25">
      <c r="H6460" s="12"/>
      <c r="I6460" s="12"/>
      <c r="J6460" s="12"/>
      <c r="K6460" s="12"/>
      <c r="L6460" s="12"/>
      <c r="M6460" s="11"/>
      <c r="N6460" s="11"/>
      <c r="O6460" s="11"/>
      <c r="P6460" s="11"/>
    </row>
    <row r="6461" spans="8:16" x14ac:dyDescent="0.25">
      <c r="H6461" s="12"/>
      <c r="I6461" s="12"/>
      <c r="J6461" s="12"/>
      <c r="K6461" s="12"/>
      <c r="L6461" s="12"/>
      <c r="M6461" s="11"/>
      <c r="N6461" s="11"/>
      <c r="O6461" s="11"/>
      <c r="P6461" s="11"/>
    </row>
    <row r="6462" spans="8:16" x14ac:dyDescent="0.25">
      <c r="H6462" s="12"/>
      <c r="I6462" s="12"/>
      <c r="J6462" s="12"/>
      <c r="K6462" s="12"/>
      <c r="L6462" s="12"/>
      <c r="M6462" s="11"/>
      <c r="N6462" s="11"/>
      <c r="O6462" s="11"/>
      <c r="P6462" s="11"/>
    </row>
    <row r="6463" spans="8:16" x14ac:dyDescent="0.25">
      <c r="H6463" s="12"/>
      <c r="I6463" s="12"/>
      <c r="J6463" s="12"/>
      <c r="K6463" s="12"/>
      <c r="L6463" s="12"/>
      <c r="M6463" s="11"/>
      <c r="N6463" s="11"/>
      <c r="O6463" s="11"/>
      <c r="P6463" s="11"/>
    </row>
    <row r="6464" spans="8:16" x14ac:dyDescent="0.25">
      <c r="H6464" s="12"/>
      <c r="I6464" s="12"/>
      <c r="J6464" s="12"/>
      <c r="K6464" s="12"/>
      <c r="L6464" s="12"/>
      <c r="M6464" s="11"/>
      <c r="N6464" s="11"/>
      <c r="O6464" s="11"/>
      <c r="P6464" s="11"/>
    </row>
    <row r="6465" spans="8:16" x14ac:dyDescent="0.25">
      <c r="H6465" s="12"/>
      <c r="I6465" s="12"/>
      <c r="J6465" s="12"/>
      <c r="K6465" s="12"/>
      <c r="L6465" s="12"/>
      <c r="M6465" s="11"/>
      <c r="N6465" s="11"/>
      <c r="O6465" s="11"/>
      <c r="P6465" s="11"/>
    </row>
    <row r="6466" spans="8:16" x14ac:dyDescent="0.25">
      <c r="H6466" s="12"/>
      <c r="I6466" s="12"/>
      <c r="J6466" s="12"/>
      <c r="K6466" s="12"/>
      <c r="L6466" s="12"/>
      <c r="M6466" s="11"/>
      <c r="N6466" s="11"/>
      <c r="O6466" s="11"/>
      <c r="P6466" s="11"/>
    </row>
    <row r="6467" spans="8:16" x14ac:dyDescent="0.25">
      <c r="H6467" s="12"/>
      <c r="I6467" s="12"/>
      <c r="J6467" s="12"/>
      <c r="K6467" s="12"/>
      <c r="L6467" s="12"/>
      <c r="M6467" s="11"/>
      <c r="N6467" s="11"/>
      <c r="O6467" s="11"/>
      <c r="P6467" s="11"/>
    </row>
    <row r="6468" spans="8:16" x14ac:dyDescent="0.25">
      <c r="H6468" s="12"/>
      <c r="I6468" s="12"/>
      <c r="J6468" s="12"/>
      <c r="K6468" s="12"/>
      <c r="L6468" s="12"/>
      <c r="M6468" s="11"/>
      <c r="N6468" s="11"/>
      <c r="O6468" s="11"/>
      <c r="P6468" s="11"/>
    </row>
    <row r="6469" spans="8:16" x14ac:dyDescent="0.25">
      <c r="H6469" s="12"/>
      <c r="I6469" s="12"/>
      <c r="J6469" s="12"/>
      <c r="K6469" s="12"/>
      <c r="L6469" s="12"/>
      <c r="M6469" s="11"/>
      <c r="N6469" s="11"/>
      <c r="O6469" s="11"/>
      <c r="P6469" s="11"/>
    </row>
    <row r="6470" spans="8:16" x14ac:dyDescent="0.25">
      <c r="H6470" s="12"/>
      <c r="I6470" s="12"/>
      <c r="J6470" s="12"/>
      <c r="K6470" s="12"/>
      <c r="L6470" s="12"/>
      <c r="M6470" s="11"/>
      <c r="N6470" s="11"/>
      <c r="O6470" s="11"/>
      <c r="P6470" s="11"/>
    </row>
    <row r="6471" spans="8:16" x14ac:dyDescent="0.25">
      <c r="H6471" s="12"/>
      <c r="I6471" s="12"/>
      <c r="J6471" s="12"/>
      <c r="K6471" s="12"/>
      <c r="L6471" s="12"/>
      <c r="M6471" s="11"/>
      <c r="N6471" s="11"/>
      <c r="O6471" s="11"/>
      <c r="P6471" s="11"/>
    </row>
    <row r="6472" spans="8:16" x14ac:dyDescent="0.25">
      <c r="H6472" s="12"/>
      <c r="I6472" s="12"/>
      <c r="J6472" s="12"/>
      <c r="K6472" s="12"/>
      <c r="L6472" s="12"/>
      <c r="M6472" s="11"/>
      <c r="N6472" s="11"/>
      <c r="O6472" s="11"/>
      <c r="P6472" s="11"/>
    </row>
    <row r="6473" spans="8:16" x14ac:dyDescent="0.25">
      <c r="H6473" s="12"/>
      <c r="I6473" s="12"/>
      <c r="J6473" s="12"/>
      <c r="K6473" s="12"/>
      <c r="L6473" s="12"/>
      <c r="M6473" s="11"/>
      <c r="N6473" s="11"/>
      <c r="O6473" s="11"/>
      <c r="P6473" s="11"/>
    </row>
    <row r="6474" spans="8:16" x14ac:dyDescent="0.25">
      <c r="H6474" s="12"/>
      <c r="I6474" s="12"/>
      <c r="J6474" s="12"/>
      <c r="K6474" s="12"/>
      <c r="L6474" s="12"/>
      <c r="M6474" s="11"/>
      <c r="N6474" s="11"/>
      <c r="O6474" s="11"/>
      <c r="P6474" s="11"/>
    </row>
    <row r="6475" spans="8:16" x14ac:dyDescent="0.25">
      <c r="H6475" s="12"/>
      <c r="I6475" s="12"/>
      <c r="J6475" s="12"/>
      <c r="K6475" s="12"/>
      <c r="L6475" s="12"/>
      <c r="M6475" s="11"/>
      <c r="N6475" s="11"/>
      <c r="O6475" s="11"/>
      <c r="P6475" s="11"/>
    </row>
    <row r="6476" spans="8:16" x14ac:dyDescent="0.25">
      <c r="H6476" s="12"/>
      <c r="I6476" s="12"/>
      <c r="J6476" s="12"/>
      <c r="K6476" s="12"/>
      <c r="L6476" s="12"/>
      <c r="M6476" s="11"/>
      <c r="N6476" s="11"/>
      <c r="O6476" s="11"/>
      <c r="P6476" s="11"/>
    </row>
    <row r="6477" spans="8:16" x14ac:dyDescent="0.25">
      <c r="H6477" s="12"/>
      <c r="I6477" s="12"/>
      <c r="J6477" s="12"/>
      <c r="K6477" s="12"/>
      <c r="L6477" s="12"/>
      <c r="M6477" s="11"/>
      <c r="N6477" s="11"/>
      <c r="O6477" s="11"/>
      <c r="P6477" s="11"/>
    </row>
    <row r="6478" spans="8:16" x14ac:dyDescent="0.25">
      <c r="H6478" s="12"/>
      <c r="I6478" s="12"/>
      <c r="J6478" s="12"/>
      <c r="K6478" s="12"/>
      <c r="L6478" s="12"/>
      <c r="M6478" s="11"/>
      <c r="N6478" s="11"/>
      <c r="O6478" s="11"/>
      <c r="P6478" s="11"/>
    </row>
    <row r="6479" spans="8:16" x14ac:dyDescent="0.25">
      <c r="H6479" s="12"/>
      <c r="I6479" s="12"/>
      <c r="J6479" s="12"/>
      <c r="K6479" s="12"/>
      <c r="L6479" s="12"/>
      <c r="M6479" s="11"/>
      <c r="N6479" s="11"/>
      <c r="O6479" s="11"/>
      <c r="P6479" s="11"/>
    </row>
    <row r="6480" spans="8:16" x14ac:dyDescent="0.25">
      <c r="H6480" s="12"/>
      <c r="I6480" s="12"/>
      <c r="J6480" s="12"/>
      <c r="K6480" s="12"/>
      <c r="L6480" s="12"/>
      <c r="M6480" s="11"/>
      <c r="N6480" s="11"/>
      <c r="O6480" s="11"/>
      <c r="P6480" s="11"/>
    </row>
    <row r="6481" spans="8:16" x14ac:dyDescent="0.25">
      <c r="H6481" s="12"/>
      <c r="I6481" s="12"/>
      <c r="J6481" s="12"/>
      <c r="K6481" s="12"/>
      <c r="L6481" s="12"/>
      <c r="M6481" s="11"/>
      <c r="N6481" s="11"/>
      <c r="O6481" s="11"/>
      <c r="P6481" s="11"/>
    </row>
    <row r="6482" spans="8:16" x14ac:dyDescent="0.25">
      <c r="H6482" s="12"/>
      <c r="I6482" s="12"/>
      <c r="J6482" s="12"/>
      <c r="K6482" s="12"/>
      <c r="L6482" s="12"/>
      <c r="M6482" s="11"/>
      <c r="N6482" s="11"/>
      <c r="O6482" s="11"/>
      <c r="P6482" s="11"/>
    </row>
    <row r="6483" spans="8:16" x14ac:dyDescent="0.25">
      <c r="H6483" s="12"/>
      <c r="I6483" s="12"/>
      <c r="J6483" s="12"/>
      <c r="K6483" s="12"/>
      <c r="L6483" s="12"/>
      <c r="M6483" s="11"/>
      <c r="N6483" s="11"/>
      <c r="O6483" s="11"/>
      <c r="P6483" s="11"/>
    </row>
    <row r="6484" spans="8:16" x14ac:dyDescent="0.25">
      <c r="H6484" s="12"/>
      <c r="I6484" s="12"/>
      <c r="J6484" s="12"/>
      <c r="K6484" s="12"/>
      <c r="L6484" s="12"/>
      <c r="M6484" s="11"/>
      <c r="N6484" s="11"/>
      <c r="O6484" s="11"/>
      <c r="P6484" s="11"/>
    </row>
    <row r="6485" spans="8:16" x14ac:dyDescent="0.25">
      <c r="H6485" s="12"/>
      <c r="I6485" s="12"/>
      <c r="J6485" s="12"/>
      <c r="K6485" s="12"/>
      <c r="L6485" s="12"/>
      <c r="M6485" s="11"/>
      <c r="N6485" s="11"/>
      <c r="O6485" s="11"/>
      <c r="P6485" s="11"/>
    </row>
    <row r="6486" spans="8:16" x14ac:dyDescent="0.25">
      <c r="H6486" s="12"/>
      <c r="I6486" s="12"/>
      <c r="J6486" s="12"/>
      <c r="K6486" s="12"/>
      <c r="L6486" s="12"/>
      <c r="M6486" s="11"/>
      <c r="N6486" s="11"/>
      <c r="O6486" s="11"/>
      <c r="P6486" s="11"/>
    </row>
    <row r="6487" spans="8:16" x14ac:dyDescent="0.25">
      <c r="H6487" s="12"/>
      <c r="I6487" s="12"/>
      <c r="J6487" s="12"/>
      <c r="K6487" s="12"/>
      <c r="L6487" s="12"/>
      <c r="M6487" s="11"/>
      <c r="N6487" s="11"/>
      <c r="O6487" s="11"/>
      <c r="P6487" s="11"/>
    </row>
    <row r="6488" spans="8:16" x14ac:dyDescent="0.25">
      <c r="H6488" s="12"/>
      <c r="I6488" s="12"/>
      <c r="J6488" s="12"/>
      <c r="K6488" s="12"/>
      <c r="L6488" s="12"/>
      <c r="M6488" s="11"/>
      <c r="N6488" s="11"/>
      <c r="O6488" s="11"/>
      <c r="P6488" s="11"/>
    </row>
    <row r="6489" spans="8:16" x14ac:dyDescent="0.25">
      <c r="H6489" s="12"/>
      <c r="I6489" s="12"/>
      <c r="J6489" s="12"/>
      <c r="K6489" s="12"/>
      <c r="L6489" s="12"/>
      <c r="M6489" s="11"/>
      <c r="N6489" s="11"/>
      <c r="O6489" s="11"/>
      <c r="P6489" s="11"/>
    </row>
    <row r="6490" spans="8:16" x14ac:dyDescent="0.25">
      <c r="H6490" s="12"/>
      <c r="I6490" s="12"/>
      <c r="J6490" s="12"/>
      <c r="K6490" s="12"/>
      <c r="L6490" s="12"/>
      <c r="M6490" s="11"/>
      <c r="N6490" s="11"/>
      <c r="O6490" s="11"/>
      <c r="P6490" s="11"/>
    </row>
    <row r="6491" spans="8:16" x14ac:dyDescent="0.25">
      <c r="H6491" s="12"/>
      <c r="I6491" s="12"/>
      <c r="J6491" s="12"/>
      <c r="K6491" s="12"/>
      <c r="L6491" s="12"/>
      <c r="M6491" s="11"/>
      <c r="N6491" s="11"/>
      <c r="O6491" s="11"/>
      <c r="P6491" s="11"/>
    </row>
    <row r="6492" spans="8:16" x14ac:dyDescent="0.25">
      <c r="H6492" s="12"/>
      <c r="I6492" s="12"/>
      <c r="J6492" s="12"/>
      <c r="K6492" s="12"/>
      <c r="L6492" s="12"/>
      <c r="M6492" s="11"/>
      <c r="N6492" s="11"/>
      <c r="O6492" s="11"/>
      <c r="P6492" s="11"/>
    </row>
    <row r="6493" spans="8:16" x14ac:dyDescent="0.25">
      <c r="H6493" s="12"/>
      <c r="I6493" s="12"/>
      <c r="J6493" s="12"/>
      <c r="K6493" s="12"/>
      <c r="L6493" s="12"/>
      <c r="M6493" s="11"/>
      <c r="N6493" s="11"/>
      <c r="O6493" s="11"/>
      <c r="P6493" s="11"/>
    </row>
    <row r="6494" spans="8:16" x14ac:dyDescent="0.25">
      <c r="H6494" s="12"/>
      <c r="I6494" s="12"/>
      <c r="J6494" s="12"/>
      <c r="K6494" s="12"/>
      <c r="L6494" s="12"/>
      <c r="M6494" s="11"/>
      <c r="N6494" s="11"/>
      <c r="O6494" s="11"/>
      <c r="P6494" s="11"/>
    </row>
    <row r="6495" spans="8:16" x14ac:dyDescent="0.25">
      <c r="H6495" s="12"/>
      <c r="I6495" s="12"/>
      <c r="J6495" s="12"/>
      <c r="K6495" s="12"/>
      <c r="L6495" s="12"/>
      <c r="M6495" s="11"/>
      <c r="N6495" s="11"/>
      <c r="O6495" s="11"/>
      <c r="P6495" s="11"/>
    </row>
    <row r="6496" spans="8:16" x14ac:dyDescent="0.25">
      <c r="H6496" s="12"/>
      <c r="I6496" s="12"/>
      <c r="J6496" s="12"/>
      <c r="K6496" s="12"/>
      <c r="L6496" s="12"/>
      <c r="M6496" s="11"/>
      <c r="N6496" s="11"/>
      <c r="O6496" s="11"/>
      <c r="P6496" s="11"/>
    </row>
    <row r="6497" spans="8:16" x14ac:dyDescent="0.25">
      <c r="H6497" s="12"/>
      <c r="I6497" s="12"/>
      <c r="J6497" s="12"/>
      <c r="K6497" s="12"/>
      <c r="L6497" s="12"/>
      <c r="M6497" s="11"/>
      <c r="N6497" s="11"/>
      <c r="O6497" s="11"/>
      <c r="P6497" s="11"/>
    </row>
    <row r="6498" spans="8:16" x14ac:dyDescent="0.25">
      <c r="H6498" s="12"/>
      <c r="I6498" s="12"/>
      <c r="J6498" s="12"/>
      <c r="K6498" s="12"/>
      <c r="L6498" s="12"/>
      <c r="M6498" s="11"/>
      <c r="N6498" s="11"/>
      <c r="O6498" s="11"/>
      <c r="P6498" s="11"/>
    </row>
    <row r="6499" spans="8:16" x14ac:dyDescent="0.25">
      <c r="H6499" s="12"/>
      <c r="I6499" s="12"/>
      <c r="J6499" s="12"/>
      <c r="K6499" s="12"/>
      <c r="L6499" s="12"/>
      <c r="M6499" s="11"/>
      <c r="N6499" s="11"/>
      <c r="O6499" s="11"/>
      <c r="P6499" s="11"/>
    </row>
    <row r="6500" spans="8:16" x14ac:dyDescent="0.25">
      <c r="H6500" s="12"/>
      <c r="I6500" s="12"/>
      <c r="J6500" s="12"/>
      <c r="K6500" s="12"/>
      <c r="L6500" s="12"/>
      <c r="M6500" s="11"/>
      <c r="N6500" s="11"/>
      <c r="O6500" s="11"/>
      <c r="P6500" s="11"/>
    </row>
    <row r="6501" spans="8:16" x14ac:dyDescent="0.25">
      <c r="H6501" s="12"/>
      <c r="I6501" s="12"/>
      <c r="J6501" s="12"/>
      <c r="K6501" s="12"/>
      <c r="L6501" s="12"/>
      <c r="M6501" s="11"/>
      <c r="N6501" s="11"/>
      <c r="O6501" s="11"/>
      <c r="P6501" s="11"/>
    </row>
    <row r="6502" spans="8:16" x14ac:dyDescent="0.25">
      <c r="H6502" s="12"/>
      <c r="I6502" s="12"/>
      <c r="J6502" s="12"/>
      <c r="K6502" s="12"/>
      <c r="L6502" s="12"/>
      <c r="M6502" s="11"/>
      <c r="N6502" s="11"/>
      <c r="O6502" s="11"/>
      <c r="P6502" s="11"/>
    </row>
    <row r="6503" spans="8:16" x14ac:dyDescent="0.25">
      <c r="H6503" s="12"/>
      <c r="I6503" s="12"/>
      <c r="J6503" s="12"/>
      <c r="K6503" s="12"/>
      <c r="L6503" s="12"/>
      <c r="M6503" s="11"/>
      <c r="N6503" s="11"/>
      <c r="O6503" s="11"/>
      <c r="P6503" s="11"/>
    </row>
    <row r="6504" spans="8:16" x14ac:dyDescent="0.25">
      <c r="H6504" s="12"/>
      <c r="I6504" s="12"/>
      <c r="J6504" s="12"/>
      <c r="K6504" s="12"/>
      <c r="L6504" s="12"/>
      <c r="M6504" s="11"/>
      <c r="N6504" s="11"/>
      <c r="O6504" s="11"/>
      <c r="P6504" s="11"/>
    </row>
    <row r="6505" spans="8:16" x14ac:dyDescent="0.25">
      <c r="H6505" s="12"/>
      <c r="I6505" s="12"/>
      <c r="J6505" s="12"/>
      <c r="K6505" s="12"/>
      <c r="L6505" s="12"/>
      <c r="M6505" s="11"/>
      <c r="N6505" s="11"/>
      <c r="O6505" s="11"/>
      <c r="P6505" s="11"/>
    </row>
    <row r="6506" spans="8:16" x14ac:dyDescent="0.25">
      <c r="H6506" s="12"/>
      <c r="I6506" s="12"/>
      <c r="J6506" s="12"/>
      <c r="K6506" s="12"/>
      <c r="L6506" s="12"/>
      <c r="M6506" s="11"/>
      <c r="N6506" s="11"/>
      <c r="O6506" s="11"/>
      <c r="P6506" s="11"/>
    </row>
    <row r="6507" spans="8:16" x14ac:dyDescent="0.25">
      <c r="H6507" s="12"/>
      <c r="I6507" s="12"/>
      <c r="J6507" s="12"/>
      <c r="K6507" s="12"/>
      <c r="L6507" s="12"/>
      <c r="M6507" s="11"/>
      <c r="N6507" s="11"/>
      <c r="O6507" s="11"/>
      <c r="P6507" s="11"/>
    </row>
    <row r="6508" spans="8:16" x14ac:dyDescent="0.25">
      <c r="H6508" s="12"/>
      <c r="I6508" s="12"/>
      <c r="J6508" s="12"/>
      <c r="K6508" s="12"/>
      <c r="L6508" s="12"/>
      <c r="M6508" s="11"/>
      <c r="N6508" s="11"/>
      <c r="O6508" s="11"/>
      <c r="P6508" s="11"/>
    </row>
    <row r="6509" spans="8:16" x14ac:dyDescent="0.25">
      <c r="H6509" s="12"/>
      <c r="I6509" s="12"/>
      <c r="J6509" s="12"/>
      <c r="K6509" s="12"/>
      <c r="L6509" s="12"/>
      <c r="M6509" s="11"/>
      <c r="N6509" s="11"/>
      <c r="O6509" s="11"/>
      <c r="P6509" s="11"/>
    </row>
    <row r="6510" spans="8:16" x14ac:dyDescent="0.25">
      <c r="H6510" s="12"/>
      <c r="I6510" s="12"/>
      <c r="J6510" s="12"/>
      <c r="K6510" s="12"/>
      <c r="L6510" s="12"/>
      <c r="M6510" s="11"/>
      <c r="N6510" s="11"/>
      <c r="O6510" s="11"/>
      <c r="P6510" s="11"/>
    </row>
    <row r="6511" spans="8:16" x14ac:dyDescent="0.25">
      <c r="H6511" s="12"/>
      <c r="I6511" s="12"/>
      <c r="J6511" s="12"/>
      <c r="K6511" s="12"/>
      <c r="L6511" s="12"/>
      <c r="M6511" s="11"/>
      <c r="N6511" s="11"/>
      <c r="O6511" s="11"/>
      <c r="P6511" s="11"/>
    </row>
    <row r="6512" spans="8:16" x14ac:dyDescent="0.25">
      <c r="H6512" s="12"/>
      <c r="I6512" s="12"/>
      <c r="J6512" s="12"/>
      <c r="K6512" s="12"/>
      <c r="L6512" s="12"/>
      <c r="M6512" s="11"/>
      <c r="N6512" s="11"/>
      <c r="O6512" s="11"/>
      <c r="P6512" s="11"/>
    </row>
    <row r="6513" spans="8:16" x14ac:dyDescent="0.25">
      <c r="H6513" s="12"/>
      <c r="I6513" s="12"/>
      <c r="J6513" s="12"/>
      <c r="K6513" s="12"/>
      <c r="L6513" s="12"/>
      <c r="M6513" s="11"/>
      <c r="N6513" s="11"/>
      <c r="O6513" s="11"/>
      <c r="P6513" s="11"/>
    </row>
    <row r="6514" spans="8:16" x14ac:dyDescent="0.25">
      <c r="H6514" s="12"/>
      <c r="I6514" s="12"/>
      <c r="J6514" s="12"/>
      <c r="K6514" s="12"/>
      <c r="L6514" s="12"/>
      <c r="M6514" s="11"/>
      <c r="N6514" s="11"/>
      <c r="O6514" s="11"/>
      <c r="P6514" s="11"/>
    </row>
    <row r="6515" spans="8:16" x14ac:dyDescent="0.25">
      <c r="H6515" s="12"/>
      <c r="I6515" s="12"/>
      <c r="J6515" s="12"/>
      <c r="K6515" s="12"/>
      <c r="L6515" s="12"/>
      <c r="M6515" s="11"/>
      <c r="N6515" s="11"/>
      <c r="O6515" s="11"/>
      <c r="P6515" s="11"/>
    </row>
    <row r="6516" spans="8:16" x14ac:dyDescent="0.25">
      <c r="H6516" s="12"/>
      <c r="I6516" s="12"/>
      <c r="J6516" s="12"/>
      <c r="K6516" s="12"/>
      <c r="L6516" s="12"/>
      <c r="M6516" s="11"/>
      <c r="N6516" s="11"/>
      <c r="O6516" s="11"/>
      <c r="P6516" s="11"/>
    </row>
    <row r="6517" spans="8:16" x14ac:dyDescent="0.25">
      <c r="H6517" s="12"/>
      <c r="I6517" s="12"/>
      <c r="J6517" s="12"/>
      <c r="K6517" s="12"/>
      <c r="L6517" s="12"/>
      <c r="M6517" s="11"/>
      <c r="N6517" s="11"/>
      <c r="O6517" s="11"/>
      <c r="P6517" s="11"/>
    </row>
    <row r="6518" spans="8:16" x14ac:dyDescent="0.25">
      <c r="H6518" s="12"/>
      <c r="I6518" s="12"/>
      <c r="J6518" s="12"/>
      <c r="K6518" s="12"/>
      <c r="L6518" s="12"/>
      <c r="M6518" s="11"/>
      <c r="N6518" s="11"/>
      <c r="O6518" s="11"/>
      <c r="P6518" s="11"/>
    </row>
    <row r="6519" spans="8:16" x14ac:dyDescent="0.25">
      <c r="H6519" s="12"/>
      <c r="I6519" s="12"/>
      <c r="J6519" s="12"/>
      <c r="K6519" s="12"/>
      <c r="L6519" s="12"/>
      <c r="M6519" s="11"/>
      <c r="N6519" s="11"/>
      <c r="O6519" s="11"/>
      <c r="P6519" s="11"/>
    </row>
    <row r="6520" spans="8:16" x14ac:dyDescent="0.25">
      <c r="H6520" s="12"/>
      <c r="I6520" s="12"/>
      <c r="J6520" s="12"/>
      <c r="K6520" s="12"/>
      <c r="L6520" s="12"/>
      <c r="M6520" s="11"/>
      <c r="N6520" s="11"/>
      <c r="O6520" s="11"/>
      <c r="P6520" s="11"/>
    </row>
    <row r="6521" spans="8:16" x14ac:dyDescent="0.25">
      <c r="H6521" s="12"/>
      <c r="I6521" s="12"/>
      <c r="J6521" s="12"/>
      <c r="K6521" s="12"/>
      <c r="L6521" s="12"/>
      <c r="M6521" s="11"/>
      <c r="N6521" s="11"/>
      <c r="O6521" s="11"/>
      <c r="P6521" s="11"/>
    </row>
    <row r="6522" spans="8:16" x14ac:dyDescent="0.25">
      <c r="H6522" s="12"/>
      <c r="I6522" s="12"/>
      <c r="J6522" s="12"/>
      <c r="K6522" s="12"/>
      <c r="L6522" s="12"/>
      <c r="M6522" s="11"/>
      <c r="N6522" s="11"/>
      <c r="O6522" s="11"/>
      <c r="P6522" s="11"/>
    </row>
    <row r="6523" spans="8:16" x14ac:dyDescent="0.25">
      <c r="H6523" s="12"/>
      <c r="I6523" s="12"/>
      <c r="J6523" s="12"/>
      <c r="K6523" s="12"/>
      <c r="L6523" s="12"/>
      <c r="M6523" s="11"/>
      <c r="N6523" s="11"/>
      <c r="O6523" s="11"/>
      <c r="P6523" s="11"/>
    </row>
    <row r="6524" spans="8:16" x14ac:dyDescent="0.25">
      <c r="H6524" s="12"/>
      <c r="I6524" s="12"/>
      <c r="J6524" s="12"/>
      <c r="K6524" s="12"/>
      <c r="L6524" s="12"/>
      <c r="M6524" s="11"/>
      <c r="N6524" s="11"/>
      <c r="O6524" s="11"/>
      <c r="P6524" s="11"/>
    </row>
    <row r="6525" spans="8:16" x14ac:dyDescent="0.25">
      <c r="H6525" s="12"/>
      <c r="I6525" s="12"/>
      <c r="J6525" s="12"/>
      <c r="K6525" s="12"/>
      <c r="L6525" s="12"/>
      <c r="M6525" s="11"/>
      <c r="N6525" s="11"/>
      <c r="O6525" s="11"/>
      <c r="P6525" s="11"/>
    </row>
    <row r="6526" spans="8:16" x14ac:dyDescent="0.25">
      <c r="H6526" s="12"/>
      <c r="I6526" s="12"/>
      <c r="J6526" s="12"/>
      <c r="K6526" s="12"/>
      <c r="L6526" s="12"/>
      <c r="M6526" s="11"/>
      <c r="N6526" s="11"/>
      <c r="O6526" s="11"/>
      <c r="P6526" s="11"/>
    </row>
    <row r="6527" spans="8:16" x14ac:dyDescent="0.25">
      <c r="H6527" s="12"/>
      <c r="I6527" s="12"/>
      <c r="J6527" s="12"/>
      <c r="K6527" s="12"/>
      <c r="L6527" s="12"/>
      <c r="M6527" s="11"/>
      <c r="N6527" s="11"/>
      <c r="O6527" s="11"/>
      <c r="P6527" s="11"/>
    </row>
    <row r="6528" spans="8:16" x14ac:dyDescent="0.25">
      <c r="H6528" s="12"/>
      <c r="I6528" s="12"/>
      <c r="J6528" s="12"/>
      <c r="K6528" s="12"/>
      <c r="L6528" s="12"/>
      <c r="M6528" s="11"/>
      <c r="N6528" s="11"/>
      <c r="O6528" s="11"/>
      <c r="P6528" s="11"/>
    </row>
    <row r="6529" spans="8:16" x14ac:dyDescent="0.25">
      <c r="H6529" s="12"/>
      <c r="I6529" s="12"/>
      <c r="J6529" s="12"/>
      <c r="K6529" s="12"/>
      <c r="L6529" s="12"/>
      <c r="M6529" s="11"/>
      <c r="N6529" s="11"/>
      <c r="O6529" s="11"/>
      <c r="P6529" s="11"/>
    </row>
    <row r="6530" spans="8:16" x14ac:dyDescent="0.25">
      <c r="H6530" s="12"/>
      <c r="I6530" s="12"/>
      <c r="J6530" s="12"/>
      <c r="K6530" s="12"/>
      <c r="L6530" s="12"/>
      <c r="M6530" s="11"/>
      <c r="N6530" s="11"/>
      <c r="O6530" s="11"/>
      <c r="P6530" s="11"/>
    </row>
    <row r="6531" spans="8:16" x14ac:dyDescent="0.25">
      <c r="H6531" s="12"/>
      <c r="I6531" s="12"/>
      <c r="J6531" s="12"/>
      <c r="K6531" s="12"/>
      <c r="L6531" s="12"/>
      <c r="M6531" s="11"/>
      <c r="N6531" s="11"/>
      <c r="O6531" s="11"/>
      <c r="P6531" s="11"/>
    </row>
    <row r="6532" spans="8:16" x14ac:dyDescent="0.25">
      <c r="H6532" s="12"/>
      <c r="I6532" s="12"/>
      <c r="J6532" s="12"/>
      <c r="K6532" s="12"/>
      <c r="L6532" s="12"/>
      <c r="M6532" s="11"/>
      <c r="N6532" s="11"/>
      <c r="O6532" s="11"/>
      <c r="P6532" s="11"/>
    </row>
    <row r="6533" spans="8:16" x14ac:dyDescent="0.25">
      <c r="H6533" s="12"/>
      <c r="I6533" s="12"/>
      <c r="J6533" s="12"/>
      <c r="K6533" s="12"/>
      <c r="L6533" s="12"/>
      <c r="M6533" s="11"/>
      <c r="N6533" s="11"/>
      <c r="O6533" s="11"/>
      <c r="P6533" s="11"/>
    </row>
    <row r="6534" spans="8:16" x14ac:dyDescent="0.25">
      <c r="H6534" s="12"/>
      <c r="I6534" s="12"/>
      <c r="J6534" s="12"/>
      <c r="K6534" s="12"/>
      <c r="L6534" s="12"/>
      <c r="M6534" s="11"/>
      <c r="N6534" s="11"/>
      <c r="O6534" s="11"/>
      <c r="P6534" s="11"/>
    </row>
    <row r="6535" spans="8:16" x14ac:dyDescent="0.25">
      <c r="H6535" s="12"/>
      <c r="I6535" s="12"/>
      <c r="J6535" s="12"/>
      <c r="K6535" s="12"/>
      <c r="L6535" s="12"/>
      <c r="M6535" s="11"/>
      <c r="N6535" s="11"/>
      <c r="O6535" s="11"/>
      <c r="P6535" s="11"/>
    </row>
    <row r="6536" spans="8:16" x14ac:dyDescent="0.25">
      <c r="H6536" s="12"/>
      <c r="I6536" s="12"/>
      <c r="J6536" s="12"/>
      <c r="K6536" s="12"/>
      <c r="L6536" s="12"/>
      <c r="M6536" s="11"/>
      <c r="N6536" s="11"/>
      <c r="O6536" s="11"/>
      <c r="P6536" s="11"/>
    </row>
    <row r="6537" spans="8:16" x14ac:dyDescent="0.25">
      <c r="H6537" s="12"/>
      <c r="I6537" s="12"/>
      <c r="J6537" s="12"/>
      <c r="K6537" s="12"/>
      <c r="L6537" s="12"/>
      <c r="M6537" s="11"/>
      <c r="N6537" s="11"/>
      <c r="O6537" s="11"/>
      <c r="P6537" s="11"/>
    </row>
    <row r="6538" spans="8:16" x14ac:dyDescent="0.25">
      <c r="H6538" s="12"/>
      <c r="I6538" s="12"/>
      <c r="J6538" s="12"/>
      <c r="K6538" s="12"/>
      <c r="L6538" s="12"/>
      <c r="M6538" s="11"/>
      <c r="N6538" s="11"/>
      <c r="O6538" s="11"/>
      <c r="P6538" s="11"/>
    </row>
    <row r="6539" spans="8:16" x14ac:dyDescent="0.25">
      <c r="H6539" s="12"/>
      <c r="I6539" s="12"/>
      <c r="J6539" s="12"/>
      <c r="K6539" s="12"/>
      <c r="L6539" s="12"/>
      <c r="M6539" s="11"/>
      <c r="N6539" s="11"/>
      <c r="O6539" s="11"/>
      <c r="P6539" s="11"/>
    </row>
    <row r="6540" spans="8:16" x14ac:dyDescent="0.25">
      <c r="H6540" s="12"/>
      <c r="I6540" s="12"/>
      <c r="J6540" s="12"/>
      <c r="K6540" s="12"/>
      <c r="L6540" s="12"/>
      <c r="M6540" s="11"/>
      <c r="N6540" s="11"/>
      <c r="O6540" s="11"/>
      <c r="P6540" s="11"/>
    </row>
    <row r="6541" spans="8:16" x14ac:dyDescent="0.25">
      <c r="H6541" s="12"/>
      <c r="I6541" s="12"/>
      <c r="J6541" s="12"/>
      <c r="K6541" s="12"/>
      <c r="L6541" s="12"/>
      <c r="M6541" s="11"/>
      <c r="N6541" s="11"/>
      <c r="O6541" s="11"/>
      <c r="P6541" s="11"/>
    </row>
    <row r="6542" spans="8:16" x14ac:dyDescent="0.25">
      <c r="H6542" s="12"/>
      <c r="I6542" s="12"/>
      <c r="J6542" s="12"/>
      <c r="K6542" s="12"/>
      <c r="L6542" s="12"/>
      <c r="M6542" s="11"/>
      <c r="N6542" s="11"/>
      <c r="O6542" s="11"/>
      <c r="P6542" s="11"/>
    </row>
    <row r="6543" spans="8:16" x14ac:dyDescent="0.25">
      <c r="H6543" s="12"/>
      <c r="I6543" s="12"/>
      <c r="J6543" s="12"/>
      <c r="K6543" s="12"/>
      <c r="L6543" s="12"/>
      <c r="M6543" s="11"/>
      <c r="N6543" s="11"/>
      <c r="O6543" s="11"/>
      <c r="P6543" s="11"/>
    </row>
    <row r="6544" spans="8:16" x14ac:dyDescent="0.25">
      <c r="H6544" s="12"/>
      <c r="I6544" s="12"/>
      <c r="J6544" s="12"/>
      <c r="K6544" s="12"/>
      <c r="L6544" s="12"/>
      <c r="M6544" s="11"/>
      <c r="N6544" s="11"/>
      <c r="O6544" s="11"/>
      <c r="P6544" s="11"/>
    </row>
    <row r="6545" spans="8:16" x14ac:dyDescent="0.25">
      <c r="H6545" s="12"/>
      <c r="I6545" s="12"/>
      <c r="J6545" s="12"/>
      <c r="K6545" s="12"/>
      <c r="L6545" s="12"/>
      <c r="M6545" s="11"/>
      <c r="N6545" s="11"/>
      <c r="O6545" s="11"/>
      <c r="P6545" s="11"/>
    </row>
    <row r="6546" spans="8:16" x14ac:dyDescent="0.25">
      <c r="H6546" s="12"/>
      <c r="I6546" s="12"/>
      <c r="J6546" s="12"/>
      <c r="K6546" s="12"/>
      <c r="L6546" s="12"/>
      <c r="M6546" s="11"/>
      <c r="N6546" s="11"/>
      <c r="O6546" s="11"/>
      <c r="P6546" s="11"/>
    </row>
    <row r="6547" spans="8:16" x14ac:dyDescent="0.25">
      <c r="H6547" s="12"/>
      <c r="I6547" s="12"/>
      <c r="J6547" s="12"/>
      <c r="K6547" s="12"/>
      <c r="L6547" s="12"/>
      <c r="M6547" s="11"/>
      <c r="N6547" s="11"/>
      <c r="O6547" s="11"/>
      <c r="P6547" s="11"/>
    </row>
    <row r="6548" spans="8:16" x14ac:dyDescent="0.25">
      <c r="H6548" s="12"/>
      <c r="I6548" s="12"/>
      <c r="J6548" s="12"/>
      <c r="K6548" s="12"/>
      <c r="L6548" s="12"/>
      <c r="M6548" s="11"/>
      <c r="N6548" s="11"/>
      <c r="O6548" s="11"/>
      <c r="P6548" s="11"/>
    </row>
    <row r="6549" spans="8:16" x14ac:dyDescent="0.25">
      <c r="H6549" s="12"/>
      <c r="I6549" s="12"/>
      <c r="J6549" s="12"/>
      <c r="K6549" s="12"/>
      <c r="L6549" s="12"/>
      <c r="M6549" s="11"/>
      <c r="N6549" s="11"/>
      <c r="O6549" s="11"/>
      <c r="P6549" s="11"/>
    </row>
    <row r="6550" spans="8:16" x14ac:dyDescent="0.25">
      <c r="H6550" s="12"/>
      <c r="I6550" s="12"/>
      <c r="J6550" s="12"/>
      <c r="K6550" s="12"/>
      <c r="L6550" s="12"/>
      <c r="M6550" s="11"/>
      <c r="N6550" s="11"/>
      <c r="O6550" s="11"/>
      <c r="P6550" s="11"/>
    </row>
    <row r="6551" spans="8:16" x14ac:dyDescent="0.25">
      <c r="H6551" s="12"/>
      <c r="I6551" s="12"/>
      <c r="J6551" s="12"/>
      <c r="K6551" s="12"/>
      <c r="L6551" s="12"/>
      <c r="M6551" s="11"/>
      <c r="N6551" s="11"/>
      <c r="O6551" s="11"/>
      <c r="P6551" s="11"/>
    </row>
    <row r="6552" spans="8:16" x14ac:dyDescent="0.25">
      <c r="H6552" s="12"/>
      <c r="I6552" s="12"/>
      <c r="J6552" s="12"/>
      <c r="K6552" s="12"/>
      <c r="L6552" s="12"/>
      <c r="M6552" s="11"/>
      <c r="N6552" s="11"/>
      <c r="O6552" s="11"/>
      <c r="P6552" s="11"/>
    </row>
    <row r="6553" spans="8:16" x14ac:dyDescent="0.25">
      <c r="H6553" s="12"/>
      <c r="I6553" s="12"/>
      <c r="J6553" s="12"/>
      <c r="K6553" s="12"/>
      <c r="L6553" s="12"/>
      <c r="M6553" s="11"/>
      <c r="N6553" s="11"/>
      <c r="O6553" s="11"/>
      <c r="P6553" s="11"/>
    </row>
    <row r="6554" spans="8:16" x14ac:dyDescent="0.25">
      <c r="H6554" s="12"/>
      <c r="I6554" s="12"/>
      <c r="J6554" s="12"/>
      <c r="K6554" s="12"/>
      <c r="L6554" s="12"/>
      <c r="M6554" s="11"/>
      <c r="N6554" s="11"/>
      <c r="O6554" s="11"/>
      <c r="P6554" s="11"/>
    </row>
    <row r="6555" spans="8:16" x14ac:dyDescent="0.25">
      <c r="H6555" s="12"/>
      <c r="I6555" s="12"/>
      <c r="J6555" s="12"/>
      <c r="K6555" s="12"/>
      <c r="L6555" s="12"/>
      <c r="M6555" s="11"/>
      <c r="N6555" s="11"/>
      <c r="O6555" s="11"/>
      <c r="P6555" s="11"/>
    </row>
    <row r="6556" spans="8:16" x14ac:dyDescent="0.25">
      <c r="H6556" s="12"/>
      <c r="I6556" s="12"/>
      <c r="J6556" s="12"/>
      <c r="K6556" s="12"/>
      <c r="L6556" s="12"/>
      <c r="M6556" s="11"/>
      <c r="N6556" s="11"/>
      <c r="O6556" s="11"/>
      <c r="P6556" s="11"/>
    </row>
    <row r="6557" spans="8:16" x14ac:dyDescent="0.25">
      <c r="H6557" s="12"/>
      <c r="I6557" s="12"/>
      <c r="J6557" s="12"/>
      <c r="K6557" s="12"/>
      <c r="L6557" s="12"/>
      <c r="M6557" s="11"/>
      <c r="N6557" s="11"/>
      <c r="O6557" s="11"/>
      <c r="P6557" s="11"/>
    </row>
    <row r="6558" spans="8:16" x14ac:dyDescent="0.25">
      <c r="H6558" s="12"/>
      <c r="I6558" s="12"/>
      <c r="J6558" s="12"/>
      <c r="K6558" s="12"/>
      <c r="L6558" s="12"/>
      <c r="M6558" s="11"/>
      <c r="N6558" s="11"/>
      <c r="O6558" s="11"/>
      <c r="P6558" s="11"/>
    </row>
    <row r="6559" spans="8:16" x14ac:dyDescent="0.25">
      <c r="H6559" s="12"/>
      <c r="I6559" s="12"/>
      <c r="J6559" s="12"/>
      <c r="K6559" s="12"/>
      <c r="L6559" s="12"/>
      <c r="M6559" s="11"/>
      <c r="N6559" s="11"/>
      <c r="O6559" s="11"/>
      <c r="P6559" s="11"/>
    </row>
    <row r="6560" spans="8:16" x14ac:dyDescent="0.25">
      <c r="H6560" s="12"/>
      <c r="I6560" s="12"/>
      <c r="J6560" s="12"/>
      <c r="K6560" s="12"/>
      <c r="L6560" s="12"/>
      <c r="M6560" s="11"/>
      <c r="N6560" s="11"/>
      <c r="O6560" s="11"/>
      <c r="P6560" s="11"/>
    </row>
    <row r="6561" spans="8:16" x14ac:dyDescent="0.25">
      <c r="H6561" s="12"/>
      <c r="I6561" s="12"/>
      <c r="J6561" s="12"/>
      <c r="K6561" s="12"/>
      <c r="L6561" s="12"/>
      <c r="M6561" s="11"/>
      <c r="N6561" s="11"/>
      <c r="O6561" s="11"/>
      <c r="P6561" s="11"/>
    </row>
    <row r="6562" spans="8:16" x14ac:dyDescent="0.25">
      <c r="H6562" s="12"/>
      <c r="I6562" s="12"/>
      <c r="J6562" s="12"/>
      <c r="K6562" s="12"/>
      <c r="L6562" s="12"/>
      <c r="M6562" s="11"/>
      <c r="N6562" s="11"/>
      <c r="O6562" s="11"/>
      <c r="P6562" s="11"/>
    </row>
    <row r="6563" spans="8:16" x14ac:dyDescent="0.25">
      <c r="H6563" s="12"/>
      <c r="I6563" s="12"/>
      <c r="J6563" s="12"/>
      <c r="K6563" s="12"/>
      <c r="L6563" s="12"/>
      <c r="M6563" s="11"/>
      <c r="N6563" s="11"/>
      <c r="O6563" s="11"/>
      <c r="P6563" s="11"/>
    </row>
    <row r="6564" spans="8:16" x14ac:dyDescent="0.25">
      <c r="H6564" s="12"/>
      <c r="I6564" s="12"/>
      <c r="J6564" s="12"/>
      <c r="K6564" s="12"/>
      <c r="L6564" s="12"/>
      <c r="M6564" s="11"/>
      <c r="N6564" s="11"/>
      <c r="O6564" s="11"/>
      <c r="P6564" s="11"/>
    </row>
    <row r="6565" spans="8:16" x14ac:dyDescent="0.25">
      <c r="H6565" s="12"/>
      <c r="I6565" s="12"/>
      <c r="J6565" s="12"/>
      <c r="K6565" s="12"/>
      <c r="L6565" s="12"/>
      <c r="M6565" s="11"/>
      <c r="N6565" s="11"/>
      <c r="O6565" s="11"/>
      <c r="P6565" s="11"/>
    </row>
    <row r="6566" spans="8:16" x14ac:dyDescent="0.25">
      <c r="H6566" s="12"/>
      <c r="I6566" s="12"/>
      <c r="J6566" s="12"/>
      <c r="K6566" s="12"/>
      <c r="L6566" s="12"/>
      <c r="M6566" s="11"/>
      <c r="N6566" s="11"/>
      <c r="O6566" s="11"/>
      <c r="P6566" s="11"/>
    </row>
    <row r="6567" spans="8:16" x14ac:dyDescent="0.25">
      <c r="H6567" s="12"/>
      <c r="I6567" s="12"/>
      <c r="J6567" s="12"/>
      <c r="K6567" s="12"/>
      <c r="L6567" s="12"/>
      <c r="M6567" s="11"/>
      <c r="N6567" s="11"/>
      <c r="O6567" s="11"/>
      <c r="P6567" s="11"/>
    </row>
    <row r="6568" spans="8:16" x14ac:dyDescent="0.25">
      <c r="H6568" s="12"/>
      <c r="I6568" s="12"/>
      <c r="J6568" s="12"/>
      <c r="K6568" s="12"/>
      <c r="L6568" s="12"/>
      <c r="M6568" s="11"/>
      <c r="N6568" s="11"/>
      <c r="O6568" s="11"/>
      <c r="P6568" s="11"/>
    </row>
    <row r="6569" spans="8:16" x14ac:dyDescent="0.25">
      <c r="H6569" s="12"/>
      <c r="I6569" s="12"/>
      <c r="J6569" s="12"/>
      <c r="K6569" s="12"/>
      <c r="L6569" s="12"/>
      <c r="M6569" s="11"/>
      <c r="N6569" s="11"/>
      <c r="O6569" s="11"/>
      <c r="P6569" s="11"/>
    </row>
    <row r="6570" spans="8:16" x14ac:dyDescent="0.25">
      <c r="H6570" s="12"/>
      <c r="I6570" s="12"/>
      <c r="J6570" s="12"/>
      <c r="K6570" s="12"/>
      <c r="L6570" s="12"/>
      <c r="M6570" s="11"/>
      <c r="N6570" s="11"/>
      <c r="O6570" s="11"/>
      <c r="P6570" s="11"/>
    </row>
    <row r="6571" spans="8:16" x14ac:dyDescent="0.25">
      <c r="H6571" s="12"/>
      <c r="I6571" s="12"/>
      <c r="J6571" s="12"/>
      <c r="K6571" s="12"/>
      <c r="L6571" s="12"/>
      <c r="M6571" s="11"/>
      <c r="N6571" s="11"/>
      <c r="O6571" s="11"/>
      <c r="P6571" s="11"/>
    </row>
    <row r="6572" spans="8:16" x14ac:dyDescent="0.25">
      <c r="H6572" s="12"/>
      <c r="I6572" s="12"/>
      <c r="J6572" s="12"/>
      <c r="K6572" s="12"/>
      <c r="L6572" s="12"/>
      <c r="M6572" s="11"/>
      <c r="N6572" s="11"/>
      <c r="O6572" s="11"/>
      <c r="P6572" s="11"/>
    </row>
    <row r="6573" spans="8:16" x14ac:dyDescent="0.25">
      <c r="H6573" s="12"/>
      <c r="I6573" s="12"/>
      <c r="J6573" s="12"/>
      <c r="K6573" s="12"/>
      <c r="L6573" s="12"/>
      <c r="M6573" s="11"/>
      <c r="N6573" s="11"/>
      <c r="O6573" s="11"/>
      <c r="P6573" s="11"/>
    </row>
    <row r="6574" spans="8:16" x14ac:dyDescent="0.25">
      <c r="H6574" s="12"/>
      <c r="I6574" s="12"/>
      <c r="J6574" s="12"/>
      <c r="K6574" s="12"/>
      <c r="L6574" s="12"/>
      <c r="M6574" s="11"/>
      <c r="N6574" s="11"/>
      <c r="O6574" s="11"/>
      <c r="P6574" s="11"/>
    </row>
    <row r="6575" spans="8:16" x14ac:dyDescent="0.25">
      <c r="H6575" s="12"/>
      <c r="I6575" s="12"/>
      <c r="J6575" s="12"/>
      <c r="K6575" s="12"/>
      <c r="L6575" s="12"/>
      <c r="M6575" s="11"/>
      <c r="N6575" s="11"/>
      <c r="O6575" s="11"/>
      <c r="P6575" s="11"/>
    </row>
    <row r="6576" spans="8:16" x14ac:dyDescent="0.25">
      <c r="H6576" s="12"/>
      <c r="I6576" s="12"/>
      <c r="J6576" s="12"/>
      <c r="K6576" s="12"/>
      <c r="L6576" s="12"/>
      <c r="M6576" s="11"/>
      <c r="N6576" s="11"/>
      <c r="O6576" s="11"/>
      <c r="P6576" s="11"/>
    </row>
    <row r="6577" spans="8:16" x14ac:dyDescent="0.25">
      <c r="H6577" s="12"/>
      <c r="I6577" s="12"/>
      <c r="J6577" s="12"/>
      <c r="K6577" s="12"/>
      <c r="L6577" s="12"/>
      <c r="M6577" s="11"/>
      <c r="N6577" s="11"/>
      <c r="O6577" s="11"/>
      <c r="P6577" s="11"/>
    </row>
    <row r="6578" spans="8:16" x14ac:dyDescent="0.25">
      <c r="H6578" s="12"/>
      <c r="I6578" s="12"/>
      <c r="J6578" s="12"/>
      <c r="K6578" s="12"/>
      <c r="L6578" s="12"/>
      <c r="M6578" s="11"/>
      <c r="N6578" s="11"/>
      <c r="O6578" s="11"/>
      <c r="P6578" s="11"/>
    </row>
    <row r="6579" spans="8:16" x14ac:dyDescent="0.25">
      <c r="H6579" s="12"/>
      <c r="I6579" s="12"/>
      <c r="J6579" s="12"/>
      <c r="K6579" s="12"/>
      <c r="L6579" s="12"/>
      <c r="M6579" s="11"/>
      <c r="N6579" s="11"/>
      <c r="O6579" s="11"/>
      <c r="P6579" s="11"/>
    </row>
    <row r="6580" spans="8:16" x14ac:dyDescent="0.25">
      <c r="H6580" s="12"/>
      <c r="I6580" s="12"/>
      <c r="J6580" s="12"/>
      <c r="K6580" s="12"/>
      <c r="L6580" s="12"/>
      <c r="M6580" s="11"/>
      <c r="N6580" s="11"/>
      <c r="O6580" s="11"/>
      <c r="P6580" s="11"/>
    </row>
    <row r="6581" spans="8:16" x14ac:dyDescent="0.25">
      <c r="H6581" s="12"/>
      <c r="I6581" s="12"/>
      <c r="J6581" s="12"/>
      <c r="K6581" s="12"/>
      <c r="L6581" s="12"/>
      <c r="M6581" s="11"/>
      <c r="N6581" s="11"/>
      <c r="O6581" s="11"/>
      <c r="P6581" s="11"/>
    </row>
    <row r="6582" spans="8:16" x14ac:dyDescent="0.25">
      <c r="H6582" s="12"/>
      <c r="I6582" s="12"/>
      <c r="J6582" s="12"/>
      <c r="K6582" s="12"/>
      <c r="L6582" s="12"/>
      <c r="M6582" s="11"/>
      <c r="N6582" s="11"/>
      <c r="O6582" s="11"/>
      <c r="P6582" s="11"/>
    </row>
    <row r="6583" spans="8:16" x14ac:dyDescent="0.25">
      <c r="H6583" s="12"/>
      <c r="I6583" s="12"/>
      <c r="J6583" s="12"/>
      <c r="K6583" s="12"/>
      <c r="L6583" s="12"/>
      <c r="M6583" s="11"/>
      <c r="N6583" s="11"/>
      <c r="O6583" s="11"/>
      <c r="P6583" s="11"/>
    </row>
    <row r="6584" spans="8:16" x14ac:dyDescent="0.25">
      <c r="H6584" s="12"/>
      <c r="I6584" s="12"/>
      <c r="J6584" s="12"/>
      <c r="K6584" s="12"/>
      <c r="L6584" s="12"/>
      <c r="M6584" s="11"/>
      <c r="N6584" s="11"/>
      <c r="O6584" s="11"/>
      <c r="P6584" s="11"/>
    </row>
    <row r="6585" spans="8:16" x14ac:dyDescent="0.25">
      <c r="H6585" s="12"/>
      <c r="I6585" s="12"/>
      <c r="J6585" s="12"/>
      <c r="K6585" s="12"/>
      <c r="L6585" s="12"/>
      <c r="M6585" s="11"/>
      <c r="N6585" s="11"/>
      <c r="O6585" s="11"/>
      <c r="P6585" s="11"/>
    </row>
    <row r="6586" spans="8:16" x14ac:dyDescent="0.25">
      <c r="H6586" s="12"/>
      <c r="I6586" s="12"/>
      <c r="J6586" s="12"/>
      <c r="K6586" s="12"/>
      <c r="L6586" s="12"/>
      <c r="M6586" s="11"/>
      <c r="N6586" s="11"/>
      <c r="O6586" s="11"/>
      <c r="P6586" s="11"/>
    </row>
    <row r="6587" spans="8:16" x14ac:dyDescent="0.25">
      <c r="H6587" s="12"/>
      <c r="I6587" s="12"/>
      <c r="J6587" s="12"/>
      <c r="K6587" s="12"/>
      <c r="L6587" s="12"/>
      <c r="M6587" s="11"/>
      <c r="N6587" s="11"/>
      <c r="O6587" s="11"/>
      <c r="P6587" s="11"/>
    </row>
    <row r="6588" spans="8:16" x14ac:dyDescent="0.25">
      <c r="H6588" s="12"/>
      <c r="I6588" s="12"/>
      <c r="J6588" s="12"/>
      <c r="K6588" s="12"/>
      <c r="L6588" s="12"/>
      <c r="M6588" s="11"/>
      <c r="N6588" s="11"/>
      <c r="O6588" s="11"/>
      <c r="P6588" s="11"/>
    </row>
    <row r="6589" spans="8:16" x14ac:dyDescent="0.25">
      <c r="H6589" s="12"/>
      <c r="I6589" s="12"/>
      <c r="J6589" s="12"/>
      <c r="K6589" s="12"/>
      <c r="L6589" s="12"/>
      <c r="M6589" s="11"/>
      <c r="N6589" s="11"/>
      <c r="O6589" s="11"/>
      <c r="P6589" s="11"/>
    </row>
    <row r="6590" spans="8:16" x14ac:dyDescent="0.25">
      <c r="H6590" s="12"/>
      <c r="I6590" s="12"/>
      <c r="J6590" s="12"/>
      <c r="K6590" s="12"/>
      <c r="L6590" s="12"/>
      <c r="M6590" s="11"/>
      <c r="N6590" s="11"/>
      <c r="O6590" s="11"/>
      <c r="P6590" s="11"/>
    </row>
    <row r="6591" spans="8:16" x14ac:dyDescent="0.25">
      <c r="H6591" s="12"/>
      <c r="I6591" s="12"/>
      <c r="J6591" s="12"/>
      <c r="K6591" s="12"/>
      <c r="L6591" s="12"/>
      <c r="M6591" s="11"/>
      <c r="N6591" s="11"/>
      <c r="O6591" s="11"/>
      <c r="P6591" s="11"/>
    </row>
    <row r="6592" spans="8:16" x14ac:dyDescent="0.25">
      <c r="H6592" s="12"/>
      <c r="I6592" s="12"/>
      <c r="J6592" s="12"/>
      <c r="K6592" s="12"/>
      <c r="L6592" s="12"/>
      <c r="M6592" s="11"/>
      <c r="N6592" s="11"/>
      <c r="O6592" s="11"/>
      <c r="P6592" s="11"/>
    </row>
    <row r="6593" spans="8:16" x14ac:dyDescent="0.25">
      <c r="H6593" s="12"/>
      <c r="I6593" s="12"/>
      <c r="J6593" s="12"/>
      <c r="K6593" s="12"/>
      <c r="L6593" s="12"/>
      <c r="M6593" s="11"/>
      <c r="N6593" s="11"/>
      <c r="O6593" s="11"/>
      <c r="P6593" s="11"/>
    </row>
    <row r="6594" spans="8:16" x14ac:dyDescent="0.25">
      <c r="H6594" s="12"/>
      <c r="I6594" s="12"/>
      <c r="J6594" s="12"/>
      <c r="K6594" s="12"/>
      <c r="L6594" s="12"/>
      <c r="M6594" s="11"/>
      <c r="N6594" s="11"/>
      <c r="O6594" s="11"/>
      <c r="P6594" s="11"/>
    </row>
    <row r="6595" spans="8:16" x14ac:dyDescent="0.25">
      <c r="H6595" s="12"/>
      <c r="I6595" s="12"/>
      <c r="J6595" s="12"/>
      <c r="K6595" s="12"/>
      <c r="L6595" s="12"/>
      <c r="M6595" s="11"/>
      <c r="N6595" s="11"/>
      <c r="O6595" s="11"/>
      <c r="P6595" s="11"/>
    </row>
    <row r="6596" spans="8:16" x14ac:dyDescent="0.25">
      <c r="H6596" s="12"/>
      <c r="I6596" s="12"/>
      <c r="J6596" s="12"/>
      <c r="K6596" s="12"/>
      <c r="L6596" s="12"/>
      <c r="M6596" s="11"/>
      <c r="N6596" s="11"/>
      <c r="O6596" s="11"/>
      <c r="P6596" s="11"/>
    </row>
    <row r="6597" spans="8:16" x14ac:dyDescent="0.25">
      <c r="H6597" s="12"/>
      <c r="I6597" s="12"/>
      <c r="J6597" s="12"/>
      <c r="K6597" s="12"/>
      <c r="L6597" s="12"/>
      <c r="M6597" s="11"/>
      <c r="N6597" s="11"/>
      <c r="O6597" s="11"/>
      <c r="P6597" s="11"/>
    </row>
    <row r="6598" spans="8:16" x14ac:dyDescent="0.25">
      <c r="H6598" s="12"/>
      <c r="I6598" s="12"/>
      <c r="J6598" s="12"/>
      <c r="K6598" s="12"/>
      <c r="L6598" s="12"/>
      <c r="M6598" s="11"/>
      <c r="N6598" s="11"/>
      <c r="O6598" s="11"/>
      <c r="P6598" s="11"/>
    </row>
    <row r="6599" spans="8:16" x14ac:dyDescent="0.25">
      <c r="H6599" s="12"/>
      <c r="I6599" s="12"/>
      <c r="J6599" s="12"/>
      <c r="K6599" s="12"/>
      <c r="L6599" s="12"/>
      <c r="M6599" s="11"/>
      <c r="N6599" s="11"/>
      <c r="O6599" s="11"/>
      <c r="P6599" s="11"/>
    </row>
    <row r="6600" spans="8:16" x14ac:dyDescent="0.25">
      <c r="H6600" s="12"/>
      <c r="I6600" s="12"/>
      <c r="J6600" s="12"/>
      <c r="K6600" s="12"/>
      <c r="L6600" s="12"/>
      <c r="M6600" s="11"/>
      <c r="N6600" s="11"/>
      <c r="O6600" s="11"/>
      <c r="P6600" s="11"/>
    </row>
    <row r="6601" spans="8:16" x14ac:dyDescent="0.25">
      <c r="H6601" s="12"/>
      <c r="I6601" s="12"/>
      <c r="J6601" s="12"/>
      <c r="K6601" s="12"/>
      <c r="L6601" s="12"/>
      <c r="M6601" s="11"/>
      <c r="N6601" s="11"/>
      <c r="O6601" s="11"/>
      <c r="P6601" s="11"/>
    </row>
    <row r="6602" spans="8:16" x14ac:dyDescent="0.25">
      <c r="H6602" s="12"/>
      <c r="I6602" s="12"/>
      <c r="J6602" s="12"/>
      <c r="K6602" s="12"/>
      <c r="L6602" s="12"/>
      <c r="M6602" s="11"/>
      <c r="N6602" s="11"/>
      <c r="O6602" s="11"/>
      <c r="P6602" s="11"/>
    </row>
    <row r="6603" spans="8:16" x14ac:dyDescent="0.25">
      <c r="H6603" s="12"/>
      <c r="I6603" s="12"/>
      <c r="J6603" s="12"/>
      <c r="K6603" s="12"/>
      <c r="L6603" s="12"/>
      <c r="M6603" s="11"/>
      <c r="N6603" s="11"/>
      <c r="O6603" s="11"/>
      <c r="P6603" s="11"/>
    </row>
    <row r="6604" spans="8:16" x14ac:dyDescent="0.25">
      <c r="H6604" s="12"/>
      <c r="I6604" s="12"/>
      <c r="J6604" s="12"/>
      <c r="K6604" s="12"/>
      <c r="L6604" s="12"/>
      <c r="M6604" s="11"/>
      <c r="N6604" s="11"/>
      <c r="O6604" s="11"/>
      <c r="P6604" s="11"/>
    </row>
    <row r="6605" spans="8:16" x14ac:dyDescent="0.25">
      <c r="H6605" s="12"/>
      <c r="I6605" s="12"/>
      <c r="J6605" s="12"/>
      <c r="K6605" s="12"/>
      <c r="L6605" s="12"/>
      <c r="M6605" s="11"/>
      <c r="N6605" s="11"/>
      <c r="O6605" s="11"/>
      <c r="P6605" s="11"/>
    </row>
    <row r="6606" spans="8:16" x14ac:dyDescent="0.25">
      <c r="H6606" s="12"/>
      <c r="I6606" s="12"/>
      <c r="J6606" s="12"/>
      <c r="K6606" s="12"/>
      <c r="L6606" s="12"/>
      <c r="M6606" s="11"/>
      <c r="N6606" s="11"/>
      <c r="O6606" s="11"/>
      <c r="P6606" s="11"/>
    </row>
    <row r="6607" spans="8:16" x14ac:dyDescent="0.25">
      <c r="H6607" s="12"/>
      <c r="I6607" s="12"/>
      <c r="J6607" s="12"/>
      <c r="K6607" s="12"/>
      <c r="L6607" s="12"/>
      <c r="M6607" s="11"/>
      <c r="N6607" s="11"/>
      <c r="O6607" s="11"/>
      <c r="P6607" s="11"/>
    </row>
    <row r="6608" spans="8:16" x14ac:dyDescent="0.25">
      <c r="H6608" s="12"/>
      <c r="I6608" s="12"/>
      <c r="J6608" s="12"/>
      <c r="K6608" s="12"/>
      <c r="L6608" s="12"/>
      <c r="M6608" s="11"/>
      <c r="N6608" s="11"/>
      <c r="O6608" s="11"/>
      <c r="P6608" s="11"/>
    </row>
    <row r="6609" spans="8:16" x14ac:dyDescent="0.25">
      <c r="H6609" s="12"/>
      <c r="I6609" s="12"/>
      <c r="J6609" s="12"/>
      <c r="K6609" s="12"/>
      <c r="L6609" s="12"/>
      <c r="M6609" s="11"/>
      <c r="N6609" s="11"/>
      <c r="O6609" s="11"/>
      <c r="P6609" s="11"/>
    </row>
    <row r="6610" spans="8:16" x14ac:dyDescent="0.25">
      <c r="H6610" s="12"/>
      <c r="I6610" s="12"/>
      <c r="J6610" s="12"/>
      <c r="K6610" s="12"/>
      <c r="L6610" s="12"/>
      <c r="M6610" s="11"/>
      <c r="N6610" s="11"/>
      <c r="O6610" s="11"/>
      <c r="P6610" s="11"/>
    </row>
    <row r="6611" spans="8:16" x14ac:dyDescent="0.25">
      <c r="H6611" s="12"/>
      <c r="I6611" s="12"/>
      <c r="J6611" s="12"/>
      <c r="K6611" s="12"/>
      <c r="L6611" s="12"/>
      <c r="M6611" s="11"/>
      <c r="N6611" s="11"/>
      <c r="O6611" s="11"/>
      <c r="P6611" s="11"/>
    </row>
    <row r="6612" spans="8:16" x14ac:dyDescent="0.25">
      <c r="H6612" s="12"/>
      <c r="I6612" s="12"/>
      <c r="J6612" s="12"/>
      <c r="K6612" s="12"/>
      <c r="L6612" s="12"/>
      <c r="M6612" s="11"/>
      <c r="N6612" s="11"/>
      <c r="O6612" s="11"/>
      <c r="P6612" s="11"/>
    </row>
    <row r="6613" spans="8:16" x14ac:dyDescent="0.25">
      <c r="H6613" s="12"/>
      <c r="I6613" s="12"/>
      <c r="J6613" s="12"/>
      <c r="K6613" s="12"/>
      <c r="L6613" s="12"/>
      <c r="M6613" s="11"/>
      <c r="N6613" s="11"/>
      <c r="O6613" s="11"/>
      <c r="P6613" s="11"/>
    </row>
    <row r="6614" spans="8:16" x14ac:dyDescent="0.25">
      <c r="H6614" s="12"/>
      <c r="I6614" s="12"/>
      <c r="J6614" s="12"/>
      <c r="K6614" s="12"/>
      <c r="L6614" s="12"/>
      <c r="M6614" s="11"/>
      <c r="N6614" s="11"/>
      <c r="O6614" s="11"/>
      <c r="P6614" s="11"/>
    </row>
    <row r="6615" spans="8:16" x14ac:dyDescent="0.25">
      <c r="H6615" s="12"/>
      <c r="I6615" s="12"/>
      <c r="J6615" s="12"/>
      <c r="K6615" s="12"/>
      <c r="L6615" s="12"/>
      <c r="M6615" s="11"/>
      <c r="N6615" s="11"/>
      <c r="O6615" s="11"/>
      <c r="P6615" s="11"/>
    </row>
    <row r="6616" spans="8:16" x14ac:dyDescent="0.25">
      <c r="H6616" s="12"/>
      <c r="I6616" s="12"/>
      <c r="J6616" s="12"/>
      <c r="K6616" s="12"/>
      <c r="L6616" s="12"/>
      <c r="M6616" s="11"/>
      <c r="N6616" s="11"/>
      <c r="O6616" s="11"/>
      <c r="P6616" s="11"/>
    </row>
    <row r="6617" spans="8:16" x14ac:dyDescent="0.25">
      <c r="H6617" s="12"/>
      <c r="I6617" s="12"/>
      <c r="J6617" s="12"/>
      <c r="K6617" s="12"/>
      <c r="L6617" s="12"/>
      <c r="M6617" s="11"/>
      <c r="N6617" s="11"/>
      <c r="O6617" s="11"/>
      <c r="P6617" s="11"/>
    </row>
    <row r="6618" spans="8:16" x14ac:dyDescent="0.25">
      <c r="H6618" s="12"/>
      <c r="I6618" s="12"/>
      <c r="J6618" s="12"/>
      <c r="K6618" s="12"/>
      <c r="L6618" s="12"/>
      <c r="M6618" s="11"/>
      <c r="N6618" s="11"/>
      <c r="O6618" s="11"/>
      <c r="P6618" s="11"/>
    </row>
    <row r="6619" spans="8:16" x14ac:dyDescent="0.25">
      <c r="H6619" s="12"/>
      <c r="I6619" s="12"/>
      <c r="J6619" s="12"/>
      <c r="K6619" s="12"/>
      <c r="L6619" s="12"/>
      <c r="M6619" s="11"/>
      <c r="N6619" s="11"/>
      <c r="O6619" s="11"/>
      <c r="P6619" s="11"/>
    </row>
    <row r="6620" spans="8:16" x14ac:dyDescent="0.25">
      <c r="H6620" s="12"/>
      <c r="I6620" s="12"/>
      <c r="J6620" s="12"/>
      <c r="K6620" s="12"/>
      <c r="L6620" s="12"/>
      <c r="M6620" s="11"/>
      <c r="N6620" s="11"/>
      <c r="O6620" s="11"/>
      <c r="P6620" s="11"/>
    </row>
    <row r="6621" spans="8:16" x14ac:dyDescent="0.25">
      <c r="H6621" s="12"/>
      <c r="I6621" s="12"/>
      <c r="J6621" s="12"/>
      <c r="K6621" s="12"/>
      <c r="L6621" s="12"/>
      <c r="M6621" s="11"/>
      <c r="N6621" s="11"/>
      <c r="O6621" s="11"/>
      <c r="P6621" s="11"/>
    </row>
    <row r="6622" spans="8:16" x14ac:dyDescent="0.25">
      <c r="H6622" s="12"/>
      <c r="I6622" s="12"/>
      <c r="J6622" s="12"/>
      <c r="K6622" s="12"/>
      <c r="L6622" s="12"/>
      <c r="M6622" s="11"/>
      <c r="N6622" s="11"/>
      <c r="O6622" s="11"/>
      <c r="P6622" s="11"/>
    </row>
    <row r="6623" spans="8:16" x14ac:dyDescent="0.25">
      <c r="H6623" s="12"/>
      <c r="I6623" s="12"/>
      <c r="J6623" s="12"/>
      <c r="K6623" s="12"/>
      <c r="L6623" s="12"/>
      <c r="M6623" s="11"/>
      <c r="N6623" s="11"/>
      <c r="O6623" s="11"/>
      <c r="P6623" s="11"/>
    </row>
    <row r="6624" spans="8:16" x14ac:dyDescent="0.25">
      <c r="H6624" s="12"/>
      <c r="I6624" s="12"/>
      <c r="J6624" s="12"/>
      <c r="K6624" s="12"/>
      <c r="L6624" s="12"/>
      <c r="M6624" s="11"/>
      <c r="N6624" s="11"/>
      <c r="O6624" s="11"/>
      <c r="P6624" s="11"/>
    </row>
    <row r="6625" spans="8:16" x14ac:dyDescent="0.25">
      <c r="H6625" s="12"/>
      <c r="I6625" s="12"/>
      <c r="J6625" s="12"/>
      <c r="K6625" s="12"/>
      <c r="L6625" s="12"/>
      <c r="M6625" s="11"/>
      <c r="N6625" s="11"/>
      <c r="O6625" s="11"/>
      <c r="P6625" s="11"/>
    </row>
    <row r="6626" spans="8:16" x14ac:dyDescent="0.25">
      <c r="H6626" s="12"/>
      <c r="I6626" s="12"/>
      <c r="J6626" s="12"/>
      <c r="K6626" s="12"/>
      <c r="L6626" s="12"/>
      <c r="M6626" s="11"/>
      <c r="N6626" s="11"/>
      <c r="O6626" s="11"/>
      <c r="P6626" s="11"/>
    </row>
    <row r="6627" spans="8:16" x14ac:dyDescent="0.25">
      <c r="H6627" s="12"/>
      <c r="I6627" s="12"/>
      <c r="J6627" s="12"/>
      <c r="K6627" s="12"/>
      <c r="L6627" s="12"/>
      <c r="M6627" s="11"/>
      <c r="N6627" s="11"/>
      <c r="O6627" s="11"/>
      <c r="P6627" s="11"/>
    </row>
    <row r="6628" spans="8:16" x14ac:dyDescent="0.25">
      <c r="H6628" s="12"/>
      <c r="I6628" s="12"/>
      <c r="J6628" s="12"/>
      <c r="K6628" s="12"/>
      <c r="L6628" s="12"/>
      <c r="M6628" s="11"/>
      <c r="N6628" s="11"/>
      <c r="O6628" s="11"/>
      <c r="P6628" s="11"/>
    </row>
    <row r="6629" spans="8:16" x14ac:dyDescent="0.25">
      <c r="H6629" s="12"/>
      <c r="I6629" s="12"/>
      <c r="J6629" s="12"/>
      <c r="K6629" s="12"/>
      <c r="L6629" s="12"/>
      <c r="M6629" s="11"/>
      <c r="N6629" s="11"/>
      <c r="O6629" s="11"/>
      <c r="P6629" s="11"/>
    </row>
    <row r="6630" spans="8:16" x14ac:dyDescent="0.25">
      <c r="H6630" s="12"/>
      <c r="I6630" s="12"/>
      <c r="J6630" s="12"/>
      <c r="K6630" s="12"/>
      <c r="L6630" s="12"/>
      <c r="M6630" s="11"/>
      <c r="N6630" s="11"/>
      <c r="O6630" s="11"/>
      <c r="P6630" s="11"/>
    </row>
    <row r="6631" spans="8:16" x14ac:dyDescent="0.25">
      <c r="H6631" s="12"/>
      <c r="I6631" s="12"/>
      <c r="J6631" s="12"/>
      <c r="K6631" s="12"/>
      <c r="L6631" s="12"/>
      <c r="M6631" s="11"/>
      <c r="N6631" s="11"/>
      <c r="O6631" s="11"/>
      <c r="P6631" s="11"/>
    </row>
    <row r="6632" spans="8:16" x14ac:dyDescent="0.25">
      <c r="H6632" s="12"/>
      <c r="I6632" s="12"/>
      <c r="J6632" s="12"/>
      <c r="K6632" s="12"/>
      <c r="L6632" s="12"/>
      <c r="M6632" s="11"/>
      <c r="N6632" s="11"/>
      <c r="O6632" s="11"/>
      <c r="P6632" s="11"/>
    </row>
    <row r="6633" spans="8:16" x14ac:dyDescent="0.25">
      <c r="H6633" s="12"/>
      <c r="I6633" s="12"/>
      <c r="J6633" s="12"/>
      <c r="K6633" s="12"/>
      <c r="L6633" s="12"/>
      <c r="M6633" s="11"/>
      <c r="N6633" s="11"/>
      <c r="O6633" s="11"/>
      <c r="P6633" s="11"/>
    </row>
    <row r="6634" spans="8:16" x14ac:dyDescent="0.25">
      <c r="H6634" s="12"/>
      <c r="I6634" s="12"/>
      <c r="J6634" s="12"/>
      <c r="K6634" s="12"/>
      <c r="L6634" s="12"/>
      <c r="M6634" s="11"/>
      <c r="N6634" s="11"/>
      <c r="O6634" s="11"/>
      <c r="P6634" s="11"/>
    </row>
    <row r="6635" spans="8:16" x14ac:dyDescent="0.25">
      <c r="H6635" s="12"/>
      <c r="I6635" s="12"/>
      <c r="J6635" s="12"/>
      <c r="K6635" s="12"/>
      <c r="L6635" s="12"/>
      <c r="M6635" s="11"/>
      <c r="N6635" s="11"/>
      <c r="O6635" s="11"/>
      <c r="P6635" s="11"/>
    </row>
    <row r="6636" spans="8:16" x14ac:dyDescent="0.25">
      <c r="H6636" s="12"/>
      <c r="I6636" s="12"/>
      <c r="J6636" s="12"/>
      <c r="K6636" s="12"/>
      <c r="L6636" s="12"/>
      <c r="M6636" s="11"/>
      <c r="N6636" s="11"/>
      <c r="O6636" s="11"/>
      <c r="P6636" s="11"/>
    </row>
    <row r="6637" spans="8:16" x14ac:dyDescent="0.25">
      <c r="H6637" s="12"/>
      <c r="I6637" s="12"/>
      <c r="J6637" s="12"/>
      <c r="K6637" s="12"/>
      <c r="L6637" s="12"/>
      <c r="M6637" s="11"/>
      <c r="N6637" s="11"/>
      <c r="O6637" s="11"/>
      <c r="P6637" s="11"/>
    </row>
    <row r="6638" spans="8:16" x14ac:dyDescent="0.25">
      <c r="H6638" s="12"/>
      <c r="I6638" s="12"/>
      <c r="J6638" s="12"/>
      <c r="K6638" s="12"/>
      <c r="L6638" s="12"/>
      <c r="M6638" s="11"/>
      <c r="N6638" s="11"/>
      <c r="O6638" s="11"/>
      <c r="P6638" s="11"/>
    </row>
    <row r="6639" spans="8:16" x14ac:dyDescent="0.25">
      <c r="H6639" s="12"/>
      <c r="I6639" s="12"/>
      <c r="J6639" s="12"/>
      <c r="K6639" s="12"/>
      <c r="L6639" s="12"/>
      <c r="M6639" s="11"/>
      <c r="N6639" s="11"/>
      <c r="O6639" s="11"/>
      <c r="P6639" s="11"/>
    </row>
    <row r="6640" spans="8:16" x14ac:dyDescent="0.25">
      <c r="H6640" s="12"/>
      <c r="I6640" s="12"/>
      <c r="J6640" s="12"/>
      <c r="K6640" s="12"/>
      <c r="L6640" s="12"/>
      <c r="M6640" s="11"/>
      <c r="N6640" s="11"/>
      <c r="O6640" s="11"/>
      <c r="P6640" s="11"/>
    </row>
    <row r="6641" spans="8:16" x14ac:dyDescent="0.25">
      <c r="H6641" s="12"/>
      <c r="I6641" s="12"/>
      <c r="J6641" s="12"/>
      <c r="K6641" s="12"/>
      <c r="L6641" s="12"/>
      <c r="M6641" s="11"/>
      <c r="N6641" s="11"/>
      <c r="O6641" s="11"/>
      <c r="P6641" s="11"/>
    </row>
    <row r="6642" spans="8:16" x14ac:dyDescent="0.25">
      <c r="H6642" s="12"/>
      <c r="I6642" s="12"/>
      <c r="J6642" s="12"/>
      <c r="K6642" s="12"/>
      <c r="L6642" s="12"/>
      <c r="M6642" s="11"/>
      <c r="N6642" s="11"/>
      <c r="O6642" s="11"/>
      <c r="P6642" s="11"/>
    </row>
    <row r="6643" spans="8:16" x14ac:dyDescent="0.25">
      <c r="H6643" s="12"/>
      <c r="I6643" s="12"/>
      <c r="J6643" s="12"/>
      <c r="K6643" s="12"/>
      <c r="L6643" s="12"/>
      <c r="M6643" s="11"/>
      <c r="N6643" s="11"/>
      <c r="O6643" s="11"/>
      <c r="P6643" s="11"/>
    </row>
    <row r="6644" spans="8:16" x14ac:dyDescent="0.25">
      <c r="H6644" s="12"/>
      <c r="I6644" s="12"/>
      <c r="J6644" s="12"/>
      <c r="K6644" s="12"/>
      <c r="L6644" s="12"/>
      <c r="M6644" s="11"/>
      <c r="N6644" s="11"/>
      <c r="O6644" s="11"/>
      <c r="P6644" s="11"/>
    </row>
    <row r="6645" spans="8:16" x14ac:dyDescent="0.25">
      <c r="H6645" s="12"/>
      <c r="I6645" s="12"/>
      <c r="J6645" s="12"/>
      <c r="K6645" s="12"/>
      <c r="L6645" s="12"/>
      <c r="M6645" s="11"/>
      <c r="N6645" s="11"/>
      <c r="O6645" s="11"/>
      <c r="P6645" s="11"/>
    </row>
    <row r="6646" spans="8:16" x14ac:dyDescent="0.25">
      <c r="H6646" s="12"/>
      <c r="I6646" s="12"/>
      <c r="J6646" s="12"/>
      <c r="K6646" s="12"/>
      <c r="L6646" s="12"/>
      <c r="M6646" s="11"/>
      <c r="N6646" s="11"/>
      <c r="O6646" s="11"/>
      <c r="P6646" s="11"/>
    </row>
    <row r="6647" spans="8:16" x14ac:dyDescent="0.25">
      <c r="H6647" s="12"/>
      <c r="I6647" s="12"/>
      <c r="J6647" s="12"/>
      <c r="K6647" s="12"/>
      <c r="L6647" s="12"/>
      <c r="M6647" s="11"/>
      <c r="N6647" s="11"/>
      <c r="O6647" s="11"/>
      <c r="P6647" s="11"/>
    </row>
    <row r="6648" spans="8:16" x14ac:dyDescent="0.25">
      <c r="H6648" s="12"/>
      <c r="I6648" s="12"/>
      <c r="J6648" s="12"/>
      <c r="K6648" s="12"/>
      <c r="L6648" s="12"/>
      <c r="M6648" s="11"/>
      <c r="N6648" s="11"/>
      <c r="O6648" s="11"/>
      <c r="P6648" s="11"/>
    </row>
    <row r="6649" spans="8:16" x14ac:dyDescent="0.25">
      <c r="H6649" s="12"/>
      <c r="I6649" s="12"/>
      <c r="J6649" s="12"/>
      <c r="K6649" s="12"/>
      <c r="L6649" s="12"/>
      <c r="M6649" s="11"/>
      <c r="N6649" s="11"/>
      <c r="O6649" s="11"/>
      <c r="P6649" s="11"/>
    </row>
    <row r="6650" spans="8:16" x14ac:dyDescent="0.25">
      <c r="H6650" s="12"/>
      <c r="I6650" s="12"/>
      <c r="J6650" s="12"/>
      <c r="K6650" s="12"/>
      <c r="L6650" s="12"/>
      <c r="M6650" s="11"/>
      <c r="N6650" s="11"/>
      <c r="O6650" s="11"/>
      <c r="P6650" s="11"/>
    </row>
    <row r="6651" spans="8:16" x14ac:dyDescent="0.25">
      <c r="H6651" s="12"/>
      <c r="I6651" s="12"/>
      <c r="J6651" s="12"/>
      <c r="K6651" s="12"/>
      <c r="L6651" s="12"/>
      <c r="M6651" s="11"/>
      <c r="N6651" s="11"/>
      <c r="O6651" s="11"/>
      <c r="P6651" s="11"/>
    </row>
    <row r="6652" spans="8:16" x14ac:dyDescent="0.25">
      <c r="H6652" s="12"/>
      <c r="I6652" s="12"/>
      <c r="J6652" s="12"/>
      <c r="K6652" s="12"/>
      <c r="L6652" s="12"/>
      <c r="M6652" s="11"/>
      <c r="N6652" s="11"/>
      <c r="O6652" s="11"/>
      <c r="P6652" s="11"/>
    </row>
    <row r="6653" spans="8:16" x14ac:dyDescent="0.25">
      <c r="H6653" s="12"/>
      <c r="I6653" s="12"/>
      <c r="J6653" s="12"/>
      <c r="K6653" s="12"/>
      <c r="L6653" s="12"/>
      <c r="M6653" s="11"/>
      <c r="N6653" s="11"/>
      <c r="O6653" s="11"/>
      <c r="P6653" s="11"/>
    </row>
    <row r="6654" spans="8:16" x14ac:dyDescent="0.25">
      <c r="H6654" s="12"/>
      <c r="I6654" s="12"/>
      <c r="J6654" s="12"/>
      <c r="K6654" s="12"/>
      <c r="L6654" s="12"/>
      <c r="M6654" s="11"/>
      <c r="N6654" s="11"/>
      <c r="O6654" s="11"/>
      <c r="P6654" s="11"/>
    </row>
    <row r="6655" spans="8:16" x14ac:dyDescent="0.25">
      <c r="H6655" s="12"/>
      <c r="I6655" s="12"/>
      <c r="J6655" s="12"/>
      <c r="K6655" s="12"/>
      <c r="L6655" s="12"/>
      <c r="M6655" s="11"/>
      <c r="N6655" s="11"/>
      <c r="O6655" s="11"/>
      <c r="P6655" s="11"/>
    </row>
    <row r="6656" spans="8:16" x14ac:dyDescent="0.25">
      <c r="H6656" s="12"/>
      <c r="I6656" s="12"/>
      <c r="J6656" s="12"/>
      <c r="K6656" s="12"/>
      <c r="L6656" s="12"/>
      <c r="M6656" s="11"/>
      <c r="N6656" s="11"/>
      <c r="O6656" s="11"/>
      <c r="P6656" s="11"/>
    </row>
    <row r="6657" spans="8:16" x14ac:dyDescent="0.25">
      <c r="H6657" s="12"/>
      <c r="I6657" s="12"/>
      <c r="J6657" s="12"/>
      <c r="K6657" s="12"/>
      <c r="L6657" s="12"/>
      <c r="M6657" s="11"/>
      <c r="N6657" s="11"/>
      <c r="O6657" s="11"/>
      <c r="P6657" s="11"/>
    </row>
    <row r="6658" spans="8:16" x14ac:dyDescent="0.25">
      <c r="H6658" s="12"/>
      <c r="I6658" s="12"/>
      <c r="J6658" s="12"/>
      <c r="K6658" s="12"/>
      <c r="L6658" s="12"/>
      <c r="M6658" s="11"/>
      <c r="N6658" s="11"/>
      <c r="O6658" s="11"/>
      <c r="P6658" s="11"/>
    </row>
    <row r="6659" spans="8:16" x14ac:dyDescent="0.25">
      <c r="H6659" s="12"/>
      <c r="I6659" s="12"/>
      <c r="J6659" s="12"/>
      <c r="K6659" s="12"/>
      <c r="L6659" s="12"/>
      <c r="M6659" s="11"/>
      <c r="N6659" s="11"/>
      <c r="O6659" s="11"/>
      <c r="P6659" s="11"/>
    </row>
    <row r="6660" spans="8:16" x14ac:dyDescent="0.25">
      <c r="H6660" s="12"/>
      <c r="I6660" s="12"/>
      <c r="J6660" s="12"/>
      <c r="K6660" s="12"/>
      <c r="L6660" s="12"/>
      <c r="M6660" s="11"/>
      <c r="N6660" s="11"/>
      <c r="O6660" s="11"/>
      <c r="P6660" s="11"/>
    </row>
    <row r="6661" spans="8:16" x14ac:dyDescent="0.25">
      <c r="H6661" s="12"/>
      <c r="I6661" s="12"/>
      <c r="J6661" s="12"/>
      <c r="K6661" s="12"/>
      <c r="L6661" s="12"/>
      <c r="M6661" s="11"/>
      <c r="N6661" s="11"/>
      <c r="O6661" s="11"/>
      <c r="P6661" s="11"/>
    </row>
    <row r="6662" spans="8:16" x14ac:dyDescent="0.25">
      <c r="H6662" s="12"/>
      <c r="I6662" s="12"/>
      <c r="J6662" s="12"/>
      <c r="K6662" s="12"/>
      <c r="L6662" s="12"/>
      <c r="M6662" s="11"/>
      <c r="N6662" s="11"/>
      <c r="O6662" s="11"/>
      <c r="P6662" s="11"/>
    </row>
    <row r="6663" spans="8:16" x14ac:dyDescent="0.25">
      <c r="H6663" s="12"/>
      <c r="I6663" s="12"/>
      <c r="J6663" s="12"/>
      <c r="K6663" s="12"/>
      <c r="L6663" s="12"/>
      <c r="M6663" s="11"/>
      <c r="N6663" s="11"/>
      <c r="O6663" s="11"/>
      <c r="P6663" s="11"/>
    </row>
    <row r="6664" spans="8:16" x14ac:dyDescent="0.25">
      <c r="H6664" s="12"/>
      <c r="I6664" s="12"/>
      <c r="J6664" s="12"/>
      <c r="K6664" s="12"/>
      <c r="L6664" s="12"/>
      <c r="M6664" s="11"/>
      <c r="N6664" s="11"/>
      <c r="O6664" s="11"/>
      <c r="P6664" s="11"/>
    </row>
    <row r="6665" spans="8:16" x14ac:dyDescent="0.25">
      <c r="H6665" s="12"/>
      <c r="I6665" s="12"/>
      <c r="J6665" s="12"/>
      <c r="K6665" s="12"/>
      <c r="L6665" s="12"/>
      <c r="M6665" s="11"/>
      <c r="N6665" s="11"/>
      <c r="O6665" s="11"/>
      <c r="P6665" s="11"/>
    </row>
    <row r="6666" spans="8:16" x14ac:dyDescent="0.25">
      <c r="H6666" s="12"/>
      <c r="I6666" s="12"/>
      <c r="J6666" s="12"/>
      <c r="K6666" s="12"/>
      <c r="L6666" s="12"/>
      <c r="M6666" s="11"/>
      <c r="N6666" s="11"/>
      <c r="O6666" s="11"/>
      <c r="P6666" s="11"/>
    </row>
    <row r="6667" spans="8:16" x14ac:dyDescent="0.25">
      <c r="H6667" s="12"/>
      <c r="I6667" s="12"/>
      <c r="J6667" s="12"/>
      <c r="K6667" s="12"/>
      <c r="L6667" s="12"/>
      <c r="M6667" s="11"/>
      <c r="N6667" s="11"/>
      <c r="O6667" s="11"/>
      <c r="P6667" s="11"/>
    </row>
    <row r="6668" spans="8:16" x14ac:dyDescent="0.25">
      <c r="H6668" s="12"/>
      <c r="I6668" s="12"/>
      <c r="J6668" s="12"/>
      <c r="K6668" s="12"/>
      <c r="L6668" s="12"/>
      <c r="M6668" s="11"/>
      <c r="N6668" s="11"/>
      <c r="O6668" s="11"/>
      <c r="P6668" s="11"/>
    </row>
    <row r="6669" spans="8:16" x14ac:dyDescent="0.25">
      <c r="H6669" s="12"/>
      <c r="I6669" s="12"/>
      <c r="J6669" s="12"/>
      <c r="K6669" s="12"/>
      <c r="L6669" s="12"/>
      <c r="M6669" s="11"/>
      <c r="N6669" s="11"/>
      <c r="O6669" s="11"/>
      <c r="P6669" s="11"/>
    </row>
    <row r="6670" spans="8:16" x14ac:dyDescent="0.25">
      <c r="H6670" s="12"/>
      <c r="I6670" s="12"/>
      <c r="J6670" s="12"/>
      <c r="K6670" s="12"/>
      <c r="L6670" s="12"/>
      <c r="M6670" s="11"/>
      <c r="N6670" s="11"/>
      <c r="O6670" s="11"/>
      <c r="P6670" s="11"/>
    </row>
    <row r="6671" spans="8:16" x14ac:dyDescent="0.25">
      <c r="H6671" s="12"/>
      <c r="I6671" s="12"/>
      <c r="J6671" s="12"/>
      <c r="K6671" s="12"/>
      <c r="L6671" s="12"/>
      <c r="M6671" s="11"/>
      <c r="N6671" s="11"/>
      <c r="O6671" s="11"/>
      <c r="P6671" s="11"/>
    </row>
    <row r="6672" spans="8:16" x14ac:dyDescent="0.25">
      <c r="H6672" s="12"/>
      <c r="I6672" s="12"/>
      <c r="J6672" s="12"/>
      <c r="K6672" s="12"/>
      <c r="L6672" s="12"/>
      <c r="M6672" s="11"/>
      <c r="N6672" s="11"/>
      <c r="O6672" s="11"/>
      <c r="P6672" s="11"/>
    </row>
    <row r="6673" spans="8:16" x14ac:dyDescent="0.25">
      <c r="H6673" s="12"/>
      <c r="I6673" s="12"/>
      <c r="J6673" s="12"/>
      <c r="K6673" s="12"/>
      <c r="L6673" s="12"/>
      <c r="M6673" s="11"/>
      <c r="N6673" s="11"/>
      <c r="O6673" s="11"/>
      <c r="P6673" s="11"/>
    </row>
    <row r="6674" spans="8:16" x14ac:dyDescent="0.25">
      <c r="H6674" s="12"/>
      <c r="I6674" s="12"/>
      <c r="J6674" s="12"/>
      <c r="K6674" s="12"/>
      <c r="L6674" s="12"/>
      <c r="M6674" s="11"/>
      <c r="N6674" s="11"/>
      <c r="O6674" s="11"/>
      <c r="P6674" s="11"/>
    </row>
    <row r="6675" spans="8:16" x14ac:dyDescent="0.25">
      <c r="H6675" s="12"/>
      <c r="I6675" s="12"/>
      <c r="J6675" s="12"/>
      <c r="K6675" s="12"/>
      <c r="L6675" s="12"/>
      <c r="M6675" s="11"/>
      <c r="N6675" s="11"/>
      <c r="O6675" s="11"/>
      <c r="P6675" s="11"/>
    </row>
    <row r="6676" spans="8:16" x14ac:dyDescent="0.25">
      <c r="H6676" s="12"/>
      <c r="I6676" s="12"/>
      <c r="J6676" s="12"/>
      <c r="K6676" s="12"/>
      <c r="L6676" s="12"/>
      <c r="M6676" s="11"/>
      <c r="N6676" s="11"/>
      <c r="O6676" s="11"/>
      <c r="P6676" s="11"/>
    </row>
    <row r="6677" spans="8:16" x14ac:dyDescent="0.25">
      <c r="H6677" s="12"/>
      <c r="I6677" s="12"/>
      <c r="J6677" s="12"/>
      <c r="K6677" s="12"/>
      <c r="L6677" s="12"/>
      <c r="M6677" s="11"/>
      <c r="N6677" s="11"/>
      <c r="O6677" s="11"/>
      <c r="P6677" s="11"/>
    </row>
    <row r="6678" spans="8:16" x14ac:dyDescent="0.25">
      <c r="H6678" s="12"/>
      <c r="I6678" s="12"/>
      <c r="J6678" s="12"/>
      <c r="K6678" s="12"/>
      <c r="L6678" s="12"/>
      <c r="M6678" s="11"/>
      <c r="N6678" s="11"/>
      <c r="O6678" s="11"/>
      <c r="P6678" s="11"/>
    </row>
    <row r="6679" spans="8:16" x14ac:dyDescent="0.25">
      <c r="H6679" s="12"/>
      <c r="I6679" s="12"/>
      <c r="J6679" s="12"/>
      <c r="K6679" s="12"/>
      <c r="L6679" s="12"/>
      <c r="M6679" s="11"/>
      <c r="N6679" s="11"/>
      <c r="O6679" s="11"/>
      <c r="P6679" s="11"/>
    </row>
    <row r="6680" spans="8:16" x14ac:dyDescent="0.25">
      <c r="H6680" s="12"/>
      <c r="I6680" s="12"/>
      <c r="J6680" s="12"/>
      <c r="K6680" s="12"/>
      <c r="L6680" s="12"/>
      <c r="M6680" s="11"/>
      <c r="N6680" s="11"/>
      <c r="O6680" s="11"/>
      <c r="P6680" s="11"/>
    </row>
    <row r="6681" spans="8:16" x14ac:dyDescent="0.25">
      <c r="H6681" s="12"/>
      <c r="I6681" s="12"/>
      <c r="J6681" s="12"/>
      <c r="K6681" s="12"/>
      <c r="L6681" s="12"/>
      <c r="M6681" s="11"/>
      <c r="N6681" s="11"/>
      <c r="O6681" s="11"/>
      <c r="P6681" s="11"/>
    </row>
    <row r="6682" spans="8:16" x14ac:dyDescent="0.25">
      <c r="H6682" s="12"/>
      <c r="I6682" s="12"/>
      <c r="J6682" s="12"/>
      <c r="K6682" s="12"/>
      <c r="L6682" s="12"/>
      <c r="M6682" s="11"/>
      <c r="N6682" s="11"/>
      <c r="O6682" s="11"/>
      <c r="P6682" s="11"/>
    </row>
    <row r="6683" spans="8:16" x14ac:dyDescent="0.25">
      <c r="H6683" s="12"/>
      <c r="I6683" s="12"/>
      <c r="J6683" s="12"/>
      <c r="K6683" s="12"/>
      <c r="L6683" s="12"/>
      <c r="M6683" s="11"/>
      <c r="N6683" s="11"/>
      <c r="O6683" s="11"/>
      <c r="P6683" s="11"/>
    </row>
    <row r="6684" spans="8:16" x14ac:dyDescent="0.25">
      <c r="H6684" s="12"/>
      <c r="I6684" s="12"/>
      <c r="J6684" s="12"/>
      <c r="K6684" s="12"/>
      <c r="L6684" s="12"/>
      <c r="M6684" s="11"/>
      <c r="N6684" s="11"/>
      <c r="O6684" s="11"/>
      <c r="P6684" s="11"/>
    </row>
    <row r="6685" spans="8:16" x14ac:dyDescent="0.25">
      <c r="H6685" s="12"/>
      <c r="I6685" s="12"/>
      <c r="J6685" s="12"/>
      <c r="K6685" s="12"/>
      <c r="L6685" s="12"/>
      <c r="M6685" s="11"/>
      <c r="N6685" s="11"/>
      <c r="O6685" s="11"/>
      <c r="P6685" s="11"/>
    </row>
    <row r="6686" spans="8:16" x14ac:dyDescent="0.25">
      <c r="H6686" s="12"/>
      <c r="I6686" s="12"/>
      <c r="J6686" s="12"/>
      <c r="K6686" s="12"/>
      <c r="L6686" s="12"/>
      <c r="M6686" s="11"/>
      <c r="N6686" s="11"/>
      <c r="O6686" s="11"/>
      <c r="P6686" s="11"/>
    </row>
    <row r="6687" spans="8:16" x14ac:dyDescent="0.25">
      <c r="H6687" s="12"/>
      <c r="I6687" s="12"/>
      <c r="J6687" s="12"/>
      <c r="K6687" s="12"/>
      <c r="L6687" s="12"/>
      <c r="M6687" s="11"/>
      <c r="N6687" s="11"/>
      <c r="O6687" s="11"/>
      <c r="P6687" s="11"/>
    </row>
    <row r="6688" spans="8:16" x14ac:dyDescent="0.25">
      <c r="H6688" s="12"/>
      <c r="I6688" s="12"/>
      <c r="J6688" s="12"/>
      <c r="K6688" s="12"/>
      <c r="L6688" s="12"/>
      <c r="M6688" s="11"/>
      <c r="N6688" s="11"/>
      <c r="O6688" s="11"/>
      <c r="P6688" s="11"/>
    </row>
    <row r="6689" spans="8:16" x14ac:dyDescent="0.25">
      <c r="H6689" s="12"/>
      <c r="I6689" s="12"/>
      <c r="J6689" s="12"/>
      <c r="K6689" s="12"/>
      <c r="L6689" s="12"/>
      <c r="M6689" s="11"/>
      <c r="N6689" s="11"/>
      <c r="O6689" s="11"/>
      <c r="P6689" s="11"/>
    </row>
    <row r="6690" spans="8:16" x14ac:dyDescent="0.25">
      <c r="H6690" s="12"/>
      <c r="I6690" s="12"/>
      <c r="J6690" s="12"/>
      <c r="K6690" s="12"/>
      <c r="L6690" s="12"/>
      <c r="M6690" s="11"/>
      <c r="N6690" s="11"/>
      <c r="O6690" s="11"/>
      <c r="P6690" s="11"/>
    </row>
    <row r="6691" spans="8:16" x14ac:dyDescent="0.25">
      <c r="H6691" s="12"/>
      <c r="I6691" s="12"/>
      <c r="J6691" s="12"/>
      <c r="K6691" s="12"/>
      <c r="L6691" s="12"/>
      <c r="M6691" s="11"/>
      <c r="N6691" s="11"/>
      <c r="O6691" s="11"/>
      <c r="P6691" s="11"/>
    </row>
    <row r="6692" spans="8:16" x14ac:dyDescent="0.25">
      <c r="H6692" s="12"/>
      <c r="I6692" s="12"/>
      <c r="J6692" s="12"/>
      <c r="K6692" s="12"/>
      <c r="L6692" s="12"/>
      <c r="M6692" s="11"/>
      <c r="N6692" s="11"/>
      <c r="O6692" s="11"/>
      <c r="P6692" s="11"/>
    </row>
    <row r="6693" spans="8:16" x14ac:dyDescent="0.25">
      <c r="H6693" s="12"/>
      <c r="I6693" s="12"/>
      <c r="J6693" s="12"/>
      <c r="K6693" s="12"/>
      <c r="L6693" s="12"/>
      <c r="M6693" s="11"/>
      <c r="N6693" s="11"/>
      <c r="O6693" s="11"/>
      <c r="P6693" s="11"/>
    </row>
    <row r="6694" spans="8:16" x14ac:dyDescent="0.25">
      <c r="H6694" s="12"/>
      <c r="I6694" s="12"/>
      <c r="J6694" s="12"/>
      <c r="K6694" s="12"/>
      <c r="L6694" s="12"/>
      <c r="M6694" s="11"/>
      <c r="N6694" s="11"/>
      <c r="O6694" s="11"/>
      <c r="P6694" s="11"/>
    </row>
    <row r="6695" spans="8:16" x14ac:dyDescent="0.25">
      <c r="H6695" s="12"/>
      <c r="I6695" s="12"/>
      <c r="J6695" s="12"/>
      <c r="K6695" s="12"/>
      <c r="L6695" s="12"/>
      <c r="M6695" s="11"/>
      <c r="N6695" s="11"/>
      <c r="O6695" s="11"/>
      <c r="P6695" s="11"/>
    </row>
    <row r="6696" spans="8:16" x14ac:dyDescent="0.25">
      <c r="H6696" s="12"/>
      <c r="I6696" s="12"/>
      <c r="J6696" s="12"/>
      <c r="K6696" s="12"/>
      <c r="L6696" s="12"/>
      <c r="M6696" s="11"/>
      <c r="N6696" s="11"/>
      <c r="O6696" s="11"/>
      <c r="P6696" s="11"/>
    </row>
    <row r="6697" spans="8:16" x14ac:dyDescent="0.25">
      <c r="H6697" s="12"/>
      <c r="I6697" s="12"/>
      <c r="J6697" s="12"/>
      <c r="K6697" s="12"/>
      <c r="L6697" s="12"/>
      <c r="M6697" s="11"/>
      <c r="N6697" s="11"/>
      <c r="O6697" s="11"/>
      <c r="P6697" s="11"/>
    </row>
    <row r="6698" spans="8:16" x14ac:dyDescent="0.25">
      <c r="H6698" s="12"/>
      <c r="I6698" s="12"/>
      <c r="J6698" s="12"/>
      <c r="K6698" s="12"/>
      <c r="L6698" s="12"/>
      <c r="M6698" s="11"/>
      <c r="N6698" s="11"/>
      <c r="O6698" s="11"/>
      <c r="P6698" s="11"/>
    </row>
    <row r="6699" spans="8:16" x14ac:dyDescent="0.25">
      <c r="H6699" s="12"/>
      <c r="I6699" s="12"/>
      <c r="J6699" s="12"/>
      <c r="K6699" s="12"/>
      <c r="L6699" s="12"/>
      <c r="M6699" s="11"/>
      <c r="N6699" s="11"/>
      <c r="O6699" s="11"/>
      <c r="P6699" s="11"/>
    </row>
    <row r="6700" spans="8:16" x14ac:dyDescent="0.25">
      <c r="H6700" s="12"/>
      <c r="I6700" s="12"/>
      <c r="J6700" s="12"/>
      <c r="K6700" s="12"/>
      <c r="L6700" s="12"/>
      <c r="M6700" s="11"/>
      <c r="N6700" s="11"/>
      <c r="O6700" s="11"/>
      <c r="P6700" s="11"/>
    </row>
    <row r="6701" spans="8:16" x14ac:dyDescent="0.25">
      <c r="H6701" s="12"/>
      <c r="I6701" s="12"/>
      <c r="J6701" s="12"/>
      <c r="K6701" s="12"/>
      <c r="L6701" s="12"/>
      <c r="M6701" s="11"/>
      <c r="N6701" s="11"/>
      <c r="O6701" s="11"/>
      <c r="P6701" s="11"/>
    </row>
    <row r="6702" spans="8:16" x14ac:dyDescent="0.25">
      <c r="H6702" s="12"/>
      <c r="I6702" s="12"/>
      <c r="J6702" s="12"/>
      <c r="K6702" s="12"/>
      <c r="L6702" s="12"/>
      <c r="M6702" s="11"/>
      <c r="N6702" s="11"/>
      <c r="O6702" s="11"/>
      <c r="P6702" s="11"/>
    </row>
    <row r="6703" spans="8:16" x14ac:dyDescent="0.25">
      <c r="H6703" s="12"/>
      <c r="I6703" s="12"/>
      <c r="J6703" s="12"/>
      <c r="K6703" s="12"/>
      <c r="L6703" s="12"/>
      <c r="M6703" s="11"/>
      <c r="N6703" s="11"/>
      <c r="O6703" s="11"/>
      <c r="P6703" s="11"/>
    </row>
    <row r="6704" spans="8:16" x14ac:dyDescent="0.25">
      <c r="H6704" s="12"/>
      <c r="I6704" s="12"/>
      <c r="J6704" s="12"/>
      <c r="K6704" s="12"/>
      <c r="L6704" s="12"/>
      <c r="M6704" s="11"/>
      <c r="N6704" s="11"/>
      <c r="O6704" s="11"/>
      <c r="P6704" s="11"/>
    </row>
    <row r="6705" spans="8:16" x14ac:dyDescent="0.25">
      <c r="H6705" s="12"/>
      <c r="I6705" s="12"/>
      <c r="J6705" s="12"/>
      <c r="K6705" s="12"/>
      <c r="L6705" s="12"/>
      <c r="M6705" s="11"/>
      <c r="N6705" s="11"/>
      <c r="O6705" s="11"/>
      <c r="P6705" s="11"/>
    </row>
    <row r="6706" spans="8:16" x14ac:dyDescent="0.25">
      <c r="H6706" s="12"/>
      <c r="I6706" s="12"/>
      <c r="J6706" s="12"/>
      <c r="K6706" s="12"/>
      <c r="L6706" s="12"/>
      <c r="M6706" s="11"/>
      <c r="N6706" s="11"/>
      <c r="O6706" s="11"/>
      <c r="P6706" s="11"/>
    </row>
    <row r="6707" spans="8:16" x14ac:dyDescent="0.25">
      <c r="H6707" s="12"/>
      <c r="I6707" s="12"/>
      <c r="J6707" s="12"/>
      <c r="K6707" s="12"/>
      <c r="L6707" s="12"/>
      <c r="M6707" s="11"/>
      <c r="N6707" s="11"/>
      <c r="O6707" s="11"/>
      <c r="P6707" s="11"/>
    </row>
    <row r="6708" spans="8:16" x14ac:dyDescent="0.25">
      <c r="H6708" s="12"/>
      <c r="I6708" s="12"/>
      <c r="J6708" s="12"/>
      <c r="K6708" s="12"/>
      <c r="L6708" s="12"/>
      <c r="M6708" s="11"/>
      <c r="N6708" s="11"/>
      <c r="O6708" s="11"/>
      <c r="P6708" s="11"/>
    </row>
    <row r="6709" spans="8:16" x14ac:dyDescent="0.25">
      <c r="H6709" s="12"/>
      <c r="I6709" s="12"/>
      <c r="J6709" s="12"/>
      <c r="K6709" s="12"/>
      <c r="L6709" s="12"/>
      <c r="M6709" s="11"/>
      <c r="N6709" s="11"/>
      <c r="O6709" s="11"/>
      <c r="P6709" s="11"/>
    </row>
    <row r="6710" spans="8:16" x14ac:dyDescent="0.25">
      <c r="H6710" s="12"/>
      <c r="I6710" s="12"/>
      <c r="J6710" s="12"/>
      <c r="K6710" s="12"/>
      <c r="L6710" s="12"/>
      <c r="M6710" s="11"/>
      <c r="N6710" s="11"/>
      <c r="O6710" s="11"/>
      <c r="P6710" s="11"/>
    </row>
    <row r="6711" spans="8:16" x14ac:dyDescent="0.25">
      <c r="H6711" s="12"/>
      <c r="I6711" s="12"/>
      <c r="J6711" s="12"/>
      <c r="K6711" s="12"/>
      <c r="L6711" s="12"/>
      <c r="M6711" s="11"/>
      <c r="N6711" s="11"/>
      <c r="O6711" s="11"/>
      <c r="P6711" s="11"/>
    </row>
    <row r="6712" spans="8:16" x14ac:dyDescent="0.25">
      <c r="H6712" s="12"/>
      <c r="I6712" s="12"/>
      <c r="J6712" s="12"/>
      <c r="K6712" s="12"/>
      <c r="L6712" s="12"/>
      <c r="M6712" s="11"/>
      <c r="N6712" s="11"/>
      <c r="O6712" s="11"/>
      <c r="P6712" s="11"/>
    </row>
    <row r="6713" spans="8:16" x14ac:dyDescent="0.25">
      <c r="H6713" s="12"/>
      <c r="I6713" s="12"/>
      <c r="J6713" s="12"/>
      <c r="K6713" s="12"/>
      <c r="L6713" s="12"/>
      <c r="M6713" s="11"/>
      <c r="N6713" s="11"/>
      <c r="O6713" s="11"/>
      <c r="P6713" s="11"/>
    </row>
    <row r="6714" spans="8:16" x14ac:dyDescent="0.25">
      <c r="H6714" s="12"/>
      <c r="I6714" s="12"/>
      <c r="J6714" s="12"/>
      <c r="K6714" s="12"/>
      <c r="L6714" s="12"/>
      <c r="M6714" s="11"/>
      <c r="N6714" s="11"/>
      <c r="O6714" s="11"/>
      <c r="P6714" s="11"/>
    </row>
    <row r="6715" spans="8:16" x14ac:dyDescent="0.25">
      <c r="H6715" s="12"/>
      <c r="I6715" s="12"/>
      <c r="J6715" s="12"/>
      <c r="K6715" s="12"/>
      <c r="L6715" s="12"/>
      <c r="M6715" s="11"/>
      <c r="N6715" s="11"/>
      <c r="O6715" s="11"/>
      <c r="P6715" s="11"/>
    </row>
    <row r="6716" spans="8:16" x14ac:dyDescent="0.25">
      <c r="H6716" s="12"/>
      <c r="I6716" s="12"/>
      <c r="J6716" s="12"/>
      <c r="K6716" s="12"/>
      <c r="L6716" s="12"/>
      <c r="M6716" s="11"/>
      <c r="N6716" s="11"/>
      <c r="O6716" s="11"/>
      <c r="P6716" s="11"/>
    </row>
    <row r="6717" spans="8:16" x14ac:dyDescent="0.25">
      <c r="H6717" s="12"/>
      <c r="I6717" s="12"/>
      <c r="J6717" s="12"/>
      <c r="K6717" s="12"/>
      <c r="L6717" s="12"/>
      <c r="M6717" s="11"/>
      <c r="N6717" s="11"/>
      <c r="O6717" s="11"/>
      <c r="P6717" s="11"/>
    </row>
    <row r="6718" spans="8:16" x14ac:dyDescent="0.25">
      <c r="H6718" s="12"/>
      <c r="I6718" s="12"/>
      <c r="J6718" s="12"/>
      <c r="K6718" s="12"/>
      <c r="L6718" s="12"/>
      <c r="M6718" s="11"/>
      <c r="N6718" s="11"/>
      <c r="O6718" s="11"/>
      <c r="P6718" s="11"/>
    </row>
    <row r="6719" spans="8:16" x14ac:dyDescent="0.25">
      <c r="H6719" s="12"/>
      <c r="I6719" s="12"/>
      <c r="J6719" s="12"/>
      <c r="K6719" s="12"/>
      <c r="L6719" s="12"/>
      <c r="M6719" s="11"/>
      <c r="N6719" s="11"/>
      <c r="O6719" s="11"/>
      <c r="P6719" s="11"/>
    </row>
    <row r="6720" spans="8:16" x14ac:dyDescent="0.25">
      <c r="H6720" s="12"/>
      <c r="I6720" s="12"/>
      <c r="J6720" s="12"/>
      <c r="K6720" s="12"/>
      <c r="L6720" s="12"/>
      <c r="M6720" s="11"/>
      <c r="N6720" s="11"/>
      <c r="O6720" s="11"/>
      <c r="P6720" s="11"/>
    </row>
    <row r="6721" spans="8:16" x14ac:dyDescent="0.25">
      <c r="H6721" s="12"/>
      <c r="I6721" s="12"/>
      <c r="J6721" s="12"/>
      <c r="K6721" s="12"/>
      <c r="L6721" s="12"/>
      <c r="M6721" s="11"/>
      <c r="N6721" s="11"/>
      <c r="O6721" s="11"/>
      <c r="P6721" s="11"/>
    </row>
    <row r="6722" spans="8:16" x14ac:dyDescent="0.25">
      <c r="H6722" s="12"/>
      <c r="I6722" s="12"/>
      <c r="J6722" s="12"/>
      <c r="K6722" s="12"/>
      <c r="L6722" s="12"/>
      <c r="M6722" s="11"/>
      <c r="N6722" s="11"/>
      <c r="O6722" s="11"/>
      <c r="P6722" s="11"/>
    </row>
    <row r="6723" spans="8:16" x14ac:dyDescent="0.25">
      <c r="H6723" s="12"/>
      <c r="I6723" s="12"/>
      <c r="J6723" s="12"/>
      <c r="K6723" s="12"/>
      <c r="L6723" s="12"/>
      <c r="M6723" s="11"/>
      <c r="N6723" s="11"/>
      <c r="O6723" s="11"/>
      <c r="P6723" s="11"/>
    </row>
    <row r="6724" spans="8:16" x14ac:dyDescent="0.25">
      <c r="H6724" s="12"/>
      <c r="I6724" s="12"/>
      <c r="J6724" s="12"/>
      <c r="K6724" s="12"/>
      <c r="L6724" s="12"/>
      <c r="M6724" s="11"/>
      <c r="N6724" s="11"/>
      <c r="O6724" s="11"/>
      <c r="P6724" s="11"/>
    </row>
    <row r="6725" spans="8:16" x14ac:dyDescent="0.25">
      <c r="H6725" s="12"/>
      <c r="I6725" s="12"/>
      <c r="J6725" s="12"/>
      <c r="K6725" s="12"/>
      <c r="L6725" s="12"/>
      <c r="M6725" s="11"/>
      <c r="N6725" s="11"/>
      <c r="O6725" s="11"/>
      <c r="P6725" s="11"/>
    </row>
    <row r="6726" spans="8:16" x14ac:dyDescent="0.25">
      <c r="H6726" s="12"/>
      <c r="I6726" s="12"/>
      <c r="J6726" s="12"/>
      <c r="K6726" s="12"/>
      <c r="L6726" s="12"/>
      <c r="M6726" s="11"/>
      <c r="N6726" s="11"/>
      <c r="O6726" s="11"/>
      <c r="P6726" s="11"/>
    </row>
    <row r="6727" spans="8:16" x14ac:dyDescent="0.25">
      <c r="H6727" s="12"/>
      <c r="I6727" s="12"/>
      <c r="J6727" s="12"/>
      <c r="K6727" s="12"/>
      <c r="L6727" s="12"/>
      <c r="M6727" s="11"/>
      <c r="N6727" s="11"/>
      <c r="O6727" s="11"/>
      <c r="P6727" s="11"/>
    </row>
    <row r="6728" spans="8:16" x14ac:dyDescent="0.25">
      <c r="H6728" s="12"/>
      <c r="I6728" s="12"/>
      <c r="J6728" s="12"/>
      <c r="K6728" s="12"/>
      <c r="L6728" s="12"/>
      <c r="M6728" s="11"/>
      <c r="N6728" s="11"/>
      <c r="O6728" s="11"/>
      <c r="P6728" s="11"/>
    </row>
    <row r="6729" spans="8:16" x14ac:dyDescent="0.25">
      <c r="H6729" s="12"/>
      <c r="I6729" s="12"/>
      <c r="J6729" s="12"/>
      <c r="K6729" s="12"/>
      <c r="L6729" s="12"/>
      <c r="M6729" s="11"/>
      <c r="N6729" s="11"/>
      <c r="O6729" s="11"/>
      <c r="P6729" s="11"/>
    </row>
    <row r="6730" spans="8:16" x14ac:dyDescent="0.25">
      <c r="H6730" s="12"/>
      <c r="I6730" s="12"/>
      <c r="J6730" s="12"/>
      <c r="K6730" s="12"/>
      <c r="L6730" s="12"/>
      <c r="M6730" s="11"/>
      <c r="N6730" s="11"/>
      <c r="O6730" s="11"/>
      <c r="P6730" s="11"/>
    </row>
    <row r="6731" spans="8:16" x14ac:dyDescent="0.25">
      <c r="H6731" s="12"/>
      <c r="I6731" s="12"/>
      <c r="J6731" s="12"/>
      <c r="K6731" s="12"/>
      <c r="L6731" s="12"/>
      <c r="M6731" s="11"/>
      <c r="N6731" s="11"/>
      <c r="O6731" s="11"/>
      <c r="P6731" s="11"/>
    </row>
    <row r="6732" spans="8:16" x14ac:dyDescent="0.25">
      <c r="H6732" s="12"/>
      <c r="I6732" s="12"/>
      <c r="J6732" s="12"/>
      <c r="K6732" s="12"/>
      <c r="L6732" s="12"/>
      <c r="M6732" s="11"/>
      <c r="N6732" s="11"/>
      <c r="O6732" s="11"/>
      <c r="P6732" s="11"/>
    </row>
    <row r="6733" spans="8:16" x14ac:dyDescent="0.25">
      <c r="H6733" s="12"/>
      <c r="I6733" s="12"/>
      <c r="J6733" s="12"/>
      <c r="K6733" s="12"/>
      <c r="L6733" s="12"/>
      <c r="M6733" s="11"/>
      <c r="N6733" s="11"/>
      <c r="O6733" s="11"/>
      <c r="P6733" s="11"/>
    </row>
    <row r="6734" spans="8:16" x14ac:dyDescent="0.25">
      <c r="H6734" s="12"/>
      <c r="I6734" s="12"/>
      <c r="J6734" s="12"/>
      <c r="K6734" s="12"/>
      <c r="L6734" s="12"/>
      <c r="M6734" s="11"/>
      <c r="N6734" s="11"/>
      <c r="O6734" s="11"/>
      <c r="P6734" s="11"/>
    </row>
    <row r="6735" spans="8:16" x14ac:dyDescent="0.25">
      <c r="H6735" s="12"/>
      <c r="I6735" s="12"/>
      <c r="J6735" s="12"/>
      <c r="K6735" s="12"/>
      <c r="L6735" s="12"/>
      <c r="M6735" s="11"/>
      <c r="N6735" s="11"/>
      <c r="O6735" s="11"/>
      <c r="P6735" s="11"/>
    </row>
    <row r="6736" spans="8:16" x14ac:dyDescent="0.25">
      <c r="H6736" s="12"/>
      <c r="I6736" s="12"/>
      <c r="J6736" s="12"/>
      <c r="K6736" s="12"/>
      <c r="L6736" s="12"/>
      <c r="M6736" s="11"/>
      <c r="N6736" s="11"/>
      <c r="O6736" s="11"/>
      <c r="P6736" s="11"/>
    </row>
    <row r="6737" spans="8:16" x14ac:dyDescent="0.25">
      <c r="H6737" s="12"/>
      <c r="I6737" s="12"/>
      <c r="J6737" s="12"/>
      <c r="K6737" s="12"/>
      <c r="L6737" s="12"/>
      <c r="M6737" s="11"/>
      <c r="N6737" s="11"/>
      <c r="O6737" s="11"/>
      <c r="P6737" s="11"/>
    </row>
    <row r="6738" spans="8:16" x14ac:dyDescent="0.25">
      <c r="H6738" s="12"/>
      <c r="I6738" s="12"/>
      <c r="J6738" s="12"/>
      <c r="K6738" s="12"/>
      <c r="L6738" s="12"/>
      <c r="M6738" s="11"/>
      <c r="N6738" s="11"/>
      <c r="O6738" s="11"/>
      <c r="P6738" s="11"/>
    </row>
    <row r="6739" spans="8:16" x14ac:dyDescent="0.25">
      <c r="H6739" s="12"/>
      <c r="I6739" s="12"/>
      <c r="J6739" s="12"/>
      <c r="K6739" s="12"/>
      <c r="L6739" s="12"/>
      <c r="M6739" s="11"/>
      <c r="N6739" s="11"/>
      <c r="O6739" s="11"/>
      <c r="P6739" s="11"/>
    </row>
    <row r="6740" spans="8:16" x14ac:dyDescent="0.25">
      <c r="H6740" s="12"/>
      <c r="I6740" s="12"/>
      <c r="J6740" s="12"/>
      <c r="K6740" s="12"/>
      <c r="L6740" s="12"/>
      <c r="M6740" s="11"/>
      <c r="N6740" s="11"/>
      <c r="O6740" s="11"/>
      <c r="P6740" s="11"/>
    </row>
    <row r="6741" spans="8:16" x14ac:dyDescent="0.25">
      <c r="H6741" s="12"/>
      <c r="I6741" s="12"/>
      <c r="J6741" s="12"/>
      <c r="K6741" s="12"/>
      <c r="L6741" s="12"/>
      <c r="M6741" s="11"/>
      <c r="N6741" s="11"/>
      <c r="O6741" s="11"/>
      <c r="P6741" s="11"/>
    </row>
    <row r="6742" spans="8:16" x14ac:dyDescent="0.25">
      <c r="H6742" s="12"/>
      <c r="I6742" s="12"/>
      <c r="J6742" s="12"/>
      <c r="K6742" s="12"/>
      <c r="L6742" s="12"/>
      <c r="M6742" s="11"/>
      <c r="N6742" s="11"/>
      <c r="O6742" s="11"/>
      <c r="P6742" s="11"/>
    </row>
    <row r="6743" spans="8:16" x14ac:dyDescent="0.25">
      <c r="H6743" s="12"/>
      <c r="I6743" s="12"/>
      <c r="J6743" s="12"/>
      <c r="K6743" s="12"/>
      <c r="L6743" s="12"/>
      <c r="M6743" s="11"/>
      <c r="N6743" s="11"/>
      <c r="O6743" s="11"/>
      <c r="P6743" s="11"/>
    </row>
    <row r="6744" spans="8:16" x14ac:dyDescent="0.25">
      <c r="H6744" s="12"/>
      <c r="I6744" s="12"/>
      <c r="J6744" s="12"/>
      <c r="K6744" s="12"/>
      <c r="L6744" s="12"/>
      <c r="M6744" s="11"/>
      <c r="N6744" s="11"/>
      <c r="O6744" s="11"/>
      <c r="P6744" s="11"/>
    </row>
    <row r="6745" spans="8:16" x14ac:dyDescent="0.25">
      <c r="H6745" s="12"/>
      <c r="I6745" s="12"/>
      <c r="J6745" s="12"/>
      <c r="K6745" s="12"/>
      <c r="L6745" s="12"/>
      <c r="M6745" s="11"/>
      <c r="N6745" s="11"/>
      <c r="O6745" s="11"/>
      <c r="P6745" s="11"/>
    </row>
    <row r="6746" spans="8:16" x14ac:dyDescent="0.25">
      <c r="H6746" s="12"/>
      <c r="I6746" s="12"/>
      <c r="J6746" s="12"/>
      <c r="K6746" s="12"/>
      <c r="L6746" s="12"/>
      <c r="M6746" s="11"/>
      <c r="N6746" s="11"/>
      <c r="O6746" s="11"/>
      <c r="P6746" s="11"/>
    </row>
    <row r="6747" spans="8:16" x14ac:dyDescent="0.25">
      <c r="H6747" s="12"/>
      <c r="I6747" s="12"/>
      <c r="J6747" s="12"/>
      <c r="K6747" s="12"/>
      <c r="L6747" s="12"/>
      <c r="M6747" s="11"/>
      <c r="N6747" s="11"/>
      <c r="O6747" s="11"/>
      <c r="P6747" s="11"/>
    </row>
    <row r="6748" spans="8:16" x14ac:dyDescent="0.25">
      <c r="H6748" s="12"/>
      <c r="I6748" s="12"/>
      <c r="J6748" s="12"/>
      <c r="K6748" s="12"/>
      <c r="L6748" s="12"/>
      <c r="M6748" s="11"/>
      <c r="N6748" s="11"/>
      <c r="O6748" s="11"/>
      <c r="P6748" s="11"/>
    </row>
    <row r="6749" spans="8:16" x14ac:dyDescent="0.25">
      <c r="H6749" s="12"/>
      <c r="I6749" s="12"/>
      <c r="J6749" s="12"/>
      <c r="K6749" s="12"/>
      <c r="L6749" s="12"/>
      <c r="M6749" s="11"/>
      <c r="N6749" s="11"/>
      <c r="O6749" s="11"/>
      <c r="P6749" s="11"/>
    </row>
    <row r="6750" spans="8:16" x14ac:dyDescent="0.25">
      <c r="H6750" s="12"/>
      <c r="I6750" s="12"/>
      <c r="J6750" s="12"/>
      <c r="K6750" s="12"/>
      <c r="L6750" s="12"/>
      <c r="M6750" s="11"/>
      <c r="N6750" s="11"/>
      <c r="O6750" s="11"/>
      <c r="P6750" s="11"/>
    </row>
    <row r="6751" spans="8:16" x14ac:dyDescent="0.25">
      <c r="H6751" s="12"/>
      <c r="I6751" s="12"/>
      <c r="J6751" s="12"/>
      <c r="K6751" s="12"/>
      <c r="L6751" s="12"/>
      <c r="M6751" s="11"/>
      <c r="N6751" s="11"/>
      <c r="O6751" s="11"/>
      <c r="P6751" s="11"/>
    </row>
    <row r="6752" spans="8:16" x14ac:dyDescent="0.25">
      <c r="H6752" s="12"/>
      <c r="I6752" s="12"/>
      <c r="J6752" s="12"/>
      <c r="K6752" s="12"/>
      <c r="L6752" s="12"/>
      <c r="M6752" s="11"/>
      <c r="N6752" s="11"/>
      <c r="O6752" s="11"/>
      <c r="P6752" s="11"/>
    </row>
    <row r="6753" spans="8:16" x14ac:dyDescent="0.25">
      <c r="H6753" s="12"/>
      <c r="I6753" s="12"/>
      <c r="J6753" s="12"/>
      <c r="K6753" s="12"/>
      <c r="L6753" s="12"/>
      <c r="M6753" s="11"/>
      <c r="N6753" s="11"/>
      <c r="O6753" s="11"/>
      <c r="P6753" s="11"/>
    </row>
    <row r="6754" spans="8:16" x14ac:dyDescent="0.25">
      <c r="H6754" s="12"/>
      <c r="I6754" s="12"/>
      <c r="J6754" s="12"/>
      <c r="K6754" s="12"/>
      <c r="L6754" s="12"/>
      <c r="M6754" s="11"/>
      <c r="N6754" s="11"/>
      <c r="O6754" s="11"/>
      <c r="P6754" s="11"/>
    </row>
    <row r="6755" spans="8:16" x14ac:dyDescent="0.25">
      <c r="H6755" s="12"/>
      <c r="I6755" s="12"/>
      <c r="J6755" s="12"/>
      <c r="K6755" s="12"/>
      <c r="L6755" s="12"/>
      <c r="M6755" s="11"/>
      <c r="N6755" s="11"/>
      <c r="O6755" s="11"/>
      <c r="P6755" s="11"/>
    </row>
    <row r="6756" spans="8:16" x14ac:dyDescent="0.25">
      <c r="H6756" s="12"/>
      <c r="I6756" s="12"/>
      <c r="J6756" s="12"/>
      <c r="K6756" s="12"/>
      <c r="L6756" s="12"/>
      <c r="M6756" s="11"/>
      <c r="N6756" s="11"/>
      <c r="O6756" s="11"/>
      <c r="P6756" s="11"/>
    </row>
    <row r="6757" spans="8:16" x14ac:dyDescent="0.25">
      <c r="H6757" s="12"/>
      <c r="I6757" s="12"/>
      <c r="J6757" s="12"/>
      <c r="K6757" s="12"/>
      <c r="L6757" s="12"/>
      <c r="M6757" s="11"/>
      <c r="N6757" s="11"/>
      <c r="O6757" s="11"/>
      <c r="P6757" s="11"/>
    </row>
    <row r="6758" spans="8:16" x14ac:dyDescent="0.25">
      <c r="H6758" s="12"/>
      <c r="I6758" s="12"/>
      <c r="J6758" s="12"/>
      <c r="K6758" s="12"/>
      <c r="L6758" s="12"/>
      <c r="M6758" s="11"/>
      <c r="N6758" s="11"/>
      <c r="O6758" s="11"/>
      <c r="P6758" s="11"/>
    </row>
    <row r="6759" spans="8:16" x14ac:dyDescent="0.25">
      <c r="H6759" s="12"/>
      <c r="I6759" s="12"/>
      <c r="J6759" s="12"/>
      <c r="K6759" s="12"/>
      <c r="L6759" s="12"/>
      <c r="M6759" s="11"/>
      <c r="N6759" s="11"/>
      <c r="O6759" s="11"/>
      <c r="P6759" s="11"/>
    </row>
    <row r="6760" spans="8:16" x14ac:dyDescent="0.25">
      <c r="H6760" s="12"/>
      <c r="I6760" s="12"/>
      <c r="J6760" s="12"/>
      <c r="K6760" s="12"/>
      <c r="L6760" s="12"/>
      <c r="M6760" s="11"/>
      <c r="N6760" s="11"/>
      <c r="O6760" s="11"/>
      <c r="P6760" s="11"/>
    </row>
    <row r="6761" spans="8:16" x14ac:dyDescent="0.25">
      <c r="H6761" s="12"/>
      <c r="I6761" s="12"/>
      <c r="J6761" s="12"/>
      <c r="K6761" s="12"/>
      <c r="L6761" s="12"/>
      <c r="M6761" s="11"/>
      <c r="N6761" s="11"/>
      <c r="O6761" s="11"/>
      <c r="P6761" s="11"/>
    </row>
    <row r="6762" spans="8:16" x14ac:dyDescent="0.25">
      <c r="H6762" s="12"/>
      <c r="I6762" s="12"/>
      <c r="J6762" s="12"/>
      <c r="K6762" s="12"/>
      <c r="L6762" s="12"/>
      <c r="M6762" s="11"/>
      <c r="N6762" s="11"/>
      <c r="O6762" s="11"/>
      <c r="P6762" s="11"/>
    </row>
    <row r="6763" spans="8:16" x14ac:dyDescent="0.25">
      <c r="H6763" s="12"/>
      <c r="I6763" s="12"/>
      <c r="J6763" s="12"/>
      <c r="K6763" s="12"/>
      <c r="L6763" s="12"/>
      <c r="M6763" s="11"/>
      <c r="N6763" s="11"/>
      <c r="O6763" s="11"/>
      <c r="P6763" s="11"/>
    </row>
    <row r="6764" spans="8:16" x14ac:dyDescent="0.25">
      <c r="H6764" s="12"/>
      <c r="I6764" s="12"/>
      <c r="J6764" s="12"/>
      <c r="K6764" s="12"/>
      <c r="L6764" s="12"/>
      <c r="M6764" s="11"/>
      <c r="N6764" s="11"/>
      <c r="O6764" s="11"/>
      <c r="P6764" s="11"/>
    </row>
    <row r="6765" spans="8:16" x14ac:dyDescent="0.25">
      <c r="H6765" s="12"/>
      <c r="I6765" s="12"/>
      <c r="J6765" s="12"/>
      <c r="K6765" s="12"/>
      <c r="L6765" s="12"/>
      <c r="M6765" s="11"/>
      <c r="N6765" s="11"/>
      <c r="O6765" s="11"/>
      <c r="P6765" s="11"/>
    </row>
    <row r="6766" spans="8:16" x14ac:dyDescent="0.25">
      <c r="H6766" s="12"/>
      <c r="I6766" s="12"/>
      <c r="J6766" s="12"/>
      <c r="K6766" s="12"/>
      <c r="L6766" s="12"/>
      <c r="M6766" s="11"/>
      <c r="N6766" s="11"/>
      <c r="O6766" s="11"/>
      <c r="P6766" s="11"/>
    </row>
    <row r="6767" spans="8:16" x14ac:dyDescent="0.25">
      <c r="H6767" s="12"/>
      <c r="I6767" s="12"/>
      <c r="J6767" s="12"/>
      <c r="K6767" s="12"/>
      <c r="L6767" s="12"/>
      <c r="M6767" s="11"/>
      <c r="N6767" s="11"/>
      <c r="O6767" s="11"/>
      <c r="P6767" s="11"/>
    </row>
    <row r="6768" spans="8:16" x14ac:dyDescent="0.25">
      <c r="H6768" s="12"/>
      <c r="I6768" s="12"/>
      <c r="J6768" s="12"/>
      <c r="K6768" s="12"/>
      <c r="L6768" s="12"/>
      <c r="M6768" s="11"/>
      <c r="N6768" s="11"/>
      <c r="O6768" s="11"/>
      <c r="P6768" s="11"/>
    </row>
    <row r="6769" spans="8:16" x14ac:dyDescent="0.25">
      <c r="H6769" s="12"/>
      <c r="I6769" s="12"/>
      <c r="J6769" s="12"/>
      <c r="K6769" s="12"/>
      <c r="L6769" s="12"/>
      <c r="M6769" s="11"/>
      <c r="N6769" s="11"/>
      <c r="O6769" s="11"/>
      <c r="P6769" s="11"/>
    </row>
    <row r="6770" spans="8:16" x14ac:dyDescent="0.25">
      <c r="H6770" s="12"/>
      <c r="I6770" s="12"/>
      <c r="J6770" s="12"/>
      <c r="K6770" s="12"/>
      <c r="L6770" s="12"/>
      <c r="M6770" s="11"/>
      <c r="N6770" s="11"/>
      <c r="O6770" s="11"/>
      <c r="P6770" s="11"/>
    </row>
    <row r="6771" spans="8:16" x14ac:dyDescent="0.25">
      <c r="H6771" s="12"/>
      <c r="I6771" s="12"/>
      <c r="J6771" s="12"/>
      <c r="K6771" s="12"/>
      <c r="L6771" s="12"/>
      <c r="M6771" s="11"/>
      <c r="N6771" s="11"/>
      <c r="O6771" s="11"/>
      <c r="P6771" s="11"/>
    </row>
    <row r="6772" spans="8:16" x14ac:dyDescent="0.25">
      <c r="H6772" s="12"/>
      <c r="I6772" s="12"/>
      <c r="J6772" s="12"/>
      <c r="K6772" s="12"/>
      <c r="L6772" s="12"/>
      <c r="M6772" s="11"/>
      <c r="N6772" s="11"/>
      <c r="O6772" s="11"/>
      <c r="P6772" s="11"/>
    </row>
    <row r="6773" spans="8:16" x14ac:dyDescent="0.25">
      <c r="H6773" s="12"/>
      <c r="I6773" s="12"/>
      <c r="J6773" s="12"/>
      <c r="K6773" s="12"/>
      <c r="L6773" s="12"/>
      <c r="M6773" s="11"/>
      <c r="N6773" s="11"/>
      <c r="O6773" s="11"/>
      <c r="P6773" s="11"/>
    </row>
    <row r="6774" spans="8:16" x14ac:dyDescent="0.25">
      <c r="H6774" s="12"/>
      <c r="I6774" s="12"/>
      <c r="J6774" s="12"/>
      <c r="K6774" s="12"/>
      <c r="L6774" s="12"/>
      <c r="M6774" s="11"/>
      <c r="N6774" s="11"/>
      <c r="O6774" s="11"/>
      <c r="P6774" s="11"/>
    </row>
    <row r="6775" spans="8:16" x14ac:dyDescent="0.25">
      <c r="H6775" s="12"/>
      <c r="I6775" s="12"/>
      <c r="J6775" s="12"/>
      <c r="K6775" s="12"/>
      <c r="L6775" s="12"/>
      <c r="M6775" s="11"/>
      <c r="N6775" s="11"/>
      <c r="O6775" s="11"/>
      <c r="P6775" s="11"/>
    </row>
    <row r="6776" spans="8:16" x14ac:dyDescent="0.25">
      <c r="H6776" s="12"/>
      <c r="I6776" s="12"/>
      <c r="J6776" s="12"/>
      <c r="K6776" s="12"/>
      <c r="L6776" s="12"/>
      <c r="M6776" s="11"/>
      <c r="N6776" s="11"/>
      <c r="O6776" s="11"/>
      <c r="P6776" s="11"/>
    </row>
    <row r="6777" spans="8:16" x14ac:dyDescent="0.25">
      <c r="H6777" s="12"/>
      <c r="I6777" s="12"/>
      <c r="J6777" s="12"/>
      <c r="K6777" s="12"/>
      <c r="L6777" s="12"/>
      <c r="M6777" s="11"/>
      <c r="N6777" s="11"/>
      <c r="O6777" s="11"/>
      <c r="P6777" s="11"/>
    </row>
    <row r="6778" spans="8:16" x14ac:dyDescent="0.25">
      <c r="H6778" s="12"/>
      <c r="I6778" s="12"/>
      <c r="J6778" s="12"/>
      <c r="K6778" s="12"/>
      <c r="L6778" s="12"/>
      <c r="M6778" s="11"/>
      <c r="N6778" s="11"/>
      <c r="O6778" s="11"/>
      <c r="P6778" s="11"/>
    </row>
    <row r="6779" spans="8:16" x14ac:dyDescent="0.25">
      <c r="H6779" s="12"/>
      <c r="I6779" s="12"/>
      <c r="J6779" s="12"/>
      <c r="K6779" s="12"/>
      <c r="L6779" s="12"/>
      <c r="M6779" s="11"/>
      <c r="N6779" s="11"/>
      <c r="O6779" s="11"/>
      <c r="P6779" s="11"/>
    </row>
    <row r="6780" spans="8:16" x14ac:dyDescent="0.25">
      <c r="H6780" s="12"/>
      <c r="I6780" s="12"/>
      <c r="J6780" s="12"/>
      <c r="K6780" s="12"/>
      <c r="L6780" s="12"/>
      <c r="M6780" s="11"/>
      <c r="N6780" s="11"/>
      <c r="O6780" s="11"/>
      <c r="P6780" s="11"/>
    </row>
    <row r="6781" spans="8:16" x14ac:dyDescent="0.25">
      <c r="H6781" s="12"/>
      <c r="I6781" s="12"/>
      <c r="J6781" s="12"/>
      <c r="K6781" s="12"/>
      <c r="L6781" s="12"/>
      <c r="M6781" s="11"/>
      <c r="N6781" s="11"/>
      <c r="O6781" s="11"/>
      <c r="P6781" s="11"/>
    </row>
    <row r="6782" spans="8:16" x14ac:dyDescent="0.25">
      <c r="H6782" s="12"/>
      <c r="I6782" s="12"/>
      <c r="J6782" s="12"/>
      <c r="K6782" s="12"/>
      <c r="L6782" s="12"/>
      <c r="M6782" s="11"/>
      <c r="N6782" s="11"/>
      <c r="O6782" s="11"/>
      <c r="P6782" s="11"/>
    </row>
    <row r="6783" spans="8:16" x14ac:dyDescent="0.25">
      <c r="H6783" s="12"/>
      <c r="I6783" s="12"/>
      <c r="J6783" s="12"/>
      <c r="K6783" s="12"/>
      <c r="L6783" s="12"/>
      <c r="M6783" s="11"/>
      <c r="N6783" s="11"/>
      <c r="O6783" s="11"/>
      <c r="P6783" s="11"/>
    </row>
    <row r="6784" spans="8:16" x14ac:dyDescent="0.25">
      <c r="H6784" s="12"/>
      <c r="I6784" s="12"/>
      <c r="J6784" s="12"/>
      <c r="K6784" s="12"/>
      <c r="L6784" s="12"/>
      <c r="M6784" s="11"/>
      <c r="N6784" s="11"/>
      <c r="O6784" s="11"/>
      <c r="P6784" s="11"/>
    </row>
    <row r="6785" spans="8:16" x14ac:dyDescent="0.25">
      <c r="H6785" s="12"/>
      <c r="I6785" s="12"/>
      <c r="J6785" s="12"/>
      <c r="K6785" s="12"/>
      <c r="L6785" s="12"/>
      <c r="M6785" s="11"/>
      <c r="N6785" s="11"/>
      <c r="O6785" s="11"/>
      <c r="P6785" s="11"/>
    </row>
    <row r="6786" spans="8:16" x14ac:dyDescent="0.25">
      <c r="H6786" s="12"/>
      <c r="I6786" s="12"/>
      <c r="J6786" s="12"/>
      <c r="K6786" s="12"/>
      <c r="L6786" s="12"/>
      <c r="M6786" s="11"/>
      <c r="N6786" s="11"/>
      <c r="O6786" s="11"/>
      <c r="P6786" s="11"/>
    </row>
    <row r="6787" spans="8:16" x14ac:dyDescent="0.25">
      <c r="H6787" s="12"/>
      <c r="I6787" s="12"/>
      <c r="J6787" s="12"/>
      <c r="K6787" s="12"/>
      <c r="L6787" s="12"/>
      <c r="M6787" s="11"/>
      <c r="N6787" s="11"/>
      <c r="O6787" s="11"/>
      <c r="P6787" s="11"/>
    </row>
    <row r="6788" spans="8:16" x14ac:dyDescent="0.25">
      <c r="H6788" s="12"/>
      <c r="I6788" s="12"/>
      <c r="J6788" s="12"/>
      <c r="K6788" s="12"/>
      <c r="L6788" s="12"/>
      <c r="M6788" s="11"/>
      <c r="N6788" s="11"/>
      <c r="O6788" s="11"/>
      <c r="P6788" s="11"/>
    </row>
    <row r="6789" spans="8:16" x14ac:dyDescent="0.25">
      <c r="H6789" s="12"/>
      <c r="I6789" s="12"/>
      <c r="J6789" s="12"/>
      <c r="K6789" s="12"/>
      <c r="L6789" s="12"/>
      <c r="M6789" s="11"/>
      <c r="N6789" s="11"/>
      <c r="O6789" s="11"/>
      <c r="P6789" s="11"/>
    </row>
    <row r="6790" spans="8:16" x14ac:dyDescent="0.25">
      <c r="H6790" s="12"/>
      <c r="I6790" s="12"/>
      <c r="J6790" s="12"/>
      <c r="K6790" s="12"/>
      <c r="L6790" s="12"/>
      <c r="M6790" s="11"/>
      <c r="N6790" s="11"/>
      <c r="O6790" s="11"/>
      <c r="P6790" s="11"/>
    </row>
    <row r="6791" spans="8:16" x14ac:dyDescent="0.25">
      <c r="H6791" s="12"/>
      <c r="I6791" s="12"/>
      <c r="J6791" s="12"/>
      <c r="K6791" s="12"/>
      <c r="L6791" s="12"/>
      <c r="M6791" s="11"/>
      <c r="N6791" s="11"/>
      <c r="O6791" s="11"/>
      <c r="P6791" s="11"/>
    </row>
    <row r="6792" spans="8:16" x14ac:dyDescent="0.25">
      <c r="H6792" s="12"/>
      <c r="I6792" s="12"/>
      <c r="J6792" s="12"/>
      <c r="K6792" s="12"/>
      <c r="L6792" s="12"/>
      <c r="M6792" s="11"/>
      <c r="N6792" s="11"/>
      <c r="O6792" s="11"/>
      <c r="P6792" s="11"/>
    </row>
    <row r="6793" spans="8:16" x14ac:dyDescent="0.25">
      <c r="H6793" s="12"/>
      <c r="I6793" s="12"/>
      <c r="J6793" s="12"/>
      <c r="K6793" s="12"/>
      <c r="L6793" s="12"/>
      <c r="M6793" s="11"/>
      <c r="N6793" s="11"/>
      <c r="O6793" s="11"/>
      <c r="P6793" s="11"/>
    </row>
    <row r="6794" spans="8:16" x14ac:dyDescent="0.25">
      <c r="H6794" s="12"/>
      <c r="I6794" s="12"/>
      <c r="J6794" s="12"/>
      <c r="K6794" s="12"/>
      <c r="L6794" s="12"/>
      <c r="M6794" s="11"/>
      <c r="N6794" s="11"/>
      <c r="O6794" s="11"/>
      <c r="P6794" s="11"/>
    </row>
    <row r="6795" spans="8:16" x14ac:dyDescent="0.25">
      <c r="H6795" s="12"/>
      <c r="I6795" s="12"/>
      <c r="J6795" s="12"/>
      <c r="K6795" s="12"/>
      <c r="L6795" s="12"/>
      <c r="M6795" s="11"/>
      <c r="N6795" s="11"/>
      <c r="O6795" s="11"/>
      <c r="P6795" s="11"/>
    </row>
    <row r="6796" spans="8:16" x14ac:dyDescent="0.25">
      <c r="H6796" s="12"/>
      <c r="I6796" s="12"/>
      <c r="J6796" s="12"/>
      <c r="K6796" s="12"/>
      <c r="L6796" s="12"/>
      <c r="M6796" s="11"/>
      <c r="N6796" s="11"/>
      <c r="O6796" s="11"/>
      <c r="P6796" s="11"/>
    </row>
    <row r="6797" spans="8:16" x14ac:dyDescent="0.25">
      <c r="H6797" s="12"/>
      <c r="I6797" s="12"/>
      <c r="J6797" s="12"/>
      <c r="K6797" s="12"/>
      <c r="L6797" s="12"/>
      <c r="M6797" s="11"/>
      <c r="N6797" s="11"/>
      <c r="O6797" s="11"/>
      <c r="P6797" s="11"/>
    </row>
    <row r="6798" spans="8:16" x14ac:dyDescent="0.25">
      <c r="H6798" s="12"/>
      <c r="I6798" s="12"/>
      <c r="J6798" s="12"/>
      <c r="K6798" s="12"/>
      <c r="L6798" s="12"/>
      <c r="M6798" s="11"/>
      <c r="N6798" s="11"/>
      <c r="O6798" s="11"/>
      <c r="P6798" s="11"/>
    </row>
    <row r="6799" spans="8:16" x14ac:dyDescent="0.25">
      <c r="H6799" s="12"/>
      <c r="I6799" s="12"/>
      <c r="J6799" s="12"/>
      <c r="K6799" s="12"/>
      <c r="L6799" s="12"/>
      <c r="M6799" s="11"/>
      <c r="N6799" s="11"/>
      <c r="O6799" s="11"/>
      <c r="P6799" s="11"/>
    </row>
    <row r="6800" spans="8:16" x14ac:dyDescent="0.25">
      <c r="H6800" s="12"/>
      <c r="I6800" s="12"/>
      <c r="J6800" s="12"/>
      <c r="K6800" s="12"/>
      <c r="L6800" s="12"/>
      <c r="M6800" s="11"/>
      <c r="N6800" s="11"/>
      <c r="O6800" s="11"/>
      <c r="P6800" s="11"/>
    </row>
    <row r="6801" spans="8:16" x14ac:dyDescent="0.25">
      <c r="H6801" s="12"/>
      <c r="I6801" s="12"/>
      <c r="J6801" s="12"/>
      <c r="K6801" s="12"/>
      <c r="L6801" s="12"/>
      <c r="M6801" s="11"/>
      <c r="N6801" s="11"/>
      <c r="O6801" s="11"/>
      <c r="P6801" s="11"/>
    </row>
    <row r="6802" spans="8:16" x14ac:dyDescent="0.25">
      <c r="H6802" s="12"/>
      <c r="I6802" s="12"/>
      <c r="J6802" s="12"/>
      <c r="K6802" s="12"/>
      <c r="L6802" s="12"/>
      <c r="M6802" s="11"/>
      <c r="N6802" s="11"/>
      <c r="O6802" s="11"/>
      <c r="P6802" s="11"/>
    </row>
    <row r="6803" spans="8:16" x14ac:dyDescent="0.25">
      <c r="H6803" s="12"/>
      <c r="I6803" s="12"/>
      <c r="J6803" s="12"/>
      <c r="K6803" s="12"/>
      <c r="L6803" s="12"/>
      <c r="M6803" s="11"/>
      <c r="N6803" s="11"/>
      <c r="O6803" s="11"/>
      <c r="P6803" s="11"/>
    </row>
    <row r="6804" spans="8:16" x14ac:dyDescent="0.25">
      <c r="H6804" s="12"/>
      <c r="I6804" s="12"/>
      <c r="J6804" s="12"/>
      <c r="K6804" s="12"/>
      <c r="L6804" s="12"/>
      <c r="M6804" s="11"/>
      <c r="N6804" s="11"/>
      <c r="O6804" s="11"/>
      <c r="P6804" s="11"/>
    </row>
    <row r="6805" spans="8:16" x14ac:dyDescent="0.25">
      <c r="H6805" s="12"/>
      <c r="I6805" s="12"/>
      <c r="J6805" s="12"/>
      <c r="K6805" s="12"/>
      <c r="L6805" s="12"/>
      <c r="M6805" s="11"/>
      <c r="N6805" s="11"/>
      <c r="O6805" s="11"/>
      <c r="P6805" s="11"/>
    </row>
    <row r="6806" spans="8:16" x14ac:dyDescent="0.25">
      <c r="H6806" s="12"/>
      <c r="I6806" s="12"/>
      <c r="J6806" s="12"/>
      <c r="K6806" s="12"/>
      <c r="L6806" s="12"/>
      <c r="M6806" s="11"/>
      <c r="N6806" s="11"/>
      <c r="O6806" s="11"/>
      <c r="P6806" s="11"/>
    </row>
    <row r="6807" spans="8:16" x14ac:dyDescent="0.25">
      <c r="H6807" s="12"/>
      <c r="I6807" s="12"/>
      <c r="J6807" s="12"/>
      <c r="K6807" s="12"/>
      <c r="L6807" s="12"/>
      <c r="M6807" s="11"/>
      <c r="N6807" s="11"/>
      <c r="O6807" s="11"/>
      <c r="P6807" s="11"/>
    </row>
    <row r="6808" spans="8:16" x14ac:dyDescent="0.25">
      <c r="H6808" s="12"/>
      <c r="I6808" s="12"/>
      <c r="J6808" s="12"/>
      <c r="K6808" s="12"/>
      <c r="L6808" s="12"/>
      <c r="M6808" s="11"/>
      <c r="N6808" s="11"/>
      <c r="O6808" s="11"/>
      <c r="P6808" s="11"/>
    </row>
    <row r="6809" spans="8:16" x14ac:dyDescent="0.25">
      <c r="H6809" s="12"/>
      <c r="I6809" s="12"/>
      <c r="J6809" s="12"/>
      <c r="K6809" s="12"/>
      <c r="L6809" s="12"/>
      <c r="M6809" s="11"/>
      <c r="N6809" s="11"/>
      <c r="O6809" s="11"/>
      <c r="P6809" s="11"/>
    </row>
    <row r="6810" spans="8:16" x14ac:dyDescent="0.25">
      <c r="H6810" s="12"/>
      <c r="I6810" s="12"/>
      <c r="J6810" s="12"/>
      <c r="K6810" s="12"/>
      <c r="L6810" s="12"/>
      <c r="M6810" s="11"/>
      <c r="N6810" s="11"/>
      <c r="O6810" s="11"/>
      <c r="P6810" s="11"/>
    </row>
    <row r="6811" spans="8:16" x14ac:dyDescent="0.25">
      <c r="H6811" s="12"/>
      <c r="I6811" s="12"/>
      <c r="J6811" s="12"/>
      <c r="K6811" s="12"/>
      <c r="L6811" s="12"/>
      <c r="M6811" s="11"/>
      <c r="N6811" s="11"/>
      <c r="O6811" s="11"/>
      <c r="P6811" s="11"/>
    </row>
    <row r="6812" spans="8:16" x14ac:dyDescent="0.25">
      <c r="H6812" s="12"/>
      <c r="I6812" s="12"/>
      <c r="J6812" s="12"/>
      <c r="K6812" s="12"/>
      <c r="L6812" s="12"/>
      <c r="M6812" s="11"/>
      <c r="N6812" s="11"/>
      <c r="O6812" s="11"/>
      <c r="P6812" s="11"/>
    </row>
    <row r="6813" spans="8:16" x14ac:dyDescent="0.25">
      <c r="H6813" s="12"/>
      <c r="I6813" s="12"/>
      <c r="J6813" s="12"/>
      <c r="K6813" s="12"/>
      <c r="L6813" s="12"/>
      <c r="M6813" s="11"/>
      <c r="N6813" s="11"/>
      <c r="O6813" s="11"/>
      <c r="P6813" s="11"/>
    </row>
    <row r="6814" spans="8:16" x14ac:dyDescent="0.25">
      <c r="H6814" s="12"/>
      <c r="I6814" s="12"/>
      <c r="J6814" s="12"/>
      <c r="K6814" s="12"/>
      <c r="L6814" s="12"/>
      <c r="M6814" s="11"/>
      <c r="N6814" s="11"/>
      <c r="O6814" s="11"/>
      <c r="P6814" s="11"/>
    </row>
    <row r="6815" spans="8:16" x14ac:dyDescent="0.25">
      <c r="H6815" s="12"/>
      <c r="I6815" s="12"/>
      <c r="J6815" s="12"/>
      <c r="K6815" s="12"/>
      <c r="L6815" s="12"/>
      <c r="M6815" s="11"/>
      <c r="N6815" s="11"/>
      <c r="O6815" s="11"/>
      <c r="P6815" s="11"/>
    </row>
    <row r="6816" spans="8:16" x14ac:dyDescent="0.25">
      <c r="H6816" s="12"/>
      <c r="I6816" s="12"/>
      <c r="J6816" s="12"/>
      <c r="K6816" s="12"/>
      <c r="L6816" s="12"/>
      <c r="M6816" s="11"/>
      <c r="N6816" s="11"/>
      <c r="O6816" s="11"/>
      <c r="P6816" s="11"/>
    </row>
    <row r="6817" spans="8:16" x14ac:dyDescent="0.25">
      <c r="H6817" s="12"/>
      <c r="I6817" s="12"/>
      <c r="J6817" s="12"/>
      <c r="K6817" s="12"/>
      <c r="L6817" s="12"/>
      <c r="M6817" s="11"/>
      <c r="N6817" s="11"/>
      <c r="O6817" s="11"/>
      <c r="P6817" s="11"/>
    </row>
    <row r="6818" spans="8:16" x14ac:dyDescent="0.25">
      <c r="H6818" s="12"/>
      <c r="I6818" s="12"/>
      <c r="J6818" s="12"/>
      <c r="K6818" s="12"/>
      <c r="L6818" s="12"/>
      <c r="M6818" s="11"/>
      <c r="N6818" s="11"/>
      <c r="O6818" s="11"/>
      <c r="P6818" s="11"/>
    </row>
    <row r="6819" spans="8:16" x14ac:dyDescent="0.25">
      <c r="H6819" s="12"/>
      <c r="I6819" s="12"/>
      <c r="J6819" s="12"/>
      <c r="K6819" s="12"/>
      <c r="L6819" s="12"/>
      <c r="M6819" s="11"/>
      <c r="N6819" s="11"/>
      <c r="O6819" s="11"/>
      <c r="P6819" s="11"/>
    </row>
    <row r="6820" spans="8:16" x14ac:dyDescent="0.25">
      <c r="H6820" s="12"/>
      <c r="I6820" s="12"/>
      <c r="J6820" s="12"/>
      <c r="K6820" s="12"/>
      <c r="L6820" s="12"/>
      <c r="M6820" s="11"/>
      <c r="N6820" s="11"/>
      <c r="O6820" s="11"/>
      <c r="P6820" s="11"/>
    </row>
    <row r="6821" spans="8:16" x14ac:dyDescent="0.25">
      <c r="H6821" s="12"/>
      <c r="I6821" s="12"/>
      <c r="J6821" s="12"/>
      <c r="K6821" s="12"/>
      <c r="L6821" s="12"/>
      <c r="M6821" s="11"/>
      <c r="N6821" s="11"/>
      <c r="O6821" s="11"/>
      <c r="P6821" s="11"/>
    </row>
    <row r="6822" spans="8:16" x14ac:dyDescent="0.25">
      <c r="H6822" s="12"/>
      <c r="I6822" s="12"/>
      <c r="J6822" s="12"/>
      <c r="K6822" s="12"/>
      <c r="L6822" s="12"/>
      <c r="M6822" s="11"/>
      <c r="N6822" s="11"/>
      <c r="O6822" s="11"/>
      <c r="P6822" s="11"/>
    </row>
    <row r="6823" spans="8:16" x14ac:dyDescent="0.25">
      <c r="H6823" s="12"/>
      <c r="I6823" s="12"/>
      <c r="J6823" s="12"/>
      <c r="K6823" s="12"/>
      <c r="L6823" s="12"/>
      <c r="M6823" s="11"/>
      <c r="N6823" s="11"/>
      <c r="O6823" s="11"/>
      <c r="P6823" s="11"/>
    </row>
    <row r="6824" spans="8:16" x14ac:dyDescent="0.25">
      <c r="H6824" s="12"/>
      <c r="I6824" s="12"/>
      <c r="J6824" s="12"/>
      <c r="K6824" s="12"/>
      <c r="L6824" s="12"/>
      <c r="M6824" s="11"/>
      <c r="N6824" s="11"/>
      <c r="O6824" s="11"/>
      <c r="P6824" s="11"/>
    </row>
    <row r="6825" spans="8:16" x14ac:dyDescent="0.25">
      <c r="H6825" s="12"/>
      <c r="I6825" s="12"/>
      <c r="J6825" s="12"/>
      <c r="K6825" s="12"/>
      <c r="L6825" s="12"/>
      <c r="M6825" s="11"/>
      <c r="N6825" s="11"/>
      <c r="O6825" s="11"/>
      <c r="P6825" s="11"/>
    </row>
    <row r="6826" spans="8:16" x14ac:dyDescent="0.25">
      <c r="H6826" s="12"/>
      <c r="I6826" s="12"/>
      <c r="J6826" s="12"/>
      <c r="K6826" s="12"/>
      <c r="L6826" s="12"/>
      <c r="M6826" s="11"/>
      <c r="N6826" s="11"/>
      <c r="O6826" s="11"/>
      <c r="P6826" s="11"/>
    </row>
    <row r="6827" spans="8:16" x14ac:dyDescent="0.25">
      <c r="H6827" s="12"/>
      <c r="I6827" s="12"/>
      <c r="J6827" s="12"/>
      <c r="K6827" s="12"/>
      <c r="L6827" s="12"/>
      <c r="M6827" s="11"/>
      <c r="N6827" s="11"/>
      <c r="O6827" s="11"/>
      <c r="P6827" s="11"/>
    </row>
    <row r="6828" spans="8:16" x14ac:dyDescent="0.25">
      <c r="H6828" s="12"/>
      <c r="I6828" s="12"/>
      <c r="J6828" s="12"/>
      <c r="K6828" s="12"/>
      <c r="L6828" s="12"/>
      <c r="M6828" s="11"/>
      <c r="N6828" s="11"/>
      <c r="O6828" s="11"/>
      <c r="P6828" s="11"/>
    </row>
    <row r="6829" spans="8:16" x14ac:dyDescent="0.25">
      <c r="H6829" s="12"/>
      <c r="I6829" s="12"/>
      <c r="J6829" s="12"/>
      <c r="K6829" s="12"/>
      <c r="L6829" s="12"/>
      <c r="M6829" s="11"/>
      <c r="N6829" s="11"/>
      <c r="O6829" s="11"/>
      <c r="P6829" s="11"/>
    </row>
    <row r="6830" spans="8:16" x14ac:dyDescent="0.25">
      <c r="H6830" s="12"/>
      <c r="I6830" s="12"/>
      <c r="J6830" s="12"/>
      <c r="K6830" s="12"/>
      <c r="L6830" s="12"/>
      <c r="M6830" s="11"/>
      <c r="N6830" s="11"/>
      <c r="O6830" s="11"/>
      <c r="P6830" s="11"/>
    </row>
    <row r="6831" spans="8:16" x14ac:dyDescent="0.25">
      <c r="H6831" s="12"/>
      <c r="I6831" s="12"/>
      <c r="J6831" s="12"/>
      <c r="K6831" s="12"/>
      <c r="L6831" s="12"/>
      <c r="M6831" s="11"/>
      <c r="N6831" s="11"/>
      <c r="O6831" s="11"/>
      <c r="P6831" s="11"/>
    </row>
    <row r="6832" spans="8:16" x14ac:dyDescent="0.25">
      <c r="H6832" s="12"/>
      <c r="I6832" s="12"/>
      <c r="J6832" s="12"/>
      <c r="K6832" s="12"/>
      <c r="L6832" s="12"/>
      <c r="M6832" s="11"/>
      <c r="N6832" s="11"/>
      <c r="O6832" s="11"/>
      <c r="P6832" s="11"/>
    </row>
    <row r="6833" spans="8:16" x14ac:dyDescent="0.25">
      <c r="H6833" s="12"/>
      <c r="I6833" s="12"/>
      <c r="J6833" s="12"/>
      <c r="K6833" s="12"/>
      <c r="L6833" s="12"/>
      <c r="M6833" s="11"/>
      <c r="N6833" s="11"/>
      <c r="O6833" s="11"/>
      <c r="P6833" s="11"/>
    </row>
    <row r="6834" spans="8:16" x14ac:dyDescent="0.25">
      <c r="H6834" s="12"/>
      <c r="I6834" s="12"/>
      <c r="J6834" s="12"/>
      <c r="K6834" s="12"/>
      <c r="L6834" s="12"/>
      <c r="M6834" s="11"/>
      <c r="N6834" s="11"/>
      <c r="O6834" s="11"/>
      <c r="P6834" s="11"/>
    </row>
    <row r="6835" spans="8:16" x14ac:dyDescent="0.25">
      <c r="H6835" s="12"/>
      <c r="I6835" s="12"/>
      <c r="J6835" s="12"/>
      <c r="K6835" s="12"/>
      <c r="L6835" s="12"/>
      <c r="M6835" s="11"/>
      <c r="N6835" s="11"/>
      <c r="O6835" s="11"/>
      <c r="P6835" s="11"/>
    </row>
    <row r="6836" spans="8:16" x14ac:dyDescent="0.25">
      <c r="H6836" s="12"/>
      <c r="I6836" s="12"/>
      <c r="J6836" s="12"/>
      <c r="K6836" s="12"/>
      <c r="L6836" s="12"/>
      <c r="M6836" s="11"/>
      <c r="N6836" s="11"/>
      <c r="O6836" s="11"/>
      <c r="P6836" s="11"/>
    </row>
    <row r="6837" spans="8:16" x14ac:dyDescent="0.25">
      <c r="H6837" s="12"/>
      <c r="I6837" s="12"/>
      <c r="J6837" s="12"/>
      <c r="K6837" s="12"/>
      <c r="L6837" s="12"/>
      <c r="M6837" s="11"/>
      <c r="N6837" s="11"/>
      <c r="O6837" s="11"/>
      <c r="P6837" s="11"/>
    </row>
    <row r="6838" spans="8:16" x14ac:dyDescent="0.25">
      <c r="H6838" s="12"/>
      <c r="I6838" s="12"/>
      <c r="J6838" s="12"/>
      <c r="K6838" s="12"/>
      <c r="L6838" s="12"/>
      <c r="M6838" s="11"/>
      <c r="N6838" s="11"/>
      <c r="O6838" s="11"/>
      <c r="P6838" s="11"/>
    </row>
    <row r="6839" spans="8:16" x14ac:dyDescent="0.25">
      <c r="H6839" s="12"/>
      <c r="I6839" s="12"/>
      <c r="J6839" s="12"/>
      <c r="K6839" s="12"/>
      <c r="L6839" s="12"/>
      <c r="M6839" s="11"/>
      <c r="N6839" s="11"/>
      <c r="O6839" s="11"/>
      <c r="P6839" s="11"/>
    </row>
    <row r="6840" spans="8:16" x14ac:dyDescent="0.25">
      <c r="H6840" s="12"/>
      <c r="I6840" s="12"/>
      <c r="J6840" s="12"/>
      <c r="K6840" s="12"/>
      <c r="L6840" s="12"/>
      <c r="M6840" s="11"/>
      <c r="N6840" s="11"/>
      <c r="O6840" s="11"/>
      <c r="P6840" s="11"/>
    </row>
    <row r="6841" spans="8:16" x14ac:dyDescent="0.25">
      <c r="H6841" s="12"/>
      <c r="I6841" s="12"/>
      <c r="J6841" s="12"/>
      <c r="K6841" s="12"/>
      <c r="L6841" s="12"/>
      <c r="M6841" s="11"/>
      <c r="N6841" s="11"/>
      <c r="O6841" s="11"/>
      <c r="P6841" s="11"/>
    </row>
    <row r="6842" spans="8:16" x14ac:dyDescent="0.25">
      <c r="H6842" s="12"/>
      <c r="I6842" s="12"/>
      <c r="J6842" s="12"/>
      <c r="K6842" s="12"/>
      <c r="L6842" s="12"/>
      <c r="M6842" s="11"/>
      <c r="N6842" s="11"/>
      <c r="O6842" s="11"/>
      <c r="P6842" s="11"/>
    </row>
    <row r="6843" spans="8:16" x14ac:dyDescent="0.25">
      <c r="H6843" s="12"/>
      <c r="I6843" s="12"/>
      <c r="J6843" s="12"/>
      <c r="K6843" s="12"/>
      <c r="L6843" s="12"/>
      <c r="M6843" s="11"/>
      <c r="N6843" s="11"/>
      <c r="O6843" s="11"/>
      <c r="P6843" s="11"/>
    </row>
    <row r="6844" spans="8:16" x14ac:dyDescent="0.25">
      <c r="H6844" s="12"/>
      <c r="I6844" s="12"/>
      <c r="J6844" s="12"/>
      <c r="K6844" s="12"/>
      <c r="L6844" s="12"/>
      <c r="M6844" s="11"/>
      <c r="N6844" s="11"/>
      <c r="O6844" s="11"/>
      <c r="P6844" s="11"/>
    </row>
    <row r="6845" spans="8:16" x14ac:dyDescent="0.25">
      <c r="H6845" s="12"/>
      <c r="I6845" s="12"/>
      <c r="J6845" s="12"/>
      <c r="K6845" s="12"/>
      <c r="L6845" s="12"/>
      <c r="M6845" s="11"/>
      <c r="N6845" s="11"/>
      <c r="O6845" s="11"/>
      <c r="P6845" s="11"/>
    </row>
    <row r="6846" spans="8:16" x14ac:dyDescent="0.25">
      <c r="H6846" s="12"/>
      <c r="I6846" s="12"/>
      <c r="J6846" s="12"/>
      <c r="K6846" s="12"/>
      <c r="L6846" s="12"/>
      <c r="M6846" s="11"/>
      <c r="N6846" s="11"/>
      <c r="O6846" s="11"/>
      <c r="P6846" s="11"/>
    </row>
    <row r="6847" spans="8:16" x14ac:dyDescent="0.25">
      <c r="H6847" s="12"/>
      <c r="I6847" s="12"/>
      <c r="J6847" s="12"/>
      <c r="K6847" s="12"/>
      <c r="L6847" s="12"/>
      <c r="M6847" s="11"/>
      <c r="N6847" s="11"/>
      <c r="O6847" s="11"/>
      <c r="P6847" s="11"/>
    </row>
    <row r="6848" spans="8:16" x14ac:dyDescent="0.25">
      <c r="H6848" s="12"/>
      <c r="I6848" s="12"/>
      <c r="J6848" s="12"/>
      <c r="K6848" s="12"/>
      <c r="L6848" s="12"/>
      <c r="M6848" s="11"/>
      <c r="N6848" s="11"/>
      <c r="O6848" s="11"/>
      <c r="P6848" s="11"/>
    </row>
    <row r="6849" spans="8:16" x14ac:dyDescent="0.25">
      <c r="H6849" s="12"/>
      <c r="I6849" s="12"/>
      <c r="J6849" s="12"/>
      <c r="K6849" s="12"/>
      <c r="L6849" s="12"/>
      <c r="M6849" s="11"/>
      <c r="N6849" s="11"/>
      <c r="O6849" s="11"/>
      <c r="P6849" s="11"/>
    </row>
    <row r="6850" spans="8:16" x14ac:dyDescent="0.25">
      <c r="H6850" s="12"/>
      <c r="I6850" s="12"/>
      <c r="J6850" s="12"/>
      <c r="K6850" s="12"/>
      <c r="L6850" s="12"/>
      <c r="M6850" s="11"/>
      <c r="N6850" s="11"/>
      <c r="O6850" s="11"/>
      <c r="P6850" s="11"/>
    </row>
    <row r="6851" spans="8:16" x14ac:dyDescent="0.25">
      <c r="H6851" s="12"/>
      <c r="I6851" s="12"/>
      <c r="J6851" s="12"/>
      <c r="K6851" s="12"/>
      <c r="L6851" s="12"/>
      <c r="M6851" s="11"/>
      <c r="N6851" s="11"/>
      <c r="O6851" s="11"/>
      <c r="P6851" s="11"/>
    </row>
    <row r="6852" spans="8:16" x14ac:dyDescent="0.25">
      <c r="H6852" s="12"/>
      <c r="I6852" s="12"/>
      <c r="J6852" s="12"/>
      <c r="K6852" s="12"/>
      <c r="L6852" s="12"/>
      <c r="M6852" s="11"/>
      <c r="N6852" s="11"/>
      <c r="O6852" s="11"/>
      <c r="P6852" s="11"/>
    </row>
    <row r="6853" spans="8:16" x14ac:dyDescent="0.25">
      <c r="H6853" s="12"/>
      <c r="I6853" s="12"/>
      <c r="J6853" s="12"/>
      <c r="K6853" s="12"/>
      <c r="L6853" s="12"/>
      <c r="M6853" s="11"/>
      <c r="N6853" s="11"/>
      <c r="O6853" s="11"/>
      <c r="P6853" s="11"/>
    </row>
    <row r="6854" spans="8:16" x14ac:dyDescent="0.25">
      <c r="H6854" s="12"/>
      <c r="I6854" s="12"/>
      <c r="J6854" s="12"/>
      <c r="K6854" s="12"/>
      <c r="L6854" s="12"/>
      <c r="M6854" s="11"/>
      <c r="N6854" s="11"/>
      <c r="O6854" s="11"/>
      <c r="P6854" s="11"/>
    </row>
    <row r="6855" spans="8:16" x14ac:dyDescent="0.25">
      <c r="H6855" s="12"/>
      <c r="I6855" s="12"/>
      <c r="J6855" s="12"/>
      <c r="K6855" s="12"/>
      <c r="L6855" s="12"/>
      <c r="M6855" s="11"/>
      <c r="N6855" s="11"/>
      <c r="O6855" s="11"/>
      <c r="P6855" s="11"/>
    </row>
    <row r="6856" spans="8:16" x14ac:dyDescent="0.25">
      <c r="H6856" s="12"/>
      <c r="I6856" s="12"/>
      <c r="J6856" s="12"/>
      <c r="K6856" s="12"/>
      <c r="L6856" s="12"/>
      <c r="M6856" s="11"/>
      <c r="N6856" s="11"/>
      <c r="O6856" s="11"/>
      <c r="P6856" s="11"/>
    </row>
    <row r="6857" spans="8:16" x14ac:dyDescent="0.25">
      <c r="H6857" s="12"/>
      <c r="I6857" s="12"/>
      <c r="J6857" s="12"/>
      <c r="K6857" s="12"/>
      <c r="L6857" s="12"/>
      <c r="M6857" s="11"/>
      <c r="N6857" s="11"/>
      <c r="O6857" s="11"/>
      <c r="P6857" s="11"/>
    </row>
    <row r="6858" spans="8:16" x14ac:dyDescent="0.25">
      <c r="H6858" s="12"/>
      <c r="I6858" s="12"/>
      <c r="J6858" s="12"/>
      <c r="K6858" s="12"/>
      <c r="L6858" s="12"/>
      <c r="M6858" s="11"/>
      <c r="N6858" s="11"/>
      <c r="O6858" s="11"/>
      <c r="P6858" s="11"/>
    </row>
    <row r="6859" spans="8:16" x14ac:dyDescent="0.25">
      <c r="H6859" s="12"/>
      <c r="I6859" s="12"/>
      <c r="J6859" s="12"/>
      <c r="K6859" s="12"/>
      <c r="L6859" s="12"/>
      <c r="M6859" s="11"/>
      <c r="N6859" s="11"/>
      <c r="O6859" s="11"/>
      <c r="P6859" s="11"/>
    </row>
    <row r="6860" spans="8:16" x14ac:dyDescent="0.25">
      <c r="H6860" s="12"/>
      <c r="I6860" s="12"/>
      <c r="J6860" s="12"/>
      <c r="K6860" s="12"/>
      <c r="L6860" s="12"/>
      <c r="M6860" s="11"/>
      <c r="N6860" s="11"/>
      <c r="O6860" s="11"/>
      <c r="P6860" s="11"/>
    </row>
    <row r="6861" spans="8:16" x14ac:dyDescent="0.25">
      <c r="H6861" s="12"/>
      <c r="I6861" s="12"/>
      <c r="J6861" s="12"/>
      <c r="K6861" s="12"/>
      <c r="L6861" s="12"/>
      <c r="M6861" s="11"/>
      <c r="N6861" s="11"/>
      <c r="O6861" s="11"/>
      <c r="P6861" s="11"/>
    </row>
    <row r="6862" spans="8:16" x14ac:dyDescent="0.25">
      <c r="H6862" s="12"/>
      <c r="I6862" s="12"/>
      <c r="J6862" s="12"/>
      <c r="K6862" s="12"/>
      <c r="L6862" s="12"/>
      <c r="M6862" s="11"/>
      <c r="N6862" s="11"/>
      <c r="O6862" s="11"/>
      <c r="P6862" s="11"/>
    </row>
    <row r="6863" spans="8:16" x14ac:dyDescent="0.25">
      <c r="H6863" s="12"/>
      <c r="I6863" s="12"/>
      <c r="J6863" s="12"/>
      <c r="K6863" s="12"/>
      <c r="L6863" s="12"/>
      <c r="M6863" s="11"/>
      <c r="N6863" s="11"/>
      <c r="O6863" s="11"/>
      <c r="P6863" s="11"/>
    </row>
    <row r="6864" spans="8:16" x14ac:dyDescent="0.25">
      <c r="H6864" s="12"/>
      <c r="I6864" s="12"/>
      <c r="J6864" s="12"/>
      <c r="K6864" s="12"/>
      <c r="L6864" s="12"/>
      <c r="M6864" s="11"/>
      <c r="N6864" s="11"/>
      <c r="O6864" s="11"/>
      <c r="P6864" s="11"/>
    </row>
    <row r="6865" spans="8:16" x14ac:dyDescent="0.25">
      <c r="H6865" s="12"/>
      <c r="I6865" s="12"/>
      <c r="J6865" s="12"/>
      <c r="K6865" s="12"/>
      <c r="L6865" s="12"/>
      <c r="M6865" s="11"/>
      <c r="N6865" s="11"/>
      <c r="O6865" s="11"/>
      <c r="P6865" s="11"/>
    </row>
    <row r="6866" spans="8:16" x14ac:dyDescent="0.25">
      <c r="H6866" s="12"/>
      <c r="I6866" s="12"/>
      <c r="J6866" s="12"/>
      <c r="K6866" s="12"/>
      <c r="L6866" s="12"/>
      <c r="M6866" s="11"/>
      <c r="N6866" s="11"/>
      <c r="O6866" s="11"/>
      <c r="P6866" s="11"/>
    </row>
    <row r="6867" spans="8:16" x14ac:dyDescent="0.25">
      <c r="H6867" s="12"/>
      <c r="I6867" s="12"/>
      <c r="J6867" s="12"/>
      <c r="K6867" s="12"/>
      <c r="L6867" s="12"/>
      <c r="M6867" s="11"/>
      <c r="N6867" s="11"/>
      <c r="O6867" s="11"/>
      <c r="P6867" s="11"/>
    </row>
    <row r="6868" spans="8:16" x14ac:dyDescent="0.25">
      <c r="H6868" s="12"/>
      <c r="I6868" s="12"/>
      <c r="J6868" s="12"/>
      <c r="K6868" s="12"/>
      <c r="L6868" s="12"/>
      <c r="M6868" s="11"/>
      <c r="N6868" s="11"/>
      <c r="O6868" s="11"/>
      <c r="P6868" s="11"/>
    </row>
    <row r="6869" spans="8:16" x14ac:dyDescent="0.25">
      <c r="H6869" s="12"/>
      <c r="I6869" s="12"/>
      <c r="J6869" s="12"/>
      <c r="K6869" s="12"/>
      <c r="L6869" s="12"/>
      <c r="M6869" s="11"/>
      <c r="N6869" s="11"/>
      <c r="O6869" s="11"/>
      <c r="P6869" s="11"/>
    </row>
    <row r="6870" spans="8:16" x14ac:dyDescent="0.25">
      <c r="H6870" s="12"/>
      <c r="I6870" s="12"/>
      <c r="J6870" s="12"/>
      <c r="K6870" s="12"/>
      <c r="L6870" s="12"/>
      <c r="M6870" s="11"/>
      <c r="N6870" s="11"/>
      <c r="O6870" s="11"/>
      <c r="P6870" s="11"/>
    </row>
    <row r="6871" spans="8:16" x14ac:dyDescent="0.25">
      <c r="H6871" s="12"/>
      <c r="I6871" s="12"/>
      <c r="J6871" s="12"/>
      <c r="K6871" s="12"/>
      <c r="L6871" s="12"/>
      <c r="M6871" s="11"/>
      <c r="N6871" s="11"/>
      <c r="O6871" s="11"/>
      <c r="P6871" s="11"/>
    </row>
    <row r="6872" spans="8:16" x14ac:dyDescent="0.25">
      <c r="H6872" s="12"/>
      <c r="I6872" s="12"/>
      <c r="J6872" s="12"/>
      <c r="K6872" s="12"/>
      <c r="L6872" s="12"/>
      <c r="M6872" s="11"/>
      <c r="N6872" s="11"/>
      <c r="O6872" s="11"/>
      <c r="P6872" s="11"/>
    </row>
    <row r="6873" spans="8:16" x14ac:dyDescent="0.25">
      <c r="H6873" s="12"/>
      <c r="I6873" s="12"/>
      <c r="J6873" s="12"/>
      <c r="K6873" s="12"/>
      <c r="L6873" s="12"/>
      <c r="M6873" s="11"/>
      <c r="N6873" s="11"/>
      <c r="O6873" s="11"/>
      <c r="P6873" s="11"/>
    </row>
    <row r="6874" spans="8:16" x14ac:dyDescent="0.25">
      <c r="H6874" s="12"/>
      <c r="I6874" s="12"/>
      <c r="J6874" s="12"/>
      <c r="K6874" s="12"/>
      <c r="L6874" s="12"/>
      <c r="M6874" s="11"/>
      <c r="N6874" s="11"/>
      <c r="O6874" s="11"/>
      <c r="P6874" s="11"/>
    </row>
    <row r="6875" spans="8:16" x14ac:dyDescent="0.25">
      <c r="H6875" s="12"/>
      <c r="I6875" s="12"/>
      <c r="J6875" s="12"/>
      <c r="K6875" s="12"/>
      <c r="L6875" s="12"/>
      <c r="M6875" s="11"/>
      <c r="N6875" s="11"/>
      <c r="O6875" s="11"/>
      <c r="P6875" s="11"/>
    </row>
    <row r="6876" spans="8:16" x14ac:dyDescent="0.25">
      <c r="H6876" s="12"/>
      <c r="I6876" s="12"/>
      <c r="J6876" s="12"/>
      <c r="K6876" s="12"/>
      <c r="L6876" s="12"/>
      <c r="M6876" s="11"/>
      <c r="N6876" s="11"/>
      <c r="O6876" s="11"/>
      <c r="P6876" s="11"/>
    </row>
    <row r="6877" spans="8:16" x14ac:dyDescent="0.25">
      <c r="H6877" s="12"/>
      <c r="I6877" s="12"/>
      <c r="J6877" s="12"/>
      <c r="K6877" s="12"/>
      <c r="L6877" s="12"/>
      <c r="M6877" s="11"/>
      <c r="N6877" s="11"/>
      <c r="O6877" s="11"/>
      <c r="P6877" s="11"/>
    </row>
    <row r="6878" spans="8:16" x14ac:dyDescent="0.25">
      <c r="H6878" s="12"/>
      <c r="I6878" s="12"/>
      <c r="J6878" s="12"/>
      <c r="K6878" s="12"/>
      <c r="L6878" s="12"/>
      <c r="M6878" s="11"/>
      <c r="N6878" s="11"/>
      <c r="O6878" s="11"/>
      <c r="P6878" s="11"/>
    </row>
    <row r="6879" spans="8:16" x14ac:dyDescent="0.25">
      <c r="H6879" s="12"/>
      <c r="I6879" s="12"/>
      <c r="J6879" s="12"/>
      <c r="K6879" s="12"/>
      <c r="L6879" s="12"/>
      <c r="M6879" s="11"/>
      <c r="N6879" s="11"/>
      <c r="O6879" s="11"/>
      <c r="P6879" s="11"/>
    </row>
    <row r="6880" spans="8:16" x14ac:dyDescent="0.25">
      <c r="H6880" s="12"/>
      <c r="I6880" s="12"/>
      <c r="J6880" s="12"/>
      <c r="K6880" s="12"/>
      <c r="L6880" s="12"/>
      <c r="M6880" s="11"/>
      <c r="N6880" s="11"/>
      <c r="O6880" s="11"/>
      <c r="P6880" s="11"/>
    </row>
    <row r="6881" spans="8:16" x14ac:dyDescent="0.25">
      <c r="H6881" s="12"/>
      <c r="I6881" s="12"/>
      <c r="J6881" s="12"/>
      <c r="K6881" s="12"/>
      <c r="L6881" s="12"/>
      <c r="M6881" s="11"/>
      <c r="N6881" s="11"/>
      <c r="O6881" s="11"/>
      <c r="P6881" s="11"/>
    </row>
    <row r="6882" spans="8:16" x14ac:dyDescent="0.25">
      <c r="H6882" s="12"/>
      <c r="I6882" s="12"/>
      <c r="J6882" s="12"/>
      <c r="K6882" s="12"/>
      <c r="L6882" s="12"/>
      <c r="M6882" s="11"/>
      <c r="N6882" s="11"/>
      <c r="O6882" s="11"/>
      <c r="P6882" s="11"/>
    </row>
    <row r="6883" spans="8:16" x14ac:dyDescent="0.25">
      <c r="H6883" s="12"/>
      <c r="I6883" s="12"/>
      <c r="J6883" s="12"/>
      <c r="K6883" s="12"/>
      <c r="L6883" s="12"/>
      <c r="M6883" s="11"/>
      <c r="N6883" s="11"/>
      <c r="O6883" s="11"/>
      <c r="P6883" s="11"/>
    </row>
    <row r="6884" spans="8:16" x14ac:dyDescent="0.25">
      <c r="H6884" s="12"/>
      <c r="I6884" s="12"/>
      <c r="J6884" s="12"/>
      <c r="K6884" s="12"/>
      <c r="L6884" s="12"/>
      <c r="M6884" s="11"/>
      <c r="N6884" s="11"/>
      <c r="O6884" s="11"/>
      <c r="P6884" s="11"/>
    </row>
    <row r="6885" spans="8:16" x14ac:dyDescent="0.25">
      <c r="H6885" s="12"/>
      <c r="I6885" s="12"/>
      <c r="J6885" s="12"/>
      <c r="K6885" s="12"/>
      <c r="L6885" s="12"/>
      <c r="M6885" s="11"/>
      <c r="N6885" s="11"/>
      <c r="O6885" s="11"/>
      <c r="P6885" s="11"/>
    </row>
    <row r="6886" spans="8:16" x14ac:dyDescent="0.25">
      <c r="H6886" s="12"/>
      <c r="I6886" s="12"/>
      <c r="J6886" s="12"/>
      <c r="K6886" s="12"/>
      <c r="L6886" s="12"/>
      <c r="M6886" s="11"/>
      <c r="N6886" s="11"/>
      <c r="O6886" s="11"/>
      <c r="P6886" s="11"/>
    </row>
    <row r="6887" spans="8:16" x14ac:dyDescent="0.25">
      <c r="H6887" s="12"/>
      <c r="I6887" s="12"/>
      <c r="J6887" s="12"/>
      <c r="K6887" s="12"/>
      <c r="L6887" s="12"/>
      <c r="M6887" s="11"/>
      <c r="N6887" s="11"/>
      <c r="O6887" s="11"/>
      <c r="P6887" s="11"/>
    </row>
    <row r="6888" spans="8:16" x14ac:dyDescent="0.25">
      <c r="H6888" s="12"/>
      <c r="I6888" s="12"/>
      <c r="J6888" s="12"/>
      <c r="K6888" s="12"/>
      <c r="L6888" s="12"/>
      <c r="M6888" s="11"/>
      <c r="N6888" s="11"/>
      <c r="O6888" s="11"/>
      <c r="P6888" s="11"/>
    </row>
    <row r="6889" spans="8:16" x14ac:dyDescent="0.25">
      <c r="H6889" s="12"/>
      <c r="I6889" s="12"/>
      <c r="J6889" s="12"/>
      <c r="K6889" s="12"/>
      <c r="L6889" s="12"/>
      <c r="M6889" s="11"/>
      <c r="N6889" s="11"/>
      <c r="O6889" s="11"/>
      <c r="P6889" s="11"/>
    </row>
    <row r="6890" spans="8:16" x14ac:dyDescent="0.25">
      <c r="H6890" s="12"/>
      <c r="I6890" s="12"/>
      <c r="J6890" s="12"/>
      <c r="K6890" s="12"/>
      <c r="L6890" s="12"/>
      <c r="M6890" s="11"/>
      <c r="N6890" s="11"/>
      <c r="O6890" s="11"/>
      <c r="P6890" s="11"/>
    </row>
    <row r="6891" spans="8:16" x14ac:dyDescent="0.25">
      <c r="H6891" s="12"/>
      <c r="I6891" s="12"/>
      <c r="J6891" s="12"/>
      <c r="K6891" s="12"/>
      <c r="L6891" s="12"/>
      <c r="M6891" s="11"/>
      <c r="N6891" s="11"/>
      <c r="O6891" s="11"/>
      <c r="P6891" s="11"/>
    </row>
    <row r="6892" spans="8:16" x14ac:dyDescent="0.25">
      <c r="H6892" s="12"/>
      <c r="I6892" s="12"/>
      <c r="J6892" s="12"/>
      <c r="K6892" s="12"/>
      <c r="L6892" s="12"/>
      <c r="M6892" s="11"/>
      <c r="N6892" s="11"/>
      <c r="O6892" s="11"/>
      <c r="P6892" s="11"/>
    </row>
    <row r="6893" spans="8:16" x14ac:dyDescent="0.25">
      <c r="H6893" s="12"/>
      <c r="I6893" s="12"/>
      <c r="J6893" s="12"/>
      <c r="K6893" s="12"/>
      <c r="L6893" s="12"/>
      <c r="M6893" s="11"/>
      <c r="N6893" s="11"/>
      <c r="O6893" s="11"/>
      <c r="P6893" s="11"/>
    </row>
    <row r="6894" spans="8:16" x14ac:dyDescent="0.25">
      <c r="H6894" s="12"/>
      <c r="I6894" s="12"/>
      <c r="J6894" s="12"/>
      <c r="K6894" s="12"/>
      <c r="L6894" s="12"/>
      <c r="M6894" s="11"/>
      <c r="N6894" s="11"/>
      <c r="O6894" s="11"/>
      <c r="P6894" s="11"/>
    </row>
    <row r="6895" spans="8:16" x14ac:dyDescent="0.25">
      <c r="H6895" s="12"/>
      <c r="I6895" s="12"/>
      <c r="J6895" s="12"/>
      <c r="K6895" s="12"/>
      <c r="L6895" s="12"/>
      <c r="M6895" s="11"/>
      <c r="N6895" s="11"/>
      <c r="O6895" s="11"/>
      <c r="P6895" s="11"/>
    </row>
    <row r="6896" spans="8:16" x14ac:dyDescent="0.25">
      <c r="H6896" s="12"/>
      <c r="I6896" s="12"/>
      <c r="J6896" s="12"/>
      <c r="K6896" s="12"/>
      <c r="L6896" s="12"/>
      <c r="M6896" s="11"/>
      <c r="N6896" s="11"/>
      <c r="O6896" s="11"/>
      <c r="P6896" s="11"/>
    </row>
    <row r="6897" spans="8:16" x14ac:dyDescent="0.25">
      <c r="H6897" s="12"/>
      <c r="I6897" s="12"/>
      <c r="J6897" s="12"/>
      <c r="K6897" s="12"/>
      <c r="L6897" s="12"/>
      <c r="M6897" s="11"/>
      <c r="N6897" s="11"/>
      <c r="O6897" s="11"/>
      <c r="P6897" s="11"/>
    </row>
    <row r="6898" spans="8:16" x14ac:dyDescent="0.25">
      <c r="H6898" s="12"/>
      <c r="I6898" s="12"/>
      <c r="J6898" s="12"/>
      <c r="K6898" s="12"/>
      <c r="L6898" s="12"/>
      <c r="M6898" s="11"/>
      <c r="N6898" s="11"/>
      <c r="O6898" s="11"/>
      <c r="P6898" s="11"/>
    </row>
    <row r="6899" spans="8:16" x14ac:dyDescent="0.25">
      <c r="H6899" s="12"/>
      <c r="I6899" s="12"/>
      <c r="J6899" s="12"/>
      <c r="K6899" s="12"/>
      <c r="L6899" s="12"/>
      <c r="M6899" s="11"/>
      <c r="N6899" s="11"/>
      <c r="O6899" s="11"/>
      <c r="P6899" s="11"/>
    </row>
    <row r="6900" spans="8:16" x14ac:dyDescent="0.25">
      <c r="H6900" s="12"/>
      <c r="I6900" s="12"/>
      <c r="J6900" s="12"/>
      <c r="K6900" s="12"/>
      <c r="L6900" s="12"/>
      <c r="M6900" s="11"/>
      <c r="N6900" s="11"/>
      <c r="O6900" s="11"/>
      <c r="P6900" s="11"/>
    </row>
    <row r="6901" spans="8:16" x14ac:dyDescent="0.25">
      <c r="H6901" s="12"/>
      <c r="I6901" s="12"/>
      <c r="J6901" s="12"/>
      <c r="K6901" s="12"/>
      <c r="L6901" s="12"/>
      <c r="M6901" s="11"/>
      <c r="N6901" s="11"/>
      <c r="O6901" s="11"/>
      <c r="P6901" s="11"/>
    </row>
    <row r="6902" spans="8:16" x14ac:dyDescent="0.25">
      <c r="H6902" s="12"/>
      <c r="I6902" s="12"/>
      <c r="J6902" s="12"/>
      <c r="K6902" s="12"/>
      <c r="L6902" s="12"/>
      <c r="M6902" s="11"/>
      <c r="N6902" s="11"/>
      <c r="O6902" s="11"/>
      <c r="P6902" s="11"/>
    </row>
    <row r="6903" spans="8:16" x14ac:dyDescent="0.25">
      <c r="H6903" s="12"/>
      <c r="I6903" s="12"/>
      <c r="J6903" s="12"/>
      <c r="K6903" s="12"/>
      <c r="L6903" s="12"/>
      <c r="M6903" s="11"/>
      <c r="N6903" s="11"/>
      <c r="O6903" s="11"/>
      <c r="P6903" s="11"/>
    </row>
    <row r="6904" spans="8:16" x14ac:dyDescent="0.25">
      <c r="H6904" s="12"/>
      <c r="I6904" s="12"/>
      <c r="J6904" s="12"/>
      <c r="K6904" s="12"/>
      <c r="L6904" s="12"/>
      <c r="M6904" s="11"/>
      <c r="N6904" s="11"/>
      <c r="O6904" s="11"/>
      <c r="P6904" s="11"/>
    </row>
    <row r="6905" spans="8:16" x14ac:dyDescent="0.25">
      <c r="H6905" s="12"/>
      <c r="I6905" s="12"/>
      <c r="J6905" s="12"/>
      <c r="K6905" s="12"/>
      <c r="L6905" s="12"/>
      <c r="M6905" s="11"/>
      <c r="N6905" s="11"/>
      <c r="O6905" s="11"/>
      <c r="P6905" s="11"/>
    </row>
    <row r="6906" spans="8:16" x14ac:dyDescent="0.25">
      <c r="H6906" s="12"/>
      <c r="I6906" s="12"/>
      <c r="J6906" s="12"/>
      <c r="K6906" s="12"/>
      <c r="L6906" s="12"/>
      <c r="M6906" s="11"/>
      <c r="N6906" s="11"/>
      <c r="O6906" s="11"/>
      <c r="P6906" s="11"/>
    </row>
    <row r="6907" spans="8:16" x14ac:dyDescent="0.25">
      <c r="H6907" s="12"/>
      <c r="I6907" s="12"/>
      <c r="J6907" s="12"/>
      <c r="K6907" s="12"/>
      <c r="L6907" s="12"/>
      <c r="M6907" s="11"/>
      <c r="N6907" s="11"/>
      <c r="O6907" s="11"/>
      <c r="P6907" s="11"/>
    </row>
    <row r="6908" spans="8:16" x14ac:dyDescent="0.25">
      <c r="H6908" s="12"/>
      <c r="I6908" s="12"/>
      <c r="J6908" s="12"/>
      <c r="K6908" s="12"/>
      <c r="L6908" s="12"/>
      <c r="M6908" s="11"/>
      <c r="N6908" s="11"/>
      <c r="O6908" s="11"/>
      <c r="P6908" s="11"/>
    </row>
    <row r="6909" spans="8:16" x14ac:dyDescent="0.25">
      <c r="H6909" s="12"/>
      <c r="I6909" s="12"/>
      <c r="J6909" s="12"/>
      <c r="K6909" s="12"/>
      <c r="L6909" s="12"/>
      <c r="M6909" s="11"/>
      <c r="N6909" s="11"/>
      <c r="O6909" s="11"/>
      <c r="P6909" s="11"/>
    </row>
    <row r="6910" spans="8:16" x14ac:dyDescent="0.25">
      <c r="H6910" s="12"/>
      <c r="I6910" s="12"/>
      <c r="J6910" s="12"/>
      <c r="K6910" s="12"/>
      <c r="L6910" s="12"/>
      <c r="M6910" s="11"/>
      <c r="N6910" s="11"/>
      <c r="O6910" s="11"/>
      <c r="P6910" s="11"/>
    </row>
    <row r="6911" spans="8:16" x14ac:dyDescent="0.25">
      <c r="H6911" s="12"/>
      <c r="I6911" s="12"/>
      <c r="J6911" s="12"/>
      <c r="K6911" s="12"/>
      <c r="L6911" s="12"/>
      <c r="M6911" s="11"/>
      <c r="N6911" s="11"/>
      <c r="O6911" s="11"/>
      <c r="P6911" s="11"/>
    </row>
    <row r="6912" spans="8:16" x14ac:dyDescent="0.25">
      <c r="H6912" s="12"/>
      <c r="I6912" s="12"/>
      <c r="J6912" s="12"/>
      <c r="K6912" s="12"/>
      <c r="L6912" s="12"/>
      <c r="M6912" s="11"/>
      <c r="N6912" s="11"/>
      <c r="O6912" s="11"/>
      <c r="P6912" s="11"/>
    </row>
    <row r="6913" spans="8:16" x14ac:dyDescent="0.25">
      <c r="H6913" s="12"/>
      <c r="I6913" s="12"/>
      <c r="J6913" s="12"/>
      <c r="K6913" s="12"/>
      <c r="L6913" s="12"/>
      <c r="M6913" s="11"/>
      <c r="N6913" s="11"/>
      <c r="O6913" s="11"/>
      <c r="P6913" s="11"/>
    </row>
    <row r="6914" spans="8:16" x14ac:dyDescent="0.25">
      <c r="H6914" s="12"/>
      <c r="I6914" s="12"/>
      <c r="J6914" s="12"/>
      <c r="K6914" s="12"/>
      <c r="L6914" s="12"/>
      <c r="M6914" s="11"/>
      <c r="N6914" s="11"/>
      <c r="O6914" s="11"/>
      <c r="P6914" s="11"/>
    </row>
    <row r="6915" spans="8:16" x14ac:dyDescent="0.25">
      <c r="H6915" s="12"/>
      <c r="I6915" s="12"/>
      <c r="J6915" s="12"/>
      <c r="K6915" s="12"/>
      <c r="L6915" s="12"/>
      <c r="M6915" s="11"/>
      <c r="N6915" s="11"/>
      <c r="O6915" s="11"/>
      <c r="P6915" s="11"/>
    </row>
    <row r="6916" spans="8:16" x14ac:dyDescent="0.25">
      <c r="H6916" s="12"/>
      <c r="I6916" s="12"/>
      <c r="J6916" s="12"/>
      <c r="K6916" s="12"/>
      <c r="L6916" s="12"/>
      <c r="M6916" s="11"/>
      <c r="N6916" s="11"/>
      <c r="O6916" s="11"/>
      <c r="P6916" s="11"/>
    </row>
    <row r="6917" spans="8:16" x14ac:dyDescent="0.25">
      <c r="H6917" s="12"/>
      <c r="I6917" s="12"/>
      <c r="J6917" s="12"/>
      <c r="K6917" s="12"/>
      <c r="L6917" s="12"/>
      <c r="M6917" s="11"/>
      <c r="N6917" s="11"/>
      <c r="O6917" s="11"/>
      <c r="P6917" s="11"/>
    </row>
    <row r="6918" spans="8:16" x14ac:dyDescent="0.25">
      <c r="H6918" s="12"/>
      <c r="I6918" s="12"/>
      <c r="J6918" s="12"/>
      <c r="K6918" s="12"/>
      <c r="L6918" s="12"/>
      <c r="M6918" s="11"/>
      <c r="N6918" s="11"/>
      <c r="O6918" s="11"/>
      <c r="P6918" s="11"/>
    </row>
    <row r="6919" spans="8:16" x14ac:dyDescent="0.25">
      <c r="H6919" s="12"/>
      <c r="I6919" s="12"/>
      <c r="J6919" s="12"/>
      <c r="K6919" s="12"/>
      <c r="L6919" s="12"/>
      <c r="M6919" s="11"/>
      <c r="N6919" s="11"/>
      <c r="O6919" s="11"/>
      <c r="P6919" s="11"/>
    </row>
    <row r="6920" spans="8:16" x14ac:dyDescent="0.25">
      <c r="H6920" s="12"/>
      <c r="I6920" s="12"/>
      <c r="J6920" s="12"/>
      <c r="K6920" s="12"/>
      <c r="L6920" s="12"/>
      <c r="M6920" s="11"/>
      <c r="N6920" s="11"/>
      <c r="O6920" s="11"/>
      <c r="P6920" s="11"/>
    </row>
    <row r="6921" spans="8:16" x14ac:dyDescent="0.25">
      <c r="H6921" s="12"/>
      <c r="I6921" s="12"/>
      <c r="J6921" s="12"/>
      <c r="K6921" s="12"/>
      <c r="L6921" s="12"/>
      <c r="M6921" s="11"/>
      <c r="N6921" s="11"/>
      <c r="O6921" s="11"/>
      <c r="P6921" s="11"/>
    </row>
    <row r="6922" spans="8:16" x14ac:dyDescent="0.25">
      <c r="H6922" s="12"/>
      <c r="I6922" s="12"/>
      <c r="J6922" s="12"/>
      <c r="K6922" s="12"/>
      <c r="L6922" s="12"/>
      <c r="M6922" s="11"/>
      <c r="N6922" s="11"/>
      <c r="O6922" s="11"/>
      <c r="P6922" s="11"/>
    </row>
    <row r="6923" spans="8:16" x14ac:dyDescent="0.25">
      <c r="H6923" s="12"/>
      <c r="I6923" s="12"/>
      <c r="J6923" s="12"/>
      <c r="K6923" s="12"/>
      <c r="L6923" s="12"/>
      <c r="M6923" s="11"/>
      <c r="N6923" s="11"/>
      <c r="O6923" s="11"/>
      <c r="P6923" s="11"/>
    </row>
    <row r="6924" spans="8:16" x14ac:dyDescent="0.25">
      <c r="H6924" s="12"/>
      <c r="I6924" s="12"/>
      <c r="J6924" s="12"/>
      <c r="K6924" s="12"/>
      <c r="L6924" s="12"/>
      <c r="M6924" s="11"/>
      <c r="N6924" s="11"/>
      <c r="O6924" s="11"/>
      <c r="P6924" s="11"/>
    </row>
    <row r="6925" spans="8:16" x14ac:dyDescent="0.25">
      <c r="H6925" s="12"/>
      <c r="I6925" s="12"/>
      <c r="J6925" s="12"/>
      <c r="K6925" s="12"/>
      <c r="L6925" s="12"/>
      <c r="M6925" s="11"/>
      <c r="N6925" s="11"/>
      <c r="O6925" s="11"/>
      <c r="P6925" s="11"/>
    </row>
    <row r="6926" spans="8:16" x14ac:dyDescent="0.25">
      <c r="H6926" s="12"/>
      <c r="I6926" s="12"/>
      <c r="J6926" s="12"/>
      <c r="K6926" s="12"/>
      <c r="L6926" s="12"/>
      <c r="M6926" s="11"/>
      <c r="N6926" s="11"/>
      <c r="O6926" s="11"/>
      <c r="P6926" s="11"/>
    </row>
    <row r="6927" spans="8:16" x14ac:dyDescent="0.25">
      <c r="H6927" s="12"/>
      <c r="I6927" s="12"/>
      <c r="J6927" s="12"/>
      <c r="K6927" s="12"/>
      <c r="L6927" s="12"/>
      <c r="M6927" s="11"/>
      <c r="N6927" s="11"/>
      <c r="O6927" s="11"/>
      <c r="P6927" s="11"/>
    </row>
    <row r="6928" spans="8:16" x14ac:dyDescent="0.25">
      <c r="H6928" s="12"/>
      <c r="I6928" s="12"/>
      <c r="J6928" s="12"/>
      <c r="K6928" s="12"/>
      <c r="L6928" s="12"/>
      <c r="M6928" s="11"/>
      <c r="N6928" s="11"/>
      <c r="O6928" s="11"/>
      <c r="P6928" s="11"/>
    </row>
    <row r="6929" spans="8:16" x14ac:dyDescent="0.25">
      <c r="H6929" s="12"/>
      <c r="I6929" s="12"/>
      <c r="J6929" s="12"/>
      <c r="K6929" s="12"/>
      <c r="L6929" s="12"/>
      <c r="M6929" s="11"/>
      <c r="N6929" s="11"/>
      <c r="O6929" s="11"/>
      <c r="P6929" s="11"/>
    </row>
    <row r="6930" spans="8:16" x14ac:dyDescent="0.25">
      <c r="H6930" s="12"/>
      <c r="I6930" s="12"/>
      <c r="J6930" s="12"/>
      <c r="K6930" s="12"/>
      <c r="L6930" s="12"/>
      <c r="M6930" s="11"/>
      <c r="N6930" s="11"/>
      <c r="O6930" s="11"/>
      <c r="P6930" s="11"/>
    </row>
    <row r="6931" spans="8:16" x14ac:dyDescent="0.25">
      <c r="H6931" s="12"/>
      <c r="I6931" s="12"/>
      <c r="J6931" s="12"/>
      <c r="K6931" s="12"/>
      <c r="L6931" s="12"/>
      <c r="M6931" s="11"/>
      <c r="N6931" s="11"/>
      <c r="O6931" s="11"/>
      <c r="P6931" s="11"/>
    </row>
    <row r="6932" spans="8:16" x14ac:dyDescent="0.25">
      <c r="H6932" s="12"/>
      <c r="I6932" s="12"/>
      <c r="J6932" s="12"/>
      <c r="K6932" s="12"/>
      <c r="L6932" s="12"/>
      <c r="M6932" s="11"/>
      <c r="N6932" s="11"/>
      <c r="O6932" s="11"/>
      <c r="P6932" s="11"/>
    </row>
    <row r="6933" spans="8:16" x14ac:dyDescent="0.25">
      <c r="H6933" s="12"/>
      <c r="I6933" s="12"/>
      <c r="J6933" s="12"/>
      <c r="K6933" s="12"/>
      <c r="L6933" s="12"/>
      <c r="M6933" s="11"/>
      <c r="N6933" s="11"/>
      <c r="O6933" s="11"/>
      <c r="P6933" s="11"/>
    </row>
    <row r="6934" spans="8:16" x14ac:dyDescent="0.25">
      <c r="H6934" s="12"/>
      <c r="I6934" s="12"/>
      <c r="J6934" s="12"/>
      <c r="K6934" s="12"/>
      <c r="L6934" s="12"/>
      <c r="M6934" s="11"/>
      <c r="N6934" s="11"/>
      <c r="O6934" s="11"/>
      <c r="P6934" s="11"/>
    </row>
    <row r="6935" spans="8:16" x14ac:dyDescent="0.25">
      <c r="H6935" s="12"/>
      <c r="I6935" s="12"/>
      <c r="J6935" s="12"/>
      <c r="K6935" s="12"/>
      <c r="L6935" s="12"/>
      <c r="M6935" s="11"/>
      <c r="N6935" s="11"/>
      <c r="O6935" s="11"/>
      <c r="P6935" s="11"/>
    </row>
    <row r="6936" spans="8:16" x14ac:dyDescent="0.25">
      <c r="H6936" s="12"/>
      <c r="I6936" s="12"/>
      <c r="J6936" s="12"/>
      <c r="K6936" s="12"/>
      <c r="L6936" s="12"/>
      <c r="M6936" s="11"/>
      <c r="N6936" s="11"/>
      <c r="O6936" s="11"/>
      <c r="P6936" s="11"/>
    </row>
    <row r="6937" spans="8:16" x14ac:dyDescent="0.25">
      <c r="H6937" s="12"/>
      <c r="I6937" s="12"/>
      <c r="J6937" s="12"/>
      <c r="K6937" s="12"/>
      <c r="L6937" s="12"/>
      <c r="M6937" s="11"/>
      <c r="N6937" s="11"/>
      <c r="O6937" s="11"/>
      <c r="P6937" s="11"/>
    </row>
    <row r="6938" spans="8:16" x14ac:dyDescent="0.25">
      <c r="H6938" s="12"/>
      <c r="I6938" s="12"/>
      <c r="J6938" s="12"/>
      <c r="K6938" s="12"/>
      <c r="L6938" s="12"/>
      <c r="M6938" s="11"/>
      <c r="N6938" s="11"/>
      <c r="O6938" s="11"/>
      <c r="P6938" s="11"/>
    </row>
    <row r="6939" spans="8:16" x14ac:dyDescent="0.25">
      <c r="H6939" s="12"/>
      <c r="I6939" s="12"/>
      <c r="J6939" s="12"/>
      <c r="K6939" s="12"/>
      <c r="L6939" s="12"/>
      <c r="M6939" s="11"/>
      <c r="N6939" s="11"/>
      <c r="O6939" s="11"/>
      <c r="P6939" s="11"/>
    </row>
    <row r="6940" spans="8:16" x14ac:dyDescent="0.25">
      <c r="H6940" s="12"/>
      <c r="I6940" s="12"/>
      <c r="J6940" s="12"/>
      <c r="K6940" s="12"/>
      <c r="L6940" s="12"/>
      <c r="M6940" s="11"/>
      <c r="N6940" s="11"/>
      <c r="O6940" s="11"/>
      <c r="P6940" s="11"/>
    </row>
    <row r="6941" spans="8:16" x14ac:dyDescent="0.25">
      <c r="H6941" s="12"/>
      <c r="I6941" s="12"/>
      <c r="J6941" s="12"/>
      <c r="K6941" s="12"/>
      <c r="L6941" s="12"/>
      <c r="M6941" s="11"/>
      <c r="N6941" s="11"/>
      <c r="O6941" s="11"/>
      <c r="P6941" s="11"/>
    </row>
    <row r="6942" spans="8:16" x14ac:dyDescent="0.25">
      <c r="H6942" s="12"/>
      <c r="I6942" s="12"/>
      <c r="J6942" s="12"/>
      <c r="K6942" s="12"/>
      <c r="L6942" s="12"/>
      <c r="M6942" s="11"/>
      <c r="N6942" s="11"/>
      <c r="O6942" s="11"/>
      <c r="P6942" s="11"/>
    </row>
    <row r="6943" spans="8:16" x14ac:dyDescent="0.25">
      <c r="H6943" s="12"/>
      <c r="I6943" s="12"/>
      <c r="J6943" s="12"/>
      <c r="K6943" s="12"/>
      <c r="L6943" s="12"/>
      <c r="M6943" s="11"/>
      <c r="N6943" s="11"/>
      <c r="O6943" s="11"/>
      <c r="P6943" s="11"/>
    </row>
    <row r="6944" spans="8:16" x14ac:dyDescent="0.25">
      <c r="H6944" s="12"/>
      <c r="I6944" s="12"/>
      <c r="J6944" s="12"/>
      <c r="K6944" s="12"/>
      <c r="L6944" s="12"/>
      <c r="M6944" s="11"/>
      <c r="N6944" s="11"/>
      <c r="O6944" s="11"/>
      <c r="P6944" s="11"/>
    </row>
    <row r="6945" spans="8:16" x14ac:dyDescent="0.25">
      <c r="H6945" s="12"/>
      <c r="I6945" s="12"/>
      <c r="J6945" s="12"/>
      <c r="K6945" s="12"/>
      <c r="L6945" s="12"/>
      <c r="M6945" s="11"/>
      <c r="N6945" s="11"/>
      <c r="O6945" s="11"/>
      <c r="P6945" s="11"/>
    </row>
    <row r="6946" spans="8:16" x14ac:dyDescent="0.25">
      <c r="H6946" s="12"/>
      <c r="I6946" s="12"/>
      <c r="J6946" s="12"/>
      <c r="K6946" s="12"/>
      <c r="L6946" s="12"/>
      <c r="M6946" s="11"/>
      <c r="N6946" s="11"/>
      <c r="O6946" s="11"/>
      <c r="P6946" s="11"/>
    </row>
    <row r="6947" spans="8:16" x14ac:dyDescent="0.25">
      <c r="H6947" s="12"/>
      <c r="I6947" s="12"/>
      <c r="J6947" s="12"/>
      <c r="K6947" s="12"/>
      <c r="L6947" s="12"/>
      <c r="M6947" s="11"/>
      <c r="N6947" s="11"/>
      <c r="O6947" s="11"/>
      <c r="P6947" s="11"/>
    </row>
    <row r="6948" spans="8:16" x14ac:dyDescent="0.25">
      <c r="H6948" s="12"/>
      <c r="I6948" s="12"/>
      <c r="J6948" s="12"/>
      <c r="K6948" s="12"/>
      <c r="L6948" s="12"/>
      <c r="M6948" s="11"/>
      <c r="N6948" s="11"/>
      <c r="O6948" s="11"/>
      <c r="P6948" s="11"/>
    </row>
    <row r="6949" spans="8:16" x14ac:dyDescent="0.25">
      <c r="H6949" s="12"/>
      <c r="I6949" s="12"/>
      <c r="J6949" s="12"/>
      <c r="K6949" s="12"/>
      <c r="L6949" s="12"/>
      <c r="M6949" s="11"/>
      <c r="N6949" s="11"/>
      <c r="O6949" s="11"/>
      <c r="P6949" s="11"/>
    </row>
    <row r="6950" spans="8:16" x14ac:dyDescent="0.25">
      <c r="H6950" s="12"/>
      <c r="I6950" s="12"/>
      <c r="J6950" s="12"/>
      <c r="K6950" s="12"/>
      <c r="L6950" s="12"/>
      <c r="M6950" s="11"/>
      <c r="N6950" s="11"/>
      <c r="O6950" s="11"/>
      <c r="P6950" s="11"/>
    </row>
    <row r="6951" spans="8:16" x14ac:dyDescent="0.25">
      <c r="H6951" s="12"/>
      <c r="I6951" s="12"/>
      <c r="J6951" s="12"/>
      <c r="K6951" s="12"/>
      <c r="L6951" s="12"/>
      <c r="M6951" s="11"/>
      <c r="N6951" s="11"/>
      <c r="O6951" s="11"/>
      <c r="P6951" s="11"/>
    </row>
    <row r="6952" spans="8:16" x14ac:dyDescent="0.25">
      <c r="H6952" s="12"/>
      <c r="I6952" s="12"/>
      <c r="J6952" s="12"/>
      <c r="K6952" s="12"/>
      <c r="L6952" s="12"/>
      <c r="M6952" s="11"/>
      <c r="N6952" s="11"/>
      <c r="O6952" s="11"/>
      <c r="P6952" s="11"/>
    </row>
    <row r="6953" spans="8:16" x14ac:dyDescent="0.25">
      <c r="H6953" s="12"/>
      <c r="I6953" s="12"/>
      <c r="J6953" s="12"/>
      <c r="K6953" s="12"/>
      <c r="L6953" s="12"/>
      <c r="M6953" s="11"/>
      <c r="N6953" s="11"/>
      <c r="O6953" s="11"/>
      <c r="P6953" s="11"/>
    </row>
    <row r="6954" spans="8:16" x14ac:dyDescent="0.25">
      <c r="H6954" s="12"/>
      <c r="I6954" s="12"/>
      <c r="J6954" s="12"/>
      <c r="K6954" s="12"/>
      <c r="L6954" s="12"/>
      <c r="M6954" s="11"/>
      <c r="N6954" s="11"/>
      <c r="O6954" s="11"/>
      <c r="P6954" s="11"/>
    </row>
    <row r="6955" spans="8:16" x14ac:dyDescent="0.25">
      <c r="H6955" s="12"/>
      <c r="I6955" s="12"/>
      <c r="J6955" s="12"/>
      <c r="K6955" s="12"/>
      <c r="L6955" s="12"/>
      <c r="M6955" s="11"/>
      <c r="N6955" s="11"/>
      <c r="O6955" s="11"/>
      <c r="P6955" s="11"/>
    </row>
    <row r="6956" spans="8:16" x14ac:dyDescent="0.25">
      <c r="H6956" s="12"/>
      <c r="I6956" s="12"/>
      <c r="J6956" s="12"/>
      <c r="K6956" s="12"/>
      <c r="L6956" s="12"/>
      <c r="M6956" s="11"/>
      <c r="N6956" s="11"/>
      <c r="O6956" s="11"/>
      <c r="P6956" s="11"/>
    </row>
    <row r="6957" spans="8:16" x14ac:dyDescent="0.25">
      <c r="H6957" s="12"/>
      <c r="I6957" s="12"/>
      <c r="J6957" s="12"/>
      <c r="K6957" s="12"/>
      <c r="L6957" s="12"/>
      <c r="M6957" s="11"/>
      <c r="N6957" s="11"/>
      <c r="O6957" s="11"/>
      <c r="P6957" s="11"/>
    </row>
    <row r="6958" spans="8:16" x14ac:dyDescent="0.25">
      <c r="H6958" s="12"/>
      <c r="I6958" s="12"/>
      <c r="J6958" s="12"/>
      <c r="K6958" s="12"/>
      <c r="L6958" s="12"/>
      <c r="M6958" s="11"/>
      <c r="N6958" s="11"/>
      <c r="O6958" s="11"/>
      <c r="P6958" s="11"/>
    </row>
    <row r="6959" spans="8:16" x14ac:dyDescent="0.25">
      <c r="H6959" s="12"/>
      <c r="I6959" s="12"/>
      <c r="J6959" s="12"/>
      <c r="K6959" s="12"/>
      <c r="L6959" s="12"/>
      <c r="M6959" s="11"/>
      <c r="N6959" s="11"/>
      <c r="O6959" s="11"/>
      <c r="P6959" s="11"/>
    </row>
    <row r="6960" spans="8:16" x14ac:dyDescent="0.25">
      <c r="H6960" s="12"/>
      <c r="I6960" s="12"/>
      <c r="J6960" s="12"/>
      <c r="K6960" s="12"/>
      <c r="L6960" s="12"/>
      <c r="M6960" s="11"/>
      <c r="N6960" s="11"/>
      <c r="O6960" s="11"/>
      <c r="P6960" s="11"/>
    </row>
    <row r="6961" spans="8:16" x14ac:dyDescent="0.25">
      <c r="H6961" s="12"/>
      <c r="I6961" s="12"/>
      <c r="J6961" s="12"/>
      <c r="K6961" s="12"/>
      <c r="L6961" s="12"/>
      <c r="M6961" s="11"/>
      <c r="N6961" s="11"/>
      <c r="O6961" s="11"/>
      <c r="P6961" s="11"/>
    </row>
    <row r="6962" spans="8:16" x14ac:dyDescent="0.25">
      <c r="H6962" s="12"/>
      <c r="I6962" s="12"/>
      <c r="J6962" s="12"/>
      <c r="K6962" s="12"/>
      <c r="L6962" s="12"/>
      <c r="M6962" s="11"/>
      <c r="N6962" s="11"/>
      <c r="O6962" s="11"/>
      <c r="P6962" s="11"/>
    </row>
    <row r="6963" spans="8:16" x14ac:dyDescent="0.25">
      <c r="H6963" s="12"/>
      <c r="I6963" s="12"/>
      <c r="J6963" s="12"/>
      <c r="K6963" s="12"/>
      <c r="L6963" s="12"/>
      <c r="M6963" s="11"/>
      <c r="N6963" s="11"/>
      <c r="O6963" s="11"/>
      <c r="P6963" s="11"/>
    </row>
    <row r="6964" spans="8:16" x14ac:dyDescent="0.25">
      <c r="H6964" s="12"/>
      <c r="I6964" s="12"/>
      <c r="J6964" s="12"/>
      <c r="K6964" s="12"/>
      <c r="L6964" s="12"/>
      <c r="M6964" s="11"/>
      <c r="N6964" s="11"/>
      <c r="O6964" s="11"/>
      <c r="P6964" s="11"/>
    </row>
    <row r="6965" spans="8:16" x14ac:dyDescent="0.25">
      <c r="H6965" s="12"/>
      <c r="I6965" s="12"/>
      <c r="J6965" s="12"/>
      <c r="K6965" s="12"/>
      <c r="L6965" s="12"/>
      <c r="M6965" s="11"/>
      <c r="N6965" s="11"/>
      <c r="O6965" s="11"/>
      <c r="P6965" s="11"/>
    </row>
    <row r="6966" spans="8:16" x14ac:dyDescent="0.25">
      <c r="H6966" s="12"/>
      <c r="I6966" s="12"/>
      <c r="J6966" s="12"/>
      <c r="K6966" s="12"/>
      <c r="L6966" s="12"/>
      <c r="M6966" s="11"/>
      <c r="N6966" s="11"/>
      <c r="O6966" s="11"/>
      <c r="P6966" s="11"/>
    </row>
    <row r="6967" spans="8:16" x14ac:dyDescent="0.25">
      <c r="H6967" s="12"/>
      <c r="I6967" s="12"/>
      <c r="J6967" s="12"/>
      <c r="K6967" s="12"/>
      <c r="L6967" s="12"/>
      <c r="M6967" s="11"/>
      <c r="N6967" s="11"/>
      <c r="O6967" s="11"/>
      <c r="P6967" s="11"/>
    </row>
    <row r="6968" spans="8:16" x14ac:dyDescent="0.25">
      <c r="H6968" s="12"/>
      <c r="I6968" s="12"/>
      <c r="J6968" s="12"/>
      <c r="K6968" s="12"/>
      <c r="L6968" s="12"/>
      <c r="M6968" s="11"/>
      <c r="N6968" s="11"/>
      <c r="O6968" s="11"/>
      <c r="P6968" s="11"/>
    </row>
    <row r="6969" spans="8:16" x14ac:dyDescent="0.25">
      <c r="H6969" s="12"/>
      <c r="I6969" s="12"/>
      <c r="J6969" s="12"/>
      <c r="K6969" s="12"/>
      <c r="L6969" s="12"/>
      <c r="M6969" s="11"/>
      <c r="N6969" s="11"/>
      <c r="O6969" s="11"/>
      <c r="P6969" s="11"/>
    </row>
    <row r="6970" spans="8:16" x14ac:dyDescent="0.25">
      <c r="H6970" s="12"/>
      <c r="I6970" s="12"/>
      <c r="J6970" s="12"/>
      <c r="K6970" s="12"/>
      <c r="L6970" s="12"/>
      <c r="M6970" s="11"/>
      <c r="N6970" s="11"/>
      <c r="O6970" s="11"/>
      <c r="P6970" s="11"/>
    </row>
    <row r="6971" spans="8:16" x14ac:dyDescent="0.25">
      <c r="H6971" s="12"/>
      <c r="I6971" s="12"/>
      <c r="J6971" s="12"/>
      <c r="K6971" s="12"/>
      <c r="L6971" s="12"/>
      <c r="M6971" s="11"/>
      <c r="N6971" s="11"/>
      <c r="O6971" s="11"/>
      <c r="P6971" s="11"/>
    </row>
    <row r="6972" spans="8:16" x14ac:dyDescent="0.25">
      <c r="H6972" s="12"/>
      <c r="I6972" s="12"/>
      <c r="J6972" s="12"/>
      <c r="K6972" s="12"/>
      <c r="L6972" s="12"/>
      <c r="M6972" s="11"/>
      <c r="N6972" s="11"/>
      <c r="O6972" s="11"/>
      <c r="P6972" s="11"/>
    </row>
    <row r="6973" spans="8:16" x14ac:dyDescent="0.25">
      <c r="H6973" s="12"/>
      <c r="I6973" s="12"/>
      <c r="J6973" s="12"/>
      <c r="K6973" s="12"/>
      <c r="L6973" s="12"/>
      <c r="M6973" s="11"/>
      <c r="N6973" s="11"/>
      <c r="O6973" s="11"/>
      <c r="P6973" s="11"/>
    </row>
    <row r="6974" spans="8:16" x14ac:dyDescent="0.25">
      <c r="H6974" s="12"/>
      <c r="I6974" s="12"/>
      <c r="J6974" s="12"/>
      <c r="K6974" s="12"/>
      <c r="L6974" s="12"/>
      <c r="M6974" s="11"/>
      <c r="N6974" s="11"/>
      <c r="O6974" s="11"/>
      <c r="P6974" s="11"/>
    </row>
    <row r="6975" spans="8:16" x14ac:dyDescent="0.25">
      <c r="H6975" s="12"/>
      <c r="I6975" s="12"/>
      <c r="J6975" s="12"/>
      <c r="K6975" s="12"/>
      <c r="L6975" s="12"/>
      <c r="M6975" s="11"/>
      <c r="N6975" s="11"/>
      <c r="O6975" s="11"/>
      <c r="P6975" s="11"/>
    </row>
    <row r="6976" spans="8:16" x14ac:dyDescent="0.25">
      <c r="H6976" s="12"/>
      <c r="I6976" s="12"/>
      <c r="J6976" s="12"/>
      <c r="K6976" s="12"/>
      <c r="L6976" s="12"/>
      <c r="M6976" s="11"/>
      <c r="N6976" s="11"/>
      <c r="O6976" s="11"/>
      <c r="P6976" s="11"/>
    </row>
    <row r="6977" spans="8:16" x14ac:dyDescent="0.25">
      <c r="H6977" s="12"/>
      <c r="I6977" s="12"/>
      <c r="J6977" s="12"/>
      <c r="K6977" s="12"/>
      <c r="L6977" s="12"/>
      <c r="M6977" s="11"/>
      <c r="N6977" s="11"/>
      <c r="O6977" s="11"/>
      <c r="P6977" s="11"/>
    </row>
    <row r="6978" spans="8:16" x14ac:dyDescent="0.25">
      <c r="H6978" s="12"/>
      <c r="I6978" s="12"/>
      <c r="J6978" s="12"/>
      <c r="K6978" s="12"/>
      <c r="L6978" s="12"/>
      <c r="M6978" s="11"/>
      <c r="N6978" s="11"/>
      <c r="O6978" s="11"/>
      <c r="P6978" s="11"/>
    </row>
    <row r="6979" spans="8:16" x14ac:dyDescent="0.25">
      <c r="H6979" s="12"/>
      <c r="I6979" s="12"/>
      <c r="J6979" s="12"/>
      <c r="K6979" s="12"/>
      <c r="L6979" s="12"/>
      <c r="M6979" s="11"/>
      <c r="N6979" s="11"/>
      <c r="O6979" s="11"/>
      <c r="P6979" s="11"/>
    </row>
    <row r="6980" spans="8:16" x14ac:dyDescent="0.25">
      <c r="H6980" s="12"/>
      <c r="I6980" s="12"/>
      <c r="J6980" s="12"/>
      <c r="K6980" s="12"/>
      <c r="L6980" s="12"/>
      <c r="M6980" s="11"/>
      <c r="N6980" s="11"/>
      <c r="O6980" s="11"/>
      <c r="P6980" s="11"/>
    </row>
    <row r="6981" spans="8:16" x14ac:dyDescent="0.25">
      <c r="H6981" s="12"/>
      <c r="I6981" s="12"/>
      <c r="J6981" s="12"/>
      <c r="K6981" s="12"/>
      <c r="L6981" s="12"/>
      <c r="M6981" s="11"/>
      <c r="N6981" s="11"/>
      <c r="O6981" s="11"/>
      <c r="P6981" s="11"/>
    </row>
    <row r="6982" spans="8:16" x14ac:dyDescent="0.25">
      <c r="H6982" s="12"/>
      <c r="I6982" s="12"/>
      <c r="J6982" s="12"/>
      <c r="K6982" s="12"/>
      <c r="L6982" s="12"/>
      <c r="M6982" s="11"/>
      <c r="N6982" s="11"/>
      <c r="O6982" s="11"/>
      <c r="P6982" s="11"/>
    </row>
    <row r="6983" spans="8:16" x14ac:dyDescent="0.25">
      <c r="H6983" s="12"/>
      <c r="I6983" s="12"/>
      <c r="J6983" s="12"/>
      <c r="K6983" s="12"/>
      <c r="L6983" s="12"/>
      <c r="M6983" s="11"/>
      <c r="N6983" s="11"/>
      <c r="O6983" s="11"/>
      <c r="P6983" s="11"/>
    </row>
    <row r="6984" spans="8:16" x14ac:dyDescent="0.25">
      <c r="H6984" s="12"/>
      <c r="I6984" s="12"/>
      <c r="J6984" s="12"/>
      <c r="K6984" s="12"/>
      <c r="L6984" s="12"/>
      <c r="M6984" s="11"/>
      <c r="N6984" s="11"/>
      <c r="O6984" s="11"/>
      <c r="P6984" s="11"/>
    </row>
    <row r="6985" spans="8:16" x14ac:dyDescent="0.25">
      <c r="H6985" s="12"/>
      <c r="I6985" s="12"/>
      <c r="J6985" s="12"/>
      <c r="K6985" s="12"/>
      <c r="L6985" s="12"/>
      <c r="M6985" s="11"/>
      <c r="N6985" s="11"/>
      <c r="O6985" s="11"/>
      <c r="P6985" s="11"/>
    </row>
    <row r="6986" spans="8:16" x14ac:dyDescent="0.25">
      <c r="H6986" s="12"/>
      <c r="I6986" s="12"/>
      <c r="J6986" s="12"/>
      <c r="K6986" s="12"/>
      <c r="L6986" s="12"/>
      <c r="M6986" s="11"/>
      <c r="N6986" s="11"/>
      <c r="O6986" s="11"/>
      <c r="P6986" s="11"/>
    </row>
    <row r="6987" spans="8:16" x14ac:dyDescent="0.25">
      <c r="H6987" s="12"/>
      <c r="I6987" s="12"/>
      <c r="J6987" s="12"/>
      <c r="K6987" s="12"/>
      <c r="L6987" s="12"/>
      <c r="M6987" s="11"/>
      <c r="N6987" s="11"/>
      <c r="O6987" s="11"/>
      <c r="P6987" s="11"/>
    </row>
    <row r="6988" spans="8:16" x14ac:dyDescent="0.25">
      <c r="H6988" s="12"/>
      <c r="I6988" s="12"/>
      <c r="J6988" s="12"/>
      <c r="K6988" s="12"/>
      <c r="L6988" s="12"/>
      <c r="M6988" s="11"/>
      <c r="N6988" s="11"/>
      <c r="O6988" s="11"/>
      <c r="P6988" s="11"/>
    </row>
    <row r="6989" spans="8:16" x14ac:dyDescent="0.25">
      <c r="H6989" s="12"/>
      <c r="I6989" s="12"/>
      <c r="J6989" s="12"/>
      <c r="K6989" s="12"/>
      <c r="L6989" s="12"/>
      <c r="M6989" s="11"/>
      <c r="N6989" s="11"/>
      <c r="O6989" s="11"/>
      <c r="P6989" s="11"/>
    </row>
    <row r="6990" spans="8:16" x14ac:dyDescent="0.25">
      <c r="H6990" s="12"/>
      <c r="I6990" s="12"/>
      <c r="J6990" s="12"/>
      <c r="K6990" s="12"/>
      <c r="L6990" s="12"/>
      <c r="M6990" s="11"/>
      <c r="N6990" s="11"/>
      <c r="O6990" s="11"/>
      <c r="P6990" s="11"/>
    </row>
    <row r="6991" spans="8:16" x14ac:dyDescent="0.25">
      <c r="H6991" s="12"/>
      <c r="I6991" s="12"/>
      <c r="J6991" s="12"/>
      <c r="K6991" s="12"/>
      <c r="L6991" s="12"/>
      <c r="M6991" s="11"/>
      <c r="N6991" s="11"/>
      <c r="O6991" s="11"/>
      <c r="P6991" s="11"/>
    </row>
    <row r="6992" spans="8:16" x14ac:dyDescent="0.25">
      <c r="H6992" s="12"/>
      <c r="I6992" s="12"/>
      <c r="J6992" s="12"/>
      <c r="K6992" s="12"/>
      <c r="L6992" s="12"/>
      <c r="M6992" s="11"/>
      <c r="N6992" s="11"/>
      <c r="O6992" s="11"/>
      <c r="P6992" s="11"/>
    </row>
    <row r="6993" spans="8:16" x14ac:dyDescent="0.25">
      <c r="H6993" s="12"/>
      <c r="I6993" s="12"/>
      <c r="J6993" s="12"/>
      <c r="K6993" s="12"/>
      <c r="L6993" s="12"/>
      <c r="M6993" s="11"/>
      <c r="N6993" s="11"/>
      <c r="O6993" s="11"/>
      <c r="P6993" s="11"/>
    </row>
    <row r="6994" spans="8:16" x14ac:dyDescent="0.25">
      <c r="H6994" s="12"/>
      <c r="I6994" s="12"/>
      <c r="J6994" s="12"/>
      <c r="K6994" s="12"/>
      <c r="L6994" s="12"/>
      <c r="M6994" s="11"/>
      <c r="N6994" s="11"/>
      <c r="O6994" s="11"/>
      <c r="P6994" s="11"/>
    </row>
    <row r="6995" spans="8:16" x14ac:dyDescent="0.25">
      <c r="H6995" s="12"/>
      <c r="I6995" s="12"/>
      <c r="J6995" s="12"/>
      <c r="K6995" s="12"/>
      <c r="L6995" s="12"/>
      <c r="M6995" s="11"/>
      <c r="N6995" s="11"/>
      <c r="O6995" s="11"/>
      <c r="P6995" s="11"/>
    </row>
    <row r="6996" spans="8:16" x14ac:dyDescent="0.25">
      <c r="H6996" s="12"/>
      <c r="I6996" s="12"/>
      <c r="J6996" s="12"/>
      <c r="K6996" s="12"/>
      <c r="L6996" s="12"/>
      <c r="M6996" s="11"/>
      <c r="N6996" s="11"/>
      <c r="O6996" s="11"/>
      <c r="P6996" s="11"/>
    </row>
    <row r="6997" spans="8:16" x14ac:dyDescent="0.25">
      <c r="H6997" s="12"/>
      <c r="I6997" s="12"/>
      <c r="J6997" s="12"/>
      <c r="K6997" s="12"/>
      <c r="L6997" s="12"/>
      <c r="M6997" s="11"/>
      <c r="N6997" s="11"/>
      <c r="O6997" s="11"/>
      <c r="P6997" s="11"/>
    </row>
    <row r="6998" spans="8:16" x14ac:dyDescent="0.25">
      <c r="H6998" s="12"/>
      <c r="I6998" s="12"/>
      <c r="J6998" s="12"/>
      <c r="K6998" s="12"/>
      <c r="L6998" s="12"/>
      <c r="M6998" s="11"/>
      <c r="N6998" s="11"/>
      <c r="O6998" s="11"/>
      <c r="P6998" s="11"/>
    </row>
    <row r="6999" spans="8:16" x14ac:dyDescent="0.25">
      <c r="H6999" s="12"/>
      <c r="I6999" s="12"/>
      <c r="J6999" s="12"/>
      <c r="K6999" s="12"/>
      <c r="L6999" s="12"/>
      <c r="M6999" s="11"/>
      <c r="N6999" s="11"/>
      <c r="O6999" s="11"/>
      <c r="P6999" s="11"/>
    </row>
    <row r="7000" spans="8:16" x14ac:dyDescent="0.25">
      <c r="H7000" s="12"/>
      <c r="I7000" s="12"/>
      <c r="J7000" s="12"/>
      <c r="K7000" s="12"/>
      <c r="L7000" s="12"/>
      <c r="M7000" s="11"/>
      <c r="N7000" s="11"/>
      <c r="O7000" s="11"/>
      <c r="P7000" s="11"/>
    </row>
    <row r="7001" spans="8:16" x14ac:dyDescent="0.25">
      <c r="H7001" s="12"/>
      <c r="I7001" s="12"/>
      <c r="J7001" s="12"/>
      <c r="K7001" s="12"/>
      <c r="L7001" s="12"/>
      <c r="M7001" s="11"/>
      <c r="N7001" s="11"/>
      <c r="O7001" s="11"/>
      <c r="P7001" s="11"/>
    </row>
    <row r="7002" spans="8:16" x14ac:dyDescent="0.25">
      <c r="H7002" s="12"/>
      <c r="I7002" s="12"/>
      <c r="J7002" s="12"/>
      <c r="K7002" s="12"/>
      <c r="L7002" s="12"/>
      <c r="M7002" s="11"/>
      <c r="N7002" s="11"/>
      <c r="O7002" s="11"/>
      <c r="P7002" s="11"/>
    </row>
    <row r="7003" spans="8:16" x14ac:dyDescent="0.25">
      <c r="H7003" s="12"/>
      <c r="I7003" s="12"/>
      <c r="J7003" s="12"/>
      <c r="K7003" s="12"/>
      <c r="L7003" s="12"/>
      <c r="M7003" s="11"/>
      <c r="N7003" s="11"/>
      <c r="O7003" s="11"/>
      <c r="P7003" s="11"/>
    </row>
    <row r="7004" spans="8:16" x14ac:dyDescent="0.25">
      <c r="H7004" s="12"/>
      <c r="I7004" s="12"/>
      <c r="J7004" s="12"/>
      <c r="K7004" s="12"/>
      <c r="L7004" s="12"/>
      <c r="M7004" s="11"/>
      <c r="N7004" s="11"/>
      <c r="O7004" s="11"/>
      <c r="P7004" s="11"/>
    </row>
    <row r="7005" spans="8:16" x14ac:dyDescent="0.25">
      <c r="H7005" s="12"/>
      <c r="I7005" s="12"/>
      <c r="J7005" s="12"/>
      <c r="K7005" s="12"/>
      <c r="L7005" s="12"/>
      <c r="M7005" s="11"/>
      <c r="N7005" s="11"/>
      <c r="O7005" s="11"/>
      <c r="P7005" s="11"/>
    </row>
    <row r="7006" spans="8:16" x14ac:dyDescent="0.25">
      <c r="H7006" s="12"/>
      <c r="I7006" s="12"/>
      <c r="J7006" s="12"/>
      <c r="K7006" s="12"/>
      <c r="L7006" s="12"/>
      <c r="M7006" s="11"/>
      <c r="N7006" s="11"/>
      <c r="O7006" s="11"/>
      <c r="P7006" s="11"/>
    </row>
    <row r="7007" spans="8:16" x14ac:dyDescent="0.25">
      <c r="H7007" s="12"/>
      <c r="I7007" s="12"/>
      <c r="J7007" s="12"/>
      <c r="K7007" s="12"/>
      <c r="L7007" s="12"/>
      <c r="M7007" s="11"/>
      <c r="N7007" s="11"/>
      <c r="O7007" s="11"/>
      <c r="P7007" s="11"/>
    </row>
    <row r="7008" spans="8:16" x14ac:dyDescent="0.25">
      <c r="H7008" s="12"/>
      <c r="I7008" s="12"/>
      <c r="J7008" s="12"/>
      <c r="K7008" s="12"/>
      <c r="L7008" s="12"/>
      <c r="M7008" s="11"/>
      <c r="N7008" s="11"/>
      <c r="O7008" s="11"/>
      <c r="P7008" s="11"/>
    </row>
    <row r="7009" spans="8:16" x14ac:dyDescent="0.25">
      <c r="H7009" s="12"/>
      <c r="I7009" s="12"/>
      <c r="J7009" s="12"/>
      <c r="K7009" s="12"/>
      <c r="L7009" s="12"/>
      <c r="M7009" s="11"/>
      <c r="N7009" s="11"/>
      <c r="O7009" s="11"/>
      <c r="P7009" s="11"/>
    </row>
    <row r="7010" spans="8:16" x14ac:dyDescent="0.25">
      <c r="H7010" s="12"/>
      <c r="I7010" s="12"/>
      <c r="J7010" s="12"/>
      <c r="K7010" s="12"/>
      <c r="L7010" s="12"/>
      <c r="M7010" s="11"/>
      <c r="N7010" s="11"/>
      <c r="O7010" s="11"/>
      <c r="P7010" s="11"/>
    </row>
    <row r="7011" spans="8:16" x14ac:dyDescent="0.25">
      <c r="H7011" s="12"/>
      <c r="I7011" s="12"/>
      <c r="J7011" s="12"/>
      <c r="K7011" s="12"/>
      <c r="L7011" s="12"/>
      <c r="M7011" s="11"/>
      <c r="N7011" s="11"/>
      <c r="O7011" s="11"/>
      <c r="P7011" s="11"/>
    </row>
    <row r="7012" spans="8:16" x14ac:dyDescent="0.25">
      <c r="H7012" s="12"/>
      <c r="I7012" s="12"/>
      <c r="J7012" s="12"/>
      <c r="K7012" s="12"/>
      <c r="L7012" s="12"/>
      <c r="M7012" s="11"/>
      <c r="N7012" s="11"/>
      <c r="O7012" s="11"/>
      <c r="P7012" s="11"/>
    </row>
    <row r="7013" spans="8:16" x14ac:dyDescent="0.25">
      <c r="H7013" s="12"/>
      <c r="I7013" s="12"/>
      <c r="J7013" s="12"/>
      <c r="K7013" s="12"/>
      <c r="L7013" s="12"/>
      <c r="M7013" s="11"/>
      <c r="N7013" s="11"/>
      <c r="O7013" s="11"/>
      <c r="P7013" s="11"/>
    </row>
    <row r="7014" spans="8:16" x14ac:dyDescent="0.25">
      <c r="H7014" s="12"/>
      <c r="I7014" s="12"/>
      <c r="J7014" s="12"/>
      <c r="K7014" s="12"/>
      <c r="L7014" s="12"/>
      <c r="M7014" s="11"/>
      <c r="N7014" s="11"/>
      <c r="O7014" s="11"/>
      <c r="P7014" s="11"/>
    </row>
    <row r="7015" spans="8:16" x14ac:dyDescent="0.25">
      <c r="H7015" s="12"/>
      <c r="I7015" s="12"/>
      <c r="J7015" s="12"/>
      <c r="K7015" s="12"/>
      <c r="L7015" s="12"/>
      <c r="M7015" s="11"/>
      <c r="N7015" s="11"/>
      <c r="O7015" s="11"/>
      <c r="P7015" s="11"/>
    </row>
    <row r="7016" spans="8:16" x14ac:dyDescent="0.25">
      <c r="H7016" s="12"/>
      <c r="I7016" s="12"/>
      <c r="J7016" s="12"/>
      <c r="K7016" s="12"/>
      <c r="L7016" s="12"/>
      <c r="M7016" s="11"/>
      <c r="N7016" s="11"/>
      <c r="O7016" s="11"/>
      <c r="P7016" s="11"/>
    </row>
    <row r="7017" spans="8:16" x14ac:dyDescent="0.25">
      <c r="H7017" s="12"/>
      <c r="I7017" s="12"/>
      <c r="J7017" s="12"/>
      <c r="K7017" s="12"/>
      <c r="L7017" s="12"/>
      <c r="M7017" s="11"/>
      <c r="N7017" s="11"/>
      <c r="O7017" s="11"/>
      <c r="P7017" s="11"/>
    </row>
    <row r="7018" spans="8:16" x14ac:dyDescent="0.25">
      <c r="H7018" s="12"/>
      <c r="I7018" s="12"/>
      <c r="J7018" s="12"/>
      <c r="K7018" s="12"/>
      <c r="L7018" s="12"/>
      <c r="M7018" s="11"/>
      <c r="N7018" s="11"/>
      <c r="O7018" s="11"/>
      <c r="P7018" s="11"/>
    </row>
    <row r="7019" spans="8:16" x14ac:dyDescent="0.25">
      <c r="H7019" s="12"/>
      <c r="I7019" s="12"/>
      <c r="J7019" s="12"/>
      <c r="K7019" s="12"/>
      <c r="L7019" s="12"/>
      <c r="M7019" s="11"/>
      <c r="N7019" s="11"/>
      <c r="O7019" s="11"/>
      <c r="P7019" s="11"/>
    </row>
    <row r="7020" spans="8:16" x14ac:dyDescent="0.25">
      <c r="H7020" s="12"/>
      <c r="I7020" s="12"/>
      <c r="J7020" s="12"/>
      <c r="K7020" s="12"/>
      <c r="L7020" s="12"/>
      <c r="M7020" s="11"/>
      <c r="N7020" s="11"/>
      <c r="O7020" s="11"/>
      <c r="P7020" s="11"/>
    </row>
    <row r="7021" spans="8:16" x14ac:dyDescent="0.25">
      <c r="H7021" s="12"/>
      <c r="I7021" s="12"/>
      <c r="J7021" s="12"/>
      <c r="K7021" s="12"/>
      <c r="L7021" s="12"/>
      <c r="M7021" s="11"/>
      <c r="N7021" s="11"/>
      <c r="O7021" s="11"/>
      <c r="P7021" s="11"/>
    </row>
    <row r="7022" spans="8:16" x14ac:dyDescent="0.25">
      <c r="H7022" s="12"/>
      <c r="I7022" s="12"/>
      <c r="J7022" s="12"/>
      <c r="K7022" s="12"/>
      <c r="L7022" s="12"/>
      <c r="M7022" s="11"/>
      <c r="N7022" s="11"/>
      <c r="O7022" s="11"/>
      <c r="P7022" s="11"/>
    </row>
    <row r="7023" spans="8:16" x14ac:dyDescent="0.25">
      <c r="H7023" s="12"/>
      <c r="I7023" s="12"/>
      <c r="J7023" s="12"/>
      <c r="K7023" s="12"/>
      <c r="L7023" s="12"/>
      <c r="M7023" s="11"/>
      <c r="N7023" s="11"/>
      <c r="O7023" s="11"/>
      <c r="P7023" s="11"/>
    </row>
    <row r="7024" spans="8:16" x14ac:dyDescent="0.25">
      <c r="H7024" s="12"/>
      <c r="I7024" s="12"/>
      <c r="J7024" s="12"/>
      <c r="K7024" s="12"/>
      <c r="L7024" s="12"/>
      <c r="M7024" s="11"/>
      <c r="N7024" s="11"/>
      <c r="O7024" s="11"/>
      <c r="P7024" s="11"/>
    </row>
    <row r="7025" spans="8:16" x14ac:dyDescent="0.25">
      <c r="H7025" s="12"/>
      <c r="I7025" s="12"/>
      <c r="J7025" s="12"/>
      <c r="K7025" s="12"/>
      <c r="L7025" s="12"/>
      <c r="M7025" s="11"/>
      <c r="N7025" s="11"/>
      <c r="O7025" s="11"/>
      <c r="P7025" s="11"/>
    </row>
    <row r="7026" spans="8:16" x14ac:dyDescent="0.25">
      <c r="H7026" s="12"/>
      <c r="I7026" s="12"/>
      <c r="J7026" s="12"/>
      <c r="K7026" s="12"/>
      <c r="L7026" s="12"/>
      <c r="M7026" s="11"/>
      <c r="N7026" s="11"/>
      <c r="O7026" s="11"/>
      <c r="P7026" s="11"/>
    </row>
    <row r="7027" spans="8:16" x14ac:dyDescent="0.25">
      <c r="H7027" s="12"/>
      <c r="I7027" s="12"/>
      <c r="J7027" s="12"/>
      <c r="K7027" s="12"/>
      <c r="L7027" s="12"/>
      <c r="M7027" s="11"/>
      <c r="N7027" s="11"/>
      <c r="O7027" s="11"/>
      <c r="P7027" s="11"/>
    </row>
    <row r="7028" spans="8:16" x14ac:dyDescent="0.25">
      <c r="H7028" s="12"/>
      <c r="I7028" s="12"/>
      <c r="J7028" s="12"/>
      <c r="K7028" s="12"/>
      <c r="L7028" s="12"/>
      <c r="M7028" s="11"/>
      <c r="N7028" s="11"/>
      <c r="O7028" s="11"/>
      <c r="P7028" s="11"/>
    </row>
    <row r="7029" spans="8:16" x14ac:dyDescent="0.25">
      <c r="H7029" s="12"/>
      <c r="I7029" s="12"/>
      <c r="J7029" s="12"/>
      <c r="K7029" s="12"/>
      <c r="L7029" s="12"/>
      <c r="M7029" s="11"/>
      <c r="N7029" s="11"/>
      <c r="O7029" s="11"/>
      <c r="P7029" s="11"/>
    </row>
    <row r="7030" spans="8:16" x14ac:dyDescent="0.25">
      <c r="H7030" s="12"/>
      <c r="I7030" s="12"/>
      <c r="J7030" s="12"/>
      <c r="K7030" s="12"/>
      <c r="L7030" s="12"/>
      <c r="M7030" s="11"/>
      <c r="N7030" s="11"/>
      <c r="O7030" s="11"/>
      <c r="P7030" s="11"/>
    </row>
    <row r="7031" spans="8:16" x14ac:dyDescent="0.25">
      <c r="H7031" s="12"/>
      <c r="I7031" s="12"/>
      <c r="J7031" s="12"/>
      <c r="K7031" s="12"/>
      <c r="L7031" s="12"/>
      <c r="M7031" s="11"/>
      <c r="N7031" s="11"/>
      <c r="O7031" s="11"/>
      <c r="P7031" s="11"/>
    </row>
    <row r="7032" spans="8:16" x14ac:dyDescent="0.25">
      <c r="H7032" s="12"/>
      <c r="I7032" s="12"/>
      <c r="J7032" s="12"/>
      <c r="K7032" s="12"/>
      <c r="L7032" s="12"/>
      <c r="M7032" s="11"/>
      <c r="N7032" s="11"/>
      <c r="O7032" s="11"/>
      <c r="P7032" s="11"/>
    </row>
    <row r="7033" spans="8:16" x14ac:dyDescent="0.25">
      <c r="H7033" s="12"/>
      <c r="I7033" s="12"/>
      <c r="J7033" s="12"/>
      <c r="K7033" s="12"/>
      <c r="L7033" s="12"/>
      <c r="M7033" s="11"/>
      <c r="N7033" s="11"/>
      <c r="O7033" s="11"/>
      <c r="P7033" s="11"/>
    </row>
    <row r="7034" spans="8:16" x14ac:dyDescent="0.25">
      <c r="H7034" s="12"/>
      <c r="I7034" s="12"/>
      <c r="J7034" s="12"/>
      <c r="K7034" s="12"/>
      <c r="L7034" s="12"/>
      <c r="M7034" s="11"/>
      <c r="N7034" s="11"/>
      <c r="O7034" s="11"/>
      <c r="P7034" s="11"/>
    </row>
    <row r="7035" spans="8:16" x14ac:dyDescent="0.25">
      <c r="H7035" s="12"/>
      <c r="I7035" s="12"/>
      <c r="J7035" s="12"/>
      <c r="K7035" s="12"/>
      <c r="L7035" s="12"/>
      <c r="M7035" s="11"/>
      <c r="N7035" s="11"/>
      <c r="O7035" s="11"/>
      <c r="P7035" s="11"/>
    </row>
    <row r="7036" spans="8:16" x14ac:dyDescent="0.25">
      <c r="H7036" s="12"/>
      <c r="I7036" s="12"/>
      <c r="J7036" s="12"/>
      <c r="K7036" s="12"/>
      <c r="L7036" s="12"/>
      <c r="M7036" s="11"/>
      <c r="N7036" s="11"/>
      <c r="O7036" s="11"/>
      <c r="P7036" s="11"/>
    </row>
    <row r="7037" spans="8:16" x14ac:dyDescent="0.25">
      <c r="H7037" s="12"/>
      <c r="I7037" s="12"/>
      <c r="J7037" s="12"/>
      <c r="K7037" s="12"/>
      <c r="L7037" s="12"/>
      <c r="M7037" s="11"/>
      <c r="N7037" s="11"/>
      <c r="O7037" s="11"/>
      <c r="P7037" s="11"/>
    </row>
    <row r="7038" spans="8:16" x14ac:dyDescent="0.25">
      <c r="H7038" s="12"/>
      <c r="I7038" s="12"/>
      <c r="J7038" s="12"/>
      <c r="K7038" s="12"/>
      <c r="L7038" s="12"/>
      <c r="M7038" s="11"/>
      <c r="N7038" s="11"/>
      <c r="O7038" s="11"/>
      <c r="P7038" s="11"/>
    </row>
    <row r="7039" spans="8:16" x14ac:dyDescent="0.25">
      <c r="H7039" s="12"/>
      <c r="I7039" s="12"/>
      <c r="J7039" s="12"/>
      <c r="K7039" s="12"/>
      <c r="L7039" s="12"/>
      <c r="M7039" s="11"/>
      <c r="N7039" s="11"/>
      <c r="O7039" s="11"/>
      <c r="P7039" s="11"/>
    </row>
    <row r="7040" spans="8:16" x14ac:dyDescent="0.25">
      <c r="H7040" s="12"/>
      <c r="I7040" s="12"/>
      <c r="J7040" s="12"/>
      <c r="K7040" s="12"/>
      <c r="L7040" s="12"/>
      <c r="M7040" s="11"/>
      <c r="N7040" s="11"/>
      <c r="O7040" s="11"/>
      <c r="P7040" s="11"/>
    </row>
    <row r="7041" spans="8:16" x14ac:dyDescent="0.25">
      <c r="H7041" s="12"/>
      <c r="I7041" s="12"/>
      <c r="J7041" s="12"/>
      <c r="K7041" s="12"/>
      <c r="L7041" s="12"/>
      <c r="M7041" s="11"/>
      <c r="N7041" s="11"/>
      <c r="O7041" s="11"/>
      <c r="P7041" s="11"/>
    </row>
    <row r="7042" spans="8:16" x14ac:dyDescent="0.25">
      <c r="H7042" s="12"/>
      <c r="I7042" s="12"/>
      <c r="J7042" s="12"/>
      <c r="K7042" s="12"/>
      <c r="L7042" s="12"/>
      <c r="M7042" s="11"/>
      <c r="N7042" s="11"/>
      <c r="O7042" s="11"/>
      <c r="P7042" s="11"/>
    </row>
    <row r="7043" spans="8:16" x14ac:dyDescent="0.25">
      <c r="H7043" s="12"/>
      <c r="I7043" s="12"/>
      <c r="J7043" s="12"/>
      <c r="K7043" s="12"/>
      <c r="L7043" s="12"/>
      <c r="M7043" s="11"/>
      <c r="N7043" s="11"/>
      <c r="O7043" s="11"/>
      <c r="P7043" s="11"/>
    </row>
    <row r="7044" spans="8:16" x14ac:dyDescent="0.25">
      <c r="H7044" s="12"/>
      <c r="I7044" s="12"/>
      <c r="J7044" s="12"/>
      <c r="K7044" s="12"/>
      <c r="L7044" s="12"/>
      <c r="M7044" s="11"/>
      <c r="N7044" s="11"/>
      <c r="O7044" s="11"/>
      <c r="P7044" s="11"/>
    </row>
    <row r="7045" spans="8:16" x14ac:dyDescent="0.25">
      <c r="H7045" s="12"/>
      <c r="I7045" s="12"/>
      <c r="J7045" s="12"/>
      <c r="K7045" s="12"/>
      <c r="L7045" s="12"/>
      <c r="M7045" s="11"/>
      <c r="N7045" s="11"/>
      <c r="O7045" s="11"/>
      <c r="P7045" s="11"/>
    </row>
    <row r="7046" spans="8:16" x14ac:dyDescent="0.25">
      <c r="H7046" s="12"/>
      <c r="I7046" s="12"/>
      <c r="J7046" s="12"/>
      <c r="K7046" s="12"/>
      <c r="L7046" s="12"/>
      <c r="M7046" s="11"/>
      <c r="N7046" s="11"/>
      <c r="O7046" s="11"/>
      <c r="P7046" s="11"/>
    </row>
    <row r="7047" spans="8:16" x14ac:dyDescent="0.25">
      <c r="H7047" s="12"/>
      <c r="I7047" s="12"/>
      <c r="J7047" s="12"/>
      <c r="K7047" s="12"/>
      <c r="L7047" s="12"/>
      <c r="M7047" s="11"/>
      <c r="N7047" s="11"/>
      <c r="O7047" s="11"/>
      <c r="P7047" s="11"/>
    </row>
    <row r="7048" spans="8:16" x14ac:dyDescent="0.25">
      <c r="H7048" s="12"/>
      <c r="I7048" s="12"/>
      <c r="J7048" s="12"/>
      <c r="K7048" s="12"/>
      <c r="L7048" s="12"/>
      <c r="M7048" s="11"/>
      <c r="N7048" s="11"/>
      <c r="O7048" s="11"/>
      <c r="P7048" s="11"/>
    </row>
    <row r="7049" spans="8:16" x14ac:dyDescent="0.25">
      <c r="H7049" s="12"/>
      <c r="I7049" s="12"/>
      <c r="J7049" s="12"/>
      <c r="K7049" s="12"/>
      <c r="L7049" s="12"/>
      <c r="M7049" s="11"/>
      <c r="N7049" s="11"/>
      <c r="O7049" s="11"/>
      <c r="P7049" s="11"/>
    </row>
    <row r="7050" spans="8:16" x14ac:dyDescent="0.25">
      <c r="H7050" s="12"/>
      <c r="I7050" s="12"/>
      <c r="J7050" s="12"/>
      <c r="K7050" s="12"/>
      <c r="L7050" s="12"/>
      <c r="M7050" s="11"/>
      <c r="N7050" s="11"/>
      <c r="O7050" s="11"/>
      <c r="P7050" s="11"/>
    </row>
    <row r="7051" spans="8:16" x14ac:dyDescent="0.25">
      <c r="H7051" s="12"/>
      <c r="I7051" s="12"/>
      <c r="J7051" s="12"/>
      <c r="K7051" s="12"/>
      <c r="L7051" s="12"/>
      <c r="M7051" s="11"/>
      <c r="N7051" s="11"/>
      <c r="O7051" s="11"/>
      <c r="P7051" s="11"/>
    </row>
    <row r="7052" spans="8:16" x14ac:dyDescent="0.25">
      <c r="H7052" s="12"/>
      <c r="I7052" s="12"/>
      <c r="J7052" s="12"/>
      <c r="K7052" s="12"/>
      <c r="L7052" s="12"/>
      <c r="M7052" s="11"/>
      <c r="N7052" s="11"/>
      <c r="O7052" s="11"/>
      <c r="P7052" s="11"/>
    </row>
    <row r="7053" spans="8:16" x14ac:dyDescent="0.25">
      <c r="H7053" s="12"/>
      <c r="I7053" s="12"/>
      <c r="J7053" s="12"/>
      <c r="K7053" s="12"/>
      <c r="L7053" s="12"/>
      <c r="M7053" s="11"/>
      <c r="N7053" s="11"/>
      <c r="O7053" s="11"/>
      <c r="P7053" s="11"/>
    </row>
    <row r="7054" spans="8:16" x14ac:dyDescent="0.25">
      <c r="H7054" s="12"/>
      <c r="I7054" s="12"/>
      <c r="J7054" s="12"/>
      <c r="K7054" s="12"/>
      <c r="L7054" s="12"/>
      <c r="M7054" s="11"/>
      <c r="N7054" s="11"/>
      <c r="O7054" s="11"/>
      <c r="P7054" s="11"/>
    </row>
    <row r="7055" spans="8:16" x14ac:dyDescent="0.25">
      <c r="H7055" s="12"/>
      <c r="I7055" s="12"/>
      <c r="J7055" s="12"/>
      <c r="K7055" s="12"/>
      <c r="L7055" s="12"/>
      <c r="M7055" s="11"/>
      <c r="N7055" s="11"/>
      <c r="O7055" s="11"/>
      <c r="P7055" s="11"/>
    </row>
    <row r="7056" spans="8:16" x14ac:dyDescent="0.25">
      <c r="H7056" s="12"/>
      <c r="I7056" s="12"/>
      <c r="J7056" s="12"/>
      <c r="K7056" s="12"/>
      <c r="L7056" s="12"/>
      <c r="M7056" s="11"/>
      <c r="N7056" s="11"/>
      <c r="O7056" s="11"/>
      <c r="P7056" s="11"/>
    </row>
    <row r="7057" spans="8:16" x14ac:dyDescent="0.25">
      <c r="H7057" s="12"/>
      <c r="I7057" s="12"/>
      <c r="J7057" s="12"/>
      <c r="K7057" s="12"/>
      <c r="L7057" s="12"/>
      <c r="M7057" s="11"/>
      <c r="N7057" s="11"/>
      <c r="O7057" s="11"/>
      <c r="P7057" s="11"/>
    </row>
    <row r="7058" spans="8:16" x14ac:dyDescent="0.25">
      <c r="H7058" s="12"/>
      <c r="I7058" s="12"/>
      <c r="J7058" s="12"/>
      <c r="K7058" s="12"/>
      <c r="L7058" s="12"/>
      <c r="M7058" s="11"/>
      <c r="N7058" s="11"/>
      <c r="O7058" s="11"/>
      <c r="P7058" s="11"/>
    </row>
    <row r="7059" spans="8:16" x14ac:dyDescent="0.25">
      <c r="H7059" s="12"/>
      <c r="I7059" s="12"/>
      <c r="J7059" s="12"/>
      <c r="K7059" s="12"/>
      <c r="L7059" s="12"/>
      <c r="M7059" s="11"/>
      <c r="N7059" s="11"/>
      <c r="O7059" s="11"/>
      <c r="P7059" s="11"/>
    </row>
    <row r="7060" spans="8:16" x14ac:dyDescent="0.25">
      <c r="H7060" s="12"/>
      <c r="I7060" s="12"/>
      <c r="J7060" s="12"/>
      <c r="K7060" s="12"/>
      <c r="L7060" s="12"/>
      <c r="M7060" s="11"/>
      <c r="N7060" s="11"/>
      <c r="O7060" s="11"/>
      <c r="P7060" s="11"/>
    </row>
    <row r="7061" spans="8:16" x14ac:dyDescent="0.25">
      <c r="H7061" s="12"/>
      <c r="I7061" s="12"/>
      <c r="J7061" s="12"/>
      <c r="K7061" s="12"/>
      <c r="L7061" s="12"/>
      <c r="M7061" s="11"/>
      <c r="N7061" s="11"/>
      <c r="O7061" s="11"/>
      <c r="P7061" s="11"/>
    </row>
    <row r="7062" spans="8:16" x14ac:dyDescent="0.25">
      <c r="H7062" s="12"/>
      <c r="I7062" s="12"/>
      <c r="J7062" s="12"/>
      <c r="K7062" s="12"/>
      <c r="L7062" s="12"/>
      <c r="M7062" s="11"/>
      <c r="N7062" s="11"/>
      <c r="O7062" s="11"/>
      <c r="P7062" s="11"/>
    </row>
    <row r="7063" spans="8:16" x14ac:dyDescent="0.25">
      <c r="H7063" s="12"/>
      <c r="I7063" s="12"/>
      <c r="J7063" s="12"/>
      <c r="K7063" s="12"/>
      <c r="L7063" s="12"/>
      <c r="M7063" s="11"/>
      <c r="N7063" s="11"/>
      <c r="O7063" s="11"/>
      <c r="P7063" s="11"/>
    </row>
    <row r="7064" spans="8:16" x14ac:dyDescent="0.25">
      <c r="H7064" s="12"/>
      <c r="I7064" s="12"/>
      <c r="J7064" s="12"/>
      <c r="K7064" s="12"/>
      <c r="L7064" s="12"/>
      <c r="M7064" s="11"/>
      <c r="N7064" s="11"/>
      <c r="O7064" s="11"/>
      <c r="P7064" s="11"/>
    </row>
    <row r="7065" spans="8:16" x14ac:dyDescent="0.25">
      <c r="H7065" s="12"/>
      <c r="I7065" s="12"/>
      <c r="J7065" s="12"/>
      <c r="K7065" s="12"/>
      <c r="L7065" s="12"/>
      <c r="M7065" s="11"/>
      <c r="N7065" s="11"/>
      <c r="O7065" s="11"/>
      <c r="P7065" s="11"/>
    </row>
    <row r="7066" spans="8:16" x14ac:dyDescent="0.25">
      <c r="H7066" s="12"/>
      <c r="I7066" s="12"/>
      <c r="J7066" s="12"/>
      <c r="K7066" s="12"/>
      <c r="L7066" s="12"/>
      <c r="M7066" s="11"/>
      <c r="N7066" s="11"/>
      <c r="O7066" s="11"/>
      <c r="P7066" s="11"/>
    </row>
    <row r="7067" spans="8:16" x14ac:dyDescent="0.25">
      <c r="H7067" s="12"/>
      <c r="I7067" s="12"/>
      <c r="J7067" s="12"/>
      <c r="K7067" s="12"/>
      <c r="L7067" s="12"/>
      <c r="M7067" s="11"/>
      <c r="N7067" s="11"/>
      <c r="O7067" s="11"/>
      <c r="P7067" s="11"/>
    </row>
    <row r="7068" spans="8:16" x14ac:dyDescent="0.25">
      <c r="H7068" s="12"/>
      <c r="I7068" s="12"/>
      <c r="J7068" s="12"/>
      <c r="K7068" s="12"/>
      <c r="L7068" s="12"/>
      <c r="M7068" s="11"/>
      <c r="N7068" s="11"/>
      <c r="O7068" s="11"/>
      <c r="P7068" s="11"/>
    </row>
    <row r="7069" spans="8:16" x14ac:dyDescent="0.25">
      <c r="H7069" s="12"/>
      <c r="I7069" s="12"/>
      <c r="J7069" s="12"/>
      <c r="K7069" s="12"/>
      <c r="L7069" s="12"/>
      <c r="M7069" s="11"/>
      <c r="N7069" s="11"/>
      <c r="O7069" s="11"/>
      <c r="P7069" s="11"/>
    </row>
    <row r="7070" spans="8:16" x14ac:dyDescent="0.25">
      <c r="H7070" s="12"/>
      <c r="I7070" s="12"/>
      <c r="J7070" s="12"/>
      <c r="K7070" s="12"/>
      <c r="L7070" s="12"/>
      <c r="M7070" s="11"/>
      <c r="N7070" s="11"/>
      <c r="O7070" s="11"/>
      <c r="P7070" s="11"/>
    </row>
    <row r="7071" spans="8:16" x14ac:dyDescent="0.25">
      <c r="H7071" s="12"/>
      <c r="I7071" s="12"/>
      <c r="J7071" s="12"/>
      <c r="K7071" s="12"/>
      <c r="L7071" s="12"/>
      <c r="M7071" s="11"/>
      <c r="N7071" s="11"/>
      <c r="O7071" s="11"/>
      <c r="P7071" s="11"/>
    </row>
    <row r="7072" spans="8:16" x14ac:dyDescent="0.25">
      <c r="H7072" s="12"/>
      <c r="I7072" s="12"/>
      <c r="J7072" s="12"/>
      <c r="K7072" s="12"/>
      <c r="L7072" s="12"/>
      <c r="M7072" s="11"/>
      <c r="N7072" s="11"/>
      <c r="O7072" s="11"/>
      <c r="P7072" s="11"/>
    </row>
    <row r="7073" spans="8:16" x14ac:dyDescent="0.25">
      <c r="H7073" s="12"/>
      <c r="I7073" s="12"/>
      <c r="J7073" s="12"/>
      <c r="K7073" s="12"/>
      <c r="L7073" s="12"/>
      <c r="M7073" s="11"/>
      <c r="N7073" s="11"/>
      <c r="O7073" s="11"/>
      <c r="P7073" s="11"/>
    </row>
    <row r="7074" spans="8:16" x14ac:dyDescent="0.25">
      <c r="H7074" s="12"/>
      <c r="I7074" s="12"/>
      <c r="J7074" s="12"/>
      <c r="K7074" s="12"/>
      <c r="L7074" s="12"/>
      <c r="M7074" s="11"/>
      <c r="N7074" s="11"/>
      <c r="O7074" s="11"/>
      <c r="P7074" s="11"/>
    </row>
    <row r="7075" spans="8:16" x14ac:dyDescent="0.25">
      <c r="H7075" s="12"/>
      <c r="I7075" s="12"/>
      <c r="J7075" s="12"/>
      <c r="K7075" s="12"/>
      <c r="L7075" s="12"/>
      <c r="M7075" s="11"/>
      <c r="N7075" s="11"/>
      <c r="O7075" s="11"/>
      <c r="P7075" s="11"/>
    </row>
    <row r="7076" spans="8:16" x14ac:dyDescent="0.25">
      <c r="H7076" s="12"/>
      <c r="I7076" s="12"/>
      <c r="J7076" s="12"/>
      <c r="K7076" s="12"/>
      <c r="L7076" s="12"/>
      <c r="M7076" s="11"/>
      <c r="N7076" s="11"/>
      <c r="O7076" s="11"/>
      <c r="P7076" s="11"/>
    </row>
    <row r="7077" spans="8:16" x14ac:dyDescent="0.25">
      <c r="H7077" s="12"/>
      <c r="I7077" s="12"/>
      <c r="J7077" s="12"/>
      <c r="K7077" s="12"/>
      <c r="L7077" s="12"/>
      <c r="M7077" s="11"/>
      <c r="N7077" s="11"/>
      <c r="O7077" s="11"/>
      <c r="P7077" s="11"/>
    </row>
    <row r="7078" spans="8:16" x14ac:dyDescent="0.25">
      <c r="H7078" s="12"/>
      <c r="I7078" s="12"/>
      <c r="J7078" s="12"/>
      <c r="K7078" s="12"/>
      <c r="L7078" s="12"/>
      <c r="M7078" s="11"/>
      <c r="N7078" s="11"/>
      <c r="O7078" s="11"/>
      <c r="P7078" s="11"/>
    </row>
    <row r="7079" spans="8:16" x14ac:dyDescent="0.25">
      <c r="H7079" s="12"/>
      <c r="I7079" s="12"/>
      <c r="J7079" s="12"/>
      <c r="K7079" s="12"/>
      <c r="L7079" s="12"/>
      <c r="M7079" s="11"/>
      <c r="N7079" s="11"/>
      <c r="O7079" s="11"/>
      <c r="P7079" s="11"/>
    </row>
    <row r="7080" spans="8:16" x14ac:dyDescent="0.25">
      <c r="H7080" s="12"/>
      <c r="I7080" s="12"/>
      <c r="J7080" s="12"/>
      <c r="K7080" s="12"/>
      <c r="L7080" s="12"/>
      <c r="M7080" s="11"/>
      <c r="N7080" s="11"/>
      <c r="O7080" s="11"/>
      <c r="P7080" s="11"/>
    </row>
    <row r="7081" spans="8:16" x14ac:dyDescent="0.25">
      <c r="H7081" s="12"/>
      <c r="I7081" s="12"/>
      <c r="J7081" s="12"/>
      <c r="K7081" s="12"/>
      <c r="L7081" s="12"/>
      <c r="M7081" s="11"/>
      <c r="N7081" s="11"/>
      <c r="O7081" s="11"/>
      <c r="P7081" s="11"/>
    </row>
    <row r="7082" spans="8:16" x14ac:dyDescent="0.25">
      <c r="H7082" s="12"/>
      <c r="I7082" s="12"/>
      <c r="J7082" s="12"/>
      <c r="K7082" s="12"/>
      <c r="L7082" s="12"/>
      <c r="M7082" s="11"/>
      <c r="N7082" s="11"/>
      <c r="O7082" s="11"/>
      <c r="P7082" s="11"/>
    </row>
    <row r="7083" spans="8:16" x14ac:dyDescent="0.25">
      <c r="H7083" s="12"/>
      <c r="I7083" s="12"/>
      <c r="J7083" s="12"/>
      <c r="K7083" s="12"/>
      <c r="L7083" s="12"/>
      <c r="M7083" s="11"/>
      <c r="N7083" s="11"/>
      <c r="O7083" s="11"/>
      <c r="P7083" s="11"/>
    </row>
    <row r="7084" spans="8:16" x14ac:dyDescent="0.25">
      <c r="H7084" s="12"/>
      <c r="I7084" s="12"/>
      <c r="J7084" s="12"/>
      <c r="K7084" s="12"/>
      <c r="L7084" s="12"/>
      <c r="M7084" s="11"/>
      <c r="N7084" s="11"/>
      <c r="O7084" s="11"/>
      <c r="P7084" s="11"/>
    </row>
    <row r="7085" spans="8:16" x14ac:dyDescent="0.25">
      <c r="H7085" s="12"/>
      <c r="I7085" s="12"/>
      <c r="J7085" s="12"/>
      <c r="K7085" s="12"/>
      <c r="L7085" s="12"/>
      <c r="M7085" s="11"/>
      <c r="N7085" s="11"/>
      <c r="O7085" s="11"/>
      <c r="P7085" s="11"/>
    </row>
    <row r="7086" spans="8:16" x14ac:dyDescent="0.25">
      <c r="H7086" s="12"/>
      <c r="I7086" s="12"/>
      <c r="J7086" s="12"/>
      <c r="K7086" s="12"/>
      <c r="L7086" s="12"/>
      <c r="M7086" s="11"/>
      <c r="N7086" s="11"/>
      <c r="O7086" s="11"/>
      <c r="P7086" s="11"/>
    </row>
    <row r="7087" spans="8:16" x14ac:dyDescent="0.25">
      <c r="H7087" s="12"/>
      <c r="I7087" s="12"/>
      <c r="J7087" s="12"/>
      <c r="K7087" s="12"/>
      <c r="L7087" s="12"/>
      <c r="M7087" s="11"/>
      <c r="N7087" s="11"/>
      <c r="O7087" s="11"/>
      <c r="P7087" s="11"/>
    </row>
    <row r="7088" spans="8:16" x14ac:dyDescent="0.25">
      <c r="H7088" s="12"/>
      <c r="I7088" s="12"/>
      <c r="J7088" s="12"/>
      <c r="K7088" s="12"/>
      <c r="L7088" s="12"/>
      <c r="M7088" s="11"/>
      <c r="N7088" s="11"/>
      <c r="O7088" s="11"/>
      <c r="P7088" s="11"/>
    </row>
    <row r="7089" spans="8:16" x14ac:dyDescent="0.25">
      <c r="H7089" s="12"/>
      <c r="I7089" s="12"/>
      <c r="J7089" s="12"/>
      <c r="K7089" s="12"/>
      <c r="L7089" s="12"/>
      <c r="M7089" s="11"/>
      <c r="N7089" s="11"/>
      <c r="O7089" s="11"/>
      <c r="P7089" s="11"/>
    </row>
    <row r="7090" spans="8:16" x14ac:dyDescent="0.25">
      <c r="H7090" s="12"/>
      <c r="I7090" s="12"/>
      <c r="J7090" s="12"/>
      <c r="K7090" s="12"/>
      <c r="L7090" s="12"/>
      <c r="M7090" s="11"/>
      <c r="N7090" s="11"/>
      <c r="O7090" s="11"/>
      <c r="P7090" s="11"/>
    </row>
    <row r="7091" spans="8:16" x14ac:dyDescent="0.25">
      <c r="H7091" s="12"/>
      <c r="I7091" s="12"/>
      <c r="J7091" s="12"/>
      <c r="K7091" s="12"/>
      <c r="L7091" s="12"/>
      <c r="M7091" s="11"/>
      <c r="N7091" s="11"/>
      <c r="O7091" s="11"/>
      <c r="P7091" s="11"/>
    </row>
    <row r="7092" spans="8:16" x14ac:dyDescent="0.25">
      <c r="H7092" s="12"/>
      <c r="I7092" s="12"/>
      <c r="J7092" s="12"/>
      <c r="K7092" s="12"/>
      <c r="L7092" s="12"/>
      <c r="M7092" s="11"/>
      <c r="N7092" s="11"/>
      <c r="O7092" s="11"/>
      <c r="P7092" s="11"/>
    </row>
    <row r="7093" spans="8:16" x14ac:dyDescent="0.25">
      <c r="H7093" s="12"/>
      <c r="I7093" s="12"/>
      <c r="J7093" s="12"/>
      <c r="K7093" s="12"/>
      <c r="L7093" s="12"/>
      <c r="M7093" s="11"/>
      <c r="N7093" s="11"/>
      <c r="O7093" s="11"/>
      <c r="P7093" s="11"/>
    </row>
    <row r="7094" spans="8:16" x14ac:dyDescent="0.25">
      <c r="H7094" s="12"/>
      <c r="I7094" s="12"/>
      <c r="J7094" s="12"/>
      <c r="K7094" s="12"/>
      <c r="L7094" s="12"/>
      <c r="M7094" s="11"/>
      <c r="N7094" s="11"/>
      <c r="O7094" s="11"/>
      <c r="P7094" s="11"/>
    </row>
    <row r="7095" spans="8:16" x14ac:dyDescent="0.25">
      <c r="H7095" s="12"/>
      <c r="I7095" s="12"/>
      <c r="J7095" s="12"/>
      <c r="K7095" s="12"/>
      <c r="L7095" s="12"/>
      <c r="M7095" s="11"/>
      <c r="N7095" s="11"/>
      <c r="O7095" s="11"/>
      <c r="P7095" s="11"/>
    </row>
    <row r="7096" spans="8:16" x14ac:dyDescent="0.25">
      <c r="H7096" s="12"/>
      <c r="I7096" s="12"/>
      <c r="J7096" s="12"/>
      <c r="K7096" s="12"/>
      <c r="L7096" s="12"/>
      <c r="M7096" s="11"/>
      <c r="N7096" s="11"/>
      <c r="O7096" s="11"/>
      <c r="P7096" s="11"/>
    </row>
    <row r="7097" spans="8:16" x14ac:dyDescent="0.25">
      <c r="H7097" s="12"/>
      <c r="I7097" s="12"/>
      <c r="J7097" s="12"/>
      <c r="K7097" s="12"/>
      <c r="L7097" s="12"/>
      <c r="M7097" s="11"/>
      <c r="N7097" s="11"/>
      <c r="O7097" s="11"/>
      <c r="P7097" s="11"/>
    </row>
    <row r="7098" spans="8:16" x14ac:dyDescent="0.25">
      <c r="H7098" s="12"/>
      <c r="I7098" s="12"/>
      <c r="J7098" s="12"/>
      <c r="K7098" s="12"/>
      <c r="L7098" s="12"/>
      <c r="M7098" s="11"/>
      <c r="N7098" s="11"/>
      <c r="O7098" s="11"/>
      <c r="P7098" s="11"/>
    </row>
    <row r="7099" spans="8:16" x14ac:dyDescent="0.25">
      <c r="H7099" s="12"/>
      <c r="I7099" s="12"/>
      <c r="J7099" s="12"/>
      <c r="K7099" s="12"/>
      <c r="L7099" s="12"/>
      <c r="M7099" s="11"/>
      <c r="N7099" s="11"/>
      <c r="O7099" s="11"/>
      <c r="P7099" s="11"/>
    </row>
    <row r="7100" spans="8:16" x14ac:dyDescent="0.25">
      <c r="H7100" s="12"/>
      <c r="I7100" s="12"/>
      <c r="J7100" s="12"/>
      <c r="K7100" s="12"/>
      <c r="L7100" s="12"/>
      <c r="M7100" s="11"/>
      <c r="N7100" s="11"/>
      <c r="O7100" s="11"/>
      <c r="P7100" s="11"/>
    </row>
    <row r="7101" spans="8:16" x14ac:dyDescent="0.25">
      <c r="H7101" s="12"/>
      <c r="I7101" s="12"/>
      <c r="J7101" s="12"/>
      <c r="K7101" s="12"/>
      <c r="L7101" s="12"/>
      <c r="M7101" s="11"/>
      <c r="N7101" s="11"/>
      <c r="O7101" s="11"/>
      <c r="P7101" s="11"/>
    </row>
    <row r="7102" spans="8:16" x14ac:dyDescent="0.25">
      <c r="H7102" s="12"/>
      <c r="I7102" s="12"/>
      <c r="J7102" s="12"/>
      <c r="K7102" s="12"/>
      <c r="L7102" s="12"/>
      <c r="M7102" s="11"/>
      <c r="N7102" s="11"/>
      <c r="O7102" s="11"/>
      <c r="P7102" s="11"/>
    </row>
    <row r="7103" spans="8:16" x14ac:dyDescent="0.25">
      <c r="H7103" s="12"/>
      <c r="I7103" s="12"/>
      <c r="J7103" s="12"/>
      <c r="K7103" s="12"/>
      <c r="L7103" s="12"/>
      <c r="M7103" s="11"/>
      <c r="N7103" s="11"/>
      <c r="O7103" s="11"/>
      <c r="P7103" s="11"/>
    </row>
    <row r="7104" spans="8:16" x14ac:dyDescent="0.25">
      <c r="H7104" s="12"/>
      <c r="I7104" s="12"/>
      <c r="J7104" s="12"/>
      <c r="K7104" s="12"/>
      <c r="L7104" s="12"/>
      <c r="M7104" s="11"/>
      <c r="N7104" s="11"/>
      <c r="O7104" s="11"/>
      <c r="P7104" s="11"/>
    </row>
    <row r="7105" spans="8:16" x14ac:dyDescent="0.25">
      <c r="H7105" s="12"/>
      <c r="I7105" s="12"/>
      <c r="J7105" s="12"/>
      <c r="K7105" s="12"/>
      <c r="L7105" s="12"/>
      <c r="M7105" s="11"/>
      <c r="N7105" s="11"/>
      <c r="O7105" s="11"/>
      <c r="P7105" s="11"/>
    </row>
    <row r="7106" spans="8:16" x14ac:dyDescent="0.25">
      <c r="H7106" s="12"/>
      <c r="I7106" s="12"/>
      <c r="J7106" s="12"/>
      <c r="K7106" s="12"/>
      <c r="L7106" s="12"/>
      <c r="M7106" s="11"/>
      <c r="N7106" s="11"/>
      <c r="O7106" s="11"/>
      <c r="P7106" s="11"/>
    </row>
    <row r="7107" spans="8:16" x14ac:dyDescent="0.25">
      <c r="H7107" s="12"/>
      <c r="I7107" s="12"/>
      <c r="J7107" s="12"/>
      <c r="K7107" s="12"/>
      <c r="L7107" s="12"/>
      <c r="M7107" s="11"/>
      <c r="N7107" s="11"/>
      <c r="O7107" s="11"/>
      <c r="P7107" s="11"/>
    </row>
    <row r="7108" spans="8:16" x14ac:dyDescent="0.25">
      <c r="H7108" s="12"/>
      <c r="I7108" s="12"/>
      <c r="J7108" s="12"/>
      <c r="K7108" s="12"/>
      <c r="L7108" s="12"/>
      <c r="M7108" s="11"/>
      <c r="N7108" s="11"/>
      <c r="O7108" s="11"/>
      <c r="P7108" s="11"/>
    </row>
    <row r="7109" spans="8:16" x14ac:dyDescent="0.25">
      <c r="H7109" s="12"/>
      <c r="I7109" s="12"/>
      <c r="J7109" s="12"/>
      <c r="K7109" s="12"/>
      <c r="L7109" s="12"/>
      <c r="M7109" s="11"/>
      <c r="N7109" s="11"/>
      <c r="O7109" s="11"/>
      <c r="P7109" s="11"/>
    </row>
    <row r="7110" spans="8:16" x14ac:dyDescent="0.25">
      <c r="H7110" s="12"/>
      <c r="I7110" s="12"/>
      <c r="J7110" s="12"/>
      <c r="K7110" s="12"/>
      <c r="L7110" s="12"/>
      <c r="M7110" s="11"/>
      <c r="N7110" s="11"/>
      <c r="O7110" s="11"/>
      <c r="P7110" s="11"/>
    </row>
    <row r="7111" spans="8:16" x14ac:dyDescent="0.25">
      <c r="H7111" s="12"/>
      <c r="I7111" s="12"/>
      <c r="J7111" s="12"/>
      <c r="K7111" s="12"/>
      <c r="L7111" s="12"/>
      <c r="M7111" s="11"/>
      <c r="N7111" s="11"/>
      <c r="O7111" s="11"/>
      <c r="P7111" s="11"/>
    </row>
    <row r="7112" spans="8:16" x14ac:dyDescent="0.25">
      <c r="H7112" s="12"/>
      <c r="I7112" s="12"/>
      <c r="J7112" s="12"/>
      <c r="K7112" s="12"/>
      <c r="L7112" s="12"/>
      <c r="M7112" s="11"/>
      <c r="N7112" s="11"/>
      <c r="O7112" s="11"/>
      <c r="P7112" s="11"/>
    </row>
    <row r="7113" spans="8:16" x14ac:dyDescent="0.25">
      <c r="H7113" s="12"/>
      <c r="I7113" s="12"/>
      <c r="J7113" s="12"/>
      <c r="K7113" s="12"/>
      <c r="L7113" s="12"/>
      <c r="M7113" s="11"/>
      <c r="N7113" s="11"/>
      <c r="O7113" s="11"/>
      <c r="P7113" s="11"/>
    </row>
    <row r="7114" spans="8:16" x14ac:dyDescent="0.25">
      <c r="H7114" s="12"/>
      <c r="I7114" s="12"/>
      <c r="J7114" s="12"/>
      <c r="K7114" s="12"/>
      <c r="L7114" s="12"/>
      <c r="M7114" s="11"/>
      <c r="N7114" s="11"/>
      <c r="O7114" s="11"/>
      <c r="P7114" s="11"/>
    </row>
    <row r="7115" spans="8:16" x14ac:dyDescent="0.25">
      <c r="H7115" s="12"/>
      <c r="I7115" s="12"/>
      <c r="J7115" s="12"/>
      <c r="K7115" s="12"/>
      <c r="L7115" s="12"/>
      <c r="M7115" s="11"/>
      <c r="N7115" s="11"/>
      <c r="O7115" s="11"/>
      <c r="P7115" s="11"/>
    </row>
    <row r="7116" spans="8:16" x14ac:dyDescent="0.25">
      <c r="H7116" s="12"/>
      <c r="I7116" s="12"/>
      <c r="J7116" s="12"/>
      <c r="K7116" s="12"/>
      <c r="L7116" s="12"/>
      <c r="M7116" s="11"/>
      <c r="N7116" s="11"/>
      <c r="O7116" s="11"/>
      <c r="P7116" s="11"/>
    </row>
    <row r="7117" spans="8:16" x14ac:dyDescent="0.25">
      <c r="H7117" s="12"/>
      <c r="I7117" s="12"/>
      <c r="J7117" s="12"/>
      <c r="K7117" s="12"/>
      <c r="L7117" s="12"/>
      <c r="M7117" s="11"/>
      <c r="N7117" s="11"/>
      <c r="O7117" s="11"/>
      <c r="P7117" s="11"/>
    </row>
    <row r="7118" spans="8:16" x14ac:dyDescent="0.25">
      <c r="H7118" s="12"/>
      <c r="I7118" s="12"/>
      <c r="J7118" s="12"/>
      <c r="K7118" s="12"/>
      <c r="L7118" s="12"/>
      <c r="M7118" s="11"/>
      <c r="N7118" s="11"/>
      <c r="O7118" s="11"/>
      <c r="P7118" s="11"/>
    </row>
    <row r="7119" spans="8:16" x14ac:dyDescent="0.25">
      <c r="H7119" s="12"/>
      <c r="I7119" s="12"/>
      <c r="J7119" s="12"/>
      <c r="K7119" s="12"/>
      <c r="L7119" s="12"/>
      <c r="M7119" s="11"/>
      <c r="N7119" s="11"/>
      <c r="O7119" s="11"/>
      <c r="P7119" s="11"/>
    </row>
    <row r="7120" spans="8:16" x14ac:dyDescent="0.25">
      <c r="H7120" s="12"/>
      <c r="I7120" s="12"/>
      <c r="J7120" s="12"/>
      <c r="K7120" s="12"/>
      <c r="L7120" s="12"/>
      <c r="M7120" s="11"/>
      <c r="N7120" s="11"/>
      <c r="O7120" s="11"/>
      <c r="P7120" s="11"/>
    </row>
    <row r="7121" spans="8:16" x14ac:dyDescent="0.25">
      <c r="H7121" s="12"/>
      <c r="I7121" s="12"/>
      <c r="J7121" s="12"/>
      <c r="K7121" s="12"/>
      <c r="L7121" s="12"/>
      <c r="M7121" s="11"/>
      <c r="N7121" s="11"/>
      <c r="O7121" s="11"/>
      <c r="P7121" s="11"/>
    </row>
    <row r="7122" spans="8:16" x14ac:dyDescent="0.25">
      <c r="H7122" s="12"/>
      <c r="I7122" s="12"/>
      <c r="J7122" s="12"/>
      <c r="K7122" s="12"/>
      <c r="L7122" s="12"/>
      <c r="M7122" s="11"/>
      <c r="N7122" s="11"/>
      <c r="O7122" s="11"/>
      <c r="P7122" s="11"/>
    </row>
    <row r="7123" spans="8:16" x14ac:dyDescent="0.25">
      <c r="H7123" s="12"/>
      <c r="I7123" s="12"/>
      <c r="J7123" s="12"/>
      <c r="K7123" s="12"/>
      <c r="L7123" s="12"/>
      <c r="M7123" s="11"/>
      <c r="N7123" s="11"/>
      <c r="O7123" s="11"/>
      <c r="P7123" s="11"/>
    </row>
    <row r="7124" spans="8:16" x14ac:dyDescent="0.25">
      <c r="H7124" s="12"/>
      <c r="I7124" s="12"/>
      <c r="J7124" s="12"/>
      <c r="K7124" s="12"/>
      <c r="L7124" s="12"/>
      <c r="M7124" s="11"/>
      <c r="N7124" s="11"/>
      <c r="O7124" s="11"/>
      <c r="P7124" s="11"/>
    </row>
    <row r="7125" spans="8:16" x14ac:dyDescent="0.25">
      <c r="H7125" s="12"/>
      <c r="I7125" s="12"/>
      <c r="J7125" s="12"/>
      <c r="K7125" s="12"/>
      <c r="L7125" s="12"/>
      <c r="M7125" s="11"/>
      <c r="N7125" s="11"/>
      <c r="O7125" s="11"/>
      <c r="P7125" s="11"/>
    </row>
    <row r="7126" spans="8:16" x14ac:dyDescent="0.25">
      <c r="H7126" s="12"/>
      <c r="I7126" s="12"/>
      <c r="J7126" s="12"/>
      <c r="K7126" s="12"/>
      <c r="L7126" s="12"/>
      <c r="M7126" s="11"/>
      <c r="N7126" s="11"/>
      <c r="O7126" s="11"/>
      <c r="P7126" s="11"/>
    </row>
    <row r="7127" spans="8:16" x14ac:dyDescent="0.25">
      <c r="H7127" s="12"/>
      <c r="I7127" s="12"/>
      <c r="J7127" s="12"/>
      <c r="K7127" s="12"/>
      <c r="L7127" s="12"/>
      <c r="M7127" s="11"/>
      <c r="N7127" s="11"/>
      <c r="O7127" s="11"/>
      <c r="P7127" s="11"/>
    </row>
    <row r="7128" spans="8:16" x14ac:dyDescent="0.25">
      <c r="H7128" s="12"/>
      <c r="I7128" s="12"/>
      <c r="J7128" s="12"/>
      <c r="K7128" s="12"/>
      <c r="L7128" s="12"/>
      <c r="M7128" s="11"/>
      <c r="N7128" s="11"/>
      <c r="O7128" s="11"/>
      <c r="P7128" s="11"/>
    </row>
    <row r="7129" spans="8:16" x14ac:dyDescent="0.25">
      <c r="H7129" s="12"/>
      <c r="I7129" s="12"/>
      <c r="J7129" s="12"/>
      <c r="K7129" s="12"/>
      <c r="L7129" s="12"/>
      <c r="M7129" s="11"/>
      <c r="N7129" s="11"/>
      <c r="O7129" s="11"/>
      <c r="P7129" s="11"/>
    </row>
    <row r="7130" spans="8:16" x14ac:dyDescent="0.25">
      <c r="H7130" s="12"/>
      <c r="I7130" s="12"/>
      <c r="J7130" s="12"/>
      <c r="K7130" s="12"/>
      <c r="L7130" s="12"/>
      <c r="M7130" s="11"/>
      <c r="N7130" s="11"/>
      <c r="O7130" s="11"/>
      <c r="P7130" s="11"/>
    </row>
    <row r="7131" spans="8:16" x14ac:dyDescent="0.25">
      <c r="H7131" s="12"/>
      <c r="I7131" s="12"/>
      <c r="J7131" s="12"/>
      <c r="K7131" s="12"/>
      <c r="L7131" s="12"/>
      <c r="M7131" s="11"/>
      <c r="N7131" s="11"/>
      <c r="O7131" s="11"/>
      <c r="P7131" s="11"/>
    </row>
    <row r="7132" spans="8:16" x14ac:dyDescent="0.25">
      <c r="H7132" s="12"/>
      <c r="I7132" s="12"/>
      <c r="J7132" s="12"/>
      <c r="K7132" s="12"/>
      <c r="L7132" s="12"/>
      <c r="M7132" s="11"/>
      <c r="N7132" s="11"/>
      <c r="O7132" s="11"/>
      <c r="P7132" s="11"/>
    </row>
    <row r="7133" spans="8:16" x14ac:dyDescent="0.25">
      <c r="H7133" s="12"/>
      <c r="I7133" s="12"/>
      <c r="J7133" s="12"/>
      <c r="K7133" s="12"/>
      <c r="L7133" s="12"/>
      <c r="M7133" s="11"/>
      <c r="N7133" s="11"/>
      <c r="O7133" s="11"/>
      <c r="P7133" s="11"/>
    </row>
    <row r="7134" spans="8:16" x14ac:dyDescent="0.25">
      <c r="H7134" s="12"/>
      <c r="I7134" s="12"/>
      <c r="J7134" s="12"/>
      <c r="K7134" s="12"/>
      <c r="L7134" s="12"/>
      <c r="M7134" s="11"/>
      <c r="N7134" s="11"/>
      <c r="O7134" s="11"/>
      <c r="P7134" s="11"/>
    </row>
    <row r="7135" spans="8:16" x14ac:dyDescent="0.25">
      <c r="H7135" s="12"/>
      <c r="I7135" s="12"/>
      <c r="J7135" s="12"/>
      <c r="K7135" s="12"/>
      <c r="L7135" s="12"/>
      <c r="M7135" s="11"/>
      <c r="N7135" s="11"/>
      <c r="O7135" s="11"/>
      <c r="P7135" s="11"/>
    </row>
    <row r="7136" spans="8:16" x14ac:dyDescent="0.25">
      <c r="H7136" s="12"/>
      <c r="I7136" s="12"/>
      <c r="J7136" s="12"/>
      <c r="K7136" s="12"/>
      <c r="L7136" s="12"/>
      <c r="M7136" s="11"/>
      <c r="N7136" s="11"/>
      <c r="O7136" s="11"/>
      <c r="P7136" s="11"/>
    </row>
    <row r="7137" spans="8:16" x14ac:dyDescent="0.25">
      <c r="H7137" s="12"/>
      <c r="I7137" s="12"/>
      <c r="J7137" s="12"/>
      <c r="K7137" s="12"/>
      <c r="L7137" s="12"/>
      <c r="M7137" s="11"/>
      <c r="N7137" s="11"/>
      <c r="O7137" s="11"/>
      <c r="P7137" s="11"/>
    </row>
    <row r="7138" spans="8:16" x14ac:dyDescent="0.25">
      <c r="H7138" s="12"/>
      <c r="I7138" s="12"/>
      <c r="J7138" s="12"/>
      <c r="K7138" s="12"/>
      <c r="L7138" s="12"/>
      <c r="M7138" s="11"/>
      <c r="N7138" s="11"/>
      <c r="O7138" s="11"/>
      <c r="P7138" s="11"/>
    </row>
    <row r="7139" spans="8:16" x14ac:dyDescent="0.25">
      <c r="H7139" s="12"/>
      <c r="I7139" s="12"/>
      <c r="J7139" s="12"/>
      <c r="K7139" s="12"/>
      <c r="L7139" s="12"/>
      <c r="M7139" s="11"/>
      <c r="N7139" s="11"/>
      <c r="O7139" s="11"/>
      <c r="P7139" s="11"/>
    </row>
    <row r="7140" spans="8:16" x14ac:dyDescent="0.25">
      <c r="H7140" s="12"/>
      <c r="I7140" s="12"/>
      <c r="J7140" s="12"/>
      <c r="K7140" s="12"/>
      <c r="L7140" s="12"/>
      <c r="M7140" s="11"/>
      <c r="N7140" s="11"/>
      <c r="O7140" s="11"/>
      <c r="P7140" s="11"/>
    </row>
    <row r="7141" spans="8:16" x14ac:dyDescent="0.25">
      <c r="H7141" s="12"/>
      <c r="I7141" s="12"/>
      <c r="J7141" s="12"/>
      <c r="K7141" s="12"/>
      <c r="L7141" s="12"/>
      <c r="M7141" s="11"/>
      <c r="N7141" s="11"/>
      <c r="O7141" s="11"/>
      <c r="P7141" s="11"/>
    </row>
    <row r="7142" spans="8:16" x14ac:dyDescent="0.25">
      <c r="H7142" s="12"/>
      <c r="I7142" s="12"/>
      <c r="J7142" s="12"/>
      <c r="K7142" s="12"/>
      <c r="L7142" s="12"/>
      <c r="M7142" s="11"/>
      <c r="N7142" s="11"/>
      <c r="O7142" s="11"/>
      <c r="P7142" s="11"/>
    </row>
    <row r="7143" spans="8:16" x14ac:dyDescent="0.25">
      <c r="H7143" s="12"/>
      <c r="I7143" s="12"/>
      <c r="J7143" s="12"/>
      <c r="K7143" s="12"/>
      <c r="L7143" s="12"/>
      <c r="M7143" s="11"/>
      <c r="N7143" s="11"/>
      <c r="O7143" s="11"/>
      <c r="P7143" s="11"/>
    </row>
    <row r="7144" spans="8:16" x14ac:dyDescent="0.25">
      <c r="H7144" s="12"/>
      <c r="I7144" s="12"/>
      <c r="J7144" s="12"/>
      <c r="K7144" s="12"/>
      <c r="L7144" s="12"/>
      <c r="M7144" s="11"/>
      <c r="N7144" s="11"/>
      <c r="O7144" s="11"/>
      <c r="P7144" s="11"/>
    </row>
    <row r="7145" spans="8:16" x14ac:dyDescent="0.25">
      <c r="H7145" s="12"/>
      <c r="I7145" s="12"/>
      <c r="J7145" s="12"/>
      <c r="K7145" s="12"/>
      <c r="L7145" s="12"/>
      <c r="M7145" s="11"/>
      <c r="N7145" s="11"/>
      <c r="O7145" s="11"/>
      <c r="P7145" s="11"/>
    </row>
    <row r="7146" spans="8:16" x14ac:dyDescent="0.25">
      <c r="H7146" s="12"/>
      <c r="I7146" s="12"/>
      <c r="J7146" s="12"/>
      <c r="K7146" s="12"/>
      <c r="L7146" s="12"/>
      <c r="M7146" s="11"/>
      <c r="N7146" s="11"/>
      <c r="O7146" s="11"/>
      <c r="P7146" s="11"/>
    </row>
    <row r="7147" spans="8:16" x14ac:dyDescent="0.25">
      <c r="H7147" s="12"/>
      <c r="I7147" s="12"/>
      <c r="J7147" s="12"/>
      <c r="K7147" s="12"/>
      <c r="L7147" s="12"/>
      <c r="M7147" s="11"/>
      <c r="N7147" s="11"/>
      <c r="O7147" s="11"/>
      <c r="P7147" s="11"/>
    </row>
    <row r="7148" spans="8:16" x14ac:dyDescent="0.25">
      <c r="H7148" s="12"/>
      <c r="I7148" s="12"/>
      <c r="J7148" s="12"/>
      <c r="K7148" s="12"/>
      <c r="L7148" s="12"/>
      <c r="M7148" s="11"/>
      <c r="N7148" s="11"/>
      <c r="O7148" s="11"/>
      <c r="P7148" s="11"/>
    </row>
    <row r="7149" spans="8:16" x14ac:dyDescent="0.25">
      <c r="H7149" s="12"/>
      <c r="I7149" s="12"/>
      <c r="J7149" s="12"/>
      <c r="K7149" s="12"/>
      <c r="L7149" s="12"/>
      <c r="M7149" s="11"/>
      <c r="N7149" s="11"/>
      <c r="O7149" s="11"/>
      <c r="P7149" s="11"/>
    </row>
    <row r="7150" spans="8:16" x14ac:dyDescent="0.25">
      <c r="H7150" s="12"/>
      <c r="I7150" s="12"/>
      <c r="J7150" s="12"/>
      <c r="K7150" s="12"/>
      <c r="L7150" s="12"/>
      <c r="M7150" s="11"/>
      <c r="N7150" s="11"/>
      <c r="O7150" s="11"/>
      <c r="P7150" s="11"/>
    </row>
    <row r="7151" spans="8:16" x14ac:dyDescent="0.25">
      <c r="H7151" s="12"/>
      <c r="I7151" s="12"/>
      <c r="J7151" s="12"/>
      <c r="K7151" s="12"/>
      <c r="L7151" s="12"/>
      <c r="M7151" s="11"/>
      <c r="N7151" s="11"/>
      <c r="O7151" s="11"/>
      <c r="P7151" s="11"/>
    </row>
    <row r="7152" spans="8:16" x14ac:dyDescent="0.25">
      <c r="H7152" s="12"/>
      <c r="I7152" s="12"/>
      <c r="J7152" s="12"/>
      <c r="K7152" s="12"/>
      <c r="L7152" s="12"/>
      <c r="M7152" s="11"/>
      <c r="N7152" s="11"/>
      <c r="O7152" s="11"/>
      <c r="P7152" s="11"/>
    </row>
    <row r="7153" spans="8:16" x14ac:dyDescent="0.25">
      <c r="H7153" s="12"/>
      <c r="I7153" s="12"/>
      <c r="J7153" s="12"/>
      <c r="K7153" s="12"/>
      <c r="L7153" s="12"/>
      <c r="M7153" s="11"/>
      <c r="N7153" s="11"/>
      <c r="O7153" s="11"/>
      <c r="P7153" s="11"/>
    </row>
    <row r="7154" spans="8:16" x14ac:dyDescent="0.25">
      <c r="H7154" s="12"/>
      <c r="I7154" s="12"/>
      <c r="J7154" s="12"/>
      <c r="K7154" s="12"/>
      <c r="L7154" s="12"/>
      <c r="M7154" s="11"/>
      <c r="N7154" s="11"/>
      <c r="O7154" s="11"/>
      <c r="P7154" s="11"/>
    </row>
    <row r="7155" spans="8:16" x14ac:dyDescent="0.25">
      <c r="H7155" s="12"/>
      <c r="I7155" s="12"/>
      <c r="J7155" s="12"/>
      <c r="K7155" s="12"/>
      <c r="L7155" s="12"/>
      <c r="M7155" s="11"/>
      <c r="N7155" s="11"/>
      <c r="O7155" s="11"/>
      <c r="P7155" s="11"/>
    </row>
    <row r="7156" spans="8:16" x14ac:dyDescent="0.25">
      <c r="H7156" s="12"/>
      <c r="I7156" s="12"/>
      <c r="J7156" s="12"/>
      <c r="K7156" s="12"/>
      <c r="L7156" s="12"/>
      <c r="M7156" s="11"/>
      <c r="N7156" s="11"/>
      <c r="O7156" s="11"/>
      <c r="P7156" s="11"/>
    </row>
    <row r="7157" spans="8:16" x14ac:dyDescent="0.25">
      <c r="H7157" s="12"/>
      <c r="I7157" s="12"/>
      <c r="J7157" s="12"/>
      <c r="K7157" s="12"/>
      <c r="L7157" s="12"/>
      <c r="M7157" s="11"/>
      <c r="N7157" s="11"/>
      <c r="O7157" s="11"/>
      <c r="P7157" s="11"/>
    </row>
    <row r="7158" spans="8:16" x14ac:dyDescent="0.25">
      <c r="H7158" s="12"/>
      <c r="I7158" s="12"/>
      <c r="J7158" s="12"/>
      <c r="K7158" s="12"/>
      <c r="L7158" s="12"/>
      <c r="M7158" s="11"/>
      <c r="N7158" s="11"/>
      <c r="O7158" s="11"/>
      <c r="P7158" s="11"/>
    </row>
    <row r="7159" spans="8:16" x14ac:dyDescent="0.25">
      <c r="H7159" s="12"/>
      <c r="I7159" s="12"/>
      <c r="J7159" s="12"/>
      <c r="K7159" s="12"/>
      <c r="L7159" s="12"/>
      <c r="M7159" s="11"/>
      <c r="N7159" s="11"/>
      <c r="O7159" s="11"/>
      <c r="P7159" s="11"/>
    </row>
    <row r="7160" spans="8:16" x14ac:dyDescent="0.25">
      <c r="H7160" s="12"/>
      <c r="I7160" s="12"/>
      <c r="J7160" s="12"/>
      <c r="K7160" s="12"/>
      <c r="L7160" s="12"/>
      <c r="M7160" s="11"/>
      <c r="N7160" s="11"/>
      <c r="O7160" s="11"/>
      <c r="P7160" s="11"/>
    </row>
    <row r="7161" spans="8:16" x14ac:dyDescent="0.25">
      <c r="H7161" s="12"/>
      <c r="I7161" s="12"/>
      <c r="J7161" s="12"/>
      <c r="K7161" s="12"/>
      <c r="L7161" s="12"/>
      <c r="M7161" s="11"/>
      <c r="N7161" s="11"/>
      <c r="O7161" s="11"/>
      <c r="P7161" s="11"/>
    </row>
    <row r="7162" spans="8:16" x14ac:dyDescent="0.25">
      <c r="H7162" s="12"/>
      <c r="I7162" s="12"/>
      <c r="J7162" s="12"/>
      <c r="K7162" s="12"/>
      <c r="L7162" s="12"/>
      <c r="M7162" s="11"/>
      <c r="N7162" s="11"/>
      <c r="O7162" s="11"/>
      <c r="P7162" s="11"/>
    </row>
    <row r="7163" spans="8:16" x14ac:dyDescent="0.25">
      <c r="H7163" s="12"/>
      <c r="I7163" s="12"/>
      <c r="J7163" s="12"/>
      <c r="K7163" s="12"/>
      <c r="L7163" s="12"/>
      <c r="M7163" s="11"/>
      <c r="N7163" s="11"/>
      <c r="O7163" s="11"/>
      <c r="P7163" s="11"/>
    </row>
    <row r="7164" spans="8:16" x14ac:dyDescent="0.25">
      <c r="H7164" s="12"/>
      <c r="I7164" s="12"/>
      <c r="J7164" s="12"/>
      <c r="K7164" s="12"/>
      <c r="L7164" s="12"/>
      <c r="M7164" s="11"/>
      <c r="N7164" s="11"/>
      <c r="O7164" s="11"/>
      <c r="P7164" s="11"/>
    </row>
    <row r="7165" spans="8:16" x14ac:dyDescent="0.25">
      <c r="H7165" s="12"/>
      <c r="I7165" s="12"/>
      <c r="J7165" s="12"/>
      <c r="K7165" s="12"/>
      <c r="L7165" s="12"/>
      <c r="M7165" s="11"/>
      <c r="N7165" s="11"/>
      <c r="O7165" s="11"/>
      <c r="P7165" s="11"/>
    </row>
    <row r="7166" spans="8:16" x14ac:dyDescent="0.25">
      <c r="H7166" s="12"/>
      <c r="I7166" s="12"/>
      <c r="J7166" s="12"/>
      <c r="K7166" s="12"/>
      <c r="L7166" s="12"/>
      <c r="M7166" s="11"/>
      <c r="N7166" s="11"/>
      <c r="O7166" s="11"/>
      <c r="P7166" s="11"/>
    </row>
    <row r="7167" spans="8:16" x14ac:dyDescent="0.25">
      <c r="H7167" s="12"/>
      <c r="I7167" s="12"/>
      <c r="J7167" s="12"/>
      <c r="K7167" s="12"/>
      <c r="L7167" s="12"/>
      <c r="M7167" s="11"/>
      <c r="N7167" s="11"/>
      <c r="O7167" s="11"/>
      <c r="P7167" s="11"/>
    </row>
    <row r="7168" spans="8:16" x14ac:dyDescent="0.25">
      <c r="H7168" s="12"/>
      <c r="I7168" s="12"/>
      <c r="J7168" s="12"/>
      <c r="K7168" s="12"/>
      <c r="L7168" s="12"/>
      <c r="M7168" s="11"/>
      <c r="N7168" s="11"/>
      <c r="O7168" s="11"/>
      <c r="P7168" s="11"/>
    </row>
    <row r="7169" spans="8:16" x14ac:dyDescent="0.25">
      <c r="H7169" s="12"/>
      <c r="I7169" s="12"/>
      <c r="J7169" s="12"/>
      <c r="K7169" s="12"/>
      <c r="L7169" s="12"/>
      <c r="M7169" s="11"/>
      <c r="N7169" s="11"/>
      <c r="O7169" s="11"/>
      <c r="P7169" s="11"/>
    </row>
    <row r="7170" spans="8:16" x14ac:dyDescent="0.25">
      <c r="H7170" s="12"/>
      <c r="I7170" s="12"/>
      <c r="J7170" s="12"/>
      <c r="K7170" s="12"/>
      <c r="L7170" s="12"/>
      <c r="M7170" s="11"/>
      <c r="N7170" s="11"/>
      <c r="O7170" s="11"/>
      <c r="P7170" s="11"/>
    </row>
    <row r="7171" spans="8:16" x14ac:dyDescent="0.25">
      <c r="H7171" s="12"/>
      <c r="I7171" s="12"/>
      <c r="J7171" s="12"/>
      <c r="K7171" s="12"/>
      <c r="L7171" s="12"/>
      <c r="M7171" s="11"/>
      <c r="N7171" s="11"/>
      <c r="O7171" s="11"/>
      <c r="P7171" s="11"/>
    </row>
    <row r="7172" spans="8:16" x14ac:dyDescent="0.25">
      <c r="H7172" s="12"/>
      <c r="I7172" s="12"/>
      <c r="J7172" s="12"/>
      <c r="K7172" s="12"/>
      <c r="L7172" s="12"/>
      <c r="M7172" s="11"/>
      <c r="N7172" s="11"/>
      <c r="O7172" s="11"/>
      <c r="P7172" s="11"/>
    </row>
    <row r="7173" spans="8:16" x14ac:dyDescent="0.25">
      <c r="H7173" s="12"/>
      <c r="I7173" s="12"/>
      <c r="J7173" s="12"/>
      <c r="K7173" s="12"/>
      <c r="L7173" s="12"/>
      <c r="M7173" s="11"/>
      <c r="N7173" s="11"/>
      <c r="O7173" s="11"/>
      <c r="P7173" s="11"/>
    </row>
    <row r="7174" spans="8:16" x14ac:dyDescent="0.25">
      <c r="H7174" s="12"/>
      <c r="I7174" s="12"/>
      <c r="J7174" s="12"/>
      <c r="K7174" s="12"/>
      <c r="L7174" s="12"/>
      <c r="M7174" s="11"/>
      <c r="N7174" s="11"/>
      <c r="O7174" s="11"/>
      <c r="P7174" s="11"/>
    </row>
    <row r="7175" spans="8:16" x14ac:dyDescent="0.25">
      <c r="H7175" s="12"/>
      <c r="I7175" s="12"/>
      <c r="J7175" s="12"/>
      <c r="K7175" s="12"/>
      <c r="L7175" s="12"/>
      <c r="M7175" s="11"/>
      <c r="N7175" s="11"/>
      <c r="O7175" s="11"/>
      <c r="P7175" s="11"/>
    </row>
    <row r="7176" spans="8:16" x14ac:dyDescent="0.25">
      <c r="H7176" s="12"/>
      <c r="I7176" s="12"/>
      <c r="J7176" s="12"/>
      <c r="K7176" s="12"/>
      <c r="L7176" s="12"/>
      <c r="M7176" s="11"/>
      <c r="N7176" s="11"/>
      <c r="O7176" s="11"/>
      <c r="P7176" s="11"/>
    </row>
    <row r="7177" spans="8:16" x14ac:dyDescent="0.25">
      <c r="H7177" s="12"/>
      <c r="I7177" s="12"/>
      <c r="J7177" s="12"/>
      <c r="K7177" s="12"/>
      <c r="L7177" s="12"/>
      <c r="M7177" s="11"/>
      <c r="N7177" s="11"/>
      <c r="O7177" s="11"/>
      <c r="P7177" s="11"/>
    </row>
    <row r="7178" spans="8:16" x14ac:dyDescent="0.25">
      <c r="H7178" s="12"/>
      <c r="I7178" s="12"/>
      <c r="J7178" s="12"/>
      <c r="K7178" s="12"/>
      <c r="L7178" s="12"/>
      <c r="M7178" s="11"/>
      <c r="N7178" s="11"/>
      <c r="O7178" s="11"/>
      <c r="P7178" s="11"/>
    </row>
    <row r="7179" spans="8:16" x14ac:dyDescent="0.25">
      <c r="H7179" s="12"/>
      <c r="I7179" s="12"/>
      <c r="J7179" s="12"/>
      <c r="K7179" s="12"/>
      <c r="L7179" s="12"/>
      <c r="M7179" s="11"/>
      <c r="N7179" s="11"/>
      <c r="O7179" s="11"/>
      <c r="P7179" s="11"/>
    </row>
    <row r="7180" spans="8:16" x14ac:dyDescent="0.25">
      <c r="H7180" s="12"/>
      <c r="I7180" s="12"/>
      <c r="J7180" s="12"/>
      <c r="K7180" s="12"/>
      <c r="L7180" s="12"/>
      <c r="M7180" s="11"/>
      <c r="N7180" s="11"/>
      <c r="O7180" s="11"/>
      <c r="P7180" s="11"/>
    </row>
    <row r="7181" spans="8:16" x14ac:dyDescent="0.25">
      <c r="H7181" s="12"/>
      <c r="I7181" s="12"/>
      <c r="J7181" s="12"/>
      <c r="K7181" s="12"/>
      <c r="L7181" s="12"/>
      <c r="M7181" s="11"/>
      <c r="N7181" s="11"/>
      <c r="O7181" s="11"/>
      <c r="P7181" s="11"/>
    </row>
    <row r="7182" spans="8:16" x14ac:dyDescent="0.25">
      <c r="H7182" s="12"/>
      <c r="I7182" s="12"/>
      <c r="J7182" s="12"/>
      <c r="K7182" s="12"/>
      <c r="L7182" s="12"/>
      <c r="M7182" s="11"/>
      <c r="N7182" s="11"/>
      <c r="O7182" s="11"/>
      <c r="P7182" s="11"/>
    </row>
    <row r="7183" spans="8:16" x14ac:dyDescent="0.25">
      <c r="H7183" s="12"/>
      <c r="I7183" s="12"/>
      <c r="J7183" s="12"/>
      <c r="K7183" s="12"/>
      <c r="L7183" s="12"/>
      <c r="M7183" s="11"/>
      <c r="N7183" s="11"/>
      <c r="O7183" s="11"/>
      <c r="P7183" s="11"/>
    </row>
    <row r="7184" spans="8:16" x14ac:dyDescent="0.25">
      <c r="H7184" s="12"/>
      <c r="I7184" s="12"/>
      <c r="J7184" s="12"/>
      <c r="K7184" s="12"/>
      <c r="L7184" s="12"/>
      <c r="M7184" s="11"/>
      <c r="N7184" s="11"/>
      <c r="O7184" s="11"/>
      <c r="P7184" s="11"/>
    </row>
    <row r="7185" spans="8:16" x14ac:dyDescent="0.25">
      <c r="H7185" s="12"/>
      <c r="I7185" s="12"/>
      <c r="J7185" s="12"/>
      <c r="K7185" s="12"/>
      <c r="L7185" s="12"/>
      <c r="M7185" s="11"/>
      <c r="N7185" s="11"/>
      <c r="O7185" s="11"/>
      <c r="P7185" s="11"/>
    </row>
    <row r="7186" spans="8:16" x14ac:dyDescent="0.25">
      <c r="H7186" s="12"/>
      <c r="I7186" s="12"/>
      <c r="J7186" s="12"/>
      <c r="K7186" s="12"/>
      <c r="L7186" s="12"/>
      <c r="M7186" s="11"/>
      <c r="N7186" s="11"/>
      <c r="O7186" s="11"/>
      <c r="P7186" s="11"/>
    </row>
    <row r="7187" spans="8:16" x14ac:dyDescent="0.25">
      <c r="H7187" s="12"/>
      <c r="I7187" s="12"/>
      <c r="J7187" s="12"/>
      <c r="K7187" s="12"/>
      <c r="L7187" s="12"/>
      <c r="M7187" s="11"/>
      <c r="N7187" s="11"/>
      <c r="O7187" s="11"/>
      <c r="P7187" s="11"/>
    </row>
    <row r="7188" spans="8:16" x14ac:dyDescent="0.25">
      <c r="H7188" s="12"/>
      <c r="I7188" s="12"/>
      <c r="J7188" s="12"/>
      <c r="K7188" s="12"/>
      <c r="L7188" s="12"/>
      <c r="M7188" s="11"/>
      <c r="N7188" s="11"/>
      <c r="O7188" s="11"/>
      <c r="P7188" s="11"/>
    </row>
    <row r="7189" spans="8:16" x14ac:dyDescent="0.25">
      <c r="H7189" s="12"/>
      <c r="I7189" s="12"/>
      <c r="J7189" s="12"/>
      <c r="K7189" s="12"/>
      <c r="L7189" s="12"/>
      <c r="M7189" s="11"/>
      <c r="N7189" s="11"/>
      <c r="O7189" s="11"/>
      <c r="P7189" s="11"/>
    </row>
    <row r="7190" spans="8:16" x14ac:dyDescent="0.25">
      <c r="H7190" s="12"/>
      <c r="I7190" s="12"/>
      <c r="J7190" s="12"/>
      <c r="K7190" s="12"/>
      <c r="L7190" s="12"/>
      <c r="M7190" s="11"/>
      <c r="N7190" s="11"/>
      <c r="O7190" s="11"/>
      <c r="P7190" s="11"/>
    </row>
    <row r="7191" spans="8:16" x14ac:dyDescent="0.25">
      <c r="H7191" s="12"/>
      <c r="I7191" s="12"/>
      <c r="J7191" s="12"/>
      <c r="K7191" s="12"/>
      <c r="L7191" s="12"/>
      <c r="M7191" s="11"/>
      <c r="N7191" s="11"/>
      <c r="O7191" s="11"/>
      <c r="P7191" s="11"/>
    </row>
    <row r="7192" spans="8:16" x14ac:dyDescent="0.25">
      <c r="H7192" s="12"/>
      <c r="I7192" s="12"/>
      <c r="J7192" s="12"/>
      <c r="K7192" s="12"/>
      <c r="L7192" s="12"/>
      <c r="M7192" s="11"/>
      <c r="N7192" s="11"/>
      <c r="O7192" s="11"/>
      <c r="P7192" s="11"/>
    </row>
    <row r="7193" spans="8:16" x14ac:dyDescent="0.25">
      <c r="H7193" s="12"/>
      <c r="I7193" s="12"/>
      <c r="J7193" s="12"/>
      <c r="K7193" s="12"/>
      <c r="L7193" s="12"/>
      <c r="M7193" s="11"/>
      <c r="N7193" s="11"/>
      <c r="O7193" s="11"/>
      <c r="P7193" s="11"/>
    </row>
    <row r="7194" spans="8:16" x14ac:dyDescent="0.25">
      <c r="H7194" s="12"/>
      <c r="I7194" s="12"/>
      <c r="J7194" s="12"/>
      <c r="K7194" s="12"/>
      <c r="L7194" s="12"/>
      <c r="M7194" s="11"/>
      <c r="N7194" s="11"/>
      <c r="O7194" s="11"/>
      <c r="P7194" s="11"/>
    </row>
    <row r="7195" spans="8:16" x14ac:dyDescent="0.25">
      <c r="H7195" s="12"/>
      <c r="I7195" s="12"/>
      <c r="J7195" s="12"/>
      <c r="K7195" s="12"/>
      <c r="L7195" s="12"/>
      <c r="M7195" s="11"/>
      <c r="N7195" s="11"/>
      <c r="O7195" s="11"/>
      <c r="P7195" s="11"/>
    </row>
    <row r="7196" spans="8:16" x14ac:dyDescent="0.25">
      <c r="H7196" s="12"/>
      <c r="I7196" s="12"/>
      <c r="J7196" s="12"/>
      <c r="K7196" s="12"/>
      <c r="L7196" s="12"/>
      <c r="M7196" s="11"/>
      <c r="N7196" s="11"/>
      <c r="O7196" s="11"/>
      <c r="P7196" s="11"/>
    </row>
    <row r="7197" spans="8:16" x14ac:dyDescent="0.25">
      <c r="H7197" s="12"/>
      <c r="I7197" s="12"/>
      <c r="J7197" s="12"/>
      <c r="K7197" s="12"/>
      <c r="L7197" s="12"/>
      <c r="M7197" s="11"/>
      <c r="N7197" s="11"/>
      <c r="O7197" s="11"/>
      <c r="P7197" s="11"/>
    </row>
    <row r="7198" spans="8:16" x14ac:dyDescent="0.25">
      <c r="H7198" s="12"/>
      <c r="I7198" s="12"/>
      <c r="J7198" s="12"/>
      <c r="K7198" s="12"/>
      <c r="L7198" s="12"/>
      <c r="M7198" s="11"/>
      <c r="N7198" s="11"/>
      <c r="O7198" s="11"/>
      <c r="P7198" s="11"/>
    </row>
    <row r="7199" spans="8:16" x14ac:dyDescent="0.25">
      <c r="H7199" s="12"/>
      <c r="I7199" s="12"/>
      <c r="J7199" s="12"/>
      <c r="K7199" s="12"/>
      <c r="L7199" s="12"/>
      <c r="M7199" s="11"/>
      <c r="N7199" s="11"/>
      <c r="O7199" s="11"/>
      <c r="P7199" s="11"/>
    </row>
    <row r="7200" spans="8:16" x14ac:dyDescent="0.25">
      <c r="H7200" s="12"/>
      <c r="I7200" s="12"/>
      <c r="J7200" s="12"/>
      <c r="K7200" s="12"/>
      <c r="L7200" s="12"/>
      <c r="M7200" s="11"/>
      <c r="N7200" s="11"/>
      <c r="O7200" s="11"/>
      <c r="P7200" s="11"/>
    </row>
    <row r="7201" spans="8:16" x14ac:dyDescent="0.25">
      <c r="H7201" s="12"/>
      <c r="I7201" s="12"/>
      <c r="J7201" s="12"/>
      <c r="K7201" s="12"/>
      <c r="L7201" s="12"/>
      <c r="M7201" s="11"/>
      <c r="N7201" s="11"/>
      <c r="O7201" s="11"/>
      <c r="P7201" s="11"/>
    </row>
    <row r="7202" spans="8:16" x14ac:dyDescent="0.25">
      <c r="H7202" s="12"/>
      <c r="I7202" s="12"/>
      <c r="J7202" s="12"/>
      <c r="K7202" s="12"/>
      <c r="L7202" s="12"/>
      <c r="M7202" s="11"/>
      <c r="N7202" s="11"/>
      <c r="O7202" s="11"/>
      <c r="P7202" s="11"/>
    </row>
    <row r="7203" spans="8:16" x14ac:dyDescent="0.25">
      <c r="H7203" s="12"/>
      <c r="I7203" s="12"/>
      <c r="J7203" s="12"/>
      <c r="K7203" s="12"/>
      <c r="L7203" s="12"/>
      <c r="M7203" s="11"/>
      <c r="N7203" s="11"/>
      <c r="O7203" s="11"/>
      <c r="P7203" s="11"/>
    </row>
    <row r="7204" spans="8:16" x14ac:dyDescent="0.25">
      <c r="H7204" s="12"/>
      <c r="I7204" s="12"/>
      <c r="J7204" s="12"/>
      <c r="K7204" s="12"/>
      <c r="L7204" s="12"/>
      <c r="M7204" s="11"/>
      <c r="N7204" s="11"/>
      <c r="O7204" s="11"/>
      <c r="P7204" s="11"/>
    </row>
    <row r="7205" spans="8:16" x14ac:dyDescent="0.25">
      <c r="H7205" s="12"/>
      <c r="I7205" s="12"/>
      <c r="J7205" s="12"/>
      <c r="K7205" s="12"/>
      <c r="L7205" s="12"/>
      <c r="M7205" s="11"/>
      <c r="N7205" s="11"/>
      <c r="O7205" s="11"/>
      <c r="P7205" s="11"/>
    </row>
    <row r="7206" spans="8:16" x14ac:dyDescent="0.25">
      <c r="H7206" s="12"/>
      <c r="I7206" s="12"/>
      <c r="J7206" s="12"/>
      <c r="K7206" s="12"/>
      <c r="L7206" s="12"/>
      <c r="M7206" s="11"/>
      <c r="N7206" s="11"/>
      <c r="O7206" s="11"/>
      <c r="P7206" s="11"/>
    </row>
    <row r="7207" spans="8:16" x14ac:dyDescent="0.25">
      <c r="H7207" s="12"/>
      <c r="I7207" s="12"/>
      <c r="J7207" s="12"/>
      <c r="K7207" s="12"/>
      <c r="L7207" s="12"/>
      <c r="M7207" s="11"/>
      <c r="N7207" s="11"/>
      <c r="O7207" s="11"/>
      <c r="P7207" s="11"/>
    </row>
    <row r="7208" spans="8:16" x14ac:dyDescent="0.25">
      <c r="H7208" s="12"/>
      <c r="I7208" s="12"/>
      <c r="J7208" s="12"/>
      <c r="K7208" s="12"/>
      <c r="L7208" s="12"/>
      <c r="M7208" s="11"/>
      <c r="N7208" s="11"/>
      <c r="O7208" s="11"/>
      <c r="P7208" s="11"/>
    </row>
    <row r="7209" spans="8:16" x14ac:dyDescent="0.25">
      <c r="H7209" s="12"/>
      <c r="I7209" s="12"/>
      <c r="J7209" s="12"/>
      <c r="K7209" s="12"/>
      <c r="L7209" s="12"/>
      <c r="M7209" s="11"/>
      <c r="N7209" s="11"/>
      <c r="O7209" s="11"/>
      <c r="P7209" s="11"/>
    </row>
    <row r="7210" spans="8:16" x14ac:dyDescent="0.25">
      <c r="H7210" s="12"/>
      <c r="I7210" s="12"/>
      <c r="J7210" s="12"/>
      <c r="K7210" s="12"/>
      <c r="L7210" s="12"/>
      <c r="M7210" s="11"/>
      <c r="N7210" s="11"/>
      <c r="O7210" s="11"/>
      <c r="P7210" s="11"/>
    </row>
    <row r="7211" spans="8:16" x14ac:dyDescent="0.25">
      <c r="H7211" s="12"/>
      <c r="I7211" s="12"/>
      <c r="J7211" s="12"/>
      <c r="K7211" s="12"/>
      <c r="L7211" s="12"/>
      <c r="M7211" s="11"/>
      <c r="N7211" s="11"/>
      <c r="O7211" s="11"/>
      <c r="P7211" s="11"/>
    </row>
    <row r="7212" spans="8:16" x14ac:dyDescent="0.25">
      <c r="H7212" s="12"/>
      <c r="I7212" s="12"/>
      <c r="J7212" s="12"/>
      <c r="K7212" s="12"/>
      <c r="L7212" s="12"/>
      <c r="M7212" s="11"/>
      <c r="N7212" s="11"/>
      <c r="O7212" s="11"/>
      <c r="P7212" s="11"/>
    </row>
    <row r="7213" spans="8:16" x14ac:dyDescent="0.25">
      <c r="H7213" s="12"/>
      <c r="I7213" s="12"/>
      <c r="J7213" s="12"/>
      <c r="K7213" s="12"/>
      <c r="L7213" s="12"/>
      <c r="M7213" s="11"/>
      <c r="N7213" s="11"/>
      <c r="O7213" s="11"/>
      <c r="P7213" s="11"/>
    </row>
    <row r="7214" spans="8:16" x14ac:dyDescent="0.25">
      <c r="H7214" s="12"/>
      <c r="I7214" s="12"/>
      <c r="J7214" s="12"/>
      <c r="K7214" s="12"/>
      <c r="L7214" s="12"/>
      <c r="M7214" s="11"/>
      <c r="N7214" s="11"/>
      <c r="O7214" s="11"/>
      <c r="P7214" s="11"/>
    </row>
    <row r="7215" spans="8:16" x14ac:dyDescent="0.25">
      <c r="H7215" s="12"/>
      <c r="I7215" s="12"/>
      <c r="J7215" s="12"/>
      <c r="K7215" s="12"/>
      <c r="L7215" s="12"/>
      <c r="M7215" s="11"/>
      <c r="N7215" s="11"/>
      <c r="O7215" s="11"/>
      <c r="P7215" s="11"/>
    </row>
    <row r="7216" spans="8:16" x14ac:dyDescent="0.25">
      <c r="H7216" s="12"/>
      <c r="I7216" s="12"/>
      <c r="J7216" s="12"/>
      <c r="K7216" s="12"/>
      <c r="L7216" s="12"/>
      <c r="M7216" s="11"/>
      <c r="N7216" s="11"/>
      <c r="O7216" s="11"/>
      <c r="P7216" s="11"/>
    </row>
    <row r="7217" spans="8:16" x14ac:dyDescent="0.25">
      <c r="H7217" s="12"/>
      <c r="I7217" s="12"/>
      <c r="J7217" s="12"/>
      <c r="K7217" s="12"/>
      <c r="L7217" s="12"/>
      <c r="M7217" s="11"/>
      <c r="N7217" s="11"/>
      <c r="O7217" s="11"/>
      <c r="P7217" s="11"/>
    </row>
    <row r="7218" spans="8:16" x14ac:dyDescent="0.25">
      <c r="H7218" s="12"/>
      <c r="I7218" s="12"/>
      <c r="J7218" s="12"/>
      <c r="K7218" s="12"/>
      <c r="L7218" s="12"/>
      <c r="M7218" s="11"/>
      <c r="N7218" s="11"/>
      <c r="O7218" s="11"/>
      <c r="P7218" s="11"/>
    </row>
    <row r="7219" spans="8:16" x14ac:dyDescent="0.25">
      <c r="H7219" s="12"/>
      <c r="I7219" s="12"/>
      <c r="J7219" s="12"/>
      <c r="K7219" s="12"/>
      <c r="L7219" s="12"/>
      <c r="M7219" s="11"/>
      <c r="N7219" s="11"/>
      <c r="O7219" s="11"/>
      <c r="P7219" s="11"/>
    </row>
    <row r="7220" spans="8:16" x14ac:dyDescent="0.25">
      <c r="H7220" s="12"/>
      <c r="I7220" s="12"/>
      <c r="J7220" s="12"/>
      <c r="K7220" s="12"/>
      <c r="L7220" s="12"/>
      <c r="M7220" s="11"/>
      <c r="N7220" s="11"/>
      <c r="O7220" s="11"/>
      <c r="P7220" s="11"/>
    </row>
    <row r="7221" spans="8:16" x14ac:dyDescent="0.25">
      <c r="H7221" s="12"/>
      <c r="I7221" s="12"/>
      <c r="J7221" s="12"/>
      <c r="K7221" s="12"/>
      <c r="L7221" s="12"/>
      <c r="M7221" s="11"/>
      <c r="N7221" s="11"/>
      <c r="O7221" s="11"/>
      <c r="P7221" s="11"/>
    </row>
    <row r="7222" spans="8:16" x14ac:dyDescent="0.25">
      <c r="H7222" s="12"/>
      <c r="I7222" s="12"/>
      <c r="J7222" s="12"/>
      <c r="K7222" s="12"/>
      <c r="L7222" s="12"/>
      <c r="M7222" s="11"/>
      <c r="N7222" s="11"/>
      <c r="O7222" s="11"/>
      <c r="P7222" s="11"/>
    </row>
    <row r="7223" spans="8:16" x14ac:dyDescent="0.25">
      <c r="H7223" s="12"/>
      <c r="I7223" s="12"/>
      <c r="J7223" s="12"/>
      <c r="K7223" s="12"/>
      <c r="L7223" s="12"/>
      <c r="M7223" s="11"/>
      <c r="N7223" s="11"/>
      <c r="O7223" s="11"/>
      <c r="P7223" s="11"/>
    </row>
    <row r="7224" spans="8:16" x14ac:dyDescent="0.25">
      <c r="H7224" s="12"/>
      <c r="I7224" s="12"/>
      <c r="J7224" s="12"/>
      <c r="K7224" s="12"/>
      <c r="L7224" s="12"/>
      <c r="M7224" s="11"/>
      <c r="N7224" s="11"/>
      <c r="O7224" s="11"/>
      <c r="P7224" s="11"/>
    </row>
    <row r="7225" spans="8:16" x14ac:dyDescent="0.25">
      <c r="H7225" s="12"/>
      <c r="I7225" s="12"/>
      <c r="J7225" s="12"/>
      <c r="K7225" s="12"/>
      <c r="L7225" s="12"/>
      <c r="M7225" s="11"/>
      <c r="N7225" s="11"/>
      <c r="O7225" s="11"/>
      <c r="P7225" s="11"/>
    </row>
    <row r="7226" spans="8:16" x14ac:dyDescent="0.25">
      <c r="H7226" s="12"/>
      <c r="I7226" s="12"/>
      <c r="J7226" s="12"/>
      <c r="K7226" s="12"/>
      <c r="L7226" s="12"/>
      <c r="M7226" s="11"/>
      <c r="N7226" s="11"/>
      <c r="O7226" s="11"/>
      <c r="P7226" s="11"/>
    </row>
    <row r="7227" spans="8:16" x14ac:dyDescent="0.25">
      <c r="H7227" s="12"/>
      <c r="I7227" s="12"/>
      <c r="J7227" s="12"/>
      <c r="K7227" s="12"/>
      <c r="L7227" s="12"/>
      <c r="M7227" s="11"/>
      <c r="N7227" s="11"/>
      <c r="O7227" s="11"/>
      <c r="P7227" s="11"/>
    </row>
    <row r="7228" spans="8:16" x14ac:dyDescent="0.25">
      <c r="H7228" s="12"/>
      <c r="I7228" s="12"/>
      <c r="J7228" s="12"/>
      <c r="K7228" s="12"/>
      <c r="L7228" s="12"/>
      <c r="M7228" s="11"/>
      <c r="N7228" s="11"/>
      <c r="O7228" s="11"/>
      <c r="P7228" s="11"/>
    </row>
    <row r="7229" spans="8:16" x14ac:dyDescent="0.25">
      <c r="H7229" s="12"/>
      <c r="I7229" s="12"/>
      <c r="J7229" s="12"/>
      <c r="K7229" s="12"/>
      <c r="L7229" s="12"/>
      <c r="M7229" s="11"/>
      <c r="N7229" s="11"/>
      <c r="O7229" s="11"/>
      <c r="P7229" s="11"/>
    </row>
    <row r="7230" spans="8:16" x14ac:dyDescent="0.25">
      <c r="H7230" s="12"/>
      <c r="I7230" s="12"/>
      <c r="J7230" s="12"/>
      <c r="K7230" s="12"/>
      <c r="L7230" s="12"/>
      <c r="M7230" s="11"/>
      <c r="N7230" s="11"/>
      <c r="O7230" s="11"/>
      <c r="P7230" s="11"/>
    </row>
    <row r="7231" spans="8:16" x14ac:dyDescent="0.25">
      <c r="H7231" s="12"/>
      <c r="I7231" s="12"/>
      <c r="J7231" s="12"/>
      <c r="K7231" s="12"/>
      <c r="L7231" s="12"/>
      <c r="M7231" s="11"/>
      <c r="N7231" s="11"/>
      <c r="O7231" s="11"/>
      <c r="P7231" s="11"/>
    </row>
    <row r="7232" spans="8:16" x14ac:dyDescent="0.25">
      <c r="H7232" s="12"/>
      <c r="I7232" s="12"/>
      <c r="J7232" s="12"/>
      <c r="K7232" s="12"/>
      <c r="L7232" s="12"/>
      <c r="M7232" s="11"/>
      <c r="N7232" s="11"/>
      <c r="O7232" s="11"/>
      <c r="P7232" s="11"/>
    </row>
    <row r="7233" spans="8:16" x14ac:dyDescent="0.25">
      <c r="H7233" s="12"/>
      <c r="I7233" s="12"/>
      <c r="J7233" s="12"/>
      <c r="K7233" s="12"/>
      <c r="L7233" s="12"/>
      <c r="M7233" s="11"/>
      <c r="N7233" s="11"/>
      <c r="O7233" s="11"/>
      <c r="P7233" s="11"/>
    </row>
    <row r="7234" spans="8:16" x14ac:dyDescent="0.25">
      <c r="H7234" s="12"/>
      <c r="I7234" s="12"/>
      <c r="J7234" s="12"/>
      <c r="K7234" s="12"/>
      <c r="L7234" s="12"/>
      <c r="M7234" s="11"/>
      <c r="N7234" s="11"/>
      <c r="O7234" s="11"/>
      <c r="P7234" s="11"/>
    </row>
    <row r="7235" spans="8:16" x14ac:dyDescent="0.25">
      <c r="H7235" s="12"/>
      <c r="I7235" s="12"/>
      <c r="J7235" s="12"/>
      <c r="K7235" s="12"/>
      <c r="L7235" s="12"/>
      <c r="M7235" s="11"/>
      <c r="N7235" s="11"/>
      <c r="O7235" s="11"/>
      <c r="P7235" s="11"/>
    </row>
    <row r="7236" spans="8:16" x14ac:dyDescent="0.25">
      <c r="H7236" s="12"/>
      <c r="I7236" s="12"/>
      <c r="J7236" s="12"/>
      <c r="K7236" s="12"/>
      <c r="L7236" s="12"/>
      <c r="M7236" s="11"/>
      <c r="N7236" s="11"/>
      <c r="O7236" s="11"/>
      <c r="P7236" s="11"/>
    </row>
    <row r="7237" spans="8:16" x14ac:dyDescent="0.25">
      <c r="H7237" s="12"/>
      <c r="I7237" s="12"/>
      <c r="J7237" s="12"/>
      <c r="K7237" s="12"/>
      <c r="L7237" s="12"/>
      <c r="M7237" s="11"/>
      <c r="N7237" s="11"/>
      <c r="O7237" s="11"/>
      <c r="P7237" s="11"/>
    </row>
    <row r="7238" spans="8:16" x14ac:dyDescent="0.25">
      <c r="H7238" s="12"/>
      <c r="I7238" s="12"/>
      <c r="J7238" s="12"/>
      <c r="K7238" s="12"/>
      <c r="L7238" s="12"/>
      <c r="M7238" s="11"/>
      <c r="N7238" s="11"/>
      <c r="O7238" s="11"/>
      <c r="P7238" s="11"/>
    </row>
    <row r="7239" spans="8:16" x14ac:dyDescent="0.25">
      <c r="H7239" s="12"/>
      <c r="I7239" s="12"/>
      <c r="J7239" s="12"/>
      <c r="K7239" s="12"/>
      <c r="L7239" s="12"/>
      <c r="M7239" s="11"/>
      <c r="N7239" s="11"/>
      <c r="O7239" s="11"/>
      <c r="P7239" s="11"/>
    </row>
    <row r="7240" spans="8:16" x14ac:dyDescent="0.25">
      <c r="H7240" s="12"/>
      <c r="I7240" s="12"/>
      <c r="J7240" s="12"/>
      <c r="K7240" s="12"/>
      <c r="L7240" s="12"/>
      <c r="M7240" s="11"/>
      <c r="N7240" s="11"/>
      <c r="O7240" s="11"/>
      <c r="P7240" s="11"/>
    </row>
    <row r="7241" spans="8:16" x14ac:dyDescent="0.25">
      <c r="H7241" s="12"/>
      <c r="I7241" s="12"/>
      <c r="J7241" s="12"/>
      <c r="K7241" s="12"/>
      <c r="L7241" s="12"/>
      <c r="M7241" s="11"/>
      <c r="N7241" s="11"/>
      <c r="O7241" s="11"/>
      <c r="P7241" s="11"/>
    </row>
    <row r="7242" spans="8:16" x14ac:dyDescent="0.25">
      <c r="H7242" s="12"/>
      <c r="I7242" s="12"/>
      <c r="J7242" s="12"/>
      <c r="K7242" s="12"/>
      <c r="L7242" s="12"/>
      <c r="M7242" s="11"/>
      <c r="N7242" s="11"/>
      <c r="O7242" s="11"/>
      <c r="P7242" s="11"/>
    </row>
    <row r="7243" spans="8:16" x14ac:dyDescent="0.25">
      <c r="H7243" s="12"/>
      <c r="I7243" s="12"/>
      <c r="J7243" s="12"/>
      <c r="K7243" s="12"/>
      <c r="L7243" s="12"/>
      <c r="M7243" s="11"/>
      <c r="N7243" s="11"/>
      <c r="O7243" s="11"/>
      <c r="P7243" s="11"/>
    </row>
    <row r="7244" spans="8:16" x14ac:dyDescent="0.25">
      <c r="H7244" s="12"/>
      <c r="I7244" s="12"/>
      <c r="J7244" s="12"/>
      <c r="K7244" s="12"/>
      <c r="L7244" s="12"/>
      <c r="M7244" s="11"/>
      <c r="N7244" s="11"/>
      <c r="O7244" s="11"/>
      <c r="P7244" s="11"/>
    </row>
    <row r="7245" spans="8:16" x14ac:dyDescent="0.25">
      <c r="H7245" s="12"/>
      <c r="I7245" s="12"/>
      <c r="J7245" s="12"/>
      <c r="K7245" s="12"/>
      <c r="L7245" s="12"/>
      <c r="M7245" s="11"/>
      <c r="N7245" s="11"/>
      <c r="O7245" s="11"/>
      <c r="P7245" s="11"/>
    </row>
    <row r="7246" spans="8:16" x14ac:dyDescent="0.25">
      <c r="H7246" s="12"/>
      <c r="I7246" s="12"/>
      <c r="J7246" s="12"/>
      <c r="K7246" s="12"/>
      <c r="L7246" s="12"/>
      <c r="M7246" s="11"/>
      <c r="N7246" s="11"/>
      <c r="O7246" s="11"/>
      <c r="P7246" s="11"/>
    </row>
    <row r="7247" spans="8:16" x14ac:dyDescent="0.25">
      <c r="H7247" s="12"/>
      <c r="I7247" s="12"/>
      <c r="J7247" s="12"/>
      <c r="K7247" s="12"/>
      <c r="L7247" s="12"/>
      <c r="M7247" s="11"/>
      <c r="N7247" s="11"/>
      <c r="O7247" s="11"/>
      <c r="P7247" s="11"/>
    </row>
    <row r="7248" spans="8:16" x14ac:dyDescent="0.25">
      <c r="H7248" s="12"/>
      <c r="I7248" s="12"/>
      <c r="J7248" s="12"/>
      <c r="K7248" s="12"/>
      <c r="L7248" s="12"/>
      <c r="M7248" s="11"/>
      <c r="N7248" s="11"/>
      <c r="O7248" s="11"/>
      <c r="P7248" s="11"/>
    </row>
    <row r="7249" spans="8:16" x14ac:dyDescent="0.25">
      <c r="H7249" s="12"/>
      <c r="I7249" s="12"/>
      <c r="J7249" s="12"/>
      <c r="K7249" s="12"/>
      <c r="L7249" s="12"/>
      <c r="M7249" s="11"/>
      <c r="N7249" s="11"/>
      <c r="O7249" s="11"/>
      <c r="P7249" s="11"/>
    </row>
    <row r="7250" spans="8:16" x14ac:dyDescent="0.25">
      <c r="H7250" s="12"/>
      <c r="I7250" s="12"/>
      <c r="J7250" s="12"/>
      <c r="K7250" s="12"/>
      <c r="L7250" s="12"/>
      <c r="M7250" s="11"/>
      <c r="N7250" s="11"/>
      <c r="O7250" s="11"/>
      <c r="P7250" s="11"/>
    </row>
    <row r="7251" spans="8:16" x14ac:dyDescent="0.25">
      <c r="H7251" s="12"/>
      <c r="I7251" s="12"/>
      <c r="J7251" s="12"/>
      <c r="K7251" s="12"/>
      <c r="L7251" s="12"/>
      <c r="M7251" s="11"/>
      <c r="N7251" s="11"/>
      <c r="O7251" s="11"/>
      <c r="P7251" s="11"/>
    </row>
    <row r="7252" spans="8:16" x14ac:dyDescent="0.25">
      <c r="H7252" s="12"/>
      <c r="I7252" s="12"/>
      <c r="J7252" s="12"/>
      <c r="K7252" s="12"/>
      <c r="L7252" s="12"/>
      <c r="M7252" s="11"/>
      <c r="N7252" s="11"/>
      <c r="O7252" s="11"/>
      <c r="P7252" s="11"/>
    </row>
    <row r="7253" spans="8:16" x14ac:dyDescent="0.25">
      <c r="H7253" s="12"/>
      <c r="I7253" s="12"/>
      <c r="J7253" s="12"/>
      <c r="K7253" s="12"/>
      <c r="L7253" s="12"/>
      <c r="M7253" s="11"/>
      <c r="N7253" s="11"/>
      <c r="O7253" s="11"/>
      <c r="P7253" s="11"/>
    </row>
    <row r="7254" spans="8:16" x14ac:dyDescent="0.25">
      <c r="H7254" s="12"/>
      <c r="I7254" s="12"/>
      <c r="J7254" s="12"/>
      <c r="K7254" s="12"/>
      <c r="L7254" s="12"/>
      <c r="M7254" s="11"/>
      <c r="N7254" s="11"/>
      <c r="O7254" s="11"/>
      <c r="P7254" s="11"/>
    </row>
    <row r="7255" spans="8:16" x14ac:dyDescent="0.25">
      <c r="H7255" s="12"/>
      <c r="I7255" s="12"/>
      <c r="J7255" s="12"/>
      <c r="K7255" s="12"/>
      <c r="L7255" s="12"/>
      <c r="M7255" s="11"/>
      <c r="N7255" s="11"/>
      <c r="O7255" s="11"/>
      <c r="P7255" s="11"/>
    </row>
    <row r="7256" spans="8:16" x14ac:dyDescent="0.25">
      <c r="H7256" s="12"/>
      <c r="I7256" s="12"/>
      <c r="J7256" s="12"/>
      <c r="K7256" s="12"/>
      <c r="L7256" s="12"/>
      <c r="M7256" s="11"/>
      <c r="N7256" s="11"/>
      <c r="O7256" s="11"/>
      <c r="P7256" s="11"/>
    </row>
    <row r="7257" spans="8:16" x14ac:dyDescent="0.25">
      <c r="H7257" s="12"/>
      <c r="I7257" s="12"/>
      <c r="J7257" s="12"/>
      <c r="K7257" s="12"/>
      <c r="L7257" s="12"/>
      <c r="M7257" s="11"/>
      <c r="N7257" s="11"/>
      <c r="O7257" s="11"/>
      <c r="P7257" s="11"/>
    </row>
    <row r="7258" spans="8:16" x14ac:dyDescent="0.25">
      <c r="H7258" s="12"/>
      <c r="I7258" s="12"/>
      <c r="J7258" s="12"/>
      <c r="K7258" s="12"/>
      <c r="L7258" s="12"/>
      <c r="M7258" s="11"/>
      <c r="N7258" s="11"/>
      <c r="O7258" s="11"/>
      <c r="P7258" s="11"/>
    </row>
    <row r="7259" spans="8:16" x14ac:dyDescent="0.25">
      <c r="H7259" s="12"/>
      <c r="I7259" s="12"/>
      <c r="J7259" s="12"/>
      <c r="K7259" s="12"/>
      <c r="L7259" s="12"/>
      <c r="M7259" s="11"/>
      <c r="N7259" s="11"/>
      <c r="O7259" s="11"/>
      <c r="P7259" s="11"/>
    </row>
    <row r="7260" spans="8:16" x14ac:dyDescent="0.25">
      <c r="H7260" s="12"/>
      <c r="I7260" s="12"/>
      <c r="J7260" s="12"/>
      <c r="K7260" s="12"/>
      <c r="L7260" s="12"/>
      <c r="M7260" s="11"/>
      <c r="N7260" s="11"/>
      <c r="O7260" s="11"/>
      <c r="P7260" s="11"/>
    </row>
    <row r="7261" spans="8:16" x14ac:dyDescent="0.25">
      <c r="H7261" s="12"/>
      <c r="I7261" s="12"/>
      <c r="J7261" s="12"/>
      <c r="K7261" s="12"/>
      <c r="L7261" s="12"/>
      <c r="M7261" s="11"/>
      <c r="N7261" s="11"/>
      <c r="O7261" s="11"/>
      <c r="P7261" s="11"/>
    </row>
    <row r="7262" spans="8:16" x14ac:dyDescent="0.25">
      <c r="H7262" s="12"/>
      <c r="I7262" s="12"/>
      <c r="J7262" s="12"/>
      <c r="K7262" s="12"/>
      <c r="L7262" s="12"/>
      <c r="M7262" s="11"/>
      <c r="N7262" s="11"/>
      <c r="O7262" s="11"/>
      <c r="P7262" s="11"/>
    </row>
    <row r="7263" spans="8:16" x14ac:dyDescent="0.25">
      <c r="H7263" s="12"/>
      <c r="I7263" s="12"/>
      <c r="J7263" s="12"/>
      <c r="K7263" s="12"/>
      <c r="L7263" s="12"/>
      <c r="M7263" s="11"/>
      <c r="N7263" s="11"/>
      <c r="O7263" s="11"/>
      <c r="P7263" s="11"/>
    </row>
    <row r="7264" spans="8:16" x14ac:dyDescent="0.25">
      <c r="H7264" s="12"/>
      <c r="I7264" s="12"/>
      <c r="J7264" s="12"/>
      <c r="K7264" s="12"/>
      <c r="L7264" s="12"/>
      <c r="M7264" s="11"/>
      <c r="N7264" s="11"/>
      <c r="O7264" s="11"/>
      <c r="P7264" s="11"/>
    </row>
    <row r="7265" spans="8:16" x14ac:dyDescent="0.25">
      <c r="H7265" s="12"/>
      <c r="I7265" s="12"/>
      <c r="J7265" s="12"/>
      <c r="K7265" s="12"/>
      <c r="L7265" s="12"/>
      <c r="M7265" s="11"/>
      <c r="N7265" s="11"/>
      <c r="O7265" s="11"/>
      <c r="P7265" s="11"/>
    </row>
    <row r="7266" spans="8:16" x14ac:dyDescent="0.25">
      <c r="H7266" s="12"/>
      <c r="I7266" s="12"/>
      <c r="J7266" s="12"/>
      <c r="K7266" s="12"/>
      <c r="L7266" s="12"/>
      <c r="M7266" s="11"/>
      <c r="N7266" s="11"/>
      <c r="O7266" s="11"/>
      <c r="P7266" s="11"/>
    </row>
    <row r="7267" spans="8:16" x14ac:dyDescent="0.25">
      <c r="H7267" s="12"/>
      <c r="I7267" s="12"/>
      <c r="J7267" s="12"/>
      <c r="K7267" s="12"/>
      <c r="L7267" s="12"/>
      <c r="M7267" s="11"/>
      <c r="N7267" s="11"/>
      <c r="O7267" s="11"/>
      <c r="P7267" s="11"/>
    </row>
    <row r="7268" spans="8:16" x14ac:dyDescent="0.25">
      <c r="H7268" s="12"/>
      <c r="I7268" s="12"/>
      <c r="J7268" s="12"/>
      <c r="K7268" s="12"/>
      <c r="L7268" s="12"/>
      <c r="M7268" s="11"/>
      <c r="N7268" s="11"/>
      <c r="O7268" s="11"/>
      <c r="P7268" s="11"/>
    </row>
    <row r="7269" spans="8:16" x14ac:dyDescent="0.25">
      <c r="H7269" s="12"/>
      <c r="I7269" s="12"/>
      <c r="J7269" s="12"/>
      <c r="K7269" s="12"/>
      <c r="L7269" s="12"/>
      <c r="M7269" s="11"/>
      <c r="N7269" s="11"/>
      <c r="O7269" s="11"/>
      <c r="P7269" s="11"/>
    </row>
    <row r="7270" spans="8:16" x14ac:dyDescent="0.25">
      <c r="H7270" s="12"/>
      <c r="I7270" s="12"/>
      <c r="J7270" s="12"/>
      <c r="K7270" s="12"/>
      <c r="L7270" s="12"/>
      <c r="M7270" s="11"/>
      <c r="N7270" s="11"/>
      <c r="O7270" s="11"/>
      <c r="P7270" s="11"/>
    </row>
    <row r="7271" spans="8:16" x14ac:dyDescent="0.25">
      <c r="H7271" s="12"/>
      <c r="I7271" s="12"/>
      <c r="J7271" s="12"/>
      <c r="K7271" s="12"/>
      <c r="L7271" s="12"/>
      <c r="M7271" s="11"/>
      <c r="N7271" s="11"/>
      <c r="O7271" s="11"/>
      <c r="P7271" s="11"/>
    </row>
    <row r="7272" spans="8:16" x14ac:dyDescent="0.25">
      <c r="H7272" s="12"/>
      <c r="I7272" s="12"/>
      <c r="J7272" s="12"/>
      <c r="K7272" s="12"/>
      <c r="L7272" s="12"/>
      <c r="M7272" s="11"/>
      <c r="N7272" s="11"/>
      <c r="O7272" s="11"/>
      <c r="P7272" s="11"/>
    </row>
    <row r="7273" spans="8:16" x14ac:dyDescent="0.25">
      <c r="H7273" s="12"/>
      <c r="I7273" s="12"/>
      <c r="J7273" s="12"/>
      <c r="K7273" s="12"/>
      <c r="L7273" s="12"/>
      <c r="M7273" s="11"/>
      <c r="N7273" s="11"/>
      <c r="O7273" s="11"/>
      <c r="P7273" s="11"/>
    </row>
    <row r="7274" spans="8:16" x14ac:dyDescent="0.25">
      <c r="H7274" s="12"/>
      <c r="I7274" s="12"/>
      <c r="J7274" s="12"/>
      <c r="K7274" s="12"/>
      <c r="L7274" s="12"/>
      <c r="M7274" s="11"/>
      <c r="N7274" s="11"/>
      <c r="O7274" s="11"/>
      <c r="P7274" s="11"/>
    </row>
    <row r="7275" spans="8:16" x14ac:dyDescent="0.25">
      <c r="H7275" s="12"/>
      <c r="I7275" s="12"/>
      <c r="J7275" s="12"/>
      <c r="K7275" s="12"/>
      <c r="L7275" s="12"/>
      <c r="M7275" s="11"/>
      <c r="N7275" s="11"/>
      <c r="O7275" s="11"/>
      <c r="P7275" s="11"/>
    </row>
    <row r="7276" spans="8:16" x14ac:dyDescent="0.25">
      <c r="H7276" s="12"/>
      <c r="I7276" s="12"/>
      <c r="J7276" s="12"/>
      <c r="K7276" s="12"/>
      <c r="L7276" s="12"/>
      <c r="M7276" s="11"/>
      <c r="N7276" s="11"/>
      <c r="O7276" s="11"/>
      <c r="P7276" s="11"/>
    </row>
    <row r="7277" spans="8:16" x14ac:dyDescent="0.25">
      <c r="H7277" s="12"/>
      <c r="I7277" s="12"/>
      <c r="J7277" s="12"/>
      <c r="K7277" s="12"/>
      <c r="L7277" s="12"/>
      <c r="M7277" s="11"/>
      <c r="N7277" s="11"/>
      <c r="O7277" s="11"/>
      <c r="P7277" s="11"/>
    </row>
    <row r="7278" spans="8:16" x14ac:dyDescent="0.25">
      <c r="H7278" s="12"/>
      <c r="I7278" s="12"/>
      <c r="J7278" s="12"/>
      <c r="K7278" s="12"/>
      <c r="L7278" s="12"/>
      <c r="M7278" s="11"/>
      <c r="N7278" s="11"/>
      <c r="O7278" s="11"/>
      <c r="P7278" s="11"/>
    </row>
    <row r="7279" spans="8:16" x14ac:dyDescent="0.25">
      <c r="H7279" s="12"/>
      <c r="I7279" s="12"/>
      <c r="J7279" s="12"/>
      <c r="K7279" s="12"/>
      <c r="L7279" s="12"/>
      <c r="M7279" s="11"/>
      <c r="N7279" s="11"/>
      <c r="O7279" s="11"/>
      <c r="P7279" s="11"/>
    </row>
    <row r="7280" spans="8:16" x14ac:dyDescent="0.25">
      <c r="H7280" s="12"/>
      <c r="I7280" s="12"/>
      <c r="J7280" s="12"/>
      <c r="K7280" s="12"/>
      <c r="L7280" s="12"/>
      <c r="M7280" s="11"/>
      <c r="N7280" s="11"/>
      <c r="O7280" s="11"/>
      <c r="P7280" s="11"/>
    </row>
    <row r="7281" spans="8:16" x14ac:dyDescent="0.25">
      <c r="H7281" s="12"/>
      <c r="I7281" s="12"/>
      <c r="J7281" s="12"/>
      <c r="K7281" s="12"/>
      <c r="L7281" s="12"/>
      <c r="M7281" s="11"/>
      <c r="N7281" s="11"/>
      <c r="O7281" s="11"/>
      <c r="P7281" s="11"/>
    </row>
    <row r="7282" spans="8:16" x14ac:dyDescent="0.25">
      <c r="H7282" s="12"/>
      <c r="I7282" s="12"/>
      <c r="J7282" s="12"/>
      <c r="K7282" s="12"/>
      <c r="L7282" s="12"/>
      <c r="M7282" s="11"/>
      <c r="N7282" s="11"/>
      <c r="O7282" s="11"/>
      <c r="P7282" s="11"/>
    </row>
    <row r="7283" spans="8:16" x14ac:dyDescent="0.25">
      <c r="H7283" s="12"/>
      <c r="I7283" s="12"/>
      <c r="J7283" s="12"/>
      <c r="K7283" s="12"/>
      <c r="L7283" s="12"/>
      <c r="M7283" s="11"/>
      <c r="N7283" s="11"/>
      <c r="O7283" s="11"/>
      <c r="P7283" s="11"/>
    </row>
    <row r="7284" spans="8:16" x14ac:dyDescent="0.25">
      <c r="H7284" s="12"/>
      <c r="I7284" s="12"/>
      <c r="J7284" s="12"/>
      <c r="K7284" s="12"/>
      <c r="L7284" s="12"/>
      <c r="M7284" s="11"/>
      <c r="N7284" s="11"/>
      <c r="O7284" s="11"/>
      <c r="P7284" s="11"/>
    </row>
    <row r="7285" spans="8:16" x14ac:dyDescent="0.25">
      <c r="H7285" s="12"/>
      <c r="I7285" s="12"/>
      <c r="J7285" s="12"/>
      <c r="K7285" s="12"/>
      <c r="L7285" s="12"/>
      <c r="M7285" s="11"/>
      <c r="N7285" s="11"/>
      <c r="O7285" s="11"/>
      <c r="P7285" s="11"/>
    </row>
    <row r="7286" spans="8:16" x14ac:dyDescent="0.25">
      <c r="H7286" s="12"/>
      <c r="I7286" s="12"/>
      <c r="J7286" s="12"/>
      <c r="K7286" s="12"/>
      <c r="L7286" s="12"/>
      <c r="M7286" s="11"/>
      <c r="N7286" s="11"/>
      <c r="O7286" s="11"/>
      <c r="P7286" s="11"/>
    </row>
    <row r="7287" spans="8:16" x14ac:dyDescent="0.25">
      <c r="H7287" s="12"/>
      <c r="I7287" s="12"/>
      <c r="J7287" s="12"/>
      <c r="K7287" s="12"/>
      <c r="L7287" s="12"/>
      <c r="M7287" s="11"/>
      <c r="N7287" s="11"/>
      <c r="O7287" s="11"/>
      <c r="P7287" s="11"/>
    </row>
    <row r="7288" spans="8:16" x14ac:dyDescent="0.25">
      <c r="H7288" s="12"/>
      <c r="I7288" s="12"/>
      <c r="J7288" s="12"/>
      <c r="K7288" s="12"/>
      <c r="L7288" s="12"/>
      <c r="M7288" s="11"/>
      <c r="N7288" s="11"/>
      <c r="O7288" s="11"/>
      <c r="P7288" s="11"/>
    </row>
    <row r="7289" spans="8:16" x14ac:dyDescent="0.25">
      <c r="H7289" s="12"/>
      <c r="I7289" s="12"/>
      <c r="J7289" s="12"/>
      <c r="K7289" s="12"/>
      <c r="L7289" s="12"/>
      <c r="M7289" s="11"/>
      <c r="N7289" s="11"/>
      <c r="O7289" s="11"/>
      <c r="P7289" s="11"/>
    </row>
    <row r="7290" spans="8:16" x14ac:dyDescent="0.25">
      <c r="H7290" s="12"/>
      <c r="I7290" s="12"/>
      <c r="J7290" s="12"/>
      <c r="K7290" s="12"/>
      <c r="L7290" s="12"/>
      <c r="M7290" s="11"/>
      <c r="N7290" s="11"/>
      <c r="O7290" s="11"/>
      <c r="P7290" s="11"/>
    </row>
    <row r="7291" spans="8:16" x14ac:dyDescent="0.25">
      <c r="H7291" s="12"/>
      <c r="I7291" s="12"/>
      <c r="J7291" s="12"/>
      <c r="K7291" s="12"/>
      <c r="L7291" s="12"/>
      <c r="M7291" s="11"/>
      <c r="N7291" s="11"/>
      <c r="O7291" s="11"/>
      <c r="P7291" s="11"/>
    </row>
    <row r="7292" spans="8:16" x14ac:dyDescent="0.25">
      <c r="H7292" s="12"/>
      <c r="I7292" s="12"/>
      <c r="J7292" s="12"/>
      <c r="K7292" s="12"/>
      <c r="L7292" s="12"/>
      <c r="M7292" s="11"/>
      <c r="N7292" s="11"/>
      <c r="O7292" s="11"/>
      <c r="P7292" s="11"/>
    </row>
    <row r="7293" spans="8:16" x14ac:dyDescent="0.25">
      <c r="H7293" s="12"/>
      <c r="I7293" s="12"/>
      <c r="J7293" s="12"/>
      <c r="K7293" s="12"/>
      <c r="L7293" s="12"/>
      <c r="M7293" s="11"/>
      <c r="N7293" s="11"/>
      <c r="O7293" s="11"/>
      <c r="P7293" s="11"/>
    </row>
    <row r="7294" spans="8:16" x14ac:dyDescent="0.25">
      <c r="H7294" s="12"/>
      <c r="I7294" s="12"/>
      <c r="J7294" s="12"/>
      <c r="K7294" s="12"/>
      <c r="L7294" s="12"/>
      <c r="M7294" s="11"/>
      <c r="N7294" s="11"/>
      <c r="O7294" s="11"/>
      <c r="P7294" s="11"/>
    </row>
    <row r="7295" spans="8:16" x14ac:dyDescent="0.25">
      <c r="H7295" s="12"/>
      <c r="I7295" s="12"/>
      <c r="J7295" s="12"/>
      <c r="K7295" s="12"/>
      <c r="L7295" s="12"/>
      <c r="M7295" s="11"/>
      <c r="N7295" s="11"/>
      <c r="O7295" s="11"/>
      <c r="P7295" s="11"/>
    </row>
    <row r="7296" spans="8:16" x14ac:dyDescent="0.25">
      <c r="H7296" s="12"/>
      <c r="I7296" s="12"/>
      <c r="J7296" s="12"/>
      <c r="K7296" s="12"/>
      <c r="L7296" s="12"/>
      <c r="M7296" s="11"/>
      <c r="N7296" s="11"/>
      <c r="O7296" s="11"/>
      <c r="P7296" s="11"/>
    </row>
    <row r="7297" spans="8:16" x14ac:dyDescent="0.25">
      <c r="H7297" s="12"/>
      <c r="I7297" s="12"/>
      <c r="J7297" s="12"/>
      <c r="K7297" s="12"/>
      <c r="L7297" s="12"/>
      <c r="M7297" s="11"/>
      <c r="N7297" s="11"/>
      <c r="O7297" s="11"/>
      <c r="P7297" s="11"/>
    </row>
    <row r="7298" spans="8:16" x14ac:dyDescent="0.25">
      <c r="H7298" s="12"/>
      <c r="I7298" s="12"/>
      <c r="J7298" s="12"/>
      <c r="K7298" s="12"/>
      <c r="L7298" s="12"/>
      <c r="M7298" s="11"/>
      <c r="N7298" s="11"/>
      <c r="O7298" s="11"/>
      <c r="P7298" s="11"/>
    </row>
    <row r="7299" spans="8:16" x14ac:dyDescent="0.25">
      <c r="H7299" s="12"/>
      <c r="I7299" s="12"/>
      <c r="J7299" s="12"/>
      <c r="K7299" s="12"/>
      <c r="L7299" s="12"/>
      <c r="M7299" s="11"/>
      <c r="N7299" s="11"/>
      <c r="O7299" s="11"/>
      <c r="P7299" s="11"/>
    </row>
    <row r="7300" spans="8:16" x14ac:dyDescent="0.25">
      <c r="H7300" s="12"/>
      <c r="I7300" s="12"/>
      <c r="J7300" s="12"/>
      <c r="K7300" s="12"/>
      <c r="L7300" s="12"/>
      <c r="M7300" s="11"/>
      <c r="N7300" s="11"/>
      <c r="O7300" s="11"/>
      <c r="P7300" s="11"/>
    </row>
    <row r="7301" spans="8:16" x14ac:dyDescent="0.25">
      <c r="H7301" s="12"/>
      <c r="I7301" s="12"/>
      <c r="J7301" s="12"/>
      <c r="K7301" s="12"/>
      <c r="L7301" s="12"/>
      <c r="M7301" s="11"/>
      <c r="N7301" s="11"/>
      <c r="O7301" s="11"/>
      <c r="P7301" s="11"/>
    </row>
    <row r="7302" spans="8:16" x14ac:dyDescent="0.25">
      <c r="H7302" s="12"/>
      <c r="I7302" s="12"/>
      <c r="J7302" s="12"/>
      <c r="K7302" s="12"/>
      <c r="L7302" s="12"/>
      <c r="M7302" s="11"/>
      <c r="N7302" s="11"/>
      <c r="O7302" s="11"/>
      <c r="P7302" s="11"/>
    </row>
    <row r="7303" spans="8:16" x14ac:dyDescent="0.25">
      <c r="H7303" s="12"/>
      <c r="I7303" s="12"/>
      <c r="J7303" s="12"/>
      <c r="K7303" s="12"/>
      <c r="L7303" s="12"/>
      <c r="M7303" s="11"/>
      <c r="N7303" s="11"/>
      <c r="O7303" s="11"/>
      <c r="P7303" s="11"/>
    </row>
    <row r="7304" spans="8:16" x14ac:dyDescent="0.25">
      <c r="H7304" s="12"/>
      <c r="I7304" s="12"/>
      <c r="J7304" s="12"/>
      <c r="K7304" s="12"/>
      <c r="L7304" s="12"/>
      <c r="M7304" s="11"/>
      <c r="N7304" s="11"/>
      <c r="O7304" s="11"/>
      <c r="P7304" s="11"/>
    </row>
    <row r="7305" spans="8:16" x14ac:dyDescent="0.25">
      <c r="H7305" s="12"/>
      <c r="I7305" s="12"/>
      <c r="J7305" s="12"/>
      <c r="K7305" s="12"/>
      <c r="L7305" s="12"/>
      <c r="M7305" s="11"/>
      <c r="N7305" s="11"/>
      <c r="O7305" s="11"/>
      <c r="P7305" s="11"/>
    </row>
    <row r="7306" spans="8:16" x14ac:dyDescent="0.25">
      <c r="H7306" s="12"/>
      <c r="I7306" s="12"/>
      <c r="J7306" s="12"/>
      <c r="K7306" s="12"/>
      <c r="L7306" s="12"/>
      <c r="M7306" s="11"/>
      <c r="N7306" s="11"/>
      <c r="O7306" s="11"/>
      <c r="P7306" s="11"/>
    </row>
    <row r="7307" spans="8:16" x14ac:dyDescent="0.25">
      <c r="H7307" s="12"/>
      <c r="I7307" s="12"/>
      <c r="J7307" s="12"/>
      <c r="K7307" s="12"/>
      <c r="L7307" s="12"/>
      <c r="M7307" s="11"/>
      <c r="N7307" s="11"/>
      <c r="O7307" s="11"/>
      <c r="P7307" s="11"/>
    </row>
    <row r="7308" spans="8:16" x14ac:dyDescent="0.25">
      <c r="H7308" s="12"/>
      <c r="I7308" s="12"/>
      <c r="J7308" s="12"/>
      <c r="K7308" s="12"/>
      <c r="L7308" s="12"/>
      <c r="M7308" s="11"/>
      <c r="N7308" s="11"/>
      <c r="O7308" s="11"/>
      <c r="P7308" s="11"/>
    </row>
    <row r="7309" spans="8:16" x14ac:dyDescent="0.25">
      <c r="H7309" s="12"/>
      <c r="I7309" s="12"/>
      <c r="J7309" s="12"/>
      <c r="K7309" s="12"/>
      <c r="L7309" s="12"/>
      <c r="M7309" s="11"/>
      <c r="N7309" s="11"/>
      <c r="O7309" s="11"/>
      <c r="P7309" s="11"/>
    </row>
    <row r="7310" spans="8:16" x14ac:dyDescent="0.25">
      <c r="H7310" s="12"/>
      <c r="I7310" s="12"/>
      <c r="J7310" s="12"/>
      <c r="K7310" s="12"/>
      <c r="L7310" s="12"/>
      <c r="M7310" s="11"/>
      <c r="N7310" s="11"/>
      <c r="O7310" s="11"/>
      <c r="P7310" s="11"/>
    </row>
    <row r="7311" spans="8:16" x14ac:dyDescent="0.25">
      <c r="H7311" s="12"/>
      <c r="I7311" s="12"/>
      <c r="J7311" s="12"/>
      <c r="K7311" s="12"/>
      <c r="L7311" s="12"/>
      <c r="M7311" s="11"/>
      <c r="N7311" s="11"/>
      <c r="O7311" s="11"/>
      <c r="P7311" s="11"/>
    </row>
    <row r="7312" spans="8:16" x14ac:dyDescent="0.25">
      <c r="H7312" s="12"/>
      <c r="I7312" s="12"/>
      <c r="J7312" s="12"/>
      <c r="K7312" s="12"/>
      <c r="L7312" s="12"/>
      <c r="M7312" s="11"/>
      <c r="N7312" s="11"/>
      <c r="O7312" s="11"/>
      <c r="P7312" s="11"/>
    </row>
    <row r="7313" spans="8:16" x14ac:dyDescent="0.25">
      <c r="H7313" s="12"/>
      <c r="I7313" s="12"/>
      <c r="J7313" s="12"/>
      <c r="K7313" s="12"/>
      <c r="L7313" s="12"/>
      <c r="M7313" s="11"/>
      <c r="N7313" s="11"/>
      <c r="O7313" s="11"/>
      <c r="P7313" s="11"/>
    </row>
    <row r="7314" spans="8:16" x14ac:dyDescent="0.25">
      <c r="H7314" s="12"/>
      <c r="I7314" s="12"/>
      <c r="J7314" s="12"/>
      <c r="K7314" s="12"/>
      <c r="L7314" s="12"/>
      <c r="M7314" s="11"/>
      <c r="N7314" s="11"/>
      <c r="O7314" s="11"/>
      <c r="P7314" s="11"/>
    </row>
    <row r="7315" spans="8:16" x14ac:dyDescent="0.25">
      <c r="H7315" s="12"/>
      <c r="I7315" s="12"/>
      <c r="J7315" s="12"/>
      <c r="K7315" s="12"/>
      <c r="L7315" s="12"/>
      <c r="M7315" s="11"/>
      <c r="N7315" s="11"/>
      <c r="O7315" s="11"/>
      <c r="P7315" s="11"/>
    </row>
    <row r="7316" spans="8:16" x14ac:dyDescent="0.25">
      <c r="H7316" s="12"/>
      <c r="I7316" s="12"/>
      <c r="J7316" s="12"/>
      <c r="K7316" s="12"/>
      <c r="L7316" s="12"/>
      <c r="M7316" s="11"/>
      <c r="N7316" s="11"/>
      <c r="O7316" s="11"/>
      <c r="P7316" s="11"/>
    </row>
    <row r="7317" spans="8:16" x14ac:dyDescent="0.25">
      <c r="H7317" s="12"/>
      <c r="I7317" s="12"/>
      <c r="J7317" s="12"/>
      <c r="K7317" s="12"/>
      <c r="L7317" s="12"/>
      <c r="M7317" s="11"/>
      <c r="N7317" s="11"/>
      <c r="O7317" s="11"/>
      <c r="P7317" s="11"/>
    </row>
    <row r="7318" spans="8:16" x14ac:dyDescent="0.25">
      <c r="H7318" s="12"/>
      <c r="I7318" s="12"/>
      <c r="J7318" s="12"/>
      <c r="K7318" s="12"/>
      <c r="L7318" s="12"/>
      <c r="M7318" s="11"/>
      <c r="N7318" s="11"/>
      <c r="O7318" s="11"/>
      <c r="P7318" s="11"/>
    </row>
    <row r="7319" spans="8:16" x14ac:dyDescent="0.25">
      <c r="H7319" s="12"/>
      <c r="I7319" s="12"/>
      <c r="J7319" s="12"/>
      <c r="K7319" s="12"/>
      <c r="L7319" s="12"/>
      <c r="M7319" s="11"/>
      <c r="N7319" s="11"/>
      <c r="O7319" s="11"/>
      <c r="P7319" s="11"/>
    </row>
    <row r="7320" spans="8:16" x14ac:dyDescent="0.25">
      <c r="H7320" s="12"/>
      <c r="I7320" s="12"/>
      <c r="J7320" s="12"/>
      <c r="K7320" s="12"/>
      <c r="L7320" s="12"/>
      <c r="M7320" s="11"/>
      <c r="N7320" s="11"/>
      <c r="O7320" s="11"/>
      <c r="P7320" s="11"/>
    </row>
    <row r="7321" spans="8:16" x14ac:dyDescent="0.25">
      <c r="H7321" s="12"/>
      <c r="I7321" s="12"/>
      <c r="J7321" s="12"/>
      <c r="K7321" s="12"/>
      <c r="L7321" s="12"/>
      <c r="M7321" s="11"/>
      <c r="N7321" s="11"/>
      <c r="O7321" s="11"/>
      <c r="P7321" s="11"/>
    </row>
    <row r="7322" spans="8:16" x14ac:dyDescent="0.25">
      <c r="H7322" s="12"/>
      <c r="I7322" s="12"/>
      <c r="J7322" s="12"/>
      <c r="K7322" s="12"/>
      <c r="L7322" s="12"/>
      <c r="M7322" s="11"/>
      <c r="N7322" s="11"/>
      <c r="O7322" s="11"/>
      <c r="P7322" s="11"/>
    </row>
    <row r="7323" spans="8:16" x14ac:dyDescent="0.25">
      <c r="H7323" s="12"/>
      <c r="I7323" s="12"/>
      <c r="J7323" s="12"/>
      <c r="K7323" s="12"/>
      <c r="L7323" s="12"/>
      <c r="M7323" s="11"/>
      <c r="N7323" s="11"/>
      <c r="O7323" s="11"/>
      <c r="P7323" s="11"/>
    </row>
    <row r="7324" spans="8:16" x14ac:dyDescent="0.25">
      <c r="H7324" s="12"/>
      <c r="I7324" s="12"/>
      <c r="J7324" s="12"/>
      <c r="K7324" s="12"/>
      <c r="L7324" s="12"/>
      <c r="M7324" s="11"/>
      <c r="N7324" s="11"/>
      <c r="O7324" s="11"/>
      <c r="P7324" s="11"/>
    </row>
    <row r="7325" spans="8:16" x14ac:dyDescent="0.25">
      <c r="H7325" s="12"/>
      <c r="I7325" s="12"/>
      <c r="J7325" s="12"/>
      <c r="K7325" s="12"/>
      <c r="L7325" s="12"/>
      <c r="M7325" s="11"/>
      <c r="N7325" s="11"/>
      <c r="O7325" s="11"/>
      <c r="P7325" s="11"/>
    </row>
    <row r="7326" spans="8:16" x14ac:dyDescent="0.25">
      <c r="H7326" s="12"/>
      <c r="I7326" s="12"/>
      <c r="J7326" s="12"/>
      <c r="K7326" s="12"/>
      <c r="L7326" s="12"/>
      <c r="M7326" s="11"/>
      <c r="N7326" s="11"/>
      <c r="O7326" s="11"/>
      <c r="P7326" s="11"/>
    </row>
    <row r="7327" spans="8:16" x14ac:dyDescent="0.25">
      <c r="H7327" s="12"/>
      <c r="I7327" s="12"/>
      <c r="J7327" s="12"/>
      <c r="K7327" s="12"/>
      <c r="L7327" s="12"/>
      <c r="M7327" s="11"/>
      <c r="N7327" s="11"/>
      <c r="O7327" s="11"/>
      <c r="P7327" s="11"/>
    </row>
    <row r="7328" spans="8:16" x14ac:dyDescent="0.25">
      <c r="H7328" s="12"/>
      <c r="I7328" s="12"/>
      <c r="J7328" s="12"/>
      <c r="K7328" s="12"/>
      <c r="L7328" s="12"/>
      <c r="M7328" s="11"/>
      <c r="N7328" s="11"/>
      <c r="O7328" s="11"/>
      <c r="P7328" s="11"/>
    </row>
    <row r="7329" spans="8:16" x14ac:dyDescent="0.25">
      <c r="H7329" s="12"/>
      <c r="I7329" s="12"/>
      <c r="J7329" s="12"/>
      <c r="K7329" s="12"/>
      <c r="L7329" s="12"/>
      <c r="M7329" s="11"/>
      <c r="N7329" s="11"/>
      <c r="O7329" s="11"/>
      <c r="P7329" s="11"/>
    </row>
    <row r="7330" spans="8:16" x14ac:dyDescent="0.25">
      <c r="H7330" s="12"/>
      <c r="I7330" s="12"/>
      <c r="J7330" s="12"/>
      <c r="K7330" s="12"/>
      <c r="L7330" s="12"/>
      <c r="M7330" s="11"/>
      <c r="N7330" s="11"/>
      <c r="O7330" s="11"/>
      <c r="P7330" s="11"/>
    </row>
    <row r="7331" spans="8:16" x14ac:dyDescent="0.25">
      <c r="H7331" s="12"/>
      <c r="I7331" s="12"/>
      <c r="J7331" s="12"/>
      <c r="K7331" s="12"/>
      <c r="L7331" s="12"/>
      <c r="M7331" s="11"/>
      <c r="N7331" s="11"/>
      <c r="O7331" s="11"/>
      <c r="P7331" s="11"/>
    </row>
    <row r="7332" spans="8:16" x14ac:dyDescent="0.25">
      <c r="H7332" s="12"/>
      <c r="I7332" s="12"/>
      <c r="J7332" s="12"/>
      <c r="K7332" s="12"/>
      <c r="L7332" s="12"/>
      <c r="M7332" s="11"/>
      <c r="N7332" s="11"/>
      <c r="O7332" s="11"/>
      <c r="P7332" s="11"/>
    </row>
    <row r="7333" spans="8:16" x14ac:dyDescent="0.25">
      <c r="H7333" s="12"/>
      <c r="I7333" s="12"/>
      <c r="J7333" s="12"/>
      <c r="K7333" s="12"/>
      <c r="L7333" s="12"/>
      <c r="M7333" s="11"/>
      <c r="N7333" s="11"/>
      <c r="O7333" s="11"/>
      <c r="P7333" s="11"/>
    </row>
    <row r="7334" spans="8:16" x14ac:dyDescent="0.25">
      <c r="H7334" s="12"/>
      <c r="I7334" s="12"/>
      <c r="J7334" s="12"/>
      <c r="K7334" s="12"/>
      <c r="L7334" s="12"/>
      <c r="M7334" s="11"/>
      <c r="N7334" s="11"/>
      <c r="O7334" s="11"/>
      <c r="P7334" s="11"/>
    </row>
    <row r="7335" spans="8:16" x14ac:dyDescent="0.25">
      <c r="H7335" s="12"/>
      <c r="I7335" s="12"/>
      <c r="J7335" s="12"/>
      <c r="K7335" s="12"/>
      <c r="L7335" s="12"/>
      <c r="M7335" s="11"/>
      <c r="N7335" s="11"/>
      <c r="O7335" s="11"/>
      <c r="P7335" s="11"/>
    </row>
    <row r="7336" spans="8:16" x14ac:dyDescent="0.25">
      <c r="H7336" s="12"/>
      <c r="I7336" s="12"/>
      <c r="J7336" s="12"/>
      <c r="K7336" s="12"/>
      <c r="L7336" s="12"/>
      <c r="M7336" s="11"/>
      <c r="N7336" s="11"/>
      <c r="O7336" s="11"/>
      <c r="P7336" s="11"/>
    </row>
    <row r="7337" spans="8:16" x14ac:dyDescent="0.25">
      <c r="H7337" s="12"/>
      <c r="I7337" s="12"/>
      <c r="J7337" s="12"/>
      <c r="K7337" s="12"/>
      <c r="L7337" s="12"/>
      <c r="M7337" s="11"/>
      <c r="N7337" s="11"/>
      <c r="O7337" s="11"/>
      <c r="P7337" s="11"/>
    </row>
    <row r="7338" spans="8:16" x14ac:dyDescent="0.25">
      <c r="H7338" s="12"/>
      <c r="I7338" s="12"/>
      <c r="J7338" s="12"/>
      <c r="K7338" s="12"/>
      <c r="L7338" s="12"/>
      <c r="M7338" s="11"/>
      <c r="N7338" s="11"/>
      <c r="O7338" s="11"/>
      <c r="P7338" s="11"/>
    </row>
    <row r="7339" spans="8:16" x14ac:dyDescent="0.25">
      <c r="H7339" s="12"/>
      <c r="I7339" s="12"/>
      <c r="J7339" s="12"/>
      <c r="K7339" s="12"/>
      <c r="L7339" s="12"/>
      <c r="M7339" s="11"/>
      <c r="N7339" s="11"/>
      <c r="O7339" s="11"/>
      <c r="P7339" s="11"/>
    </row>
    <row r="7340" spans="8:16" x14ac:dyDescent="0.25">
      <c r="H7340" s="12"/>
      <c r="I7340" s="12"/>
      <c r="J7340" s="12"/>
      <c r="K7340" s="12"/>
      <c r="L7340" s="12"/>
      <c r="M7340" s="11"/>
      <c r="N7340" s="11"/>
      <c r="O7340" s="11"/>
      <c r="P7340" s="11"/>
    </row>
    <row r="7341" spans="8:16" x14ac:dyDescent="0.25">
      <c r="H7341" s="12"/>
      <c r="I7341" s="12"/>
      <c r="J7341" s="12"/>
      <c r="K7341" s="12"/>
      <c r="L7341" s="12"/>
      <c r="M7341" s="11"/>
      <c r="N7341" s="11"/>
      <c r="O7341" s="11"/>
      <c r="P7341" s="11"/>
    </row>
    <row r="7342" spans="8:16" x14ac:dyDescent="0.25">
      <c r="H7342" s="12"/>
      <c r="I7342" s="12"/>
      <c r="J7342" s="12"/>
      <c r="K7342" s="12"/>
      <c r="L7342" s="12"/>
      <c r="M7342" s="11"/>
      <c r="N7342" s="11"/>
      <c r="O7342" s="11"/>
      <c r="P7342" s="11"/>
    </row>
    <row r="7343" spans="8:16" x14ac:dyDescent="0.25">
      <c r="H7343" s="12"/>
      <c r="I7343" s="12"/>
      <c r="J7343" s="12"/>
      <c r="K7343" s="12"/>
      <c r="L7343" s="12"/>
      <c r="M7343" s="11"/>
      <c r="N7343" s="11"/>
      <c r="O7343" s="11"/>
      <c r="P7343" s="11"/>
    </row>
    <row r="7344" spans="8:16" x14ac:dyDescent="0.25">
      <c r="H7344" s="12"/>
      <c r="I7344" s="12"/>
      <c r="J7344" s="12"/>
      <c r="K7344" s="12"/>
      <c r="L7344" s="12"/>
      <c r="M7344" s="11"/>
      <c r="N7344" s="11"/>
      <c r="O7344" s="11"/>
      <c r="P7344" s="11"/>
    </row>
    <row r="7345" spans="8:16" x14ac:dyDescent="0.25">
      <c r="H7345" s="12"/>
      <c r="I7345" s="12"/>
      <c r="J7345" s="12"/>
      <c r="K7345" s="12"/>
      <c r="L7345" s="12"/>
      <c r="M7345" s="11"/>
      <c r="N7345" s="11"/>
      <c r="O7345" s="11"/>
      <c r="P7345" s="11"/>
    </row>
    <row r="7346" spans="8:16" x14ac:dyDescent="0.25">
      <c r="H7346" s="12"/>
      <c r="I7346" s="12"/>
      <c r="J7346" s="12"/>
      <c r="K7346" s="12"/>
      <c r="L7346" s="12"/>
      <c r="M7346" s="11"/>
      <c r="N7346" s="11"/>
      <c r="O7346" s="11"/>
      <c r="P7346" s="11"/>
    </row>
    <row r="7347" spans="8:16" x14ac:dyDescent="0.25">
      <c r="H7347" s="12"/>
      <c r="I7347" s="12"/>
      <c r="J7347" s="12"/>
      <c r="K7347" s="12"/>
      <c r="L7347" s="12"/>
      <c r="M7347" s="11"/>
      <c r="N7347" s="11"/>
      <c r="O7347" s="11"/>
      <c r="P7347" s="11"/>
    </row>
    <row r="7348" spans="8:16" x14ac:dyDescent="0.25">
      <c r="H7348" s="12"/>
      <c r="I7348" s="12"/>
      <c r="J7348" s="12"/>
      <c r="K7348" s="12"/>
      <c r="L7348" s="12"/>
      <c r="M7348" s="11"/>
      <c r="N7348" s="11"/>
      <c r="O7348" s="11"/>
      <c r="P7348" s="11"/>
    </row>
    <row r="7349" spans="8:16" x14ac:dyDescent="0.25">
      <c r="H7349" s="12"/>
      <c r="I7349" s="12"/>
      <c r="J7349" s="12"/>
      <c r="K7349" s="12"/>
      <c r="L7349" s="12"/>
      <c r="M7349" s="11"/>
      <c r="N7349" s="11"/>
      <c r="O7349" s="11"/>
      <c r="P7349" s="11"/>
    </row>
    <row r="7350" spans="8:16" x14ac:dyDescent="0.25">
      <c r="H7350" s="12"/>
      <c r="I7350" s="12"/>
      <c r="J7350" s="12"/>
      <c r="K7350" s="12"/>
      <c r="L7350" s="12"/>
      <c r="M7350" s="11"/>
      <c r="N7350" s="11"/>
      <c r="O7350" s="11"/>
      <c r="P7350" s="11"/>
    </row>
    <row r="7351" spans="8:16" x14ac:dyDescent="0.25">
      <c r="H7351" s="12"/>
      <c r="I7351" s="12"/>
      <c r="J7351" s="12"/>
      <c r="K7351" s="12"/>
      <c r="L7351" s="12"/>
      <c r="M7351" s="11"/>
      <c r="N7351" s="11"/>
      <c r="O7351" s="11"/>
      <c r="P7351" s="11"/>
    </row>
    <row r="7352" spans="8:16" x14ac:dyDescent="0.25">
      <c r="H7352" s="12"/>
      <c r="I7352" s="12"/>
      <c r="J7352" s="12"/>
      <c r="K7352" s="12"/>
      <c r="L7352" s="12"/>
      <c r="M7352" s="11"/>
      <c r="N7352" s="11"/>
      <c r="O7352" s="11"/>
      <c r="P7352" s="11"/>
    </row>
    <row r="7353" spans="8:16" x14ac:dyDescent="0.25">
      <c r="H7353" s="12"/>
      <c r="I7353" s="12"/>
      <c r="J7353" s="12"/>
      <c r="K7353" s="12"/>
      <c r="L7353" s="12"/>
      <c r="M7353" s="11"/>
      <c r="N7353" s="11"/>
      <c r="O7353" s="11"/>
      <c r="P7353" s="11"/>
    </row>
    <row r="7354" spans="8:16" x14ac:dyDescent="0.25">
      <c r="H7354" s="12"/>
      <c r="I7354" s="12"/>
      <c r="J7354" s="12"/>
      <c r="K7354" s="12"/>
      <c r="L7354" s="12"/>
      <c r="M7354" s="11"/>
      <c r="N7354" s="11"/>
      <c r="O7354" s="11"/>
      <c r="P7354" s="11"/>
    </row>
    <row r="7355" spans="8:16" x14ac:dyDescent="0.25">
      <c r="H7355" s="12"/>
      <c r="I7355" s="12"/>
      <c r="J7355" s="12"/>
      <c r="K7355" s="12"/>
      <c r="L7355" s="12"/>
      <c r="M7355" s="11"/>
      <c r="N7355" s="11"/>
      <c r="O7355" s="11"/>
      <c r="P7355" s="11"/>
    </row>
    <row r="7356" spans="8:16" x14ac:dyDescent="0.25">
      <c r="H7356" s="12"/>
      <c r="I7356" s="12"/>
      <c r="J7356" s="12"/>
      <c r="K7356" s="12"/>
      <c r="L7356" s="12"/>
      <c r="M7356" s="11"/>
      <c r="N7356" s="11"/>
      <c r="O7356" s="11"/>
      <c r="P7356" s="11"/>
    </row>
    <row r="7357" spans="8:16" x14ac:dyDescent="0.25">
      <c r="H7357" s="12"/>
      <c r="I7357" s="12"/>
      <c r="J7357" s="12"/>
      <c r="K7357" s="12"/>
      <c r="L7357" s="12"/>
      <c r="M7357" s="11"/>
      <c r="N7357" s="11"/>
      <c r="O7357" s="11"/>
      <c r="P7357" s="11"/>
    </row>
    <row r="7358" spans="8:16" x14ac:dyDescent="0.25">
      <c r="H7358" s="12"/>
      <c r="I7358" s="12"/>
      <c r="J7358" s="12"/>
      <c r="K7358" s="12"/>
      <c r="L7358" s="12"/>
      <c r="M7358" s="11"/>
      <c r="N7358" s="11"/>
      <c r="O7358" s="11"/>
      <c r="P7358" s="11"/>
    </row>
    <row r="7359" spans="8:16" x14ac:dyDescent="0.25">
      <c r="H7359" s="12"/>
      <c r="I7359" s="12"/>
      <c r="J7359" s="12"/>
      <c r="K7359" s="12"/>
      <c r="L7359" s="12"/>
      <c r="M7359" s="11"/>
      <c r="N7359" s="11"/>
      <c r="O7359" s="11"/>
      <c r="P7359" s="11"/>
    </row>
    <row r="7360" spans="8:16" x14ac:dyDescent="0.25">
      <c r="H7360" s="12"/>
      <c r="I7360" s="12"/>
      <c r="J7360" s="12"/>
      <c r="K7360" s="12"/>
      <c r="L7360" s="12"/>
      <c r="M7360" s="11"/>
      <c r="N7360" s="11"/>
      <c r="O7360" s="11"/>
      <c r="P7360" s="11"/>
    </row>
    <row r="7361" spans="8:16" x14ac:dyDescent="0.25">
      <c r="H7361" s="12"/>
      <c r="I7361" s="12"/>
      <c r="J7361" s="12"/>
      <c r="K7361" s="12"/>
      <c r="L7361" s="12"/>
      <c r="M7361" s="11"/>
      <c r="N7361" s="11"/>
      <c r="O7361" s="11"/>
      <c r="P7361" s="11"/>
    </row>
    <row r="7362" spans="8:16" x14ac:dyDescent="0.25">
      <c r="H7362" s="12"/>
      <c r="I7362" s="12"/>
      <c r="J7362" s="12"/>
      <c r="K7362" s="12"/>
      <c r="L7362" s="12"/>
      <c r="M7362" s="11"/>
      <c r="N7362" s="11"/>
      <c r="O7362" s="11"/>
      <c r="P7362" s="11"/>
    </row>
    <row r="7363" spans="8:16" x14ac:dyDescent="0.25">
      <c r="H7363" s="12"/>
      <c r="I7363" s="12"/>
      <c r="J7363" s="12"/>
      <c r="K7363" s="12"/>
      <c r="L7363" s="12"/>
      <c r="M7363" s="11"/>
      <c r="N7363" s="11"/>
      <c r="O7363" s="11"/>
      <c r="P7363" s="11"/>
    </row>
    <row r="7364" spans="8:16" x14ac:dyDescent="0.25">
      <c r="H7364" s="12"/>
      <c r="I7364" s="12"/>
      <c r="J7364" s="12"/>
      <c r="K7364" s="12"/>
      <c r="L7364" s="12"/>
      <c r="M7364" s="11"/>
      <c r="N7364" s="11"/>
      <c r="O7364" s="11"/>
      <c r="P7364" s="11"/>
    </row>
    <row r="7365" spans="8:16" x14ac:dyDescent="0.25">
      <c r="H7365" s="12"/>
      <c r="I7365" s="12"/>
      <c r="J7365" s="12"/>
      <c r="K7365" s="12"/>
      <c r="L7365" s="12"/>
      <c r="M7365" s="11"/>
      <c r="N7365" s="11"/>
      <c r="O7365" s="11"/>
      <c r="P7365" s="11"/>
    </row>
    <row r="7366" spans="8:16" x14ac:dyDescent="0.25">
      <c r="H7366" s="12"/>
      <c r="I7366" s="12"/>
      <c r="J7366" s="12"/>
      <c r="K7366" s="12"/>
      <c r="L7366" s="12"/>
      <c r="M7366" s="11"/>
      <c r="N7366" s="11"/>
      <c r="O7366" s="11"/>
      <c r="P7366" s="11"/>
    </row>
    <row r="7367" spans="8:16" x14ac:dyDescent="0.25">
      <c r="H7367" s="12"/>
      <c r="I7367" s="12"/>
      <c r="J7367" s="12"/>
      <c r="K7367" s="12"/>
      <c r="L7367" s="12"/>
      <c r="M7367" s="11"/>
      <c r="N7367" s="11"/>
      <c r="O7367" s="11"/>
      <c r="P7367" s="11"/>
    </row>
    <row r="7368" spans="8:16" x14ac:dyDescent="0.25">
      <c r="H7368" s="12"/>
      <c r="I7368" s="12"/>
      <c r="J7368" s="12"/>
      <c r="K7368" s="12"/>
      <c r="L7368" s="12"/>
      <c r="M7368" s="11"/>
      <c r="N7368" s="11"/>
      <c r="O7368" s="11"/>
      <c r="P7368" s="11"/>
    </row>
    <row r="7369" spans="8:16" x14ac:dyDescent="0.25">
      <c r="H7369" s="12"/>
      <c r="I7369" s="12"/>
      <c r="J7369" s="12"/>
      <c r="K7369" s="12"/>
      <c r="L7369" s="12"/>
      <c r="M7369" s="11"/>
      <c r="N7369" s="11"/>
      <c r="O7369" s="11"/>
      <c r="P7369" s="11"/>
    </row>
    <row r="7370" spans="8:16" x14ac:dyDescent="0.25">
      <c r="H7370" s="12"/>
      <c r="I7370" s="12"/>
      <c r="J7370" s="12"/>
      <c r="K7370" s="12"/>
      <c r="L7370" s="12"/>
      <c r="M7370" s="11"/>
      <c r="N7370" s="11"/>
      <c r="O7370" s="11"/>
      <c r="P7370" s="11"/>
    </row>
    <row r="7371" spans="8:16" x14ac:dyDescent="0.25">
      <c r="H7371" s="12"/>
      <c r="I7371" s="12"/>
      <c r="J7371" s="12"/>
      <c r="K7371" s="12"/>
      <c r="L7371" s="12"/>
      <c r="M7371" s="11"/>
      <c r="N7371" s="11"/>
      <c r="O7371" s="11"/>
      <c r="P7371" s="11"/>
    </row>
    <row r="7372" spans="8:16" x14ac:dyDescent="0.25">
      <c r="H7372" s="12"/>
      <c r="I7372" s="12"/>
      <c r="J7372" s="12"/>
      <c r="K7372" s="12"/>
      <c r="L7372" s="12"/>
      <c r="M7372" s="11"/>
      <c r="N7372" s="11"/>
      <c r="O7372" s="11"/>
      <c r="P7372" s="11"/>
    </row>
    <row r="7373" spans="8:16" x14ac:dyDescent="0.25">
      <c r="H7373" s="12"/>
      <c r="I7373" s="12"/>
      <c r="J7373" s="12"/>
      <c r="K7373" s="12"/>
      <c r="L7373" s="12"/>
      <c r="M7373" s="11"/>
      <c r="N7373" s="11"/>
      <c r="O7373" s="11"/>
      <c r="P7373" s="11"/>
    </row>
    <row r="7374" spans="8:16" x14ac:dyDescent="0.25">
      <c r="H7374" s="12"/>
      <c r="I7374" s="12"/>
      <c r="J7374" s="12"/>
      <c r="K7374" s="12"/>
      <c r="L7374" s="12"/>
      <c r="M7374" s="11"/>
      <c r="N7374" s="11"/>
      <c r="O7374" s="11"/>
      <c r="P7374" s="11"/>
    </row>
    <row r="7375" spans="8:16" x14ac:dyDescent="0.25">
      <c r="H7375" s="12"/>
      <c r="I7375" s="12"/>
      <c r="J7375" s="12"/>
      <c r="K7375" s="12"/>
      <c r="L7375" s="12"/>
      <c r="M7375" s="11"/>
      <c r="N7375" s="11"/>
      <c r="O7375" s="11"/>
      <c r="P7375" s="11"/>
    </row>
    <row r="7376" spans="8:16" x14ac:dyDescent="0.25">
      <c r="H7376" s="12"/>
      <c r="I7376" s="12"/>
      <c r="J7376" s="12"/>
      <c r="K7376" s="12"/>
      <c r="L7376" s="12"/>
      <c r="M7376" s="11"/>
      <c r="N7376" s="11"/>
      <c r="O7376" s="11"/>
      <c r="P7376" s="11"/>
    </row>
    <row r="7377" spans="8:16" x14ac:dyDescent="0.25">
      <c r="H7377" s="12"/>
      <c r="I7377" s="12"/>
      <c r="J7377" s="12"/>
      <c r="K7377" s="12"/>
      <c r="L7377" s="12"/>
      <c r="M7377" s="11"/>
      <c r="N7377" s="11"/>
      <c r="O7377" s="11"/>
      <c r="P7377" s="11"/>
    </row>
    <row r="7378" spans="8:16" x14ac:dyDescent="0.25">
      <c r="H7378" s="12"/>
      <c r="I7378" s="12"/>
      <c r="J7378" s="12"/>
      <c r="K7378" s="12"/>
      <c r="L7378" s="12"/>
      <c r="M7378" s="11"/>
      <c r="N7378" s="11"/>
      <c r="O7378" s="11"/>
      <c r="P7378" s="11"/>
    </row>
    <row r="7379" spans="8:16" x14ac:dyDescent="0.25">
      <c r="H7379" s="12"/>
      <c r="I7379" s="12"/>
      <c r="J7379" s="12"/>
      <c r="K7379" s="12"/>
      <c r="L7379" s="12"/>
      <c r="M7379" s="11"/>
      <c r="N7379" s="11"/>
      <c r="O7379" s="11"/>
      <c r="P7379" s="11"/>
    </row>
    <row r="7380" spans="8:16" x14ac:dyDescent="0.25">
      <c r="H7380" s="12"/>
      <c r="I7380" s="12"/>
      <c r="J7380" s="12"/>
      <c r="K7380" s="12"/>
      <c r="L7380" s="12"/>
      <c r="M7380" s="11"/>
      <c r="N7380" s="11"/>
      <c r="O7380" s="11"/>
      <c r="P7380" s="11"/>
    </row>
    <row r="7381" spans="8:16" x14ac:dyDescent="0.25">
      <c r="H7381" s="12"/>
      <c r="I7381" s="12"/>
      <c r="J7381" s="12"/>
      <c r="K7381" s="12"/>
      <c r="L7381" s="12"/>
      <c r="M7381" s="11"/>
      <c r="N7381" s="11"/>
      <c r="O7381" s="11"/>
      <c r="P7381" s="11"/>
    </row>
    <row r="7382" spans="8:16" x14ac:dyDescent="0.25">
      <c r="H7382" s="12"/>
      <c r="I7382" s="12"/>
      <c r="J7382" s="12"/>
      <c r="K7382" s="12"/>
      <c r="L7382" s="12"/>
      <c r="M7382" s="11"/>
      <c r="N7382" s="11"/>
      <c r="O7382" s="11"/>
      <c r="P7382" s="11"/>
    </row>
    <row r="7383" spans="8:16" x14ac:dyDescent="0.25">
      <c r="H7383" s="12"/>
      <c r="I7383" s="12"/>
      <c r="J7383" s="12"/>
      <c r="K7383" s="12"/>
      <c r="L7383" s="12"/>
      <c r="M7383" s="11"/>
      <c r="N7383" s="11"/>
      <c r="O7383" s="11"/>
      <c r="P7383" s="11"/>
    </row>
    <row r="7384" spans="8:16" x14ac:dyDescent="0.25">
      <c r="H7384" s="12"/>
      <c r="I7384" s="12"/>
      <c r="J7384" s="12"/>
      <c r="K7384" s="12"/>
      <c r="L7384" s="12"/>
      <c r="M7384" s="11"/>
      <c r="N7384" s="11"/>
      <c r="O7384" s="11"/>
      <c r="P7384" s="11"/>
    </row>
    <row r="7385" spans="8:16" x14ac:dyDescent="0.25">
      <c r="H7385" s="12"/>
      <c r="I7385" s="12"/>
      <c r="J7385" s="12"/>
      <c r="K7385" s="12"/>
      <c r="L7385" s="12"/>
      <c r="M7385" s="11"/>
      <c r="N7385" s="11"/>
      <c r="O7385" s="11"/>
      <c r="P7385" s="11"/>
    </row>
    <row r="7386" spans="8:16" x14ac:dyDescent="0.25">
      <c r="H7386" s="12"/>
      <c r="I7386" s="12"/>
      <c r="J7386" s="12"/>
      <c r="K7386" s="12"/>
      <c r="L7386" s="12"/>
      <c r="M7386" s="11"/>
      <c r="N7386" s="11"/>
      <c r="O7386" s="11"/>
      <c r="P7386" s="11"/>
    </row>
    <row r="7387" spans="8:16" x14ac:dyDescent="0.25">
      <c r="H7387" s="12"/>
      <c r="I7387" s="12"/>
      <c r="J7387" s="12"/>
      <c r="K7387" s="12"/>
      <c r="L7387" s="12"/>
      <c r="M7387" s="11"/>
      <c r="N7387" s="11"/>
      <c r="O7387" s="11"/>
      <c r="P7387" s="11"/>
    </row>
    <row r="7388" spans="8:16" x14ac:dyDescent="0.25">
      <c r="H7388" s="12"/>
      <c r="I7388" s="12"/>
      <c r="J7388" s="12"/>
      <c r="K7388" s="12"/>
      <c r="L7388" s="12"/>
      <c r="M7388" s="11"/>
      <c r="N7388" s="11"/>
      <c r="O7388" s="11"/>
      <c r="P7388" s="11"/>
    </row>
    <row r="7389" spans="8:16" x14ac:dyDescent="0.25">
      <c r="H7389" s="12"/>
      <c r="I7389" s="12"/>
      <c r="J7389" s="12"/>
      <c r="K7389" s="12"/>
      <c r="L7389" s="12"/>
      <c r="M7389" s="11"/>
      <c r="N7389" s="11"/>
      <c r="O7389" s="11"/>
      <c r="P7389" s="11"/>
    </row>
    <row r="7390" spans="8:16" x14ac:dyDescent="0.25">
      <c r="H7390" s="12"/>
      <c r="I7390" s="12"/>
      <c r="J7390" s="12"/>
      <c r="K7390" s="12"/>
      <c r="L7390" s="12"/>
      <c r="M7390" s="11"/>
      <c r="N7390" s="11"/>
      <c r="O7390" s="11"/>
      <c r="P7390" s="11"/>
    </row>
    <row r="7391" spans="8:16" x14ac:dyDescent="0.25">
      <c r="H7391" s="12"/>
      <c r="I7391" s="12"/>
      <c r="J7391" s="12"/>
      <c r="K7391" s="12"/>
      <c r="L7391" s="12"/>
      <c r="M7391" s="11"/>
      <c r="N7391" s="11"/>
      <c r="O7391" s="11"/>
      <c r="P7391" s="11"/>
    </row>
    <row r="7392" spans="8:16" x14ac:dyDescent="0.25">
      <c r="H7392" s="12"/>
      <c r="I7392" s="12"/>
      <c r="J7392" s="12"/>
      <c r="K7392" s="12"/>
      <c r="L7392" s="12"/>
      <c r="M7392" s="11"/>
      <c r="N7392" s="11"/>
      <c r="O7392" s="11"/>
      <c r="P7392" s="11"/>
    </row>
    <row r="7393" spans="8:16" x14ac:dyDescent="0.25">
      <c r="H7393" s="12"/>
      <c r="I7393" s="12"/>
      <c r="J7393" s="12"/>
      <c r="K7393" s="12"/>
      <c r="L7393" s="12"/>
      <c r="M7393" s="11"/>
      <c r="N7393" s="11"/>
      <c r="O7393" s="11"/>
      <c r="P7393" s="11"/>
    </row>
    <row r="7394" spans="8:16" x14ac:dyDescent="0.25">
      <c r="H7394" s="12"/>
      <c r="I7394" s="12"/>
      <c r="J7394" s="12"/>
      <c r="K7394" s="12"/>
      <c r="L7394" s="12"/>
      <c r="M7394" s="11"/>
      <c r="N7394" s="11"/>
      <c r="O7394" s="11"/>
      <c r="P7394" s="11"/>
    </row>
    <row r="7395" spans="8:16" x14ac:dyDescent="0.25">
      <c r="H7395" s="12"/>
      <c r="I7395" s="12"/>
      <c r="J7395" s="12"/>
      <c r="K7395" s="12"/>
      <c r="L7395" s="12"/>
      <c r="M7395" s="11"/>
      <c r="N7395" s="11"/>
      <c r="O7395" s="11"/>
      <c r="P7395" s="11"/>
    </row>
    <row r="7396" spans="8:16" x14ac:dyDescent="0.25">
      <c r="H7396" s="12"/>
      <c r="I7396" s="12"/>
      <c r="J7396" s="12"/>
      <c r="K7396" s="12"/>
      <c r="L7396" s="12"/>
      <c r="M7396" s="11"/>
      <c r="N7396" s="11"/>
      <c r="O7396" s="11"/>
      <c r="P7396" s="11"/>
    </row>
    <row r="7397" spans="8:16" x14ac:dyDescent="0.25">
      <c r="H7397" s="12"/>
      <c r="I7397" s="12"/>
      <c r="J7397" s="12"/>
      <c r="K7397" s="12"/>
      <c r="L7397" s="12"/>
      <c r="M7397" s="11"/>
      <c r="N7397" s="11"/>
      <c r="O7397" s="11"/>
      <c r="P7397" s="11"/>
    </row>
    <row r="7398" spans="8:16" x14ac:dyDescent="0.25">
      <c r="H7398" s="12"/>
      <c r="I7398" s="12"/>
      <c r="J7398" s="12"/>
      <c r="K7398" s="12"/>
      <c r="L7398" s="12"/>
      <c r="M7398" s="11"/>
      <c r="N7398" s="11"/>
      <c r="O7398" s="11"/>
      <c r="P7398" s="11"/>
    </row>
    <row r="7399" spans="8:16" x14ac:dyDescent="0.25">
      <c r="H7399" s="12"/>
      <c r="I7399" s="12"/>
      <c r="J7399" s="12"/>
      <c r="K7399" s="12"/>
      <c r="L7399" s="12"/>
      <c r="M7399" s="11"/>
      <c r="N7399" s="11"/>
      <c r="O7399" s="11"/>
      <c r="P7399" s="11"/>
    </row>
    <row r="7400" spans="8:16" x14ac:dyDescent="0.25">
      <c r="H7400" s="12"/>
      <c r="I7400" s="12"/>
      <c r="J7400" s="12"/>
      <c r="K7400" s="12"/>
      <c r="L7400" s="12"/>
      <c r="M7400" s="11"/>
      <c r="N7400" s="11"/>
      <c r="O7400" s="11"/>
      <c r="P7400" s="11"/>
    </row>
    <row r="7401" spans="8:16" x14ac:dyDescent="0.25">
      <c r="H7401" s="12"/>
      <c r="I7401" s="12"/>
      <c r="J7401" s="12"/>
      <c r="K7401" s="12"/>
      <c r="L7401" s="12"/>
      <c r="M7401" s="11"/>
      <c r="N7401" s="11"/>
      <c r="O7401" s="11"/>
      <c r="P7401" s="11"/>
    </row>
    <row r="7402" spans="8:16" x14ac:dyDescent="0.25">
      <c r="H7402" s="12"/>
      <c r="I7402" s="12"/>
      <c r="J7402" s="12"/>
      <c r="K7402" s="12"/>
      <c r="L7402" s="12"/>
      <c r="M7402" s="11"/>
      <c r="N7402" s="11"/>
      <c r="O7402" s="11"/>
      <c r="P7402" s="11"/>
    </row>
    <row r="7403" spans="8:16" x14ac:dyDescent="0.25">
      <c r="H7403" s="12"/>
      <c r="I7403" s="12"/>
      <c r="J7403" s="12"/>
      <c r="K7403" s="12"/>
      <c r="L7403" s="12"/>
      <c r="M7403" s="11"/>
      <c r="N7403" s="11"/>
      <c r="O7403" s="11"/>
      <c r="P7403" s="11"/>
    </row>
    <row r="7404" spans="8:16" x14ac:dyDescent="0.25">
      <c r="H7404" s="12"/>
      <c r="I7404" s="12"/>
      <c r="J7404" s="12"/>
      <c r="K7404" s="12"/>
      <c r="L7404" s="12"/>
      <c r="M7404" s="11"/>
      <c r="N7404" s="11"/>
      <c r="O7404" s="11"/>
      <c r="P7404" s="11"/>
    </row>
    <row r="7405" spans="8:16" x14ac:dyDescent="0.25">
      <c r="H7405" s="12"/>
      <c r="I7405" s="12"/>
      <c r="J7405" s="12"/>
      <c r="K7405" s="12"/>
      <c r="L7405" s="12"/>
      <c r="M7405" s="11"/>
      <c r="N7405" s="11"/>
      <c r="O7405" s="11"/>
      <c r="P7405" s="11"/>
    </row>
    <row r="7406" spans="8:16" x14ac:dyDescent="0.25">
      <c r="H7406" s="12"/>
      <c r="I7406" s="12"/>
      <c r="J7406" s="12"/>
      <c r="K7406" s="12"/>
      <c r="L7406" s="12"/>
      <c r="M7406" s="11"/>
      <c r="N7406" s="11"/>
      <c r="O7406" s="11"/>
      <c r="P7406" s="11"/>
    </row>
    <row r="7407" spans="8:16" x14ac:dyDescent="0.25">
      <c r="H7407" s="12"/>
      <c r="I7407" s="12"/>
      <c r="J7407" s="12"/>
      <c r="K7407" s="12"/>
      <c r="L7407" s="12"/>
      <c r="M7407" s="11"/>
      <c r="N7407" s="11"/>
      <c r="O7407" s="11"/>
      <c r="P7407" s="11"/>
    </row>
    <row r="7408" spans="8:16" x14ac:dyDescent="0.25">
      <c r="H7408" s="12"/>
      <c r="I7408" s="12"/>
      <c r="J7408" s="12"/>
      <c r="K7408" s="12"/>
      <c r="L7408" s="12"/>
      <c r="M7408" s="11"/>
      <c r="N7408" s="11"/>
      <c r="O7408" s="11"/>
      <c r="P7408" s="11"/>
    </row>
    <row r="7409" spans="8:16" x14ac:dyDescent="0.25">
      <c r="H7409" s="12"/>
      <c r="I7409" s="12"/>
      <c r="J7409" s="12"/>
      <c r="K7409" s="12"/>
      <c r="L7409" s="12"/>
      <c r="M7409" s="11"/>
      <c r="N7409" s="11"/>
      <c r="O7409" s="11"/>
      <c r="P7409" s="11"/>
    </row>
    <row r="7410" spans="8:16" x14ac:dyDescent="0.25">
      <c r="H7410" s="12"/>
      <c r="I7410" s="12"/>
      <c r="J7410" s="12"/>
      <c r="K7410" s="12"/>
      <c r="L7410" s="12"/>
      <c r="M7410" s="11"/>
      <c r="N7410" s="11"/>
      <c r="O7410" s="11"/>
      <c r="P7410" s="11"/>
    </row>
    <row r="7411" spans="8:16" x14ac:dyDescent="0.25">
      <c r="H7411" s="12"/>
      <c r="I7411" s="12"/>
      <c r="J7411" s="12"/>
      <c r="K7411" s="12"/>
      <c r="L7411" s="12"/>
      <c r="M7411" s="11"/>
      <c r="N7411" s="11"/>
      <c r="O7411" s="11"/>
      <c r="P7411" s="11"/>
    </row>
    <row r="7412" spans="8:16" x14ac:dyDescent="0.25">
      <c r="H7412" s="12"/>
      <c r="I7412" s="12"/>
      <c r="J7412" s="12"/>
      <c r="K7412" s="12"/>
      <c r="L7412" s="12"/>
      <c r="M7412" s="11"/>
      <c r="N7412" s="11"/>
      <c r="O7412" s="11"/>
      <c r="P7412" s="11"/>
    </row>
    <row r="7413" spans="8:16" x14ac:dyDescent="0.25">
      <c r="H7413" s="12"/>
      <c r="I7413" s="12"/>
      <c r="J7413" s="12"/>
      <c r="K7413" s="12"/>
      <c r="L7413" s="12"/>
      <c r="M7413" s="11"/>
      <c r="N7413" s="11"/>
      <c r="O7413" s="11"/>
      <c r="P7413" s="11"/>
    </row>
    <row r="7414" spans="8:16" x14ac:dyDescent="0.25">
      <c r="H7414" s="12"/>
      <c r="I7414" s="12"/>
      <c r="J7414" s="12"/>
      <c r="K7414" s="12"/>
      <c r="L7414" s="12"/>
      <c r="M7414" s="11"/>
      <c r="N7414" s="11"/>
      <c r="O7414" s="11"/>
      <c r="P7414" s="11"/>
    </row>
    <row r="7415" spans="8:16" x14ac:dyDescent="0.25">
      <c r="H7415" s="12"/>
      <c r="I7415" s="12"/>
      <c r="J7415" s="12"/>
      <c r="K7415" s="12"/>
      <c r="L7415" s="12"/>
      <c r="M7415" s="11"/>
      <c r="N7415" s="11"/>
      <c r="O7415" s="11"/>
      <c r="P7415" s="11"/>
    </row>
    <row r="7416" spans="8:16" x14ac:dyDescent="0.25">
      <c r="H7416" s="12"/>
      <c r="I7416" s="12"/>
      <c r="J7416" s="12"/>
      <c r="K7416" s="12"/>
      <c r="L7416" s="12"/>
      <c r="M7416" s="11"/>
      <c r="N7416" s="11"/>
      <c r="O7416" s="11"/>
      <c r="P7416" s="11"/>
    </row>
    <row r="7417" spans="8:16" x14ac:dyDescent="0.25">
      <c r="H7417" s="12"/>
      <c r="I7417" s="12"/>
      <c r="J7417" s="12"/>
      <c r="K7417" s="12"/>
      <c r="L7417" s="12"/>
      <c r="M7417" s="11"/>
      <c r="N7417" s="11"/>
      <c r="O7417" s="11"/>
      <c r="P7417" s="11"/>
    </row>
    <row r="7418" spans="8:16" x14ac:dyDescent="0.25">
      <c r="H7418" s="12"/>
      <c r="I7418" s="12"/>
      <c r="J7418" s="12"/>
      <c r="K7418" s="12"/>
      <c r="L7418" s="12"/>
      <c r="M7418" s="11"/>
      <c r="N7418" s="11"/>
      <c r="O7418" s="11"/>
      <c r="P7418" s="11"/>
    </row>
    <row r="7419" spans="8:16" x14ac:dyDescent="0.25">
      <c r="H7419" s="12"/>
      <c r="I7419" s="12"/>
      <c r="J7419" s="12"/>
      <c r="K7419" s="12"/>
      <c r="L7419" s="12"/>
      <c r="M7419" s="11"/>
      <c r="N7419" s="11"/>
      <c r="O7419" s="11"/>
      <c r="P7419" s="11"/>
    </row>
    <row r="7420" spans="8:16" x14ac:dyDescent="0.25">
      <c r="H7420" s="12"/>
      <c r="I7420" s="12"/>
      <c r="J7420" s="12"/>
      <c r="K7420" s="12"/>
      <c r="L7420" s="12"/>
      <c r="M7420" s="11"/>
      <c r="N7420" s="11"/>
      <c r="O7420" s="11"/>
      <c r="P7420" s="11"/>
    </row>
    <row r="7421" spans="8:16" x14ac:dyDescent="0.25">
      <c r="H7421" s="12"/>
      <c r="I7421" s="12"/>
      <c r="J7421" s="12"/>
      <c r="K7421" s="12"/>
      <c r="L7421" s="12"/>
      <c r="M7421" s="11"/>
      <c r="N7421" s="11"/>
      <c r="O7421" s="11"/>
      <c r="P7421" s="11"/>
    </row>
    <row r="7422" spans="8:16" x14ac:dyDescent="0.25">
      <c r="H7422" s="12"/>
      <c r="I7422" s="12"/>
      <c r="J7422" s="12"/>
      <c r="K7422" s="12"/>
      <c r="L7422" s="12"/>
      <c r="M7422" s="11"/>
      <c r="N7422" s="11"/>
      <c r="O7422" s="11"/>
      <c r="P7422" s="11"/>
    </row>
    <row r="7423" spans="8:16" x14ac:dyDescent="0.25">
      <c r="H7423" s="12"/>
      <c r="I7423" s="12"/>
      <c r="J7423" s="12"/>
      <c r="K7423" s="12"/>
      <c r="L7423" s="12"/>
      <c r="M7423" s="11"/>
      <c r="N7423" s="11"/>
      <c r="O7423" s="11"/>
      <c r="P7423" s="11"/>
    </row>
    <row r="7424" spans="8:16" x14ac:dyDescent="0.25">
      <c r="H7424" s="12"/>
      <c r="I7424" s="12"/>
      <c r="J7424" s="12"/>
      <c r="K7424" s="12"/>
      <c r="L7424" s="12"/>
      <c r="M7424" s="11"/>
      <c r="N7424" s="11"/>
      <c r="O7424" s="11"/>
      <c r="P7424" s="11"/>
    </row>
    <row r="7425" spans="8:16" x14ac:dyDescent="0.25">
      <c r="H7425" s="12"/>
      <c r="I7425" s="12"/>
      <c r="J7425" s="12"/>
      <c r="K7425" s="12"/>
      <c r="L7425" s="12"/>
      <c r="M7425" s="11"/>
      <c r="N7425" s="11"/>
      <c r="O7425" s="11"/>
      <c r="P7425" s="11"/>
    </row>
    <row r="7426" spans="8:16" x14ac:dyDescent="0.25">
      <c r="H7426" s="12"/>
      <c r="I7426" s="12"/>
      <c r="J7426" s="12"/>
      <c r="K7426" s="12"/>
      <c r="L7426" s="12"/>
      <c r="M7426" s="11"/>
      <c r="N7426" s="11"/>
      <c r="O7426" s="11"/>
      <c r="P7426" s="11"/>
    </row>
    <row r="7427" spans="8:16" x14ac:dyDescent="0.25">
      <c r="H7427" s="12"/>
      <c r="I7427" s="12"/>
      <c r="J7427" s="12"/>
      <c r="K7427" s="12"/>
      <c r="L7427" s="12"/>
      <c r="M7427" s="11"/>
      <c r="N7427" s="11"/>
      <c r="O7427" s="11"/>
      <c r="P7427" s="11"/>
    </row>
    <row r="7428" spans="8:16" x14ac:dyDescent="0.25">
      <c r="H7428" s="12"/>
      <c r="I7428" s="12"/>
      <c r="J7428" s="12"/>
      <c r="K7428" s="12"/>
      <c r="L7428" s="12"/>
      <c r="M7428" s="11"/>
      <c r="N7428" s="11"/>
      <c r="O7428" s="11"/>
      <c r="P7428" s="11"/>
    </row>
    <row r="7429" spans="8:16" x14ac:dyDescent="0.25">
      <c r="H7429" s="12"/>
      <c r="I7429" s="12"/>
      <c r="J7429" s="12"/>
      <c r="K7429" s="12"/>
      <c r="L7429" s="12"/>
      <c r="M7429" s="11"/>
      <c r="N7429" s="11"/>
      <c r="O7429" s="11"/>
      <c r="P7429" s="11"/>
    </row>
    <row r="7430" spans="8:16" x14ac:dyDescent="0.25">
      <c r="H7430" s="12"/>
      <c r="I7430" s="12"/>
      <c r="J7430" s="12"/>
      <c r="K7430" s="12"/>
      <c r="L7430" s="12"/>
      <c r="M7430" s="11"/>
      <c r="N7430" s="11"/>
      <c r="O7430" s="11"/>
      <c r="P7430" s="11"/>
    </row>
    <row r="7431" spans="8:16" x14ac:dyDescent="0.25">
      <c r="H7431" s="12"/>
      <c r="I7431" s="12"/>
      <c r="J7431" s="12"/>
      <c r="K7431" s="12"/>
      <c r="L7431" s="12"/>
      <c r="M7431" s="11"/>
      <c r="N7431" s="11"/>
      <c r="O7431" s="11"/>
      <c r="P7431" s="11"/>
    </row>
    <row r="7432" spans="8:16" x14ac:dyDescent="0.25">
      <c r="H7432" s="12"/>
      <c r="I7432" s="12"/>
      <c r="J7432" s="12"/>
      <c r="K7432" s="12"/>
      <c r="L7432" s="12"/>
      <c r="M7432" s="11"/>
      <c r="N7432" s="11"/>
      <c r="O7432" s="11"/>
      <c r="P7432" s="11"/>
    </row>
    <row r="7433" spans="8:16" x14ac:dyDescent="0.25">
      <c r="H7433" s="12"/>
      <c r="I7433" s="12"/>
      <c r="J7433" s="12"/>
      <c r="K7433" s="12"/>
      <c r="L7433" s="12"/>
      <c r="M7433" s="11"/>
      <c r="N7433" s="11"/>
      <c r="O7433" s="11"/>
      <c r="P7433" s="11"/>
    </row>
    <row r="7434" spans="8:16" x14ac:dyDescent="0.25">
      <c r="H7434" s="12"/>
      <c r="I7434" s="12"/>
      <c r="J7434" s="12"/>
      <c r="K7434" s="12"/>
      <c r="L7434" s="12"/>
      <c r="M7434" s="11"/>
      <c r="N7434" s="11"/>
      <c r="O7434" s="11"/>
      <c r="P7434" s="11"/>
    </row>
    <row r="7435" spans="8:16" x14ac:dyDescent="0.25">
      <c r="H7435" s="12"/>
      <c r="I7435" s="12"/>
      <c r="J7435" s="12"/>
      <c r="K7435" s="12"/>
      <c r="L7435" s="12"/>
      <c r="M7435" s="11"/>
      <c r="N7435" s="11"/>
      <c r="O7435" s="11"/>
      <c r="P7435" s="11"/>
    </row>
    <row r="7436" spans="8:16" x14ac:dyDescent="0.25">
      <c r="H7436" s="12"/>
      <c r="I7436" s="12"/>
      <c r="J7436" s="12"/>
      <c r="K7436" s="12"/>
      <c r="L7436" s="12"/>
      <c r="M7436" s="11"/>
      <c r="N7436" s="11"/>
      <c r="O7436" s="11"/>
      <c r="P7436" s="11"/>
    </row>
    <row r="7437" spans="8:16" x14ac:dyDescent="0.25">
      <c r="H7437" s="12"/>
      <c r="I7437" s="12"/>
      <c r="J7437" s="12"/>
      <c r="K7437" s="12"/>
      <c r="L7437" s="12"/>
      <c r="M7437" s="11"/>
      <c r="N7437" s="11"/>
      <c r="O7437" s="11"/>
      <c r="P7437" s="11"/>
    </row>
    <row r="7438" spans="8:16" x14ac:dyDescent="0.25">
      <c r="H7438" s="12"/>
      <c r="I7438" s="12"/>
      <c r="J7438" s="12"/>
      <c r="K7438" s="12"/>
      <c r="L7438" s="12"/>
      <c r="M7438" s="11"/>
      <c r="N7438" s="11"/>
      <c r="O7438" s="11"/>
      <c r="P7438" s="11"/>
    </row>
    <row r="7439" spans="8:16" x14ac:dyDescent="0.25">
      <c r="H7439" s="12"/>
      <c r="I7439" s="12"/>
      <c r="J7439" s="12"/>
      <c r="K7439" s="12"/>
      <c r="L7439" s="12"/>
      <c r="M7439" s="11"/>
      <c r="N7439" s="11"/>
      <c r="O7439" s="11"/>
      <c r="P7439" s="11"/>
    </row>
    <row r="7440" spans="8:16" x14ac:dyDescent="0.25">
      <c r="H7440" s="12"/>
      <c r="I7440" s="12"/>
      <c r="J7440" s="12"/>
      <c r="K7440" s="12"/>
      <c r="L7440" s="12"/>
      <c r="M7440" s="11"/>
      <c r="N7440" s="11"/>
      <c r="O7440" s="11"/>
      <c r="P7440" s="11"/>
    </row>
    <row r="7441" spans="8:16" x14ac:dyDescent="0.25">
      <c r="H7441" s="12"/>
      <c r="I7441" s="12"/>
      <c r="J7441" s="12"/>
      <c r="K7441" s="12"/>
      <c r="L7441" s="12"/>
      <c r="M7441" s="11"/>
      <c r="N7441" s="11"/>
      <c r="O7441" s="11"/>
      <c r="P7441" s="11"/>
    </row>
    <row r="7442" spans="8:16" x14ac:dyDescent="0.25">
      <c r="H7442" s="12"/>
      <c r="I7442" s="12"/>
      <c r="J7442" s="12"/>
      <c r="K7442" s="12"/>
      <c r="L7442" s="12"/>
      <c r="M7442" s="11"/>
      <c r="N7442" s="11"/>
      <c r="O7442" s="11"/>
      <c r="P7442" s="11"/>
    </row>
    <row r="7443" spans="8:16" x14ac:dyDescent="0.25">
      <c r="H7443" s="12"/>
      <c r="I7443" s="12"/>
      <c r="J7443" s="12"/>
      <c r="K7443" s="12"/>
      <c r="L7443" s="12"/>
      <c r="M7443" s="11"/>
      <c r="N7443" s="11"/>
      <c r="O7443" s="11"/>
      <c r="P7443" s="11"/>
    </row>
    <row r="7444" spans="8:16" x14ac:dyDescent="0.25">
      <c r="H7444" s="12"/>
      <c r="I7444" s="12"/>
      <c r="J7444" s="12"/>
      <c r="K7444" s="12"/>
      <c r="L7444" s="12"/>
      <c r="M7444" s="11"/>
      <c r="N7444" s="11"/>
      <c r="O7444" s="11"/>
      <c r="P7444" s="11"/>
    </row>
    <row r="7445" spans="8:16" x14ac:dyDescent="0.25">
      <c r="H7445" s="12"/>
      <c r="I7445" s="12"/>
      <c r="J7445" s="12"/>
      <c r="K7445" s="12"/>
      <c r="L7445" s="12"/>
      <c r="M7445" s="11"/>
      <c r="N7445" s="11"/>
      <c r="O7445" s="11"/>
      <c r="P7445" s="11"/>
    </row>
    <row r="7446" spans="8:16" x14ac:dyDescent="0.25">
      <c r="H7446" s="12"/>
      <c r="I7446" s="12"/>
      <c r="J7446" s="12"/>
      <c r="K7446" s="12"/>
      <c r="L7446" s="12"/>
      <c r="M7446" s="11"/>
      <c r="N7446" s="11"/>
      <c r="O7446" s="11"/>
      <c r="P7446" s="11"/>
    </row>
    <row r="7447" spans="8:16" x14ac:dyDescent="0.25">
      <c r="H7447" s="12"/>
      <c r="I7447" s="12"/>
      <c r="J7447" s="12"/>
      <c r="K7447" s="12"/>
      <c r="L7447" s="12"/>
      <c r="M7447" s="11"/>
      <c r="N7447" s="11"/>
      <c r="O7447" s="11"/>
      <c r="P7447" s="11"/>
    </row>
    <row r="7448" spans="8:16" x14ac:dyDescent="0.25">
      <c r="H7448" s="12"/>
      <c r="I7448" s="12"/>
      <c r="J7448" s="12"/>
      <c r="K7448" s="12"/>
      <c r="L7448" s="12"/>
      <c r="M7448" s="11"/>
      <c r="N7448" s="11"/>
      <c r="O7448" s="11"/>
      <c r="P7448" s="11"/>
    </row>
    <row r="7449" spans="8:16" x14ac:dyDescent="0.25">
      <c r="H7449" s="12"/>
      <c r="I7449" s="12"/>
      <c r="J7449" s="12"/>
      <c r="K7449" s="12"/>
      <c r="L7449" s="12"/>
      <c r="M7449" s="11"/>
      <c r="N7449" s="11"/>
      <c r="O7449" s="11"/>
      <c r="P7449" s="11"/>
    </row>
    <row r="7450" spans="8:16" x14ac:dyDescent="0.25">
      <c r="H7450" s="12"/>
      <c r="I7450" s="12"/>
      <c r="J7450" s="12"/>
      <c r="K7450" s="12"/>
      <c r="L7450" s="12"/>
      <c r="M7450" s="11"/>
      <c r="N7450" s="11"/>
      <c r="O7450" s="11"/>
      <c r="P7450" s="11"/>
    </row>
    <row r="7451" spans="8:16" x14ac:dyDescent="0.25">
      <c r="H7451" s="12"/>
      <c r="I7451" s="12"/>
      <c r="J7451" s="12"/>
      <c r="K7451" s="12"/>
      <c r="L7451" s="12"/>
      <c r="M7451" s="11"/>
      <c r="N7451" s="11"/>
      <c r="O7451" s="11"/>
      <c r="P7451" s="11"/>
    </row>
    <row r="7452" spans="8:16" x14ac:dyDescent="0.25">
      <c r="H7452" s="12"/>
      <c r="I7452" s="12"/>
      <c r="J7452" s="12"/>
      <c r="K7452" s="12"/>
      <c r="L7452" s="12"/>
      <c r="M7452" s="11"/>
      <c r="N7452" s="11"/>
      <c r="O7452" s="11"/>
      <c r="P7452" s="11"/>
    </row>
    <row r="7453" spans="8:16" x14ac:dyDescent="0.25">
      <c r="H7453" s="12"/>
      <c r="I7453" s="12"/>
      <c r="J7453" s="12"/>
      <c r="K7453" s="12"/>
      <c r="L7453" s="12"/>
      <c r="M7453" s="11"/>
      <c r="N7453" s="11"/>
      <c r="O7453" s="11"/>
      <c r="P7453" s="11"/>
    </row>
    <row r="7454" spans="8:16" x14ac:dyDescent="0.25">
      <c r="H7454" s="12"/>
      <c r="I7454" s="12"/>
      <c r="J7454" s="12"/>
      <c r="K7454" s="12"/>
      <c r="L7454" s="12"/>
      <c r="M7454" s="11"/>
      <c r="N7454" s="11"/>
      <c r="O7454" s="11"/>
      <c r="P7454" s="11"/>
    </row>
    <row r="7455" spans="8:16" x14ac:dyDescent="0.25">
      <c r="H7455" s="12"/>
      <c r="I7455" s="12"/>
      <c r="J7455" s="12"/>
      <c r="K7455" s="12"/>
      <c r="L7455" s="12"/>
      <c r="M7455" s="11"/>
      <c r="N7455" s="11"/>
      <c r="O7455" s="11"/>
      <c r="P7455" s="11"/>
    </row>
    <row r="7456" spans="8:16" x14ac:dyDescent="0.25">
      <c r="H7456" s="12"/>
      <c r="I7456" s="12"/>
      <c r="J7456" s="12"/>
      <c r="K7456" s="12"/>
      <c r="L7456" s="12"/>
      <c r="M7456" s="11"/>
      <c r="N7456" s="11"/>
      <c r="O7456" s="11"/>
      <c r="P7456" s="11"/>
    </row>
    <row r="7457" spans="8:16" x14ac:dyDescent="0.25">
      <c r="H7457" s="12"/>
      <c r="I7457" s="12"/>
      <c r="J7457" s="12"/>
      <c r="K7457" s="12"/>
      <c r="L7457" s="12"/>
      <c r="M7457" s="11"/>
      <c r="N7457" s="11"/>
      <c r="O7457" s="11"/>
      <c r="P7457" s="11"/>
    </row>
    <row r="7458" spans="8:16" x14ac:dyDescent="0.25">
      <c r="H7458" s="12"/>
      <c r="I7458" s="12"/>
      <c r="J7458" s="12"/>
      <c r="K7458" s="12"/>
      <c r="L7458" s="12"/>
      <c r="M7458" s="11"/>
      <c r="N7458" s="11"/>
      <c r="O7458" s="11"/>
      <c r="P7458" s="11"/>
    </row>
    <row r="7459" spans="8:16" x14ac:dyDescent="0.25">
      <c r="H7459" s="12"/>
      <c r="I7459" s="12"/>
      <c r="J7459" s="12"/>
      <c r="K7459" s="12"/>
      <c r="L7459" s="12"/>
      <c r="M7459" s="11"/>
      <c r="N7459" s="11"/>
      <c r="O7459" s="11"/>
      <c r="P7459" s="11"/>
    </row>
    <row r="7460" spans="8:16" x14ac:dyDescent="0.25">
      <c r="H7460" s="12"/>
      <c r="I7460" s="12"/>
      <c r="J7460" s="12"/>
      <c r="K7460" s="12"/>
      <c r="L7460" s="12"/>
      <c r="M7460" s="11"/>
      <c r="N7460" s="11"/>
      <c r="O7460" s="11"/>
      <c r="P7460" s="11"/>
    </row>
    <row r="7461" spans="8:16" x14ac:dyDescent="0.25">
      <c r="H7461" s="12"/>
      <c r="I7461" s="12"/>
      <c r="J7461" s="12"/>
      <c r="K7461" s="12"/>
      <c r="L7461" s="12"/>
      <c r="M7461" s="11"/>
      <c r="N7461" s="11"/>
      <c r="O7461" s="11"/>
      <c r="P7461" s="11"/>
    </row>
    <row r="7462" spans="8:16" x14ac:dyDescent="0.25">
      <c r="H7462" s="12"/>
      <c r="I7462" s="12"/>
      <c r="J7462" s="12"/>
      <c r="K7462" s="12"/>
      <c r="L7462" s="12"/>
      <c r="M7462" s="11"/>
      <c r="N7462" s="11"/>
      <c r="O7462" s="11"/>
      <c r="P7462" s="11"/>
    </row>
    <row r="7463" spans="8:16" x14ac:dyDescent="0.25">
      <c r="H7463" s="12"/>
      <c r="I7463" s="12"/>
      <c r="J7463" s="12"/>
      <c r="K7463" s="12"/>
      <c r="L7463" s="12"/>
      <c r="M7463" s="11"/>
      <c r="N7463" s="11"/>
      <c r="O7463" s="11"/>
      <c r="P7463" s="11"/>
    </row>
    <row r="7464" spans="8:16" x14ac:dyDescent="0.25">
      <c r="H7464" s="12"/>
      <c r="I7464" s="12"/>
      <c r="J7464" s="12"/>
      <c r="K7464" s="12"/>
      <c r="L7464" s="12"/>
      <c r="M7464" s="11"/>
      <c r="N7464" s="11"/>
      <c r="O7464" s="11"/>
      <c r="P7464" s="11"/>
    </row>
    <row r="7465" spans="8:16" x14ac:dyDescent="0.25">
      <c r="H7465" s="12"/>
      <c r="I7465" s="12"/>
      <c r="J7465" s="12"/>
      <c r="K7465" s="12"/>
      <c r="L7465" s="12"/>
      <c r="M7465" s="11"/>
      <c r="N7465" s="11"/>
      <c r="O7465" s="11"/>
      <c r="P7465" s="11"/>
    </row>
    <row r="7466" spans="8:16" x14ac:dyDescent="0.25">
      <c r="H7466" s="12"/>
      <c r="I7466" s="12"/>
      <c r="J7466" s="12"/>
      <c r="K7466" s="12"/>
      <c r="L7466" s="12"/>
      <c r="M7466" s="11"/>
      <c r="N7466" s="11"/>
      <c r="O7466" s="11"/>
      <c r="P7466" s="11"/>
    </row>
    <row r="7467" spans="8:16" x14ac:dyDescent="0.25">
      <c r="H7467" s="12"/>
      <c r="I7467" s="12"/>
      <c r="J7467" s="12"/>
      <c r="K7467" s="12"/>
      <c r="L7467" s="12"/>
      <c r="M7467" s="11"/>
      <c r="N7467" s="11"/>
      <c r="O7467" s="11"/>
      <c r="P7467" s="11"/>
    </row>
    <row r="7468" spans="8:16" x14ac:dyDescent="0.25">
      <c r="H7468" s="12"/>
      <c r="I7468" s="12"/>
      <c r="J7468" s="12"/>
      <c r="K7468" s="12"/>
      <c r="L7468" s="12"/>
      <c r="M7468" s="11"/>
      <c r="N7468" s="11"/>
      <c r="O7468" s="11"/>
      <c r="P7468" s="11"/>
    </row>
    <row r="7469" spans="8:16" x14ac:dyDescent="0.25">
      <c r="H7469" s="12"/>
      <c r="I7469" s="12"/>
      <c r="J7469" s="12"/>
      <c r="K7469" s="12"/>
      <c r="L7469" s="12"/>
      <c r="M7469" s="11"/>
      <c r="N7469" s="11"/>
      <c r="O7469" s="11"/>
      <c r="P7469" s="11"/>
    </row>
    <row r="7470" spans="8:16" x14ac:dyDescent="0.25">
      <c r="H7470" s="12"/>
      <c r="I7470" s="12"/>
      <c r="J7470" s="12"/>
      <c r="K7470" s="12"/>
      <c r="L7470" s="12"/>
      <c r="M7470" s="11"/>
      <c r="N7470" s="11"/>
      <c r="O7470" s="11"/>
      <c r="P7470" s="11"/>
    </row>
    <row r="7471" spans="8:16" x14ac:dyDescent="0.25">
      <c r="H7471" s="12"/>
      <c r="I7471" s="12"/>
      <c r="J7471" s="12"/>
      <c r="K7471" s="12"/>
      <c r="L7471" s="12"/>
      <c r="M7471" s="11"/>
      <c r="N7471" s="11"/>
      <c r="O7471" s="11"/>
      <c r="P7471" s="11"/>
    </row>
    <row r="7472" spans="8:16" x14ac:dyDescent="0.25">
      <c r="H7472" s="12"/>
      <c r="I7472" s="12"/>
      <c r="J7472" s="12"/>
      <c r="K7472" s="12"/>
      <c r="L7472" s="12"/>
      <c r="M7472" s="11"/>
      <c r="N7472" s="11"/>
      <c r="O7472" s="11"/>
      <c r="P7472" s="11"/>
    </row>
    <row r="7473" spans="8:16" x14ac:dyDescent="0.25">
      <c r="H7473" s="12"/>
      <c r="I7473" s="12"/>
      <c r="J7473" s="12"/>
      <c r="K7473" s="12"/>
      <c r="L7473" s="12"/>
      <c r="M7473" s="11"/>
      <c r="N7473" s="11"/>
      <c r="O7473" s="11"/>
      <c r="P7473" s="11"/>
    </row>
    <row r="7474" spans="8:16" x14ac:dyDescent="0.25">
      <c r="H7474" s="12"/>
      <c r="I7474" s="12"/>
      <c r="J7474" s="12"/>
      <c r="K7474" s="12"/>
      <c r="L7474" s="12"/>
      <c r="M7474" s="11"/>
      <c r="N7474" s="11"/>
      <c r="O7474" s="11"/>
      <c r="P7474" s="11"/>
    </row>
    <row r="7475" spans="8:16" x14ac:dyDescent="0.25">
      <c r="H7475" s="12"/>
      <c r="I7475" s="12"/>
      <c r="J7475" s="12"/>
      <c r="K7475" s="12"/>
      <c r="L7475" s="12"/>
      <c r="M7475" s="11"/>
      <c r="N7475" s="11"/>
      <c r="O7475" s="11"/>
      <c r="P7475" s="11"/>
    </row>
    <row r="7476" spans="8:16" x14ac:dyDescent="0.25">
      <c r="H7476" s="12"/>
      <c r="I7476" s="12"/>
      <c r="J7476" s="12"/>
      <c r="K7476" s="12"/>
      <c r="L7476" s="12"/>
      <c r="M7476" s="11"/>
      <c r="N7476" s="11"/>
      <c r="O7476" s="11"/>
      <c r="P7476" s="11"/>
    </row>
    <row r="7477" spans="8:16" x14ac:dyDescent="0.25">
      <c r="H7477" s="12"/>
      <c r="I7477" s="12"/>
      <c r="J7477" s="12"/>
      <c r="K7477" s="12"/>
      <c r="L7477" s="12"/>
      <c r="M7477" s="11"/>
      <c r="N7477" s="11"/>
      <c r="O7477" s="11"/>
      <c r="P7477" s="11"/>
    </row>
    <row r="7478" spans="8:16" x14ac:dyDescent="0.25">
      <c r="H7478" s="12"/>
      <c r="I7478" s="12"/>
      <c r="J7478" s="12"/>
      <c r="K7478" s="12"/>
      <c r="L7478" s="12"/>
      <c r="M7478" s="11"/>
      <c r="N7478" s="11"/>
      <c r="O7478" s="11"/>
      <c r="P7478" s="11"/>
    </row>
    <row r="7479" spans="8:16" x14ac:dyDescent="0.25">
      <c r="H7479" s="12"/>
      <c r="I7479" s="12"/>
      <c r="J7479" s="12"/>
      <c r="K7479" s="12"/>
      <c r="L7479" s="12"/>
      <c r="M7479" s="11"/>
      <c r="N7479" s="11"/>
      <c r="O7479" s="11"/>
      <c r="P7479" s="11"/>
    </row>
    <row r="7480" spans="8:16" x14ac:dyDescent="0.25">
      <c r="H7480" s="12"/>
      <c r="I7480" s="12"/>
      <c r="J7480" s="12"/>
      <c r="K7480" s="12"/>
      <c r="L7480" s="12"/>
      <c r="M7480" s="11"/>
      <c r="N7480" s="11"/>
      <c r="O7480" s="11"/>
      <c r="P7480" s="11"/>
    </row>
    <row r="7481" spans="8:16" x14ac:dyDescent="0.25">
      <c r="H7481" s="12"/>
      <c r="I7481" s="12"/>
      <c r="J7481" s="12"/>
      <c r="K7481" s="12"/>
      <c r="L7481" s="12"/>
      <c r="M7481" s="11"/>
      <c r="N7481" s="11"/>
      <c r="O7481" s="11"/>
      <c r="P7481" s="11"/>
    </row>
    <row r="7482" spans="8:16" x14ac:dyDescent="0.25">
      <c r="H7482" s="12"/>
      <c r="I7482" s="12"/>
      <c r="J7482" s="12"/>
      <c r="K7482" s="12"/>
      <c r="L7482" s="12"/>
      <c r="M7482" s="11"/>
      <c r="N7482" s="11"/>
      <c r="O7482" s="11"/>
      <c r="P7482" s="11"/>
    </row>
    <row r="7483" spans="8:16" x14ac:dyDescent="0.25">
      <c r="H7483" s="12"/>
      <c r="I7483" s="12"/>
      <c r="J7483" s="12"/>
      <c r="K7483" s="12"/>
      <c r="L7483" s="12"/>
      <c r="M7483" s="11"/>
      <c r="N7483" s="11"/>
      <c r="O7483" s="11"/>
      <c r="P7483" s="11"/>
    </row>
    <row r="7484" spans="8:16" x14ac:dyDescent="0.25">
      <c r="H7484" s="12"/>
      <c r="I7484" s="12"/>
      <c r="J7484" s="12"/>
      <c r="K7484" s="12"/>
      <c r="L7484" s="12"/>
      <c r="M7484" s="11"/>
      <c r="N7484" s="11"/>
      <c r="O7484" s="11"/>
      <c r="P7484" s="11"/>
    </row>
    <row r="7485" spans="8:16" x14ac:dyDescent="0.25">
      <c r="H7485" s="12"/>
      <c r="I7485" s="12"/>
      <c r="J7485" s="12"/>
      <c r="K7485" s="12"/>
      <c r="L7485" s="12"/>
      <c r="M7485" s="11"/>
      <c r="N7485" s="11"/>
      <c r="O7485" s="11"/>
      <c r="P7485" s="11"/>
    </row>
    <row r="7486" spans="8:16" x14ac:dyDescent="0.25">
      <c r="H7486" s="12"/>
      <c r="I7486" s="12"/>
      <c r="J7486" s="12"/>
      <c r="K7486" s="12"/>
      <c r="L7486" s="12"/>
      <c r="M7486" s="11"/>
      <c r="N7486" s="11"/>
      <c r="O7486" s="11"/>
      <c r="P7486" s="11"/>
    </row>
    <row r="7487" spans="8:16" x14ac:dyDescent="0.25">
      <c r="H7487" s="12"/>
      <c r="I7487" s="12"/>
      <c r="J7487" s="12"/>
      <c r="K7487" s="12"/>
      <c r="L7487" s="12"/>
      <c r="M7487" s="11"/>
      <c r="N7487" s="11"/>
      <c r="O7487" s="11"/>
      <c r="P7487" s="11"/>
    </row>
    <row r="7488" spans="8:16" x14ac:dyDescent="0.25">
      <c r="H7488" s="12"/>
      <c r="I7488" s="12"/>
      <c r="J7488" s="12"/>
      <c r="K7488" s="12"/>
      <c r="L7488" s="12"/>
      <c r="M7488" s="11"/>
      <c r="N7488" s="11"/>
      <c r="O7488" s="11"/>
      <c r="P7488" s="11"/>
    </row>
    <row r="7489" spans="8:16" x14ac:dyDescent="0.25">
      <c r="H7489" s="12"/>
      <c r="I7489" s="12"/>
      <c r="J7489" s="12"/>
      <c r="K7489" s="12"/>
      <c r="L7489" s="12"/>
      <c r="M7489" s="11"/>
      <c r="N7489" s="11"/>
      <c r="O7489" s="11"/>
      <c r="P7489" s="11"/>
    </row>
    <row r="7490" spans="8:16" x14ac:dyDescent="0.25">
      <c r="H7490" s="12"/>
      <c r="I7490" s="12"/>
      <c r="J7490" s="12"/>
      <c r="K7490" s="12"/>
      <c r="L7490" s="12"/>
      <c r="M7490" s="11"/>
      <c r="N7490" s="11"/>
      <c r="O7490" s="11"/>
      <c r="P7490" s="11"/>
    </row>
    <row r="7491" spans="8:16" x14ac:dyDescent="0.25">
      <c r="H7491" s="12"/>
      <c r="I7491" s="12"/>
      <c r="J7491" s="12"/>
      <c r="K7491" s="12"/>
      <c r="L7491" s="12"/>
      <c r="M7491" s="11"/>
      <c r="N7491" s="11"/>
      <c r="O7491" s="11"/>
      <c r="P7491" s="11"/>
    </row>
    <row r="7492" spans="8:16" x14ac:dyDescent="0.25">
      <c r="H7492" s="12"/>
      <c r="I7492" s="12"/>
      <c r="J7492" s="12"/>
      <c r="K7492" s="12"/>
      <c r="L7492" s="12"/>
      <c r="M7492" s="11"/>
      <c r="N7492" s="11"/>
      <c r="O7492" s="11"/>
      <c r="P7492" s="11"/>
    </row>
    <row r="7493" spans="8:16" x14ac:dyDescent="0.25">
      <c r="H7493" s="12"/>
      <c r="I7493" s="12"/>
      <c r="J7493" s="12"/>
      <c r="K7493" s="12"/>
      <c r="L7493" s="12"/>
      <c r="M7493" s="11"/>
      <c r="N7493" s="11"/>
      <c r="O7493" s="11"/>
      <c r="P7493" s="11"/>
    </row>
    <row r="7494" spans="8:16" x14ac:dyDescent="0.25">
      <c r="H7494" s="12"/>
      <c r="I7494" s="12"/>
      <c r="J7494" s="12"/>
      <c r="K7494" s="12"/>
      <c r="L7494" s="12"/>
      <c r="M7494" s="11"/>
      <c r="N7494" s="11"/>
      <c r="O7494" s="11"/>
      <c r="P7494" s="11"/>
    </row>
    <row r="7495" spans="8:16" x14ac:dyDescent="0.25">
      <c r="H7495" s="12"/>
      <c r="I7495" s="12"/>
      <c r="J7495" s="12"/>
      <c r="K7495" s="12"/>
      <c r="L7495" s="12"/>
      <c r="M7495" s="11"/>
      <c r="N7495" s="11"/>
      <c r="O7495" s="11"/>
      <c r="P7495" s="11"/>
    </row>
    <row r="7496" spans="8:16" x14ac:dyDescent="0.25">
      <c r="H7496" s="12"/>
      <c r="I7496" s="12"/>
      <c r="J7496" s="12"/>
      <c r="K7496" s="12"/>
      <c r="L7496" s="12"/>
      <c r="M7496" s="11"/>
      <c r="N7496" s="11"/>
      <c r="O7496" s="11"/>
      <c r="P7496" s="11"/>
    </row>
    <row r="7497" spans="8:16" x14ac:dyDescent="0.25">
      <c r="H7497" s="12"/>
      <c r="I7497" s="12"/>
      <c r="J7497" s="12"/>
      <c r="K7497" s="12"/>
      <c r="L7497" s="12"/>
      <c r="M7497" s="11"/>
      <c r="N7497" s="11"/>
      <c r="O7497" s="11"/>
      <c r="P7497" s="11"/>
    </row>
    <row r="7498" spans="8:16" x14ac:dyDescent="0.25">
      <c r="H7498" s="12"/>
      <c r="I7498" s="12"/>
      <c r="J7498" s="12"/>
      <c r="K7498" s="12"/>
      <c r="L7498" s="12"/>
      <c r="M7498" s="11"/>
      <c r="N7498" s="11"/>
      <c r="O7498" s="11"/>
      <c r="P7498" s="11"/>
    </row>
    <row r="7499" spans="8:16" x14ac:dyDescent="0.25">
      <c r="H7499" s="12"/>
      <c r="I7499" s="12"/>
      <c r="J7499" s="12"/>
      <c r="K7499" s="12"/>
      <c r="L7499" s="12"/>
      <c r="M7499" s="11"/>
      <c r="N7499" s="11"/>
      <c r="O7499" s="11"/>
      <c r="P7499" s="11"/>
    </row>
    <row r="7500" spans="8:16" x14ac:dyDescent="0.25">
      <c r="H7500" s="12"/>
      <c r="I7500" s="12"/>
      <c r="J7500" s="12"/>
      <c r="K7500" s="12"/>
      <c r="L7500" s="12"/>
      <c r="M7500" s="11"/>
      <c r="N7500" s="11"/>
      <c r="O7500" s="11"/>
      <c r="P7500" s="11"/>
    </row>
    <row r="7501" spans="8:16" x14ac:dyDescent="0.25">
      <c r="H7501" s="12"/>
      <c r="I7501" s="12"/>
      <c r="J7501" s="12"/>
      <c r="K7501" s="12"/>
      <c r="L7501" s="12"/>
      <c r="M7501" s="11"/>
      <c r="N7501" s="11"/>
      <c r="O7501" s="11"/>
      <c r="P7501" s="11"/>
    </row>
    <row r="7502" spans="8:16" x14ac:dyDescent="0.25">
      <c r="H7502" s="12"/>
      <c r="I7502" s="12"/>
      <c r="J7502" s="12"/>
      <c r="K7502" s="12"/>
      <c r="L7502" s="12"/>
      <c r="M7502" s="11"/>
      <c r="N7502" s="11"/>
      <c r="O7502" s="11"/>
      <c r="P7502" s="11"/>
    </row>
    <row r="7503" spans="8:16" x14ac:dyDescent="0.25">
      <c r="H7503" s="12"/>
      <c r="I7503" s="12"/>
      <c r="J7503" s="12"/>
      <c r="K7503" s="12"/>
      <c r="L7503" s="12"/>
      <c r="M7503" s="11"/>
      <c r="N7503" s="11"/>
      <c r="O7503" s="11"/>
      <c r="P7503" s="11"/>
    </row>
    <row r="7504" spans="8:16" x14ac:dyDescent="0.25">
      <c r="H7504" s="12"/>
      <c r="I7504" s="12"/>
      <c r="J7504" s="12"/>
      <c r="K7504" s="12"/>
      <c r="L7504" s="12"/>
      <c r="M7504" s="11"/>
      <c r="N7504" s="11"/>
      <c r="O7504" s="11"/>
      <c r="P7504" s="11"/>
    </row>
    <row r="7505" spans="8:16" x14ac:dyDescent="0.25">
      <c r="H7505" s="12"/>
      <c r="I7505" s="12"/>
      <c r="J7505" s="12"/>
      <c r="K7505" s="12"/>
      <c r="L7505" s="12"/>
      <c r="M7505" s="11"/>
      <c r="N7505" s="11"/>
      <c r="O7505" s="11"/>
      <c r="P7505" s="11"/>
    </row>
    <row r="7506" spans="8:16" x14ac:dyDescent="0.25">
      <c r="H7506" s="12"/>
      <c r="I7506" s="12"/>
      <c r="J7506" s="12"/>
      <c r="K7506" s="12"/>
      <c r="L7506" s="12"/>
      <c r="M7506" s="11"/>
      <c r="N7506" s="11"/>
      <c r="O7506" s="11"/>
      <c r="P7506" s="11"/>
    </row>
    <row r="7507" spans="8:16" x14ac:dyDescent="0.25">
      <c r="H7507" s="12"/>
      <c r="I7507" s="12"/>
      <c r="J7507" s="12"/>
      <c r="K7507" s="12"/>
      <c r="L7507" s="12"/>
      <c r="M7507" s="11"/>
      <c r="N7507" s="11"/>
      <c r="O7507" s="11"/>
      <c r="P7507" s="11"/>
    </row>
    <row r="7508" spans="8:16" x14ac:dyDescent="0.25">
      <c r="H7508" s="12"/>
      <c r="I7508" s="12"/>
      <c r="J7508" s="12"/>
      <c r="K7508" s="12"/>
      <c r="L7508" s="12"/>
      <c r="M7508" s="11"/>
      <c r="N7508" s="11"/>
      <c r="O7508" s="11"/>
      <c r="P7508" s="11"/>
    </row>
    <row r="7509" spans="8:16" x14ac:dyDescent="0.25">
      <c r="H7509" s="12"/>
      <c r="I7509" s="12"/>
      <c r="J7509" s="12"/>
      <c r="K7509" s="12"/>
      <c r="L7509" s="12"/>
      <c r="M7509" s="11"/>
      <c r="N7509" s="11"/>
      <c r="O7509" s="11"/>
      <c r="P7509" s="11"/>
    </row>
    <row r="7510" spans="8:16" x14ac:dyDescent="0.25">
      <c r="H7510" s="12"/>
      <c r="I7510" s="12"/>
      <c r="J7510" s="12"/>
      <c r="K7510" s="12"/>
      <c r="L7510" s="12"/>
      <c r="M7510" s="11"/>
      <c r="N7510" s="11"/>
      <c r="O7510" s="11"/>
      <c r="P7510" s="11"/>
    </row>
    <row r="7511" spans="8:16" x14ac:dyDescent="0.25">
      <c r="H7511" s="12"/>
      <c r="I7511" s="12"/>
      <c r="J7511" s="12"/>
      <c r="K7511" s="12"/>
      <c r="L7511" s="12"/>
      <c r="M7511" s="11"/>
      <c r="N7511" s="11"/>
      <c r="O7511" s="11"/>
      <c r="P7511" s="11"/>
    </row>
    <row r="7512" spans="8:16" x14ac:dyDescent="0.25">
      <c r="H7512" s="12"/>
      <c r="I7512" s="12"/>
      <c r="J7512" s="12"/>
      <c r="K7512" s="12"/>
      <c r="L7512" s="12"/>
      <c r="M7512" s="11"/>
      <c r="N7512" s="11"/>
      <c r="O7512" s="11"/>
      <c r="P7512" s="11"/>
    </row>
    <row r="7513" spans="8:16" x14ac:dyDescent="0.25">
      <c r="H7513" s="12"/>
      <c r="I7513" s="12"/>
      <c r="J7513" s="12"/>
      <c r="K7513" s="12"/>
      <c r="L7513" s="12"/>
      <c r="M7513" s="11"/>
      <c r="N7513" s="11"/>
      <c r="O7513" s="11"/>
      <c r="P7513" s="11"/>
    </row>
    <row r="7514" spans="8:16" x14ac:dyDescent="0.25">
      <c r="H7514" s="12"/>
      <c r="I7514" s="12"/>
      <c r="J7514" s="12"/>
      <c r="K7514" s="12"/>
      <c r="L7514" s="12"/>
      <c r="M7514" s="11"/>
      <c r="N7514" s="11"/>
      <c r="O7514" s="11"/>
      <c r="P7514" s="11"/>
    </row>
    <row r="7515" spans="8:16" x14ac:dyDescent="0.25">
      <c r="H7515" s="12"/>
      <c r="I7515" s="12"/>
      <c r="J7515" s="12"/>
      <c r="K7515" s="12"/>
      <c r="L7515" s="12"/>
      <c r="M7515" s="11"/>
      <c r="N7515" s="11"/>
      <c r="O7515" s="11"/>
      <c r="P7515" s="11"/>
    </row>
    <row r="7516" spans="8:16" x14ac:dyDescent="0.25">
      <c r="H7516" s="12"/>
      <c r="I7516" s="12"/>
      <c r="J7516" s="12"/>
      <c r="K7516" s="12"/>
      <c r="L7516" s="12"/>
      <c r="M7516" s="11"/>
      <c r="N7516" s="11"/>
      <c r="O7516" s="11"/>
      <c r="P7516" s="11"/>
    </row>
    <row r="7517" spans="8:16" x14ac:dyDescent="0.25">
      <c r="H7517" s="12"/>
      <c r="I7517" s="12"/>
      <c r="J7517" s="12"/>
      <c r="K7517" s="12"/>
      <c r="L7517" s="12"/>
      <c r="M7517" s="11"/>
      <c r="N7517" s="11"/>
      <c r="O7517" s="11"/>
      <c r="P7517" s="11"/>
    </row>
    <row r="7518" spans="8:16" x14ac:dyDescent="0.25">
      <c r="H7518" s="12"/>
      <c r="I7518" s="12"/>
      <c r="J7518" s="12"/>
      <c r="K7518" s="12"/>
      <c r="L7518" s="12"/>
      <c r="M7518" s="11"/>
      <c r="N7518" s="11"/>
      <c r="O7518" s="11"/>
      <c r="P7518" s="11"/>
    </row>
    <row r="7519" spans="8:16" x14ac:dyDescent="0.25">
      <c r="H7519" s="12"/>
      <c r="I7519" s="12"/>
      <c r="J7519" s="12"/>
      <c r="K7519" s="12"/>
      <c r="L7519" s="12"/>
      <c r="M7519" s="11"/>
      <c r="N7519" s="11"/>
      <c r="O7519" s="11"/>
      <c r="P7519" s="11"/>
    </row>
    <row r="7520" spans="8:16" x14ac:dyDescent="0.25">
      <c r="H7520" s="12"/>
      <c r="I7520" s="12"/>
      <c r="J7520" s="12"/>
      <c r="K7520" s="12"/>
      <c r="L7520" s="12"/>
      <c r="M7520" s="11"/>
      <c r="N7520" s="11"/>
      <c r="O7520" s="11"/>
      <c r="P7520" s="11"/>
    </row>
    <row r="7521" spans="8:16" x14ac:dyDescent="0.25">
      <c r="H7521" s="12"/>
      <c r="I7521" s="12"/>
      <c r="J7521" s="12"/>
      <c r="K7521" s="12"/>
      <c r="L7521" s="12"/>
      <c r="M7521" s="11"/>
      <c r="N7521" s="11"/>
      <c r="O7521" s="11"/>
      <c r="P7521" s="11"/>
    </row>
    <row r="7522" spans="8:16" x14ac:dyDescent="0.25">
      <c r="H7522" s="12"/>
      <c r="I7522" s="12"/>
      <c r="J7522" s="12"/>
      <c r="K7522" s="12"/>
      <c r="L7522" s="12"/>
      <c r="M7522" s="11"/>
      <c r="N7522" s="11"/>
      <c r="O7522" s="11"/>
      <c r="P7522" s="11"/>
    </row>
    <row r="7523" spans="8:16" x14ac:dyDescent="0.25">
      <c r="H7523" s="12"/>
      <c r="I7523" s="12"/>
      <c r="J7523" s="12"/>
      <c r="K7523" s="12"/>
      <c r="L7523" s="12"/>
      <c r="M7523" s="11"/>
      <c r="N7523" s="11"/>
      <c r="O7523" s="11"/>
      <c r="P7523" s="11"/>
    </row>
    <row r="7524" spans="8:16" x14ac:dyDescent="0.25">
      <c r="H7524" s="12"/>
      <c r="I7524" s="12"/>
      <c r="J7524" s="12"/>
      <c r="K7524" s="12"/>
      <c r="L7524" s="12"/>
      <c r="M7524" s="11"/>
      <c r="N7524" s="11"/>
      <c r="O7524" s="11"/>
      <c r="P7524" s="11"/>
    </row>
    <row r="7525" spans="8:16" x14ac:dyDescent="0.25">
      <c r="H7525" s="12"/>
      <c r="I7525" s="12"/>
      <c r="J7525" s="12"/>
      <c r="K7525" s="12"/>
      <c r="L7525" s="12"/>
      <c r="M7525" s="11"/>
      <c r="N7525" s="11"/>
      <c r="O7525" s="11"/>
      <c r="P7525" s="11"/>
    </row>
    <row r="7526" spans="8:16" x14ac:dyDescent="0.25">
      <c r="H7526" s="12"/>
      <c r="I7526" s="12"/>
      <c r="J7526" s="12"/>
      <c r="K7526" s="12"/>
      <c r="L7526" s="12"/>
      <c r="M7526" s="11"/>
      <c r="N7526" s="11"/>
      <c r="O7526" s="11"/>
      <c r="P7526" s="11"/>
    </row>
    <row r="7527" spans="8:16" x14ac:dyDescent="0.25">
      <c r="H7527" s="12"/>
      <c r="I7527" s="12"/>
      <c r="J7527" s="12"/>
      <c r="K7527" s="12"/>
      <c r="L7527" s="12"/>
      <c r="M7527" s="11"/>
      <c r="N7527" s="11"/>
      <c r="O7527" s="11"/>
      <c r="P7527" s="11"/>
    </row>
    <row r="7528" spans="8:16" x14ac:dyDescent="0.25">
      <c r="H7528" s="12"/>
      <c r="I7528" s="12"/>
      <c r="J7528" s="12"/>
      <c r="K7528" s="12"/>
      <c r="L7528" s="12"/>
      <c r="M7528" s="11"/>
      <c r="N7528" s="11"/>
      <c r="O7528" s="11"/>
      <c r="P7528" s="11"/>
    </row>
    <row r="7529" spans="8:16" x14ac:dyDescent="0.25">
      <c r="H7529" s="12"/>
      <c r="I7529" s="12"/>
      <c r="J7529" s="12"/>
      <c r="K7529" s="12"/>
      <c r="L7529" s="12"/>
      <c r="M7529" s="11"/>
      <c r="N7529" s="11"/>
      <c r="O7529" s="11"/>
      <c r="P7529" s="11"/>
    </row>
    <row r="7530" spans="8:16" x14ac:dyDescent="0.25">
      <c r="H7530" s="12"/>
      <c r="I7530" s="12"/>
      <c r="J7530" s="12"/>
      <c r="K7530" s="12"/>
      <c r="L7530" s="12"/>
      <c r="M7530" s="11"/>
      <c r="N7530" s="11"/>
      <c r="O7530" s="11"/>
      <c r="P7530" s="11"/>
    </row>
    <row r="7531" spans="8:16" x14ac:dyDescent="0.25">
      <c r="H7531" s="12"/>
      <c r="I7531" s="12"/>
      <c r="J7531" s="12"/>
      <c r="K7531" s="12"/>
      <c r="L7531" s="12"/>
      <c r="M7531" s="11"/>
      <c r="N7531" s="11"/>
      <c r="O7531" s="11"/>
      <c r="P7531" s="11"/>
    </row>
    <row r="7532" spans="8:16" x14ac:dyDescent="0.25">
      <c r="H7532" s="12"/>
      <c r="I7532" s="12"/>
      <c r="J7532" s="12"/>
      <c r="K7532" s="12"/>
      <c r="L7532" s="12"/>
      <c r="M7532" s="11"/>
      <c r="N7532" s="11"/>
      <c r="O7532" s="11"/>
      <c r="P7532" s="11"/>
    </row>
    <row r="7533" spans="8:16" x14ac:dyDescent="0.25">
      <c r="H7533" s="12"/>
      <c r="I7533" s="12"/>
      <c r="J7533" s="12"/>
      <c r="K7533" s="12"/>
      <c r="L7533" s="12"/>
      <c r="M7533" s="11"/>
      <c r="N7533" s="11"/>
      <c r="O7533" s="11"/>
      <c r="P7533" s="11"/>
    </row>
    <row r="7534" spans="8:16" x14ac:dyDescent="0.25">
      <c r="H7534" s="12"/>
      <c r="I7534" s="12"/>
      <c r="J7534" s="12"/>
      <c r="K7534" s="12"/>
      <c r="L7534" s="12"/>
      <c r="M7534" s="11"/>
      <c r="N7534" s="11"/>
      <c r="O7534" s="11"/>
      <c r="P7534" s="11"/>
    </row>
    <row r="7535" spans="8:16" x14ac:dyDescent="0.25">
      <c r="H7535" s="12"/>
      <c r="I7535" s="12"/>
      <c r="J7535" s="12"/>
      <c r="K7535" s="12"/>
      <c r="L7535" s="12"/>
      <c r="M7535" s="11"/>
      <c r="N7535" s="11"/>
      <c r="O7535" s="11"/>
      <c r="P7535" s="11"/>
    </row>
    <row r="7536" spans="8:16" x14ac:dyDescent="0.25">
      <c r="H7536" s="12"/>
      <c r="I7536" s="12"/>
      <c r="J7536" s="12"/>
      <c r="K7536" s="12"/>
      <c r="L7536" s="12"/>
      <c r="M7536" s="11"/>
      <c r="N7536" s="11"/>
      <c r="O7536" s="11"/>
      <c r="P7536" s="11"/>
    </row>
    <row r="7537" spans="8:16" x14ac:dyDescent="0.25">
      <c r="H7537" s="12"/>
      <c r="I7537" s="12"/>
      <c r="J7537" s="12"/>
      <c r="K7537" s="12"/>
      <c r="L7537" s="12"/>
      <c r="M7537" s="11"/>
      <c r="N7537" s="11"/>
      <c r="O7537" s="11"/>
      <c r="P7537" s="11"/>
    </row>
    <row r="7538" spans="8:16" x14ac:dyDescent="0.25">
      <c r="H7538" s="12"/>
      <c r="I7538" s="12"/>
      <c r="J7538" s="12"/>
      <c r="K7538" s="12"/>
      <c r="L7538" s="12"/>
      <c r="M7538" s="11"/>
      <c r="N7538" s="11"/>
      <c r="O7538" s="11"/>
      <c r="P7538" s="11"/>
    </row>
    <row r="7539" spans="8:16" x14ac:dyDescent="0.25">
      <c r="H7539" s="12"/>
      <c r="I7539" s="12"/>
      <c r="J7539" s="12"/>
      <c r="K7539" s="12"/>
      <c r="L7539" s="12"/>
      <c r="M7539" s="11"/>
      <c r="N7539" s="11"/>
      <c r="O7539" s="11"/>
      <c r="P7539" s="11"/>
    </row>
    <row r="7540" spans="8:16" x14ac:dyDescent="0.25">
      <c r="H7540" s="12"/>
      <c r="I7540" s="12"/>
      <c r="J7540" s="12"/>
      <c r="K7540" s="12"/>
      <c r="L7540" s="12"/>
      <c r="M7540" s="11"/>
      <c r="N7540" s="11"/>
      <c r="O7540" s="11"/>
      <c r="P7540" s="11"/>
    </row>
    <row r="7541" spans="8:16" x14ac:dyDescent="0.25">
      <c r="H7541" s="12"/>
      <c r="I7541" s="12"/>
      <c r="J7541" s="12"/>
      <c r="K7541" s="12"/>
      <c r="L7541" s="12"/>
      <c r="M7541" s="11"/>
      <c r="N7541" s="11"/>
      <c r="O7541" s="11"/>
      <c r="P7541" s="11"/>
    </row>
    <row r="7542" spans="8:16" x14ac:dyDescent="0.25">
      <c r="H7542" s="12"/>
      <c r="I7542" s="12"/>
      <c r="J7542" s="12"/>
      <c r="K7542" s="12"/>
      <c r="L7542" s="12"/>
      <c r="M7542" s="11"/>
      <c r="N7542" s="11"/>
      <c r="O7542" s="11"/>
      <c r="P7542" s="11"/>
    </row>
    <row r="7543" spans="8:16" x14ac:dyDescent="0.25">
      <c r="H7543" s="12"/>
      <c r="I7543" s="12"/>
      <c r="J7543" s="12"/>
      <c r="K7543" s="12"/>
      <c r="L7543" s="12"/>
      <c r="M7543" s="11"/>
      <c r="N7543" s="11"/>
      <c r="O7543" s="11"/>
      <c r="P7543" s="11"/>
    </row>
    <row r="7544" spans="8:16" x14ac:dyDescent="0.25">
      <c r="H7544" s="12"/>
      <c r="I7544" s="12"/>
      <c r="J7544" s="12"/>
      <c r="K7544" s="12"/>
      <c r="L7544" s="12"/>
      <c r="M7544" s="11"/>
      <c r="N7544" s="11"/>
      <c r="O7544" s="11"/>
      <c r="P7544" s="11"/>
    </row>
    <row r="7545" spans="8:16" x14ac:dyDescent="0.25">
      <c r="H7545" s="12"/>
      <c r="I7545" s="12"/>
      <c r="J7545" s="12"/>
      <c r="K7545" s="12"/>
      <c r="L7545" s="12"/>
      <c r="M7545" s="11"/>
      <c r="N7545" s="11"/>
      <c r="O7545" s="11"/>
      <c r="P7545" s="11"/>
    </row>
    <row r="7546" spans="8:16" x14ac:dyDescent="0.25">
      <c r="H7546" s="12"/>
      <c r="I7546" s="12"/>
      <c r="J7546" s="12"/>
      <c r="K7546" s="12"/>
      <c r="L7546" s="12"/>
      <c r="M7546" s="11"/>
      <c r="N7546" s="11"/>
      <c r="O7546" s="11"/>
      <c r="P7546" s="11"/>
    </row>
    <row r="7547" spans="8:16" x14ac:dyDescent="0.25">
      <c r="H7547" s="12"/>
      <c r="I7547" s="12"/>
      <c r="J7547" s="12"/>
      <c r="K7547" s="12"/>
      <c r="L7547" s="12"/>
      <c r="M7547" s="11"/>
      <c r="N7547" s="11"/>
      <c r="O7547" s="11"/>
      <c r="P7547" s="11"/>
    </row>
    <row r="7548" spans="8:16" x14ac:dyDescent="0.25">
      <c r="H7548" s="12"/>
      <c r="I7548" s="12"/>
      <c r="J7548" s="12"/>
      <c r="K7548" s="12"/>
      <c r="L7548" s="12"/>
      <c r="M7548" s="11"/>
      <c r="N7548" s="11"/>
      <c r="O7548" s="11"/>
      <c r="P7548" s="11"/>
    </row>
    <row r="7549" spans="8:16" x14ac:dyDescent="0.25">
      <c r="H7549" s="12"/>
      <c r="I7549" s="12"/>
      <c r="J7549" s="12"/>
      <c r="K7549" s="12"/>
      <c r="L7549" s="12"/>
      <c r="M7549" s="11"/>
      <c r="N7549" s="11"/>
      <c r="O7549" s="11"/>
      <c r="P7549" s="11"/>
    </row>
    <row r="7550" spans="8:16" x14ac:dyDescent="0.25">
      <c r="H7550" s="12"/>
      <c r="I7550" s="12"/>
      <c r="J7550" s="12"/>
      <c r="K7550" s="12"/>
      <c r="L7550" s="12"/>
      <c r="M7550" s="11"/>
      <c r="N7550" s="11"/>
      <c r="O7550" s="11"/>
      <c r="P7550" s="11"/>
    </row>
    <row r="7551" spans="8:16" x14ac:dyDescent="0.25">
      <c r="H7551" s="12"/>
      <c r="I7551" s="12"/>
      <c r="J7551" s="12"/>
      <c r="K7551" s="12"/>
      <c r="L7551" s="12"/>
      <c r="M7551" s="11"/>
      <c r="N7551" s="11"/>
      <c r="O7551" s="11"/>
      <c r="P7551" s="11"/>
    </row>
    <row r="7552" spans="8:16" x14ac:dyDescent="0.25">
      <c r="H7552" s="12"/>
      <c r="I7552" s="12"/>
      <c r="J7552" s="12"/>
      <c r="K7552" s="12"/>
      <c r="L7552" s="12"/>
      <c r="M7552" s="11"/>
      <c r="N7552" s="11"/>
      <c r="O7552" s="11"/>
      <c r="P7552" s="11"/>
    </row>
    <row r="7553" spans="8:16" x14ac:dyDescent="0.25">
      <c r="H7553" s="12"/>
      <c r="I7553" s="12"/>
      <c r="J7553" s="12"/>
      <c r="K7553" s="12"/>
      <c r="L7553" s="12"/>
      <c r="M7553" s="11"/>
      <c r="N7553" s="11"/>
      <c r="O7553" s="11"/>
      <c r="P7553" s="11"/>
    </row>
    <row r="7554" spans="8:16" x14ac:dyDescent="0.25">
      <c r="H7554" s="12"/>
      <c r="I7554" s="12"/>
      <c r="J7554" s="12"/>
      <c r="K7554" s="12"/>
      <c r="L7554" s="12"/>
      <c r="M7554" s="11"/>
      <c r="N7554" s="11"/>
      <c r="O7554" s="11"/>
      <c r="P7554" s="11"/>
    </row>
    <row r="7555" spans="8:16" x14ac:dyDescent="0.25">
      <c r="H7555" s="12"/>
      <c r="I7555" s="12"/>
      <c r="J7555" s="12"/>
      <c r="K7555" s="12"/>
      <c r="L7555" s="12"/>
      <c r="M7555" s="11"/>
      <c r="N7555" s="11"/>
      <c r="O7555" s="11"/>
      <c r="P7555" s="11"/>
    </row>
    <row r="7556" spans="8:16" x14ac:dyDescent="0.25">
      <c r="H7556" s="12"/>
      <c r="I7556" s="12"/>
      <c r="J7556" s="12"/>
      <c r="K7556" s="12"/>
      <c r="L7556" s="12"/>
      <c r="M7556" s="11"/>
      <c r="N7556" s="11"/>
      <c r="O7556" s="11"/>
      <c r="P7556" s="11"/>
    </row>
    <row r="7557" spans="8:16" x14ac:dyDescent="0.25">
      <c r="H7557" s="12"/>
      <c r="I7557" s="12"/>
      <c r="J7557" s="12"/>
      <c r="K7557" s="12"/>
      <c r="L7557" s="12"/>
      <c r="M7557" s="11"/>
      <c r="N7557" s="11"/>
      <c r="O7557" s="11"/>
      <c r="P7557" s="11"/>
    </row>
    <row r="7558" spans="8:16" x14ac:dyDescent="0.25">
      <c r="H7558" s="12"/>
      <c r="I7558" s="12"/>
      <c r="J7558" s="12"/>
      <c r="K7558" s="12"/>
      <c r="L7558" s="12"/>
      <c r="M7558" s="11"/>
      <c r="N7558" s="11"/>
      <c r="O7558" s="11"/>
      <c r="P7558" s="11"/>
    </row>
    <row r="7559" spans="8:16" x14ac:dyDescent="0.25">
      <c r="H7559" s="12"/>
      <c r="I7559" s="12"/>
      <c r="J7559" s="12"/>
      <c r="K7559" s="12"/>
      <c r="L7559" s="12"/>
      <c r="M7559" s="11"/>
      <c r="N7559" s="11"/>
      <c r="O7559" s="11"/>
      <c r="P7559" s="11"/>
    </row>
    <row r="7560" spans="8:16" x14ac:dyDescent="0.25">
      <c r="H7560" s="12"/>
      <c r="I7560" s="12"/>
      <c r="J7560" s="12"/>
      <c r="K7560" s="12"/>
      <c r="L7560" s="12"/>
      <c r="M7560" s="11"/>
      <c r="N7560" s="11"/>
      <c r="O7560" s="11"/>
      <c r="P7560" s="11"/>
    </row>
    <row r="7561" spans="8:16" x14ac:dyDescent="0.25">
      <c r="H7561" s="12"/>
      <c r="I7561" s="12"/>
      <c r="J7561" s="12"/>
      <c r="K7561" s="12"/>
      <c r="L7561" s="12"/>
      <c r="M7561" s="11"/>
      <c r="N7561" s="11"/>
      <c r="O7561" s="11"/>
      <c r="P7561" s="11"/>
    </row>
    <row r="7562" spans="8:16" x14ac:dyDescent="0.25">
      <c r="H7562" s="12"/>
      <c r="I7562" s="12"/>
      <c r="J7562" s="12"/>
      <c r="K7562" s="12"/>
      <c r="L7562" s="12"/>
      <c r="M7562" s="11"/>
      <c r="N7562" s="11"/>
      <c r="O7562" s="11"/>
      <c r="P7562" s="11"/>
    </row>
    <row r="7563" spans="8:16" x14ac:dyDescent="0.25">
      <c r="H7563" s="12"/>
      <c r="I7563" s="12"/>
      <c r="J7563" s="12"/>
      <c r="K7563" s="12"/>
      <c r="L7563" s="12"/>
      <c r="M7563" s="11"/>
      <c r="N7563" s="11"/>
      <c r="O7563" s="11"/>
      <c r="P7563" s="11"/>
    </row>
    <row r="7564" spans="8:16" x14ac:dyDescent="0.25">
      <c r="H7564" s="12"/>
      <c r="I7564" s="12"/>
      <c r="J7564" s="12"/>
      <c r="K7564" s="12"/>
      <c r="L7564" s="12"/>
      <c r="M7564" s="11"/>
      <c r="N7564" s="11"/>
      <c r="O7564" s="11"/>
      <c r="P7564" s="11"/>
    </row>
    <row r="7565" spans="8:16" x14ac:dyDescent="0.25">
      <c r="H7565" s="12"/>
      <c r="I7565" s="12"/>
      <c r="J7565" s="12"/>
      <c r="K7565" s="12"/>
      <c r="L7565" s="12"/>
      <c r="M7565" s="11"/>
      <c r="N7565" s="11"/>
      <c r="O7565" s="11"/>
      <c r="P7565" s="11"/>
    </row>
    <row r="7566" spans="8:16" x14ac:dyDescent="0.25">
      <c r="H7566" s="12"/>
      <c r="I7566" s="12"/>
      <c r="J7566" s="12"/>
      <c r="K7566" s="12"/>
      <c r="L7566" s="12"/>
      <c r="M7566" s="11"/>
      <c r="N7566" s="11"/>
      <c r="O7566" s="11"/>
      <c r="P7566" s="11"/>
    </row>
    <row r="7567" spans="8:16" x14ac:dyDescent="0.25">
      <c r="H7567" s="12"/>
      <c r="I7567" s="12"/>
      <c r="J7567" s="12"/>
      <c r="K7567" s="12"/>
      <c r="L7567" s="12"/>
      <c r="M7567" s="11"/>
      <c r="N7567" s="11"/>
      <c r="O7567" s="11"/>
      <c r="P7567" s="11"/>
    </row>
    <row r="7568" spans="8:16" x14ac:dyDescent="0.25">
      <c r="H7568" s="12"/>
      <c r="I7568" s="12"/>
      <c r="J7568" s="12"/>
      <c r="K7568" s="12"/>
      <c r="L7568" s="12"/>
      <c r="M7568" s="11"/>
      <c r="N7568" s="11"/>
      <c r="O7568" s="11"/>
      <c r="P7568" s="11"/>
    </row>
    <row r="7569" spans="8:16" x14ac:dyDescent="0.25">
      <c r="H7569" s="12"/>
      <c r="I7569" s="12"/>
      <c r="J7569" s="12"/>
      <c r="K7569" s="12"/>
      <c r="L7569" s="12"/>
      <c r="M7569" s="11"/>
      <c r="N7569" s="11"/>
      <c r="O7569" s="11"/>
      <c r="P7569" s="11"/>
    </row>
    <row r="7570" spans="8:16" x14ac:dyDescent="0.25">
      <c r="H7570" s="12"/>
      <c r="I7570" s="12"/>
      <c r="J7570" s="12"/>
      <c r="K7570" s="12"/>
      <c r="L7570" s="12"/>
      <c r="M7570" s="11"/>
      <c r="N7570" s="11"/>
      <c r="O7570" s="11"/>
      <c r="P7570" s="11"/>
    </row>
    <row r="7571" spans="8:16" x14ac:dyDescent="0.25">
      <c r="H7571" s="12"/>
      <c r="I7571" s="12"/>
      <c r="J7571" s="12"/>
      <c r="K7571" s="12"/>
      <c r="L7571" s="12"/>
      <c r="M7571" s="11"/>
      <c r="N7571" s="11"/>
      <c r="O7571" s="11"/>
      <c r="P7571" s="11"/>
    </row>
    <row r="7572" spans="8:16" x14ac:dyDescent="0.25">
      <c r="H7572" s="12"/>
      <c r="I7572" s="12"/>
      <c r="J7572" s="12"/>
      <c r="K7572" s="12"/>
      <c r="L7572" s="12"/>
      <c r="M7572" s="11"/>
      <c r="N7572" s="11"/>
      <c r="O7572" s="11"/>
      <c r="P7572" s="11"/>
    </row>
    <row r="7573" spans="8:16" x14ac:dyDescent="0.25">
      <c r="H7573" s="12"/>
      <c r="I7573" s="12"/>
      <c r="J7573" s="12"/>
      <c r="K7573" s="12"/>
      <c r="L7573" s="12"/>
      <c r="M7573" s="11"/>
      <c r="N7573" s="11"/>
      <c r="O7573" s="11"/>
      <c r="P7573" s="11"/>
    </row>
    <row r="7574" spans="8:16" x14ac:dyDescent="0.25">
      <c r="H7574" s="12"/>
      <c r="I7574" s="12"/>
      <c r="J7574" s="12"/>
      <c r="K7574" s="12"/>
      <c r="L7574" s="12"/>
      <c r="M7574" s="11"/>
      <c r="N7574" s="11"/>
      <c r="O7574" s="11"/>
      <c r="P7574" s="11"/>
    </row>
    <row r="7575" spans="8:16" x14ac:dyDescent="0.25">
      <c r="H7575" s="12"/>
      <c r="I7575" s="12"/>
      <c r="J7575" s="12"/>
      <c r="K7575" s="12"/>
      <c r="L7575" s="12"/>
      <c r="M7575" s="11"/>
      <c r="N7575" s="11"/>
      <c r="O7575" s="11"/>
      <c r="P7575" s="11"/>
    </row>
    <row r="7576" spans="8:16" x14ac:dyDescent="0.25">
      <c r="H7576" s="12"/>
      <c r="I7576" s="12"/>
      <c r="J7576" s="12"/>
      <c r="K7576" s="12"/>
      <c r="L7576" s="12"/>
      <c r="M7576" s="11"/>
      <c r="N7576" s="11"/>
      <c r="O7576" s="11"/>
      <c r="P7576" s="11"/>
    </row>
    <row r="7577" spans="8:16" x14ac:dyDescent="0.25">
      <c r="H7577" s="12"/>
      <c r="I7577" s="12"/>
      <c r="J7577" s="12"/>
      <c r="K7577" s="12"/>
      <c r="L7577" s="12"/>
      <c r="M7577" s="11"/>
      <c r="N7577" s="11"/>
      <c r="O7577" s="11"/>
      <c r="P7577" s="11"/>
    </row>
    <row r="7578" spans="8:16" x14ac:dyDescent="0.25">
      <c r="H7578" s="12"/>
      <c r="I7578" s="12"/>
      <c r="J7578" s="12"/>
      <c r="K7578" s="12"/>
      <c r="L7578" s="12"/>
      <c r="M7578" s="11"/>
      <c r="N7578" s="11"/>
      <c r="O7578" s="11"/>
      <c r="P7578" s="11"/>
    </row>
    <row r="7579" spans="8:16" x14ac:dyDescent="0.25">
      <c r="H7579" s="12"/>
      <c r="I7579" s="12"/>
      <c r="J7579" s="12"/>
      <c r="K7579" s="12"/>
      <c r="L7579" s="12"/>
      <c r="M7579" s="11"/>
      <c r="N7579" s="11"/>
      <c r="O7579" s="11"/>
      <c r="P7579" s="11"/>
    </row>
    <row r="7580" spans="8:16" x14ac:dyDescent="0.25">
      <c r="H7580" s="12"/>
      <c r="I7580" s="12"/>
      <c r="J7580" s="12"/>
      <c r="K7580" s="12"/>
      <c r="L7580" s="12"/>
      <c r="M7580" s="11"/>
      <c r="N7580" s="11"/>
      <c r="O7580" s="11"/>
      <c r="P7580" s="11"/>
    </row>
    <row r="7581" spans="8:16" x14ac:dyDescent="0.25">
      <c r="H7581" s="12"/>
      <c r="I7581" s="12"/>
      <c r="J7581" s="12"/>
      <c r="K7581" s="12"/>
      <c r="L7581" s="12"/>
      <c r="M7581" s="11"/>
      <c r="N7581" s="11"/>
      <c r="O7581" s="11"/>
      <c r="P7581" s="11"/>
    </row>
    <row r="7582" spans="8:16" x14ac:dyDescent="0.25">
      <c r="H7582" s="12"/>
      <c r="I7582" s="12"/>
      <c r="J7582" s="12"/>
      <c r="K7582" s="12"/>
      <c r="L7582" s="12"/>
      <c r="M7582" s="11"/>
      <c r="N7582" s="11"/>
      <c r="O7582" s="11"/>
      <c r="P7582" s="11"/>
    </row>
    <row r="7583" spans="8:16" x14ac:dyDescent="0.25">
      <c r="H7583" s="12"/>
      <c r="I7583" s="12"/>
      <c r="J7583" s="12"/>
      <c r="K7583" s="12"/>
      <c r="L7583" s="12"/>
      <c r="M7583" s="11"/>
      <c r="N7583" s="11"/>
      <c r="O7583" s="11"/>
      <c r="P7583" s="11"/>
    </row>
    <row r="7584" spans="8:16" x14ac:dyDescent="0.25">
      <c r="H7584" s="12"/>
      <c r="I7584" s="12"/>
      <c r="J7584" s="12"/>
      <c r="K7584" s="12"/>
      <c r="L7584" s="12"/>
      <c r="M7584" s="11"/>
      <c r="N7584" s="11"/>
      <c r="O7584" s="11"/>
      <c r="P7584" s="11"/>
    </row>
    <row r="7585" spans="8:16" x14ac:dyDescent="0.25">
      <c r="H7585" s="12"/>
      <c r="I7585" s="12"/>
      <c r="J7585" s="12"/>
      <c r="K7585" s="12"/>
      <c r="L7585" s="12"/>
      <c r="M7585" s="11"/>
      <c r="N7585" s="11"/>
      <c r="O7585" s="11"/>
      <c r="P7585" s="11"/>
    </row>
    <row r="7586" spans="8:16" x14ac:dyDescent="0.25">
      <c r="H7586" s="12"/>
      <c r="I7586" s="12"/>
      <c r="J7586" s="12"/>
      <c r="K7586" s="12"/>
      <c r="L7586" s="12"/>
      <c r="M7586" s="11"/>
      <c r="N7586" s="11"/>
      <c r="O7586" s="11"/>
      <c r="P7586" s="11"/>
    </row>
    <row r="7587" spans="8:16" x14ac:dyDescent="0.25">
      <c r="H7587" s="12"/>
      <c r="I7587" s="12"/>
      <c r="J7587" s="12"/>
      <c r="K7587" s="12"/>
      <c r="L7587" s="12"/>
      <c r="M7587" s="11"/>
      <c r="N7587" s="11"/>
      <c r="O7587" s="11"/>
      <c r="P7587" s="11"/>
    </row>
    <row r="7588" spans="8:16" x14ac:dyDescent="0.25">
      <c r="H7588" s="12"/>
      <c r="I7588" s="12"/>
      <c r="J7588" s="12"/>
      <c r="K7588" s="12"/>
      <c r="L7588" s="12"/>
      <c r="M7588" s="11"/>
      <c r="N7588" s="11"/>
      <c r="O7588" s="11"/>
      <c r="P7588" s="11"/>
    </row>
    <row r="7589" spans="8:16" x14ac:dyDescent="0.25">
      <c r="H7589" s="12"/>
      <c r="I7589" s="12"/>
      <c r="J7589" s="12"/>
      <c r="K7589" s="12"/>
      <c r="L7589" s="12"/>
      <c r="M7589" s="11"/>
      <c r="N7589" s="11"/>
      <c r="O7589" s="11"/>
      <c r="P7589" s="11"/>
    </row>
    <row r="7590" spans="8:16" x14ac:dyDescent="0.25">
      <c r="H7590" s="12"/>
      <c r="I7590" s="12"/>
      <c r="J7590" s="12"/>
      <c r="K7590" s="12"/>
      <c r="L7590" s="12"/>
      <c r="M7590" s="11"/>
      <c r="N7590" s="11"/>
      <c r="O7590" s="11"/>
      <c r="P7590" s="11"/>
    </row>
    <row r="7591" spans="8:16" x14ac:dyDescent="0.25">
      <c r="H7591" s="12"/>
      <c r="I7591" s="12"/>
      <c r="J7591" s="12"/>
      <c r="K7591" s="12"/>
      <c r="L7591" s="12"/>
      <c r="M7591" s="11"/>
      <c r="N7591" s="11"/>
      <c r="O7591" s="11"/>
      <c r="P7591" s="11"/>
    </row>
    <row r="7592" spans="8:16" x14ac:dyDescent="0.25">
      <c r="H7592" s="12"/>
      <c r="I7592" s="12"/>
      <c r="J7592" s="12"/>
      <c r="K7592" s="12"/>
      <c r="L7592" s="12"/>
      <c r="M7592" s="11"/>
      <c r="N7592" s="11"/>
      <c r="O7592" s="11"/>
      <c r="P7592" s="11"/>
    </row>
    <row r="7593" spans="8:16" x14ac:dyDescent="0.25">
      <c r="H7593" s="12"/>
      <c r="I7593" s="12"/>
      <c r="J7593" s="12"/>
      <c r="K7593" s="12"/>
      <c r="L7593" s="12"/>
      <c r="M7593" s="11"/>
      <c r="N7593" s="11"/>
      <c r="O7593" s="11"/>
      <c r="P7593" s="11"/>
    </row>
    <row r="7594" spans="8:16" x14ac:dyDescent="0.25">
      <c r="H7594" s="12"/>
      <c r="I7594" s="12"/>
      <c r="J7594" s="12"/>
      <c r="K7594" s="12"/>
      <c r="L7594" s="12"/>
      <c r="M7594" s="11"/>
      <c r="N7594" s="11"/>
      <c r="O7594" s="11"/>
      <c r="P7594" s="11"/>
    </row>
    <row r="7595" spans="8:16" x14ac:dyDescent="0.25">
      <c r="H7595" s="12"/>
      <c r="I7595" s="12"/>
      <c r="J7595" s="12"/>
      <c r="K7595" s="12"/>
      <c r="L7595" s="12"/>
      <c r="M7595" s="11"/>
      <c r="N7595" s="11"/>
      <c r="O7595" s="11"/>
      <c r="P7595" s="11"/>
    </row>
    <row r="7596" spans="8:16" x14ac:dyDescent="0.25">
      <c r="H7596" s="12"/>
      <c r="I7596" s="12"/>
      <c r="J7596" s="12"/>
      <c r="K7596" s="12"/>
      <c r="L7596" s="12"/>
      <c r="M7596" s="11"/>
      <c r="N7596" s="11"/>
      <c r="O7596" s="11"/>
      <c r="P7596" s="11"/>
    </row>
    <row r="7597" spans="8:16" x14ac:dyDescent="0.25">
      <c r="H7597" s="12"/>
      <c r="I7597" s="12"/>
      <c r="J7597" s="12"/>
      <c r="K7597" s="12"/>
      <c r="L7597" s="12"/>
      <c r="M7597" s="11"/>
      <c r="N7597" s="11"/>
      <c r="O7597" s="11"/>
      <c r="P7597" s="11"/>
    </row>
    <row r="7598" spans="8:16" x14ac:dyDescent="0.25">
      <c r="H7598" s="12"/>
      <c r="I7598" s="12"/>
      <c r="J7598" s="12"/>
      <c r="K7598" s="12"/>
      <c r="L7598" s="12"/>
      <c r="M7598" s="11"/>
      <c r="N7598" s="11"/>
      <c r="O7598" s="11"/>
      <c r="P7598" s="11"/>
    </row>
    <row r="7599" spans="8:16" x14ac:dyDescent="0.25">
      <c r="H7599" s="12"/>
      <c r="I7599" s="12"/>
      <c r="J7599" s="12"/>
      <c r="K7599" s="12"/>
      <c r="L7599" s="12"/>
      <c r="M7599" s="11"/>
      <c r="N7599" s="11"/>
      <c r="O7599" s="11"/>
      <c r="P7599" s="11"/>
    </row>
    <row r="7600" spans="8:16" x14ac:dyDescent="0.25">
      <c r="H7600" s="12"/>
      <c r="I7600" s="12"/>
      <c r="J7600" s="12"/>
      <c r="K7600" s="12"/>
      <c r="L7600" s="12"/>
      <c r="M7600" s="11"/>
      <c r="N7600" s="11"/>
      <c r="O7600" s="11"/>
      <c r="P7600" s="11"/>
    </row>
    <row r="7601" spans="8:16" x14ac:dyDescent="0.25">
      <c r="H7601" s="12"/>
      <c r="I7601" s="12"/>
      <c r="J7601" s="12"/>
      <c r="K7601" s="12"/>
      <c r="L7601" s="12"/>
      <c r="M7601" s="11"/>
      <c r="N7601" s="11"/>
      <c r="O7601" s="11"/>
      <c r="P7601" s="11"/>
    </row>
    <row r="7602" spans="8:16" x14ac:dyDescent="0.25">
      <c r="H7602" s="12"/>
      <c r="I7602" s="12"/>
      <c r="J7602" s="12"/>
      <c r="K7602" s="12"/>
      <c r="L7602" s="12"/>
      <c r="M7602" s="11"/>
      <c r="N7602" s="11"/>
      <c r="O7602" s="11"/>
      <c r="P7602" s="11"/>
    </row>
    <row r="7603" spans="8:16" x14ac:dyDescent="0.25">
      <c r="H7603" s="12"/>
      <c r="I7603" s="12"/>
      <c r="J7603" s="12"/>
      <c r="K7603" s="12"/>
      <c r="L7603" s="12"/>
      <c r="M7603" s="11"/>
      <c r="N7603" s="11"/>
      <c r="O7603" s="11"/>
      <c r="P7603" s="11"/>
    </row>
    <row r="7604" spans="8:16" x14ac:dyDescent="0.25">
      <c r="H7604" s="12"/>
      <c r="I7604" s="12"/>
      <c r="J7604" s="12"/>
      <c r="K7604" s="12"/>
      <c r="L7604" s="12"/>
      <c r="M7604" s="11"/>
      <c r="N7604" s="11"/>
      <c r="O7604" s="11"/>
      <c r="P7604" s="11"/>
    </row>
    <row r="7605" spans="8:16" x14ac:dyDescent="0.25">
      <c r="H7605" s="12"/>
      <c r="I7605" s="12"/>
      <c r="J7605" s="12"/>
      <c r="K7605" s="12"/>
      <c r="L7605" s="12"/>
      <c r="M7605" s="11"/>
      <c r="N7605" s="11"/>
      <c r="O7605" s="11"/>
      <c r="P7605" s="11"/>
    </row>
    <row r="7606" spans="8:16" x14ac:dyDescent="0.25">
      <c r="H7606" s="12"/>
      <c r="I7606" s="12"/>
      <c r="J7606" s="12"/>
      <c r="K7606" s="12"/>
      <c r="L7606" s="12"/>
      <c r="M7606" s="11"/>
      <c r="N7606" s="11"/>
      <c r="O7606" s="11"/>
      <c r="P7606" s="11"/>
    </row>
    <row r="7607" spans="8:16" x14ac:dyDescent="0.25">
      <c r="H7607" s="12"/>
      <c r="I7607" s="12"/>
      <c r="J7607" s="12"/>
      <c r="K7607" s="12"/>
      <c r="L7607" s="12"/>
      <c r="M7607" s="11"/>
      <c r="N7607" s="11"/>
      <c r="O7607" s="11"/>
      <c r="P7607" s="11"/>
    </row>
    <row r="7608" spans="8:16" x14ac:dyDescent="0.25">
      <c r="H7608" s="12"/>
      <c r="I7608" s="12"/>
      <c r="J7608" s="12"/>
      <c r="K7608" s="12"/>
      <c r="L7608" s="12"/>
      <c r="M7608" s="11"/>
      <c r="N7608" s="11"/>
      <c r="O7608" s="11"/>
      <c r="P7608" s="11"/>
    </row>
    <row r="7609" spans="8:16" x14ac:dyDescent="0.25">
      <c r="H7609" s="12"/>
      <c r="I7609" s="12"/>
      <c r="J7609" s="12"/>
      <c r="K7609" s="12"/>
      <c r="L7609" s="12"/>
      <c r="M7609" s="11"/>
      <c r="N7609" s="11"/>
      <c r="O7609" s="11"/>
      <c r="P7609" s="11"/>
    </row>
    <row r="7610" spans="8:16" x14ac:dyDescent="0.25">
      <c r="H7610" s="12"/>
      <c r="I7610" s="12"/>
      <c r="J7610" s="12"/>
      <c r="K7610" s="12"/>
      <c r="L7610" s="12"/>
      <c r="M7610" s="11"/>
      <c r="N7610" s="11"/>
      <c r="O7610" s="11"/>
      <c r="P7610" s="11"/>
    </row>
    <row r="7611" spans="8:16" x14ac:dyDescent="0.25">
      <c r="H7611" s="12"/>
      <c r="I7611" s="12"/>
      <c r="J7611" s="12"/>
      <c r="K7611" s="12"/>
      <c r="L7611" s="12"/>
      <c r="M7611" s="11"/>
      <c r="N7611" s="11"/>
      <c r="O7611" s="11"/>
      <c r="P7611" s="11"/>
    </row>
    <row r="7612" spans="8:16" x14ac:dyDescent="0.25">
      <c r="H7612" s="12"/>
      <c r="I7612" s="12"/>
      <c r="J7612" s="12"/>
      <c r="K7612" s="12"/>
      <c r="L7612" s="12"/>
      <c r="M7612" s="11"/>
      <c r="N7612" s="11"/>
      <c r="O7612" s="11"/>
      <c r="P7612" s="11"/>
    </row>
    <row r="7613" spans="8:16" x14ac:dyDescent="0.25">
      <c r="H7613" s="12"/>
      <c r="I7613" s="12"/>
      <c r="J7613" s="12"/>
      <c r="K7613" s="12"/>
      <c r="L7613" s="12"/>
      <c r="M7613" s="11"/>
      <c r="N7613" s="11"/>
      <c r="O7613" s="11"/>
      <c r="P7613" s="11"/>
    </row>
    <row r="7614" spans="8:16" x14ac:dyDescent="0.25">
      <c r="H7614" s="12"/>
      <c r="I7614" s="12"/>
      <c r="J7614" s="12"/>
      <c r="K7614" s="12"/>
      <c r="L7614" s="12"/>
      <c r="M7614" s="11"/>
      <c r="N7614" s="11"/>
      <c r="O7614" s="11"/>
      <c r="P7614" s="11"/>
    </row>
    <row r="7615" spans="8:16" x14ac:dyDescent="0.25">
      <c r="H7615" s="12"/>
      <c r="I7615" s="12"/>
      <c r="J7615" s="12"/>
      <c r="K7615" s="12"/>
      <c r="L7615" s="12"/>
      <c r="M7615" s="11"/>
      <c r="N7615" s="11"/>
      <c r="O7615" s="11"/>
      <c r="P7615" s="11"/>
    </row>
    <row r="7616" spans="8:16" x14ac:dyDescent="0.25">
      <c r="H7616" s="12"/>
      <c r="I7616" s="12"/>
      <c r="J7616" s="12"/>
      <c r="K7616" s="12"/>
      <c r="L7616" s="12"/>
      <c r="M7616" s="11"/>
      <c r="N7616" s="11"/>
      <c r="O7616" s="11"/>
      <c r="P7616" s="11"/>
    </row>
    <row r="7617" spans="8:16" x14ac:dyDescent="0.25">
      <c r="H7617" s="12"/>
      <c r="I7617" s="12"/>
      <c r="J7617" s="12"/>
      <c r="K7617" s="12"/>
      <c r="L7617" s="12"/>
      <c r="M7617" s="11"/>
      <c r="N7617" s="11"/>
      <c r="O7617" s="11"/>
      <c r="P7617" s="11"/>
    </row>
    <row r="7618" spans="8:16" x14ac:dyDescent="0.25">
      <c r="H7618" s="12"/>
      <c r="I7618" s="12"/>
      <c r="J7618" s="12"/>
      <c r="K7618" s="12"/>
      <c r="L7618" s="12"/>
      <c r="M7618" s="11"/>
      <c r="N7618" s="11"/>
      <c r="O7618" s="11"/>
      <c r="P7618" s="11"/>
    </row>
    <row r="7619" spans="8:16" x14ac:dyDescent="0.25">
      <c r="H7619" s="12"/>
      <c r="I7619" s="12"/>
      <c r="J7619" s="12"/>
      <c r="K7619" s="12"/>
      <c r="L7619" s="12"/>
      <c r="M7619" s="11"/>
      <c r="N7619" s="11"/>
      <c r="O7619" s="11"/>
      <c r="P7619" s="11"/>
    </row>
    <row r="7620" spans="8:16" x14ac:dyDescent="0.25">
      <c r="H7620" s="12"/>
      <c r="I7620" s="12"/>
      <c r="J7620" s="12"/>
      <c r="K7620" s="12"/>
      <c r="L7620" s="12"/>
      <c r="M7620" s="11"/>
      <c r="N7620" s="11"/>
      <c r="O7620" s="11"/>
      <c r="P7620" s="11"/>
    </row>
    <row r="7621" spans="8:16" x14ac:dyDescent="0.25">
      <c r="H7621" s="12"/>
      <c r="I7621" s="12"/>
      <c r="J7621" s="12"/>
      <c r="K7621" s="12"/>
      <c r="L7621" s="12"/>
      <c r="M7621" s="11"/>
      <c r="N7621" s="11"/>
      <c r="O7621" s="11"/>
      <c r="P7621" s="11"/>
    </row>
    <row r="7622" spans="8:16" x14ac:dyDescent="0.25">
      <c r="H7622" s="12"/>
      <c r="I7622" s="12"/>
      <c r="J7622" s="12"/>
      <c r="K7622" s="12"/>
      <c r="L7622" s="12"/>
      <c r="M7622" s="11"/>
      <c r="N7622" s="11"/>
      <c r="O7622" s="11"/>
      <c r="P7622" s="11"/>
    </row>
    <row r="7623" spans="8:16" x14ac:dyDescent="0.25">
      <c r="H7623" s="12"/>
      <c r="I7623" s="12"/>
      <c r="J7623" s="12"/>
      <c r="K7623" s="12"/>
      <c r="L7623" s="12"/>
      <c r="M7623" s="11"/>
      <c r="N7623" s="11"/>
      <c r="O7623" s="11"/>
      <c r="P7623" s="11"/>
    </row>
    <row r="7624" spans="8:16" x14ac:dyDescent="0.25">
      <c r="H7624" s="12"/>
      <c r="I7624" s="12"/>
      <c r="J7624" s="12"/>
      <c r="K7624" s="12"/>
      <c r="L7624" s="12"/>
      <c r="M7624" s="11"/>
      <c r="N7624" s="11"/>
      <c r="O7624" s="11"/>
      <c r="P7624" s="11"/>
    </row>
    <row r="7625" spans="8:16" x14ac:dyDescent="0.25">
      <c r="H7625" s="12"/>
      <c r="I7625" s="12"/>
      <c r="J7625" s="12"/>
      <c r="K7625" s="12"/>
      <c r="L7625" s="12"/>
      <c r="M7625" s="11"/>
      <c r="N7625" s="11"/>
      <c r="O7625" s="11"/>
      <c r="P7625" s="11"/>
    </row>
    <row r="7626" spans="8:16" x14ac:dyDescent="0.25">
      <c r="H7626" s="12"/>
      <c r="I7626" s="12"/>
      <c r="J7626" s="12"/>
      <c r="K7626" s="12"/>
      <c r="L7626" s="12"/>
      <c r="M7626" s="11"/>
      <c r="N7626" s="11"/>
      <c r="O7626" s="11"/>
      <c r="P7626" s="11"/>
    </row>
    <row r="7627" spans="8:16" x14ac:dyDescent="0.25">
      <c r="H7627" s="12"/>
      <c r="I7627" s="12"/>
      <c r="J7627" s="12"/>
      <c r="K7627" s="12"/>
      <c r="L7627" s="12"/>
      <c r="M7627" s="11"/>
      <c r="N7627" s="11"/>
      <c r="O7627" s="11"/>
      <c r="P7627" s="11"/>
    </row>
    <row r="7628" spans="8:16" x14ac:dyDescent="0.25">
      <c r="H7628" s="12"/>
      <c r="I7628" s="12"/>
      <c r="J7628" s="12"/>
      <c r="K7628" s="12"/>
      <c r="L7628" s="12"/>
      <c r="M7628" s="11"/>
      <c r="N7628" s="11"/>
      <c r="O7628" s="11"/>
      <c r="P7628" s="11"/>
    </row>
    <row r="7629" spans="8:16" x14ac:dyDescent="0.25">
      <c r="H7629" s="12"/>
      <c r="I7629" s="12"/>
      <c r="J7629" s="12"/>
      <c r="K7629" s="12"/>
      <c r="L7629" s="12"/>
      <c r="M7629" s="11"/>
      <c r="N7629" s="11"/>
      <c r="O7629" s="11"/>
      <c r="P7629" s="11"/>
    </row>
    <row r="7630" spans="8:16" x14ac:dyDescent="0.25">
      <c r="H7630" s="12"/>
      <c r="I7630" s="12"/>
      <c r="J7630" s="12"/>
      <c r="K7630" s="12"/>
      <c r="L7630" s="12"/>
      <c r="M7630" s="11"/>
      <c r="N7630" s="11"/>
      <c r="O7630" s="11"/>
      <c r="P7630" s="11"/>
    </row>
    <row r="7631" spans="8:16" x14ac:dyDescent="0.25">
      <c r="H7631" s="12"/>
      <c r="I7631" s="12"/>
      <c r="J7631" s="12"/>
      <c r="K7631" s="12"/>
      <c r="L7631" s="12"/>
      <c r="M7631" s="11"/>
      <c r="N7631" s="11"/>
      <c r="O7631" s="11"/>
      <c r="P7631" s="11"/>
    </row>
    <row r="7632" spans="8:16" x14ac:dyDescent="0.25">
      <c r="H7632" s="12"/>
      <c r="I7632" s="12"/>
      <c r="J7632" s="12"/>
      <c r="K7632" s="12"/>
      <c r="L7632" s="12"/>
      <c r="M7632" s="11"/>
      <c r="N7632" s="11"/>
      <c r="O7632" s="11"/>
      <c r="P7632" s="11"/>
    </row>
    <row r="7633" spans="8:16" x14ac:dyDescent="0.25">
      <c r="H7633" s="12"/>
      <c r="I7633" s="12"/>
      <c r="J7633" s="12"/>
      <c r="K7633" s="12"/>
      <c r="L7633" s="12"/>
      <c r="M7633" s="11"/>
      <c r="N7633" s="11"/>
      <c r="O7633" s="11"/>
      <c r="P7633" s="11"/>
    </row>
    <row r="7634" spans="8:16" x14ac:dyDescent="0.25">
      <c r="H7634" s="12"/>
      <c r="I7634" s="12"/>
      <c r="J7634" s="12"/>
      <c r="K7634" s="12"/>
      <c r="L7634" s="12"/>
      <c r="M7634" s="11"/>
      <c r="N7634" s="11"/>
      <c r="O7634" s="11"/>
      <c r="P7634" s="11"/>
    </row>
    <row r="7635" spans="8:16" x14ac:dyDescent="0.25">
      <c r="H7635" s="12"/>
      <c r="I7635" s="12"/>
      <c r="J7635" s="12"/>
      <c r="K7635" s="12"/>
      <c r="L7635" s="12"/>
      <c r="M7635" s="11"/>
      <c r="N7635" s="11"/>
      <c r="O7635" s="11"/>
      <c r="P7635" s="11"/>
    </row>
    <row r="7636" spans="8:16" x14ac:dyDescent="0.25">
      <c r="H7636" s="12"/>
      <c r="I7636" s="12"/>
      <c r="J7636" s="12"/>
      <c r="K7636" s="12"/>
      <c r="L7636" s="12"/>
      <c r="M7636" s="11"/>
      <c r="N7636" s="11"/>
      <c r="O7636" s="11"/>
      <c r="P7636" s="11"/>
    </row>
    <row r="7637" spans="8:16" x14ac:dyDescent="0.25">
      <c r="H7637" s="12"/>
      <c r="I7637" s="12"/>
      <c r="J7637" s="12"/>
      <c r="K7637" s="12"/>
      <c r="L7637" s="12"/>
      <c r="M7637" s="11"/>
      <c r="N7637" s="11"/>
      <c r="O7637" s="11"/>
      <c r="P7637" s="11"/>
    </row>
    <row r="7638" spans="8:16" x14ac:dyDescent="0.25">
      <c r="H7638" s="12"/>
      <c r="I7638" s="12"/>
      <c r="J7638" s="12"/>
      <c r="K7638" s="12"/>
      <c r="L7638" s="12"/>
      <c r="M7638" s="11"/>
      <c r="N7638" s="11"/>
      <c r="O7638" s="11"/>
      <c r="P7638" s="11"/>
    </row>
    <row r="7639" spans="8:16" x14ac:dyDescent="0.25">
      <c r="H7639" s="12"/>
      <c r="I7639" s="12"/>
      <c r="J7639" s="12"/>
      <c r="K7639" s="12"/>
      <c r="L7639" s="12"/>
      <c r="M7639" s="11"/>
      <c r="N7639" s="11"/>
      <c r="O7639" s="11"/>
      <c r="P7639" s="11"/>
    </row>
    <row r="7640" spans="8:16" x14ac:dyDescent="0.25">
      <c r="H7640" s="12"/>
      <c r="I7640" s="12"/>
      <c r="J7640" s="12"/>
      <c r="K7640" s="12"/>
      <c r="L7640" s="12"/>
      <c r="M7640" s="11"/>
      <c r="N7640" s="11"/>
      <c r="O7640" s="11"/>
      <c r="P7640" s="11"/>
    </row>
    <row r="7641" spans="8:16" x14ac:dyDescent="0.25">
      <c r="H7641" s="12"/>
      <c r="I7641" s="12"/>
      <c r="J7641" s="12"/>
      <c r="K7641" s="12"/>
      <c r="L7641" s="12"/>
      <c r="M7641" s="11"/>
      <c r="N7641" s="11"/>
      <c r="O7641" s="11"/>
      <c r="P7641" s="11"/>
    </row>
    <row r="7642" spans="8:16" x14ac:dyDescent="0.25">
      <c r="H7642" s="12"/>
      <c r="I7642" s="12"/>
      <c r="J7642" s="12"/>
      <c r="K7642" s="12"/>
      <c r="L7642" s="12"/>
      <c r="M7642" s="11"/>
      <c r="N7642" s="11"/>
      <c r="O7642" s="11"/>
      <c r="P7642" s="11"/>
    </row>
    <row r="7643" spans="8:16" x14ac:dyDescent="0.25">
      <c r="H7643" s="12"/>
      <c r="I7643" s="12"/>
      <c r="J7643" s="12"/>
      <c r="K7643" s="12"/>
      <c r="L7643" s="12"/>
      <c r="M7643" s="11"/>
      <c r="N7643" s="11"/>
      <c r="O7643" s="11"/>
      <c r="P7643" s="11"/>
    </row>
    <row r="7644" spans="8:16" x14ac:dyDescent="0.25">
      <c r="H7644" s="12"/>
      <c r="I7644" s="12"/>
      <c r="J7644" s="12"/>
      <c r="K7644" s="12"/>
      <c r="L7644" s="12"/>
      <c r="M7644" s="11"/>
      <c r="N7644" s="11"/>
      <c r="O7644" s="11"/>
      <c r="P7644" s="11"/>
    </row>
    <row r="7645" spans="8:16" x14ac:dyDescent="0.25">
      <c r="H7645" s="12"/>
      <c r="I7645" s="12"/>
      <c r="J7645" s="12"/>
      <c r="K7645" s="12"/>
      <c r="L7645" s="12"/>
      <c r="M7645" s="11"/>
      <c r="N7645" s="11"/>
      <c r="O7645" s="11"/>
      <c r="P7645" s="11"/>
    </row>
    <row r="7646" spans="8:16" x14ac:dyDescent="0.25">
      <c r="H7646" s="12"/>
      <c r="I7646" s="12"/>
      <c r="J7646" s="12"/>
      <c r="K7646" s="12"/>
      <c r="L7646" s="12"/>
      <c r="M7646" s="11"/>
      <c r="N7646" s="11"/>
      <c r="O7646" s="11"/>
      <c r="P7646" s="11"/>
    </row>
    <row r="7647" spans="8:16" x14ac:dyDescent="0.25">
      <c r="H7647" s="12"/>
      <c r="I7647" s="12"/>
      <c r="J7647" s="12"/>
      <c r="K7647" s="12"/>
      <c r="L7647" s="12"/>
      <c r="M7647" s="11"/>
      <c r="N7647" s="11"/>
      <c r="O7647" s="11"/>
      <c r="P7647" s="11"/>
    </row>
    <row r="7648" spans="8:16" x14ac:dyDescent="0.25">
      <c r="H7648" s="12"/>
      <c r="I7648" s="12"/>
      <c r="J7648" s="12"/>
      <c r="K7648" s="12"/>
      <c r="L7648" s="12"/>
      <c r="M7648" s="11"/>
      <c r="N7648" s="11"/>
      <c r="O7648" s="11"/>
      <c r="P7648" s="11"/>
    </row>
    <row r="7649" spans="8:16" x14ac:dyDescent="0.25">
      <c r="H7649" s="12"/>
      <c r="I7649" s="12"/>
      <c r="J7649" s="12"/>
      <c r="K7649" s="12"/>
      <c r="L7649" s="12"/>
      <c r="M7649" s="11"/>
      <c r="N7649" s="11"/>
      <c r="O7649" s="11"/>
      <c r="P7649" s="11"/>
    </row>
    <row r="7650" spans="8:16" x14ac:dyDescent="0.25">
      <c r="H7650" s="12"/>
      <c r="I7650" s="12"/>
      <c r="J7650" s="12"/>
      <c r="K7650" s="12"/>
      <c r="L7650" s="12"/>
      <c r="M7650" s="11"/>
      <c r="N7650" s="11"/>
      <c r="O7650" s="11"/>
      <c r="P7650" s="11"/>
    </row>
    <row r="7651" spans="8:16" x14ac:dyDescent="0.25">
      <c r="H7651" s="12"/>
      <c r="I7651" s="12"/>
      <c r="J7651" s="12"/>
      <c r="K7651" s="12"/>
      <c r="L7651" s="12"/>
      <c r="M7651" s="11"/>
      <c r="N7651" s="11"/>
      <c r="O7651" s="11"/>
      <c r="P7651" s="11"/>
    </row>
    <row r="7652" spans="8:16" x14ac:dyDescent="0.25">
      <c r="H7652" s="12"/>
      <c r="I7652" s="12"/>
      <c r="J7652" s="12"/>
      <c r="K7652" s="12"/>
      <c r="L7652" s="12"/>
      <c r="M7652" s="11"/>
      <c r="N7652" s="11"/>
      <c r="O7652" s="11"/>
      <c r="P7652" s="11"/>
    </row>
    <row r="7653" spans="8:16" x14ac:dyDescent="0.25">
      <c r="H7653" s="12"/>
      <c r="I7653" s="12"/>
      <c r="J7653" s="12"/>
      <c r="K7653" s="12"/>
      <c r="L7653" s="12"/>
      <c r="M7653" s="11"/>
      <c r="N7653" s="11"/>
      <c r="O7653" s="11"/>
      <c r="P7653" s="11"/>
    </row>
    <row r="7654" spans="8:16" x14ac:dyDescent="0.25">
      <c r="H7654" s="12"/>
      <c r="I7654" s="12"/>
      <c r="J7654" s="12"/>
      <c r="K7654" s="12"/>
      <c r="L7654" s="12"/>
      <c r="M7654" s="11"/>
      <c r="N7654" s="11"/>
      <c r="O7654" s="11"/>
      <c r="P7654" s="11"/>
    </row>
    <row r="7655" spans="8:16" x14ac:dyDescent="0.25">
      <c r="H7655" s="12"/>
      <c r="I7655" s="12"/>
      <c r="J7655" s="12"/>
      <c r="K7655" s="12"/>
      <c r="L7655" s="12"/>
      <c r="M7655" s="11"/>
      <c r="N7655" s="11"/>
      <c r="O7655" s="11"/>
      <c r="P7655" s="11"/>
    </row>
    <row r="7656" spans="8:16" x14ac:dyDescent="0.25">
      <c r="H7656" s="12"/>
      <c r="I7656" s="12"/>
      <c r="J7656" s="12"/>
      <c r="K7656" s="12"/>
      <c r="L7656" s="12"/>
      <c r="M7656" s="11"/>
      <c r="N7656" s="11"/>
      <c r="O7656" s="11"/>
      <c r="P7656" s="11"/>
    </row>
    <row r="7657" spans="8:16" x14ac:dyDescent="0.25">
      <c r="H7657" s="12"/>
      <c r="I7657" s="12"/>
      <c r="J7657" s="12"/>
      <c r="K7657" s="12"/>
      <c r="L7657" s="12"/>
      <c r="M7657" s="11"/>
      <c r="N7657" s="11"/>
      <c r="O7657" s="11"/>
      <c r="P7657" s="11"/>
    </row>
    <row r="7658" spans="8:16" x14ac:dyDescent="0.25">
      <c r="H7658" s="12"/>
      <c r="I7658" s="12"/>
      <c r="J7658" s="12"/>
      <c r="K7658" s="12"/>
      <c r="L7658" s="12"/>
      <c r="M7658" s="11"/>
      <c r="N7658" s="11"/>
      <c r="O7658" s="11"/>
      <c r="P7658" s="11"/>
    </row>
    <row r="7659" spans="8:16" x14ac:dyDescent="0.25">
      <c r="H7659" s="12"/>
      <c r="I7659" s="12"/>
      <c r="J7659" s="12"/>
      <c r="K7659" s="12"/>
      <c r="L7659" s="12"/>
      <c r="M7659" s="11"/>
      <c r="N7659" s="11"/>
      <c r="O7659" s="11"/>
      <c r="P7659" s="11"/>
    </row>
    <row r="7660" spans="8:16" x14ac:dyDescent="0.25">
      <c r="H7660" s="12"/>
      <c r="I7660" s="12"/>
      <c r="J7660" s="12"/>
      <c r="K7660" s="12"/>
      <c r="L7660" s="12"/>
      <c r="M7660" s="11"/>
      <c r="N7660" s="11"/>
      <c r="O7660" s="11"/>
      <c r="P7660" s="11"/>
    </row>
    <row r="7661" spans="8:16" x14ac:dyDescent="0.25">
      <c r="H7661" s="12"/>
      <c r="I7661" s="12"/>
      <c r="J7661" s="12"/>
      <c r="K7661" s="12"/>
      <c r="L7661" s="12"/>
      <c r="M7661" s="11"/>
      <c r="N7661" s="11"/>
      <c r="O7661" s="11"/>
      <c r="P7661" s="11"/>
    </row>
    <row r="7662" spans="8:16" x14ac:dyDescent="0.25">
      <c r="H7662" s="12"/>
      <c r="I7662" s="12"/>
      <c r="J7662" s="12"/>
      <c r="K7662" s="12"/>
      <c r="L7662" s="12"/>
      <c r="M7662" s="11"/>
      <c r="N7662" s="11"/>
      <c r="O7662" s="11"/>
      <c r="P7662" s="11"/>
    </row>
    <row r="7663" spans="8:16" x14ac:dyDescent="0.25">
      <c r="H7663" s="12"/>
      <c r="I7663" s="12"/>
      <c r="J7663" s="12"/>
      <c r="K7663" s="12"/>
      <c r="L7663" s="12"/>
      <c r="M7663" s="11"/>
      <c r="N7663" s="11"/>
      <c r="O7663" s="11"/>
      <c r="P7663" s="11"/>
    </row>
    <row r="7664" spans="8:16" x14ac:dyDescent="0.25">
      <c r="H7664" s="12"/>
      <c r="I7664" s="12"/>
      <c r="J7664" s="12"/>
      <c r="K7664" s="12"/>
      <c r="L7664" s="12"/>
      <c r="M7664" s="11"/>
      <c r="N7664" s="11"/>
      <c r="O7664" s="11"/>
      <c r="P7664" s="11"/>
    </row>
    <row r="7665" spans="8:16" x14ac:dyDescent="0.25">
      <c r="H7665" s="12"/>
      <c r="I7665" s="12"/>
      <c r="J7665" s="12"/>
      <c r="K7665" s="12"/>
      <c r="L7665" s="12"/>
      <c r="M7665" s="11"/>
      <c r="N7665" s="11"/>
      <c r="O7665" s="11"/>
      <c r="P7665" s="11"/>
    </row>
    <row r="7666" spans="8:16" x14ac:dyDescent="0.25">
      <c r="H7666" s="12"/>
      <c r="I7666" s="12"/>
      <c r="J7666" s="12"/>
      <c r="K7666" s="12"/>
      <c r="L7666" s="12"/>
      <c r="M7666" s="11"/>
      <c r="N7666" s="11"/>
      <c r="O7666" s="11"/>
      <c r="P7666" s="11"/>
    </row>
    <row r="7667" spans="8:16" x14ac:dyDescent="0.25">
      <c r="H7667" s="12"/>
      <c r="I7667" s="12"/>
      <c r="J7667" s="12"/>
      <c r="K7667" s="12"/>
      <c r="L7667" s="12"/>
      <c r="M7667" s="11"/>
      <c r="N7667" s="11"/>
      <c r="O7667" s="11"/>
      <c r="P7667" s="11"/>
    </row>
    <row r="7668" spans="8:16" x14ac:dyDescent="0.25">
      <c r="H7668" s="12"/>
      <c r="I7668" s="12"/>
      <c r="J7668" s="12"/>
      <c r="K7668" s="12"/>
      <c r="L7668" s="12"/>
      <c r="M7668" s="11"/>
      <c r="N7668" s="11"/>
      <c r="O7668" s="11"/>
      <c r="P7668" s="11"/>
    </row>
    <row r="7669" spans="8:16" x14ac:dyDescent="0.25">
      <c r="H7669" s="12"/>
      <c r="I7669" s="12"/>
      <c r="J7669" s="12"/>
      <c r="K7669" s="12"/>
      <c r="L7669" s="12"/>
      <c r="M7669" s="11"/>
      <c r="N7669" s="11"/>
      <c r="O7669" s="11"/>
      <c r="P7669" s="11"/>
    </row>
    <row r="7670" spans="8:16" x14ac:dyDescent="0.25">
      <c r="H7670" s="12"/>
      <c r="I7670" s="12"/>
      <c r="J7670" s="12"/>
      <c r="K7670" s="12"/>
      <c r="L7670" s="12"/>
      <c r="M7670" s="11"/>
      <c r="N7670" s="11"/>
      <c r="O7670" s="11"/>
      <c r="P7670" s="11"/>
    </row>
    <row r="7671" spans="8:16" x14ac:dyDescent="0.25">
      <c r="H7671" s="12"/>
      <c r="I7671" s="12"/>
      <c r="J7671" s="12"/>
      <c r="K7671" s="12"/>
      <c r="L7671" s="12"/>
      <c r="M7671" s="11"/>
      <c r="N7671" s="11"/>
      <c r="O7671" s="11"/>
      <c r="P7671" s="11"/>
    </row>
    <row r="7672" spans="8:16" x14ac:dyDescent="0.25">
      <c r="H7672" s="12"/>
      <c r="I7672" s="12"/>
      <c r="J7672" s="12"/>
      <c r="K7672" s="12"/>
      <c r="L7672" s="12"/>
      <c r="M7672" s="11"/>
      <c r="N7672" s="11"/>
      <c r="O7672" s="11"/>
      <c r="P7672" s="11"/>
    </row>
    <row r="7673" spans="8:16" x14ac:dyDescent="0.25">
      <c r="H7673" s="12"/>
      <c r="I7673" s="12"/>
      <c r="J7673" s="12"/>
      <c r="K7673" s="12"/>
      <c r="L7673" s="12"/>
      <c r="M7673" s="11"/>
      <c r="N7673" s="11"/>
      <c r="O7673" s="11"/>
      <c r="P7673" s="11"/>
    </row>
    <row r="7674" spans="8:16" x14ac:dyDescent="0.25">
      <c r="H7674" s="12"/>
      <c r="I7674" s="12"/>
      <c r="J7674" s="12"/>
      <c r="K7674" s="12"/>
      <c r="L7674" s="12"/>
      <c r="M7674" s="11"/>
      <c r="N7674" s="11"/>
      <c r="O7674" s="11"/>
      <c r="P7674" s="11"/>
    </row>
    <row r="7675" spans="8:16" x14ac:dyDescent="0.25">
      <c r="H7675" s="12"/>
      <c r="I7675" s="12"/>
      <c r="J7675" s="12"/>
      <c r="K7675" s="12"/>
      <c r="L7675" s="12"/>
      <c r="M7675" s="11"/>
      <c r="N7675" s="11"/>
      <c r="O7675" s="11"/>
      <c r="P7675" s="11"/>
    </row>
    <row r="7676" spans="8:16" x14ac:dyDescent="0.25">
      <c r="H7676" s="12"/>
      <c r="I7676" s="12"/>
      <c r="J7676" s="12"/>
      <c r="K7676" s="12"/>
      <c r="L7676" s="12"/>
      <c r="M7676" s="11"/>
      <c r="N7676" s="11"/>
      <c r="O7676" s="11"/>
      <c r="P7676" s="11"/>
    </row>
    <row r="7677" spans="8:16" x14ac:dyDescent="0.25">
      <c r="H7677" s="12"/>
      <c r="I7677" s="12"/>
      <c r="J7677" s="12"/>
      <c r="K7677" s="12"/>
      <c r="L7677" s="12"/>
      <c r="M7677" s="11"/>
      <c r="N7677" s="11"/>
      <c r="O7677" s="11"/>
      <c r="P7677" s="11"/>
    </row>
    <row r="7678" spans="8:16" x14ac:dyDescent="0.25">
      <c r="H7678" s="12"/>
      <c r="I7678" s="12"/>
      <c r="J7678" s="12"/>
      <c r="K7678" s="12"/>
      <c r="L7678" s="12"/>
      <c r="M7678" s="11"/>
      <c r="N7678" s="11"/>
      <c r="O7678" s="11"/>
      <c r="P7678" s="11"/>
    </row>
    <row r="7679" spans="8:16" x14ac:dyDescent="0.25">
      <c r="H7679" s="12"/>
      <c r="I7679" s="12"/>
      <c r="J7679" s="12"/>
      <c r="K7679" s="12"/>
      <c r="L7679" s="12"/>
      <c r="M7679" s="11"/>
      <c r="N7679" s="11"/>
      <c r="O7679" s="11"/>
      <c r="P7679" s="11"/>
    </row>
    <row r="7680" spans="8:16" x14ac:dyDescent="0.25">
      <c r="H7680" s="12"/>
      <c r="I7680" s="12"/>
      <c r="J7680" s="12"/>
      <c r="K7680" s="12"/>
      <c r="L7680" s="12"/>
      <c r="M7680" s="11"/>
      <c r="N7680" s="11"/>
      <c r="O7680" s="11"/>
      <c r="P7680" s="11"/>
    </row>
    <row r="7681" spans="8:16" x14ac:dyDescent="0.25">
      <c r="H7681" s="12"/>
      <c r="I7681" s="12"/>
      <c r="J7681" s="12"/>
      <c r="K7681" s="12"/>
      <c r="L7681" s="12"/>
      <c r="M7681" s="11"/>
      <c r="N7681" s="11"/>
      <c r="O7681" s="11"/>
      <c r="P7681" s="11"/>
    </row>
    <row r="7682" spans="8:16" x14ac:dyDescent="0.25">
      <c r="H7682" s="12"/>
      <c r="I7682" s="12"/>
      <c r="J7682" s="12"/>
      <c r="K7682" s="12"/>
      <c r="L7682" s="12"/>
      <c r="M7682" s="11"/>
      <c r="N7682" s="11"/>
      <c r="O7682" s="11"/>
      <c r="P7682" s="11"/>
    </row>
    <row r="7683" spans="8:16" x14ac:dyDescent="0.25">
      <c r="H7683" s="12"/>
      <c r="I7683" s="12"/>
      <c r="J7683" s="12"/>
      <c r="K7683" s="12"/>
      <c r="L7683" s="12"/>
      <c r="M7683" s="11"/>
      <c r="N7683" s="11"/>
      <c r="O7683" s="11"/>
      <c r="P7683" s="11"/>
    </row>
    <row r="7684" spans="8:16" x14ac:dyDescent="0.25">
      <c r="H7684" s="12"/>
      <c r="I7684" s="12"/>
      <c r="J7684" s="12"/>
      <c r="K7684" s="12"/>
      <c r="L7684" s="12"/>
      <c r="M7684" s="11"/>
      <c r="N7684" s="11"/>
      <c r="O7684" s="11"/>
      <c r="P7684" s="11"/>
    </row>
    <row r="7685" spans="8:16" x14ac:dyDescent="0.25">
      <c r="H7685" s="12"/>
      <c r="I7685" s="12"/>
      <c r="J7685" s="12"/>
      <c r="K7685" s="12"/>
      <c r="L7685" s="12"/>
      <c r="M7685" s="11"/>
      <c r="N7685" s="11"/>
      <c r="O7685" s="11"/>
      <c r="P7685" s="11"/>
    </row>
    <row r="7686" spans="8:16" x14ac:dyDescent="0.25">
      <c r="H7686" s="12"/>
      <c r="I7686" s="12"/>
      <c r="J7686" s="12"/>
      <c r="K7686" s="12"/>
      <c r="L7686" s="12"/>
      <c r="M7686" s="11"/>
      <c r="N7686" s="11"/>
      <c r="O7686" s="11"/>
      <c r="P7686" s="11"/>
    </row>
    <row r="7687" spans="8:16" x14ac:dyDescent="0.25">
      <c r="H7687" s="12"/>
      <c r="I7687" s="12"/>
      <c r="J7687" s="12"/>
      <c r="K7687" s="12"/>
      <c r="L7687" s="12"/>
      <c r="M7687" s="11"/>
      <c r="N7687" s="11"/>
      <c r="O7687" s="11"/>
      <c r="P7687" s="11"/>
    </row>
    <row r="7688" spans="8:16" x14ac:dyDescent="0.25">
      <c r="H7688" s="12"/>
      <c r="I7688" s="12"/>
      <c r="J7688" s="12"/>
      <c r="K7688" s="12"/>
      <c r="L7688" s="12"/>
      <c r="M7688" s="11"/>
      <c r="N7688" s="11"/>
      <c r="O7688" s="11"/>
      <c r="P7688" s="11"/>
    </row>
    <row r="7689" spans="8:16" x14ac:dyDescent="0.25">
      <c r="H7689" s="12"/>
      <c r="I7689" s="12"/>
      <c r="J7689" s="12"/>
      <c r="K7689" s="12"/>
      <c r="L7689" s="12"/>
      <c r="M7689" s="11"/>
      <c r="N7689" s="11"/>
      <c r="O7689" s="11"/>
      <c r="P7689" s="11"/>
    </row>
    <row r="7690" spans="8:16" x14ac:dyDescent="0.25">
      <c r="H7690" s="12"/>
      <c r="I7690" s="12"/>
      <c r="J7690" s="12"/>
      <c r="K7690" s="12"/>
      <c r="L7690" s="12"/>
      <c r="M7690" s="11"/>
      <c r="N7690" s="11"/>
      <c r="O7690" s="11"/>
      <c r="P7690" s="11"/>
    </row>
    <row r="7691" spans="8:16" x14ac:dyDescent="0.25">
      <c r="H7691" s="12"/>
      <c r="I7691" s="12"/>
      <c r="J7691" s="12"/>
      <c r="K7691" s="12"/>
      <c r="L7691" s="12"/>
      <c r="M7691" s="11"/>
      <c r="N7691" s="11"/>
      <c r="O7691" s="11"/>
      <c r="P7691" s="11"/>
    </row>
    <row r="7692" spans="8:16" x14ac:dyDescent="0.25">
      <c r="H7692" s="12"/>
      <c r="I7692" s="12"/>
      <c r="J7692" s="12"/>
      <c r="K7692" s="12"/>
      <c r="L7692" s="12"/>
      <c r="M7692" s="11"/>
      <c r="N7692" s="11"/>
      <c r="O7692" s="11"/>
      <c r="P7692" s="11"/>
    </row>
    <row r="7693" spans="8:16" x14ac:dyDescent="0.25">
      <c r="H7693" s="12"/>
      <c r="I7693" s="12"/>
      <c r="J7693" s="12"/>
      <c r="K7693" s="12"/>
      <c r="L7693" s="12"/>
      <c r="M7693" s="11"/>
      <c r="N7693" s="11"/>
      <c r="O7693" s="11"/>
      <c r="P7693" s="11"/>
    </row>
    <row r="7694" spans="8:16" x14ac:dyDescent="0.25">
      <c r="H7694" s="12"/>
      <c r="I7694" s="12"/>
      <c r="J7694" s="12"/>
      <c r="K7694" s="12"/>
      <c r="L7694" s="12"/>
      <c r="M7694" s="11"/>
      <c r="N7694" s="11"/>
      <c r="O7694" s="11"/>
      <c r="P7694" s="11"/>
    </row>
    <row r="7695" spans="8:16" x14ac:dyDescent="0.25">
      <c r="H7695" s="12"/>
      <c r="I7695" s="12"/>
      <c r="J7695" s="12"/>
      <c r="K7695" s="12"/>
      <c r="L7695" s="12"/>
      <c r="M7695" s="11"/>
      <c r="N7695" s="11"/>
      <c r="O7695" s="11"/>
      <c r="P7695" s="11"/>
    </row>
    <row r="7696" spans="8:16" x14ac:dyDescent="0.25">
      <c r="H7696" s="12"/>
      <c r="I7696" s="12"/>
      <c r="J7696" s="12"/>
      <c r="K7696" s="12"/>
      <c r="L7696" s="12"/>
      <c r="M7696" s="11"/>
      <c r="N7696" s="11"/>
      <c r="O7696" s="11"/>
      <c r="P7696" s="11"/>
    </row>
    <row r="7697" spans="8:16" x14ac:dyDescent="0.25">
      <c r="H7697" s="12"/>
      <c r="I7697" s="12"/>
      <c r="J7697" s="12"/>
      <c r="K7697" s="12"/>
      <c r="L7697" s="12"/>
      <c r="M7697" s="11"/>
      <c r="N7697" s="11"/>
      <c r="O7697" s="11"/>
      <c r="P7697" s="11"/>
    </row>
    <row r="7698" spans="8:16" x14ac:dyDescent="0.25">
      <c r="H7698" s="12"/>
      <c r="I7698" s="12"/>
      <c r="J7698" s="12"/>
      <c r="K7698" s="12"/>
      <c r="L7698" s="12"/>
      <c r="M7698" s="11"/>
      <c r="N7698" s="11"/>
      <c r="O7698" s="11"/>
      <c r="P7698" s="11"/>
    </row>
    <row r="7699" spans="8:16" x14ac:dyDescent="0.25">
      <c r="H7699" s="12"/>
      <c r="I7699" s="12"/>
      <c r="J7699" s="12"/>
      <c r="K7699" s="12"/>
      <c r="L7699" s="12"/>
      <c r="M7699" s="11"/>
      <c r="N7699" s="11"/>
      <c r="O7699" s="11"/>
      <c r="P7699" s="11"/>
    </row>
    <row r="7700" spans="8:16" x14ac:dyDescent="0.25">
      <c r="H7700" s="12"/>
      <c r="I7700" s="12"/>
      <c r="J7700" s="12"/>
      <c r="K7700" s="12"/>
      <c r="L7700" s="12"/>
      <c r="M7700" s="11"/>
      <c r="N7700" s="11"/>
      <c r="O7700" s="11"/>
      <c r="P7700" s="11"/>
    </row>
    <row r="7701" spans="8:16" x14ac:dyDescent="0.25">
      <c r="H7701" s="12"/>
      <c r="I7701" s="12"/>
      <c r="J7701" s="12"/>
      <c r="K7701" s="12"/>
      <c r="L7701" s="12"/>
      <c r="M7701" s="11"/>
      <c r="N7701" s="11"/>
      <c r="O7701" s="11"/>
      <c r="P7701" s="11"/>
    </row>
    <row r="7702" spans="8:16" x14ac:dyDescent="0.25">
      <c r="H7702" s="12"/>
      <c r="I7702" s="12"/>
      <c r="J7702" s="12"/>
      <c r="K7702" s="12"/>
      <c r="L7702" s="12"/>
      <c r="M7702" s="11"/>
      <c r="N7702" s="11"/>
      <c r="O7702" s="11"/>
      <c r="P7702" s="11"/>
    </row>
    <row r="7703" spans="8:16" x14ac:dyDescent="0.25">
      <c r="H7703" s="12"/>
      <c r="I7703" s="12"/>
      <c r="J7703" s="12"/>
      <c r="K7703" s="12"/>
      <c r="L7703" s="12"/>
      <c r="M7703" s="11"/>
      <c r="N7703" s="11"/>
      <c r="O7703" s="11"/>
      <c r="P7703" s="11"/>
    </row>
    <row r="7704" spans="8:16" x14ac:dyDescent="0.25">
      <c r="H7704" s="12"/>
      <c r="I7704" s="12"/>
      <c r="J7704" s="12"/>
      <c r="K7704" s="12"/>
      <c r="L7704" s="12"/>
      <c r="M7704" s="11"/>
      <c r="N7704" s="11"/>
      <c r="O7704" s="11"/>
      <c r="P7704" s="11"/>
    </row>
    <row r="7705" spans="8:16" x14ac:dyDescent="0.25">
      <c r="H7705" s="12"/>
      <c r="I7705" s="12"/>
      <c r="J7705" s="12"/>
      <c r="K7705" s="12"/>
      <c r="L7705" s="12"/>
      <c r="M7705" s="11"/>
      <c r="N7705" s="11"/>
      <c r="O7705" s="11"/>
      <c r="P7705" s="11"/>
    </row>
    <row r="7706" spans="8:16" x14ac:dyDescent="0.25">
      <c r="H7706" s="12"/>
      <c r="I7706" s="12"/>
      <c r="J7706" s="12"/>
      <c r="K7706" s="12"/>
      <c r="L7706" s="12"/>
      <c r="M7706" s="11"/>
      <c r="N7706" s="11"/>
      <c r="O7706" s="11"/>
      <c r="P7706" s="11"/>
    </row>
    <row r="7707" spans="8:16" x14ac:dyDescent="0.25">
      <c r="H7707" s="12"/>
      <c r="I7707" s="12"/>
      <c r="J7707" s="12"/>
      <c r="K7707" s="12"/>
      <c r="L7707" s="12"/>
      <c r="M7707" s="11"/>
      <c r="N7707" s="11"/>
      <c r="O7707" s="11"/>
      <c r="P7707" s="11"/>
    </row>
    <row r="7708" spans="8:16" x14ac:dyDescent="0.25">
      <c r="H7708" s="12"/>
      <c r="I7708" s="12"/>
      <c r="J7708" s="12"/>
      <c r="K7708" s="12"/>
      <c r="L7708" s="12"/>
      <c r="M7708" s="11"/>
      <c r="N7708" s="11"/>
      <c r="O7708" s="11"/>
      <c r="P7708" s="11"/>
    </row>
    <row r="7709" spans="8:16" x14ac:dyDescent="0.25">
      <c r="H7709" s="12"/>
      <c r="I7709" s="12"/>
      <c r="J7709" s="12"/>
      <c r="K7709" s="12"/>
      <c r="L7709" s="12"/>
      <c r="M7709" s="11"/>
      <c r="N7709" s="11"/>
      <c r="O7709" s="11"/>
      <c r="P7709" s="11"/>
    </row>
    <row r="7710" spans="8:16" x14ac:dyDescent="0.25">
      <c r="H7710" s="12"/>
      <c r="I7710" s="12"/>
      <c r="J7710" s="12"/>
      <c r="K7710" s="12"/>
      <c r="L7710" s="12"/>
      <c r="M7710" s="11"/>
      <c r="N7710" s="11"/>
      <c r="O7710" s="11"/>
      <c r="P7710" s="11"/>
    </row>
    <row r="7711" spans="8:16" x14ac:dyDescent="0.25">
      <c r="H7711" s="12"/>
      <c r="I7711" s="12"/>
      <c r="J7711" s="12"/>
      <c r="K7711" s="12"/>
      <c r="L7711" s="12"/>
      <c r="M7711" s="11"/>
      <c r="N7711" s="11"/>
      <c r="O7711" s="11"/>
      <c r="P7711" s="11"/>
    </row>
    <row r="7712" spans="8:16" x14ac:dyDescent="0.25">
      <c r="H7712" s="12"/>
      <c r="I7712" s="12"/>
      <c r="J7712" s="12"/>
      <c r="K7712" s="12"/>
      <c r="L7712" s="12"/>
      <c r="M7712" s="11"/>
      <c r="N7712" s="11"/>
      <c r="O7712" s="11"/>
      <c r="P7712" s="11"/>
    </row>
    <row r="7713" spans="8:16" x14ac:dyDescent="0.25">
      <c r="H7713" s="12"/>
      <c r="I7713" s="12"/>
      <c r="J7713" s="12"/>
      <c r="K7713" s="12"/>
      <c r="L7713" s="12"/>
      <c r="M7713" s="11"/>
      <c r="N7713" s="11"/>
      <c r="O7713" s="11"/>
      <c r="P7713" s="11"/>
    </row>
    <row r="7714" spans="8:16" x14ac:dyDescent="0.25">
      <c r="H7714" s="12"/>
      <c r="I7714" s="12"/>
      <c r="J7714" s="12"/>
      <c r="K7714" s="12"/>
      <c r="L7714" s="12"/>
      <c r="M7714" s="11"/>
      <c r="N7714" s="11"/>
      <c r="O7714" s="11"/>
      <c r="P7714" s="11"/>
    </row>
    <row r="7715" spans="8:16" x14ac:dyDescent="0.25">
      <c r="H7715" s="12"/>
      <c r="I7715" s="12"/>
      <c r="J7715" s="12"/>
      <c r="K7715" s="12"/>
      <c r="L7715" s="12"/>
      <c r="M7715" s="11"/>
      <c r="N7715" s="11"/>
      <c r="O7715" s="11"/>
      <c r="P7715" s="11"/>
    </row>
    <row r="7716" spans="8:16" x14ac:dyDescent="0.25">
      <c r="H7716" s="12"/>
      <c r="I7716" s="12"/>
      <c r="J7716" s="12"/>
      <c r="K7716" s="12"/>
      <c r="L7716" s="12"/>
      <c r="M7716" s="11"/>
      <c r="N7716" s="11"/>
      <c r="O7716" s="11"/>
      <c r="P7716" s="11"/>
    </row>
    <row r="7717" spans="8:16" x14ac:dyDescent="0.25">
      <c r="H7717" s="12"/>
      <c r="I7717" s="12"/>
      <c r="J7717" s="12"/>
      <c r="K7717" s="12"/>
      <c r="L7717" s="12"/>
      <c r="M7717" s="11"/>
      <c r="N7717" s="11"/>
      <c r="O7717" s="11"/>
      <c r="P7717" s="11"/>
    </row>
    <row r="7718" spans="8:16" x14ac:dyDescent="0.25">
      <c r="H7718" s="12"/>
      <c r="I7718" s="12"/>
      <c r="J7718" s="12"/>
      <c r="K7718" s="12"/>
      <c r="L7718" s="12"/>
      <c r="M7718" s="11"/>
      <c r="N7718" s="11"/>
      <c r="O7718" s="11"/>
      <c r="P7718" s="11"/>
    </row>
    <row r="7719" spans="8:16" x14ac:dyDescent="0.25">
      <c r="H7719" s="12"/>
      <c r="I7719" s="12"/>
      <c r="J7719" s="12"/>
      <c r="K7719" s="12"/>
      <c r="L7719" s="12"/>
      <c r="M7719" s="11"/>
      <c r="N7719" s="11"/>
      <c r="O7719" s="11"/>
      <c r="P7719" s="11"/>
    </row>
    <row r="7720" spans="8:16" x14ac:dyDescent="0.25">
      <c r="H7720" s="12"/>
      <c r="I7720" s="12"/>
      <c r="J7720" s="12"/>
      <c r="K7720" s="12"/>
      <c r="L7720" s="12"/>
      <c r="M7720" s="11"/>
      <c r="N7720" s="11"/>
      <c r="O7720" s="11"/>
      <c r="P7720" s="11"/>
    </row>
    <row r="7721" spans="8:16" x14ac:dyDescent="0.25">
      <c r="H7721" s="12"/>
      <c r="I7721" s="12"/>
      <c r="J7721" s="12"/>
      <c r="K7721" s="12"/>
      <c r="L7721" s="12"/>
      <c r="M7721" s="11"/>
      <c r="N7721" s="11"/>
      <c r="O7721" s="11"/>
      <c r="P7721" s="11"/>
    </row>
    <row r="7722" spans="8:16" x14ac:dyDescent="0.25">
      <c r="H7722" s="12"/>
      <c r="I7722" s="12"/>
      <c r="J7722" s="12"/>
      <c r="K7722" s="12"/>
      <c r="L7722" s="12"/>
      <c r="M7722" s="11"/>
      <c r="N7722" s="11"/>
      <c r="O7722" s="11"/>
      <c r="P7722" s="11"/>
    </row>
    <row r="7723" spans="8:16" x14ac:dyDescent="0.25">
      <c r="H7723" s="12"/>
      <c r="I7723" s="12"/>
      <c r="J7723" s="12"/>
      <c r="K7723" s="12"/>
      <c r="L7723" s="12"/>
      <c r="M7723" s="11"/>
      <c r="N7723" s="11"/>
      <c r="O7723" s="11"/>
      <c r="P7723" s="11"/>
    </row>
    <row r="7724" spans="8:16" x14ac:dyDescent="0.25">
      <c r="H7724" s="12"/>
      <c r="I7724" s="12"/>
      <c r="J7724" s="12"/>
      <c r="K7724" s="12"/>
      <c r="L7724" s="12"/>
      <c r="M7724" s="11"/>
      <c r="N7724" s="11"/>
      <c r="O7724" s="11"/>
      <c r="P7724" s="11"/>
    </row>
    <row r="7725" spans="8:16" x14ac:dyDescent="0.25">
      <c r="H7725" s="12"/>
      <c r="I7725" s="12"/>
      <c r="J7725" s="12"/>
      <c r="K7725" s="12"/>
      <c r="L7725" s="12"/>
      <c r="M7725" s="11"/>
      <c r="N7725" s="11"/>
      <c r="O7725" s="11"/>
      <c r="P7725" s="11"/>
    </row>
    <row r="7726" spans="8:16" x14ac:dyDescent="0.25">
      <c r="H7726" s="12"/>
      <c r="I7726" s="12"/>
      <c r="J7726" s="12"/>
      <c r="K7726" s="12"/>
      <c r="L7726" s="12"/>
      <c r="M7726" s="11"/>
      <c r="N7726" s="11"/>
      <c r="O7726" s="11"/>
      <c r="P7726" s="11"/>
    </row>
    <row r="7727" spans="8:16" x14ac:dyDescent="0.25">
      <c r="H7727" s="12"/>
      <c r="I7727" s="12"/>
      <c r="J7727" s="12"/>
      <c r="K7727" s="12"/>
      <c r="L7727" s="12"/>
      <c r="M7727" s="11"/>
      <c r="N7727" s="11"/>
      <c r="O7727" s="11"/>
      <c r="P7727" s="11"/>
    </row>
    <row r="7728" spans="8:16" x14ac:dyDescent="0.25">
      <c r="H7728" s="12"/>
      <c r="I7728" s="12"/>
      <c r="J7728" s="12"/>
      <c r="K7728" s="12"/>
      <c r="L7728" s="12"/>
      <c r="M7728" s="11"/>
      <c r="N7728" s="11"/>
      <c r="O7728" s="11"/>
      <c r="P7728" s="11"/>
    </row>
    <row r="7729" spans="8:16" x14ac:dyDescent="0.25">
      <c r="H7729" s="12"/>
      <c r="I7729" s="12"/>
      <c r="J7729" s="12"/>
      <c r="K7729" s="12"/>
      <c r="L7729" s="12"/>
      <c r="M7729" s="11"/>
      <c r="N7729" s="11"/>
      <c r="O7729" s="11"/>
      <c r="P7729" s="11"/>
    </row>
    <row r="7730" spans="8:16" x14ac:dyDescent="0.25">
      <c r="H7730" s="12"/>
      <c r="I7730" s="12"/>
      <c r="J7730" s="12"/>
      <c r="K7730" s="12"/>
      <c r="L7730" s="12"/>
      <c r="M7730" s="11"/>
      <c r="N7730" s="11"/>
      <c r="O7730" s="11"/>
      <c r="P7730" s="11"/>
    </row>
    <row r="7731" spans="8:16" x14ac:dyDescent="0.25">
      <c r="H7731" s="12"/>
      <c r="I7731" s="12"/>
      <c r="J7731" s="12"/>
      <c r="K7731" s="12"/>
      <c r="L7731" s="12"/>
      <c r="M7731" s="11"/>
      <c r="N7731" s="11"/>
      <c r="O7731" s="11"/>
      <c r="P7731" s="11"/>
    </row>
    <row r="7732" spans="8:16" x14ac:dyDescent="0.25">
      <c r="H7732" s="12"/>
      <c r="I7732" s="12"/>
      <c r="J7732" s="12"/>
      <c r="K7732" s="12"/>
      <c r="L7732" s="12"/>
      <c r="M7732" s="11"/>
      <c r="N7732" s="11"/>
      <c r="O7732" s="11"/>
      <c r="P7732" s="11"/>
    </row>
    <row r="7733" spans="8:16" x14ac:dyDescent="0.25">
      <c r="H7733" s="12"/>
      <c r="I7733" s="12"/>
      <c r="J7733" s="12"/>
      <c r="K7733" s="12"/>
      <c r="L7733" s="12"/>
      <c r="M7733" s="11"/>
      <c r="N7733" s="11"/>
      <c r="O7733" s="11"/>
      <c r="P7733" s="11"/>
    </row>
    <row r="7734" spans="8:16" x14ac:dyDescent="0.25">
      <c r="H7734" s="12"/>
      <c r="I7734" s="12"/>
      <c r="J7734" s="12"/>
      <c r="K7734" s="12"/>
      <c r="L7734" s="12"/>
      <c r="M7734" s="11"/>
      <c r="N7734" s="11"/>
      <c r="O7734" s="11"/>
      <c r="P7734" s="11"/>
    </row>
    <row r="7735" spans="8:16" x14ac:dyDescent="0.25">
      <c r="H7735" s="12"/>
      <c r="I7735" s="12"/>
      <c r="J7735" s="12"/>
      <c r="K7735" s="12"/>
      <c r="L7735" s="12"/>
      <c r="M7735" s="11"/>
      <c r="N7735" s="11"/>
      <c r="O7735" s="11"/>
      <c r="P7735" s="11"/>
    </row>
    <row r="7736" spans="8:16" x14ac:dyDescent="0.25">
      <c r="H7736" s="12"/>
      <c r="I7736" s="12"/>
      <c r="J7736" s="12"/>
      <c r="K7736" s="12"/>
      <c r="L7736" s="12"/>
      <c r="M7736" s="11"/>
      <c r="N7736" s="11"/>
      <c r="O7736" s="11"/>
      <c r="P7736" s="11"/>
    </row>
    <row r="7737" spans="8:16" x14ac:dyDescent="0.25">
      <c r="H7737" s="12"/>
      <c r="I7737" s="12"/>
      <c r="J7737" s="12"/>
      <c r="K7737" s="12"/>
      <c r="L7737" s="12"/>
      <c r="M7737" s="11"/>
      <c r="N7737" s="11"/>
      <c r="O7737" s="11"/>
      <c r="P7737" s="11"/>
    </row>
    <row r="7738" spans="8:16" x14ac:dyDescent="0.25">
      <c r="H7738" s="12"/>
      <c r="I7738" s="12"/>
      <c r="J7738" s="12"/>
      <c r="K7738" s="12"/>
      <c r="L7738" s="12"/>
      <c r="M7738" s="11"/>
      <c r="N7738" s="11"/>
      <c r="O7738" s="11"/>
      <c r="P7738" s="11"/>
    </row>
    <row r="7739" spans="8:16" x14ac:dyDescent="0.25">
      <c r="H7739" s="12"/>
      <c r="I7739" s="12"/>
      <c r="J7739" s="12"/>
      <c r="K7739" s="12"/>
      <c r="L7739" s="12"/>
      <c r="M7739" s="11"/>
      <c r="N7739" s="11"/>
      <c r="O7739" s="11"/>
      <c r="P7739" s="11"/>
    </row>
    <row r="7740" spans="8:16" x14ac:dyDescent="0.25">
      <c r="H7740" s="12"/>
      <c r="I7740" s="12"/>
      <c r="J7740" s="12"/>
      <c r="K7740" s="12"/>
      <c r="L7740" s="12"/>
      <c r="M7740" s="11"/>
      <c r="N7740" s="11"/>
      <c r="O7740" s="11"/>
      <c r="P7740" s="11"/>
    </row>
    <row r="7741" spans="8:16" x14ac:dyDescent="0.25">
      <c r="H7741" s="12"/>
      <c r="I7741" s="12"/>
      <c r="J7741" s="12"/>
      <c r="K7741" s="12"/>
      <c r="L7741" s="12"/>
      <c r="M7741" s="11"/>
      <c r="N7741" s="11"/>
      <c r="O7741" s="11"/>
      <c r="P7741" s="11"/>
    </row>
    <row r="7742" spans="8:16" x14ac:dyDescent="0.25">
      <c r="H7742" s="12"/>
      <c r="I7742" s="12"/>
      <c r="J7742" s="12"/>
      <c r="K7742" s="12"/>
      <c r="L7742" s="12"/>
      <c r="M7742" s="11"/>
      <c r="N7742" s="11"/>
      <c r="O7742" s="11"/>
      <c r="P7742" s="11"/>
    </row>
    <row r="7743" spans="8:16" x14ac:dyDescent="0.25">
      <c r="H7743" s="12"/>
      <c r="I7743" s="12"/>
      <c r="J7743" s="12"/>
      <c r="K7743" s="12"/>
      <c r="L7743" s="12"/>
      <c r="M7743" s="11"/>
      <c r="N7743" s="11"/>
      <c r="O7743" s="11"/>
      <c r="P7743" s="11"/>
    </row>
    <row r="7744" spans="8:16" x14ac:dyDescent="0.25">
      <c r="H7744" s="12"/>
      <c r="I7744" s="12"/>
      <c r="J7744" s="12"/>
      <c r="K7744" s="12"/>
      <c r="L7744" s="12"/>
      <c r="M7744" s="11"/>
      <c r="N7744" s="11"/>
      <c r="O7744" s="11"/>
      <c r="P7744" s="11"/>
    </row>
    <row r="7745" spans="8:16" x14ac:dyDescent="0.25">
      <c r="H7745" s="12"/>
      <c r="I7745" s="12"/>
      <c r="J7745" s="12"/>
      <c r="K7745" s="12"/>
      <c r="L7745" s="12"/>
      <c r="M7745" s="11"/>
      <c r="N7745" s="11"/>
      <c r="O7745" s="11"/>
      <c r="P7745" s="11"/>
    </row>
    <row r="7746" spans="8:16" x14ac:dyDescent="0.25">
      <c r="H7746" s="12"/>
      <c r="I7746" s="12"/>
      <c r="J7746" s="12"/>
      <c r="K7746" s="12"/>
      <c r="L7746" s="12"/>
      <c r="M7746" s="11"/>
      <c r="N7746" s="11"/>
      <c r="O7746" s="11"/>
      <c r="P7746" s="11"/>
    </row>
    <row r="7747" spans="8:16" x14ac:dyDescent="0.25">
      <c r="H7747" s="12"/>
      <c r="I7747" s="12"/>
      <c r="J7747" s="12"/>
      <c r="K7747" s="12"/>
      <c r="L7747" s="12"/>
      <c r="M7747" s="11"/>
      <c r="N7747" s="11"/>
      <c r="O7747" s="11"/>
      <c r="P7747" s="11"/>
    </row>
    <row r="7748" spans="8:16" x14ac:dyDescent="0.25">
      <c r="H7748" s="12"/>
      <c r="I7748" s="12"/>
      <c r="J7748" s="12"/>
      <c r="K7748" s="12"/>
      <c r="L7748" s="12"/>
      <c r="M7748" s="11"/>
      <c r="N7748" s="11"/>
      <c r="O7748" s="11"/>
      <c r="P7748" s="11"/>
    </row>
    <row r="7749" spans="8:16" x14ac:dyDescent="0.25">
      <c r="H7749" s="12"/>
      <c r="I7749" s="12"/>
      <c r="J7749" s="12"/>
      <c r="K7749" s="12"/>
      <c r="L7749" s="12"/>
      <c r="M7749" s="11"/>
      <c r="N7749" s="11"/>
      <c r="O7749" s="11"/>
      <c r="P7749" s="11"/>
    </row>
    <row r="7750" spans="8:16" x14ac:dyDescent="0.25">
      <c r="H7750" s="12"/>
      <c r="I7750" s="12"/>
      <c r="J7750" s="12"/>
      <c r="K7750" s="12"/>
      <c r="L7750" s="12"/>
      <c r="M7750" s="11"/>
      <c r="N7750" s="11"/>
      <c r="O7750" s="11"/>
      <c r="P7750" s="11"/>
    </row>
    <row r="7751" spans="8:16" x14ac:dyDescent="0.25">
      <c r="H7751" s="12"/>
      <c r="I7751" s="12"/>
      <c r="J7751" s="12"/>
      <c r="K7751" s="12"/>
      <c r="L7751" s="12"/>
      <c r="M7751" s="11"/>
      <c r="N7751" s="11"/>
      <c r="O7751" s="11"/>
      <c r="P7751" s="11"/>
    </row>
    <row r="7752" spans="8:16" x14ac:dyDescent="0.25">
      <c r="H7752" s="12"/>
      <c r="I7752" s="12"/>
      <c r="J7752" s="12"/>
      <c r="K7752" s="12"/>
      <c r="L7752" s="12"/>
      <c r="M7752" s="11"/>
      <c r="N7752" s="11"/>
      <c r="O7752" s="11"/>
      <c r="P7752" s="11"/>
    </row>
    <row r="7753" spans="8:16" x14ac:dyDescent="0.25">
      <c r="H7753" s="12"/>
      <c r="I7753" s="12"/>
      <c r="J7753" s="12"/>
      <c r="K7753" s="12"/>
      <c r="L7753" s="12"/>
      <c r="M7753" s="11"/>
      <c r="N7753" s="11"/>
      <c r="O7753" s="11"/>
      <c r="P7753" s="11"/>
    </row>
    <row r="7754" spans="8:16" x14ac:dyDescent="0.25">
      <c r="H7754" s="12"/>
      <c r="I7754" s="12"/>
      <c r="J7754" s="12"/>
      <c r="K7754" s="12"/>
      <c r="L7754" s="12"/>
      <c r="M7754" s="11"/>
      <c r="N7754" s="11"/>
      <c r="O7754" s="11"/>
      <c r="P7754" s="11"/>
    </row>
    <row r="7755" spans="8:16" x14ac:dyDescent="0.25">
      <c r="H7755" s="12"/>
      <c r="I7755" s="12"/>
      <c r="J7755" s="12"/>
      <c r="K7755" s="12"/>
      <c r="L7755" s="12"/>
      <c r="M7755" s="11"/>
      <c r="N7755" s="11"/>
      <c r="O7755" s="11"/>
      <c r="P7755" s="11"/>
    </row>
    <row r="7756" spans="8:16" x14ac:dyDescent="0.25">
      <c r="H7756" s="12"/>
      <c r="I7756" s="12"/>
      <c r="J7756" s="12"/>
      <c r="K7756" s="12"/>
      <c r="L7756" s="12"/>
      <c r="M7756" s="11"/>
      <c r="N7756" s="11"/>
      <c r="O7756" s="11"/>
      <c r="P7756" s="11"/>
    </row>
    <row r="7757" spans="8:16" x14ac:dyDescent="0.25">
      <c r="H7757" s="12"/>
      <c r="I7757" s="12"/>
      <c r="J7757" s="12"/>
      <c r="K7757" s="12"/>
      <c r="L7757" s="12"/>
      <c r="M7757" s="11"/>
      <c r="N7757" s="11"/>
      <c r="O7757" s="11"/>
      <c r="P7757" s="11"/>
    </row>
    <row r="7758" spans="8:16" x14ac:dyDescent="0.25">
      <c r="H7758" s="12"/>
      <c r="I7758" s="12"/>
      <c r="J7758" s="12"/>
      <c r="K7758" s="12"/>
      <c r="L7758" s="12"/>
      <c r="M7758" s="11"/>
      <c r="N7758" s="11"/>
      <c r="O7758" s="11"/>
      <c r="P7758" s="11"/>
    </row>
    <row r="7759" spans="8:16" x14ac:dyDescent="0.25">
      <c r="H7759" s="12"/>
      <c r="I7759" s="12"/>
      <c r="J7759" s="12"/>
      <c r="K7759" s="12"/>
      <c r="L7759" s="12"/>
      <c r="M7759" s="11"/>
      <c r="N7759" s="11"/>
      <c r="O7759" s="11"/>
      <c r="P7759" s="11"/>
    </row>
    <row r="7760" spans="8:16" x14ac:dyDescent="0.25">
      <c r="H7760" s="12"/>
      <c r="I7760" s="12"/>
      <c r="J7760" s="12"/>
      <c r="K7760" s="12"/>
      <c r="L7760" s="12"/>
      <c r="M7760" s="11"/>
      <c r="N7760" s="11"/>
      <c r="O7760" s="11"/>
      <c r="P7760" s="11"/>
    </row>
    <row r="7761" spans="8:16" x14ac:dyDescent="0.25">
      <c r="H7761" s="12"/>
      <c r="I7761" s="12"/>
      <c r="J7761" s="12"/>
      <c r="K7761" s="12"/>
      <c r="L7761" s="12"/>
      <c r="M7761" s="11"/>
      <c r="N7761" s="11"/>
      <c r="O7761" s="11"/>
      <c r="P7761" s="11"/>
    </row>
    <row r="7762" spans="8:16" x14ac:dyDescent="0.25">
      <c r="H7762" s="12"/>
      <c r="I7762" s="12"/>
      <c r="J7762" s="12"/>
      <c r="K7762" s="12"/>
      <c r="L7762" s="12"/>
      <c r="M7762" s="11"/>
      <c r="N7762" s="11"/>
      <c r="O7762" s="11"/>
      <c r="P7762" s="11"/>
    </row>
    <row r="7763" spans="8:16" x14ac:dyDescent="0.25">
      <c r="H7763" s="12"/>
      <c r="I7763" s="12"/>
      <c r="J7763" s="12"/>
      <c r="K7763" s="12"/>
      <c r="L7763" s="12"/>
      <c r="M7763" s="11"/>
      <c r="N7763" s="11"/>
      <c r="O7763" s="11"/>
      <c r="P7763" s="11"/>
    </row>
    <row r="7764" spans="8:16" x14ac:dyDescent="0.25">
      <c r="H7764" s="12"/>
      <c r="I7764" s="12"/>
      <c r="J7764" s="12"/>
      <c r="K7764" s="12"/>
      <c r="L7764" s="12"/>
      <c r="M7764" s="11"/>
      <c r="N7764" s="11"/>
      <c r="O7764" s="11"/>
      <c r="P7764" s="11"/>
    </row>
    <row r="7765" spans="8:16" x14ac:dyDescent="0.25">
      <c r="H7765" s="12"/>
      <c r="I7765" s="12"/>
      <c r="J7765" s="12"/>
      <c r="K7765" s="12"/>
      <c r="L7765" s="12"/>
      <c r="M7765" s="11"/>
      <c r="N7765" s="11"/>
      <c r="O7765" s="11"/>
      <c r="P7765" s="11"/>
    </row>
    <row r="7766" spans="8:16" x14ac:dyDescent="0.25">
      <c r="H7766" s="12"/>
      <c r="I7766" s="12"/>
      <c r="J7766" s="12"/>
      <c r="K7766" s="12"/>
      <c r="L7766" s="12"/>
      <c r="M7766" s="11"/>
      <c r="N7766" s="11"/>
      <c r="O7766" s="11"/>
      <c r="P7766" s="11"/>
    </row>
    <row r="7767" spans="8:16" x14ac:dyDescent="0.25">
      <c r="H7767" s="12"/>
      <c r="I7767" s="12"/>
      <c r="J7767" s="12"/>
      <c r="K7767" s="12"/>
      <c r="L7767" s="12"/>
      <c r="M7767" s="11"/>
      <c r="N7767" s="11"/>
      <c r="O7767" s="11"/>
      <c r="P7767" s="11"/>
    </row>
    <row r="7768" spans="8:16" x14ac:dyDescent="0.25">
      <c r="H7768" s="12"/>
      <c r="I7768" s="12"/>
      <c r="J7768" s="12"/>
      <c r="K7768" s="12"/>
      <c r="L7768" s="12"/>
      <c r="M7768" s="11"/>
      <c r="N7768" s="11"/>
      <c r="O7768" s="11"/>
      <c r="P7768" s="11"/>
    </row>
    <row r="7769" spans="8:16" x14ac:dyDescent="0.25">
      <c r="H7769" s="12"/>
      <c r="I7769" s="12"/>
      <c r="J7769" s="12"/>
      <c r="K7769" s="12"/>
      <c r="L7769" s="12"/>
      <c r="M7769" s="11"/>
      <c r="N7769" s="11"/>
      <c r="O7769" s="11"/>
      <c r="P7769" s="11"/>
    </row>
    <row r="7770" spans="8:16" x14ac:dyDescent="0.25">
      <c r="H7770" s="12"/>
      <c r="I7770" s="12"/>
      <c r="J7770" s="12"/>
      <c r="K7770" s="12"/>
      <c r="L7770" s="12"/>
      <c r="M7770" s="11"/>
      <c r="N7770" s="11"/>
      <c r="O7770" s="11"/>
      <c r="P7770" s="11"/>
    </row>
    <row r="7771" spans="8:16" x14ac:dyDescent="0.25">
      <c r="H7771" s="12"/>
      <c r="I7771" s="12"/>
      <c r="J7771" s="12"/>
      <c r="K7771" s="12"/>
      <c r="L7771" s="12"/>
      <c r="M7771" s="11"/>
      <c r="N7771" s="11"/>
      <c r="O7771" s="11"/>
      <c r="P7771" s="11"/>
    </row>
    <row r="7772" spans="8:16" x14ac:dyDescent="0.25">
      <c r="H7772" s="12"/>
      <c r="I7772" s="12"/>
      <c r="J7772" s="12"/>
      <c r="K7772" s="12"/>
      <c r="L7772" s="12"/>
      <c r="M7772" s="11"/>
      <c r="N7772" s="11"/>
      <c r="O7772" s="11"/>
      <c r="P7772" s="11"/>
    </row>
    <row r="7773" spans="8:16" x14ac:dyDescent="0.25">
      <c r="H7773" s="12"/>
      <c r="I7773" s="12"/>
      <c r="J7773" s="12"/>
      <c r="K7773" s="12"/>
      <c r="L7773" s="12"/>
      <c r="M7773" s="11"/>
      <c r="N7773" s="11"/>
      <c r="O7773" s="11"/>
      <c r="P7773" s="11"/>
    </row>
    <row r="7774" spans="8:16" x14ac:dyDescent="0.25">
      <c r="H7774" s="12"/>
      <c r="I7774" s="12"/>
      <c r="J7774" s="12"/>
      <c r="K7774" s="12"/>
      <c r="L7774" s="12"/>
      <c r="M7774" s="11"/>
      <c r="N7774" s="11"/>
      <c r="O7774" s="11"/>
      <c r="P7774" s="11"/>
    </row>
    <row r="7775" spans="8:16" x14ac:dyDescent="0.25">
      <c r="H7775" s="12"/>
      <c r="I7775" s="12"/>
      <c r="J7775" s="12"/>
      <c r="K7775" s="12"/>
      <c r="L7775" s="12"/>
      <c r="M7775" s="11"/>
      <c r="N7775" s="11"/>
      <c r="O7775" s="11"/>
      <c r="P7775" s="11"/>
    </row>
    <row r="7776" spans="8:16" x14ac:dyDescent="0.25">
      <c r="H7776" s="12"/>
      <c r="I7776" s="12"/>
      <c r="J7776" s="12"/>
      <c r="K7776" s="12"/>
      <c r="L7776" s="12"/>
      <c r="M7776" s="11"/>
      <c r="N7776" s="11"/>
      <c r="O7776" s="11"/>
      <c r="P7776" s="11"/>
    </row>
    <row r="7777" spans="8:16" x14ac:dyDescent="0.25">
      <c r="H7777" s="12"/>
      <c r="I7777" s="12"/>
      <c r="J7777" s="12"/>
      <c r="K7777" s="12"/>
      <c r="L7777" s="12"/>
      <c r="M7777" s="11"/>
      <c r="N7777" s="11"/>
      <c r="O7777" s="11"/>
      <c r="P7777" s="11"/>
    </row>
    <row r="7778" spans="8:16" x14ac:dyDescent="0.25">
      <c r="H7778" s="12"/>
      <c r="I7778" s="12"/>
      <c r="J7778" s="12"/>
      <c r="K7778" s="12"/>
      <c r="L7778" s="12"/>
      <c r="M7778" s="11"/>
      <c r="N7778" s="11"/>
      <c r="O7778" s="11"/>
      <c r="P7778" s="11"/>
    </row>
    <row r="7779" spans="8:16" x14ac:dyDescent="0.25">
      <c r="H7779" s="12"/>
      <c r="I7779" s="12"/>
      <c r="J7779" s="12"/>
      <c r="K7779" s="12"/>
      <c r="L7779" s="12"/>
      <c r="M7779" s="11"/>
      <c r="N7779" s="11"/>
      <c r="O7779" s="11"/>
      <c r="P7779" s="11"/>
    </row>
    <row r="7780" spans="8:16" x14ac:dyDescent="0.25">
      <c r="H7780" s="12"/>
      <c r="I7780" s="12"/>
      <c r="J7780" s="12"/>
      <c r="K7780" s="12"/>
      <c r="L7780" s="12"/>
      <c r="M7780" s="11"/>
      <c r="N7780" s="11"/>
      <c r="O7780" s="11"/>
      <c r="P7780" s="11"/>
    </row>
    <row r="7781" spans="8:16" x14ac:dyDescent="0.25">
      <c r="H7781" s="12"/>
      <c r="I7781" s="12"/>
      <c r="J7781" s="12"/>
      <c r="K7781" s="12"/>
      <c r="L7781" s="12"/>
      <c r="M7781" s="11"/>
      <c r="N7781" s="11"/>
      <c r="O7781" s="11"/>
      <c r="P7781" s="11"/>
    </row>
    <row r="7782" spans="8:16" x14ac:dyDescent="0.25">
      <c r="H7782" s="12"/>
      <c r="I7782" s="12"/>
      <c r="J7782" s="12"/>
      <c r="K7782" s="12"/>
      <c r="L7782" s="12"/>
      <c r="M7782" s="11"/>
      <c r="N7782" s="11"/>
      <c r="O7782" s="11"/>
      <c r="P7782" s="11"/>
    </row>
    <row r="7783" spans="8:16" x14ac:dyDescent="0.25">
      <c r="H7783" s="12"/>
      <c r="I7783" s="12"/>
      <c r="J7783" s="12"/>
      <c r="K7783" s="12"/>
      <c r="L7783" s="12"/>
      <c r="M7783" s="11"/>
      <c r="N7783" s="11"/>
      <c r="O7783" s="11"/>
      <c r="P7783" s="11"/>
    </row>
    <row r="7784" spans="8:16" x14ac:dyDescent="0.25">
      <c r="H7784" s="12"/>
      <c r="I7784" s="12"/>
      <c r="J7784" s="12"/>
      <c r="K7784" s="12"/>
      <c r="L7784" s="12"/>
      <c r="M7784" s="11"/>
      <c r="N7784" s="11"/>
      <c r="O7784" s="11"/>
      <c r="P7784" s="11"/>
    </row>
    <row r="7785" spans="8:16" x14ac:dyDescent="0.25">
      <c r="H7785" s="12"/>
      <c r="I7785" s="12"/>
      <c r="J7785" s="12"/>
      <c r="K7785" s="12"/>
      <c r="L7785" s="12"/>
      <c r="M7785" s="11"/>
      <c r="N7785" s="11"/>
      <c r="O7785" s="11"/>
      <c r="P7785" s="11"/>
    </row>
    <row r="7786" spans="8:16" x14ac:dyDescent="0.25">
      <c r="H7786" s="12"/>
      <c r="I7786" s="12"/>
      <c r="J7786" s="12"/>
      <c r="K7786" s="12"/>
      <c r="L7786" s="12"/>
      <c r="M7786" s="11"/>
      <c r="N7786" s="11"/>
      <c r="O7786" s="11"/>
      <c r="P7786" s="11"/>
    </row>
    <row r="7787" spans="8:16" x14ac:dyDescent="0.25">
      <c r="H7787" s="12"/>
      <c r="I7787" s="12"/>
      <c r="J7787" s="12"/>
      <c r="K7787" s="12"/>
      <c r="L7787" s="12"/>
      <c r="M7787" s="11"/>
      <c r="N7787" s="11"/>
      <c r="O7787" s="11"/>
      <c r="P7787" s="11"/>
    </row>
    <row r="7788" spans="8:16" x14ac:dyDescent="0.25">
      <c r="H7788" s="12"/>
      <c r="I7788" s="12"/>
      <c r="J7788" s="12"/>
      <c r="K7788" s="12"/>
      <c r="L7788" s="12"/>
      <c r="M7788" s="11"/>
      <c r="N7788" s="11"/>
      <c r="O7788" s="11"/>
      <c r="P7788" s="11"/>
    </row>
    <row r="7789" spans="8:16" x14ac:dyDescent="0.25">
      <c r="H7789" s="12"/>
      <c r="I7789" s="12"/>
      <c r="J7789" s="12"/>
      <c r="K7789" s="12"/>
      <c r="L7789" s="12"/>
      <c r="M7789" s="11"/>
      <c r="N7789" s="11"/>
      <c r="O7789" s="11"/>
      <c r="P7789" s="11"/>
    </row>
    <row r="7790" spans="8:16" x14ac:dyDescent="0.25">
      <c r="H7790" s="12"/>
      <c r="I7790" s="12"/>
      <c r="J7790" s="12"/>
      <c r="K7790" s="12"/>
      <c r="L7790" s="12"/>
      <c r="M7790" s="11"/>
      <c r="N7790" s="11"/>
      <c r="O7790" s="11"/>
      <c r="P7790" s="11"/>
    </row>
    <row r="7791" spans="8:16" x14ac:dyDescent="0.25">
      <c r="H7791" s="12"/>
      <c r="I7791" s="12"/>
      <c r="J7791" s="12"/>
      <c r="K7791" s="12"/>
      <c r="L7791" s="12"/>
      <c r="M7791" s="11"/>
      <c r="N7791" s="11"/>
      <c r="O7791" s="11"/>
      <c r="P7791" s="11"/>
    </row>
    <row r="7792" spans="8:16" x14ac:dyDescent="0.25">
      <c r="H7792" s="12"/>
      <c r="I7792" s="12"/>
      <c r="J7792" s="12"/>
      <c r="K7792" s="12"/>
      <c r="L7792" s="12"/>
      <c r="M7792" s="11"/>
      <c r="N7792" s="11"/>
      <c r="O7792" s="11"/>
      <c r="P7792" s="11"/>
    </row>
    <row r="7793" spans="8:16" x14ac:dyDescent="0.25">
      <c r="H7793" s="12"/>
      <c r="I7793" s="12"/>
      <c r="J7793" s="12"/>
      <c r="K7793" s="12"/>
      <c r="L7793" s="12"/>
      <c r="M7793" s="11"/>
      <c r="N7793" s="11"/>
      <c r="O7793" s="11"/>
      <c r="P7793" s="11"/>
    </row>
    <row r="7794" spans="8:16" x14ac:dyDescent="0.25">
      <c r="H7794" s="12"/>
      <c r="I7794" s="12"/>
      <c r="J7794" s="12"/>
      <c r="K7794" s="12"/>
      <c r="L7794" s="12"/>
      <c r="M7794" s="11"/>
      <c r="N7794" s="11"/>
      <c r="O7794" s="11"/>
      <c r="P7794" s="11"/>
    </row>
    <row r="7795" spans="8:16" x14ac:dyDescent="0.25">
      <c r="H7795" s="12"/>
      <c r="I7795" s="12"/>
      <c r="J7795" s="12"/>
      <c r="K7795" s="12"/>
      <c r="L7795" s="12"/>
      <c r="M7795" s="11"/>
      <c r="N7795" s="11"/>
      <c r="O7795" s="11"/>
      <c r="P7795" s="11"/>
    </row>
    <row r="7796" spans="8:16" x14ac:dyDescent="0.25">
      <c r="H7796" s="12"/>
      <c r="I7796" s="12"/>
      <c r="J7796" s="12"/>
      <c r="K7796" s="12"/>
      <c r="L7796" s="12"/>
      <c r="M7796" s="11"/>
      <c r="N7796" s="11"/>
      <c r="O7796" s="11"/>
      <c r="P7796" s="11"/>
    </row>
    <row r="7797" spans="8:16" x14ac:dyDescent="0.25">
      <c r="H7797" s="12"/>
      <c r="I7797" s="12"/>
      <c r="J7797" s="12"/>
      <c r="K7797" s="12"/>
      <c r="L7797" s="12"/>
      <c r="M7797" s="11"/>
      <c r="N7797" s="11"/>
      <c r="O7797" s="11"/>
      <c r="P7797" s="11"/>
    </row>
    <row r="7798" spans="8:16" x14ac:dyDescent="0.25">
      <c r="H7798" s="12"/>
      <c r="I7798" s="12"/>
      <c r="J7798" s="12"/>
      <c r="K7798" s="12"/>
      <c r="L7798" s="12"/>
      <c r="M7798" s="11"/>
      <c r="N7798" s="11"/>
      <c r="O7798" s="11"/>
      <c r="P7798" s="11"/>
    </row>
    <row r="7799" spans="8:16" x14ac:dyDescent="0.25">
      <c r="H7799" s="12"/>
      <c r="I7799" s="12"/>
      <c r="J7799" s="12"/>
      <c r="K7799" s="12"/>
      <c r="L7799" s="12"/>
      <c r="M7799" s="11"/>
      <c r="N7799" s="11"/>
      <c r="O7799" s="11"/>
      <c r="P7799" s="11"/>
    </row>
    <row r="7800" spans="8:16" x14ac:dyDescent="0.25">
      <c r="H7800" s="12"/>
      <c r="I7800" s="12"/>
      <c r="J7800" s="12"/>
      <c r="K7800" s="12"/>
      <c r="L7800" s="12"/>
      <c r="M7800" s="11"/>
      <c r="N7800" s="11"/>
      <c r="O7800" s="11"/>
      <c r="P7800" s="11"/>
    </row>
    <row r="7801" spans="8:16" x14ac:dyDescent="0.25">
      <c r="H7801" s="12"/>
      <c r="I7801" s="12"/>
      <c r="J7801" s="12"/>
      <c r="K7801" s="12"/>
      <c r="L7801" s="12"/>
      <c r="M7801" s="11"/>
      <c r="N7801" s="11"/>
      <c r="O7801" s="11"/>
      <c r="P7801" s="11"/>
    </row>
    <row r="7802" spans="8:16" x14ac:dyDescent="0.25">
      <c r="H7802" s="12"/>
      <c r="I7802" s="12"/>
      <c r="J7802" s="12"/>
      <c r="K7802" s="12"/>
      <c r="L7802" s="12"/>
      <c r="M7802" s="11"/>
      <c r="N7802" s="11"/>
      <c r="O7802" s="11"/>
      <c r="P7802" s="11"/>
    </row>
    <row r="7803" spans="8:16" x14ac:dyDescent="0.25">
      <c r="H7803" s="12"/>
      <c r="I7803" s="12"/>
      <c r="J7803" s="12"/>
      <c r="K7803" s="12"/>
      <c r="L7803" s="12"/>
      <c r="M7803" s="11"/>
      <c r="N7803" s="11"/>
      <c r="O7803" s="11"/>
      <c r="P7803" s="11"/>
    </row>
    <row r="7804" spans="8:16" x14ac:dyDescent="0.25">
      <c r="H7804" s="12"/>
      <c r="I7804" s="12"/>
      <c r="J7804" s="12"/>
      <c r="K7804" s="12"/>
      <c r="L7804" s="12"/>
      <c r="M7804" s="11"/>
      <c r="N7804" s="11"/>
      <c r="O7804" s="11"/>
      <c r="P7804" s="11"/>
    </row>
    <row r="7805" spans="8:16" x14ac:dyDescent="0.25">
      <c r="H7805" s="12"/>
      <c r="I7805" s="12"/>
      <c r="J7805" s="12"/>
      <c r="K7805" s="12"/>
      <c r="L7805" s="12"/>
      <c r="M7805" s="11"/>
      <c r="N7805" s="11"/>
      <c r="O7805" s="11"/>
      <c r="P7805" s="11"/>
    </row>
    <row r="7806" spans="8:16" x14ac:dyDescent="0.25">
      <c r="H7806" s="12"/>
      <c r="I7806" s="12"/>
      <c r="J7806" s="12"/>
      <c r="K7806" s="12"/>
      <c r="L7806" s="12"/>
      <c r="M7806" s="11"/>
      <c r="N7806" s="11"/>
      <c r="O7806" s="11"/>
      <c r="P7806" s="11"/>
    </row>
    <row r="7807" spans="8:16" x14ac:dyDescent="0.25">
      <c r="H7807" s="12"/>
      <c r="I7807" s="12"/>
      <c r="J7807" s="12"/>
      <c r="K7807" s="12"/>
      <c r="L7807" s="12"/>
      <c r="M7807" s="11"/>
      <c r="N7807" s="11"/>
      <c r="O7807" s="11"/>
      <c r="P7807" s="11"/>
    </row>
    <row r="7808" spans="8:16" x14ac:dyDescent="0.25">
      <c r="H7808" s="12"/>
      <c r="I7808" s="12"/>
      <c r="J7808" s="12"/>
      <c r="K7808" s="12"/>
      <c r="L7808" s="12"/>
      <c r="M7808" s="11"/>
      <c r="N7808" s="11"/>
      <c r="O7808" s="11"/>
      <c r="P7808" s="11"/>
    </row>
    <row r="7809" spans="8:16" x14ac:dyDescent="0.25">
      <c r="H7809" s="12"/>
      <c r="I7809" s="12"/>
      <c r="J7809" s="12"/>
      <c r="K7809" s="12"/>
      <c r="L7809" s="12"/>
      <c r="M7809" s="11"/>
      <c r="N7809" s="11"/>
      <c r="O7809" s="11"/>
      <c r="P7809" s="11"/>
    </row>
    <row r="7810" spans="8:16" x14ac:dyDescent="0.25">
      <c r="H7810" s="12"/>
      <c r="I7810" s="12"/>
      <c r="J7810" s="12"/>
      <c r="K7810" s="12"/>
      <c r="L7810" s="12"/>
      <c r="M7810" s="11"/>
      <c r="N7810" s="11"/>
      <c r="O7810" s="11"/>
      <c r="P7810" s="11"/>
    </row>
    <row r="7811" spans="8:16" x14ac:dyDescent="0.25">
      <c r="H7811" s="12"/>
      <c r="I7811" s="12"/>
      <c r="J7811" s="12"/>
      <c r="K7811" s="12"/>
      <c r="L7811" s="12"/>
      <c r="M7811" s="11"/>
      <c r="N7811" s="11"/>
      <c r="O7811" s="11"/>
      <c r="P7811" s="11"/>
    </row>
    <row r="7812" spans="8:16" x14ac:dyDescent="0.25">
      <c r="H7812" s="12"/>
      <c r="I7812" s="12"/>
      <c r="J7812" s="12"/>
      <c r="K7812" s="12"/>
      <c r="L7812" s="12"/>
      <c r="M7812" s="11"/>
      <c r="N7812" s="11"/>
      <c r="O7812" s="11"/>
      <c r="P7812" s="11"/>
    </row>
    <row r="7813" spans="8:16" x14ac:dyDescent="0.25">
      <c r="H7813" s="12"/>
      <c r="I7813" s="12"/>
      <c r="J7813" s="12"/>
      <c r="K7813" s="12"/>
      <c r="L7813" s="12"/>
      <c r="M7813" s="11"/>
      <c r="N7813" s="11"/>
      <c r="O7813" s="11"/>
      <c r="P7813" s="11"/>
    </row>
    <row r="7814" spans="8:16" x14ac:dyDescent="0.25">
      <c r="H7814" s="12"/>
      <c r="I7814" s="12"/>
      <c r="J7814" s="12"/>
      <c r="K7814" s="12"/>
      <c r="L7814" s="12"/>
      <c r="M7814" s="11"/>
      <c r="N7814" s="11"/>
      <c r="O7814" s="11"/>
      <c r="P7814" s="11"/>
    </row>
    <row r="7815" spans="8:16" x14ac:dyDescent="0.25">
      <c r="H7815" s="12"/>
      <c r="I7815" s="12"/>
      <c r="J7815" s="12"/>
      <c r="K7815" s="12"/>
      <c r="L7815" s="12"/>
      <c r="M7815" s="11"/>
      <c r="N7815" s="11"/>
      <c r="O7815" s="11"/>
      <c r="P7815" s="11"/>
    </row>
    <row r="7816" spans="8:16" x14ac:dyDescent="0.25">
      <c r="H7816" s="12"/>
      <c r="I7816" s="12"/>
      <c r="J7816" s="12"/>
      <c r="K7816" s="12"/>
      <c r="L7816" s="12"/>
      <c r="M7816" s="11"/>
      <c r="N7816" s="11"/>
      <c r="O7816" s="11"/>
      <c r="P7816" s="11"/>
    </row>
    <row r="7817" spans="8:16" x14ac:dyDescent="0.25">
      <c r="H7817" s="12"/>
      <c r="I7817" s="12"/>
      <c r="J7817" s="12"/>
      <c r="K7817" s="12"/>
      <c r="L7817" s="12"/>
      <c r="M7817" s="11"/>
      <c r="N7817" s="11"/>
      <c r="O7817" s="11"/>
      <c r="P7817" s="11"/>
    </row>
    <row r="7818" spans="8:16" x14ac:dyDescent="0.25">
      <c r="H7818" s="12"/>
      <c r="I7818" s="12"/>
      <c r="J7818" s="12"/>
      <c r="K7818" s="12"/>
      <c r="L7818" s="12"/>
      <c r="M7818" s="11"/>
      <c r="N7818" s="11"/>
      <c r="O7818" s="11"/>
      <c r="P7818" s="11"/>
    </row>
    <row r="7819" spans="8:16" x14ac:dyDescent="0.25">
      <c r="H7819" s="12"/>
      <c r="I7819" s="12"/>
      <c r="J7819" s="12"/>
      <c r="K7819" s="12"/>
      <c r="L7819" s="12"/>
      <c r="M7819" s="11"/>
      <c r="N7819" s="11"/>
      <c r="O7819" s="11"/>
      <c r="P7819" s="11"/>
    </row>
    <row r="7820" spans="8:16" x14ac:dyDescent="0.25">
      <c r="H7820" s="12"/>
      <c r="I7820" s="12"/>
      <c r="J7820" s="12"/>
      <c r="K7820" s="12"/>
      <c r="L7820" s="12"/>
      <c r="M7820" s="11"/>
      <c r="N7820" s="11"/>
      <c r="O7820" s="11"/>
      <c r="P7820" s="11"/>
    </row>
    <row r="7821" spans="8:16" x14ac:dyDescent="0.25">
      <c r="H7821" s="12"/>
      <c r="I7821" s="12"/>
      <c r="J7821" s="12"/>
      <c r="K7821" s="12"/>
      <c r="L7821" s="12"/>
      <c r="M7821" s="11"/>
      <c r="N7821" s="11"/>
      <c r="O7821" s="11"/>
      <c r="P7821" s="11"/>
    </row>
    <row r="7822" spans="8:16" x14ac:dyDescent="0.25">
      <c r="H7822" s="12"/>
      <c r="I7822" s="12"/>
      <c r="J7822" s="12"/>
      <c r="K7822" s="12"/>
      <c r="L7822" s="12"/>
      <c r="M7822" s="11"/>
      <c r="N7822" s="11"/>
      <c r="O7822" s="11"/>
      <c r="P7822" s="11"/>
    </row>
    <row r="7823" spans="8:16" x14ac:dyDescent="0.25">
      <c r="H7823" s="12"/>
      <c r="I7823" s="12"/>
      <c r="J7823" s="12"/>
      <c r="K7823" s="12"/>
      <c r="L7823" s="12"/>
      <c r="M7823" s="11"/>
      <c r="N7823" s="11"/>
      <c r="O7823" s="11"/>
      <c r="P7823" s="11"/>
    </row>
    <row r="7824" spans="8:16" x14ac:dyDescent="0.25">
      <c r="H7824" s="12"/>
      <c r="I7824" s="12"/>
      <c r="J7824" s="12"/>
      <c r="K7824" s="12"/>
      <c r="L7824" s="12"/>
      <c r="M7824" s="11"/>
      <c r="N7824" s="11"/>
      <c r="O7824" s="11"/>
      <c r="P7824" s="11"/>
    </row>
    <row r="7825" spans="8:16" x14ac:dyDescent="0.25">
      <c r="H7825" s="12"/>
      <c r="I7825" s="12"/>
      <c r="J7825" s="12"/>
      <c r="K7825" s="12"/>
      <c r="L7825" s="12"/>
      <c r="M7825" s="11"/>
      <c r="N7825" s="11"/>
      <c r="O7825" s="11"/>
      <c r="P7825" s="11"/>
    </row>
    <row r="7826" spans="8:16" x14ac:dyDescent="0.25">
      <c r="H7826" s="12"/>
      <c r="I7826" s="12"/>
      <c r="J7826" s="12"/>
      <c r="K7826" s="12"/>
      <c r="L7826" s="12"/>
      <c r="M7826" s="11"/>
      <c r="N7826" s="11"/>
      <c r="O7826" s="11"/>
      <c r="P7826" s="11"/>
    </row>
    <row r="7827" spans="8:16" x14ac:dyDescent="0.25">
      <c r="H7827" s="12"/>
      <c r="I7827" s="12"/>
      <c r="J7827" s="12"/>
      <c r="K7827" s="12"/>
      <c r="L7827" s="12"/>
      <c r="M7827" s="11"/>
      <c r="N7827" s="11"/>
      <c r="O7827" s="11"/>
      <c r="P7827" s="11"/>
    </row>
    <row r="7828" spans="8:16" x14ac:dyDescent="0.25">
      <c r="H7828" s="12"/>
      <c r="I7828" s="12"/>
      <c r="J7828" s="12"/>
      <c r="K7828" s="12"/>
      <c r="L7828" s="12"/>
      <c r="M7828" s="11"/>
      <c r="N7828" s="11"/>
      <c r="O7828" s="11"/>
      <c r="P7828" s="11"/>
    </row>
    <row r="7829" spans="8:16" x14ac:dyDescent="0.25">
      <c r="H7829" s="12"/>
      <c r="I7829" s="12"/>
      <c r="J7829" s="12"/>
      <c r="K7829" s="12"/>
      <c r="L7829" s="12"/>
      <c r="M7829" s="11"/>
      <c r="N7829" s="11"/>
      <c r="O7829" s="11"/>
      <c r="P7829" s="11"/>
    </row>
    <row r="7830" spans="8:16" x14ac:dyDescent="0.25">
      <c r="H7830" s="12"/>
      <c r="I7830" s="12"/>
      <c r="J7830" s="12"/>
      <c r="K7830" s="12"/>
      <c r="L7830" s="12"/>
      <c r="M7830" s="11"/>
      <c r="N7830" s="11"/>
      <c r="O7830" s="11"/>
      <c r="P7830" s="11"/>
    </row>
    <row r="7831" spans="8:16" x14ac:dyDescent="0.25">
      <c r="H7831" s="12"/>
      <c r="I7831" s="12"/>
      <c r="J7831" s="12"/>
      <c r="K7831" s="12"/>
      <c r="L7831" s="12"/>
      <c r="M7831" s="11"/>
      <c r="N7831" s="11"/>
      <c r="O7831" s="11"/>
      <c r="P7831" s="11"/>
    </row>
    <row r="7832" spans="8:16" x14ac:dyDescent="0.25">
      <c r="H7832" s="12"/>
      <c r="I7832" s="12"/>
      <c r="J7832" s="12"/>
      <c r="K7832" s="12"/>
      <c r="L7832" s="12"/>
      <c r="M7832" s="11"/>
      <c r="N7832" s="11"/>
      <c r="O7832" s="11"/>
      <c r="P7832" s="11"/>
    </row>
    <row r="7833" spans="8:16" x14ac:dyDescent="0.25">
      <c r="H7833" s="12"/>
      <c r="I7833" s="12"/>
      <c r="J7833" s="12"/>
      <c r="K7833" s="12"/>
      <c r="L7833" s="12"/>
      <c r="M7833" s="11"/>
      <c r="N7833" s="11"/>
      <c r="O7833" s="11"/>
      <c r="P7833" s="11"/>
    </row>
    <row r="7834" spans="8:16" x14ac:dyDescent="0.25">
      <c r="H7834" s="12"/>
      <c r="I7834" s="12"/>
      <c r="J7834" s="12"/>
      <c r="K7834" s="12"/>
      <c r="L7834" s="12"/>
      <c r="M7834" s="11"/>
      <c r="N7834" s="11"/>
      <c r="O7834" s="11"/>
      <c r="P7834" s="11"/>
    </row>
    <row r="7835" spans="8:16" x14ac:dyDescent="0.25">
      <c r="H7835" s="12"/>
      <c r="I7835" s="12"/>
      <c r="J7835" s="12"/>
      <c r="K7835" s="12"/>
      <c r="L7835" s="12"/>
      <c r="M7835" s="11"/>
      <c r="N7835" s="11"/>
      <c r="O7835" s="11"/>
      <c r="P7835" s="11"/>
    </row>
    <row r="7836" spans="8:16" x14ac:dyDescent="0.25">
      <c r="H7836" s="12"/>
      <c r="I7836" s="12"/>
      <c r="J7836" s="12"/>
      <c r="K7836" s="12"/>
      <c r="L7836" s="12"/>
      <c r="M7836" s="11"/>
      <c r="N7836" s="11"/>
      <c r="O7836" s="11"/>
      <c r="P7836" s="11"/>
    </row>
    <row r="7837" spans="8:16" x14ac:dyDescent="0.25">
      <c r="H7837" s="12"/>
      <c r="I7837" s="12"/>
      <c r="J7837" s="12"/>
      <c r="K7837" s="12"/>
      <c r="L7837" s="12"/>
      <c r="M7837" s="11"/>
      <c r="N7837" s="11"/>
      <c r="O7837" s="11"/>
      <c r="P7837" s="11"/>
    </row>
    <row r="7838" spans="8:16" x14ac:dyDescent="0.25">
      <c r="H7838" s="12"/>
      <c r="I7838" s="12"/>
      <c r="J7838" s="12"/>
      <c r="K7838" s="12"/>
      <c r="L7838" s="12"/>
      <c r="M7838" s="11"/>
      <c r="N7838" s="11"/>
      <c r="O7838" s="11"/>
      <c r="P7838" s="11"/>
    </row>
    <row r="7839" spans="8:16" x14ac:dyDescent="0.25">
      <c r="H7839" s="12"/>
      <c r="I7839" s="12"/>
      <c r="J7839" s="12"/>
      <c r="K7839" s="12"/>
      <c r="L7839" s="12"/>
      <c r="M7839" s="11"/>
      <c r="N7839" s="11"/>
      <c r="O7839" s="11"/>
      <c r="P7839" s="11"/>
    </row>
    <row r="7840" spans="8:16" x14ac:dyDescent="0.25">
      <c r="H7840" s="12"/>
      <c r="I7840" s="12"/>
      <c r="J7840" s="12"/>
      <c r="K7840" s="12"/>
      <c r="L7840" s="12"/>
      <c r="M7840" s="11"/>
      <c r="N7840" s="11"/>
      <c r="O7840" s="11"/>
      <c r="P7840" s="11"/>
    </row>
    <row r="7841" spans="8:16" x14ac:dyDescent="0.25">
      <c r="H7841" s="12"/>
      <c r="I7841" s="12"/>
      <c r="J7841" s="12"/>
      <c r="K7841" s="12"/>
      <c r="L7841" s="12"/>
      <c r="M7841" s="11"/>
      <c r="N7841" s="11"/>
      <c r="O7841" s="11"/>
      <c r="P7841" s="11"/>
    </row>
    <row r="7842" spans="8:16" x14ac:dyDescent="0.25">
      <c r="H7842" s="12"/>
      <c r="I7842" s="12"/>
      <c r="J7842" s="12"/>
      <c r="K7842" s="12"/>
      <c r="L7842" s="12"/>
      <c r="M7842" s="11"/>
      <c r="N7842" s="11"/>
      <c r="O7842" s="11"/>
      <c r="P7842" s="11"/>
    </row>
    <row r="7843" spans="8:16" x14ac:dyDescent="0.25">
      <c r="H7843" s="12"/>
      <c r="I7843" s="12"/>
      <c r="J7843" s="12"/>
      <c r="K7843" s="12"/>
      <c r="L7843" s="12"/>
      <c r="M7843" s="11"/>
      <c r="N7843" s="11"/>
      <c r="O7843" s="11"/>
      <c r="P7843" s="11"/>
    </row>
    <row r="7844" spans="8:16" x14ac:dyDescent="0.25">
      <c r="H7844" s="12"/>
      <c r="I7844" s="12"/>
      <c r="J7844" s="12"/>
      <c r="K7844" s="12"/>
      <c r="L7844" s="12"/>
      <c r="M7844" s="11"/>
      <c r="N7844" s="11"/>
      <c r="O7844" s="11"/>
      <c r="P7844" s="11"/>
    </row>
    <row r="7845" spans="8:16" x14ac:dyDescent="0.25">
      <c r="H7845" s="12"/>
      <c r="I7845" s="12"/>
      <c r="J7845" s="12"/>
      <c r="K7845" s="12"/>
      <c r="L7845" s="12"/>
      <c r="M7845" s="11"/>
      <c r="N7845" s="11"/>
      <c r="O7845" s="11"/>
      <c r="P7845" s="11"/>
    </row>
    <row r="7846" spans="8:16" x14ac:dyDescent="0.25">
      <c r="H7846" s="12"/>
      <c r="I7846" s="12"/>
      <c r="J7846" s="12"/>
      <c r="K7846" s="12"/>
      <c r="L7846" s="12"/>
      <c r="M7846" s="11"/>
      <c r="N7846" s="11"/>
      <c r="O7846" s="11"/>
      <c r="P7846" s="11"/>
    </row>
    <row r="7847" spans="8:16" x14ac:dyDescent="0.25">
      <c r="H7847" s="12"/>
      <c r="I7847" s="12"/>
      <c r="J7847" s="12"/>
      <c r="K7847" s="12"/>
      <c r="L7847" s="12"/>
      <c r="M7847" s="11"/>
      <c r="N7847" s="11"/>
      <c r="O7847" s="11"/>
      <c r="P7847" s="11"/>
    </row>
    <row r="7848" spans="8:16" x14ac:dyDescent="0.25">
      <c r="H7848" s="12"/>
      <c r="I7848" s="12"/>
      <c r="J7848" s="12"/>
      <c r="K7848" s="12"/>
      <c r="L7848" s="12"/>
      <c r="M7848" s="11"/>
      <c r="N7848" s="11"/>
      <c r="O7848" s="11"/>
      <c r="P7848" s="11"/>
    </row>
    <row r="7849" spans="8:16" x14ac:dyDescent="0.25">
      <c r="H7849" s="12"/>
      <c r="I7849" s="12"/>
      <c r="J7849" s="12"/>
      <c r="K7849" s="12"/>
      <c r="L7849" s="12"/>
      <c r="M7849" s="11"/>
      <c r="N7849" s="11"/>
      <c r="O7849" s="11"/>
      <c r="P7849" s="11"/>
    </row>
    <row r="7850" spans="8:16" x14ac:dyDescent="0.25">
      <c r="H7850" s="12"/>
      <c r="I7850" s="12"/>
      <c r="J7850" s="12"/>
      <c r="K7850" s="12"/>
      <c r="L7850" s="12"/>
      <c r="M7850" s="11"/>
      <c r="N7850" s="11"/>
      <c r="O7850" s="11"/>
      <c r="P7850" s="11"/>
    </row>
    <row r="7851" spans="8:16" x14ac:dyDescent="0.25">
      <c r="H7851" s="12"/>
      <c r="I7851" s="12"/>
      <c r="J7851" s="12"/>
      <c r="K7851" s="12"/>
      <c r="L7851" s="12"/>
      <c r="M7851" s="11"/>
      <c r="N7851" s="11"/>
      <c r="O7851" s="11"/>
      <c r="P7851" s="11"/>
    </row>
    <row r="7852" spans="8:16" x14ac:dyDescent="0.25">
      <c r="H7852" s="12"/>
      <c r="I7852" s="12"/>
      <c r="J7852" s="12"/>
      <c r="K7852" s="12"/>
      <c r="L7852" s="12"/>
      <c r="M7852" s="11"/>
      <c r="N7852" s="11"/>
      <c r="O7852" s="11"/>
      <c r="P7852" s="11"/>
    </row>
    <row r="7853" spans="8:16" x14ac:dyDescent="0.25">
      <c r="H7853" s="12"/>
      <c r="I7853" s="12"/>
      <c r="J7853" s="12"/>
      <c r="K7853" s="12"/>
      <c r="L7853" s="12"/>
      <c r="M7853" s="11"/>
      <c r="N7853" s="11"/>
      <c r="O7853" s="11"/>
      <c r="P7853" s="11"/>
    </row>
    <row r="7854" spans="8:16" x14ac:dyDescent="0.25">
      <c r="H7854" s="12"/>
      <c r="I7854" s="12"/>
      <c r="J7854" s="12"/>
      <c r="K7854" s="12"/>
      <c r="L7854" s="12"/>
      <c r="M7854" s="11"/>
      <c r="N7854" s="11"/>
      <c r="O7854" s="11"/>
      <c r="P7854" s="11"/>
    </row>
    <row r="7855" spans="8:16" x14ac:dyDescent="0.25">
      <c r="H7855" s="12"/>
      <c r="I7855" s="12"/>
      <c r="J7855" s="12"/>
      <c r="K7855" s="12"/>
      <c r="L7855" s="12"/>
      <c r="M7855" s="11"/>
      <c r="N7855" s="11"/>
      <c r="O7855" s="11"/>
      <c r="P7855" s="11"/>
    </row>
    <row r="7856" spans="8:16" x14ac:dyDescent="0.25">
      <c r="H7856" s="12"/>
      <c r="I7856" s="12"/>
      <c r="J7856" s="12"/>
      <c r="K7856" s="12"/>
      <c r="L7856" s="12"/>
      <c r="M7856" s="11"/>
      <c r="N7856" s="11"/>
      <c r="O7856" s="11"/>
      <c r="P7856" s="11"/>
    </row>
    <row r="7857" spans="8:16" x14ac:dyDescent="0.25">
      <c r="H7857" s="12"/>
      <c r="I7857" s="12"/>
      <c r="J7857" s="12"/>
      <c r="K7857" s="12"/>
      <c r="L7857" s="12"/>
      <c r="M7857" s="11"/>
      <c r="N7857" s="11"/>
      <c r="O7857" s="11"/>
      <c r="P7857" s="11"/>
    </row>
    <row r="7858" spans="8:16" x14ac:dyDescent="0.25">
      <c r="H7858" s="12"/>
      <c r="I7858" s="12"/>
      <c r="J7858" s="12"/>
      <c r="K7858" s="12"/>
      <c r="L7858" s="12"/>
      <c r="M7858" s="11"/>
      <c r="N7858" s="11"/>
      <c r="O7858" s="11"/>
      <c r="P7858" s="11"/>
    </row>
    <row r="7859" spans="8:16" x14ac:dyDescent="0.25">
      <c r="H7859" s="12"/>
      <c r="I7859" s="12"/>
      <c r="J7859" s="12"/>
      <c r="K7859" s="12"/>
      <c r="L7859" s="12"/>
      <c r="M7859" s="11"/>
      <c r="N7859" s="11"/>
      <c r="O7859" s="11"/>
      <c r="P7859" s="11"/>
    </row>
    <row r="7860" spans="8:16" x14ac:dyDescent="0.25">
      <c r="H7860" s="12"/>
      <c r="I7860" s="12"/>
      <c r="J7860" s="12"/>
      <c r="K7860" s="12"/>
      <c r="L7860" s="12"/>
      <c r="M7860" s="11"/>
      <c r="N7860" s="11"/>
      <c r="O7860" s="11"/>
      <c r="P7860" s="11"/>
    </row>
    <row r="7861" spans="8:16" x14ac:dyDescent="0.25">
      <c r="H7861" s="12"/>
      <c r="I7861" s="12"/>
      <c r="J7861" s="12"/>
      <c r="K7861" s="12"/>
      <c r="L7861" s="12"/>
      <c r="M7861" s="11"/>
      <c r="N7861" s="11"/>
      <c r="O7861" s="11"/>
      <c r="P7861" s="11"/>
    </row>
    <row r="7862" spans="8:16" x14ac:dyDescent="0.25">
      <c r="H7862" s="12"/>
      <c r="I7862" s="12"/>
      <c r="J7862" s="12"/>
      <c r="K7862" s="12"/>
      <c r="L7862" s="12"/>
      <c r="M7862" s="11"/>
      <c r="N7862" s="11"/>
      <c r="O7862" s="11"/>
      <c r="P7862" s="11"/>
    </row>
    <row r="7863" spans="8:16" x14ac:dyDescent="0.25">
      <c r="H7863" s="12"/>
      <c r="I7863" s="12"/>
      <c r="J7863" s="12"/>
      <c r="K7863" s="12"/>
      <c r="L7863" s="12"/>
      <c r="M7863" s="11"/>
      <c r="N7863" s="11"/>
      <c r="O7863" s="11"/>
      <c r="P7863" s="11"/>
    </row>
    <row r="7864" spans="8:16" x14ac:dyDescent="0.25">
      <c r="H7864" s="12"/>
      <c r="I7864" s="12"/>
      <c r="J7864" s="12"/>
      <c r="K7864" s="12"/>
      <c r="L7864" s="12"/>
      <c r="M7864" s="11"/>
      <c r="N7864" s="11"/>
      <c r="O7864" s="11"/>
      <c r="P7864" s="11"/>
    </row>
    <row r="7865" spans="8:16" x14ac:dyDescent="0.25">
      <c r="H7865" s="12"/>
      <c r="I7865" s="12"/>
      <c r="J7865" s="12"/>
      <c r="K7865" s="12"/>
      <c r="L7865" s="12"/>
      <c r="M7865" s="11"/>
      <c r="N7865" s="11"/>
      <c r="O7865" s="11"/>
      <c r="P7865" s="11"/>
    </row>
    <row r="7866" spans="8:16" x14ac:dyDescent="0.25">
      <c r="H7866" s="12"/>
      <c r="I7866" s="12"/>
      <c r="J7866" s="12"/>
      <c r="K7866" s="12"/>
      <c r="L7866" s="12"/>
      <c r="M7866" s="11"/>
      <c r="N7866" s="11"/>
      <c r="O7866" s="11"/>
      <c r="P7866" s="11"/>
    </row>
    <row r="7867" spans="8:16" x14ac:dyDescent="0.25">
      <c r="H7867" s="12"/>
      <c r="I7867" s="12"/>
      <c r="J7867" s="12"/>
      <c r="K7867" s="12"/>
      <c r="L7867" s="12"/>
      <c r="M7867" s="11"/>
      <c r="N7867" s="11"/>
      <c r="O7867" s="11"/>
      <c r="P7867" s="11"/>
    </row>
    <row r="7868" spans="8:16" x14ac:dyDescent="0.25">
      <c r="H7868" s="12"/>
      <c r="I7868" s="12"/>
      <c r="J7868" s="12"/>
      <c r="K7868" s="12"/>
      <c r="L7868" s="12"/>
      <c r="M7868" s="11"/>
      <c r="N7868" s="11"/>
      <c r="O7868" s="11"/>
      <c r="P7868" s="11"/>
    </row>
    <row r="7869" spans="8:16" x14ac:dyDescent="0.25">
      <c r="H7869" s="12"/>
      <c r="I7869" s="12"/>
      <c r="J7869" s="12"/>
      <c r="K7869" s="12"/>
      <c r="L7869" s="12"/>
      <c r="M7869" s="11"/>
      <c r="N7869" s="11"/>
      <c r="O7869" s="11"/>
      <c r="P7869" s="11"/>
    </row>
    <row r="7870" spans="8:16" x14ac:dyDescent="0.25">
      <c r="H7870" s="12"/>
      <c r="I7870" s="12"/>
      <c r="J7870" s="12"/>
      <c r="K7870" s="12"/>
      <c r="L7870" s="12"/>
      <c r="M7870" s="11"/>
      <c r="N7870" s="11"/>
      <c r="O7870" s="11"/>
      <c r="P7870" s="11"/>
    </row>
    <row r="7871" spans="8:16" x14ac:dyDescent="0.25">
      <c r="H7871" s="12"/>
      <c r="I7871" s="12"/>
      <c r="J7871" s="12"/>
      <c r="K7871" s="12"/>
      <c r="L7871" s="12"/>
      <c r="M7871" s="11"/>
      <c r="N7871" s="11"/>
      <c r="O7871" s="11"/>
      <c r="P7871" s="11"/>
    </row>
    <row r="7872" spans="8:16" x14ac:dyDescent="0.25">
      <c r="H7872" s="12"/>
      <c r="I7872" s="12"/>
      <c r="J7872" s="12"/>
      <c r="K7872" s="12"/>
      <c r="L7872" s="12"/>
      <c r="M7872" s="11"/>
      <c r="N7872" s="11"/>
      <c r="O7872" s="11"/>
      <c r="P7872" s="11"/>
    </row>
    <row r="7873" spans="8:16" x14ac:dyDescent="0.25">
      <c r="H7873" s="12"/>
      <c r="I7873" s="12"/>
      <c r="J7873" s="12"/>
      <c r="K7873" s="12"/>
      <c r="L7873" s="12"/>
      <c r="M7873" s="11"/>
      <c r="N7873" s="11"/>
      <c r="O7873" s="11"/>
      <c r="P7873" s="11"/>
    </row>
    <row r="7874" spans="8:16" x14ac:dyDescent="0.25">
      <c r="H7874" s="12"/>
      <c r="I7874" s="12"/>
      <c r="J7874" s="12"/>
      <c r="K7874" s="12"/>
      <c r="L7874" s="12"/>
      <c r="M7874" s="11"/>
      <c r="N7874" s="11"/>
      <c r="O7874" s="11"/>
      <c r="P7874" s="11"/>
    </row>
    <row r="7875" spans="8:16" x14ac:dyDescent="0.25">
      <c r="H7875" s="12"/>
      <c r="I7875" s="12"/>
      <c r="J7875" s="12"/>
      <c r="K7875" s="12"/>
      <c r="L7875" s="12"/>
      <c r="M7875" s="11"/>
      <c r="N7875" s="11"/>
      <c r="O7875" s="11"/>
      <c r="P7875" s="11"/>
    </row>
    <row r="7876" spans="8:16" x14ac:dyDescent="0.25">
      <c r="H7876" s="12"/>
      <c r="I7876" s="12"/>
      <c r="J7876" s="12"/>
      <c r="K7876" s="12"/>
      <c r="L7876" s="12"/>
      <c r="M7876" s="11"/>
      <c r="N7876" s="11"/>
      <c r="O7876" s="11"/>
      <c r="P7876" s="11"/>
    </row>
    <row r="7877" spans="8:16" x14ac:dyDescent="0.25">
      <c r="H7877" s="12"/>
      <c r="I7877" s="12"/>
      <c r="J7877" s="12"/>
      <c r="K7877" s="12"/>
      <c r="L7877" s="12"/>
      <c r="M7877" s="11"/>
      <c r="N7877" s="11"/>
      <c r="O7877" s="11"/>
      <c r="P7877" s="11"/>
    </row>
    <row r="7878" spans="8:16" x14ac:dyDescent="0.25">
      <c r="H7878" s="12"/>
      <c r="I7878" s="12"/>
      <c r="J7878" s="12"/>
      <c r="K7878" s="12"/>
      <c r="L7878" s="12"/>
      <c r="M7878" s="11"/>
      <c r="N7878" s="11"/>
      <c r="O7878" s="11"/>
      <c r="P7878" s="11"/>
    </row>
    <row r="7879" spans="8:16" x14ac:dyDescent="0.25">
      <c r="H7879" s="12"/>
      <c r="I7879" s="12"/>
      <c r="J7879" s="12"/>
      <c r="K7879" s="12"/>
      <c r="L7879" s="12"/>
      <c r="M7879" s="11"/>
      <c r="N7879" s="11"/>
      <c r="O7879" s="11"/>
      <c r="P7879" s="11"/>
    </row>
    <row r="7880" spans="8:16" x14ac:dyDescent="0.25">
      <c r="H7880" s="12"/>
      <c r="I7880" s="12"/>
      <c r="J7880" s="12"/>
      <c r="K7880" s="12"/>
      <c r="L7880" s="12"/>
      <c r="M7880" s="11"/>
      <c r="N7880" s="11"/>
      <c r="O7880" s="11"/>
      <c r="P7880" s="11"/>
    </row>
    <row r="7881" spans="8:16" x14ac:dyDescent="0.25">
      <c r="H7881" s="12"/>
      <c r="I7881" s="12"/>
      <c r="J7881" s="12"/>
      <c r="K7881" s="12"/>
      <c r="L7881" s="12"/>
      <c r="M7881" s="11"/>
      <c r="N7881" s="11"/>
      <c r="O7881" s="11"/>
      <c r="P7881" s="11"/>
    </row>
    <row r="7882" spans="8:16" x14ac:dyDescent="0.25">
      <c r="H7882" s="12"/>
      <c r="I7882" s="12"/>
      <c r="J7882" s="12"/>
      <c r="K7882" s="12"/>
      <c r="L7882" s="12"/>
      <c r="M7882" s="11"/>
      <c r="N7882" s="11"/>
      <c r="O7882" s="11"/>
      <c r="P7882" s="11"/>
    </row>
    <row r="7883" spans="8:16" x14ac:dyDescent="0.25">
      <c r="H7883" s="12"/>
      <c r="I7883" s="12"/>
      <c r="J7883" s="12"/>
      <c r="K7883" s="12"/>
      <c r="L7883" s="12"/>
      <c r="M7883" s="11"/>
      <c r="N7883" s="11"/>
      <c r="O7883" s="11"/>
      <c r="P7883" s="11"/>
    </row>
    <row r="7884" spans="8:16" x14ac:dyDescent="0.25">
      <c r="H7884" s="12"/>
      <c r="I7884" s="12"/>
      <c r="J7884" s="12"/>
      <c r="K7884" s="12"/>
      <c r="L7884" s="12"/>
      <c r="M7884" s="11"/>
      <c r="N7884" s="11"/>
      <c r="O7884" s="11"/>
      <c r="P7884" s="11"/>
    </row>
    <row r="7885" spans="8:16" x14ac:dyDescent="0.25">
      <c r="H7885" s="12"/>
      <c r="I7885" s="12"/>
      <c r="J7885" s="12"/>
      <c r="K7885" s="12"/>
      <c r="L7885" s="12"/>
      <c r="M7885" s="11"/>
      <c r="N7885" s="11"/>
      <c r="O7885" s="11"/>
      <c r="P7885" s="11"/>
    </row>
    <row r="7886" spans="8:16" x14ac:dyDescent="0.25">
      <c r="H7886" s="12"/>
      <c r="I7886" s="12"/>
      <c r="J7886" s="12"/>
      <c r="K7886" s="12"/>
      <c r="L7886" s="12"/>
      <c r="M7886" s="11"/>
      <c r="N7886" s="11"/>
      <c r="O7886" s="11"/>
      <c r="P7886" s="11"/>
    </row>
    <row r="7887" spans="8:16" x14ac:dyDescent="0.25">
      <c r="H7887" s="12"/>
      <c r="I7887" s="12"/>
      <c r="J7887" s="12"/>
      <c r="K7887" s="12"/>
      <c r="L7887" s="12"/>
      <c r="M7887" s="11"/>
      <c r="N7887" s="11"/>
      <c r="O7887" s="11"/>
      <c r="P7887" s="11"/>
    </row>
    <row r="7888" spans="8:16" x14ac:dyDescent="0.25">
      <c r="H7888" s="12"/>
      <c r="I7888" s="12"/>
      <c r="J7888" s="12"/>
      <c r="K7888" s="12"/>
      <c r="L7888" s="12"/>
      <c r="M7888" s="11"/>
      <c r="N7888" s="11"/>
      <c r="O7888" s="11"/>
      <c r="P7888" s="11"/>
    </row>
    <row r="7889" spans="8:16" x14ac:dyDescent="0.25">
      <c r="H7889" s="12"/>
      <c r="I7889" s="12"/>
      <c r="J7889" s="12"/>
      <c r="K7889" s="12"/>
      <c r="L7889" s="12"/>
      <c r="M7889" s="11"/>
      <c r="N7889" s="11"/>
      <c r="O7889" s="11"/>
      <c r="P7889" s="11"/>
    </row>
    <row r="7890" spans="8:16" x14ac:dyDescent="0.25">
      <c r="H7890" s="12"/>
      <c r="I7890" s="12"/>
      <c r="J7890" s="12"/>
      <c r="K7890" s="12"/>
      <c r="L7890" s="12"/>
      <c r="M7890" s="11"/>
      <c r="N7890" s="11"/>
      <c r="O7890" s="11"/>
      <c r="P7890" s="11"/>
    </row>
    <row r="7891" spans="8:16" x14ac:dyDescent="0.25">
      <c r="H7891" s="12"/>
      <c r="I7891" s="12"/>
      <c r="J7891" s="12"/>
      <c r="K7891" s="12"/>
      <c r="L7891" s="12"/>
      <c r="M7891" s="11"/>
      <c r="N7891" s="11"/>
      <c r="O7891" s="11"/>
      <c r="P7891" s="11"/>
    </row>
    <row r="7892" spans="8:16" x14ac:dyDescent="0.25">
      <c r="H7892" s="12"/>
      <c r="I7892" s="12"/>
      <c r="J7892" s="12"/>
      <c r="K7892" s="12"/>
      <c r="L7892" s="12"/>
      <c r="M7892" s="11"/>
      <c r="N7892" s="11"/>
      <c r="O7892" s="11"/>
      <c r="P7892" s="11"/>
    </row>
    <row r="7893" spans="8:16" x14ac:dyDescent="0.25">
      <c r="H7893" s="12"/>
      <c r="I7893" s="12"/>
      <c r="J7893" s="12"/>
      <c r="K7893" s="12"/>
      <c r="L7893" s="12"/>
      <c r="M7893" s="11"/>
      <c r="N7893" s="11"/>
      <c r="O7893" s="11"/>
      <c r="P7893" s="11"/>
    </row>
    <row r="7894" spans="8:16" x14ac:dyDescent="0.25">
      <c r="H7894" s="12"/>
      <c r="I7894" s="12"/>
      <c r="J7894" s="12"/>
      <c r="K7894" s="12"/>
      <c r="L7894" s="12"/>
      <c r="M7894" s="11"/>
      <c r="N7894" s="11"/>
      <c r="O7894" s="11"/>
      <c r="P7894" s="11"/>
    </row>
    <row r="7895" spans="8:16" x14ac:dyDescent="0.25">
      <c r="H7895" s="12"/>
      <c r="I7895" s="12"/>
      <c r="J7895" s="12"/>
      <c r="K7895" s="12"/>
      <c r="L7895" s="12"/>
      <c r="M7895" s="11"/>
      <c r="N7895" s="11"/>
      <c r="O7895" s="11"/>
      <c r="P7895" s="11"/>
    </row>
    <row r="7896" spans="8:16" x14ac:dyDescent="0.25">
      <c r="H7896" s="12"/>
      <c r="I7896" s="12"/>
      <c r="J7896" s="12"/>
      <c r="K7896" s="12"/>
      <c r="L7896" s="12"/>
      <c r="M7896" s="11"/>
      <c r="N7896" s="11"/>
      <c r="O7896" s="11"/>
      <c r="P7896" s="11"/>
    </row>
    <row r="7897" spans="8:16" x14ac:dyDescent="0.25">
      <c r="H7897" s="12"/>
      <c r="I7897" s="12"/>
      <c r="J7897" s="12"/>
      <c r="K7897" s="12"/>
      <c r="L7897" s="12"/>
      <c r="M7897" s="11"/>
      <c r="N7897" s="11"/>
      <c r="O7897" s="11"/>
      <c r="P7897" s="11"/>
    </row>
    <row r="7898" spans="8:16" x14ac:dyDescent="0.25">
      <c r="H7898" s="12"/>
      <c r="I7898" s="12"/>
      <c r="J7898" s="12"/>
      <c r="K7898" s="12"/>
      <c r="L7898" s="12"/>
      <c r="M7898" s="11"/>
      <c r="N7898" s="11"/>
      <c r="O7898" s="11"/>
      <c r="P7898" s="11"/>
    </row>
    <row r="7899" spans="8:16" x14ac:dyDescent="0.25">
      <c r="H7899" s="12"/>
      <c r="I7899" s="12"/>
      <c r="J7899" s="12"/>
      <c r="K7899" s="12"/>
      <c r="L7899" s="12"/>
      <c r="M7899" s="11"/>
      <c r="N7899" s="11"/>
      <c r="O7899" s="11"/>
      <c r="P7899" s="11"/>
    </row>
    <row r="7900" spans="8:16" x14ac:dyDescent="0.25">
      <c r="H7900" s="12"/>
      <c r="I7900" s="12"/>
      <c r="J7900" s="12"/>
      <c r="K7900" s="12"/>
      <c r="L7900" s="12"/>
      <c r="M7900" s="11"/>
      <c r="N7900" s="11"/>
      <c r="O7900" s="11"/>
      <c r="P7900" s="11"/>
    </row>
    <row r="7901" spans="8:16" x14ac:dyDescent="0.25">
      <c r="H7901" s="12"/>
      <c r="I7901" s="12"/>
      <c r="J7901" s="12"/>
      <c r="K7901" s="12"/>
      <c r="L7901" s="12"/>
      <c r="M7901" s="11"/>
      <c r="N7901" s="11"/>
      <c r="O7901" s="11"/>
      <c r="P7901" s="11"/>
    </row>
    <row r="7902" spans="8:16" x14ac:dyDescent="0.25">
      <c r="H7902" s="12"/>
      <c r="I7902" s="12"/>
      <c r="J7902" s="12"/>
      <c r="K7902" s="12"/>
      <c r="L7902" s="12"/>
      <c r="M7902" s="11"/>
      <c r="N7902" s="11"/>
      <c r="O7902" s="11"/>
      <c r="P7902" s="11"/>
    </row>
    <row r="7903" spans="8:16" x14ac:dyDescent="0.25">
      <c r="H7903" s="12"/>
      <c r="I7903" s="12"/>
      <c r="J7903" s="12"/>
      <c r="K7903" s="12"/>
      <c r="L7903" s="12"/>
      <c r="M7903" s="11"/>
      <c r="N7903" s="11"/>
      <c r="O7903" s="11"/>
      <c r="P7903" s="11"/>
    </row>
    <row r="7904" spans="8:16" x14ac:dyDescent="0.25">
      <c r="H7904" s="12"/>
      <c r="I7904" s="12"/>
      <c r="J7904" s="12"/>
      <c r="K7904" s="12"/>
      <c r="L7904" s="12"/>
      <c r="M7904" s="11"/>
      <c r="N7904" s="11"/>
      <c r="O7904" s="11"/>
      <c r="P7904" s="11"/>
    </row>
    <row r="7905" spans="8:16" x14ac:dyDescent="0.25">
      <c r="H7905" s="12"/>
      <c r="I7905" s="12"/>
      <c r="J7905" s="12"/>
      <c r="K7905" s="12"/>
      <c r="L7905" s="12"/>
      <c r="M7905" s="11"/>
      <c r="N7905" s="11"/>
      <c r="O7905" s="11"/>
      <c r="P7905" s="11"/>
    </row>
    <row r="7906" spans="8:16" x14ac:dyDescent="0.25">
      <c r="H7906" s="12"/>
      <c r="I7906" s="12"/>
      <c r="J7906" s="12"/>
      <c r="K7906" s="12"/>
      <c r="L7906" s="12"/>
      <c r="M7906" s="11"/>
      <c r="N7906" s="11"/>
      <c r="O7906" s="11"/>
      <c r="P7906" s="11"/>
    </row>
    <row r="7907" spans="8:16" x14ac:dyDescent="0.25">
      <c r="H7907" s="12"/>
      <c r="I7907" s="12"/>
      <c r="J7907" s="12"/>
      <c r="K7907" s="12"/>
      <c r="L7907" s="12"/>
      <c r="M7907" s="11"/>
      <c r="N7907" s="11"/>
      <c r="O7907" s="11"/>
      <c r="P7907" s="11"/>
    </row>
    <row r="7908" spans="8:16" x14ac:dyDescent="0.25">
      <c r="H7908" s="12"/>
      <c r="I7908" s="12"/>
      <c r="J7908" s="12"/>
      <c r="K7908" s="12"/>
      <c r="L7908" s="12"/>
      <c r="M7908" s="11"/>
      <c r="N7908" s="11"/>
      <c r="O7908" s="11"/>
      <c r="P7908" s="11"/>
    </row>
    <row r="7909" spans="8:16" x14ac:dyDescent="0.25">
      <c r="H7909" s="12"/>
      <c r="I7909" s="12"/>
      <c r="J7909" s="12"/>
      <c r="K7909" s="12"/>
      <c r="L7909" s="12"/>
      <c r="M7909" s="11"/>
      <c r="N7909" s="11"/>
      <c r="O7909" s="11"/>
      <c r="P7909" s="11"/>
    </row>
    <row r="7910" spans="8:16" x14ac:dyDescent="0.25">
      <c r="H7910" s="12"/>
      <c r="I7910" s="12"/>
      <c r="J7910" s="12"/>
      <c r="K7910" s="12"/>
      <c r="L7910" s="12"/>
      <c r="M7910" s="11"/>
      <c r="N7910" s="11"/>
      <c r="O7910" s="11"/>
      <c r="P7910" s="11"/>
    </row>
    <row r="7911" spans="8:16" x14ac:dyDescent="0.25">
      <c r="H7911" s="12"/>
      <c r="I7911" s="12"/>
      <c r="J7911" s="12"/>
      <c r="K7911" s="12"/>
      <c r="L7911" s="12"/>
      <c r="M7911" s="11"/>
      <c r="N7911" s="11"/>
      <c r="O7911" s="11"/>
      <c r="P7911" s="11"/>
    </row>
    <row r="7912" spans="8:16" x14ac:dyDescent="0.25">
      <c r="H7912" s="12"/>
      <c r="I7912" s="12"/>
      <c r="J7912" s="12"/>
      <c r="K7912" s="12"/>
      <c r="L7912" s="12"/>
      <c r="M7912" s="11"/>
      <c r="N7912" s="11"/>
      <c r="O7912" s="11"/>
      <c r="P7912" s="11"/>
    </row>
    <row r="7913" spans="8:16" x14ac:dyDescent="0.25">
      <c r="H7913" s="12"/>
      <c r="I7913" s="12"/>
      <c r="J7913" s="12"/>
      <c r="K7913" s="12"/>
      <c r="L7913" s="12"/>
      <c r="M7913" s="11"/>
      <c r="N7913" s="11"/>
      <c r="O7913" s="11"/>
      <c r="P7913" s="11"/>
    </row>
    <row r="7914" spans="8:16" x14ac:dyDescent="0.25">
      <c r="H7914" s="12"/>
      <c r="I7914" s="12"/>
      <c r="J7914" s="12"/>
      <c r="K7914" s="12"/>
      <c r="L7914" s="12"/>
      <c r="M7914" s="11"/>
      <c r="N7914" s="11"/>
      <c r="O7914" s="11"/>
      <c r="P7914" s="11"/>
    </row>
    <row r="7915" spans="8:16" x14ac:dyDescent="0.25">
      <c r="H7915" s="12"/>
      <c r="I7915" s="12"/>
      <c r="J7915" s="12"/>
      <c r="K7915" s="12"/>
      <c r="L7915" s="12"/>
      <c r="M7915" s="11"/>
      <c r="N7915" s="11"/>
      <c r="O7915" s="11"/>
      <c r="P7915" s="11"/>
    </row>
    <row r="7916" spans="8:16" x14ac:dyDescent="0.25">
      <c r="H7916" s="12"/>
      <c r="I7916" s="12"/>
      <c r="J7916" s="12"/>
      <c r="K7916" s="12"/>
      <c r="L7916" s="12"/>
      <c r="M7916" s="11"/>
      <c r="N7916" s="11"/>
      <c r="O7916" s="11"/>
      <c r="P7916" s="11"/>
    </row>
    <row r="7917" spans="8:16" x14ac:dyDescent="0.25">
      <c r="H7917" s="12"/>
      <c r="I7917" s="12"/>
      <c r="J7917" s="12"/>
      <c r="K7917" s="12"/>
      <c r="L7917" s="12"/>
      <c r="M7917" s="11"/>
      <c r="N7917" s="11"/>
      <c r="O7917" s="11"/>
      <c r="P7917" s="11"/>
    </row>
    <row r="7918" spans="8:16" x14ac:dyDescent="0.25">
      <c r="H7918" s="12"/>
      <c r="I7918" s="12"/>
      <c r="J7918" s="12"/>
      <c r="K7918" s="12"/>
      <c r="L7918" s="12"/>
      <c r="M7918" s="11"/>
      <c r="N7918" s="11"/>
      <c r="O7918" s="11"/>
      <c r="P7918" s="11"/>
    </row>
    <row r="7919" spans="8:16" x14ac:dyDescent="0.25">
      <c r="H7919" s="12"/>
      <c r="I7919" s="12"/>
      <c r="J7919" s="12"/>
      <c r="K7919" s="12"/>
      <c r="L7919" s="12"/>
      <c r="M7919" s="11"/>
      <c r="N7919" s="11"/>
      <c r="O7919" s="11"/>
      <c r="P7919" s="11"/>
    </row>
    <row r="7920" spans="8:16" x14ac:dyDescent="0.25">
      <c r="H7920" s="12"/>
      <c r="I7920" s="12"/>
      <c r="J7920" s="12"/>
      <c r="K7920" s="12"/>
      <c r="L7920" s="12"/>
      <c r="M7920" s="11"/>
      <c r="N7920" s="11"/>
      <c r="O7920" s="11"/>
      <c r="P7920" s="11"/>
    </row>
    <row r="7921" spans="8:16" x14ac:dyDescent="0.25">
      <c r="H7921" s="12"/>
      <c r="I7921" s="12"/>
      <c r="J7921" s="12"/>
      <c r="K7921" s="12"/>
      <c r="L7921" s="12"/>
      <c r="M7921" s="11"/>
      <c r="N7921" s="11"/>
      <c r="O7921" s="11"/>
      <c r="P7921" s="11"/>
    </row>
    <row r="7922" spans="8:16" x14ac:dyDescent="0.25">
      <c r="H7922" s="12"/>
      <c r="I7922" s="12"/>
      <c r="J7922" s="12"/>
      <c r="K7922" s="12"/>
      <c r="L7922" s="12"/>
      <c r="M7922" s="11"/>
      <c r="N7922" s="11"/>
      <c r="O7922" s="11"/>
      <c r="P7922" s="11"/>
    </row>
    <row r="7923" spans="8:16" x14ac:dyDescent="0.25">
      <c r="H7923" s="12"/>
      <c r="I7923" s="12"/>
      <c r="J7923" s="12"/>
      <c r="K7923" s="12"/>
      <c r="L7923" s="12"/>
      <c r="M7923" s="11"/>
      <c r="N7923" s="11"/>
      <c r="O7923" s="11"/>
      <c r="P7923" s="11"/>
    </row>
    <row r="7924" spans="8:16" x14ac:dyDescent="0.25">
      <c r="H7924" s="12"/>
      <c r="I7924" s="12"/>
      <c r="J7924" s="12"/>
      <c r="K7924" s="12"/>
      <c r="L7924" s="12"/>
      <c r="M7924" s="11"/>
      <c r="N7924" s="11"/>
      <c r="O7924" s="11"/>
      <c r="P7924" s="11"/>
    </row>
    <row r="7925" spans="8:16" x14ac:dyDescent="0.25">
      <c r="H7925" s="12"/>
      <c r="I7925" s="12"/>
      <c r="J7925" s="12"/>
      <c r="K7925" s="12"/>
      <c r="L7925" s="12"/>
      <c r="M7925" s="11"/>
      <c r="N7925" s="11"/>
      <c r="O7925" s="11"/>
      <c r="P7925" s="11"/>
    </row>
    <row r="7926" spans="8:16" x14ac:dyDescent="0.25">
      <c r="H7926" s="12"/>
      <c r="I7926" s="12"/>
      <c r="J7926" s="12"/>
      <c r="K7926" s="12"/>
      <c r="L7926" s="12"/>
      <c r="M7926" s="11"/>
      <c r="N7926" s="11"/>
      <c r="O7926" s="11"/>
      <c r="P7926" s="11"/>
    </row>
    <row r="7927" spans="8:16" x14ac:dyDescent="0.25">
      <c r="H7927" s="12"/>
      <c r="I7927" s="12"/>
      <c r="J7927" s="12"/>
      <c r="K7927" s="12"/>
      <c r="L7927" s="12"/>
      <c r="M7927" s="11"/>
      <c r="N7927" s="11"/>
      <c r="O7927" s="11"/>
      <c r="P7927" s="11"/>
    </row>
    <row r="7928" spans="8:16" x14ac:dyDescent="0.25">
      <c r="H7928" s="12"/>
      <c r="I7928" s="12"/>
      <c r="J7928" s="12"/>
      <c r="K7928" s="12"/>
      <c r="L7928" s="12"/>
      <c r="M7928" s="11"/>
      <c r="N7928" s="11"/>
      <c r="O7928" s="11"/>
      <c r="P7928" s="11"/>
    </row>
    <row r="7929" spans="8:16" x14ac:dyDescent="0.25">
      <c r="H7929" s="12"/>
      <c r="I7929" s="12"/>
      <c r="J7929" s="12"/>
      <c r="K7929" s="12"/>
      <c r="L7929" s="12"/>
      <c r="M7929" s="11"/>
      <c r="N7929" s="11"/>
      <c r="O7929" s="11"/>
      <c r="P7929" s="11"/>
    </row>
    <row r="7930" spans="8:16" x14ac:dyDescent="0.25">
      <c r="H7930" s="12"/>
      <c r="I7930" s="12"/>
      <c r="J7930" s="12"/>
      <c r="K7930" s="12"/>
      <c r="L7930" s="12"/>
      <c r="M7930" s="11"/>
      <c r="N7930" s="11"/>
      <c r="O7930" s="11"/>
      <c r="P7930" s="11"/>
    </row>
    <row r="7931" spans="8:16" x14ac:dyDescent="0.25">
      <c r="H7931" s="12"/>
      <c r="I7931" s="12"/>
      <c r="J7931" s="12"/>
      <c r="K7931" s="12"/>
      <c r="L7931" s="12"/>
      <c r="M7931" s="11"/>
      <c r="N7931" s="11"/>
      <c r="O7931" s="11"/>
      <c r="P7931" s="11"/>
    </row>
    <row r="7932" spans="8:16" x14ac:dyDescent="0.25">
      <c r="H7932" s="12"/>
      <c r="I7932" s="12"/>
      <c r="J7932" s="12"/>
      <c r="K7932" s="12"/>
      <c r="L7932" s="12"/>
      <c r="M7932" s="11"/>
      <c r="N7932" s="11"/>
      <c r="O7932" s="11"/>
      <c r="P7932" s="11"/>
    </row>
    <row r="7933" spans="8:16" x14ac:dyDescent="0.25">
      <c r="H7933" s="12"/>
      <c r="I7933" s="12"/>
      <c r="J7933" s="12"/>
      <c r="K7933" s="12"/>
      <c r="L7933" s="12"/>
      <c r="M7933" s="11"/>
      <c r="N7933" s="11"/>
      <c r="O7933" s="11"/>
      <c r="P7933" s="11"/>
    </row>
    <row r="7934" spans="8:16" x14ac:dyDescent="0.25">
      <c r="H7934" s="12"/>
      <c r="I7934" s="12"/>
      <c r="J7934" s="12"/>
      <c r="K7934" s="12"/>
      <c r="L7934" s="12"/>
      <c r="M7934" s="11"/>
      <c r="N7934" s="11"/>
      <c r="O7934" s="11"/>
      <c r="P7934" s="11"/>
    </row>
    <row r="7935" spans="8:16" x14ac:dyDescent="0.25">
      <c r="H7935" s="12"/>
      <c r="I7935" s="12"/>
      <c r="J7935" s="12"/>
      <c r="K7935" s="12"/>
      <c r="L7935" s="12"/>
      <c r="M7935" s="11"/>
      <c r="N7935" s="11"/>
      <c r="O7935" s="11"/>
      <c r="P7935" s="11"/>
    </row>
    <row r="7936" spans="8:16" x14ac:dyDescent="0.25">
      <c r="H7936" s="12"/>
      <c r="I7936" s="12"/>
      <c r="J7936" s="12"/>
      <c r="K7936" s="12"/>
      <c r="L7936" s="12"/>
      <c r="M7936" s="11"/>
      <c r="N7936" s="11"/>
      <c r="O7936" s="11"/>
      <c r="P7936" s="11"/>
    </row>
    <row r="7937" spans="8:16" x14ac:dyDescent="0.25">
      <c r="H7937" s="12"/>
      <c r="I7937" s="12"/>
      <c r="J7937" s="12"/>
      <c r="K7937" s="12"/>
      <c r="L7937" s="12"/>
      <c r="M7937" s="11"/>
      <c r="N7937" s="11"/>
      <c r="O7937" s="11"/>
      <c r="P7937" s="11"/>
    </row>
    <row r="7938" spans="8:16" x14ac:dyDescent="0.25">
      <c r="H7938" s="12"/>
      <c r="I7938" s="12"/>
      <c r="J7938" s="12"/>
      <c r="K7938" s="12"/>
      <c r="L7938" s="12"/>
      <c r="M7938" s="11"/>
      <c r="N7938" s="11"/>
      <c r="O7938" s="11"/>
      <c r="P7938" s="11"/>
    </row>
    <row r="7939" spans="8:16" x14ac:dyDescent="0.25">
      <c r="H7939" s="12"/>
      <c r="I7939" s="12"/>
      <c r="J7939" s="12"/>
      <c r="K7939" s="12"/>
      <c r="L7939" s="12"/>
      <c r="M7939" s="11"/>
      <c r="N7939" s="11"/>
      <c r="O7939" s="11"/>
      <c r="P7939" s="11"/>
    </row>
    <row r="7940" spans="8:16" x14ac:dyDescent="0.25">
      <c r="H7940" s="12"/>
      <c r="I7940" s="12"/>
      <c r="J7940" s="12"/>
      <c r="K7940" s="12"/>
      <c r="L7940" s="12"/>
      <c r="M7940" s="11"/>
      <c r="N7940" s="11"/>
      <c r="O7940" s="11"/>
      <c r="P7940" s="11"/>
    </row>
    <row r="7941" spans="8:16" x14ac:dyDescent="0.25">
      <c r="H7941" s="12"/>
      <c r="I7941" s="12"/>
      <c r="J7941" s="12"/>
      <c r="K7941" s="12"/>
      <c r="L7941" s="12"/>
      <c r="M7941" s="11"/>
      <c r="N7941" s="11"/>
      <c r="O7941" s="11"/>
      <c r="P7941" s="11"/>
    </row>
    <row r="7942" spans="8:16" x14ac:dyDescent="0.25">
      <c r="H7942" s="12"/>
      <c r="I7942" s="12"/>
      <c r="J7942" s="12"/>
      <c r="K7942" s="12"/>
      <c r="L7942" s="12"/>
      <c r="M7942" s="11"/>
      <c r="N7942" s="11"/>
      <c r="O7942" s="11"/>
      <c r="P7942" s="11"/>
    </row>
    <row r="7943" spans="8:16" x14ac:dyDescent="0.25">
      <c r="H7943" s="12"/>
      <c r="I7943" s="12"/>
      <c r="J7943" s="12"/>
      <c r="K7943" s="12"/>
      <c r="L7943" s="12"/>
      <c r="M7943" s="11"/>
      <c r="N7943" s="11"/>
      <c r="O7943" s="11"/>
      <c r="P7943" s="11"/>
    </row>
    <row r="7944" spans="8:16" x14ac:dyDescent="0.25">
      <c r="H7944" s="12"/>
      <c r="I7944" s="12"/>
      <c r="J7944" s="12"/>
      <c r="K7944" s="12"/>
      <c r="L7944" s="12"/>
      <c r="M7944" s="11"/>
      <c r="N7944" s="11"/>
      <c r="O7944" s="11"/>
      <c r="P7944" s="11"/>
    </row>
    <row r="7945" spans="8:16" x14ac:dyDescent="0.25">
      <c r="H7945" s="12"/>
      <c r="I7945" s="12"/>
      <c r="J7945" s="12"/>
      <c r="K7945" s="12"/>
      <c r="L7945" s="12"/>
      <c r="M7945" s="11"/>
      <c r="N7945" s="11"/>
      <c r="O7945" s="11"/>
      <c r="P7945" s="11"/>
    </row>
    <row r="7946" spans="8:16" x14ac:dyDescent="0.25">
      <c r="H7946" s="12"/>
      <c r="I7946" s="12"/>
      <c r="J7946" s="12"/>
      <c r="K7946" s="12"/>
      <c r="L7946" s="12"/>
      <c r="M7946" s="11"/>
      <c r="N7946" s="11"/>
      <c r="O7946" s="11"/>
      <c r="P7946" s="11"/>
    </row>
    <row r="7947" spans="8:16" x14ac:dyDescent="0.25">
      <c r="H7947" s="12"/>
      <c r="I7947" s="12"/>
      <c r="J7947" s="12"/>
      <c r="K7947" s="12"/>
      <c r="L7947" s="12"/>
      <c r="M7947" s="11"/>
      <c r="N7947" s="11"/>
      <c r="O7947" s="11"/>
      <c r="P7947" s="11"/>
    </row>
    <row r="7948" spans="8:16" x14ac:dyDescent="0.25">
      <c r="H7948" s="12"/>
      <c r="I7948" s="12"/>
      <c r="J7948" s="12"/>
      <c r="K7948" s="12"/>
      <c r="L7948" s="12"/>
      <c r="M7948" s="11"/>
      <c r="N7948" s="11"/>
      <c r="O7948" s="11"/>
      <c r="P7948" s="11"/>
    </row>
    <row r="7949" spans="8:16" x14ac:dyDescent="0.25">
      <c r="H7949" s="12"/>
      <c r="I7949" s="12"/>
      <c r="J7949" s="12"/>
      <c r="K7949" s="12"/>
      <c r="L7949" s="12"/>
      <c r="M7949" s="11"/>
      <c r="N7949" s="11"/>
      <c r="O7949" s="11"/>
      <c r="P7949" s="11"/>
    </row>
    <row r="7950" spans="8:16" x14ac:dyDescent="0.25">
      <c r="H7950" s="12"/>
      <c r="I7950" s="12"/>
      <c r="J7950" s="12"/>
      <c r="K7950" s="12"/>
      <c r="L7950" s="12"/>
      <c r="M7950" s="11"/>
      <c r="N7950" s="11"/>
      <c r="O7950" s="11"/>
      <c r="P7950" s="11"/>
    </row>
    <row r="7951" spans="8:16" x14ac:dyDescent="0.25">
      <c r="H7951" s="12"/>
      <c r="I7951" s="12"/>
      <c r="J7951" s="12"/>
      <c r="K7951" s="12"/>
      <c r="L7951" s="12"/>
      <c r="M7951" s="11"/>
      <c r="N7951" s="11"/>
      <c r="O7951" s="11"/>
      <c r="P7951" s="11"/>
    </row>
    <row r="7952" spans="8:16" x14ac:dyDescent="0.25">
      <c r="H7952" s="12"/>
      <c r="I7952" s="12"/>
      <c r="J7952" s="12"/>
      <c r="K7952" s="12"/>
      <c r="L7952" s="12"/>
      <c r="M7952" s="11"/>
      <c r="N7952" s="11"/>
      <c r="O7952" s="11"/>
      <c r="P7952" s="11"/>
    </row>
    <row r="7953" spans="8:16" x14ac:dyDescent="0.25">
      <c r="H7953" s="12"/>
      <c r="I7953" s="12"/>
      <c r="J7953" s="12"/>
      <c r="K7953" s="12"/>
      <c r="L7953" s="12"/>
      <c r="M7953" s="11"/>
      <c r="N7953" s="11"/>
      <c r="O7953" s="11"/>
      <c r="P7953" s="11"/>
    </row>
    <row r="7954" spans="8:16" x14ac:dyDescent="0.25">
      <c r="H7954" s="12"/>
      <c r="I7954" s="12"/>
      <c r="J7954" s="12"/>
      <c r="K7954" s="12"/>
      <c r="L7954" s="12"/>
      <c r="M7954" s="11"/>
      <c r="N7954" s="11"/>
      <c r="O7954" s="11"/>
      <c r="P7954" s="11"/>
    </row>
    <row r="7955" spans="8:16" x14ac:dyDescent="0.25">
      <c r="H7955" s="12"/>
      <c r="I7955" s="12"/>
      <c r="J7955" s="12"/>
      <c r="K7955" s="12"/>
      <c r="L7955" s="12"/>
      <c r="M7955" s="11"/>
      <c r="N7955" s="11"/>
      <c r="O7955" s="11"/>
      <c r="P7955" s="11"/>
    </row>
    <row r="7956" spans="8:16" x14ac:dyDescent="0.25">
      <c r="H7956" s="12"/>
      <c r="I7956" s="12"/>
      <c r="J7956" s="12"/>
      <c r="K7956" s="12"/>
      <c r="L7956" s="12"/>
      <c r="M7956" s="11"/>
      <c r="N7956" s="11"/>
      <c r="O7956" s="11"/>
      <c r="P7956" s="11"/>
    </row>
    <row r="7957" spans="8:16" x14ac:dyDescent="0.25">
      <c r="H7957" s="12"/>
      <c r="I7957" s="12"/>
      <c r="J7957" s="12"/>
      <c r="K7957" s="12"/>
      <c r="L7957" s="12"/>
      <c r="M7957" s="11"/>
      <c r="N7957" s="11"/>
      <c r="O7957" s="11"/>
      <c r="P7957" s="11"/>
    </row>
    <row r="7958" spans="8:16" x14ac:dyDescent="0.25">
      <c r="H7958" s="12"/>
      <c r="I7958" s="12"/>
      <c r="J7958" s="12"/>
      <c r="K7958" s="12"/>
      <c r="L7958" s="12"/>
      <c r="M7958" s="11"/>
      <c r="N7958" s="11"/>
      <c r="O7958" s="11"/>
      <c r="P7958" s="11"/>
    </row>
    <row r="7959" spans="8:16" x14ac:dyDescent="0.25">
      <c r="H7959" s="12"/>
      <c r="I7959" s="12"/>
      <c r="J7959" s="12"/>
      <c r="K7959" s="12"/>
      <c r="L7959" s="12"/>
      <c r="M7959" s="11"/>
      <c r="N7959" s="11"/>
      <c r="O7959" s="11"/>
      <c r="P7959" s="11"/>
    </row>
    <row r="7960" spans="8:16" x14ac:dyDescent="0.25">
      <c r="H7960" s="12"/>
      <c r="I7960" s="12"/>
      <c r="J7960" s="12"/>
      <c r="K7960" s="12"/>
      <c r="L7960" s="12"/>
      <c r="M7960" s="11"/>
      <c r="N7960" s="11"/>
      <c r="O7960" s="11"/>
      <c r="P7960" s="11"/>
    </row>
    <row r="7961" spans="8:16" x14ac:dyDescent="0.25">
      <c r="H7961" s="12"/>
      <c r="I7961" s="12"/>
      <c r="J7961" s="12"/>
      <c r="K7961" s="12"/>
      <c r="L7961" s="12"/>
      <c r="M7961" s="11"/>
      <c r="N7961" s="11"/>
      <c r="O7961" s="11"/>
      <c r="P7961" s="11"/>
    </row>
    <row r="7962" spans="8:16" x14ac:dyDescent="0.25">
      <c r="H7962" s="12"/>
      <c r="I7962" s="12"/>
      <c r="J7962" s="12"/>
      <c r="K7962" s="12"/>
      <c r="L7962" s="12"/>
      <c r="M7962" s="11"/>
      <c r="N7962" s="11"/>
      <c r="O7962" s="11"/>
      <c r="P7962" s="11"/>
    </row>
    <row r="7963" spans="8:16" x14ac:dyDescent="0.25">
      <c r="H7963" s="12"/>
      <c r="I7963" s="12"/>
      <c r="J7963" s="12"/>
      <c r="K7963" s="12"/>
      <c r="L7963" s="12"/>
      <c r="M7963" s="11"/>
      <c r="N7963" s="11"/>
      <c r="O7963" s="11"/>
      <c r="P7963" s="11"/>
    </row>
    <row r="7964" spans="8:16" x14ac:dyDescent="0.25">
      <c r="H7964" s="12"/>
      <c r="I7964" s="12"/>
      <c r="J7964" s="12"/>
      <c r="K7964" s="12"/>
      <c r="L7964" s="12"/>
      <c r="M7964" s="11"/>
      <c r="N7964" s="11"/>
      <c r="O7964" s="11"/>
      <c r="P7964" s="11"/>
    </row>
    <row r="7965" spans="8:16" x14ac:dyDescent="0.25">
      <c r="H7965" s="12"/>
      <c r="I7965" s="12"/>
      <c r="J7965" s="12"/>
      <c r="K7965" s="12"/>
      <c r="L7965" s="12"/>
      <c r="M7965" s="11"/>
      <c r="N7965" s="11"/>
      <c r="O7965" s="11"/>
      <c r="P7965" s="11"/>
    </row>
    <row r="7966" spans="8:16" x14ac:dyDescent="0.25">
      <c r="H7966" s="12"/>
      <c r="I7966" s="12"/>
      <c r="J7966" s="12"/>
      <c r="K7966" s="12"/>
      <c r="L7966" s="12"/>
      <c r="M7966" s="11"/>
      <c r="N7966" s="11"/>
      <c r="O7966" s="11"/>
      <c r="P7966" s="11"/>
    </row>
    <row r="7967" spans="8:16" x14ac:dyDescent="0.25">
      <c r="H7967" s="12"/>
      <c r="I7967" s="12"/>
      <c r="J7967" s="12"/>
      <c r="K7967" s="12"/>
      <c r="L7967" s="12"/>
      <c r="M7967" s="11"/>
      <c r="N7967" s="11"/>
      <c r="O7967" s="11"/>
      <c r="P7967" s="11"/>
    </row>
    <row r="7968" spans="8:16" x14ac:dyDescent="0.25">
      <c r="H7968" s="12"/>
      <c r="I7968" s="12"/>
      <c r="J7968" s="12"/>
      <c r="K7968" s="12"/>
      <c r="L7968" s="12"/>
      <c r="M7968" s="11"/>
      <c r="N7968" s="11"/>
      <c r="O7968" s="11"/>
      <c r="P7968" s="11"/>
    </row>
    <row r="7969" spans="8:16" x14ac:dyDescent="0.25">
      <c r="H7969" s="12"/>
      <c r="I7969" s="12"/>
      <c r="J7969" s="12"/>
      <c r="K7969" s="12"/>
      <c r="L7969" s="12"/>
      <c r="M7969" s="11"/>
      <c r="N7969" s="11"/>
      <c r="O7969" s="11"/>
      <c r="P7969" s="11"/>
    </row>
    <row r="7970" spans="8:16" x14ac:dyDescent="0.25">
      <c r="H7970" s="12"/>
      <c r="I7970" s="12"/>
      <c r="J7970" s="12"/>
      <c r="K7970" s="12"/>
      <c r="L7970" s="12"/>
      <c r="M7970" s="11"/>
      <c r="N7970" s="11"/>
      <c r="O7970" s="11"/>
      <c r="P7970" s="11"/>
    </row>
    <row r="7971" spans="8:16" x14ac:dyDescent="0.25">
      <c r="H7971" s="12"/>
      <c r="I7971" s="12"/>
      <c r="J7971" s="12"/>
      <c r="K7971" s="12"/>
      <c r="L7971" s="12"/>
      <c r="M7971" s="11"/>
      <c r="N7971" s="11"/>
      <c r="O7971" s="11"/>
      <c r="P7971" s="11"/>
    </row>
    <row r="7972" spans="8:16" x14ac:dyDescent="0.25">
      <c r="H7972" s="12"/>
      <c r="I7972" s="12"/>
      <c r="J7972" s="12"/>
      <c r="K7972" s="12"/>
      <c r="L7972" s="12"/>
      <c r="M7972" s="11"/>
      <c r="N7972" s="11"/>
      <c r="O7972" s="11"/>
      <c r="P7972" s="11"/>
    </row>
    <row r="7973" spans="8:16" x14ac:dyDescent="0.25">
      <c r="H7973" s="12"/>
      <c r="I7973" s="12"/>
      <c r="J7973" s="12"/>
      <c r="K7973" s="12"/>
      <c r="L7973" s="12"/>
      <c r="M7973" s="11"/>
      <c r="N7973" s="11"/>
      <c r="O7973" s="11"/>
      <c r="P7973" s="11"/>
    </row>
    <row r="7974" spans="8:16" x14ac:dyDescent="0.25">
      <c r="H7974" s="12"/>
      <c r="I7974" s="12"/>
      <c r="J7974" s="12"/>
      <c r="K7974" s="12"/>
      <c r="L7974" s="12"/>
      <c r="M7974" s="11"/>
      <c r="N7974" s="11"/>
      <c r="O7974" s="11"/>
      <c r="P7974" s="11"/>
    </row>
    <row r="7975" spans="8:16" x14ac:dyDescent="0.25">
      <c r="H7975" s="12"/>
      <c r="I7975" s="12"/>
      <c r="J7975" s="12"/>
      <c r="K7975" s="12"/>
      <c r="L7975" s="12"/>
      <c r="M7975" s="11"/>
      <c r="N7975" s="11"/>
      <c r="O7975" s="11"/>
      <c r="P7975" s="11"/>
    </row>
    <row r="7976" spans="8:16" x14ac:dyDescent="0.25">
      <c r="H7976" s="12"/>
      <c r="I7976" s="12"/>
      <c r="J7976" s="12"/>
      <c r="K7976" s="12"/>
      <c r="L7976" s="12"/>
      <c r="M7976" s="11"/>
      <c r="N7976" s="11"/>
      <c r="O7976" s="11"/>
      <c r="P7976" s="11"/>
    </row>
    <row r="7977" spans="8:16" x14ac:dyDescent="0.25">
      <c r="H7977" s="12"/>
      <c r="I7977" s="12"/>
      <c r="J7977" s="12"/>
      <c r="K7977" s="12"/>
      <c r="L7977" s="12"/>
      <c r="M7977" s="11"/>
      <c r="N7977" s="11"/>
      <c r="O7977" s="11"/>
      <c r="P7977" s="11"/>
    </row>
    <row r="7978" spans="8:16" x14ac:dyDescent="0.25">
      <c r="H7978" s="12"/>
      <c r="I7978" s="12"/>
      <c r="J7978" s="12"/>
      <c r="K7978" s="12"/>
      <c r="L7978" s="12"/>
      <c r="M7978" s="11"/>
      <c r="N7978" s="11"/>
      <c r="O7978" s="11"/>
      <c r="P7978" s="11"/>
    </row>
    <row r="7979" spans="8:16" x14ac:dyDescent="0.25">
      <c r="H7979" s="12"/>
      <c r="I7979" s="12"/>
      <c r="J7979" s="12"/>
      <c r="K7979" s="12"/>
      <c r="L7979" s="12"/>
      <c r="M7979" s="11"/>
      <c r="N7979" s="11"/>
      <c r="O7979" s="11"/>
      <c r="P7979" s="11"/>
    </row>
    <row r="7980" spans="8:16" x14ac:dyDescent="0.25">
      <c r="H7980" s="12"/>
      <c r="I7980" s="12"/>
      <c r="J7980" s="12"/>
      <c r="K7980" s="12"/>
      <c r="L7980" s="12"/>
      <c r="M7980" s="11"/>
      <c r="N7980" s="11"/>
      <c r="O7980" s="11"/>
      <c r="P7980" s="11"/>
    </row>
    <row r="7981" spans="8:16" x14ac:dyDescent="0.25">
      <c r="H7981" s="12"/>
      <c r="I7981" s="12"/>
      <c r="J7981" s="12"/>
      <c r="K7981" s="12"/>
      <c r="L7981" s="12"/>
      <c r="M7981" s="11"/>
      <c r="N7981" s="11"/>
      <c r="O7981" s="11"/>
      <c r="P7981" s="11"/>
    </row>
    <row r="7982" spans="8:16" x14ac:dyDescent="0.25">
      <c r="H7982" s="12"/>
      <c r="I7982" s="12"/>
      <c r="J7982" s="12"/>
      <c r="K7982" s="12"/>
      <c r="L7982" s="12"/>
      <c r="M7982" s="11"/>
      <c r="N7982" s="11"/>
      <c r="O7982" s="11"/>
      <c r="P7982" s="11"/>
    </row>
    <row r="7983" spans="8:16" x14ac:dyDescent="0.25">
      <c r="H7983" s="12"/>
      <c r="I7983" s="12"/>
      <c r="J7983" s="12"/>
      <c r="K7983" s="12"/>
      <c r="L7983" s="12"/>
      <c r="M7983" s="11"/>
      <c r="N7983" s="11"/>
      <c r="O7983" s="11"/>
      <c r="P7983" s="11"/>
    </row>
    <row r="7984" spans="8:16" x14ac:dyDescent="0.25">
      <c r="H7984" s="12"/>
      <c r="I7984" s="12"/>
      <c r="J7984" s="12"/>
      <c r="K7984" s="12"/>
      <c r="L7984" s="12"/>
      <c r="M7984" s="11"/>
      <c r="N7984" s="11"/>
      <c r="O7984" s="11"/>
      <c r="P7984" s="11"/>
    </row>
    <row r="7985" spans="8:16" x14ac:dyDescent="0.25">
      <c r="H7985" s="12"/>
      <c r="I7985" s="12"/>
      <c r="J7985" s="12"/>
      <c r="K7985" s="12"/>
      <c r="L7985" s="12"/>
      <c r="M7985" s="11"/>
      <c r="N7985" s="11"/>
      <c r="O7985" s="11"/>
      <c r="P7985" s="11"/>
    </row>
    <row r="7986" spans="8:16" x14ac:dyDescent="0.25">
      <c r="H7986" s="12"/>
      <c r="I7986" s="12"/>
      <c r="J7986" s="12"/>
      <c r="K7986" s="12"/>
      <c r="L7986" s="12"/>
      <c r="M7986" s="11"/>
      <c r="N7986" s="11"/>
      <c r="O7986" s="11"/>
      <c r="P7986" s="11"/>
    </row>
    <row r="7987" spans="8:16" x14ac:dyDescent="0.25">
      <c r="H7987" s="12"/>
      <c r="I7987" s="12"/>
      <c r="J7987" s="12"/>
      <c r="K7987" s="12"/>
      <c r="L7987" s="12"/>
      <c r="M7987" s="11"/>
      <c r="N7987" s="11"/>
      <c r="O7987" s="11"/>
      <c r="P7987" s="11"/>
    </row>
    <row r="7988" spans="8:16" x14ac:dyDescent="0.25">
      <c r="H7988" s="12"/>
      <c r="I7988" s="12"/>
      <c r="J7988" s="12"/>
      <c r="K7988" s="12"/>
      <c r="L7988" s="12"/>
      <c r="M7988" s="11"/>
      <c r="N7988" s="11"/>
      <c r="O7988" s="11"/>
      <c r="P7988" s="11"/>
    </row>
    <row r="7989" spans="8:16" x14ac:dyDescent="0.25">
      <c r="H7989" s="12"/>
      <c r="I7989" s="12"/>
      <c r="J7989" s="12"/>
      <c r="K7989" s="12"/>
      <c r="L7989" s="12"/>
      <c r="M7989" s="11"/>
      <c r="N7989" s="11"/>
      <c r="O7989" s="11"/>
      <c r="P7989" s="11"/>
    </row>
    <row r="7990" spans="8:16" x14ac:dyDescent="0.25">
      <c r="H7990" s="12"/>
      <c r="I7990" s="12"/>
      <c r="J7990" s="12"/>
      <c r="K7990" s="12"/>
      <c r="L7990" s="12"/>
      <c r="M7990" s="11"/>
      <c r="N7990" s="11"/>
      <c r="O7990" s="11"/>
      <c r="P7990" s="11"/>
    </row>
    <row r="7991" spans="8:16" x14ac:dyDescent="0.25">
      <c r="H7991" s="12"/>
      <c r="I7991" s="12"/>
      <c r="J7991" s="12"/>
      <c r="K7991" s="12"/>
      <c r="L7991" s="12"/>
      <c r="M7991" s="11"/>
      <c r="N7991" s="11"/>
      <c r="O7991" s="11"/>
      <c r="P7991" s="11"/>
    </row>
    <row r="7992" spans="8:16" x14ac:dyDescent="0.25">
      <c r="H7992" s="12"/>
      <c r="I7992" s="12"/>
      <c r="J7992" s="12"/>
      <c r="K7992" s="12"/>
      <c r="L7992" s="12"/>
      <c r="M7992" s="11"/>
      <c r="N7992" s="11"/>
      <c r="O7992" s="11"/>
      <c r="P7992" s="11"/>
    </row>
    <row r="7993" spans="8:16" x14ac:dyDescent="0.25">
      <c r="H7993" s="12"/>
      <c r="I7993" s="12"/>
      <c r="J7993" s="12"/>
      <c r="K7993" s="12"/>
      <c r="L7993" s="12"/>
      <c r="M7993" s="11"/>
      <c r="N7993" s="11"/>
      <c r="O7993" s="11"/>
      <c r="P7993" s="11"/>
    </row>
    <row r="7994" spans="8:16" x14ac:dyDescent="0.25">
      <c r="H7994" s="12"/>
      <c r="I7994" s="12"/>
      <c r="J7994" s="12"/>
      <c r="K7994" s="12"/>
      <c r="L7994" s="12"/>
      <c r="M7994" s="11"/>
      <c r="N7994" s="11"/>
      <c r="O7994" s="11"/>
      <c r="P7994" s="11"/>
    </row>
    <row r="7995" spans="8:16" x14ac:dyDescent="0.25">
      <c r="H7995" s="12"/>
      <c r="I7995" s="12"/>
      <c r="J7995" s="12"/>
      <c r="K7995" s="12"/>
      <c r="L7995" s="12"/>
      <c r="M7995" s="11"/>
      <c r="N7995" s="11"/>
      <c r="O7995" s="11"/>
      <c r="P7995" s="11"/>
    </row>
    <row r="7996" spans="8:16" x14ac:dyDescent="0.25">
      <c r="H7996" s="12"/>
      <c r="I7996" s="12"/>
      <c r="J7996" s="12"/>
      <c r="K7996" s="12"/>
      <c r="L7996" s="12"/>
      <c r="M7996" s="11"/>
      <c r="N7996" s="11"/>
      <c r="O7996" s="11"/>
      <c r="P7996" s="11"/>
    </row>
    <row r="7997" spans="8:16" x14ac:dyDescent="0.25">
      <c r="H7997" s="12"/>
      <c r="I7997" s="12"/>
      <c r="J7997" s="12"/>
      <c r="K7997" s="12"/>
      <c r="L7997" s="12"/>
      <c r="M7997" s="11"/>
      <c r="N7997" s="11"/>
      <c r="O7997" s="11"/>
      <c r="P7997" s="11"/>
    </row>
    <row r="7998" spans="8:16" x14ac:dyDescent="0.25">
      <c r="H7998" s="12"/>
      <c r="I7998" s="12"/>
      <c r="J7998" s="12"/>
      <c r="K7998" s="12"/>
      <c r="L7998" s="12"/>
      <c r="M7998" s="11"/>
      <c r="N7998" s="11"/>
      <c r="O7998" s="11"/>
      <c r="P7998" s="11"/>
    </row>
    <row r="7999" spans="8:16" x14ac:dyDescent="0.25">
      <c r="H7999" s="12"/>
      <c r="I7999" s="12"/>
      <c r="J7999" s="12"/>
      <c r="K7999" s="12"/>
      <c r="L7999" s="12"/>
      <c r="M7999" s="11"/>
      <c r="N7999" s="11"/>
      <c r="O7999" s="11"/>
      <c r="P7999" s="11"/>
    </row>
    <row r="8000" spans="8:16" x14ac:dyDescent="0.25">
      <c r="H8000" s="12"/>
      <c r="I8000" s="12"/>
      <c r="J8000" s="12"/>
      <c r="K8000" s="12"/>
      <c r="L8000" s="12"/>
      <c r="M8000" s="11"/>
      <c r="N8000" s="11"/>
      <c r="O8000" s="11"/>
      <c r="P8000" s="11"/>
    </row>
    <row r="8001" spans="8:16" x14ac:dyDescent="0.25">
      <c r="H8001" s="12"/>
      <c r="I8001" s="12"/>
      <c r="J8001" s="12"/>
      <c r="K8001" s="12"/>
      <c r="L8001" s="12"/>
      <c r="M8001" s="11"/>
      <c r="N8001" s="11"/>
      <c r="O8001" s="11"/>
      <c r="P8001" s="11"/>
    </row>
    <row r="8002" spans="8:16" x14ac:dyDescent="0.25">
      <c r="H8002" s="12"/>
      <c r="I8002" s="12"/>
      <c r="J8002" s="12"/>
      <c r="K8002" s="12"/>
      <c r="L8002" s="12"/>
      <c r="M8002" s="11"/>
      <c r="N8002" s="11"/>
      <c r="O8002" s="11"/>
      <c r="P8002" s="11"/>
    </row>
    <row r="8003" spans="8:16" x14ac:dyDescent="0.25">
      <c r="H8003" s="12"/>
      <c r="I8003" s="12"/>
      <c r="J8003" s="12"/>
      <c r="K8003" s="12"/>
      <c r="L8003" s="12"/>
      <c r="M8003" s="11"/>
      <c r="N8003" s="11"/>
      <c r="O8003" s="11"/>
      <c r="P8003" s="11"/>
    </row>
    <row r="8004" spans="8:16" x14ac:dyDescent="0.25">
      <c r="H8004" s="12"/>
      <c r="I8004" s="12"/>
      <c r="J8004" s="12"/>
      <c r="K8004" s="12"/>
      <c r="L8004" s="12"/>
      <c r="M8004" s="11"/>
      <c r="N8004" s="11"/>
      <c r="O8004" s="11"/>
      <c r="P8004" s="11"/>
    </row>
    <row r="8005" spans="8:16" x14ac:dyDescent="0.25">
      <c r="H8005" s="12"/>
      <c r="I8005" s="12"/>
      <c r="J8005" s="12"/>
      <c r="K8005" s="12"/>
      <c r="L8005" s="12"/>
      <c r="M8005" s="11"/>
      <c r="N8005" s="11"/>
      <c r="O8005" s="11"/>
      <c r="P8005" s="11"/>
    </row>
    <row r="8006" spans="8:16" x14ac:dyDescent="0.25">
      <c r="H8006" s="12"/>
      <c r="I8006" s="12"/>
      <c r="J8006" s="12"/>
      <c r="K8006" s="12"/>
      <c r="L8006" s="12"/>
      <c r="M8006" s="11"/>
      <c r="N8006" s="11"/>
      <c r="O8006" s="11"/>
      <c r="P8006" s="11"/>
    </row>
    <row r="8007" spans="8:16" x14ac:dyDescent="0.25">
      <c r="H8007" s="12"/>
      <c r="I8007" s="12"/>
      <c r="J8007" s="12"/>
      <c r="K8007" s="12"/>
      <c r="L8007" s="12"/>
      <c r="M8007" s="11"/>
      <c r="N8007" s="11"/>
      <c r="O8007" s="11"/>
      <c r="P8007" s="11"/>
    </row>
    <row r="8008" spans="8:16" x14ac:dyDescent="0.25">
      <c r="H8008" s="12"/>
      <c r="I8008" s="12"/>
      <c r="J8008" s="12"/>
      <c r="K8008" s="12"/>
      <c r="L8008" s="12"/>
      <c r="M8008" s="11"/>
      <c r="N8008" s="11"/>
      <c r="O8008" s="11"/>
      <c r="P8008" s="11"/>
    </row>
    <row r="8009" spans="8:16" x14ac:dyDescent="0.25">
      <c r="H8009" s="12"/>
      <c r="I8009" s="12"/>
      <c r="J8009" s="12"/>
      <c r="K8009" s="12"/>
      <c r="L8009" s="12"/>
      <c r="M8009" s="11"/>
      <c r="N8009" s="11"/>
      <c r="O8009" s="11"/>
      <c r="P8009" s="11"/>
    </row>
    <row r="8010" spans="8:16" x14ac:dyDescent="0.25">
      <c r="H8010" s="12"/>
      <c r="I8010" s="12"/>
      <c r="J8010" s="12"/>
      <c r="K8010" s="12"/>
      <c r="L8010" s="12"/>
      <c r="M8010" s="11"/>
      <c r="N8010" s="11"/>
      <c r="O8010" s="11"/>
      <c r="P8010" s="11"/>
    </row>
    <row r="8011" spans="8:16" x14ac:dyDescent="0.25">
      <c r="H8011" s="12"/>
      <c r="I8011" s="12"/>
      <c r="J8011" s="12"/>
      <c r="K8011" s="12"/>
      <c r="L8011" s="12"/>
      <c r="M8011" s="11"/>
      <c r="N8011" s="11"/>
      <c r="O8011" s="11"/>
      <c r="P8011" s="11"/>
    </row>
    <row r="8012" spans="8:16" x14ac:dyDescent="0.25">
      <c r="H8012" s="12"/>
      <c r="I8012" s="12"/>
      <c r="J8012" s="12"/>
      <c r="K8012" s="12"/>
      <c r="L8012" s="12"/>
      <c r="M8012" s="11"/>
      <c r="N8012" s="11"/>
      <c r="O8012" s="11"/>
      <c r="P8012" s="11"/>
    </row>
    <row r="8013" spans="8:16" x14ac:dyDescent="0.25">
      <c r="H8013" s="12"/>
      <c r="I8013" s="12"/>
      <c r="J8013" s="12"/>
      <c r="K8013" s="12"/>
      <c r="L8013" s="12"/>
      <c r="M8013" s="11"/>
      <c r="N8013" s="11"/>
      <c r="O8013" s="11"/>
      <c r="P8013" s="11"/>
    </row>
    <row r="8014" spans="8:16" x14ac:dyDescent="0.25">
      <c r="H8014" s="12"/>
      <c r="I8014" s="12"/>
      <c r="J8014" s="12"/>
      <c r="K8014" s="12"/>
      <c r="L8014" s="12"/>
      <c r="M8014" s="11"/>
      <c r="N8014" s="11"/>
      <c r="O8014" s="11"/>
      <c r="P8014" s="11"/>
    </row>
    <row r="8015" spans="8:16" x14ac:dyDescent="0.25">
      <c r="H8015" s="12"/>
      <c r="I8015" s="12"/>
      <c r="J8015" s="12"/>
      <c r="K8015" s="12"/>
      <c r="L8015" s="12"/>
      <c r="M8015" s="11"/>
      <c r="N8015" s="11"/>
      <c r="O8015" s="11"/>
      <c r="P8015" s="11"/>
    </row>
    <row r="8016" spans="8:16" x14ac:dyDescent="0.25">
      <c r="H8016" s="12"/>
      <c r="I8016" s="12"/>
      <c r="J8016" s="12"/>
      <c r="K8016" s="12"/>
      <c r="L8016" s="12"/>
      <c r="M8016" s="11"/>
      <c r="N8016" s="11"/>
      <c r="O8016" s="11"/>
      <c r="P8016" s="11"/>
    </row>
    <row r="8017" spans="8:16" x14ac:dyDescent="0.25">
      <c r="H8017" s="12"/>
      <c r="I8017" s="12"/>
      <c r="J8017" s="12"/>
      <c r="K8017" s="12"/>
      <c r="L8017" s="12"/>
      <c r="M8017" s="11"/>
      <c r="N8017" s="11"/>
      <c r="O8017" s="11"/>
      <c r="P8017" s="11"/>
    </row>
    <row r="8018" spans="8:16" x14ac:dyDescent="0.25">
      <c r="H8018" s="12"/>
      <c r="I8018" s="12"/>
      <c r="J8018" s="12"/>
      <c r="K8018" s="12"/>
      <c r="L8018" s="12"/>
      <c r="M8018" s="11"/>
      <c r="N8018" s="11"/>
      <c r="O8018" s="11"/>
      <c r="P8018" s="11"/>
    </row>
    <row r="8019" spans="8:16" x14ac:dyDescent="0.25">
      <c r="H8019" s="12"/>
      <c r="I8019" s="12"/>
      <c r="J8019" s="12"/>
      <c r="K8019" s="12"/>
      <c r="L8019" s="12"/>
      <c r="M8019" s="11"/>
      <c r="N8019" s="11"/>
      <c r="O8019" s="11"/>
      <c r="P8019" s="11"/>
    </row>
    <row r="8020" spans="8:16" x14ac:dyDescent="0.25">
      <c r="H8020" s="12"/>
      <c r="I8020" s="12"/>
      <c r="J8020" s="12"/>
      <c r="K8020" s="12"/>
      <c r="L8020" s="12"/>
      <c r="M8020" s="11"/>
      <c r="N8020" s="11"/>
      <c r="O8020" s="11"/>
      <c r="P8020" s="11"/>
    </row>
    <row r="8021" spans="8:16" x14ac:dyDescent="0.25">
      <c r="H8021" s="12"/>
      <c r="I8021" s="12"/>
      <c r="J8021" s="12"/>
      <c r="K8021" s="12"/>
      <c r="L8021" s="12"/>
      <c r="M8021" s="11"/>
      <c r="N8021" s="11"/>
      <c r="O8021" s="11"/>
      <c r="P8021" s="11"/>
    </row>
    <row r="8022" spans="8:16" x14ac:dyDescent="0.25">
      <c r="H8022" s="12"/>
      <c r="I8022" s="12"/>
      <c r="J8022" s="12"/>
      <c r="K8022" s="12"/>
      <c r="L8022" s="12"/>
      <c r="M8022" s="11"/>
      <c r="N8022" s="11"/>
      <c r="O8022" s="11"/>
      <c r="P8022" s="11"/>
    </row>
    <row r="8023" spans="8:16" x14ac:dyDescent="0.25">
      <c r="H8023" s="12"/>
      <c r="I8023" s="12"/>
      <c r="J8023" s="12"/>
      <c r="K8023" s="12"/>
      <c r="L8023" s="12"/>
      <c r="M8023" s="11"/>
      <c r="N8023" s="11"/>
      <c r="O8023" s="11"/>
      <c r="P8023" s="11"/>
    </row>
    <row r="8024" spans="8:16" x14ac:dyDescent="0.25">
      <c r="H8024" s="12"/>
      <c r="I8024" s="12"/>
      <c r="J8024" s="12"/>
      <c r="K8024" s="12"/>
      <c r="L8024" s="12"/>
      <c r="M8024" s="11"/>
      <c r="N8024" s="11"/>
      <c r="O8024" s="11"/>
      <c r="P8024" s="11"/>
    </row>
    <row r="8025" spans="8:16" x14ac:dyDescent="0.25">
      <c r="H8025" s="12"/>
      <c r="I8025" s="12"/>
      <c r="J8025" s="12"/>
      <c r="K8025" s="12"/>
      <c r="L8025" s="12"/>
      <c r="M8025" s="11"/>
      <c r="N8025" s="11"/>
      <c r="O8025" s="11"/>
      <c r="P8025" s="11"/>
    </row>
    <row r="8026" spans="8:16" x14ac:dyDescent="0.25">
      <c r="H8026" s="12"/>
      <c r="I8026" s="12"/>
      <c r="J8026" s="12"/>
      <c r="K8026" s="12"/>
      <c r="L8026" s="12"/>
      <c r="M8026" s="11"/>
      <c r="N8026" s="11"/>
      <c r="O8026" s="11"/>
      <c r="P8026" s="11"/>
    </row>
    <row r="8027" spans="8:16" x14ac:dyDescent="0.25">
      <c r="H8027" s="12"/>
      <c r="I8027" s="12"/>
      <c r="J8027" s="12"/>
      <c r="K8027" s="12"/>
      <c r="L8027" s="12"/>
      <c r="M8027" s="11"/>
      <c r="N8027" s="11"/>
      <c r="O8027" s="11"/>
      <c r="P8027" s="11"/>
    </row>
    <row r="8028" spans="8:16" x14ac:dyDescent="0.25">
      <c r="H8028" s="12"/>
      <c r="I8028" s="12"/>
      <c r="J8028" s="12"/>
      <c r="K8028" s="12"/>
      <c r="L8028" s="12"/>
      <c r="M8028" s="11"/>
      <c r="N8028" s="11"/>
      <c r="O8028" s="11"/>
      <c r="P8028" s="11"/>
    </row>
    <row r="8029" spans="8:16" x14ac:dyDescent="0.25">
      <c r="H8029" s="12"/>
      <c r="I8029" s="12"/>
      <c r="J8029" s="12"/>
      <c r="K8029" s="12"/>
      <c r="L8029" s="12"/>
      <c r="M8029" s="11"/>
      <c r="N8029" s="11"/>
      <c r="O8029" s="11"/>
      <c r="P8029" s="11"/>
    </row>
    <row r="8030" spans="8:16" x14ac:dyDescent="0.25">
      <c r="H8030" s="12"/>
      <c r="I8030" s="12"/>
      <c r="J8030" s="12"/>
      <c r="K8030" s="12"/>
      <c r="L8030" s="12"/>
      <c r="M8030" s="11"/>
      <c r="N8030" s="11"/>
      <c r="O8030" s="11"/>
      <c r="P8030" s="11"/>
    </row>
    <row r="8031" spans="8:16" x14ac:dyDescent="0.25">
      <c r="H8031" s="12"/>
      <c r="I8031" s="12"/>
      <c r="J8031" s="12"/>
      <c r="K8031" s="12"/>
      <c r="L8031" s="12"/>
      <c r="M8031" s="11"/>
      <c r="N8031" s="11"/>
      <c r="O8031" s="11"/>
      <c r="P8031" s="11"/>
    </row>
    <row r="8032" spans="8:16" x14ac:dyDescent="0.25">
      <c r="H8032" s="12"/>
      <c r="I8032" s="12"/>
      <c r="J8032" s="12"/>
      <c r="K8032" s="12"/>
      <c r="L8032" s="12"/>
      <c r="M8032" s="11"/>
      <c r="N8032" s="11"/>
      <c r="O8032" s="11"/>
      <c r="P8032" s="11"/>
    </row>
    <row r="8033" spans="8:16" x14ac:dyDescent="0.25">
      <c r="H8033" s="12"/>
      <c r="I8033" s="12"/>
      <c r="J8033" s="12"/>
      <c r="K8033" s="12"/>
      <c r="L8033" s="12"/>
      <c r="M8033" s="11"/>
      <c r="N8033" s="11"/>
      <c r="O8033" s="11"/>
      <c r="P8033" s="11"/>
    </row>
    <row r="8034" spans="8:16" x14ac:dyDescent="0.25">
      <c r="H8034" s="12"/>
      <c r="I8034" s="12"/>
      <c r="J8034" s="12"/>
      <c r="K8034" s="12"/>
      <c r="L8034" s="12"/>
      <c r="M8034" s="11"/>
      <c r="N8034" s="11"/>
      <c r="O8034" s="11"/>
      <c r="P8034" s="11"/>
    </row>
    <row r="8035" spans="8:16" x14ac:dyDescent="0.25">
      <c r="H8035" s="12"/>
      <c r="I8035" s="12"/>
      <c r="J8035" s="12"/>
      <c r="K8035" s="12"/>
      <c r="L8035" s="12"/>
      <c r="M8035" s="11"/>
      <c r="N8035" s="11"/>
      <c r="O8035" s="11"/>
      <c r="P8035" s="11"/>
    </row>
    <row r="8036" spans="8:16" x14ac:dyDescent="0.25">
      <c r="H8036" s="12"/>
      <c r="I8036" s="12"/>
      <c r="J8036" s="12"/>
      <c r="K8036" s="12"/>
      <c r="L8036" s="12"/>
      <c r="M8036" s="11"/>
      <c r="N8036" s="11"/>
      <c r="O8036" s="11"/>
      <c r="P8036" s="11"/>
    </row>
    <row r="8037" spans="8:16" x14ac:dyDescent="0.25">
      <c r="H8037" s="12"/>
      <c r="I8037" s="12"/>
      <c r="J8037" s="12"/>
      <c r="K8037" s="12"/>
      <c r="L8037" s="12"/>
      <c r="M8037" s="11"/>
      <c r="N8037" s="11"/>
      <c r="O8037" s="11"/>
      <c r="P8037" s="11"/>
    </row>
    <row r="8038" spans="8:16" x14ac:dyDescent="0.25">
      <c r="H8038" s="12"/>
      <c r="I8038" s="12"/>
      <c r="J8038" s="12"/>
      <c r="K8038" s="12"/>
      <c r="L8038" s="12"/>
      <c r="M8038" s="11"/>
      <c r="N8038" s="11"/>
      <c r="O8038" s="11"/>
      <c r="P8038" s="11"/>
    </row>
    <row r="8039" spans="8:16" x14ac:dyDescent="0.25">
      <c r="H8039" s="12"/>
      <c r="I8039" s="12"/>
      <c r="J8039" s="12"/>
      <c r="K8039" s="12"/>
      <c r="L8039" s="12"/>
      <c r="M8039" s="11"/>
      <c r="N8039" s="11"/>
      <c r="O8039" s="11"/>
      <c r="P8039" s="11"/>
    </row>
    <row r="8040" spans="8:16" x14ac:dyDescent="0.25">
      <c r="H8040" s="12"/>
      <c r="I8040" s="12"/>
      <c r="J8040" s="12"/>
      <c r="K8040" s="12"/>
      <c r="L8040" s="12"/>
      <c r="M8040" s="11"/>
      <c r="N8040" s="11"/>
      <c r="O8040" s="11"/>
      <c r="P8040" s="11"/>
    </row>
    <row r="8041" spans="8:16" x14ac:dyDescent="0.25">
      <c r="H8041" s="12"/>
      <c r="I8041" s="12"/>
      <c r="J8041" s="12"/>
      <c r="K8041" s="12"/>
      <c r="L8041" s="12"/>
      <c r="M8041" s="11"/>
      <c r="N8041" s="11"/>
      <c r="O8041" s="11"/>
      <c r="P8041" s="11"/>
    </row>
    <row r="8042" spans="8:16" x14ac:dyDescent="0.25">
      <c r="H8042" s="12"/>
      <c r="I8042" s="12"/>
      <c r="J8042" s="12"/>
      <c r="K8042" s="12"/>
      <c r="L8042" s="12"/>
      <c r="M8042" s="11"/>
      <c r="N8042" s="11"/>
      <c r="O8042" s="11"/>
      <c r="P8042" s="11"/>
    </row>
    <row r="8043" spans="8:16" x14ac:dyDescent="0.25">
      <c r="H8043" s="12"/>
      <c r="I8043" s="12"/>
      <c r="J8043" s="12"/>
      <c r="K8043" s="12"/>
      <c r="L8043" s="12"/>
      <c r="M8043" s="11"/>
      <c r="N8043" s="11"/>
      <c r="O8043" s="11"/>
      <c r="P8043" s="11"/>
    </row>
    <row r="8044" spans="8:16" x14ac:dyDescent="0.25">
      <c r="H8044" s="12"/>
      <c r="I8044" s="12"/>
      <c r="J8044" s="12"/>
      <c r="K8044" s="12"/>
      <c r="L8044" s="12"/>
      <c r="M8044" s="11"/>
      <c r="N8044" s="11"/>
      <c r="O8044" s="11"/>
      <c r="P8044" s="11"/>
    </row>
    <row r="8045" spans="8:16" x14ac:dyDescent="0.25">
      <c r="H8045" s="12"/>
      <c r="I8045" s="12"/>
      <c r="J8045" s="12"/>
      <c r="K8045" s="12"/>
      <c r="L8045" s="12"/>
      <c r="M8045" s="11"/>
      <c r="N8045" s="11"/>
      <c r="O8045" s="11"/>
      <c r="P8045" s="11"/>
    </row>
    <row r="8046" spans="8:16" x14ac:dyDescent="0.25">
      <c r="H8046" s="12"/>
      <c r="I8046" s="12"/>
      <c r="J8046" s="12"/>
      <c r="K8046" s="12"/>
      <c r="L8046" s="12"/>
      <c r="M8046" s="11"/>
      <c r="N8046" s="11"/>
      <c r="O8046" s="11"/>
      <c r="P8046" s="11"/>
    </row>
    <row r="8047" spans="8:16" x14ac:dyDescent="0.25">
      <c r="H8047" s="12"/>
      <c r="I8047" s="12"/>
      <c r="J8047" s="12"/>
      <c r="K8047" s="12"/>
      <c r="L8047" s="12"/>
      <c r="M8047" s="11"/>
      <c r="N8047" s="11"/>
      <c r="O8047" s="11"/>
      <c r="P8047" s="11"/>
    </row>
    <row r="8048" spans="8:16" x14ac:dyDescent="0.25">
      <c r="H8048" s="12"/>
      <c r="I8048" s="12"/>
      <c r="J8048" s="12"/>
      <c r="K8048" s="12"/>
      <c r="L8048" s="12"/>
      <c r="M8048" s="11"/>
      <c r="N8048" s="11"/>
      <c r="O8048" s="11"/>
      <c r="P8048" s="11"/>
    </row>
    <row r="8049" spans="8:16" x14ac:dyDescent="0.25">
      <c r="H8049" s="12"/>
      <c r="I8049" s="12"/>
      <c r="J8049" s="12"/>
      <c r="K8049" s="12"/>
      <c r="L8049" s="12"/>
      <c r="M8049" s="11"/>
      <c r="N8049" s="11"/>
      <c r="O8049" s="11"/>
      <c r="P8049" s="11"/>
    </row>
    <row r="8050" spans="8:16" x14ac:dyDescent="0.25">
      <c r="H8050" s="12"/>
      <c r="I8050" s="12"/>
      <c r="J8050" s="12"/>
      <c r="K8050" s="12"/>
      <c r="L8050" s="12"/>
      <c r="M8050" s="11"/>
      <c r="N8050" s="11"/>
      <c r="O8050" s="11"/>
      <c r="P8050" s="11"/>
    </row>
    <row r="8051" spans="8:16" x14ac:dyDescent="0.25">
      <c r="H8051" s="12"/>
      <c r="I8051" s="12"/>
      <c r="J8051" s="12"/>
      <c r="K8051" s="12"/>
      <c r="L8051" s="12"/>
      <c r="M8051" s="11"/>
      <c r="N8051" s="11"/>
      <c r="O8051" s="11"/>
      <c r="P8051" s="11"/>
    </row>
    <row r="8052" spans="8:16" x14ac:dyDescent="0.25">
      <c r="H8052" s="12"/>
      <c r="I8052" s="12"/>
      <c r="J8052" s="12"/>
      <c r="K8052" s="12"/>
      <c r="L8052" s="12"/>
      <c r="M8052" s="11"/>
      <c r="N8052" s="11"/>
      <c r="O8052" s="11"/>
      <c r="P8052" s="11"/>
    </row>
    <row r="8053" spans="8:16" x14ac:dyDescent="0.25">
      <c r="H8053" s="12"/>
      <c r="I8053" s="12"/>
      <c r="J8053" s="12"/>
      <c r="K8053" s="12"/>
      <c r="L8053" s="12"/>
      <c r="M8053" s="11"/>
      <c r="N8053" s="11"/>
      <c r="O8053" s="11"/>
      <c r="P8053" s="11"/>
    </row>
    <row r="8054" spans="8:16" x14ac:dyDescent="0.25">
      <c r="H8054" s="12"/>
      <c r="I8054" s="12"/>
      <c r="J8054" s="12"/>
      <c r="K8054" s="12"/>
      <c r="L8054" s="12"/>
      <c r="M8054" s="11"/>
      <c r="N8054" s="11"/>
      <c r="O8054" s="11"/>
      <c r="P8054" s="11"/>
    </row>
    <row r="8055" spans="8:16" x14ac:dyDescent="0.25">
      <c r="H8055" s="12"/>
      <c r="I8055" s="12"/>
      <c r="J8055" s="12"/>
      <c r="K8055" s="12"/>
      <c r="L8055" s="12"/>
      <c r="M8055" s="11"/>
      <c r="N8055" s="11"/>
      <c r="O8055" s="11"/>
      <c r="P8055" s="11"/>
    </row>
    <row r="8056" spans="8:16" x14ac:dyDescent="0.25">
      <c r="H8056" s="12"/>
      <c r="I8056" s="12"/>
      <c r="J8056" s="12"/>
      <c r="K8056" s="12"/>
      <c r="L8056" s="12"/>
      <c r="M8056" s="11"/>
      <c r="N8056" s="11"/>
      <c r="O8056" s="11"/>
      <c r="P8056" s="11"/>
    </row>
    <row r="8057" spans="8:16" x14ac:dyDescent="0.25">
      <c r="H8057" s="12"/>
      <c r="I8057" s="12"/>
      <c r="J8057" s="12"/>
      <c r="K8057" s="12"/>
      <c r="L8057" s="12"/>
      <c r="M8057" s="11"/>
      <c r="N8057" s="11"/>
      <c r="O8057" s="11"/>
      <c r="P8057" s="11"/>
    </row>
    <row r="8058" spans="8:16" x14ac:dyDescent="0.25">
      <c r="H8058" s="12"/>
      <c r="I8058" s="12"/>
      <c r="J8058" s="12"/>
      <c r="K8058" s="12"/>
      <c r="L8058" s="12"/>
      <c r="M8058" s="11"/>
      <c r="N8058" s="11"/>
      <c r="O8058" s="11"/>
      <c r="P8058" s="11"/>
    </row>
    <row r="8059" spans="8:16" x14ac:dyDescent="0.25">
      <c r="H8059" s="12"/>
      <c r="I8059" s="12"/>
      <c r="J8059" s="12"/>
      <c r="K8059" s="12"/>
      <c r="L8059" s="12"/>
      <c r="M8059" s="11"/>
      <c r="N8059" s="11"/>
      <c r="O8059" s="11"/>
      <c r="P8059" s="11"/>
    </row>
    <row r="8060" spans="8:16" x14ac:dyDescent="0.25">
      <c r="H8060" s="12"/>
      <c r="I8060" s="12"/>
      <c r="J8060" s="12"/>
      <c r="K8060" s="12"/>
      <c r="L8060" s="12"/>
      <c r="M8060" s="11"/>
      <c r="N8060" s="11"/>
      <c r="O8060" s="11"/>
      <c r="P8060" s="11"/>
    </row>
    <row r="8061" spans="8:16" x14ac:dyDescent="0.25">
      <c r="H8061" s="12"/>
      <c r="I8061" s="12"/>
      <c r="J8061" s="12"/>
      <c r="K8061" s="12"/>
      <c r="L8061" s="12"/>
      <c r="M8061" s="11"/>
      <c r="N8061" s="11"/>
      <c r="O8061" s="11"/>
      <c r="P8061" s="11"/>
    </row>
    <row r="8062" spans="8:16" x14ac:dyDescent="0.25">
      <c r="H8062" s="12"/>
      <c r="I8062" s="12"/>
      <c r="J8062" s="12"/>
      <c r="K8062" s="12"/>
      <c r="L8062" s="12"/>
      <c r="M8062" s="11"/>
      <c r="N8062" s="11"/>
      <c r="O8062" s="11"/>
      <c r="P8062" s="11"/>
    </row>
    <row r="8063" spans="8:16" x14ac:dyDescent="0.25">
      <c r="H8063" s="12"/>
      <c r="I8063" s="12"/>
      <c r="J8063" s="12"/>
      <c r="K8063" s="12"/>
      <c r="L8063" s="12"/>
      <c r="M8063" s="11"/>
      <c r="N8063" s="11"/>
      <c r="O8063" s="11"/>
      <c r="P8063" s="11"/>
    </row>
    <row r="8064" spans="8:16" x14ac:dyDescent="0.25">
      <c r="H8064" s="12"/>
      <c r="I8064" s="12"/>
      <c r="J8064" s="12"/>
      <c r="K8064" s="12"/>
      <c r="L8064" s="12"/>
      <c r="M8064" s="11"/>
      <c r="N8064" s="11"/>
      <c r="O8064" s="11"/>
      <c r="P8064" s="11"/>
    </row>
    <row r="8065" spans="8:16" x14ac:dyDescent="0.25">
      <c r="H8065" s="12"/>
      <c r="I8065" s="12"/>
      <c r="J8065" s="12"/>
      <c r="K8065" s="12"/>
      <c r="L8065" s="12"/>
      <c r="M8065" s="11"/>
      <c r="N8065" s="11"/>
      <c r="O8065" s="11"/>
      <c r="P8065" s="11"/>
    </row>
    <row r="8066" spans="8:16" x14ac:dyDescent="0.25">
      <c r="H8066" s="12"/>
      <c r="I8066" s="12"/>
      <c r="J8066" s="12"/>
      <c r="K8066" s="12"/>
      <c r="L8066" s="12"/>
      <c r="M8066" s="11"/>
      <c r="N8066" s="11"/>
      <c r="O8066" s="11"/>
      <c r="P8066" s="11"/>
    </row>
    <row r="8067" spans="8:16" x14ac:dyDescent="0.25">
      <c r="H8067" s="12"/>
      <c r="I8067" s="12"/>
      <c r="J8067" s="12"/>
      <c r="K8067" s="12"/>
      <c r="L8067" s="12"/>
      <c r="M8067" s="11"/>
      <c r="N8067" s="11"/>
      <c r="O8067" s="11"/>
      <c r="P8067" s="11"/>
    </row>
    <row r="8068" spans="8:16" x14ac:dyDescent="0.25">
      <c r="H8068" s="12"/>
      <c r="I8068" s="12"/>
      <c r="J8068" s="12"/>
      <c r="K8068" s="12"/>
      <c r="L8068" s="12"/>
      <c r="M8068" s="11"/>
      <c r="N8068" s="11"/>
      <c r="O8068" s="11"/>
      <c r="P8068" s="11"/>
    </row>
    <row r="8069" spans="8:16" x14ac:dyDescent="0.25">
      <c r="H8069" s="12"/>
      <c r="I8069" s="12"/>
      <c r="J8069" s="12"/>
      <c r="K8069" s="12"/>
      <c r="L8069" s="12"/>
      <c r="M8069" s="11"/>
      <c r="N8069" s="11"/>
      <c r="O8069" s="11"/>
      <c r="P8069" s="11"/>
    </row>
    <row r="8070" spans="8:16" x14ac:dyDescent="0.25">
      <c r="H8070" s="12"/>
      <c r="I8070" s="12"/>
      <c r="J8070" s="12"/>
      <c r="K8070" s="12"/>
      <c r="L8070" s="12"/>
      <c r="M8070" s="11"/>
      <c r="N8070" s="11"/>
      <c r="O8070" s="11"/>
      <c r="P8070" s="11"/>
    </row>
    <row r="8071" spans="8:16" x14ac:dyDescent="0.25">
      <c r="H8071" s="12"/>
      <c r="I8071" s="12"/>
      <c r="J8071" s="12"/>
      <c r="K8071" s="12"/>
      <c r="L8071" s="12"/>
      <c r="M8071" s="11"/>
      <c r="N8071" s="11"/>
      <c r="O8071" s="11"/>
      <c r="P8071" s="11"/>
    </row>
    <row r="8072" spans="8:16" x14ac:dyDescent="0.25">
      <c r="H8072" s="12"/>
      <c r="I8072" s="12"/>
      <c r="J8072" s="12"/>
      <c r="K8072" s="12"/>
      <c r="L8072" s="12"/>
      <c r="M8072" s="11"/>
      <c r="N8072" s="11"/>
      <c r="O8072" s="11"/>
      <c r="P8072" s="11"/>
    </row>
    <row r="8073" spans="8:16" x14ac:dyDescent="0.25">
      <c r="H8073" s="12"/>
      <c r="I8073" s="12"/>
      <c r="J8073" s="12"/>
      <c r="K8073" s="12"/>
      <c r="L8073" s="12"/>
      <c r="M8073" s="11"/>
      <c r="N8073" s="11"/>
      <c r="O8073" s="11"/>
      <c r="P8073" s="11"/>
    </row>
    <row r="8074" spans="8:16" x14ac:dyDescent="0.25">
      <c r="H8074" s="12"/>
      <c r="I8074" s="12"/>
      <c r="J8074" s="12"/>
      <c r="K8074" s="12"/>
      <c r="L8074" s="12"/>
      <c r="M8074" s="11"/>
      <c r="N8074" s="11"/>
      <c r="O8074" s="11"/>
      <c r="P8074" s="11"/>
    </row>
    <row r="8075" spans="8:16" x14ac:dyDescent="0.25">
      <c r="H8075" s="12"/>
      <c r="I8075" s="12"/>
      <c r="J8075" s="12"/>
      <c r="K8075" s="12"/>
      <c r="L8075" s="12"/>
      <c r="M8075" s="11"/>
      <c r="N8075" s="11"/>
      <c r="O8075" s="11"/>
      <c r="P8075" s="11"/>
    </row>
    <row r="8076" spans="8:16" x14ac:dyDescent="0.25">
      <c r="H8076" s="12"/>
      <c r="I8076" s="12"/>
      <c r="J8076" s="12"/>
      <c r="K8076" s="12"/>
      <c r="L8076" s="12"/>
      <c r="M8076" s="11"/>
      <c r="N8076" s="11"/>
      <c r="O8076" s="11"/>
      <c r="P8076" s="11"/>
    </row>
    <row r="8077" spans="8:16" x14ac:dyDescent="0.25">
      <c r="H8077" s="12"/>
      <c r="I8077" s="12"/>
      <c r="J8077" s="12"/>
      <c r="K8077" s="12"/>
      <c r="L8077" s="12"/>
      <c r="M8077" s="11"/>
      <c r="N8077" s="11"/>
      <c r="O8077" s="11"/>
      <c r="P8077" s="11"/>
    </row>
    <row r="8078" spans="8:16" x14ac:dyDescent="0.25">
      <c r="H8078" s="12"/>
      <c r="I8078" s="12"/>
      <c r="J8078" s="12"/>
      <c r="K8078" s="12"/>
      <c r="L8078" s="12"/>
      <c r="M8078" s="11"/>
      <c r="N8078" s="11"/>
      <c r="O8078" s="11"/>
      <c r="P8078" s="11"/>
    </row>
    <row r="8079" spans="8:16" x14ac:dyDescent="0.25">
      <c r="H8079" s="12"/>
      <c r="I8079" s="12"/>
      <c r="J8079" s="12"/>
      <c r="K8079" s="12"/>
      <c r="L8079" s="12"/>
      <c r="M8079" s="11"/>
      <c r="N8079" s="11"/>
      <c r="O8079" s="11"/>
      <c r="P8079" s="11"/>
    </row>
    <row r="8080" spans="8:16" x14ac:dyDescent="0.25">
      <c r="H8080" s="12"/>
      <c r="I8080" s="12"/>
      <c r="J8080" s="12"/>
      <c r="K8080" s="12"/>
      <c r="L8080" s="12"/>
      <c r="M8080" s="11"/>
      <c r="N8080" s="11"/>
      <c r="O8080" s="11"/>
      <c r="P8080" s="11"/>
    </row>
    <row r="8081" spans="8:16" x14ac:dyDescent="0.25">
      <c r="H8081" s="12"/>
      <c r="I8081" s="12"/>
      <c r="J8081" s="12"/>
      <c r="K8081" s="12"/>
      <c r="L8081" s="12"/>
      <c r="M8081" s="11"/>
      <c r="N8081" s="11"/>
      <c r="O8081" s="11"/>
      <c r="P8081" s="11"/>
    </row>
    <row r="8082" spans="8:16" x14ac:dyDescent="0.25">
      <c r="H8082" s="12"/>
      <c r="I8082" s="12"/>
      <c r="J8082" s="12"/>
      <c r="K8082" s="12"/>
      <c r="L8082" s="12"/>
      <c r="M8082" s="11"/>
      <c r="N8082" s="11"/>
      <c r="O8082" s="11"/>
      <c r="P8082" s="11"/>
    </row>
    <row r="8083" spans="8:16" x14ac:dyDescent="0.25">
      <c r="H8083" s="12"/>
      <c r="I8083" s="12"/>
      <c r="J8083" s="12"/>
      <c r="K8083" s="12"/>
      <c r="L8083" s="12"/>
      <c r="M8083" s="11"/>
      <c r="N8083" s="11"/>
      <c r="O8083" s="11"/>
      <c r="P8083" s="11"/>
    </row>
    <row r="8084" spans="8:16" x14ac:dyDescent="0.25">
      <c r="H8084" s="12"/>
      <c r="I8084" s="12"/>
      <c r="J8084" s="12"/>
      <c r="K8084" s="12"/>
      <c r="L8084" s="12"/>
      <c r="M8084" s="11"/>
      <c r="N8084" s="11"/>
      <c r="O8084" s="11"/>
      <c r="P8084" s="11"/>
    </row>
    <row r="8085" spans="8:16" x14ac:dyDescent="0.25">
      <c r="H8085" s="12"/>
      <c r="I8085" s="12"/>
      <c r="J8085" s="12"/>
      <c r="K8085" s="12"/>
      <c r="L8085" s="12"/>
      <c r="M8085" s="11"/>
      <c r="N8085" s="11"/>
      <c r="O8085" s="11"/>
      <c r="P8085" s="11"/>
    </row>
    <row r="8086" spans="8:16" x14ac:dyDescent="0.25">
      <c r="H8086" s="12"/>
      <c r="I8086" s="12"/>
      <c r="J8086" s="12"/>
      <c r="K8086" s="12"/>
      <c r="L8086" s="12"/>
      <c r="M8086" s="11"/>
      <c r="N8086" s="11"/>
      <c r="O8086" s="11"/>
      <c r="P8086" s="11"/>
    </row>
    <row r="8087" spans="8:16" x14ac:dyDescent="0.25">
      <c r="H8087" s="12"/>
      <c r="I8087" s="12"/>
      <c r="J8087" s="12"/>
      <c r="K8087" s="12"/>
      <c r="L8087" s="12"/>
      <c r="M8087" s="11"/>
      <c r="N8087" s="11"/>
      <c r="O8087" s="11"/>
      <c r="P8087" s="11"/>
    </row>
    <row r="8088" spans="8:16" x14ac:dyDescent="0.25">
      <c r="H8088" s="12"/>
      <c r="I8088" s="12"/>
      <c r="J8088" s="12"/>
      <c r="K8088" s="12"/>
      <c r="L8088" s="12"/>
      <c r="M8088" s="11"/>
      <c r="N8088" s="11"/>
      <c r="O8088" s="11"/>
      <c r="P8088" s="11"/>
    </row>
    <row r="8089" spans="8:16" x14ac:dyDescent="0.25">
      <c r="H8089" s="12"/>
      <c r="I8089" s="12"/>
      <c r="J8089" s="12"/>
      <c r="K8089" s="12"/>
      <c r="L8089" s="12"/>
      <c r="M8089" s="11"/>
      <c r="N8089" s="11"/>
      <c r="O8089" s="11"/>
      <c r="P8089" s="11"/>
    </row>
    <row r="8090" spans="8:16" x14ac:dyDescent="0.25">
      <c r="H8090" s="12"/>
      <c r="I8090" s="12"/>
      <c r="J8090" s="12"/>
      <c r="K8090" s="12"/>
      <c r="L8090" s="12"/>
      <c r="M8090" s="11"/>
      <c r="N8090" s="11"/>
      <c r="O8090" s="11"/>
      <c r="P8090" s="11"/>
    </row>
    <row r="8091" spans="8:16" x14ac:dyDescent="0.25">
      <c r="H8091" s="12"/>
      <c r="I8091" s="12"/>
      <c r="J8091" s="12"/>
      <c r="K8091" s="12"/>
      <c r="L8091" s="12"/>
      <c r="M8091" s="11"/>
      <c r="N8091" s="11"/>
      <c r="O8091" s="11"/>
      <c r="P8091" s="11"/>
    </row>
    <row r="8092" spans="8:16" x14ac:dyDescent="0.25">
      <c r="H8092" s="12"/>
      <c r="I8092" s="12"/>
      <c r="J8092" s="12"/>
      <c r="K8092" s="12"/>
      <c r="L8092" s="12"/>
      <c r="M8092" s="11"/>
      <c r="N8092" s="11"/>
      <c r="O8092" s="11"/>
      <c r="P8092" s="11"/>
    </row>
    <row r="8093" spans="8:16" x14ac:dyDescent="0.25">
      <c r="H8093" s="12"/>
      <c r="I8093" s="12"/>
      <c r="J8093" s="12"/>
      <c r="K8093" s="12"/>
      <c r="L8093" s="12"/>
      <c r="M8093" s="11"/>
      <c r="N8093" s="11"/>
      <c r="O8093" s="11"/>
      <c r="P8093" s="11"/>
    </row>
    <row r="8094" spans="8:16" x14ac:dyDescent="0.25">
      <c r="H8094" s="12"/>
      <c r="I8094" s="12"/>
      <c r="J8094" s="12"/>
      <c r="K8094" s="12"/>
      <c r="L8094" s="12"/>
      <c r="M8094" s="11"/>
      <c r="N8094" s="11"/>
      <c r="O8094" s="11"/>
      <c r="P8094" s="11"/>
    </row>
    <row r="8095" spans="8:16" x14ac:dyDescent="0.25">
      <c r="H8095" s="12"/>
      <c r="I8095" s="12"/>
      <c r="J8095" s="12"/>
      <c r="K8095" s="12"/>
      <c r="L8095" s="12"/>
      <c r="M8095" s="11"/>
      <c r="N8095" s="11"/>
      <c r="O8095" s="11"/>
      <c r="P8095" s="11"/>
    </row>
    <row r="8096" spans="8:16" x14ac:dyDescent="0.25">
      <c r="H8096" s="12"/>
      <c r="I8096" s="12"/>
      <c r="J8096" s="12"/>
      <c r="K8096" s="12"/>
      <c r="L8096" s="12"/>
      <c r="M8096" s="11"/>
      <c r="N8096" s="11"/>
      <c r="O8096" s="11"/>
      <c r="P8096" s="11"/>
    </row>
    <row r="8097" spans="8:16" x14ac:dyDescent="0.25">
      <c r="H8097" s="12"/>
      <c r="I8097" s="12"/>
      <c r="J8097" s="12"/>
      <c r="K8097" s="12"/>
      <c r="L8097" s="12"/>
      <c r="M8097" s="11"/>
      <c r="N8097" s="11"/>
      <c r="O8097" s="11"/>
      <c r="P8097" s="11"/>
    </row>
    <row r="8098" spans="8:16" x14ac:dyDescent="0.25">
      <c r="H8098" s="12"/>
      <c r="I8098" s="12"/>
      <c r="J8098" s="12"/>
      <c r="K8098" s="12"/>
      <c r="L8098" s="12"/>
      <c r="M8098" s="11"/>
      <c r="N8098" s="11"/>
      <c r="O8098" s="11"/>
      <c r="P8098" s="11"/>
    </row>
    <row r="8099" spans="8:16" x14ac:dyDescent="0.25">
      <c r="H8099" s="12"/>
      <c r="I8099" s="12"/>
      <c r="J8099" s="12"/>
      <c r="K8099" s="12"/>
      <c r="L8099" s="12"/>
      <c r="M8099" s="11"/>
      <c r="N8099" s="11"/>
      <c r="O8099" s="11"/>
      <c r="P8099" s="11"/>
    </row>
    <row r="8100" spans="8:16" x14ac:dyDescent="0.25">
      <c r="H8100" s="12"/>
      <c r="I8100" s="12"/>
      <c r="J8100" s="12"/>
      <c r="K8100" s="12"/>
      <c r="L8100" s="12"/>
      <c r="M8100" s="11"/>
      <c r="N8100" s="11"/>
      <c r="O8100" s="11"/>
      <c r="P8100" s="11"/>
    </row>
    <row r="8101" spans="8:16" x14ac:dyDescent="0.25">
      <c r="H8101" s="12"/>
      <c r="I8101" s="12"/>
      <c r="J8101" s="12"/>
      <c r="K8101" s="12"/>
      <c r="L8101" s="12"/>
      <c r="M8101" s="11"/>
      <c r="N8101" s="11"/>
      <c r="O8101" s="11"/>
      <c r="P8101" s="11"/>
    </row>
    <row r="8102" spans="8:16" x14ac:dyDescent="0.25">
      <c r="H8102" s="12"/>
      <c r="I8102" s="12"/>
      <c r="J8102" s="12"/>
      <c r="K8102" s="12"/>
      <c r="L8102" s="12"/>
      <c r="M8102" s="11"/>
      <c r="N8102" s="11"/>
      <c r="O8102" s="11"/>
      <c r="P8102" s="11"/>
    </row>
    <row r="8103" spans="8:16" x14ac:dyDescent="0.25">
      <c r="H8103" s="12"/>
      <c r="I8103" s="12"/>
      <c r="J8103" s="12"/>
      <c r="K8103" s="12"/>
      <c r="L8103" s="12"/>
      <c r="M8103" s="11"/>
      <c r="N8103" s="11"/>
      <c r="O8103" s="11"/>
      <c r="P8103" s="11"/>
    </row>
    <row r="8104" spans="8:16" x14ac:dyDescent="0.25">
      <c r="H8104" s="12"/>
      <c r="I8104" s="12"/>
      <c r="J8104" s="12"/>
      <c r="K8104" s="12"/>
      <c r="L8104" s="12"/>
      <c r="M8104" s="11"/>
      <c r="N8104" s="11"/>
      <c r="O8104" s="11"/>
      <c r="P8104" s="11"/>
    </row>
    <row r="8105" spans="8:16" x14ac:dyDescent="0.25">
      <c r="H8105" s="12"/>
      <c r="I8105" s="12"/>
      <c r="J8105" s="12"/>
      <c r="K8105" s="12"/>
      <c r="L8105" s="12"/>
      <c r="M8105" s="11"/>
      <c r="N8105" s="11"/>
      <c r="O8105" s="11"/>
      <c r="P8105" s="11"/>
    </row>
    <row r="8106" spans="8:16" x14ac:dyDescent="0.25">
      <c r="H8106" s="12"/>
      <c r="I8106" s="12"/>
      <c r="J8106" s="12"/>
      <c r="K8106" s="12"/>
      <c r="L8106" s="12"/>
      <c r="M8106" s="11"/>
      <c r="N8106" s="11"/>
      <c r="O8106" s="11"/>
      <c r="P8106" s="11"/>
    </row>
    <row r="8107" spans="8:16" x14ac:dyDescent="0.25">
      <c r="H8107" s="12"/>
      <c r="I8107" s="12"/>
      <c r="J8107" s="12"/>
      <c r="K8107" s="12"/>
      <c r="L8107" s="12"/>
      <c r="M8107" s="11"/>
      <c r="N8107" s="11"/>
      <c r="O8107" s="11"/>
      <c r="P8107" s="11"/>
    </row>
    <row r="8108" spans="8:16" x14ac:dyDescent="0.25">
      <c r="H8108" s="12"/>
      <c r="I8108" s="12"/>
      <c r="J8108" s="12"/>
      <c r="K8108" s="12"/>
      <c r="L8108" s="12"/>
      <c r="M8108" s="11"/>
      <c r="N8108" s="11"/>
      <c r="O8108" s="11"/>
      <c r="P8108" s="11"/>
    </row>
    <row r="8109" spans="8:16" x14ac:dyDescent="0.25">
      <c r="H8109" s="12"/>
      <c r="I8109" s="12"/>
      <c r="J8109" s="12"/>
      <c r="K8109" s="12"/>
      <c r="L8109" s="12"/>
      <c r="M8109" s="11"/>
      <c r="N8109" s="11"/>
      <c r="O8109" s="11"/>
      <c r="P8109" s="11"/>
    </row>
    <row r="8110" spans="8:16" x14ac:dyDescent="0.25">
      <c r="H8110" s="12"/>
      <c r="I8110" s="12"/>
      <c r="J8110" s="12"/>
      <c r="K8110" s="12"/>
      <c r="L8110" s="12"/>
      <c r="M8110" s="11"/>
      <c r="N8110" s="11"/>
      <c r="O8110" s="11"/>
      <c r="P8110" s="11"/>
    </row>
    <row r="8111" spans="8:16" x14ac:dyDescent="0.25">
      <c r="H8111" s="12"/>
      <c r="I8111" s="12"/>
      <c r="J8111" s="12"/>
      <c r="K8111" s="12"/>
      <c r="L8111" s="12"/>
      <c r="M8111" s="11"/>
      <c r="N8111" s="11"/>
      <c r="O8111" s="11"/>
      <c r="P8111" s="11"/>
    </row>
    <row r="8112" spans="8:16" x14ac:dyDescent="0.25">
      <c r="H8112" s="12"/>
      <c r="I8112" s="12"/>
      <c r="J8112" s="12"/>
      <c r="K8112" s="12"/>
      <c r="L8112" s="12"/>
      <c r="M8112" s="11"/>
      <c r="N8112" s="11"/>
      <c r="O8112" s="11"/>
      <c r="P8112" s="11"/>
    </row>
    <row r="8113" spans="8:16" x14ac:dyDescent="0.25">
      <c r="H8113" s="12"/>
      <c r="I8113" s="12"/>
      <c r="J8113" s="12"/>
      <c r="K8113" s="12"/>
      <c r="L8113" s="12"/>
      <c r="M8113" s="11"/>
      <c r="N8113" s="11"/>
      <c r="O8113" s="11"/>
      <c r="P8113" s="11"/>
    </row>
    <row r="8114" spans="8:16" x14ac:dyDescent="0.25">
      <c r="H8114" s="12"/>
      <c r="I8114" s="12"/>
      <c r="J8114" s="12"/>
      <c r="K8114" s="12"/>
      <c r="L8114" s="12"/>
      <c r="M8114" s="11"/>
      <c r="N8114" s="11"/>
      <c r="O8114" s="11"/>
      <c r="P8114" s="11"/>
    </row>
    <row r="8115" spans="8:16" x14ac:dyDescent="0.25">
      <c r="H8115" s="12"/>
      <c r="I8115" s="12"/>
      <c r="J8115" s="12"/>
      <c r="K8115" s="12"/>
      <c r="L8115" s="12"/>
      <c r="M8115" s="11"/>
      <c r="N8115" s="11"/>
      <c r="O8115" s="11"/>
      <c r="P8115" s="11"/>
    </row>
    <row r="8116" spans="8:16" x14ac:dyDescent="0.25">
      <c r="H8116" s="12"/>
      <c r="I8116" s="12"/>
      <c r="J8116" s="12"/>
      <c r="K8116" s="12"/>
      <c r="L8116" s="12"/>
      <c r="M8116" s="11"/>
      <c r="N8116" s="11"/>
      <c r="O8116" s="11"/>
      <c r="P8116" s="11"/>
    </row>
    <row r="8117" spans="8:16" x14ac:dyDescent="0.25">
      <c r="H8117" s="12"/>
      <c r="I8117" s="12"/>
      <c r="J8117" s="12"/>
      <c r="K8117" s="12"/>
      <c r="L8117" s="12"/>
      <c r="M8117" s="11"/>
      <c r="N8117" s="11"/>
      <c r="O8117" s="11"/>
      <c r="P8117" s="11"/>
    </row>
    <row r="8118" spans="8:16" x14ac:dyDescent="0.25">
      <c r="H8118" s="12"/>
      <c r="I8118" s="12"/>
      <c r="J8118" s="12"/>
      <c r="K8118" s="12"/>
      <c r="L8118" s="12"/>
      <c r="M8118" s="11"/>
      <c r="N8118" s="11"/>
      <c r="O8118" s="11"/>
      <c r="P8118" s="11"/>
    </row>
    <row r="8119" spans="8:16" x14ac:dyDescent="0.25">
      <c r="H8119" s="12"/>
      <c r="I8119" s="12"/>
      <c r="J8119" s="12"/>
      <c r="K8119" s="12"/>
      <c r="L8119" s="12"/>
      <c r="M8119" s="11"/>
      <c r="N8119" s="11"/>
      <c r="O8119" s="11"/>
      <c r="P8119" s="11"/>
    </row>
    <row r="8120" spans="8:16" x14ac:dyDescent="0.25">
      <c r="H8120" s="12"/>
      <c r="I8120" s="12"/>
      <c r="J8120" s="12"/>
      <c r="K8120" s="12"/>
      <c r="L8120" s="12"/>
      <c r="M8120" s="11"/>
      <c r="N8120" s="11"/>
      <c r="O8120" s="11"/>
      <c r="P8120" s="11"/>
    </row>
    <row r="8121" spans="8:16" x14ac:dyDescent="0.25">
      <c r="H8121" s="12"/>
      <c r="I8121" s="12"/>
      <c r="J8121" s="12"/>
      <c r="K8121" s="12"/>
      <c r="L8121" s="12"/>
      <c r="M8121" s="11"/>
      <c r="N8121" s="11"/>
      <c r="O8121" s="11"/>
      <c r="P8121" s="11"/>
    </row>
    <row r="8122" spans="8:16" x14ac:dyDescent="0.25">
      <c r="H8122" s="12"/>
      <c r="I8122" s="12"/>
      <c r="J8122" s="12"/>
      <c r="K8122" s="12"/>
      <c r="L8122" s="12"/>
      <c r="M8122" s="11"/>
      <c r="N8122" s="11"/>
      <c r="O8122" s="11"/>
      <c r="P8122" s="11"/>
    </row>
    <row r="8123" spans="8:16" x14ac:dyDescent="0.25">
      <c r="H8123" s="12"/>
      <c r="I8123" s="12"/>
      <c r="J8123" s="12"/>
      <c r="K8123" s="12"/>
      <c r="L8123" s="12"/>
      <c r="M8123" s="11"/>
      <c r="N8123" s="11"/>
      <c r="O8123" s="11"/>
      <c r="P8123" s="11"/>
    </row>
    <row r="8124" spans="8:16" x14ac:dyDescent="0.25">
      <c r="H8124" s="12"/>
      <c r="I8124" s="12"/>
      <c r="J8124" s="12"/>
      <c r="K8124" s="12"/>
      <c r="L8124" s="12"/>
      <c r="M8124" s="11"/>
      <c r="N8124" s="11"/>
      <c r="O8124" s="11"/>
      <c r="P8124" s="11"/>
    </row>
    <row r="8125" spans="8:16" x14ac:dyDescent="0.25">
      <c r="H8125" s="12"/>
      <c r="I8125" s="12"/>
      <c r="J8125" s="12"/>
      <c r="K8125" s="12"/>
      <c r="L8125" s="12"/>
      <c r="M8125" s="11"/>
      <c r="N8125" s="11"/>
      <c r="O8125" s="11"/>
      <c r="P8125" s="11"/>
    </row>
    <row r="8126" spans="8:16" x14ac:dyDescent="0.25">
      <c r="H8126" s="12"/>
      <c r="I8126" s="12"/>
      <c r="J8126" s="12"/>
      <c r="K8126" s="12"/>
      <c r="L8126" s="12"/>
      <c r="M8126" s="11"/>
      <c r="N8126" s="11"/>
      <c r="O8126" s="11"/>
      <c r="P8126" s="11"/>
    </row>
    <row r="8127" spans="8:16" x14ac:dyDescent="0.25">
      <c r="H8127" s="12"/>
      <c r="I8127" s="12"/>
      <c r="J8127" s="12"/>
      <c r="K8127" s="12"/>
      <c r="L8127" s="12"/>
      <c r="M8127" s="11"/>
      <c r="N8127" s="11"/>
      <c r="O8127" s="11"/>
      <c r="P8127" s="11"/>
    </row>
    <row r="8128" spans="8:16" x14ac:dyDescent="0.25">
      <c r="H8128" s="12"/>
      <c r="I8128" s="12"/>
      <c r="J8128" s="12"/>
      <c r="K8128" s="12"/>
      <c r="L8128" s="12"/>
      <c r="M8128" s="11"/>
      <c r="N8128" s="11"/>
      <c r="O8128" s="11"/>
      <c r="P8128" s="11"/>
    </row>
    <row r="8129" spans="8:16" x14ac:dyDescent="0.25">
      <c r="H8129" s="12"/>
      <c r="I8129" s="12"/>
      <c r="J8129" s="12"/>
      <c r="K8129" s="12"/>
      <c r="L8129" s="12"/>
      <c r="M8129" s="11"/>
      <c r="N8129" s="11"/>
      <c r="O8129" s="11"/>
      <c r="P8129" s="11"/>
    </row>
    <row r="8130" spans="8:16" x14ac:dyDescent="0.25">
      <c r="H8130" s="12"/>
      <c r="I8130" s="12"/>
      <c r="J8130" s="12"/>
      <c r="K8130" s="12"/>
      <c r="L8130" s="12"/>
      <c r="M8130" s="11"/>
      <c r="N8130" s="11"/>
      <c r="O8130" s="11"/>
      <c r="P8130" s="11"/>
    </row>
    <row r="8131" spans="8:16" x14ac:dyDescent="0.25">
      <c r="H8131" s="12"/>
      <c r="I8131" s="12"/>
      <c r="J8131" s="12"/>
      <c r="K8131" s="12"/>
      <c r="L8131" s="12"/>
      <c r="M8131" s="11"/>
      <c r="N8131" s="11"/>
      <c r="O8131" s="11"/>
      <c r="P8131" s="11"/>
    </row>
    <row r="8132" spans="8:16" x14ac:dyDescent="0.25">
      <c r="H8132" s="12"/>
      <c r="I8132" s="12"/>
      <c r="J8132" s="12"/>
      <c r="K8132" s="12"/>
      <c r="L8132" s="12"/>
      <c r="M8132" s="11"/>
      <c r="N8132" s="11"/>
      <c r="O8132" s="11"/>
      <c r="P8132" s="11"/>
    </row>
    <row r="8133" spans="8:16" x14ac:dyDescent="0.25">
      <c r="H8133" s="12"/>
      <c r="I8133" s="12"/>
      <c r="J8133" s="12"/>
      <c r="K8133" s="12"/>
      <c r="L8133" s="12"/>
      <c r="M8133" s="11"/>
      <c r="N8133" s="11"/>
      <c r="O8133" s="11"/>
      <c r="P8133" s="11"/>
    </row>
    <row r="8134" spans="8:16" x14ac:dyDescent="0.25">
      <c r="H8134" s="12"/>
      <c r="I8134" s="12"/>
      <c r="J8134" s="12"/>
      <c r="K8134" s="12"/>
      <c r="L8134" s="12"/>
      <c r="M8134" s="11"/>
      <c r="N8134" s="11"/>
      <c r="O8134" s="11"/>
      <c r="P8134" s="11"/>
    </row>
    <row r="8135" spans="8:16" x14ac:dyDescent="0.25">
      <c r="H8135" s="12"/>
      <c r="I8135" s="12"/>
      <c r="J8135" s="12"/>
      <c r="K8135" s="12"/>
      <c r="L8135" s="12"/>
      <c r="M8135" s="11"/>
      <c r="N8135" s="11"/>
      <c r="O8135" s="11"/>
      <c r="P8135" s="11"/>
    </row>
    <row r="8136" spans="8:16" x14ac:dyDescent="0.25">
      <c r="H8136" s="12"/>
      <c r="I8136" s="12"/>
      <c r="J8136" s="12"/>
      <c r="K8136" s="12"/>
      <c r="L8136" s="12"/>
      <c r="M8136" s="11"/>
      <c r="N8136" s="11"/>
      <c r="O8136" s="11"/>
      <c r="P8136" s="11"/>
    </row>
    <row r="8137" spans="8:16" x14ac:dyDescent="0.25">
      <c r="H8137" s="12"/>
      <c r="I8137" s="12"/>
      <c r="J8137" s="12"/>
      <c r="K8137" s="12"/>
      <c r="L8137" s="12"/>
      <c r="M8137" s="11"/>
      <c r="N8137" s="11"/>
      <c r="O8137" s="11"/>
      <c r="P8137" s="11"/>
    </row>
    <row r="8138" spans="8:16" x14ac:dyDescent="0.25">
      <c r="H8138" s="12"/>
      <c r="I8138" s="12"/>
      <c r="J8138" s="12"/>
      <c r="K8138" s="12"/>
      <c r="L8138" s="12"/>
      <c r="M8138" s="11"/>
      <c r="N8138" s="11"/>
      <c r="O8138" s="11"/>
      <c r="P8138" s="11"/>
    </row>
    <row r="8139" spans="8:16" x14ac:dyDescent="0.25">
      <c r="H8139" s="12"/>
      <c r="I8139" s="12"/>
      <c r="J8139" s="12"/>
      <c r="K8139" s="12"/>
      <c r="L8139" s="12"/>
      <c r="M8139" s="11"/>
      <c r="N8139" s="11"/>
      <c r="O8139" s="11"/>
      <c r="P8139" s="11"/>
    </row>
    <row r="8140" spans="8:16" x14ac:dyDescent="0.25">
      <c r="H8140" s="12"/>
      <c r="I8140" s="12"/>
      <c r="J8140" s="12"/>
      <c r="K8140" s="12"/>
      <c r="L8140" s="12"/>
      <c r="M8140" s="11"/>
      <c r="N8140" s="11"/>
      <c r="O8140" s="11"/>
      <c r="P8140" s="11"/>
    </row>
    <row r="8141" spans="8:16" x14ac:dyDescent="0.25">
      <c r="H8141" s="12"/>
      <c r="I8141" s="12"/>
      <c r="J8141" s="12"/>
      <c r="K8141" s="12"/>
      <c r="L8141" s="12"/>
      <c r="M8141" s="11"/>
      <c r="N8141" s="11"/>
      <c r="O8141" s="11"/>
      <c r="P8141" s="11"/>
    </row>
    <row r="8142" spans="8:16" x14ac:dyDescent="0.25">
      <c r="H8142" s="12"/>
      <c r="I8142" s="12"/>
      <c r="J8142" s="12"/>
      <c r="K8142" s="12"/>
      <c r="L8142" s="12"/>
      <c r="M8142" s="11"/>
      <c r="N8142" s="11"/>
      <c r="O8142" s="11"/>
      <c r="P8142" s="11"/>
    </row>
    <row r="8143" spans="8:16" x14ac:dyDescent="0.25">
      <c r="H8143" s="12"/>
      <c r="I8143" s="12"/>
      <c r="J8143" s="12"/>
      <c r="K8143" s="12"/>
      <c r="L8143" s="12"/>
      <c r="M8143" s="11"/>
      <c r="N8143" s="11"/>
      <c r="O8143" s="11"/>
      <c r="P8143" s="11"/>
    </row>
    <row r="8144" spans="8:16" x14ac:dyDescent="0.25">
      <c r="H8144" s="12"/>
      <c r="I8144" s="12"/>
      <c r="J8144" s="12"/>
      <c r="K8144" s="12"/>
      <c r="L8144" s="12"/>
      <c r="M8144" s="11"/>
      <c r="N8144" s="11"/>
      <c r="O8144" s="11"/>
      <c r="P8144" s="11"/>
    </row>
    <row r="8145" spans="8:16" x14ac:dyDescent="0.25">
      <c r="H8145" s="12"/>
      <c r="I8145" s="12"/>
      <c r="J8145" s="12"/>
      <c r="K8145" s="12"/>
      <c r="L8145" s="12"/>
      <c r="M8145" s="11"/>
      <c r="N8145" s="11"/>
      <c r="O8145" s="11"/>
      <c r="P8145" s="11"/>
    </row>
    <row r="8146" spans="8:16" x14ac:dyDescent="0.25">
      <c r="H8146" s="12"/>
      <c r="I8146" s="12"/>
      <c r="J8146" s="12"/>
      <c r="K8146" s="12"/>
      <c r="L8146" s="12"/>
      <c r="M8146" s="11"/>
      <c r="N8146" s="11"/>
      <c r="O8146" s="11"/>
      <c r="P8146" s="11"/>
    </row>
    <row r="8147" spans="8:16" x14ac:dyDescent="0.25">
      <c r="H8147" s="12"/>
      <c r="I8147" s="12"/>
      <c r="J8147" s="12"/>
      <c r="K8147" s="12"/>
      <c r="L8147" s="12"/>
      <c r="M8147" s="11"/>
      <c r="N8147" s="11"/>
      <c r="O8147" s="11"/>
      <c r="P8147" s="11"/>
    </row>
    <row r="8148" spans="8:16" x14ac:dyDescent="0.25">
      <c r="H8148" s="12"/>
      <c r="I8148" s="12"/>
      <c r="J8148" s="12"/>
      <c r="K8148" s="12"/>
      <c r="L8148" s="12"/>
      <c r="M8148" s="11"/>
      <c r="N8148" s="11"/>
      <c r="O8148" s="11"/>
      <c r="P8148" s="11"/>
    </row>
    <row r="8149" spans="8:16" x14ac:dyDescent="0.25">
      <c r="H8149" s="12"/>
      <c r="I8149" s="12"/>
      <c r="J8149" s="12"/>
      <c r="K8149" s="12"/>
      <c r="L8149" s="12"/>
      <c r="M8149" s="11"/>
      <c r="N8149" s="11"/>
      <c r="O8149" s="11"/>
      <c r="P8149" s="11"/>
    </row>
    <row r="8150" spans="8:16" x14ac:dyDescent="0.25">
      <c r="H8150" s="12"/>
      <c r="I8150" s="12"/>
      <c r="J8150" s="12"/>
      <c r="K8150" s="12"/>
      <c r="L8150" s="12"/>
      <c r="M8150" s="11"/>
      <c r="N8150" s="11"/>
      <c r="O8150" s="11"/>
      <c r="P8150" s="11"/>
    </row>
    <row r="8151" spans="8:16" x14ac:dyDescent="0.25">
      <c r="H8151" s="12"/>
      <c r="I8151" s="12"/>
      <c r="J8151" s="12"/>
      <c r="K8151" s="12"/>
      <c r="L8151" s="12"/>
      <c r="M8151" s="11"/>
      <c r="N8151" s="11"/>
      <c r="O8151" s="11"/>
      <c r="P8151" s="11"/>
    </row>
    <row r="8152" spans="8:16" x14ac:dyDescent="0.25">
      <c r="H8152" s="12"/>
      <c r="I8152" s="12"/>
      <c r="J8152" s="12"/>
      <c r="K8152" s="12"/>
      <c r="L8152" s="12"/>
      <c r="M8152" s="11"/>
      <c r="N8152" s="11"/>
      <c r="O8152" s="11"/>
      <c r="P8152" s="11"/>
    </row>
    <row r="8153" spans="8:16" x14ac:dyDescent="0.25">
      <c r="H8153" s="12"/>
      <c r="I8153" s="12"/>
      <c r="J8153" s="12"/>
      <c r="K8153" s="12"/>
      <c r="L8153" s="12"/>
      <c r="M8153" s="11"/>
      <c r="N8153" s="11"/>
      <c r="O8153" s="11"/>
      <c r="P8153" s="11"/>
    </row>
    <row r="8154" spans="8:16" x14ac:dyDescent="0.25">
      <c r="H8154" s="12"/>
      <c r="I8154" s="12"/>
      <c r="J8154" s="12"/>
      <c r="K8154" s="12"/>
      <c r="L8154" s="12"/>
      <c r="M8154" s="11"/>
      <c r="N8154" s="11"/>
      <c r="O8154" s="11"/>
      <c r="P8154" s="11"/>
    </row>
    <row r="8155" spans="8:16" x14ac:dyDescent="0.25">
      <c r="H8155" s="12"/>
      <c r="I8155" s="12"/>
      <c r="J8155" s="12"/>
      <c r="K8155" s="12"/>
      <c r="L8155" s="12"/>
      <c r="M8155" s="11"/>
      <c r="N8155" s="11"/>
      <c r="O8155" s="11"/>
      <c r="P8155" s="11"/>
    </row>
    <row r="8156" spans="8:16" x14ac:dyDescent="0.25">
      <c r="H8156" s="12"/>
      <c r="I8156" s="12"/>
      <c r="J8156" s="12"/>
      <c r="K8156" s="12"/>
      <c r="L8156" s="12"/>
      <c r="M8156" s="11"/>
      <c r="N8156" s="11"/>
      <c r="O8156" s="11"/>
      <c r="P8156" s="11"/>
    </row>
    <row r="8157" spans="8:16" x14ac:dyDescent="0.25">
      <c r="H8157" s="12"/>
      <c r="I8157" s="12"/>
      <c r="J8157" s="12"/>
      <c r="K8157" s="12"/>
      <c r="L8157" s="12"/>
      <c r="M8157" s="11"/>
      <c r="N8157" s="11"/>
      <c r="O8157" s="11"/>
      <c r="P8157" s="11"/>
    </row>
    <row r="8158" spans="8:16" x14ac:dyDescent="0.25">
      <c r="H8158" s="12"/>
      <c r="I8158" s="12"/>
      <c r="J8158" s="12"/>
      <c r="K8158" s="12"/>
      <c r="L8158" s="12"/>
      <c r="M8158" s="11"/>
      <c r="N8158" s="11"/>
      <c r="O8158" s="11"/>
      <c r="P8158" s="11"/>
    </row>
    <row r="8159" spans="8:16" x14ac:dyDescent="0.25">
      <c r="H8159" s="12"/>
      <c r="I8159" s="12"/>
      <c r="J8159" s="12"/>
      <c r="K8159" s="12"/>
      <c r="L8159" s="12"/>
      <c r="M8159" s="11"/>
      <c r="N8159" s="11"/>
      <c r="O8159" s="11"/>
      <c r="P8159" s="11"/>
    </row>
    <row r="8160" spans="8:16" x14ac:dyDescent="0.25">
      <c r="H8160" s="12"/>
      <c r="I8160" s="12"/>
      <c r="J8160" s="12"/>
      <c r="K8160" s="12"/>
      <c r="L8160" s="12"/>
      <c r="M8160" s="11"/>
      <c r="N8160" s="11"/>
      <c r="O8160" s="11"/>
      <c r="P8160" s="11"/>
    </row>
    <row r="8161" spans="8:16" x14ac:dyDescent="0.25">
      <c r="H8161" s="12"/>
      <c r="I8161" s="12"/>
      <c r="J8161" s="12"/>
      <c r="K8161" s="12"/>
      <c r="L8161" s="12"/>
      <c r="M8161" s="11"/>
      <c r="N8161" s="11"/>
      <c r="O8161" s="11"/>
      <c r="P8161" s="11"/>
    </row>
    <row r="8162" spans="8:16" x14ac:dyDescent="0.25">
      <c r="H8162" s="12"/>
      <c r="I8162" s="12"/>
      <c r="J8162" s="12"/>
      <c r="K8162" s="12"/>
      <c r="L8162" s="12"/>
      <c r="M8162" s="11"/>
      <c r="N8162" s="11"/>
      <c r="O8162" s="11"/>
      <c r="P8162" s="11"/>
    </row>
    <row r="8163" spans="8:16" x14ac:dyDescent="0.25">
      <c r="H8163" s="12"/>
      <c r="I8163" s="12"/>
      <c r="J8163" s="12"/>
      <c r="K8163" s="12"/>
      <c r="L8163" s="12"/>
      <c r="M8163" s="11"/>
      <c r="N8163" s="11"/>
      <c r="O8163" s="11"/>
      <c r="P8163" s="11"/>
    </row>
    <row r="8164" spans="8:16" x14ac:dyDescent="0.25">
      <c r="H8164" s="12"/>
      <c r="I8164" s="12"/>
      <c r="J8164" s="12"/>
      <c r="K8164" s="12"/>
      <c r="L8164" s="12"/>
      <c r="M8164" s="11"/>
      <c r="N8164" s="11"/>
      <c r="O8164" s="11"/>
      <c r="P8164" s="11"/>
    </row>
    <row r="8165" spans="8:16" x14ac:dyDescent="0.25">
      <c r="H8165" s="12"/>
      <c r="I8165" s="12"/>
      <c r="J8165" s="12"/>
      <c r="K8165" s="12"/>
      <c r="L8165" s="12"/>
      <c r="M8165" s="11"/>
      <c r="N8165" s="11"/>
      <c r="O8165" s="11"/>
      <c r="P8165" s="11"/>
    </row>
    <row r="8166" spans="8:16" x14ac:dyDescent="0.25">
      <c r="H8166" s="12"/>
      <c r="I8166" s="12"/>
      <c r="J8166" s="12"/>
      <c r="K8166" s="12"/>
      <c r="L8166" s="12"/>
      <c r="M8166" s="11"/>
      <c r="N8166" s="11"/>
      <c r="O8166" s="11"/>
      <c r="P8166" s="11"/>
    </row>
    <row r="8167" spans="8:16" x14ac:dyDescent="0.25">
      <c r="H8167" s="12"/>
      <c r="I8167" s="12"/>
      <c r="J8167" s="12"/>
      <c r="K8167" s="12"/>
      <c r="L8167" s="12"/>
      <c r="M8167" s="11"/>
      <c r="N8167" s="11"/>
      <c r="O8167" s="11"/>
      <c r="P8167" s="11"/>
    </row>
    <row r="8168" spans="8:16" x14ac:dyDescent="0.25">
      <c r="H8168" s="12"/>
      <c r="I8168" s="12"/>
      <c r="J8168" s="12"/>
      <c r="K8168" s="12"/>
      <c r="L8168" s="12"/>
      <c r="M8168" s="11"/>
      <c r="N8168" s="11"/>
      <c r="O8168" s="11"/>
      <c r="P8168" s="11"/>
    </row>
    <row r="8169" spans="8:16" x14ac:dyDescent="0.25">
      <c r="H8169" s="12"/>
      <c r="I8169" s="12"/>
      <c r="J8169" s="12"/>
      <c r="K8169" s="12"/>
      <c r="L8169" s="12"/>
      <c r="M8169" s="11"/>
      <c r="N8169" s="11"/>
      <c r="O8169" s="11"/>
      <c r="P8169" s="11"/>
    </row>
    <row r="8170" spans="8:16" x14ac:dyDescent="0.25">
      <c r="H8170" s="12"/>
      <c r="I8170" s="12"/>
      <c r="J8170" s="12"/>
      <c r="K8170" s="12"/>
      <c r="L8170" s="12"/>
      <c r="M8170" s="11"/>
      <c r="N8170" s="11"/>
      <c r="O8170" s="11"/>
      <c r="P8170" s="11"/>
    </row>
    <row r="8171" spans="8:16" x14ac:dyDescent="0.25">
      <c r="H8171" s="12"/>
      <c r="I8171" s="12"/>
      <c r="J8171" s="12"/>
      <c r="K8171" s="12"/>
      <c r="L8171" s="12"/>
      <c r="M8171" s="11"/>
      <c r="N8171" s="11"/>
      <c r="O8171" s="11"/>
      <c r="P8171" s="11"/>
    </row>
    <row r="8172" spans="8:16" x14ac:dyDescent="0.25">
      <c r="H8172" s="12"/>
      <c r="I8172" s="12"/>
      <c r="J8172" s="12"/>
      <c r="K8172" s="12"/>
      <c r="L8172" s="12"/>
      <c r="M8172" s="11"/>
      <c r="N8172" s="11"/>
      <c r="O8172" s="11"/>
      <c r="P8172" s="11"/>
    </row>
    <row r="8173" spans="8:16" x14ac:dyDescent="0.25">
      <c r="H8173" s="12"/>
      <c r="I8173" s="12"/>
      <c r="J8173" s="12"/>
      <c r="K8173" s="12"/>
      <c r="L8173" s="12"/>
      <c r="M8173" s="11"/>
      <c r="N8173" s="11"/>
      <c r="O8173" s="11"/>
      <c r="P8173" s="11"/>
    </row>
    <row r="8174" spans="8:16" x14ac:dyDescent="0.25">
      <c r="H8174" s="12"/>
      <c r="I8174" s="12"/>
      <c r="J8174" s="12"/>
      <c r="K8174" s="12"/>
      <c r="L8174" s="12"/>
      <c r="M8174" s="11"/>
      <c r="N8174" s="11"/>
      <c r="O8174" s="11"/>
      <c r="P8174" s="11"/>
    </row>
    <row r="8175" spans="8:16" x14ac:dyDescent="0.25">
      <c r="H8175" s="12"/>
      <c r="I8175" s="12"/>
      <c r="J8175" s="12"/>
      <c r="K8175" s="12"/>
      <c r="L8175" s="12"/>
      <c r="M8175" s="11"/>
      <c r="N8175" s="11"/>
      <c r="O8175" s="11"/>
      <c r="P8175" s="11"/>
    </row>
    <row r="8176" spans="8:16" x14ac:dyDescent="0.25">
      <c r="H8176" s="12"/>
      <c r="I8176" s="12"/>
      <c r="J8176" s="12"/>
      <c r="K8176" s="12"/>
      <c r="L8176" s="12"/>
      <c r="M8176" s="11"/>
      <c r="N8176" s="11"/>
      <c r="O8176" s="11"/>
      <c r="P8176" s="11"/>
    </row>
    <row r="8177" spans="8:16" x14ac:dyDescent="0.25">
      <c r="H8177" s="12"/>
      <c r="I8177" s="12"/>
      <c r="J8177" s="12"/>
      <c r="K8177" s="12"/>
      <c r="L8177" s="12"/>
      <c r="M8177" s="11"/>
      <c r="N8177" s="11"/>
      <c r="O8177" s="11"/>
      <c r="P8177" s="11"/>
    </row>
    <row r="8178" spans="8:16" x14ac:dyDescent="0.25">
      <c r="H8178" s="12"/>
      <c r="I8178" s="12"/>
      <c r="J8178" s="12"/>
      <c r="K8178" s="12"/>
      <c r="L8178" s="12"/>
      <c r="M8178" s="11"/>
      <c r="N8178" s="11"/>
      <c r="O8178" s="11"/>
      <c r="P8178" s="11"/>
    </row>
    <row r="8179" spans="8:16" x14ac:dyDescent="0.25">
      <c r="H8179" s="12"/>
      <c r="I8179" s="12"/>
      <c r="J8179" s="12"/>
      <c r="K8179" s="12"/>
      <c r="L8179" s="12"/>
      <c r="M8179" s="11"/>
      <c r="N8179" s="11"/>
      <c r="O8179" s="11"/>
      <c r="P8179" s="11"/>
    </row>
    <row r="8180" spans="8:16" x14ac:dyDescent="0.25">
      <c r="H8180" s="12"/>
      <c r="I8180" s="12"/>
      <c r="J8180" s="12"/>
      <c r="K8180" s="12"/>
      <c r="L8180" s="12"/>
      <c r="M8180" s="11"/>
      <c r="N8180" s="11"/>
      <c r="O8180" s="11"/>
      <c r="P8180" s="11"/>
    </row>
    <row r="8181" spans="8:16" x14ac:dyDescent="0.25">
      <c r="H8181" s="12"/>
      <c r="I8181" s="12"/>
      <c r="J8181" s="12"/>
      <c r="K8181" s="12"/>
      <c r="L8181" s="12"/>
      <c r="M8181" s="11"/>
      <c r="N8181" s="11"/>
      <c r="O8181" s="11"/>
      <c r="P8181" s="11"/>
    </row>
    <row r="8182" spans="8:16" x14ac:dyDescent="0.25">
      <c r="H8182" s="12"/>
      <c r="I8182" s="12"/>
      <c r="J8182" s="12"/>
      <c r="K8182" s="12"/>
      <c r="L8182" s="12"/>
      <c r="M8182" s="11"/>
      <c r="N8182" s="11"/>
      <c r="O8182" s="11"/>
      <c r="P8182" s="11"/>
    </row>
    <row r="8183" spans="8:16" x14ac:dyDescent="0.25">
      <c r="H8183" s="12"/>
      <c r="I8183" s="12"/>
      <c r="J8183" s="12"/>
      <c r="K8183" s="12"/>
      <c r="L8183" s="12"/>
      <c r="M8183" s="11"/>
      <c r="N8183" s="11"/>
      <c r="O8183" s="11"/>
      <c r="P8183" s="11"/>
    </row>
    <row r="8184" spans="8:16" x14ac:dyDescent="0.25">
      <c r="H8184" s="12"/>
      <c r="I8184" s="12"/>
      <c r="J8184" s="12"/>
      <c r="K8184" s="12"/>
      <c r="L8184" s="12"/>
      <c r="M8184" s="11"/>
      <c r="N8184" s="11"/>
      <c r="O8184" s="11"/>
      <c r="P8184" s="11"/>
    </row>
    <row r="8185" spans="8:16" x14ac:dyDescent="0.25">
      <c r="H8185" s="12"/>
      <c r="I8185" s="12"/>
      <c r="J8185" s="12"/>
      <c r="K8185" s="12"/>
      <c r="L8185" s="12"/>
      <c r="M8185" s="11"/>
      <c r="N8185" s="11"/>
      <c r="O8185" s="11"/>
      <c r="P8185" s="11"/>
    </row>
    <row r="8186" spans="8:16" x14ac:dyDescent="0.25">
      <c r="H8186" s="12"/>
      <c r="I8186" s="12"/>
      <c r="J8186" s="12"/>
      <c r="K8186" s="12"/>
      <c r="L8186" s="12"/>
      <c r="M8186" s="11"/>
      <c r="N8186" s="11"/>
      <c r="O8186" s="11"/>
      <c r="P8186" s="11"/>
    </row>
    <row r="8187" spans="8:16" x14ac:dyDescent="0.25">
      <c r="H8187" s="12"/>
      <c r="I8187" s="12"/>
      <c r="J8187" s="12"/>
      <c r="K8187" s="12"/>
      <c r="L8187" s="12"/>
      <c r="M8187" s="11"/>
      <c r="N8187" s="11"/>
      <c r="O8187" s="11"/>
      <c r="P8187" s="11"/>
    </row>
    <row r="8188" spans="8:16" x14ac:dyDescent="0.25">
      <c r="H8188" s="12"/>
      <c r="I8188" s="12"/>
      <c r="J8188" s="12"/>
      <c r="K8188" s="12"/>
      <c r="L8188" s="12"/>
      <c r="M8188" s="11"/>
      <c r="N8188" s="11"/>
      <c r="O8188" s="11"/>
      <c r="P8188" s="11"/>
    </row>
    <row r="8189" spans="8:16" x14ac:dyDescent="0.25">
      <c r="H8189" s="12"/>
      <c r="I8189" s="12"/>
      <c r="J8189" s="12"/>
      <c r="K8189" s="12"/>
      <c r="L8189" s="12"/>
      <c r="M8189" s="11"/>
      <c r="N8189" s="11"/>
      <c r="O8189" s="11"/>
      <c r="P8189" s="11"/>
    </row>
    <row r="8190" spans="8:16" x14ac:dyDescent="0.25">
      <c r="H8190" s="12"/>
      <c r="I8190" s="12"/>
      <c r="J8190" s="12"/>
      <c r="K8190" s="12"/>
      <c r="L8190" s="12"/>
      <c r="M8190" s="11"/>
      <c r="N8190" s="11"/>
      <c r="O8190" s="11"/>
      <c r="P8190" s="11"/>
    </row>
    <row r="8191" spans="8:16" x14ac:dyDescent="0.25">
      <c r="H8191" s="12"/>
      <c r="I8191" s="12"/>
      <c r="J8191" s="12"/>
      <c r="K8191" s="12"/>
      <c r="L8191" s="12"/>
      <c r="M8191" s="11"/>
      <c r="N8191" s="11"/>
      <c r="O8191" s="11"/>
      <c r="P8191" s="11"/>
    </row>
    <row r="8192" spans="8:16" x14ac:dyDescent="0.25">
      <c r="H8192" s="12"/>
      <c r="I8192" s="12"/>
      <c r="J8192" s="12"/>
      <c r="K8192" s="12"/>
      <c r="L8192" s="12"/>
      <c r="M8192" s="11"/>
      <c r="N8192" s="11"/>
      <c r="O8192" s="11"/>
      <c r="P8192" s="11"/>
    </row>
    <row r="8193" spans="8:16" x14ac:dyDescent="0.25">
      <c r="H8193" s="12"/>
      <c r="I8193" s="12"/>
      <c r="J8193" s="12"/>
      <c r="K8193" s="12"/>
      <c r="L8193" s="12"/>
      <c r="M8193" s="11"/>
      <c r="N8193" s="11"/>
      <c r="O8193" s="11"/>
      <c r="P8193" s="11"/>
    </row>
    <row r="8194" spans="8:16" x14ac:dyDescent="0.25">
      <c r="H8194" s="12"/>
      <c r="I8194" s="12"/>
      <c r="J8194" s="12"/>
      <c r="K8194" s="12"/>
      <c r="L8194" s="12"/>
      <c r="M8194" s="11"/>
      <c r="N8194" s="11"/>
      <c r="O8194" s="11"/>
      <c r="P8194" s="11"/>
    </row>
    <row r="8195" spans="8:16" x14ac:dyDescent="0.25">
      <c r="H8195" s="12"/>
      <c r="I8195" s="12"/>
      <c r="J8195" s="12"/>
      <c r="K8195" s="12"/>
      <c r="L8195" s="12"/>
      <c r="M8195" s="11"/>
      <c r="N8195" s="11"/>
      <c r="O8195" s="11"/>
      <c r="P8195" s="11"/>
    </row>
    <row r="8196" spans="8:16" x14ac:dyDescent="0.25">
      <c r="H8196" s="12"/>
      <c r="I8196" s="12"/>
      <c r="J8196" s="12"/>
      <c r="K8196" s="12"/>
      <c r="L8196" s="12"/>
      <c r="M8196" s="11"/>
      <c r="N8196" s="11"/>
      <c r="O8196" s="11"/>
      <c r="P8196" s="11"/>
    </row>
    <row r="8197" spans="8:16" x14ac:dyDescent="0.25">
      <c r="H8197" s="12"/>
      <c r="I8197" s="12"/>
      <c r="J8197" s="12"/>
      <c r="K8197" s="12"/>
      <c r="L8197" s="12"/>
      <c r="M8197" s="11"/>
      <c r="N8197" s="11"/>
      <c r="O8197" s="11"/>
      <c r="P8197" s="11"/>
    </row>
    <row r="8198" spans="8:16" x14ac:dyDescent="0.25">
      <c r="H8198" s="12"/>
      <c r="I8198" s="12"/>
      <c r="J8198" s="12"/>
      <c r="K8198" s="12"/>
      <c r="L8198" s="12"/>
      <c r="M8198" s="11"/>
      <c r="N8198" s="11"/>
      <c r="O8198" s="11"/>
      <c r="P8198" s="11"/>
    </row>
    <row r="8199" spans="8:16" x14ac:dyDescent="0.25">
      <c r="H8199" s="12"/>
      <c r="I8199" s="12"/>
      <c r="J8199" s="12"/>
      <c r="K8199" s="12"/>
      <c r="L8199" s="12"/>
      <c r="M8199" s="11"/>
      <c r="N8199" s="11"/>
      <c r="O8199" s="11"/>
      <c r="P8199" s="11"/>
    </row>
    <row r="8200" spans="8:16" x14ac:dyDescent="0.25">
      <c r="H8200" s="12"/>
      <c r="I8200" s="12"/>
      <c r="J8200" s="12"/>
      <c r="K8200" s="12"/>
      <c r="L8200" s="12"/>
      <c r="M8200" s="11"/>
      <c r="N8200" s="11"/>
      <c r="O8200" s="11"/>
      <c r="P8200" s="11"/>
    </row>
    <row r="8201" spans="8:16" x14ac:dyDescent="0.25">
      <c r="H8201" s="12"/>
      <c r="I8201" s="12"/>
      <c r="J8201" s="12"/>
      <c r="K8201" s="12"/>
      <c r="L8201" s="12"/>
      <c r="M8201" s="11"/>
      <c r="N8201" s="11"/>
      <c r="O8201" s="11"/>
      <c r="P8201" s="11"/>
    </row>
    <row r="8202" spans="8:16" x14ac:dyDescent="0.25">
      <c r="H8202" s="12"/>
      <c r="I8202" s="12"/>
      <c r="J8202" s="12"/>
      <c r="K8202" s="12"/>
      <c r="L8202" s="12"/>
      <c r="M8202" s="11"/>
      <c r="N8202" s="11"/>
      <c r="O8202" s="11"/>
      <c r="P8202" s="11"/>
    </row>
    <row r="8203" spans="8:16" x14ac:dyDescent="0.25">
      <c r="H8203" s="12"/>
      <c r="I8203" s="12"/>
      <c r="J8203" s="12"/>
      <c r="K8203" s="12"/>
      <c r="L8203" s="12"/>
      <c r="M8203" s="11"/>
      <c r="N8203" s="11"/>
      <c r="O8203" s="11"/>
      <c r="P8203" s="11"/>
    </row>
    <row r="8204" spans="8:16" x14ac:dyDescent="0.25">
      <c r="H8204" s="12"/>
      <c r="I8204" s="12"/>
      <c r="J8204" s="12"/>
      <c r="K8204" s="12"/>
      <c r="L8204" s="12"/>
      <c r="M8204" s="11"/>
      <c r="N8204" s="11"/>
      <c r="O8204" s="11"/>
      <c r="P8204" s="11"/>
    </row>
    <row r="8205" spans="8:16" x14ac:dyDescent="0.25">
      <c r="H8205" s="12"/>
      <c r="I8205" s="12"/>
      <c r="J8205" s="12"/>
      <c r="K8205" s="12"/>
      <c r="L8205" s="12"/>
      <c r="M8205" s="11"/>
      <c r="N8205" s="11"/>
      <c r="O8205" s="11"/>
      <c r="P8205" s="11"/>
    </row>
    <row r="8206" spans="8:16" x14ac:dyDescent="0.25">
      <c r="H8206" s="12"/>
      <c r="I8206" s="12"/>
      <c r="J8206" s="12"/>
      <c r="K8206" s="12"/>
      <c r="L8206" s="12"/>
      <c r="M8206" s="11"/>
      <c r="N8206" s="11"/>
      <c r="O8206" s="11"/>
      <c r="P8206" s="11"/>
    </row>
    <row r="8207" spans="8:16" x14ac:dyDescent="0.25">
      <c r="H8207" s="12"/>
      <c r="I8207" s="12"/>
      <c r="J8207" s="12"/>
      <c r="K8207" s="12"/>
      <c r="L8207" s="12"/>
      <c r="M8207" s="11"/>
      <c r="N8207" s="11"/>
      <c r="O8207" s="11"/>
      <c r="P8207" s="11"/>
    </row>
    <row r="8208" spans="8:16" x14ac:dyDescent="0.25">
      <c r="H8208" s="12"/>
      <c r="I8208" s="12"/>
      <c r="J8208" s="12"/>
      <c r="K8208" s="12"/>
      <c r="L8208" s="12"/>
      <c r="M8208" s="11"/>
      <c r="N8208" s="11"/>
      <c r="O8208" s="11"/>
      <c r="P8208" s="11"/>
    </row>
    <row r="8209" spans="8:16" x14ac:dyDescent="0.25">
      <c r="H8209" s="12"/>
      <c r="I8209" s="12"/>
      <c r="J8209" s="12"/>
      <c r="K8209" s="12"/>
      <c r="L8209" s="12"/>
      <c r="M8209" s="11"/>
      <c r="N8209" s="11"/>
      <c r="O8209" s="11"/>
      <c r="P8209" s="11"/>
    </row>
    <row r="8210" spans="8:16" x14ac:dyDescent="0.25">
      <c r="H8210" s="12"/>
      <c r="I8210" s="12"/>
      <c r="J8210" s="12"/>
      <c r="K8210" s="12"/>
      <c r="L8210" s="12"/>
      <c r="M8210" s="11"/>
      <c r="N8210" s="11"/>
      <c r="O8210" s="11"/>
      <c r="P8210" s="11"/>
    </row>
    <row r="8211" spans="8:16" x14ac:dyDescent="0.25">
      <c r="H8211" s="12"/>
      <c r="I8211" s="12"/>
      <c r="J8211" s="12"/>
      <c r="K8211" s="12"/>
      <c r="L8211" s="12"/>
      <c r="M8211" s="11"/>
      <c r="N8211" s="11"/>
      <c r="O8211" s="11"/>
      <c r="P8211" s="11"/>
    </row>
    <row r="8212" spans="8:16" x14ac:dyDescent="0.25">
      <c r="H8212" s="12"/>
      <c r="I8212" s="12"/>
      <c r="J8212" s="12"/>
      <c r="K8212" s="12"/>
      <c r="L8212" s="12"/>
      <c r="M8212" s="11"/>
      <c r="N8212" s="11"/>
      <c r="O8212" s="11"/>
      <c r="P8212" s="11"/>
    </row>
    <row r="8213" spans="8:16" x14ac:dyDescent="0.25">
      <c r="H8213" s="12"/>
      <c r="I8213" s="12"/>
      <c r="J8213" s="12"/>
      <c r="K8213" s="12"/>
      <c r="L8213" s="12"/>
      <c r="M8213" s="11"/>
      <c r="N8213" s="11"/>
      <c r="O8213" s="11"/>
      <c r="P8213" s="11"/>
    </row>
    <row r="8214" spans="8:16" x14ac:dyDescent="0.25">
      <c r="H8214" s="12"/>
      <c r="I8214" s="12"/>
      <c r="J8214" s="12"/>
      <c r="K8214" s="12"/>
      <c r="L8214" s="12"/>
      <c r="M8214" s="11"/>
      <c r="N8214" s="11"/>
      <c r="O8214" s="11"/>
      <c r="P8214" s="11"/>
    </row>
    <row r="8215" spans="8:16" x14ac:dyDescent="0.25">
      <c r="H8215" s="12"/>
      <c r="I8215" s="12"/>
      <c r="J8215" s="12"/>
      <c r="K8215" s="12"/>
      <c r="L8215" s="12"/>
      <c r="M8215" s="11"/>
      <c r="N8215" s="11"/>
      <c r="O8215" s="11"/>
      <c r="P8215" s="11"/>
    </row>
    <row r="8216" spans="8:16" x14ac:dyDescent="0.25">
      <c r="H8216" s="12"/>
      <c r="I8216" s="12"/>
      <c r="J8216" s="12"/>
      <c r="K8216" s="12"/>
      <c r="L8216" s="12"/>
      <c r="M8216" s="11"/>
      <c r="N8216" s="11"/>
      <c r="O8216" s="11"/>
      <c r="P8216" s="11"/>
    </row>
    <row r="8217" spans="8:16" x14ac:dyDescent="0.25">
      <c r="H8217" s="12"/>
      <c r="I8217" s="12"/>
      <c r="J8217" s="12"/>
      <c r="K8217" s="12"/>
      <c r="L8217" s="12"/>
      <c r="M8217" s="11"/>
      <c r="N8217" s="11"/>
      <c r="O8217" s="11"/>
      <c r="P8217" s="11"/>
    </row>
    <row r="8218" spans="8:16" x14ac:dyDescent="0.25">
      <c r="H8218" s="12"/>
      <c r="I8218" s="12"/>
      <c r="J8218" s="12"/>
      <c r="K8218" s="12"/>
      <c r="L8218" s="12"/>
      <c r="M8218" s="11"/>
      <c r="N8218" s="11"/>
      <c r="O8218" s="11"/>
      <c r="P8218" s="11"/>
    </row>
    <row r="8219" spans="8:16" x14ac:dyDescent="0.25">
      <c r="H8219" s="12"/>
      <c r="I8219" s="12"/>
      <c r="J8219" s="12"/>
      <c r="K8219" s="12"/>
      <c r="L8219" s="12"/>
      <c r="M8219" s="11"/>
      <c r="N8219" s="11"/>
      <c r="O8219" s="11"/>
      <c r="P8219" s="11"/>
    </row>
    <row r="8220" spans="8:16" x14ac:dyDescent="0.25">
      <c r="H8220" s="12"/>
      <c r="I8220" s="12"/>
      <c r="J8220" s="12"/>
      <c r="K8220" s="12"/>
      <c r="L8220" s="12"/>
      <c r="M8220" s="11"/>
      <c r="N8220" s="11"/>
      <c r="O8220" s="11"/>
      <c r="P8220" s="11"/>
    </row>
    <row r="8221" spans="8:16" x14ac:dyDescent="0.25">
      <c r="H8221" s="12"/>
      <c r="I8221" s="12"/>
      <c r="J8221" s="12"/>
      <c r="K8221" s="12"/>
      <c r="L8221" s="12"/>
      <c r="M8221" s="11"/>
      <c r="N8221" s="11"/>
      <c r="O8221" s="11"/>
      <c r="P8221" s="11"/>
    </row>
    <row r="8222" spans="8:16" x14ac:dyDescent="0.25">
      <c r="H8222" s="12"/>
      <c r="I8222" s="12"/>
      <c r="J8222" s="12"/>
      <c r="K8222" s="12"/>
      <c r="L8222" s="12"/>
      <c r="M8222" s="11"/>
      <c r="N8222" s="11"/>
      <c r="O8222" s="11"/>
      <c r="P8222" s="11"/>
    </row>
    <row r="8223" spans="8:16" x14ac:dyDescent="0.25">
      <c r="H8223" s="12"/>
      <c r="I8223" s="12"/>
      <c r="J8223" s="12"/>
      <c r="K8223" s="12"/>
      <c r="L8223" s="12"/>
      <c r="M8223" s="11"/>
      <c r="N8223" s="11"/>
      <c r="O8223" s="11"/>
      <c r="P8223" s="11"/>
    </row>
    <row r="8224" spans="8:16" x14ac:dyDescent="0.25">
      <c r="H8224" s="12"/>
      <c r="I8224" s="12"/>
      <c r="J8224" s="12"/>
      <c r="K8224" s="12"/>
      <c r="L8224" s="12"/>
      <c r="M8224" s="11"/>
      <c r="N8224" s="11"/>
      <c r="O8224" s="11"/>
      <c r="P8224" s="11"/>
    </row>
    <row r="8225" spans="8:16" x14ac:dyDescent="0.25">
      <c r="H8225" s="12"/>
      <c r="I8225" s="12"/>
      <c r="J8225" s="12"/>
      <c r="K8225" s="12"/>
      <c r="L8225" s="12"/>
      <c r="M8225" s="11"/>
      <c r="N8225" s="11"/>
      <c r="O8225" s="11"/>
      <c r="P8225" s="11"/>
    </row>
    <row r="8226" spans="8:16" x14ac:dyDescent="0.25">
      <c r="H8226" s="12"/>
      <c r="I8226" s="12"/>
      <c r="J8226" s="12"/>
      <c r="K8226" s="12"/>
      <c r="L8226" s="12"/>
      <c r="M8226" s="11"/>
      <c r="N8226" s="11"/>
      <c r="O8226" s="11"/>
      <c r="P8226" s="11"/>
    </row>
    <row r="8227" spans="8:16" x14ac:dyDescent="0.25">
      <c r="H8227" s="12"/>
      <c r="I8227" s="12"/>
      <c r="J8227" s="12"/>
      <c r="K8227" s="12"/>
      <c r="L8227" s="12"/>
      <c r="M8227" s="11"/>
      <c r="N8227" s="11"/>
      <c r="O8227" s="11"/>
      <c r="P8227" s="11"/>
    </row>
    <row r="8228" spans="8:16" x14ac:dyDescent="0.25">
      <c r="H8228" s="12"/>
      <c r="I8228" s="12"/>
      <c r="J8228" s="12"/>
      <c r="K8228" s="12"/>
      <c r="L8228" s="12"/>
      <c r="M8228" s="11"/>
      <c r="N8228" s="11"/>
      <c r="O8228" s="11"/>
      <c r="P8228" s="11"/>
    </row>
    <row r="8229" spans="8:16" x14ac:dyDescent="0.25">
      <c r="H8229" s="12"/>
      <c r="I8229" s="12"/>
      <c r="J8229" s="12"/>
      <c r="K8229" s="12"/>
      <c r="L8229" s="12"/>
      <c r="M8229" s="11"/>
      <c r="N8229" s="11"/>
      <c r="O8229" s="11"/>
      <c r="P8229" s="11"/>
    </row>
    <row r="8230" spans="8:16" x14ac:dyDescent="0.25">
      <c r="H8230" s="12"/>
      <c r="I8230" s="12"/>
      <c r="J8230" s="12"/>
      <c r="K8230" s="12"/>
      <c r="L8230" s="12"/>
      <c r="M8230" s="11"/>
      <c r="N8230" s="11"/>
      <c r="O8230" s="11"/>
      <c r="P8230" s="11"/>
    </row>
    <row r="8231" spans="8:16" x14ac:dyDescent="0.25">
      <c r="H8231" s="12"/>
      <c r="I8231" s="12"/>
      <c r="J8231" s="12"/>
      <c r="K8231" s="12"/>
      <c r="L8231" s="12"/>
      <c r="M8231" s="11"/>
      <c r="N8231" s="11"/>
      <c r="O8231" s="11"/>
      <c r="P8231" s="11"/>
    </row>
    <row r="8232" spans="8:16" x14ac:dyDescent="0.25">
      <c r="H8232" s="12"/>
      <c r="I8232" s="12"/>
      <c r="J8232" s="12"/>
      <c r="K8232" s="12"/>
      <c r="L8232" s="12"/>
      <c r="M8232" s="11"/>
      <c r="N8232" s="11"/>
      <c r="O8232" s="11"/>
      <c r="P8232" s="11"/>
    </row>
    <row r="8233" spans="8:16" x14ac:dyDescent="0.25">
      <c r="H8233" s="12"/>
      <c r="I8233" s="12"/>
      <c r="J8233" s="12"/>
      <c r="K8233" s="12"/>
      <c r="L8233" s="12"/>
      <c r="M8233" s="11"/>
      <c r="N8233" s="11"/>
      <c r="O8233" s="11"/>
      <c r="P8233" s="11"/>
    </row>
    <row r="8234" spans="8:16" x14ac:dyDescent="0.25">
      <c r="H8234" s="12"/>
      <c r="I8234" s="12"/>
      <c r="J8234" s="12"/>
      <c r="K8234" s="12"/>
      <c r="L8234" s="12"/>
      <c r="M8234" s="11"/>
      <c r="N8234" s="11"/>
      <c r="O8234" s="11"/>
      <c r="P8234" s="11"/>
    </row>
    <row r="8235" spans="8:16" x14ac:dyDescent="0.25">
      <c r="H8235" s="12"/>
      <c r="I8235" s="12"/>
      <c r="J8235" s="12"/>
      <c r="K8235" s="12"/>
      <c r="L8235" s="12"/>
      <c r="M8235" s="11"/>
      <c r="N8235" s="11"/>
      <c r="O8235" s="11"/>
      <c r="P8235" s="11"/>
    </row>
    <row r="8236" spans="8:16" x14ac:dyDescent="0.25">
      <c r="H8236" s="12"/>
      <c r="I8236" s="12"/>
      <c r="J8236" s="12"/>
      <c r="K8236" s="12"/>
      <c r="L8236" s="12"/>
      <c r="M8236" s="11"/>
      <c r="N8236" s="11"/>
      <c r="O8236" s="11"/>
      <c r="P8236" s="11"/>
    </row>
    <row r="8237" spans="8:16" x14ac:dyDescent="0.25">
      <c r="H8237" s="12"/>
      <c r="I8237" s="12"/>
      <c r="J8237" s="12"/>
      <c r="K8237" s="12"/>
      <c r="L8237" s="12"/>
      <c r="M8237" s="11"/>
      <c r="N8237" s="11"/>
      <c r="O8237" s="11"/>
      <c r="P8237" s="11"/>
    </row>
    <row r="8238" spans="8:16" x14ac:dyDescent="0.25">
      <c r="H8238" s="12"/>
      <c r="I8238" s="12"/>
      <c r="J8238" s="12"/>
      <c r="K8238" s="12"/>
      <c r="L8238" s="12"/>
      <c r="M8238" s="11"/>
      <c r="N8238" s="11"/>
      <c r="O8238" s="11"/>
      <c r="P8238" s="11"/>
    </row>
    <row r="8239" spans="8:16" x14ac:dyDescent="0.25">
      <c r="H8239" s="12"/>
      <c r="I8239" s="12"/>
      <c r="J8239" s="12"/>
      <c r="K8239" s="12"/>
      <c r="L8239" s="12"/>
      <c r="M8239" s="11"/>
      <c r="N8239" s="11"/>
      <c r="O8239" s="11"/>
      <c r="P8239" s="11"/>
    </row>
    <row r="8240" spans="8:16" x14ac:dyDescent="0.25">
      <c r="H8240" s="12"/>
      <c r="I8240" s="12"/>
      <c r="J8240" s="12"/>
      <c r="K8240" s="12"/>
      <c r="L8240" s="12"/>
      <c r="M8240" s="11"/>
      <c r="N8240" s="11"/>
      <c r="O8240" s="11"/>
      <c r="P8240" s="11"/>
    </row>
    <row r="8241" spans="8:16" x14ac:dyDescent="0.25">
      <c r="H8241" s="12"/>
      <c r="I8241" s="12"/>
      <c r="J8241" s="12"/>
      <c r="K8241" s="12"/>
      <c r="L8241" s="12"/>
      <c r="M8241" s="11"/>
      <c r="N8241" s="11"/>
      <c r="O8241" s="11"/>
      <c r="P8241" s="11"/>
    </row>
    <row r="8242" spans="8:16" x14ac:dyDescent="0.25">
      <c r="H8242" s="12"/>
      <c r="I8242" s="12"/>
      <c r="J8242" s="12"/>
      <c r="K8242" s="12"/>
      <c r="L8242" s="12"/>
      <c r="M8242" s="11"/>
      <c r="N8242" s="11"/>
      <c r="O8242" s="11"/>
      <c r="P8242" s="11"/>
    </row>
    <row r="8243" spans="8:16" x14ac:dyDescent="0.25">
      <c r="H8243" s="12"/>
      <c r="I8243" s="12"/>
      <c r="J8243" s="12"/>
      <c r="K8243" s="12"/>
      <c r="L8243" s="12"/>
      <c r="M8243" s="11"/>
      <c r="N8243" s="11"/>
      <c r="O8243" s="11"/>
      <c r="P8243" s="11"/>
    </row>
    <row r="8244" spans="8:16" x14ac:dyDescent="0.25">
      <c r="H8244" s="12"/>
      <c r="I8244" s="12"/>
      <c r="J8244" s="12"/>
      <c r="K8244" s="12"/>
      <c r="L8244" s="12"/>
      <c r="M8244" s="11"/>
      <c r="N8244" s="11"/>
      <c r="O8244" s="11"/>
      <c r="P8244" s="11"/>
    </row>
    <row r="8245" spans="8:16" x14ac:dyDescent="0.25">
      <c r="H8245" s="12"/>
      <c r="I8245" s="12"/>
      <c r="J8245" s="12"/>
      <c r="K8245" s="12"/>
      <c r="L8245" s="12"/>
      <c r="M8245" s="11"/>
      <c r="N8245" s="11"/>
      <c r="O8245" s="11"/>
      <c r="P8245" s="11"/>
    </row>
    <row r="8246" spans="8:16" x14ac:dyDescent="0.25">
      <c r="H8246" s="12"/>
      <c r="I8246" s="12"/>
      <c r="J8246" s="12"/>
      <c r="K8246" s="12"/>
      <c r="L8246" s="12"/>
      <c r="M8246" s="11"/>
      <c r="N8246" s="11"/>
      <c r="O8246" s="11"/>
      <c r="P8246" s="11"/>
    </row>
    <row r="8247" spans="8:16" x14ac:dyDescent="0.25">
      <c r="H8247" s="12"/>
      <c r="I8247" s="12"/>
      <c r="J8247" s="12"/>
      <c r="K8247" s="12"/>
      <c r="L8247" s="12"/>
      <c r="M8247" s="11"/>
      <c r="N8247" s="11"/>
      <c r="O8247" s="11"/>
      <c r="P8247" s="11"/>
    </row>
    <row r="8248" spans="8:16" x14ac:dyDescent="0.25">
      <c r="H8248" s="12"/>
      <c r="I8248" s="12"/>
      <c r="J8248" s="12"/>
      <c r="K8248" s="12"/>
      <c r="L8248" s="12"/>
      <c r="M8248" s="11"/>
      <c r="N8248" s="11"/>
      <c r="O8248" s="11"/>
      <c r="P8248" s="11"/>
    </row>
    <row r="8249" spans="8:16" x14ac:dyDescent="0.25">
      <c r="H8249" s="12"/>
      <c r="I8249" s="12"/>
      <c r="J8249" s="12"/>
      <c r="K8249" s="12"/>
      <c r="L8249" s="12"/>
      <c r="M8249" s="11"/>
      <c r="N8249" s="11"/>
      <c r="O8249" s="11"/>
      <c r="P8249" s="11"/>
    </row>
    <row r="8250" spans="8:16" x14ac:dyDescent="0.25">
      <c r="H8250" s="12"/>
      <c r="I8250" s="12"/>
      <c r="J8250" s="12"/>
      <c r="K8250" s="12"/>
      <c r="L8250" s="12"/>
      <c r="M8250" s="11"/>
      <c r="N8250" s="11"/>
      <c r="O8250" s="11"/>
      <c r="P8250" s="11"/>
    </row>
    <row r="8251" spans="8:16" x14ac:dyDescent="0.25">
      <c r="H8251" s="12"/>
      <c r="I8251" s="12"/>
      <c r="J8251" s="12"/>
      <c r="K8251" s="12"/>
      <c r="L8251" s="12"/>
      <c r="M8251" s="11"/>
      <c r="N8251" s="11"/>
      <c r="O8251" s="11"/>
      <c r="P8251" s="11"/>
    </row>
    <row r="8252" spans="8:16" x14ac:dyDescent="0.25">
      <c r="H8252" s="12"/>
      <c r="I8252" s="12"/>
      <c r="J8252" s="12"/>
      <c r="K8252" s="12"/>
      <c r="L8252" s="12"/>
      <c r="M8252" s="11"/>
      <c r="N8252" s="11"/>
      <c r="O8252" s="11"/>
      <c r="P8252" s="11"/>
    </row>
    <row r="8253" spans="8:16" x14ac:dyDescent="0.25">
      <c r="H8253" s="12"/>
      <c r="I8253" s="12"/>
      <c r="J8253" s="12"/>
      <c r="K8253" s="12"/>
      <c r="L8253" s="12"/>
      <c r="M8253" s="11"/>
      <c r="N8253" s="11"/>
      <c r="O8253" s="11"/>
      <c r="P8253" s="11"/>
    </row>
    <row r="8254" spans="8:16" x14ac:dyDescent="0.25">
      <c r="H8254" s="12"/>
      <c r="I8254" s="12"/>
      <c r="J8254" s="12"/>
      <c r="K8254" s="12"/>
      <c r="L8254" s="12"/>
      <c r="M8254" s="11"/>
      <c r="N8254" s="11"/>
      <c r="O8254" s="11"/>
      <c r="P8254" s="11"/>
    </row>
    <row r="8255" spans="8:16" x14ac:dyDescent="0.25">
      <c r="H8255" s="12"/>
      <c r="I8255" s="12"/>
      <c r="J8255" s="12"/>
      <c r="K8255" s="12"/>
      <c r="L8255" s="12"/>
      <c r="M8255" s="11"/>
      <c r="N8255" s="11"/>
      <c r="O8255" s="11"/>
      <c r="P8255" s="11"/>
    </row>
    <row r="8256" spans="8:16" x14ac:dyDescent="0.25">
      <c r="H8256" s="12"/>
      <c r="I8256" s="12"/>
      <c r="J8256" s="12"/>
      <c r="K8256" s="12"/>
      <c r="L8256" s="12"/>
      <c r="M8256" s="11"/>
      <c r="N8256" s="11"/>
      <c r="O8256" s="11"/>
      <c r="P8256" s="11"/>
    </row>
    <row r="8257" spans="8:16" x14ac:dyDescent="0.25">
      <c r="H8257" s="12"/>
      <c r="I8257" s="12"/>
      <c r="J8257" s="12"/>
      <c r="K8257" s="12"/>
      <c r="L8257" s="12"/>
      <c r="M8257" s="11"/>
      <c r="N8257" s="11"/>
      <c r="O8257" s="11"/>
      <c r="P8257" s="11"/>
    </row>
    <row r="8258" spans="8:16" x14ac:dyDescent="0.25">
      <c r="H8258" s="12"/>
      <c r="I8258" s="12"/>
      <c r="J8258" s="12"/>
      <c r="K8258" s="12"/>
      <c r="L8258" s="12"/>
      <c r="M8258" s="11"/>
      <c r="N8258" s="11"/>
      <c r="O8258" s="11"/>
      <c r="P8258" s="11"/>
    </row>
    <row r="8259" spans="8:16" x14ac:dyDescent="0.25">
      <c r="H8259" s="12"/>
      <c r="I8259" s="12"/>
      <c r="J8259" s="12"/>
      <c r="K8259" s="12"/>
      <c r="L8259" s="12"/>
      <c r="M8259" s="11"/>
      <c r="N8259" s="11"/>
      <c r="O8259" s="11"/>
      <c r="P8259" s="11"/>
    </row>
    <row r="8260" spans="8:16" x14ac:dyDescent="0.25">
      <c r="H8260" s="12"/>
      <c r="I8260" s="12"/>
      <c r="J8260" s="12"/>
      <c r="K8260" s="12"/>
      <c r="L8260" s="12"/>
      <c r="M8260" s="11"/>
      <c r="N8260" s="11"/>
      <c r="O8260" s="11"/>
      <c r="P8260" s="11"/>
    </row>
    <row r="8261" spans="8:16" x14ac:dyDescent="0.25">
      <c r="H8261" s="12"/>
      <c r="I8261" s="12"/>
      <c r="J8261" s="12"/>
      <c r="K8261" s="12"/>
      <c r="L8261" s="12"/>
      <c r="M8261" s="11"/>
      <c r="N8261" s="11"/>
      <c r="O8261" s="11"/>
      <c r="P8261" s="11"/>
    </row>
    <row r="8262" spans="8:16" x14ac:dyDescent="0.25">
      <c r="H8262" s="12"/>
      <c r="I8262" s="12"/>
      <c r="J8262" s="12"/>
      <c r="K8262" s="12"/>
      <c r="L8262" s="12"/>
      <c r="M8262" s="11"/>
      <c r="N8262" s="11"/>
      <c r="O8262" s="11"/>
      <c r="P8262" s="11"/>
    </row>
    <row r="8263" spans="8:16" x14ac:dyDescent="0.25">
      <c r="H8263" s="12"/>
      <c r="I8263" s="12"/>
      <c r="J8263" s="12"/>
      <c r="K8263" s="12"/>
      <c r="L8263" s="12"/>
      <c r="M8263" s="11"/>
      <c r="N8263" s="11"/>
      <c r="O8263" s="11"/>
      <c r="P8263" s="11"/>
    </row>
    <row r="8264" spans="8:16" x14ac:dyDescent="0.25">
      <c r="H8264" s="12"/>
      <c r="I8264" s="12"/>
      <c r="J8264" s="12"/>
      <c r="K8264" s="12"/>
      <c r="L8264" s="12"/>
      <c r="M8264" s="11"/>
      <c r="N8264" s="11"/>
      <c r="O8264" s="11"/>
      <c r="P8264" s="11"/>
    </row>
    <row r="8265" spans="8:16" x14ac:dyDescent="0.25">
      <c r="H8265" s="12"/>
      <c r="I8265" s="12"/>
      <c r="J8265" s="12"/>
      <c r="K8265" s="12"/>
      <c r="L8265" s="12"/>
      <c r="M8265" s="11"/>
      <c r="N8265" s="11"/>
      <c r="O8265" s="11"/>
      <c r="P8265" s="11"/>
    </row>
    <row r="8266" spans="8:16" x14ac:dyDescent="0.25">
      <c r="H8266" s="12"/>
      <c r="I8266" s="12"/>
      <c r="J8266" s="12"/>
      <c r="K8266" s="12"/>
      <c r="L8266" s="12"/>
      <c r="M8266" s="11"/>
      <c r="N8266" s="11"/>
      <c r="O8266" s="11"/>
      <c r="P8266" s="11"/>
    </row>
    <row r="8267" spans="8:16" x14ac:dyDescent="0.25">
      <c r="H8267" s="12"/>
      <c r="I8267" s="12"/>
      <c r="J8267" s="12"/>
      <c r="K8267" s="12"/>
      <c r="L8267" s="12"/>
      <c r="M8267" s="11"/>
      <c r="N8267" s="11"/>
      <c r="O8267" s="11"/>
      <c r="P8267" s="11"/>
    </row>
    <row r="8268" spans="8:16" x14ac:dyDescent="0.25">
      <c r="H8268" s="12"/>
      <c r="I8268" s="12"/>
      <c r="J8268" s="12"/>
      <c r="K8268" s="12"/>
      <c r="L8268" s="12"/>
      <c r="M8268" s="11"/>
      <c r="N8268" s="11"/>
      <c r="O8268" s="11"/>
      <c r="P8268" s="11"/>
    </row>
    <row r="8269" spans="8:16" x14ac:dyDescent="0.25">
      <c r="H8269" s="12"/>
      <c r="I8269" s="12"/>
      <c r="J8269" s="12"/>
      <c r="K8269" s="12"/>
      <c r="L8269" s="12"/>
      <c r="M8269" s="11"/>
      <c r="N8269" s="11"/>
      <c r="O8269" s="11"/>
      <c r="P8269" s="11"/>
    </row>
    <row r="8270" spans="8:16" x14ac:dyDescent="0.25">
      <c r="H8270" s="12"/>
      <c r="I8270" s="12"/>
      <c r="J8270" s="12"/>
      <c r="K8270" s="12"/>
      <c r="L8270" s="12"/>
      <c r="M8270" s="11"/>
      <c r="N8270" s="11"/>
      <c r="O8270" s="11"/>
      <c r="P8270" s="11"/>
    </row>
    <row r="8271" spans="8:16" x14ac:dyDescent="0.25">
      <c r="H8271" s="12"/>
      <c r="I8271" s="12"/>
      <c r="J8271" s="12"/>
      <c r="K8271" s="12"/>
      <c r="L8271" s="12"/>
      <c r="M8271" s="11"/>
      <c r="N8271" s="11"/>
      <c r="O8271" s="11"/>
      <c r="P8271" s="11"/>
    </row>
    <row r="8272" spans="8:16" x14ac:dyDescent="0.25">
      <c r="H8272" s="12"/>
      <c r="I8272" s="12"/>
      <c r="J8272" s="12"/>
      <c r="K8272" s="12"/>
      <c r="L8272" s="12"/>
      <c r="M8272" s="11"/>
      <c r="N8272" s="11"/>
      <c r="O8272" s="11"/>
      <c r="P8272" s="11"/>
    </row>
    <row r="8273" spans="8:16" x14ac:dyDescent="0.25">
      <c r="H8273" s="12"/>
      <c r="I8273" s="12"/>
      <c r="J8273" s="12"/>
      <c r="K8273" s="12"/>
      <c r="L8273" s="12"/>
      <c r="M8273" s="11"/>
      <c r="N8273" s="11"/>
      <c r="O8273" s="11"/>
      <c r="P8273" s="11"/>
    </row>
    <row r="8274" spans="8:16" x14ac:dyDescent="0.25">
      <c r="H8274" s="12"/>
      <c r="I8274" s="12"/>
      <c r="J8274" s="12"/>
      <c r="K8274" s="12"/>
      <c r="L8274" s="12"/>
      <c r="M8274" s="11"/>
      <c r="N8274" s="11"/>
      <c r="O8274" s="11"/>
      <c r="P8274" s="11"/>
    </row>
    <row r="8275" spans="8:16" x14ac:dyDescent="0.25">
      <c r="H8275" s="12"/>
      <c r="I8275" s="12"/>
      <c r="J8275" s="12"/>
      <c r="K8275" s="12"/>
      <c r="L8275" s="12"/>
      <c r="M8275" s="11"/>
      <c r="N8275" s="11"/>
      <c r="O8275" s="11"/>
      <c r="P8275" s="11"/>
    </row>
    <row r="8276" spans="8:16" x14ac:dyDescent="0.25">
      <c r="H8276" s="12"/>
      <c r="I8276" s="12"/>
      <c r="J8276" s="12"/>
      <c r="K8276" s="12"/>
      <c r="L8276" s="12"/>
      <c r="M8276" s="11"/>
      <c r="N8276" s="11"/>
      <c r="O8276" s="11"/>
      <c r="P8276" s="11"/>
    </row>
    <row r="8277" spans="8:16" x14ac:dyDescent="0.25">
      <c r="H8277" s="12"/>
      <c r="I8277" s="12"/>
      <c r="J8277" s="12"/>
      <c r="K8277" s="12"/>
      <c r="L8277" s="12"/>
      <c r="M8277" s="11"/>
      <c r="N8277" s="11"/>
      <c r="O8277" s="11"/>
      <c r="P8277" s="11"/>
    </row>
    <row r="8278" spans="8:16" x14ac:dyDescent="0.25">
      <c r="H8278" s="12"/>
      <c r="I8278" s="12"/>
      <c r="J8278" s="12"/>
      <c r="K8278" s="12"/>
      <c r="L8278" s="12"/>
      <c r="M8278" s="11"/>
      <c r="N8278" s="11"/>
      <c r="O8278" s="11"/>
      <c r="P8278" s="11"/>
    </row>
    <row r="8279" spans="8:16" x14ac:dyDescent="0.25">
      <c r="H8279" s="12"/>
      <c r="I8279" s="12"/>
      <c r="J8279" s="12"/>
      <c r="K8279" s="12"/>
      <c r="L8279" s="12"/>
      <c r="M8279" s="11"/>
      <c r="N8279" s="11"/>
      <c r="O8279" s="11"/>
      <c r="P8279" s="11"/>
    </row>
    <row r="8280" spans="8:16" x14ac:dyDescent="0.25">
      <c r="H8280" s="12"/>
      <c r="I8280" s="12"/>
      <c r="J8280" s="12"/>
      <c r="K8280" s="12"/>
      <c r="L8280" s="12"/>
      <c r="M8280" s="11"/>
      <c r="N8280" s="11"/>
      <c r="O8280" s="11"/>
      <c r="P8280" s="11"/>
    </row>
    <row r="8281" spans="8:16" x14ac:dyDescent="0.25">
      <c r="H8281" s="12"/>
      <c r="I8281" s="12"/>
      <c r="J8281" s="12"/>
      <c r="K8281" s="12"/>
      <c r="L8281" s="12"/>
      <c r="M8281" s="11"/>
      <c r="N8281" s="11"/>
      <c r="O8281" s="11"/>
      <c r="P8281" s="11"/>
    </row>
    <row r="8282" spans="8:16" x14ac:dyDescent="0.25">
      <c r="H8282" s="12"/>
      <c r="I8282" s="12"/>
      <c r="J8282" s="12"/>
      <c r="K8282" s="12"/>
      <c r="L8282" s="12"/>
      <c r="M8282" s="11"/>
      <c r="N8282" s="11"/>
      <c r="O8282" s="11"/>
      <c r="P8282" s="11"/>
    </row>
    <row r="8283" spans="8:16" x14ac:dyDescent="0.25">
      <c r="H8283" s="12"/>
      <c r="I8283" s="12"/>
      <c r="J8283" s="12"/>
      <c r="K8283" s="12"/>
      <c r="L8283" s="12"/>
      <c r="M8283" s="11"/>
      <c r="N8283" s="11"/>
      <c r="O8283" s="11"/>
      <c r="P8283" s="11"/>
    </row>
    <row r="8284" spans="8:16" x14ac:dyDescent="0.25">
      <c r="H8284" s="12"/>
      <c r="I8284" s="12"/>
      <c r="J8284" s="12"/>
      <c r="K8284" s="12"/>
      <c r="L8284" s="12"/>
      <c r="M8284" s="11"/>
      <c r="N8284" s="11"/>
      <c r="O8284" s="11"/>
      <c r="P8284" s="11"/>
    </row>
    <row r="8285" spans="8:16" x14ac:dyDescent="0.25">
      <c r="H8285" s="12"/>
      <c r="I8285" s="12"/>
      <c r="J8285" s="12"/>
      <c r="K8285" s="12"/>
      <c r="L8285" s="12"/>
      <c r="M8285" s="11"/>
      <c r="N8285" s="11"/>
      <c r="O8285" s="11"/>
      <c r="P8285" s="11"/>
    </row>
    <row r="8286" spans="8:16" x14ac:dyDescent="0.25">
      <c r="H8286" s="12"/>
      <c r="I8286" s="12"/>
      <c r="J8286" s="12"/>
      <c r="K8286" s="12"/>
      <c r="L8286" s="12"/>
      <c r="M8286" s="11"/>
      <c r="N8286" s="11"/>
      <c r="O8286" s="11"/>
      <c r="P8286" s="11"/>
    </row>
    <row r="8287" spans="8:16" x14ac:dyDescent="0.25">
      <c r="H8287" s="12"/>
      <c r="I8287" s="12"/>
      <c r="J8287" s="12"/>
      <c r="K8287" s="12"/>
      <c r="L8287" s="12"/>
      <c r="M8287" s="11"/>
      <c r="N8287" s="11"/>
      <c r="O8287" s="11"/>
      <c r="P8287" s="11"/>
    </row>
    <row r="8288" spans="8:16" x14ac:dyDescent="0.25">
      <c r="H8288" s="12"/>
      <c r="I8288" s="12"/>
      <c r="J8288" s="12"/>
      <c r="K8288" s="12"/>
      <c r="L8288" s="12"/>
      <c r="M8288" s="11"/>
      <c r="N8288" s="11"/>
      <c r="O8288" s="11"/>
      <c r="P8288" s="11"/>
    </row>
    <row r="8289" spans="8:16" x14ac:dyDescent="0.25">
      <c r="H8289" s="12"/>
      <c r="I8289" s="12"/>
      <c r="J8289" s="12"/>
      <c r="K8289" s="12"/>
      <c r="L8289" s="12"/>
      <c r="M8289" s="11"/>
      <c r="N8289" s="11"/>
      <c r="O8289" s="11"/>
      <c r="P8289" s="11"/>
    </row>
    <row r="8290" spans="8:16" x14ac:dyDescent="0.25">
      <c r="H8290" s="12"/>
      <c r="I8290" s="12"/>
      <c r="J8290" s="12"/>
      <c r="K8290" s="12"/>
      <c r="L8290" s="12"/>
      <c r="M8290" s="11"/>
      <c r="N8290" s="11"/>
      <c r="O8290" s="11"/>
      <c r="P8290" s="11"/>
    </row>
    <row r="8291" spans="8:16" x14ac:dyDescent="0.25">
      <c r="H8291" s="12"/>
      <c r="I8291" s="12"/>
      <c r="J8291" s="12"/>
      <c r="K8291" s="12"/>
      <c r="L8291" s="12"/>
      <c r="M8291" s="11"/>
      <c r="N8291" s="11"/>
      <c r="O8291" s="11"/>
      <c r="P8291" s="11"/>
    </row>
    <row r="8292" spans="8:16" x14ac:dyDescent="0.25">
      <c r="H8292" s="12"/>
      <c r="I8292" s="12"/>
      <c r="J8292" s="12"/>
      <c r="K8292" s="12"/>
      <c r="L8292" s="12"/>
      <c r="M8292" s="11"/>
      <c r="N8292" s="11"/>
      <c r="O8292" s="11"/>
      <c r="P8292" s="11"/>
    </row>
    <row r="8293" spans="8:16" x14ac:dyDescent="0.25">
      <c r="H8293" s="12"/>
      <c r="I8293" s="12"/>
      <c r="J8293" s="12"/>
      <c r="K8293" s="12"/>
      <c r="L8293" s="12"/>
      <c r="M8293" s="11"/>
      <c r="N8293" s="11"/>
      <c r="O8293" s="11"/>
      <c r="P8293" s="11"/>
    </row>
    <row r="8294" spans="8:16" x14ac:dyDescent="0.25">
      <c r="H8294" s="12"/>
      <c r="I8294" s="12"/>
      <c r="J8294" s="12"/>
      <c r="K8294" s="12"/>
      <c r="L8294" s="12"/>
      <c r="M8294" s="11"/>
      <c r="N8294" s="11"/>
      <c r="O8294" s="11"/>
      <c r="P8294" s="11"/>
    </row>
    <row r="8295" spans="8:16" x14ac:dyDescent="0.25">
      <c r="H8295" s="12"/>
      <c r="I8295" s="12"/>
      <c r="J8295" s="12"/>
      <c r="K8295" s="12"/>
      <c r="L8295" s="12"/>
      <c r="M8295" s="11"/>
      <c r="N8295" s="11"/>
      <c r="O8295" s="11"/>
      <c r="P8295" s="11"/>
    </row>
    <row r="8296" spans="8:16" x14ac:dyDescent="0.25">
      <c r="H8296" s="12"/>
      <c r="I8296" s="12"/>
      <c r="J8296" s="12"/>
      <c r="K8296" s="12"/>
      <c r="L8296" s="12"/>
      <c r="M8296" s="11"/>
      <c r="N8296" s="11"/>
      <c r="O8296" s="11"/>
      <c r="P8296" s="11"/>
    </row>
    <row r="8297" spans="8:16" x14ac:dyDescent="0.25">
      <c r="H8297" s="12"/>
      <c r="I8297" s="12"/>
      <c r="J8297" s="12"/>
      <c r="K8297" s="12"/>
      <c r="L8297" s="12"/>
      <c r="M8297" s="11"/>
      <c r="N8297" s="11"/>
      <c r="O8297" s="11"/>
      <c r="P8297" s="11"/>
    </row>
    <row r="8298" spans="8:16" x14ac:dyDescent="0.25">
      <c r="H8298" s="12"/>
      <c r="I8298" s="12"/>
      <c r="J8298" s="12"/>
      <c r="K8298" s="12"/>
      <c r="L8298" s="12"/>
      <c r="M8298" s="11"/>
      <c r="N8298" s="11"/>
      <c r="O8298" s="11"/>
      <c r="P8298" s="11"/>
    </row>
    <row r="8299" spans="8:16" x14ac:dyDescent="0.25">
      <c r="H8299" s="12"/>
      <c r="I8299" s="12"/>
      <c r="J8299" s="12"/>
      <c r="K8299" s="12"/>
      <c r="L8299" s="12"/>
      <c r="M8299" s="11"/>
      <c r="N8299" s="11"/>
      <c r="O8299" s="11"/>
      <c r="P8299" s="11"/>
    </row>
    <row r="8300" spans="8:16" x14ac:dyDescent="0.25">
      <c r="H8300" s="12"/>
      <c r="I8300" s="12"/>
      <c r="J8300" s="12"/>
      <c r="K8300" s="12"/>
      <c r="L8300" s="12"/>
      <c r="M8300" s="11"/>
      <c r="N8300" s="11"/>
      <c r="O8300" s="11"/>
      <c r="P8300" s="11"/>
    </row>
    <row r="8301" spans="8:16" x14ac:dyDescent="0.25">
      <c r="H8301" s="12"/>
      <c r="I8301" s="12"/>
      <c r="J8301" s="12"/>
      <c r="K8301" s="12"/>
      <c r="L8301" s="12"/>
      <c r="M8301" s="11"/>
      <c r="N8301" s="11"/>
      <c r="O8301" s="11"/>
      <c r="P8301" s="11"/>
    </row>
    <row r="8302" spans="8:16" x14ac:dyDescent="0.25">
      <c r="H8302" s="12"/>
      <c r="I8302" s="12"/>
      <c r="J8302" s="12"/>
      <c r="K8302" s="12"/>
      <c r="L8302" s="12"/>
      <c r="M8302" s="11"/>
      <c r="N8302" s="11"/>
      <c r="O8302" s="11"/>
      <c r="P8302" s="11"/>
    </row>
    <row r="8303" spans="8:16" x14ac:dyDescent="0.25">
      <c r="H8303" s="12"/>
      <c r="I8303" s="12"/>
      <c r="J8303" s="12"/>
      <c r="K8303" s="12"/>
      <c r="L8303" s="12"/>
      <c r="M8303" s="11"/>
      <c r="N8303" s="11"/>
      <c r="O8303" s="11"/>
      <c r="P8303" s="11"/>
    </row>
    <row r="8304" spans="8:16" x14ac:dyDescent="0.25">
      <c r="H8304" s="12"/>
      <c r="I8304" s="12"/>
      <c r="J8304" s="12"/>
      <c r="K8304" s="12"/>
      <c r="L8304" s="12"/>
      <c r="M8304" s="11"/>
      <c r="N8304" s="11"/>
      <c r="O8304" s="11"/>
      <c r="P8304" s="11"/>
    </row>
    <row r="8305" spans="8:16" x14ac:dyDescent="0.25">
      <c r="H8305" s="12"/>
      <c r="I8305" s="12"/>
      <c r="J8305" s="12"/>
      <c r="K8305" s="12"/>
      <c r="L8305" s="12"/>
      <c r="M8305" s="11"/>
      <c r="N8305" s="11"/>
      <c r="O8305" s="11"/>
      <c r="P8305" s="11"/>
    </row>
    <row r="8306" spans="8:16" x14ac:dyDescent="0.25">
      <c r="H8306" s="12"/>
      <c r="I8306" s="12"/>
      <c r="J8306" s="12"/>
      <c r="K8306" s="12"/>
      <c r="L8306" s="12"/>
      <c r="M8306" s="11"/>
      <c r="N8306" s="11"/>
      <c r="O8306" s="11"/>
      <c r="P8306" s="11"/>
    </row>
    <row r="8307" spans="8:16" x14ac:dyDescent="0.25">
      <c r="H8307" s="12"/>
      <c r="I8307" s="12"/>
      <c r="J8307" s="12"/>
      <c r="K8307" s="12"/>
      <c r="L8307" s="12"/>
      <c r="M8307" s="11"/>
      <c r="N8307" s="11"/>
      <c r="O8307" s="11"/>
      <c r="P8307" s="11"/>
    </row>
    <row r="8308" spans="8:16" x14ac:dyDescent="0.25">
      <c r="H8308" s="12"/>
      <c r="I8308" s="12"/>
      <c r="J8308" s="12"/>
      <c r="K8308" s="12"/>
      <c r="L8308" s="12"/>
      <c r="M8308" s="11"/>
      <c r="N8308" s="11"/>
      <c r="O8308" s="11"/>
      <c r="P8308" s="11"/>
    </row>
    <row r="8309" spans="8:16" x14ac:dyDescent="0.25">
      <c r="H8309" s="12"/>
      <c r="I8309" s="12"/>
      <c r="J8309" s="12"/>
      <c r="K8309" s="12"/>
      <c r="L8309" s="12"/>
      <c r="M8309" s="11"/>
      <c r="N8309" s="11"/>
      <c r="O8309" s="11"/>
      <c r="P8309" s="11"/>
    </row>
    <row r="8310" spans="8:16" x14ac:dyDescent="0.25">
      <c r="H8310" s="12"/>
      <c r="I8310" s="12"/>
      <c r="J8310" s="12"/>
      <c r="K8310" s="12"/>
      <c r="L8310" s="12"/>
      <c r="M8310" s="11"/>
      <c r="N8310" s="11"/>
      <c r="O8310" s="11"/>
      <c r="P8310" s="11"/>
    </row>
    <row r="8311" spans="8:16" x14ac:dyDescent="0.25">
      <c r="H8311" s="12"/>
      <c r="I8311" s="12"/>
      <c r="J8311" s="12"/>
      <c r="K8311" s="12"/>
      <c r="L8311" s="12"/>
      <c r="M8311" s="11"/>
      <c r="N8311" s="11"/>
      <c r="O8311" s="11"/>
      <c r="P8311" s="11"/>
    </row>
    <row r="8312" spans="8:16" x14ac:dyDescent="0.25">
      <c r="H8312" s="12"/>
      <c r="I8312" s="12"/>
      <c r="J8312" s="12"/>
      <c r="K8312" s="12"/>
      <c r="L8312" s="12"/>
      <c r="M8312" s="11"/>
      <c r="N8312" s="11"/>
      <c r="O8312" s="11"/>
      <c r="P8312" s="11"/>
    </row>
    <row r="8313" spans="8:16" x14ac:dyDescent="0.25">
      <c r="H8313" s="12"/>
      <c r="I8313" s="12"/>
      <c r="J8313" s="12"/>
      <c r="K8313" s="12"/>
      <c r="L8313" s="12"/>
      <c r="M8313" s="11"/>
      <c r="N8313" s="11"/>
      <c r="O8313" s="11"/>
      <c r="P8313" s="11"/>
    </row>
    <row r="8314" spans="8:16" x14ac:dyDescent="0.25">
      <c r="H8314" s="12"/>
      <c r="I8314" s="12"/>
      <c r="J8314" s="12"/>
      <c r="K8314" s="12"/>
      <c r="L8314" s="12"/>
      <c r="M8314" s="11"/>
      <c r="N8314" s="11"/>
      <c r="O8314" s="11"/>
      <c r="P8314" s="11"/>
    </row>
    <row r="8315" spans="8:16" x14ac:dyDescent="0.25">
      <c r="H8315" s="12"/>
      <c r="I8315" s="12"/>
      <c r="J8315" s="12"/>
      <c r="K8315" s="12"/>
      <c r="L8315" s="12"/>
      <c r="M8315" s="11"/>
      <c r="N8315" s="11"/>
      <c r="O8315" s="11"/>
      <c r="P8315" s="11"/>
    </row>
    <row r="8316" spans="8:16" x14ac:dyDescent="0.25">
      <c r="H8316" s="12"/>
      <c r="I8316" s="12"/>
      <c r="J8316" s="12"/>
      <c r="K8316" s="12"/>
      <c r="L8316" s="12"/>
      <c r="M8316" s="11"/>
      <c r="N8316" s="11"/>
      <c r="O8316" s="11"/>
      <c r="P8316" s="11"/>
    </row>
    <row r="8317" spans="8:16" x14ac:dyDescent="0.25">
      <c r="H8317" s="12"/>
      <c r="I8317" s="12"/>
      <c r="J8317" s="12"/>
      <c r="K8317" s="12"/>
      <c r="L8317" s="12"/>
      <c r="M8317" s="11"/>
      <c r="N8317" s="11"/>
      <c r="O8317" s="11"/>
      <c r="P8317" s="11"/>
    </row>
    <row r="8318" spans="8:16" x14ac:dyDescent="0.25">
      <c r="H8318" s="12"/>
      <c r="I8318" s="12"/>
      <c r="J8318" s="12"/>
      <c r="K8318" s="12"/>
      <c r="L8318" s="12"/>
      <c r="M8318" s="11"/>
      <c r="N8318" s="11"/>
      <c r="O8318" s="11"/>
      <c r="P8318" s="11"/>
    </row>
    <row r="8319" spans="8:16" x14ac:dyDescent="0.25">
      <c r="H8319" s="12"/>
      <c r="I8319" s="12"/>
      <c r="J8319" s="12"/>
      <c r="K8319" s="12"/>
      <c r="L8319" s="12"/>
      <c r="M8319" s="11"/>
      <c r="N8319" s="11"/>
      <c r="O8319" s="11"/>
      <c r="P8319" s="11"/>
    </row>
    <row r="8320" spans="8:16" x14ac:dyDescent="0.25">
      <c r="H8320" s="12"/>
      <c r="I8320" s="12"/>
      <c r="J8320" s="12"/>
      <c r="K8320" s="12"/>
      <c r="L8320" s="12"/>
      <c r="M8320" s="11"/>
      <c r="N8320" s="11"/>
      <c r="O8320" s="11"/>
      <c r="P8320" s="11"/>
    </row>
    <row r="8321" spans="8:16" x14ac:dyDescent="0.25">
      <c r="H8321" s="12"/>
      <c r="I8321" s="12"/>
      <c r="J8321" s="12"/>
      <c r="K8321" s="12"/>
      <c r="L8321" s="12"/>
      <c r="M8321" s="11"/>
      <c r="N8321" s="11"/>
      <c r="O8321" s="11"/>
      <c r="P8321" s="11"/>
    </row>
    <row r="8322" spans="8:16" x14ac:dyDescent="0.25">
      <c r="H8322" s="12"/>
      <c r="I8322" s="12"/>
      <c r="J8322" s="12"/>
      <c r="K8322" s="12"/>
      <c r="L8322" s="12"/>
      <c r="M8322" s="11"/>
      <c r="N8322" s="11"/>
      <c r="O8322" s="11"/>
      <c r="P8322" s="11"/>
    </row>
    <row r="8323" spans="8:16" x14ac:dyDescent="0.25">
      <c r="H8323" s="12"/>
      <c r="I8323" s="12"/>
      <c r="J8323" s="12"/>
      <c r="K8323" s="12"/>
      <c r="L8323" s="12"/>
      <c r="M8323" s="11"/>
      <c r="N8323" s="11"/>
      <c r="O8323" s="11"/>
      <c r="P8323" s="11"/>
    </row>
    <row r="8324" spans="8:16" x14ac:dyDescent="0.25">
      <c r="H8324" s="12"/>
      <c r="I8324" s="12"/>
      <c r="J8324" s="12"/>
      <c r="K8324" s="12"/>
      <c r="L8324" s="12"/>
      <c r="M8324" s="11"/>
      <c r="N8324" s="11"/>
      <c r="O8324" s="11"/>
      <c r="P8324" s="11"/>
    </row>
    <row r="8325" spans="8:16" x14ac:dyDescent="0.25">
      <c r="H8325" s="12"/>
      <c r="I8325" s="12"/>
      <c r="J8325" s="12"/>
      <c r="K8325" s="12"/>
      <c r="L8325" s="12"/>
      <c r="M8325" s="11"/>
      <c r="N8325" s="11"/>
      <c r="O8325" s="11"/>
      <c r="P8325" s="11"/>
    </row>
    <row r="8326" spans="8:16" x14ac:dyDescent="0.25">
      <c r="H8326" s="12"/>
      <c r="I8326" s="12"/>
      <c r="J8326" s="12"/>
      <c r="K8326" s="12"/>
      <c r="L8326" s="12"/>
      <c r="M8326" s="11"/>
      <c r="N8326" s="11"/>
      <c r="O8326" s="11"/>
      <c r="P8326" s="11"/>
    </row>
    <row r="8327" spans="8:16" x14ac:dyDescent="0.25">
      <c r="H8327" s="12"/>
      <c r="I8327" s="12"/>
      <c r="J8327" s="12"/>
      <c r="K8327" s="12"/>
      <c r="L8327" s="12"/>
      <c r="M8327" s="11"/>
      <c r="N8327" s="11"/>
      <c r="O8327" s="11"/>
      <c r="P8327" s="11"/>
    </row>
    <row r="8328" spans="8:16" x14ac:dyDescent="0.25">
      <c r="H8328" s="12"/>
      <c r="I8328" s="12"/>
      <c r="J8328" s="12"/>
      <c r="K8328" s="12"/>
      <c r="L8328" s="12"/>
      <c r="M8328" s="11"/>
      <c r="N8328" s="11"/>
      <c r="O8328" s="11"/>
      <c r="P8328" s="11"/>
    </row>
    <row r="8329" spans="8:16" x14ac:dyDescent="0.25">
      <c r="H8329" s="12"/>
      <c r="I8329" s="12"/>
      <c r="J8329" s="12"/>
      <c r="K8329" s="12"/>
      <c r="L8329" s="12"/>
      <c r="M8329" s="11"/>
      <c r="N8329" s="11"/>
      <c r="O8329" s="11"/>
      <c r="P8329" s="11"/>
    </row>
    <row r="8330" spans="8:16" x14ac:dyDescent="0.25">
      <c r="H8330" s="12"/>
      <c r="I8330" s="12"/>
      <c r="J8330" s="12"/>
      <c r="K8330" s="12"/>
      <c r="L8330" s="12"/>
      <c r="M8330" s="11"/>
      <c r="N8330" s="11"/>
      <c r="O8330" s="11"/>
      <c r="P8330" s="11"/>
    </row>
    <row r="8331" spans="8:16" x14ac:dyDescent="0.25">
      <c r="H8331" s="12"/>
      <c r="I8331" s="12"/>
      <c r="J8331" s="12"/>
      <c r="K8331" s="12"/>
      <c r="L8331" s="12"/>
      <c r="M8331" s="11"/>
      <c r="N8331" s="11"/>
      <c r="O8331" s="11"/>
      <c r="P8331" s="11"/>
    </row>
    <row r="8332" spans="8:16" x14ac:dyDescent="0.25">
      <c r="H8332" s="12"/>
      <c r="I8332" s="12"/>
      <c r="J8332" s="12"/>
      <c r="K8332" s="12"/>
      <c r="L8332" s="12"/>
      <c r="M8332" s="11"/>
      <c r="N8332" s="11"/>
      <c r="O8332" s="11"/>
      <c r="P8332" s="11"/>
    </row>
    <row r="8333" spans="8:16" x14ac:dyDescent="0.25">
      <c r="H8333" s="12"/>
      <c r="I8333" s="12"/>
      <c r="J8333" s="12"/>
      <c r="K8333" s="12"/>
      <c r="L8333" s="12"/>
      <c r="M8333" s="11"/>
      <c r="N8333" s="11"/>
      <c r="O8333" s="11"/>
      <c r="P8333" s="11"/>
    </row>
    <row r="8334" spans="8:16" x14ac:dyDescent="0.25">
      <c r="H8334" s="12"/>
      <c r="I8334" s="12"/>
      <c r="J8334" s="12"/>
      <c r="K8334" s="12"/>
      <c r="L8334" s="12"/>
      <c r="M8334" s="11"/>
      <c r="N8334" s="11"/>
      <c r="O8334" s="11"/>
      <c r="P8334" s="11"/>
    </row>
    <row r="8335" spans="8:16" x14ac:dyDescent="0.25">
      <c r="H8335" s="12"/>
      <c r="I8335" s="12"/>
      <c r="J8335" s="12"/>
      <c r="K8335" s="12"/>
      <c r="L8335" s="12"/>
      <c r="M8335" s="11"/>
      <c r="N8335" s="11"/>
      <c r="O8335" s="11"/>
      <c r="P8335" s="11"/>
    </row>
    <row r="8336" spans="8:16" x14ac:dyDescent="0.25">
      <c r="H8336" s="12"/>
      <c r="I8336" s="12"/>
      <c r="J8336" s="12"/>
      <c r="K8336" s="12"/>
      <c r="L8336" s="12"/>
      <c r="M8336" s="11"/>
      <c r="N8336" s="11"/>
      <c r="O8336" s="11"/>
      <c r="P8336" s="11"/>
    </row>
    <row r="8337" spans="8:16" x14ac:dyDescent="0.25">
      <c r="H8337" s="12"/>
      <c r="I8337" s="12"/>
      <c r="J8337" s="12"/>
      <c r="K8337" s="12"/>
      <c r="L8337" s="12"/>
      <c r="M8337" s="11"/>
      <c r="N8337" s="11"/>
      <c r="O8337" s="11"/>
      <c r="P8337" s="11"/>
    </row>
    <row r="8338" spans="8:16" x14ac:dyDescent="0.25">
      <c r="H8338" s="12"/>
      <c r="I8338" s="12"/>
      <c r="J8338" s="12"/>
      <c r="K8338" s="12"/>
      <c r="L8338" s="12"/>
      <c r="M8338" s="11"/>
      <c r="N8338" s="11"/>
      <c r="O8338" s="11"/>
      <c r="P8338" s="11"/>
    </row>
    <row r="8339" spans="8:16" x14ac:dyDescent="0.25">
      <c r="H8339" s="12"/>
      <c r="I8339" s="12"/>
      <c r="J8339" s="12"/>
      <c r="K8339" s="12"/>
      <c r="L8339" s="12"/>
      <c r="M8339" s="11"/>
      <c r="N8339" s="11"/>
      <c r="O8339" s="11"/>
      <c r="P8339" s="11"/>
    </row>
    <row r="8340" spans="8:16" x14ac:dyDescent="0.25">
      <c r="H8340" s="12"/>
      <c r="I8340" s="12"/>
      <c r="J8340" s="12"/>
      <c r="K8340" s="12"/>
      <c r="L8340" s="12"/>
      <c r="M8340" s="11"/>
      <c r="N8340" s="11"/>
      <c r="O8340" s="11"/>
      <c r="P8340" s="11"/>
    </row>
    <row r="8341" spans="8:16" x14ac:dyDescent="0.25">
      <c r="H8341" s="12"/>
      <c r="I8341" s="12"/>
      <c r="J8341" s="12"/>
      <c r="K8341" s="12"/>
      <c r="L8341" s="12"/>
      <c r="M8341" s="11"/>
      <c r="N8341" s="11"/>
      <c r="O8341" s="11"/>
      <c r="P8341" s="11"/>
    </row>
    <row r="8342" spans="8:16" x14ac:dyDescent="0.25">
      <c r="H8342" s="12"/>
      <c r="I8342" s="12"/>
      <c r="J8342" s="12"/>
      <c r="K8342" s="12"/>
      <c r="L8342" s="12"/>
      <c r="M8342" s="11"/>
      <c r="N8342" s="11"/>
      <c r="O8342" s="11"/>
      <c r="P8342" s="11"/>
    </row>
    <row r="8343" spans="8:16" x14ac:dyDescent="0.25">
      <c r="H8343" s="12"/>
      <c r="I8343" s="12"/>
      <c r="J8343" s="12"/>
      <c r="K8343" s="12"/>
      <c r="L8343" s="12"/>
      <c r="M8343" s="11"/>
      <c r="N8343" s="11"/>
      <c r="O8343" s="11"/>
      <c r="P8343" s="11"/>
    </row>
    <row r="8344" spans="8:16" x14ac:dyDescent="0.25">
      <c r="H8344" s="12"/>
      <c r="I8344" s="12"/>
      <c r="J8344" s="12"/>
      <c r="K8344" s="12"/>
      <c r="L8344" s="12"/>
      <c r="M8344" s="11"/>
      <c r="N8344" s="11"/>
      <c r="O8344" s="11"/>
      <c r="P8344" s="11"/>
    </row>
    <row r="8345" spans="8:16" x14ac:dyDescent="0.25">
      <c r="H8345" s="12"/>
      <c r="I8345" s="12"/>
      <c r="J8345" s="12"/>
      <c r="K8345" s="12"/>
      <c r="L8345" s="12"/>
      <c r="M8345" s="11"/>
      <c r="N8345" s="11"/>
      <c r="O8345" s="11"/>
      <c r="P8345" s="11"/>
    </row>
    <row r="8346" spans="8:16" x14ac:dyDescent="0.25">
      <c r="H8346" s="12"/>
      <c r="I8346" s="12"/>
      <c r="J8346" s="12"/>
      <c r="K8346" s="12"/>
      <c r="L8346" s="12"/>
      <c r="M8346" s="11"/>
      <c r="N8346" s="11"/>
      <c r="O8346" s="11"/>
      <c r="P8346" s="11"/>
    </row>
    <row r="8347" spans="8:16" x14ac:dyDescent="0.25">
      <c r="H8347" s="12"/>
      <c r="I8347" s="12"/>
      <c r="J8347" s="12"/>
      <c r="K8347" s="12"/>
      <c r="L8347" s="12"/>
      <c r="M8347" s="11"/>
      <c r="N8347" s="11"/>
      <c r="O8347" s="11"/>
      <c r="P8347" s="11"/>
    </row>
    <row r="8348" spans="8:16" x14ac:dyDescent="0.25">
      <c r="H8348" s="12"/>
      <c r="I8348" s="12"/>
      <c r="J8348" s="12"/>
      <c r="K8348" s="12"/>
      <c r="L8348" s="12"/>
      <c r="M8348" s="11"/>
      <c r="N8348" s="11"/>
      <c r="O8348" s="11"/>
      <c r="P8348" s="11"/>
    </row>
    <row r="8349" spans="8:16" x14ac:dyDescent="0.25">
      <c r="H8349" s="12"/>
      <c r="I8349" s="12"/>
      <c r="J8349" s="12"/>
      <c r="K8349" s="12"/>
      <c r="L8349" s="12"/>
      <c r="M8349" s="11"/>
      <c r="N8349" s="11"/>
      <c r="O8349" s="11"/>
      <c r="P8349" s="11"/>
    </row>
    <row r="8350" spans="8:16" x14ac:dyDescent="0.25">
      <c r="H8350" s="12"/>
      <c r="I8350" s="12"/>
      <c r="J8350" s="12"/>
      <c r="K8350" s="12"/>
      <c r="L8350" s="12"/>
      <c r="M8350" s="11"/>
      <c r="N8350" s="11"/>
      <c r="O8350" s="11"/>
      <c r="P8350" s="11"/>
    </row>
    <row r="8351" spans="8:16" x14ac:dyDescent="0.25">
      <c r="H8351" s="12"/>
      <c r="I8351" s="12"/>
      <c r="J8351" s="12"/>
      <c r="K8351" s="12"/>
      <c r="L8351" s="12"/>
      <c r="M8351" s="11"/>
      <c r="N8351" s="11"/>
      <c r="O8351" s="11"/>
      <c r="P8351" s="11"/>
    </row>
    <row r="8352" spans="8:16" x14ac:dyDescent="0.25">
      <c r="H8352" s="12"/>
      <c r="I8352" s="12"/>
      <c r="J8352" s="12"/>
      <c r="K8352" s="12"/>
      <c r="L8352" s="12"/>
      <c r="M8352" s="11"/>
      <c r="N8352" s="11"/>
      <c r="O8352" s="11"/>
      <c r="P8352" s="11"/>
    </row>
    <row r="8353" spans="8:16" x14ac:dyDescent="0.25">
      <c r="H8353" s="12"/>
      <c r="I8353" s="12"/>
      <c r="J8353" s="12"/>
      <c r="K8353" s="12"/>
      <c r="L8353" s="12"/>
      <c r="M8353" s="11"/>
      <c r="N8353" s="11"/>
      <c r="O8353" s="11"/>
      <c r="P8353" s="11"/>
    </row>
    <row r="8354" spans="8:16" x14ac:dyDescent="0.25">
      <c r="H8354" s="12"/>
      <c r="I8354" s="12"/>
      <c r="J8354" s="12"/>
      <c r="K8354" s="12"/>
      <c r="L8354" s="12"/>
      <c r="M8354" s="11"/>
      <c r="N8354" s="11"/>
      <c r="O8354" s="11"/>
      <c r="P8354" s="11"/>
    </row>
    <row r="8355" spans="8:16" x14ac:dyDescent="0.25">
      <c r="H8355" s="12"/>
      <c r="I8355" s="12"/>
      <c r="J8355" s="12"/>
      <c r="K8355" s="12"/>
      <c r="L8355" s="12"/>
      <c r="M8355" s="11"/>
      <c r="N8355" s="11"/>
      <c r="O8355" s="11"/>
      <c r="P8355" s="11"/>
    </row>
    <row r="8356" spans="8:16" x14ac:dyDescent="0.25">
      <c r="H8356" s="12"/>
      <c r="I8356" s="12"/>
      <c r="J8356" s="12"/>
      <c r="K8356" s="12"/>
      <c r="L8356" s="12"/>
      <c r="M8356" s="11"/>
      <c r="N8356" s="11"/>
      <c r="O8356" s="11"/>
      <c r="P8356" s="11"/>
    </row>
    <row r="8357" spans="8:16" x14ac:dyDescent="0.25">
      <c r="H8357" s="12"/>
      <c r="I8357" s="12"/>
      <c r="J8357" s="12"/>
      <c r="K8357" s="12"/>
      <c r="L8357" s="12"/>
      <c r="M8357" s="11"/>
      <c r="N8357" s="11"/>
      <c r="O8357" s="11"/>
      <c r="P8357" s="11"/>
    </row>
    <row r="8358" spans="8:16" x14ac:dyDescent="0.25">
      <c r="H8358" s="12"/>
      <c r="I8358" s="12"/>
      <c r="J8358" s="12"/>
      <c r="K8358" s="12"/>
      <c r="L8358" s="12"/>
      <c r="M8358" s="11"/>
      <c r="N8358" s="11"/>
      <c r="O8358" s="11"/>
      <c r="P8358" s="11"/>
    </row>
    <row r="8359" spans="8:16" x14ac:dyDescent="0.25">
      <c r="H8359" s="12"/>
      <c r="I8359" s="12"/>
      <c r="J8359" s="12"/>
      <c r="K8359" s="12"/>
      <c r="L8359" s="12"/>
      <c r="M8359" s="11"/>
      <c r="N8359" s="11"/>
      <c r="O8359" s="11"/>
      <c r="P8359" s="11"/>
    </row>
    <row r="8360" spans="8:16" x14ac:dyDescent="0.25">
      <c r="H8360" s="12"/>
      <c r="I8360" s="12"/>
      <c r="J8360" s="12"/>
      <c r="K8360" s="12"/>
      <c r="L8360" s="12"/>
      <c r="M8360" s="11"/>
      <c r="N8360" s="11"/>
      <c r="O8360" s="11"/>
      <c r="P8360" s="11"/>
    </row>
    <row r="8361" spans="8:16" x14ac:dyDescent="0.25">
      <c r="H8361" s="12"/>
      <c r="I8361" s="12"/>
      <c r="J8361" s="12"/>
      <c r="K8361" s="12"/>
      <c r="L8361" s="12"/>
      <c r="M8361" s="11"/>
      <c r="N8361" s="11"/>
      <c r="O8361" s="11"/>
      <c r="P8361" s="11"/>
    </row>
    <row r="8362" spans="8:16" x14ac:dyDescent="0.25">
      <c r="H8362" s="12"/>
      <c r="I8362" s="12"/>
      <c r="J8362" s="12"/>
      <c r="K8362" s="12"/>
      <c r="L8362" s="12"/>
      <c r="M8362" s="11"/>
      <c r="N8362" s="11"/>
      <c r="O8362" s="11"/>
      <c r="P8362" s="11"/>
    </row>
    <row r="8363" spans="8:16" x14ac:dyDescent="0.25">
      <c r="H8363" s="12"/>
      <c r="I8363" s="12"/>
      <c r="J8363" s="12"/>
      <c r="K8363" s="12"/>
      <c r="L8363" s="12"/>
      <c r="M8363" s="11"/>
      <c r="N8363" s="11"/>
      <c r="O8363" s="11"/>
      <c r="P8363" s="11"/>
    </row>
    <row r="8364" spans="8:16" x14ac:dyDescent="0.25">
      <c r="H8364" s="12"/>
      <c r="I8364" s="12"/>
      <c r="J8364" s="12"/>
      <c r="K8364" s="12"/>
      <c r="L8364" s="12"/>
      <c r="M8364" s="11"/>
      <c r="N8364" s="11"/>
      <c r="O8364" s="11"/>
      <c r="P8364" s="11"/>
    </row>
    <row r="8365" spans="8:16" x14ac:dyDescent="0.25">
      <c r="H8365" s="12"/>
      <c r="I8365" s="12"/>
      <c r="J8365" s="12"/>
      <c r="K8365" s="12"/>
      <c r="L8365" s="12"/>
      <c r="M8365" s="11"/>
      <c r="N8365" s="11"/>
      <c r="O8365" s="11"/>
      <c r="P8365" s="11"/>
    </row>
    <row r="8366" spans="8:16" x14ac:dyDescent="0.25">
      <c r="H8366" s="12"/>
      <c r="I8366" s="12"/>
      <c r="J8366" s="12"/>
      <c r="K8366" s="12"/>
      <c r="L8366" s="12"/>
      <c r="M8366" s="11"/>
      <c r="N8366" s="11"/>
      <c r="O8366" s="11"/>
      <c r="P8366" s="11"/>
    </row>
    <row r="8367" spans="8:16" x14ac:dyDescent="0.25">
      <c r="H8367" s="12"/>
      <c r="I8367" s="12"/>
      <c r="J8367" s="12"/>
      <c r="K8367" s="12"/>
      <c r="L8367" s="12"/>
      <c r="M8367" s="11"/>
      <c r="N8367" s="11"/>
      <c r="O8367" s="11"/>
      <c r="P8367" s="11"/>
    </row>
    <row r="8368" spans="8:16" x14ac:dyDescent="0.25">
      <c r="H8368" s="12"/>
      <c r="I8368" s="12"/>
      <c r="J8368" s="12"/>
      <c r="K8368" s="12"/>
      <c r="L8368" s="12"/>
      <c r="M8368" s="11"/>
      <c r="N8368" s="11"/>
      <c r="O8368" s="11"/>
      <c r="P8368" s="11"/>
    </row>
    <row r="8369" spans="8:16" x14ac:dyDescent="0.25">
      <c r="H8369" s="12"/>
      <c r="I8369" s="12"/>
      <c r="J8369" s="12"/>
      <c r="K8369" s="12"/>
      <c r="L8369" s="12"/>
      <c r="M8369" s="11"/>
      <c r="N8369" s="11"/>
      <c r="O8369" s="11"/>
      <c r="P8369" s="11"/>
    </row>
    <row r="8370" spans="8:16" x14ac:dyDescent="0.25">
      <c r="H8370" s="12"/>
      <c r="I8370" s="12"/>
      <c r="J8370" s="12"/>
      <c r="K8370" s="12"/>
      <c r="L8370" s="12"/>
      <c r="M8370" s="11"/>
      <c r="N8370" s="11"/>
      <c r="O8370" s="11"/>
      <c r="P8370" s="11"/>
    </row>
    <row r="8371" spans="8:16" x14ac:dyDescent="0.25">
      <c r="H8371" s="12"/>
      <c r="I8371" s="12"/>
      <c r="J8371" s="12"/>
      <c r="K8371" s="12"/>
      <c r="L8371" s="12"/>
      <c r="M8371" s="11"/>
      <c r="N8371" s="11"/>
      <c r="O8371" s="11"/>
      <c r="P8371" s="11"/>
    </row>
    <row r="8372" spans="8:16" x14ac:dyDescent="0.25">
      <c r="H8372" s="12"/>
      <c r="I8372" s="12"/>
      <c r="J8372" s="12"/>
      <c r="K8372" s="12"/>
      <c r="L8372" s="12"/>
      <c r="M8372" s="11"/>
      <c r="N8372" s="11"/>
      <c r="O8372" s="11"/>
      <c r="P8372" s="11"/>
    </row>
    <row r="8373" spans="8:16" x14ac:dyDescent="0.25">
      <c r="H8373" s="12"/>
      <c r="I8373" s="12"/>
      <c r="J8373" s="12"/>
      <c r="K8373" s="12"/>
      <c r="L8373" s="12"/>
      <c r="M8373" s="11"/>
      <c r="N8373" s="11"/>
      <c r="O8373" s="11"/>
      <c r="P8373" s="11"/>
    </row>
    <row r="8374" spans="8:16" x14ac:dyDescent="0.25">
      <c r="H8374" s="12"/>
      <c r="I8374" s="12"/>
      <c r="J8374" s="12"/>
      <c r="K8374" s="12"/>
      <c r="L8374" s="12"/>
      <c r="M8374" s="11"/>
      <c r="N8374" s="11"/>
      <c r="O8374" s="11"/>
      <c r="P8374" s="11"/>
    </row>
    <row r="8375" spans="8:16" x14ac:dyDescent="0.25">
      <c r="H8375" s="12"/>
      <c r="I8375" s="12"/>
      <c r="J8375" s="12"/>
      <c r="K8375" s="12"/>
      <c r="L8375" s="12"/>
      <c r="M8375" s="11"/>
      <c r="N8375" s="11"/>
      <c r="O8375" s="11"/>
      <c r="P8375" s="11"/>
    </row>
    <row r="8376" spans="8:16" x14ac:dyDescent="0.25">
      <c r="H8376" s="12"/>
      <c r="I8376" s="12"/>
      <c r="J8376" s="12"/>
      <c r="K8376" s="12"/>
      <c r="L8376" s="12"/>
      <c r="M8376" s="11"/>
      <c r="N8376" s="11"/>
      <c r="O8376" s="11"/>
      <c r="P8376" s="11"/>
    </row>
    <row r="8377" spans="8:16" x14ac:dyDescent="0.25">
      <c r="H8377" s="12"/>
      <c r="I8377" s="12"/>
      <c r="J8377" s="12"/>
      <c r="K8377" s="12"/>
      <c r="L8377" s="12"/>
      <c r="M8377" s="11"/>
      <c r="N8377" s="11"/>
      <c r="O8377" s="11"/>
      <c r="P8377" s="11"/>
    </row>
    <row r="8378" spans="8:16" x14ac:dyDescent="0.25">
      <c r="H8378" s="12"/>
      <c r="I8378" s="12"/>
      <c r="J8378" s="12"/>
      <c r="K8378" s="12"/>
      <c r="L8378" s="12"/>
      <c r="M8378" s="11"/>
      <c r="N8378" s="11"/>
      <c r="O8378" s="11"/>
      <c r="P8378" s="11"/>
    </row>
    <row r="8379" spans="8:16" x14ac:dyDescent="0.25">
      <c r="H8379" s="12"/>
      <c r="I8379" s="12"/>
      <c r="J8379" s="12"/>
      <c r="K8379" s="12"/>
      <c r="L8379" s="12"/>
      <c r="M8379" s="11"/>
      <c r="N8379" s="11"/>
      <c r="O8379" s="11"/>
      <c r="P8379" s="11"/>
    </row>
    <row r="8380" spans="8:16" x14ac:dyDescent="0.25">
      <c r="H8380" s="12"/>
      <c r="I8380" s="12"/>
      <c r="J8380" s="12"/>
      <c r="K8380" s="12"/>
      <c r="L8380" s="12"/>
      <c r="M8380" s="11"/>
      <c r="N8380" s="11"/>
      <c r="O8380" s="11"/>
      <c r="P8380" s="11"/>
    </row>
    <row r="8381" spans="8:16" x14ac:dyDescent="0.25">
      <c r="H8381" s="12"/>
      <c r="I8381" s="12"/>
      <c r="J8381" s="12"/>
      <c r="K8381" s="12"/>
      <c r="L8381" s="12"/>
      <c r="M8381" s="11"/>
      <c r="N8381" s="11"/>
      <c r="O8381" s="11"/>
      <c r="P8381" s="11"/>
    </row>
    <row r="8382" spans="8:16" x14ac:dyDescent="0.25">
      <c r="H8382" s="12"/>
      <c r="I8382" s="12"/>
      <c r="J8382" s="12"/>
      <c r="K8382" s="12"/>
      <c r="L8382" s="12"/>
      <c r="M8382" s="11"/>
      <c r="N8382" s="11"/>
      <c r="O8382" s="11"/>
      <c r="P8382" s="11"/>
    </row>
    <row r="8383" spans="8:16" x14ac:dyDescent="0.25">
      <c r="H8383" s="12"/>
      <c r="I8383" s="12"/>
      <c r="J8383" s="12"/>
      <c r="K8383" s="12"/>
      <c r="L8383" s="12"/>
      <c r="M8383" s="11"/>
      <c r="N8383" s="11"/>
      <c r="O8383" s="11"/>
      <c r="P8383" s="11"/>
    </row>
    <row r="8384" spans="8:16" x14ac:dyDescent="0.25">
      <c r="H8384" s="12"/>
      <c r="I8384" s="12"/>
      <c r="J8384" s="12"/>
      <c r="K8384" s="12"/>
      <c r="L8384" s="12"/>
      <c r="M8384" s="11"/>
      <c r="N8384" s="11"/>
      <c r="O8384" s="11"/>
      <c r="P8384" s="11"/>
    </row>
    <row r="8385" spans="8:16" x14ac:dyDescent="0.25">
      <c r="H8385" s="12"/>
      <c r="I8385" s="12"/>
      <c r="J8385" s="12"/>
      <c r="K8385" s="12"/>
      <c r="L8385" s="12"/>
      <c r="M8385" s="11"/>
      <c r="N8385" s="11"/>
      <c r="O8385" s="11"/>
      <c r="P8385" s="11"/>
    </row>
    <row r="8386" spans="8:16" x14ac:dyDescent="0.25">
      <c r="H8386" s="12"/>
      <c r="I8386" s="12"/>
      <c r="J8386" s="12"/>
      <c r="K8386" s="12"/>
      <c r="L8386" s="12"/>
      <c r="M8386" s="11"/>
      <c r="N8386" s="11"/>
      <c r="O8386" s="11"/>
      <c r="P8386" s="11"/>
    </row>
    <row r="8387" spans="8:16" x14ac:dyDescent="0.25">
      <c r="H8387" s="12"/>
      <c r="I8387" s="12"/>
      <c r="J8387" s="12"/>
      <c r="K8387" s="12"/>
      <c r="L8387" s="12"/>
      <c r="M8387" s="11"/>
      <c r="N8387" s="11"/>
      <c r="O8387" s="11"/>
      <c r="P8387" s="11"/>
    </row>
    <row r="8388" spans="8:16" x14ac:dyDescent="0.25">
      <c r="H8388" s="12"/>
      <c r="I8388" s="12"/>
      <c r="J8388" s="12"/>
      <c r="K8388" s="12"/>
      <c r="L8388" s="12"/>
      <c r="M8388" s="11"/>
      <c r="N8388" s="11"/>
      <c r="O8388" s="11"/>
      <c r="P8388" s="11"/>
    </row>
    <row r="8389" spans="8:16" x14ac:dyDescent="0.25">
      <c r="H8389" s="12"/>
      <c r="I8389" s="12"/>
      <c r="J8389" s="12"/>
      <c r="K8389" s="12"/>
      <c r="L8389" s="12"/>
      <c r="M8389" s="11"/>
      <c r="N8389" s="11"/>
      <c r="O8389" s="11"/>
      <c r="P8389" s="11"/>
    </row>
    <row r="8390" spans="8:16" x14ac:dyDescent="0.25">
      <c r="H8390" s="12"/>
      <c r="I8390" s="12"/>
      <c r="J8390" s="12"/>
      <c r="K8390" s="12"/>
      <c r="L8390" s="12"/>
      <c r="M8390" s="11"/>
      <c r="N8390" s="11"/>
      <c r="O8390" s="11"/>
      <c r="P8390" s="11"/>
    </row>
    <row r="8391" spans="8:16" x14ac:dyDescent="0.25">
      <c r="H8391" s="12"/>
      <c r="I8391" s="12"/>
      <c r="J8391" s="12"/>
      <c r="K8391" s="12"/>
      <c r="L8391" s="12"/>
      <c r="M8391" s="11"/>
      <c r="N8391" s="11"/>
      <c r="O8391" s="11"/>
      <c r="P8391" s="11"/>
    </row>
    <row r="8392" spans="8:16" x14ac:dyDescent="0.25">
      <c r="H8392" s="12"/>
      <c r="I8392" s="12"/>
      <c r="J8392" s="12"/>
      <c r="K8392" s="12"/>
      <c r="L8392" s="12"/>
      <c r="M8392" s="11"/>
      <c r="N8392" s="11"/>
      <c r="O8392" s="11"/>
      <c r="P8392" s="11"/>
    </row>
    <row r="8393" spans="8:16" x14ac:dyDescent="0.25">
      <c r="H8393" s="12"/>
      <c r="I8393" s="12"/>
      <c r="J8393" s="12"/>
      <c r="K8393" s="12"/>
      <c r="L8393" s="12"/>
      <c r="M8393" s="11"/>
      <c r="N8393" s="11"/>
      <c r="O8393" s="11"/>
      <c r="P8393" s="11"/>
    </row>
    <row r="8394" spans="8:16" x14ac:dyDescent="0.25">
      <c r="H8394" s="12"/>
      <c r="I8394" s="12"/>
      <c r="J8394" s="12"/>
      <c r="K8394" s="12"/>
      <c r="L8394" s="12"/>
      <c r="M8394" s="11"/>
      <c r="N8394" s="11"/>
      <c r="O8394" s="11"/>
      <c r="P8394" s="11"/>
    </row>
    <row r="8395" spans="8:16" x14ac:dyDescent="0.25">
      <c r="H8395" s="12"/>
      <c r="I8395" s="12"/>
      <c r="J8395" s="12"/>
      <c r="K8395" s="12"/>
      <c r="L8395" s="12"/>
      <c r="M8395" s="11"/>
      <c r="N8395" s="11"/>
      <c r="O8395" s="11"/>
      <c r="P8395" s="11"/>
    </row>
    <row r="8396" spans="8:16" x14ac:dyDescent="0.25">
      <c r="H8396" s="12"/>
      <c r="I8396" s="12"/>
      <c r="J8396" s="12"/>
      <c r="K8396" s="12"/>
      <c r="L8396" s="12"/>
      <c r="M8396" s="11"/>
      <c r="N8396" s="11"/>
      <c r="O8396" s="11"/>
      <c r="P8396" s="11"/>
    </row>
    <row r="8397" spans="8:16" x14ac:dyDescent="0.25">
      <c r="H8397" s="12"/>
      <c r="I8397" s="12"/>
      <c r="J8397" s="12"/>
      <c r="K8397" s="12"/>
      <c r="L8397" s="12"/>
      <c r="M8397" s="11"/>
      <c r="N8397" s="11"/>
      <c r="O8397" s="11"/>
      <c r="P8397" s="11"/>
    </row>
    <row r="8398" spans="8:16" x14ac:dyDescent="0.25">
      <c r="H8398" s="12"/>
      <c r="I8398" s="12"/>
      <c r="J8398" s="12"/>
      <c r="K8398" s="12"/>
      <c r="L8398" s="12"/>
      <c r="M8398" s="11"/>
      <c r="N8398" s="11"/>
      <c r="O8398" s="11"/>
      <c r="P8398" s="11"/>
    </row>
    <row r="8399" spans="8:16" x14ac:dyDescent="0.25">
      <c r="H8399" s="12"/>
      <c r="I8399" s="12"/>
      <c r="J8399" s="12"/>
      <c r="K8399" s="12"/>
      <c r="L8399" s="12"/>
      <c r="M8399" s="11"/>
      <c r="N8399" s="11"/>
      <c r="O8399" s="11"/>
      <c r="P8399" s="11"/>
    </row>
    <row r="8400" spans="8:16" x14ac:dyDescent="0.25">
      <c r="H8400" s="12"/>
      <c r="I8400" s="12"/>
      <c r="J8400" s="12"/>
      <c r="K8400" s="12"/>
      <c r="L8400" s="12"/>
      <c r="M8400" s="11"/>
      <c r="N8400" s="11"/>
      <c r="O8400" s="11"/>
      <c r="P8400" s="11"/>
    </row>
    <row r="8401" spans="8:16" x14ac:dyDescent="0.25">
      <c r="H8401" s="12"/>
      <c r="I8401" s="12"/>
      <c r="J8401" s="12"/>
      <c r="K8401" s="12"/>
      <c r="L8401" s="12"/>
      <c r="M8401" s="11"/>
      <c r="N8401" s="11"/>
      <c r="O8401" s="11"/>
      <c r="P8401" s="11"/>
    </row>
    <row r="8402" spans="8:16" x14ac:dyDescent="0.25">
      <c r="H8402" s="12"/>
      <c r="I8402" s="12"/>
      <c r="J8402" s="12"/>
      <c r="K8402" s="12"/>
      <c r="L8402" s="12"/>
      <c r="M8402" s="11"/>
      <c r="N8402" s="11"/>
      <c r="O8402" s="11"/>
      <c r="P8402" s="11"/>
    </row>
    <row r="8403" spans="8:16" x14ac:dyDescent="0.25">
      <c r="H8403" s="12"/>
      <c r="I8403" s="12"/>
      <c r="J8403" s="12"/>
      <c r="K8403" s="12"/>
      <c r="L8403" s="12"/>
      <c r="M8403" s="11"/>
      <c r="N8403" s="11"/>
      <c r="O8403" s="11"/>
      <c r="P8403" s="11"/>
    </row>
    <row r="8404" spans="8:16" x14ac:dyDescent="0.25">
      <c r="H8404" s="12"/>
      <c r="I8404" s="12"/>
      <c r="J8404" s="12"/>
      <c r="K8404" s="12"/>
      <c r="L8404" s="12"/>
      <c r="M8404" s="11"/>
      <c r="N8404" s="11"/>
      <c r="O8404" s="11"/>
      <c r="P8404" s="11"/>
    </row>
    <row r="8405" spans="8:16" x14ac:dyDescent="0.25">
      <c r="H8405" s="12"/>
      <c r="I8405" s="12"/>
      <c r="J8405" s="12"/>
      <c r="K8405" s="12"/>
      <c r="L8405" s="12"/>
      <c r="M8405" s="11"/>
      <c r="N8405" s="11"/>
      <c r="O8405" s="11"/>
      <c r="P8405" s="11"/>
    </row>
    <row r="8406" spans="8:16" x14ac:dyDescent="0.25">
      <c r="H8406" s="12"/>
      <c r="I8406" s="12"/>
      <c r="J8406" s="12"/>
      <c r="K8406" s="12"/>
      <c r="L8406" s="12"/>
      <c r="M8406" s="11"/>
      <c r="N8406" s="11"/>
      <c r="O8406" s="11"/>
      <c r="P8406" s="11"/>
    </row>
    <row r="8407" spans="8:16" x14ac:dyDescent="0.25">
      <c r="H8407" s="12"/>
      <c r="I8407" s="12"/>
      <c r="J8407" s="12"/>
      <c r="K8407" s="12"/>
      <c r="L8407" s="12"/>
      <c r="M8407" s="11"/>
      <c r="N8407" s="11"/>
      <c r="O8407" s="11"/>
      <c r="P8407" s="11"/>
    </row>
    <row r="8408" spans="8:16" x14ac:dyDescent="0.25">
      <c r="H8408" s="12"/>
      <c r="I8408" s="12"/>
      <c r="J8408" s="12"/>
      <c r="K8408" s="12"/>
      <c r="L8408" s="12"/>
      <c r="M8408" s="11"/>
      <c r="N8408" s="11"/>
      <c r="O8408" s="11"/>
      <c r="P8408" s="11"/>
    </row>
    <row r="8409" spans="8:16" x14ac:dyDescent="0.25">
      <c r="H8409" s="12"/>
      <c r="I8409" s="12"/>
      <c r="J8409" s="12"/>
      <c r="K8409" s="12"/>
      <c r="L8409" s="12"/>
      <c r="M8409" s="11"/>
      <c r="N8409" s="11"/>
      <c r="O8409" s="11"/>
      <c r="P8409" s="11"/>
    </row>
    <row r="8410" spans="8:16" x14ac:dyDescent="0.25">
      <c r="H8410" s="12"/>
      <c r="I8410" s="12"/>
      <c r="J8410" s="12"/>
      <c r="K8410" s="12"/>
      <c r="L8410" s="12"/>
      <c r="M8410" s="11"/>
      <c r="N8410" s="11"/>
      <c r="O8410" s="11"/>
      <c r="P8410" s="11"/>
    </row>
    <row r="8411" spans="8:16" x14ac:dyDescent="0.25">
      <c r="H8411" s="12"/>
      <c r="I8411" s="12"/>
      <c r="J8411" s="12"/>
      <c r="K8411" s="12"/>
      <c r="L8411" s="12"/>
      <c r="M8411" s="11"/>
      <c r="N8411" s="11"/>
      <c r="O8411" s="11"/>
      <c r="P8411" s="11"/>
    </row>
    <row r="8412" spans="8:16" x14ac:dyDescent="0.25">
      <c r="H8412" s="12"/>
      <c r="I8412" s="12"/>
      <c r="J8412" s="12"/>
      <c r="K8412" s="12"/>
      <c r="L8412" s="12"/>
      <c r="M8412" s="11"/>
      <c r="N8412" s="11"/>
      <c r="O8412" s="11"/>
      <c r="P8412" s="11"/>
    </row>
    <row r="8413" spans="8:16" x14ac:dyDescent="0.25">
      <c r="H8413" s="12"/>
      <c r="I8413" s="12"/>
      <c r="J8413" s="12"/>
      <c r="K8413" s="12"/>
      <c r="L8413" s="12"/>
      <c r="M8413" s="11"/>
      <c r="N8413" s="11"/>
      <c r="O8413" s="11"/>
      <c r="P8413" s="11"/>
    </row>
    <row r="8414" spans="8:16" x14ac:dyDescent="0.25">
      <c r="H8414" s="12"/>
      <c r="I8414" s="12"/>
      <c r="J8414" s="12"/>
      <c r="K8414" s="12"/>
      <c r="L8414" s="12"/>
      <c r="M8414" s="11"/>
      <c r="N8414" s="11"/>
      <c r="O8414" s="11"/>
      <c r="P8414" s="11"/>
    </row>
    <row r="8415" spans="8:16" x14ac:dyDescent="0.25">
      <c r="H8415" s="12"/>
      <c r="I8415" s="12"/>
      <c r="J8415" s="12"/>
      <c r="K8415" s="12"/>
      <c r="L8415" s="12"/>
      <c r="M8415" s="11"/>
      <c r="N8415" s="11"/>
      <c r="O8415" s="11"/>
      <c r="P8415" s="11"/>
    </row>
    <row r="8416" spans="8:16" x14ac:dyDescent="0.25">
      <c r="H8416" s="12"/>
      <c r="I8416" s="12"/>
      <c r="J8416" s="12"/>
      <c r="K8416" s="12"/>
      <c r="L8416" s="12"/>
      <c r="M8416" s="11"/>
      <c r="N8416" s="11"/>
      <c r="O8416" s="11"/>
      <c r="P8416" s="11"/>
    </row>
    <row r="8417" spans="8:16" x14ac:dyDescent="0.25">
      <c r="H8417" s="12"/>
      <c r="I8417" s="12"/>
      <c r="J8417" s="12"/>
      <c r="K8417" s="12"/>
      <c r="L8417" s="12"/>
      <c r="M8417" s="11"/>
      <c r="N8417" s="11"/>
      <c r="O8417" s="11"/>
      <c r="P8417" s="11"/>
    </row>
    <row r="8418" spans="8:16" x14ac:dyDescent="0.25">
      <c r="H8418" s="12"/>
      <c r="I8418" s="12"/>
      <c r="J8418" s="12"/>
      <c r="K8418" s="12"/>
      <c r="L8418" s="12"/>
      <c r="M8418" s="11"/>
      <c r="N8418" s="11"/>
      <c r="O8418" s="11"/>
      <c r="P8418" s="11"/>
    </row>
    <row r="8419" spans="8:16" x14ac:dyDescent="0.25">
      <c r="H8419" s="12"/>
      <c r="I8419" s="12"/>
      <c r="J8419" s="12"/>
      <c r="K8419" s="12"/>
      <c r="L8419" s="12"/>
      <c r="M8419" s="11"/>
      <c r="N8419" s="11"/>
      <c r="O8419" s="11"/>
      <c r="P8419" s="11"/>
    </row>
    <row r="8420" spans="8:16" x14ac:dyDescent="0.25">
      <c r="H8420" s="12"/>
      <c r="I8420" s="12"/>
      <c r="J8420" s="12"/>
      <c r="K8420" s="12"/>
      <c r="L8420" s="12"/>
      <c r="M8420" s="11"/>
      <c r="N8420" s="11"/>
      <c r="O8420" s="11"/>
      <c r="P8420" s="11"/>
    </row>
    <row r="8421" spans="8:16" x14ac:dyDescent="0.25">
      <c r="H8421" s="12"/>
      <c r="I8421" s="12"/>
      <c r="J8421" s="12"/>
      <c r="K8421" s="12"/>
      <c r="L8421" s="12"/>
      <c r="M8421" s="11"/>
      <c r="N8421" s="11"/>
      <c r="O8421" s="11"/>
      <c r="P8421" s="11"/>
    </row>
    <row r="8422" spans="8:16" x14ac:dyDescent="0.25">
      <c r="H8422" s="12"/>
      <c r="I8422" s="12"/>
      <c r="J8422" s="12"/>
      <c r="K8422" s="12"/>
      <c r="L8422" s="12"/>
      <c r="M8422" s="11"/>
      <c r="N8422" s="11"/>
      <c r="O8422" s="11"/>
      <c r="P8422" s="11"/>
    </row>
    <row r="8423" spans="8:16" x14ac:dyDescent="0.25">
      <c r="H8423" s="12"/>
      <c r="I8423" s="12"/>
      <c r="J8423" s="12"/>
      <c r="K8423" s="12"/>
      <c r="L8423" s="12"/>
      <c r="M8423" s="11"/>
      <c r="N8423" s="11"/>
      <c r="O8423" s="11"/>
      <c r="P8423" s="11"/>
    </row>
    <row r="8424" spans="8:16" x14ac:dyDescent="0.25">
      <c r="H8424" s="12"/>
      <c r="I8424" s="12"/>
      <c r="J8424" s="12"/>
      <c r="K8424" s="12"/>
      <c r="L8424" s="12"/>
      <c r="M8424" s="11"/>
      <c r="N8424" s="11"/>
      <c r="O8424" s="11"/>
      <c r="P8424" s="11"/>
    </row>
    <row r="8425" spans="8:16" x14ac:dyDescent="0.25">
      <c r="H8425" s="12"/>
      <c r="I8425" s="12"/>
      <c r="J8425" s="12"/>
      <c r="K8425" s="12"/>
      <c r="L8425" s="12"/>
      <c r="M8425" s="11"/>
      <c r="N8425" s="11"/>
      <c r="O8425" s="11"/>
      <c r="P8425" s="11"/>
    </row>
    <row r="8426" spans="8:16" x14ac:dyDescent="0.25">
      <c r="H8426" s="12"/>
      <c r="I8426" s="12"/>
      <c r="J8426" s="12"/>
      <c r="K8426" s="12"/>
      <c r="L8426" s="12"/>
      <c r="M8426" s="11"/>
      <c r="N8426" s="11"/>
      <c r="O8426" s="11"/>
      <c r="P8426" s="11"/>
    </row>
    <row r="8427" spans="8:16" x14ac:dyDescent="0.25">
      <c r="H8427" s="12"/>
      <c r="I8427" s="12"/>
      <c r="J8427" s="12"/>
      <c r="K8427" s="12"/>
      <c r="L8427" s="12"/>
      <c r="M8427" s="11"/>
      <c r="N8427" s="11"/>
      <c r="O8427" s="11"/>
      <c r="P8427" s="11"/>
    </row>
    <row r="8428" spans="8:16" x14ac:dyDescent="0.25">
      <c r="H8428" s="12"/>
      <c r="I8428" s="12"/>
      <c r="J8428" s="12"/>
      <c r="K8428" s="12"/>
      <c r="L8428" s="12"/>
      <c r="M8428" s="11"/>
      <c r="N8428" s="11"/>
      <c r="O8428" s="11"/>
      <c r="P8428" s="11"/>
    </row>
    <row r="8429" spans="8:16" x14ac:dyDescent="0.25">
      <c r="H8429" s="12"/>
      <c r="I8429" s="12"/>
      <c r="J8429" s="12"/>
      <c r="K8429" s="12"/>
      <c r="L8429" s="12"/>
      <c r="M8429" s="11"/>
      <c r="N8429" s="11"/>
      <c r="O8429" s="11"/>
      <c r="P8429" s="11"/>
    </row>
    <row r="8430" spans="8:16" x14ac:dyDescent="0.25">
      <c r="H8430" s="12"/>
      <c r="I8430" s="12"/>
      <c r="J8430" s="12"/>
      <c r="K8430" s="12"/>
      <c r="L8430" s="12"/>
      <c r="M8430" s="11"/>
      <c r="N8430" s="11"/>
      <c r="O8430" s="11"/>
      <c r="P8430" s="11"/>
    </row>
    <row r="8431" spans="8:16" x14ac:dyDescent="0.25">
      <c r="H8431" s="12"/>
      <c r="I8431" s="12"/>
      <c r="J8431" s="12"/>
      <c r="K8431" s="12"/>
      <c r="L8431" s="12"/>
      <c r="M8431" s="11"/>
      <c r="N8431" s="11"/>
      <c r="O8431" s="11"/>
      <c r="P8431" s="11"/>
    </row>
    <row r="8432" spans="8:16" x14ac:dyDescent="0.25">
      <c r="H8432" s="12"/>
      <c r="I8432" s="12"/>
      <c r="J8432" s="12"/>
      <c r="K8432" s="12"/>
      <c r="L8432" s="12"/>
      <c r="M8432" s="11"/>
      <c r="N8432" s="11"/>
      <c r="O8432" s="11"/>
      <c r="P8432" s="11"/>
    </row>
    <row r="8433" spans="8:16" x14ac:dyDescent="0.25">
      <c r="H8433" s="12"/>
      <c r="I8433" s="12"/>
      <c r="J8433" s="12"/>
      <c r="K8433" s="12"/>
      <c r="L8433" s="12"/>
      <c r="M8433" s="11"/>
      <c r="N8433" s="11"/>
      <c r="O8433" s="11"/>
      <c r="P8433" s="11"/>
    </row>
    <row r="8434" spans="8:16" x14ac:dyDescent="0.25">
      <c r="H8434" s="12"/>
      <c r="I8434" s="12"/>
      <c r="J8434" s="12"/>
      <c r="K8434" s="12"/>
      <c r="L8434" s="12"/>
      <c r="M8434" s="11"/>
      <c r="N8434" s="11"/>
      <c r="O8434" s="11"/>
      <c r="P8434" s="11"/>
    </row>
    <row r="8435" spans="8:16" x14ac:dyDescent="0.25">
      <c r="H8435" s="12"/>
      <c r="I8435" s="12"/>
      <c r="J8435" s="12"/>
      <c r="K8435" s="12"/>
      <c r="L8435" s="12"/>
      <c r="M8435" s="11"/>
      <c r="N8435" s="11"/>
      <c r="O8435" s="11"/>
      <c r="P8435" s="11"/>
    </row>
    <row r="8436" spans="8:16" x14ac:dyDescent="0.25">
      <c r="H8436" s="12"/>
      <c r="I8436" s="12"/>
      <c r="J8436" s="12"/>
      <c r="K8436" s="12"/>
      <c r="L8436" s="12"/>
      <c r="M8436" s="11"/>
      <c r="N8436" s="11"/>
      <c r="O8436" s="11"/>
      <c r="P8436" s="11"/>
    </row>
    <row r="8437" spans="8:16" x14ac:dyDescent="0.25">
      <c r="H8437" s="12"/>
      <c r="I8437" s="12"/>
      <c r="J8437" s="12"/>
      <c r="K8437" s="12"/>
      <c r="L8437" s="12"/>
      <c r="M8437" s="11"/>
      <c r="N8437" s="11"/>
      <c r="O8437" s="11"/>
      <c r="P8437" s="11"/>
    </row>
    <row r="8438" spans="8:16" x14ac:dyDescent="0.25">
      <c r="H8438" s="12"/>
      <c r="I8438" s="12"/>
      <c r="J8438" s="12"/>
      <c r="K8438" s="12"/>
      <c r="L8438" s="12"/>
      <c r="M8438" s="11"/>
      <c r="N8438" s="11"/>
      <c r="O8438" s="11"/>
      <c r="P8438" s="11"/>
    </row>
    <row r="8439" spans="8:16" x14ac:dyDescent="0.25">
      <c r="H8439" s="12"/>
      <c r="I8439" s="12"/>
      <c r="J8439" s="12"/>
      <c r="K8439" s="12"/>
      <c r="L8439" s="12"/>
      <c r="M8439" s="11"/>
      <c r="N8439" s="11"/>
      <c r="O8439" s="11"/>
      <c r="P8439" s="11"/>
    </row>
    <row r="8440" spans="8:16" x14ac:dyDescent="0.25">
      <c r="H8440" s="12"/>
      <c r="I8440" s="12"/>
      <c r="J8440" s="12"/>
      <c r="K8440" s="12"/>
      <c r="L8440" s="12"/>
      <c r="M8440" s="11"/>
      <c r="N8440" s="11"/>
      <c r="O8440" s="11"/>
      <c r="P8440" s="11"/>
    </row>
    <row r="8441" spans="8:16" x14ac:dyDescent="0.25">
      <c r="H8441" s="12"/>
      <c r="I8441" s="12"/>
      <c r="J8441" s="12"/>
      <c r="K8441" s="12"/>
      <c r="L8441" s="12"/>
      <c r="M8441" s="11"/>
      <c r="N8441" s="11"/>
      <c r="O8441" s="11"/>
      <c r="P8441" s="11"/>
    </row>
    <row r="8442" spans="8:16" x14ac:dyDescent="0.25">
      <c r="H8442" s="12"/>
      <c r="I8442" s="12"/>
      <c r="J8442" s="12"/>
      <c r="K8442" s="12"/>
      <c r="L8442" s="12"/>
      <c r="M8442" s="11"/>
      <c r="N8442" s="11"/>
      <c r="O8442" s="11"/>
      <c r="P8442" s="11"/>
    </row>
    <row r="8443" spans="8:16" x14ac:dyDescent="0.25">
      <c r="H8443" s="12"/>
      <c r="I8443" s="12"/>
      <c r="J8443" s="12"/>
      <c r="K8443" s="12"/>
      <c r="L8443" s="12"/>
      <c r="M8443" s="11"/>
      <c r="N8443" s="11"/>
      <c r="O8443" s="11"/>
      <c r="P8443" s="11"/>
    </row>
    <row r="8444" spans="8:16" x14ac:dyDescent="0.25">
      <c r="H8444" s="12"/>
      <c r="I8444" s="12"/>
      <c r="J8444" s="12"/>
      <c r="K8444" s="12"/>
      <c r="L8444" s="12"/>
      <c r="M8444" s="11"/>
      <c r="N8444" s="11"/>
      <c r="O8444" s="11"/>
      <c r="P8444" s="11"/>
    </row>
    <row r="8445" spans="8:16" x14ac:dyDescent="0.25">
      <c r="H8445" s="12"/>
      <c r="I8445" s="12"/>
      <c r="J8445" s="12"/>
      <c r="K8445" s="12"/>
      <c r="L8445" s="12"/>
      <c r="M8445" s="11"/>
      <c r="N8445" s="11"/>
      <c r="O8445" s="11"/>
      <c r="P8445" s="11"/>
    </row>
    <row r="8446" spans="8:16" x14ac:dyDescent="0.25">
      <c r="H8446" s="12"/>
      <c r="I8446" s="12"/>
      <c r="J8446" s="12"/>
      <c r="K8446" s="12"/>
      <c r="L8446" s="12"/>
      <c r="M8446" s="11"/>
      <c r="N8446" s="11"/>
      <c r="O8446" s="11"/>
      <c r="P8446" s="11"/>
    </row>
    <row r="8447" spans="8:16" x14ac:dyDescent="0.25">
      <c r="H8447" s="12"/>
      <c r="I8447" s="12"/>
      <c r="J8447" s="12"/>
      <c r="K8447" s="12"/>
      <c r="L8447" s="12"/>
      <c r="M8447" s="11"/>
      <c r="N8447" s="11"/>
      <c r="O8447" s="11"/>
      <c r="P8447" s="11"/>
    </row>
    <row r="8448" spans="8:16" x14ac:dyDescent="0.25">
      <c r="H8448" s="12"/>
      <c r="I8448" s="12"/>
      <c r="J8448" s="12"/>
      <c r="K8448" s="12"/>
      <c r="L8448" s="12"/>
      <c r="M8448" s="11"/>
      <c r="N8448" s="11"/>
      <c r="O8448" s="11"/>
      <c r="P8448" s="11"/>
    </row>
    <row r="8449" spans="8:16" x14ac:dyDescent="0.25">
      <c r="H8449" s="12"/>
      <c r="I8449" s="12"/>
      <c r="J8449" s="12"/>
      <c r="K8449" s="12"/>
      <c r="L8449" s="12"/>
      <c r="M8449" s="11"/>
      <c r="N8449" s="11"/>
      <c r="O8449" s="11"/>
      <c r="P8449" s="11"/>
    </row>
    <row r="8450" spans="8:16" x14ac:dyDescent="0.25">
      <c r="H8450" s="12"/>
      <c r="I8450" s="12"/>
      <c r="J8450" s="12"/>
      <c r="K8450" s="12"/>
      <c r="L8450" s="12"/>
      <c r="M8450" s="11"/>
      <c r="N8450" s="11"/>
      <c r="O8450" s="11"/>
      <c r="P8450" s="11"/>
    </row>
    <row r="8451" spans="8:16" x14ac:dyDescent="0.25">
      <c r="H8451" s="12"/>
      <c r="I8451" s="12"/>
      <c r="J8451" s="12"/>
      <c r="K8451" s="12"/>
      <c r="L8451" s="12"/>
      <c r="M8451" s="11"/>
      <c r="N8451" s="11"/>
      <c r="O8451" s="11"/>
      <c r="P8451" s="11"/>
    </row>
    <row r="8452" spans="8:16" x14ac:dyDescent="0.25">
      <c r="H8452" s="12"/>
      <c r="I8452" s="12"/>
      <c r="J8452" s="12"/>
      <c r="K8452" s="12"/>
      <c r="L8452" s="12"/>
      <c r="M8452" s="11"/>
      <c r="N8452" s="11"/>
      <c r="O8452" s="11"/>
      <c r="P8452" s="11"/>
    </row>
    <row r="8453" spans="8:16" x14ac:dyDescent="0.25">
      <c r="H8453" s="12"/>
      <c r="I8453" s="12"/>
      <c r="J8453" s="12"/>
      <c r="K8453" s="12"/>
      <c r="L8453" s="12"/>
      <c r="M8453" s="11"/>
      <c r="N8453" s="11"/>
      <c r="O8453" s="11"/>
      <c r="P8453" s="11"/>
    </row>
    <row r="8454" spans="8:16" x14ac:dyDescent="0.25">
      <c r="H8454" s="12"/>
      <c r="I8454" s="12"/>
      <c r="J8454" s="12"/>
      <c r="K8454" s="12"/>
      <c r="L8454" s="12"/>
      <c r="M8454" s="11"/>
      <c r="N8454" s="11"/>
      <c r="O8454" s="11"/>
      <c r="P8454" s="11"/>
    </row>
    <row r="8455" spans="8:16" x14ac:dyDescent="0.25">
      <c r="H8455" s="12"/>
      <c r="I8455" s="12"/>
      <c r="J8455" s="12"/>
      <c r="K8455" s="12"/>
      <c r="L8455" s="12"/>
      <c r="M8455" s="11"/>
      <c r="N8455" s="11"/>
      <c r="O8455" s="11"/>
      <c r="P8455" s="11"/>
    </row>
    <row r="8456" spans="8:16" x14ac:dyDescent="0.25">
      <c r="H8456" s="12"/>
      <c r="I8456" s="12"/>
      <c r="J8456" s="12"/>
      <c r="K8456" s="12"/>
      <c r="L8456" s="12"/>
      <c r="M8456" s="11"/>
      <c r="N8456" s="11"/>
      <c r="O8456" s="11"/>
      <c r="P8456" s="11"/>
    </row>
    <row r="8457" spans="8:16" x14ac:dyDescent="0.25">
      <c r="H8457" s="12"/>
      <c r="I8457" s="12"/>
      <c r="J8457" s="12"/>
      <c r="K8457" s="12"/>
      <c r="L8457" s="12"/>
      <c r="M8457" s="11"/>
      <c r="N8457" s="11"/>
      <c r="O8457" s="11"/>
      <c r="P8457" s="11"/>
    </row>
    <row r="8458" spans="8:16" x14ac:dyDescent="0.25">
      <c r="H8458" s="12"/>
      <c r="I8458" s="12"/>
      <c r="J8458" s="12"/>
      <c r="K8458" s="12"/>
      <c r="L8458" s="12"/>
      <c r="M8458" s="11"/>
      <c r="N8458" s="11"/>
      <c r="O8458" s="11"/>
      <c r="P8458" s="11"/>
    </row>
    <row r="8459" spans="8:16" x14ac:dyDescent="0.25">
      <c r="H8459" s="12"/>
      <c r="I8459" s="12"/>
      <c r="J8459" s="12"/>
      <c r="K8459" s="12"/>
      <c r="L8459" s="12"/>
      <c r="M8459" s="11"/>
      <c r="N8459" s="11"/>
      <c r="O8459" s="11"/>
      <c r="P8459" s="11"/>
    </row>
    <row r="8460" spans="8:16" x14ac:dyDescent="0.25">
      <c r="H8460" s="12"/>
      <c r="I8460" s="12"/>
      <c r="J8460" s="12"/>
      <c r="K8460" s="12"/>
      <c r="L8460" s="12"/>
      <c r="M8460" s="11"/>
      <c r="N8460" s="11"/>
      <c r="O8460" s="11"/>
      <c r="P8460" s="11"/>
    </row>
    <row r="8461" spans="8:16" x14ac:dyDescent="0.25">
      <c r="H8461" s="12"/>
      <c r="I8461" s="12"/>
      <c r="J8461" s="12"/>
      <c r="K8461" s="12"/>
      <c r="L8461" s="12"/>
      <c r="M8461" s="11"/>
      <c r="N8461" s="11"/>
      <c r="O8461" s="11"/>
      <c r="P8461" s="11"/>
    </row>
    <row r="8462" spans="8:16" x14ac:dyDescent="0.25">
      <c r="H8462" s="12"/>
      <c r="I8462" s="12"/>
      <c r="J8462" s="12"/>
      <c r="K8462" s="12"/>
      <c r="L8462" s="12"/>
      <c r="M8462" s="11"/>
      <c r="N8462" s="11"/>
      <c r="O8462" s="11"/>
      <c r="P8462" s="11"/>
    </row>
    <row r="8463" spans="8:16" x14ac:dyDescent="0.25">
      <c r="H8463" s="12"/>
      <c r="I8463" s="12"/>
      <c r="J8463" s="12"/>
      <c r="K8463" s="12"/>
      <c r="L8463" s="12"/>
      <c r="M8463" s="11"/>
      <c r="N8463" s="11"/>
      <c r="O8463" s="11"/>
      <c r="P8463" s="11"/>
    </row>
    <row r="8464" spans="8:16" x14ac:dyDescent="0.25">
      <c r="H8464" s="12"/>
      <c r="I8464" s="12"/>
      <c r="J8464" s="12"/>
      <c r="K8464" s="12"/>
      <c r="L8464" s="12"/>
      <c r="M8464" s="11"/>
      <c r="N8464" s="11"/>
      <c r="O8464" s="11"/>
      <c r="P8464" s="11"/>
    </row>
    <row r="8465" spans="8:16" x14ac:dyDescent="0.25">
      <c r="H8465" s="12"/>
      <c r="I8465" s="12"/>
      <c r="J8465" s="12"/>
      <c r="K8465" s="12"/>
      <c r="L8465" s="12"/>
      <c r="M8465" s="11"/>
      <c r="N8465" s="11"/>
      <c r="O8465" s="11"/>
      <c r="P8465" s="11"/>
    </row>
    <row r="8466" spans="8:16" x14ac:dyDescent="0.25">
      <c r="H8466" s="12"/>
      <c r="I8466" s="12"/>
      <c r="J8466" s="12"/>
      <c r="K8466" s="12"/>
      <c r="L8466" s="12"/>
      <c r="M8466" s="11"/>
      <c r="N8466" s="11"/>
      <c r="O8466" s="11"/>
      <c r="P8466" s="11"/>
    </row>
    <row r="8467" spans="8:16" x14ac:dyDescent="0.25">
      <c r="H8467" s="12"/>
      <c r="I8467" s="12"/>
      <c r="J8467" s="12"/>
      <c r="K8467" s="12"/>
      <c r="L8467" s="12"/>
      <c r="M8467" s="11"/>
      <c r="N8467" s="11"/>
      <c r="O8467" s="11"/>
      <c r="P8467" s="11"/>
    </row>
    <row r="8468" spans="8:16" x14ac:dyDescent="0.25">
      <c r="H8468" s="12"/>
      <c r="I8468" s="12"/>
      <c r="J8468" s="12"/>
      <c r="K8468" s="12"/>
      <c r="L8468" s="12"/>
      <c r="M8468" s="11"/>
      <c r="N8468" s="11"/>
      <c r="O8468" s="11"/>
      <c r="P8468" s="11"/>
    </row>
    <row r="8469" spans="8:16" x14ac:dyDescent="0.25">
      <c r="H8469" s="12"/>
      <c r="I8469" s="12"/>
      <c r="J8469" s="12"/>
      <c r="K8469" s="12"/>
      <c r="L8469" s="12"/>
      <c r="M8469" s="11"/>
      <c r="N8469" s="11"/>
      <c r="O8469" s="11"/>
      <c r="P8469" s="11"/>
    </row>
    <row r="8470" spans="8:16" x14ac:dyDescent="0.25">
      <c r="H8470" s="12"/>
      <c r="I8470" s="12"/>
      <c r="J8470" s="12"/>
      <c r="K8470" s="12"/>
      <c r="L8470" s="12"/>
      <c r="M8470" s="11"/>
      <c r="N8470" s="11"/>
      <c r="O8470" s="11"/>
      <c r="P8470" s="11"/>
    </row>
    <row r="8471" spans="8:16" x14ac:dyDescent="0.25">
      <c r="H8471" s="12"/>
      <c r="I8471" s="12"/>
      <c r="J8471" s="12"/>
      <c r="K8471" s="12"/>
      <c r="L8471" s="12"/>
      <c r="M8471" s="11"/>
      <c r="N8471" s="11"/>
      <c r="O8471" s="11"/>
      <c r="P8471" s="11"/>
    </row>
    <row r="8472" spans="8:16" x14ac:dyDescent="0.25">
      <c r="H8472" s="12"/>
      <c r="I8472" s="12"/>
      <c r="J8472" s="12"/>
      <c r="K8472" s="12"/>
      <c r="L8472" s="12"/>
      <c r="M8472" s="11"/>
      <c r="N8472" s="11"/>
      <c r="O8472" s="11"/>
      <c r="P8472" s="11"/>
    </row>
    <row r="8473" spans="8:16" x14ac:dyDescent="0.25">
      <c r="H8473" s="12"/>
      <c r="I8473" s="12"/>
      <c r="J8473" s="12"/>
      <c r="K8473" s="12"/>
      <c r="L8473" s="12"/>
      <c r="M8473" s="11"/>
      <c r="N8473" s="11"/>
      <c r="O8473" s="11"/>
      <c r="P8473" s="11"/>
    </row>
    <row r="8474" spans="8:16" x14ac:dyDescent="0.25">
      <c r="H8474" s="12"/>
      <c r="I8474" s="12"/>
      <c r="J8474" s="12"/>
      <c r="K8474" s="12"/>
      <c r="L8474" s="12"/>
      <c r="M8474" s="11"/>
      <c r="N8474" s="11"/>
      <c r="O8474" s="11"/>
      <c r="P8474" s="11"/>
    </row>
    <row r="8475" spans="8:16" x14ac:dyDescent="0.25">
      <c r="H8475" s="12"/>
      <c r="I8475" s="12"/>
      <c r="J8475" s="12"/>
      <c r="K8475" s="12"/>
      <c r="L8475" s="12"/>
      <c r="M8475" s="11"/>
      <c r="N8475" s="11"/>
      <c r="O8475" s="11"/>
      <c r="P8475" s="11"/>
    </row>
    <row r="8476" spans="8:16" x14ac:dyDescent="0.25">
      <c r="H8476" s="12"/>
      <c r="I8476" s="12"/>
      <c r="J8476" s="12"/>
      <c r="K8476" s="12"/>
      <c r="L8476" s="12"/>
      <c r="M8476" s="11"/>
      <c r="N8476" s="11"/>
      <c r="O8476" s="11"/>
      <c r="P8476" s="11"/>
    </row>
    <row r="8477" spans="8:16" x14ac:dyDescent="0.25">
      <c r="H8477" s="12"/>
      <c r="I8477" s="12"/>
      <c r="J8477" s="12"/>
      <c r="K8477" s="12"/>
      <c r="L8477" s="12"/>
      <c r="M8477" s="11"/>
      <c r="N8477" s="11"/>
      <c r="O8477" s="11"/>
      <c r="P8477" s="11"/>
    </row>
    <row r="8478" spans="8:16" x14ac:dyDescent="0.25">
      <c r="H8478" s="12"/>
      <c r="I8478" s="12"/>
      <c r="J8478" s="12"/>
      <c r="K8478" s="12"/>
      <c r="L8478" s="12"/>
      <c r="M8478" s="11"/>
      <c r="N8478" s="11"/>
      <c r="O8478" s="11"/>
      <c r="P8478" s="11"/>
    </row>
    <row r="8479" spans="8:16" x14ac:dyDescent="0.25">
      <c r="H8479" s="12"/>
      <c r="I8479" s="12"/>
      <c r="J8479" s="12"/>
      <c r="K8479" s="12"/>
      <c r="L8479" s="12"/>
      <c r="M8479" s="11"/>
      <c r="N8479" s="11"/>
      <c r="O8479" s="11"/>
      <c r="P8479" s="11"/>
    </row>
    <row r="8480" spans="8:16" x14ac:dyDescent="0.25">
      <c r="H8480" s="12"/>
      <c r="I8480" s="12"/>
      <c r="J8480" s="12"/>
      <c r="K8480" s="12"/>
      <c r="L8480" s="12"/>
      <c r="M8480" s="11"/>
      <c r="N8480" s="11"/>
      <c r="O8480" s="11"/>
      <c r="P8480" s="11"/>
    </row>
    <row r="8481" spans="8:16" x14ac:dyDescent="0.25">
      <c r="H8481" s="12"/>
      <c r="I8481" s="12"/>
      <c r="J8481" s="12"/>
      <c r="K8481" s="12"/>
      <c r="L8481" s="12"/>
      <c r="M8481" s="11"/>
      <c r="N8481" s="11"/>
      <c r="O8481" s="11"/>
      <c r="P8481" s="11"/>
    </row>
    <row r="8482" spans="8:16" x14ac:dyDescent="0.25">
      <c r="H8482" s="12"/>
      <c r="I8482" s="12"/>
      <c r="J8482" s="12"/>
      <c r="K8482" s="12"/>
      <c r="L8482" s="12"/>
      <c r="M8482" s="11"/>
      <c r="N8482" s="11"/>
      <c r="O8482" s="11"/>
      <c r="P8482" s="11"/>
    </row>
    <row r="8483" spans="8:16" x14ac:dyDescent="0.25">
      <c r="H8483" s="12"/>
      <c r="I8483" s="12"/>
      <c r="J8483" s="12"/>
      <c r="K8483" s="12"/>
      <c r="L8483" s="12"/>
      <c r="M8483" s="11"/>
      <c r="N8483" s="11"/>
      <c r="O8483" s="11"/>
      <c r="P8483" s="11"/>
    </row>
    <row r="8484" spans="8:16" x14ac:dyDescent="0.25">
      <c r="H8484" s="12"/>
      <c r="I8484" s="12"/>
      <c r="J8484" s="12"/>
      <c r="K8484" s="12"/>
      <c r="L8484" s="12"/>
      <c r="M8484" s="11"/>
      <c r="N8484" s="11"/>
      <c r="O8484" s="11"/>
      <c r="P8484" s="11"/>
    </row>
    <row r="8485" spans="8:16" x14ac:dyDescent="0.25">
      <c r="H8485" s="12"/>
      <c r="I8485" s="12"/>
      <c r="J8485" s="12"/>
      <c r="K8485" s="12"/>
      <c r="L8485" s="12"/>
      <c r="M8485" s="11"/>
      <c r="N8485" s="11"/>
      <c r="O8485" s="11"/>
      <c r="P8485" s="11"/>
    </row>
    <row r="8486" spans="8:16" x14ac:dyDescent="0.25">
      <c r="H8486" s="12"/>
      <c r="I8486" s="12"/>
      <c r="J8486" s="12"/>
      <c r="K8486" s="12"/>
      <c r="L8486" s="12"/>
      <c r="M8486" s="11"/>
      <c r="N8486" s="11"/>
      <c r="O8486" s="11"/>
      <c r="P8486" s="11"/>
    </row>
    <row r="8487" spans="8:16" x14ac:dyDescent="0.25">
      <c r="H8487" s="12"/>
      <c r="I8487" s="12"/>
      <c r="J8487" s="12"/>
      <c r="K8487" s="12"/>
      <c r="L8487" s="12"/>
      <c r="M8487" s="11"/>
      <c r="N8487" s="11"/>
      <c r="O8487" s="11"/>
      <c r="P8487" s="11"/>
    </row>
    <row r="8488" spans="8:16" x14ac:dyDescent="0.25">
      <c r="H8488" s="12"/>
      <c r="I8488" s="12"/>
      <c r="J8488" s="12"/>
      <c r="K8488" s="12"/>
      <c r="L8488" s="12"/>
      <c r="M8488" s="11"/>
      <c r="N8488" s="11"/>
      <c r="O8488" s="11"/>
      <c r="P8488" s="11"/>
    </row>
    <row r="8489" spans="8:16" x14ac:dyDescent="0.25">
      <c r="H8489" s="12"/>
      <c r="I8489" s="12"/>
      <c r="J8489" s="12"/>
      <c r="K8489" s="12"/>
      <c r="L8489" s="12"/>
      <c r="M8489" s="11"/>
      <c r="N8489" s="11"/>
      <c r="O8489" s="11"/>
      <c r="P8489" s="11"/>
    </row>
    <row r="8490" spans="8:16" x14ac:dyDescent="0.25">
      <c r="H8490" s="12"/>
      <c r="I8490" s="12"/>
      <c r="J8490" s="12"/>
      <c r="K8490" s="12"/>
      <c r="L8490" s="12"/>
      <c r="M8490" s="11"/>
      <c r="N8490" s="11"/>
      <c r="O8490" s="11"/>
      <c r="P8490" s="11"/>
    </row>
    <row r="8491" spans="8:16" x14ac:dyDescent="0.25">
      <c r="H8491" s="12"/>
      <c r="I8491" s="12"/>
      <c r="J8491" s="12"/>
      <c r="K8491" s="12"/>
      <c r="L8491" s="12"/>
      <c r="M8491" s="11"/>
      <c r="N8491" s="11"/>
      <c r="O8491" s="11"/>
      <c r="P8491" s="11"/>
    </row>
    <row r="8492" spans="8:16" x14ac:dyDescent="0.25">
      <c r="H8492" s="12"/>
      <c r="I8492" s="12"/>
      <c r="J8492" s="12"/>
      <c r="K8492" s="12"/>
      <c r="L8492" s="12"/>
      <c r="M8492" s="11"/>
      <c r="N8492" s="11"/>
      <c r="O8492" s="11"/>
      <c r="P8492" s="11"/>
    </row>
    <row r="8493" spans="8:16" x14ac:dyDescent="0.25">
      <c r="H8493" s="12"/>
      <c r="I8493" s="12"/>
      <c r="J8493" s="12"/>
      <c r="K8493" s="12"/>
      <c r="L8493" s="12"/>
      <c r="M8493" s="11"/>
      <c r="N8493" s="11"/>
      <c r="O8493" s="11"/>
      <c r="P8493" s="11"/>
    </row>
    <row r="8494" spans="8:16" x14ac:dyDescent="0.25">
      <c r="H8494" s="12"/>
      <c r="I8494" s="12"/>
      <c r="J8494" s="12"/>
      <c r="K8494" s="12"/>
      <c r="L8494" s="12"/>
      <c r="M8494" s="11"/>
      <c r="N8494" s="11"/>
      <c r="O8494" s="11"/>
      <c r="P8494" s="11"/>
    </row>
    <row r="8495" spans="8:16" x14ac:dyDescent="0.25">
      <c r="H8495" s="12"/>
      <c r="I8495" s="12"/>
      <c r="J8495" s="12"/>
      <c r="K8495" s="12"/>
      <c r="L8495" s="12"/>
      <c r="M8495" s="11"/>
      <c r="N8495" s="11"/>
      <c r="O8495" s="11"/>
      <c r="P8495" s="11"/>
    </row>
    <row r="8496" spans="8:16" x14ac:dyDescent="0.25">
      <c r="H8496" s="12"/>
      <c r="I8496" s="12"/>
      <c r="J8496" s="12"/>
      <c r="K8496" s="12"/>
      <c r="L8496" s="12"/>
      <c r="M8496" s="11"/>
      <c r="N8496" s="11"/>
      <c r="O8496" s="11"/>
      <c r="P8496" s="11"/>
    </row>
    <row r="8497" spans="8:16" x14ac:dyDescent="0.25">
      <c r="H8497" s="12"/>
      <c r="I8497" s="12"/>
      <c r="J8497" s="12"/>
      <c r="K8497" s="12"/>
      <c r="L8497" s="12"/>
      <c r="M8497" s="11"/>
      <c r="N8497" s="11"/>
      <c r="O8497" s="11"/>
      <c r="P8497" s="11"/>
    </row>
    <row r="8498" spans="8:16" x14ac:dyDescent="0.25">
      <c r="H8498" s="12"/>
      <c r="I8498" s="12"/>
      <c r="J8498" s="12"/>
      <c r="K8498" s="12"/>
      <c r="L8498" s="12"/>
      <c r="M8498" s="11"/>
      <c r="N8498" s="11"/>
      <c r="O8498" s="11"/>
      <c r="P8498" s="11"/>
    </row>
    <row r="8499" spans="8:16" x14ac:dyDescent="0.25">
      <c r="H8499" s="12"/>
      <c r="I8499" s="12"/>
      <c r="J8499" s="12"/>
      <c r="K8499" s="12"/>
      <c r="L8499" s="12"/>
      <c r="M8499" s="11"/>
      <c r="N8499" s="11"/>
      <c r="O8499" s="11"/>
      <c r="P8499" s="11"/>
    </row>
    <row r="8500" spans="8:16" x14ac:dyDescent="0.25">
      <c r="H8500" s="12"/>
      <c r="I8500" s="12"/>
      <c r="J8500" s="12"/>
      <c r="K8500" s="12"/>
      <c r="L8500" s="12"/>
      <c r="M8500" s="11"/>
      <c r="N8500" s="11"/>
      <c r="O8500" s="11"/>
      <c r="P8500" s="11"/>
    </row>
    <row r="8501" spans="8:16" x14ac:dyDescent="0.25">
      <c r="H8501" s="12"/>
      <c r="I8501" s="12"/>
      <c r="J8501" s="12"/>
      <c r="K8501" s="12"/>
      <c r="L8501" s="12"/>
      <c r="M8501" s="11"/>
      <c r="N8501" s="11"/>
      <c r="O8501" s="11"/>
      <c r="P8501" s="11"/>
    </row>
    <row r="8502" spans="8:16" x14ac:dyDescent="0.25">
      <c r="H8502" s="12"/>
      <c r="I8502" s="12"/>
      <c r="J8502" s="12"/>
      <c r="K8502" s="12"/>
      <c r="L8502" s="12"/>
      <c r="M8502" s="11"/>
      <c r="N8502" s="11"/>
      <c r="O8502" s="11"/>
      <c r="P8502" s="11"/>
    </row>
    <row r="8503" spans="8:16" x14ac:dyDescent="0.25">
      <c r="H8503" s="12"/>
      <c r="I8503" s="12"/>
      <c r="J8503" s="12"/>
      <c r="K8503" s="12"/>
      <c r="L8503" s="12"/>
      <c r="M8503" s="11"/>
      <c r="N8503" s="11"/>
      <c r="O8503" s="11"/>
      <c r="P8503" s="11"/>
    </row>
    <row r="8504" spans="8:16" x14ac:dyDescent="0.25">
      <c r="H8504" s="12"/>
      <c r="I8504" s="12"/>
      <c r="J8504" s="12"/>
      <c r="K8504" s="12"/>
      <c r="L8504" s="12"/>
      <c r="M8504" s="11"/>
      <c r="N8504" s="11"/>
      <c r="O8504" s="11"/>
      <c r="P8504" s="11"/>
    </row>
    <row r="8505" spans="8:16" x14ac:dyDescent="0.25">
      <c r="H8505" s="12"/>
      <c r="I8505" s="12"/>
      <c r="J8505" s="12"/>
      <c r="K8505" s="12"/>
      <c r="L8505" s="12"/>
      <c r="M8505" s="11"/>
      <c r="N8505" s="11"/>
      <c r="O8505" s="11"/>
      <c r="P8505" s="11"/>
    </row>
    <row r="8506" spans="8:16" x14ac:dyDescent="0.25">
      <c r="H8506" s="12"/>
      <c r="I8506" s="12"/>
      <c r="J8506" s="12"/>
      <c r="K8506" s="12"/>
      <c r="L8506" s="12"/>
      <c r="M8506" s="11"/>
      <c r="N8506" s="11"/>
      <c r="O8506" s="11"/>
      <c r="P8506" s="11"/>
    </row>
    <row r="8507" spans="8:16" x14ac:dyDescent="0.25">
      <c r="H8507" s="12"/>
      <c r="I8507" s="12"/>
      <c r="J8507" s="12"/>
      <c r="K8507" s="12"/>
      <c r="L8507" s="12"/>
      <c r="M8507" s="11"/>
      <c r="N8507" s="11"/>
      <c r="O8507" s="11"/>
      <c r="P8507" s="11"/>
    </row>
    <row r="8508" spans="8:16" x14ac:dyDescent="0.25">
      <c r="H8508" s="12"/>
      <c r="I8508" s="12"/>
      <c r="J8508" s="12"/>
      <c r="K8508" s="12"/>
      <c r="L8508" s="12"/>
      <c r="M8508" s="11"/>
      <c r="N8508" s="11"/>
      <c r="O8508" s="11"/>
      <c r="P8508" s="11"/>
    </row>
    <row r="8509" spans="8:16" x14ac:dyDescent="0.25">
      <c r="H8509" s="12"/>
      <c r="I8509" s="12"/>
      <c r="J8509" s="12"/>
      <c r="K8509" s="12"/>
      <c r="L8509" s="12"/>
      <c r="M8509" s="11"/>
      <c r="N8509" s="11"/>
      <c r="O8509" s="11"/>
      <c r="P8509" s="11"/>
    </row>
    <row r="8510" spans="8:16" x14ac:dyDescent="0.25">
      <c r="H8510" s="12"/>
      <c r="I8510" s="12"/>
      <c r="J8510" s="12"/>
      <c r="K8510" s="12"/>
      <c r="L8510" s="12"/>
      <c r="M8510" s="11"/>
      <c r="N8510" s="11"/>
      <c r="O8510" s="11"/>
      <c r="P8510" s="11"/>
    </row>
    <row r="8511" spans="8:16" x14ac:dyDescent="0.25">
      <c r="H8511" s="12"/>
      <c r="I8511" s="12"/>
      <c r="J8511" s="12"/>
      <c r="K8511" s="12"/>
      <c r="L8511" s="12"/>
      <c r="M8511" s="11"/>
      <c r="N8511" s="11"/>
      <c r="O8511" s="11"/>
      <c r="P8511" s="11"/>
    </row>
    <row r="8512" spans="8:16" x14ac:dyDescent="0.25">
      <c r="H8512" s="12"/>
      <c r="I8512" s="12"/>
      <c r="J8512" s="12"/>
      <c r="K8512" s="12"/>
      <c r="L8512" s="12"/>
      <c r="M8512" s="11"/>
      <c r="N8512" s="11"/>
      <c r="O8512" s="11"/>
      <c r="P8512" s="11"/>
    </row>
    <row r="8513" spans="8:16" x14ac:dyDescent="0.25">
      <c r="H8513" s="12"/>
      <c r="I8513" s="12"/>
      <c r="J8513" s="12"/>
      <c r="K8513" s="12"/>
      <c r="L8513" s="12"/>
      <c r="M8513" s="11"/>
      <c r="N8513" s="11"/>
      <c r="O8513" s="11"/>
      <c r="P8513" s="11"/>
    </row>
    <row r="8514" spans="8:16" x14ac:dyDescent="0.25">
      <c r="H8514" s="12"/>
      <c r="I8514" s="12"/>
      <c r="J8514" s="12"/>
      <c r="K8514" s="12"/>
      <c r="L8514" s="12"/>
      <c r="M8514" s="11"/>
      <c r="N8514" s="11"/>
      <c r="O8514" s="11"/>
      <c r="P8514" s="11"/>
    </row>
    <row r="8515" spans="8:16" x14ac:dyDescent="0.25">
      <c r="H8515" s="12"/>
      <c r="I8515" s="12"/>
      <c r="J8515" s="12"/>
      <c r="K8515" s="12"/>
      <c r="L8515" s="12"/>
      <c r="M8515" s="11"/>
      <c r="N8515" s="11"/>
      <c r="O8515" s="11"/>
      <c r="P8515" s="11"/>
    </row>
    <row r="8516" spans="8:16" x14ac:dyDescent="0.25">
      <c r="H8516" s="12"/>
      <c r="I8516" s="12"/>
      <c r="J8516" s="12"/>
      <c r="K8516" s="12"/>
      <c r="L8516" s="12"/>
      <c r="M8516" s="11"/>
      <c r="N8516" s="11"/>
      <c r="O8516" s="11"/>
      <c r="P8516" s="11"/>
    </row>
    <row r="8517" spans="8:16" x14ac:dyDescent="0.25">
      <c r="H8517" s="12"/>
      <c r="I8517" s="12"/>
      <c r="J8517" s="12"/>
      <c r="K8517" s="12"/>
      <c r="L8517" s="12"/>
      <c r="M8517" s="11"/>
      <c r="N8517" s="11"/>
      <c r="O8517" s="11"/>
      <c r="P8517" s="11"/>
    </row>
    <row r="8518" spans="8:16" x14ac:dyDescent="0.25">
      <c r="H8518" s="12"/>
      <c r="I8518" s="12"/>
      <c r="J8518" s="12"/>
      <c r="K8518" s="12"/>
      <c r="L8518" s="12"/>
      <c r="M8518" s="11"/>
      <c r="N8518" s="11"/>
      <c r="O8518" s="11"/>
      <c r="P8518" s="11"/>
    </row>
    <row r="8519" spans="8:16" x14ac:dyDescent="0.25">
      <c r="H8519" s="12"/>
      <c r="I8519" s="12"/>
      <c r="J8519" s="12"/>
      <c r="K8519" s="12"/>
      <c r="L8519" s="12"/>
      <c r="M8519" s="11"/>
      <c r="N8519" s="11"/>
      <c r="O8519" s="11"/>
      <c r="P8519" s="11"/>
    </row>
    <row r="8520" spans="8:16" x14ac:dyDescent="0.25">
      <c r="H8520" s="12"/>
      <c r="I8520" s="12"/>
      <c r="J8520" s="12"/>
      <c r="K8520" s="12"/>
      <c r="L8520" s="12"/>
      <c r="M8520" s="11"/>
      <c r="N8520" s="11"/>
      <c r="O8520" s="11"/>
      <c r="P8520" s="11"/>
    </row>
    <row r="8521" spans="8:16" x14ac:dyDescent="0.25">
      <c r="H8521" s="12"/>
      <c r="I8521" s="12"/>
      <c r="J8521" s="12"/>
      <c r="K8521" s="12"/>
      <c r="L8521" s="12"/>
      <c r="M8521" s="11"/>
      <c r="N8521" s="11"/>
      <c r="O8521" s="11"/>
      <c r="P8521" s="11"/>
    </row>
    <row r="8522" spans="8:16" x14ac:dyDescent="0.25">
      <c r="H8522" s="12"/>
      <c r="I8522" s="12"/>
      <c r="J8522" s="12"/>
      <c r="K8522" s="12"/>
      <c r="L8522" s="12"/>
      <c r="M8522" s="11"/>
      <c r="N8522" s="11"/>
      <c r="O8522" s="11"/>
      <c r="P8522" s="11"/>
    </row>
    <row r="8523" spans="8:16" x14ac:dyDescent="0.25">
      <c r="H8523" s="12"/>
      <c r="I8523" s="12"/>
      <c r="J8523" s="12"/>
      <c r="K8523" s="12"/>
      <c r="L8523" s="12"/>
      <c r="M8523" s="11"/>
      <c r="N8523" s="11"/>
      <c r="O8523" s="11"/>
      <c r="P8523" s="11"/>
    </row>
    <row r="8524" spans="8:16" x14ac:dyDescent="0.25">
      <c r="H8524" s="12"/>
      <c r="I8524" s="12"/>
      <c r="J8524" s="12"/>
      <c r="K8524" s="12"/>
      <c r="L8524" s="12"/>
      <c r="M8524" s="11"/>
      <c r="N8524" s="11"/>
      <c r="O8524" s="11"/>
      <c r="P8524" s="11"/>
    </row>
    <row r="8525" spans="8:16" x14ac:dyDescent="0.25">
      <c r="H8525" s="12"/>
      <c r="I8525" s="12"/>
      <c r="J8525" s="12"/>
      <c r="K8525" s="12"/>
      <c r="L8525" s="12"/>
      <c r="M8525" s="11"/>
      <c r="N8525" s="11"/>
      <c r="O8525" s="11"/>
      <c r="P8525" s="11"/>
    </row>
    <row r="8526" spans="8:16" x14ac:dyDescent="0.25">
      <c r="H8526" s="12"/>
      <c r="I8526" s="12"/>
      <c r="J8526" s="12"/>
      <c r="K8526" s="12"/>
      <c r="L8526" s="12"/>
      <c r="M8526" s="11"/>
      <c r="N8526" s="11"/>
      <c r="O8526" s="11"/>
      <c r="P8526" s="11"/>
    </row>
    <row r="8527" spans="8:16" x14ac:dyDescent="0.25">
      <c r="H8527" s="12"/>
      <c r="I8527" s="12"/>
      <c r="J8527" s="12"/>
      <c r="K8527" s="12"/>
      <c r="L8527" s="12"/>
      <c r="M8527" s="11"/>
      <c r="N8527" s="11"/>
      <c r="O8527" s="11"/>
      <c r="P8527" s="11"/>
    </row>
    <row r="8528" spans="8:16" x14ac:dyDescent="0.25">
      <c r="H8528" s="12"/>
      <c r="I8528" s="12"/>
      <c r="J8528" s="12"/>
      <c r="K8528" s="12"/>
      <c r="L8528" s="12"/>
      <c r="M8528" s="11"/>
      <c r="N8528" s="11"/>
      <c r="O8528" s="11"/>
      <c r="P8528" s="11"/>
    </row>
    <row r="8529" spans="8:16" x14ac:dyDescent="0.25">
      <c r="H8529" s="12"/>
      <c r="I8529" s="12"/>
      <c r="J8529" s="12"/>
      <c r="K8529" s="12"/>
      <c r="L8529" s="12"/>
      <c r="M8529" s="11"/>
      <c r="N8529" s="11"/>
      <c r="O8529" s="11"/>
      <c r="P8529" s="11"/>
    </row>
    <row r="8530" spans="8:16" x14ac:dyDescent="0.25">
      <c r="H8530" s="12"/>
      <c r="I8530" s="12"/>
      <c r="J8530" s="12"/>
      <c r="K8530" s="12"/>
      <c r="L8530" s="12"/>
      <c r="M8530" s="11"/>
      <c r="N8530" s="11"/>
      <c r="O8530" s="11"/>
      <c r="P8530" s="11"/>
    </row>
    <row r="8531" spans="8:16" x14ac:dyDescent="0.25">
      <c r="H8531" s="12"/>
      <c r="I8531" s="12"/>
      <c r="J8531" s="12"/>
      <c r="K8531" s="12"/>
      <c r="L8531" s="12"/>
      <c r="M8531" s="11"/>
      <c r="N8531" s="11"/>
      <c r="O8531" s="11"/>
      <c r="P8531" s="11"/>
    </row>
    <row r="8532" spans="8:16" x14ac:dyDescent="0.25">
      <c r="H8532" s="12"/>
      <c r="I8532" s="12"/>
      <c r="J8532" s="12"/>
      <c r="K8532" s="12"/>
      <c r="L8532" s="12"/>
      <c r="M8532" s="11"/>
      <c r="N8532" s="11"/>
      <c r="O8532" s="11"/>
      <c r="P8532" s="11"/>
    </row>
    <row r="8533" spans="8:16" x14ac:dyDescent="0.25">
      <c r="H8533" s="12"/>
      <c r="I8533" s="12"/>
      <c r="J8533" s="12"/>
      <c r="K8533" s="12"/>
      <c r="L8533" s="12"/>
      <c r="M8533" s="11"/>
      <c r="N8533" s="11"/>
      <c r="O8533" s="11"/>
      <c r="P8533" s="11"/>
    </row>
    <row r="8534" spans="8:16" x14ac:dyDescent="0.25">
      <c r="H8534" s="12"/>
      <c r="I8534" s="12"/>
      <c r="J8534" s="12"/>
      <c r="K8534" s="12"/>
      <c r="L8534" s="12"/>
      <c r="M8534" s="11"/>
      <c r="N8534" s="11"/>
      <c r="O8534" s="11"/>
      <c r="P8534" s="11"/>
    </row>
    <row r="8535" spans="8:16" x14ac:dyDescent="0.25">
      <c r="H8535" s="12"/>
      <c r="I8535" s="12"/>
      <c r="J8535" s="12"/>
      <c r="K8535" s="12"/>
      <c r="L8535" s="12"/>
      <c r="M8535" s="11"/>
      <c r="N8535" s="11"/>
      <c r="O8535" s="11"/>
      <c r="P8535" s="11"/>
    </row>
    <row r="8536" spans="8:16" x14ac:dyDescent="0.25">
      <c r="H8536" s="12"/>
      <c r="I8536" s="12"/>
      <c r="J8536" s="12"/>
      <c r="K8536" s="12"/>
      <c r="L8536" s="12"/>
      <c r="M8536" s="11"/>
      <c r="N8536" s="11"/>
      <c r="O8536" s="11"/>
      <c r="P8536" s="11"/>
    </row>
    <row r="8537" spans="8:16" x14ac:dyDescent="0.25">
      <c r="H8537" s="12"/>
      <c r="I8537" s="12"/>
      <c r="J8537" s="12"/>
      <c r="K8537" s="12"/>
      <c r="L8537" s="12"/>
      <c r="M8537" s="11"/>
      <c r="N8537" s="11"/>
      <c r="O8537" s="11"/>
      <c r="P8537" s="11"/>
    </row>
    <row r="8538" spans="8:16" x14ac:dyDescent="0.25">
      <c r="H8538" s="12"/>
      <c r="I8538" s="12"/>
      <c r="J8538" s="12"/>
      <c r="K8538" s="12"/>
      <c r="L8538" s="12"/>
      <c r="M8538" s="11"/>
      <c r="N8538" s="11"/>
      <c r="O8538" s="11"/>
      <c r="P8538" s="11"/>
    </row>
    <row r="8539" spans="8:16" x14ac:dyDescent="0.25">
      <c r="H8539" s="12"/>
      <c r="I8539" s="12"/>
      <c r="J8539" s="12"/>
      <c r="K8539" s="12"/>
      <c r="L8539" s="12"/>
      <c r="M8539" s="11"/>
      <c r="N8539" s="11"/>
      <c r="O8539" s="11"/>
      <c r="P8539" s="11"/>
    </row>
    <row r="8540" spans="8:16" x14ac:dyDescent="0.25">
      <c r="H8540" s="12"/>
      <c r="I8540" s="12"/>
      <c r="J8540" s="12"/>
      <c r="K8540" s="12"/>
      <c r="L8540" s="12"/>
      <c r="M8540" s="11"/>
      <c r="N8540" s="11"/>
      <c r="O8540" s="11"/>
      <c r="P8540" s="11"/>
    </row>
    <row r="8541" spans="8:16" x14ac:dyDescent="0.25">
      <c r="H8541" s="12"/>
      <c r="I8541" s="12"/>
      <c r="J8541" s="12"/>
      <c r="K8541" s="12"/>
      <c r="L8541" s="12"/>
      <c r="M8541" s="11"/>
      <c r="N8541" s="11"/>
      <c r="O8541" s="11"/>
      <c r="P8541" s="11"/>
    </row>
    <row r="8542" spans="8:16" x14ac:dyDescent="0.25">
      <c r="H8542" s="12"/>
      <c r="I8542" s="12"/>
      <c r="J8542" s="12"/>
      <c r="K8542" s="12"/>
      <c r="L8542" s="12"/>
      <c r="M8542" s="11"/>
      <c r="N8542" s="11"/>
      <c r="O8542" s="11"/>
      <c r="P8542" s="11"/>
    </row>
    <row r="8543" spans="8:16" x14ac:dyDescent="0.25">
      <c r="H8543" s="12"/>
      <c r="I8543" s="12"/>
      <c r="J8543" s="12"/>
      <c r="K8543" s="12"/>
      <c r="L8543" s="12"/>
      <c r="M8543" s="11"/>
      <c r="N8543" s="11"/>
      <c r="O8543" s="11"/>
      <c r="P8543" s="11"/>
    </row>
    <row r="8544" spans="8:16" x14ac:dyDescent="0.25">
      <c r="H8544" s="12"/>
      <c r="I8544" s="12"/>
      <c r="J8544" s="12"/>
      <c r="K8544" s="12"/>
      <c r="L8544" s="12"/>
      <c r="M8544" s="11"/>
      <c r="N8544" s="11"/>
      <c r="O8544" s="11"/>
      <c r="P8544" s="11"/>
    </row>
    <row r="8545" spans="8:16" x14ac:dyDescent="0.25">
      <c r="H8545" s="12"/>
      <c r="I8545" s="12"/>
      <c r="J8545" s="12"/>
      <c r="K8545" s="12"/>
      <c r="L8545" s="12"/>
      <c r="M8545" s="11"/>
      <c r="N8545" s="11"/>
      <c r="O8545" s="11"/>
      <c r="P8545" s="11"/>
    </row>
    <row r="8546" spans="8:16" x14ac:dyDescent="0.25">
      <c r="H8546" s="12"/>
      <c r="I8546" s="12"/>
      <c r="J8546" s="12"/>
      <c r="K8546" s="12"/>
      <c r="L8546" s="12"/>
      <c r="M8546" s="11"/>
      <c r="N8546" s="11"/>
      <c r="O8546" s="11"/>
      <c r="P8546" s="11"/>
    </row>
    <row r="8547" spans="8:16" x14ac:dyDescent="0.25">
      <c r="H8547" s="12"/>
      <c r="I8547" s="12"/>
      <c r="J8547" s="12"/>
      <c r="K8547" s="12"/>
      <c r="L8547" s="12"/>
      <c r="M8547" s="11"/>
      <c r="N8547" s="11"/>
      <c r="O8547" s="11"/>
      <c r="P8547" s="11"/>
    </row>
    <row r="8548" spans="8:16" x14ac:dyDescent="0.25">
      <c r="H8548" s="12"/>
      <c r="I8548" s="12"/>
      <c r="J8548" s="12"/>
      <c r="K8548" s="12"/>
      <c r="L8548" s="12"/>
      <c r="M8548" s="11"/>
      <c r="N8548" s="11"/>
      <c r="O8548" s="11"/>
      <c r="P8548" s="11"/>
    </row>
    <row r="8549" spans="8:16" x14ac:dyDescent="0.25">
      <c r="H8549" s="12"/>
      <c r="I8549" s="12"/>
      <c r="J8549" s="12"/>
      <c r="K8549" s="12"/>
      <c r="L8549" s="12"/>
      <c r="M8549" s="11"/>
      <c r="N8549" s="11"/>
      <c r="O8549" s="11"/>
      <c r="P8549" s="11"/>
    </row>
    <row r="8550" spans="8:16" x14ac:dyDescent="0.25">
      <c r="H8550" s="12"/>
      <c r="I8550" s="12"/>
      <c r="J8550" s="12"/>
      <c r="K8550" s="12"/>
      <c r="L8550" s="12"/>
      <c r="M8550" s="11"/>
      <c r="N8550" s="11"/>
      <c r="O8550" s="11"/>
      <c r="P8550" s="11"/>
    </row>
    <row r="8551" spans="8:16" x14ac:dyDescent="0.25">
      <c r="H8551" s="12"/>
      <c r="I8551" s="12"/>
      <c r="J8551" s="12"/>
      <c r="K8551" s="12"/>
      <c r="L8551" s="12"/>
      <c r="M8551" s="11"/>
      <c r="N8551" s="11"/>
      <c r="O8551" s="11"/>
      <c r="P8551" s="11"/>
    </row>
    <row r="8552" spans="8:16" x14ac:dyDescent="0.25">
      <c r="H8552" s="12"/>
      <c r="I8552" s="12"/>
      <c r="J8552" s="12"/>
      <c r="K8552" s="12"/>
      <c r="L8552" s="12"/>
      <c r="M8552" s="11"/>
      <c r="N8552" s="11"/>
      <c r="O8552" s="11"/>
      <c r="P8552" s="11"/>
    </row>
    <row r="8553" spans="8:16" x14ac:dyDescent="0.25">
      <c r="H8553" s="12"/>
      <c r="I8553" s="12"/>
      <c r="J8553" s="12"/>
      <c r="K8553" s="12"/>
      <c r="L8553" s="12"/>
      <c r="M8553" s="11"/>
      <c r="N8553" s="11"/>
      <c r="O8553" s="11"/>
      <c r="P8553" s="11"/>
    </row>
    <row r="8554" spans="8:16" x14ac:dyDescent="0.25">
      <c r="H8554" s="12"/>
      <c r="I8554" s="12"/>
      <c r="J8554" s="12"/>
      <c r="K8554" s="12"/>
      <c r="L8554" s="12"/>
      <c r="M8554" s="11"/>
      <c r="N8554" s="11"/>
      <c r="O8554" s="11"/>
      <c r="P8554" s="11"/>
    </row>
    <row r="8555" spans="8:16" x14ac:dyDescent="0.25">
      <c r="H8555" s="12"/>
      <c r="I8555" s="12"/>
      <c r="J8555" s="12"/>
      <c r="K8555" s="12"/>
      <c r="L8555" s="12"/>
      <c r="M8555" s="11"/>
      <c r="N8555" s="11"/>
      <c r="O8555" s="11"/>
      <c r="P8555" s="11"/>
    </row>
    <row r="8556" spans="8:16" x14ac:dyDescent="0.25">
      <c r="H8556" s="12"/>
      <c r="I8556" s="12"/>
      <c r="J8556" s="12"/>
      <c r="K8556" s="12"/>
      <c r="L8556" s="12"/>
      <c r="M8556" s="11"/>
      <c r="N8556" s="11"/>
      <c r="O8556" s="11"/>
      <c r="P8556" s="11"/>
    </row>
    <row r="8557" spans="8:16" x14ac:dyDescent="0.25">
      <c r="H8557" s="12"/>
      <c r="I8557" s="12"/>
      <c r="J8557" s="12"/>
      <c r="K8557" s="12"/>
      <c r="L8557" s="12"/>
      <c r="M8557" s="11"/>
      <c r="N8557" s="11"/>
      <c r="O8557" s="11"/>
      <c r="P8557" s="11"/>
    </row>
    <row r="8558" spans="8:16" x14ac:dyDescent="0.25">
      <c r="H8558" s="12"/>
      <c r="I8558" s="12"/>
      <c r="J8558" s="12"/>
      <c r="K8558" s="12"/>
      <c r="L8558" s="12"/>
      <c r="M8558" s="11"/>
      <c r="N8558" s="11"/>
      <c r="O8558" s="11"/>
      <c r="P8558" s="11"/>
    </row>
    <row r="8559" spans="8:16" x14ac:dyDescent="0.25">
      <c r="H8559" s="12"/>
      <c r="I8559" s="12"/>
      <c r="J8559" s="12"/>
      <c r="K8559" s="12"/>
      <c r="L8559" s="12"/>
      <c r="M8559" s="11"/>
      <c r="N8559" s="11"/>
      <c r="O8559" s="11"/>
      <c r="P8559" s="11"/>
    </row>
    <row r="8560" spans="8:16" x14ac:dyDescent="0.25">
      <c r="H8560" s="12"/>
      <c r="I8560" s="12"/>
      <c r="J8560" s="12"/>
      <c r="K8560" s="12"/>
      <c r="L8560" s="12"/>
      <c r="M8560" s="11"/>
      <c r="N8560" s="11"/>
      <c r="O8560" s="11"/>
      <c r="P8560" s="11"/>
    </row>
    <row r="8561" spans="8:16" x14ac:dyDescent="0.25">
      <c r="H8561" s="12"/>
      <c r="I8561" s="12"/>
      <c r="J8561" s="12"/>
      <c r="K8561" s="12"/>
      <c r="L8561" s="12"/>
      <c r="M8561" s="11"/>
      <c r="N8561" s="11"/>
      <c r="O8561" s="11"/>
      <c r="P8561" s="11"/>
    </row>
    <row r="8562" spans="8:16" x14ac:dyDescent="0.25">
      <c r="H8562" s="12"/>
      <c r="I8562" s="12"/>
      <c r="J8562" s="12"/>
      <c r="K8562" s="12"/>
      <c r="L8562" s="12"/>
      <c r="M8562" s="11"/>
      <c r="N8562" s="11"/>
      <c r="O8562" s="11"/>
      <c r="P8562" s="11"/>
    </row>
    <row r="8563" spans="8:16" x14ac:dyDescent="0.25">
      <c r="H8563" s="12"/>
      <c r="I8563" s="12"/>
      <c r="J8563" s="12"/>
      <c r="K8563" s="12"/>
      <c r="L8563" s="12"/>
      <c r="M8563" s="11"/>
      <c r="N8563" s="11"/>
      <c r="O8563" s="11"/>
      <c r="P8563" s="11"/>
    </row>
    <row r="8564" spans="8:16" x14ac:dyDescent="0.25">
      <c r="H8564" s="12"/>
      <c r="I8564" s="12"/>
      <c r="J8564" s="12"/>
      <c r="K8564" s="12"/>
      <c r="L8564" s="12"/>
      <c r="M8564" s="11"/>
      <c r="N8564" s="11"/>
      <c r="O8564" s="11"/>
      <c r="P8564" s="11"/>
    </row>
    <row r="8565" spans="8:16" x14ac:dyDescent="0.25">
      <c r="H8565" s="12"/>
      <c r="I8565" s="12"/>
      <c r="J8565" s="12"/>
      <c r="K8565" s="12"/>
      <c r="L8565" s="12"/>
      <c r="M8565" s="11"/>
      <c r="N8565" s="11"/>
      <c r="O8565" s="11"/>
      <c r="P8565" s="11"/>
    </row>
    <row r="8566" spans="8:16" x14ac:dyDescent="0.25">
      <c r="H8566" s="12"/>
      <c r="I8566" s="12"/>
      <c r="J8566" s="12"/>
      <c r="K8566" s="12"/>
      <c r="L8566" s="12"/>
      <c r="M8566" s="11"/>
      <c r="N8566" s="11"/>
      <c r="O8566" s="11"/>
      <c r="P8566" s="11"/>
    </row>
    <row r="8567" spans="8:16" x14ac:dyDescent="0.25">
      <c r="H8567" s="12"/>
      <c r="I8567" s="12"/>
      <c r="J8567" s="12"/>
      <c r="K8567" s="12"/>
      <c r="L8567" s="12"/>
      <c r="M8567" s="11"/>
      <c r="N8567" s="11"/>
      <c r="O8567" s="11"/>
      <c r="P8567" s="11"/>
    </row>
    <row r="8568" spans="8:16" x14ac:dyDescent="0.25">
      <c r="H8568" s="12"/>
      <c r="I8568" s="12"/>
      <c r="J8568" s="12"/>
      <c r="K8568" s="12"/>
      <c r="L8568" s="12"/>
      <c r="M8568" s="11"/>
      <c r="N8568" s="11"/>
      <c r="O8568" s="11"/>
      <c r="P8568" s="11"/>
    </row>
    <row r="8569" spans="8:16" x14ac:dyDescent="0.25">
      <c r="H8569" s="12"/>
      <c r="I8569" s="12"/>
      <c r="J8569" s="12"/>
      <c r="K8569" s="12"/>
      <c r="L8569" s="12"/>
      <c r="M8569" s="11"/>
      <c r="N8569" s="11"/>
      <c r="O8569" s="11"/>
      <c r="P8569" s="11"/>
    </row>
    <row r="8570" spans="8:16" x14ac:dyDescent="0.25">
      <c r="H8570" s="12"/>
      <c r="I8570" s="12"/>
      <c r="J8570" s="12"/>
      <c r="K8570" s="12"/>
      <c r="L8570" s="12"/>
      <c r="M8570" s="11"/>
      <c r="N8570" s="11"/>
      <c r="O8570" s="11"/>
      <c r="P8570" s="11"/>
    </row>
    <row r="8571" spans="8:16" x14ac:dyDescent="0.25">
      <c r="H8571" s="12"/>
      <c r="I8571" s="12"/>
      <c r="J8571" s="12"/>
      <c r="K8571" s="12"/>
      <c r="L8571" s="12"/>
      <c r="M8571" s="11"/>
      <c r="N8571" s="11"/>
      <c r="O8571" s="11"/>
      <c r="P8571" s="11"/>
    </row>
    <row r="8572" spans="8:16" x14ac:dyDescent="0.25">
      <c r="H8572" s="12"/>
      <c r="I8572" s="12"/>
      <c r="J8572" s="12"/>
      <c r="K8572" s="12"/>
      <c r="L8572" s="12"/>
      <c r="M8572" s="11"/>
      <c r="N8572" s="11"/>
      <c r="O8572" s="11"/>
      <c r="P8572" s="11"/>
    </row>
    <row r="8573" spans="8:16" x14ac:dyDescent="0.25">
      <c r="H8573" s="12"/>
      <c r="I8573" s="12"/>
      <c r="J8573" s="12"/>
      <c r="K8573" s="12"/>
      <c r="L8573" s="12"/>
      <c r="M8573" s="11"/>
      <c r="N8573" s="11"/>
      <c r="O8573" s="11"/>
      <c r="P8573" s="11"/>
    </row>
    <row r="8574" spans="8:16" x14ac:dyDescent="0.25">
      <c r="H8574" s="12"/>
      <c r="I8574" s="12"/>
      <c r="J8574" s="12"/>
      <c r="K8574" s="12"/>
      <c r="L8574" s="12"/>
      <c r="M8574" s="11"/>
      <c r="N8574" s="11"/>
      <c r="O8574" s="11"/>
      <c r="P8574" s="11"/>
    </row>
    <row r="8575" spans="8:16" x14ac:dyDescent="0.25">
      <c r="H8575" s="12"/>
      <c r="I8575" s="12"/>
      <c r="J8575" s="12"/>
      <c r="K8575" s="12"/>
      <c r="L8575" s="12"/>
      <c r="M8575" s="11"/>
      <c r="N8575" s="11"/>
      <c r="O8575" s="11"/>
      <c r="P8575" s="11"/>
    </row>
    <row r="8576" spans="8:16" x14ac:dyDescent="0.25">
      <c r="H8576" s="12"/>
      <c r="I8576" s="12"/>
      <c r="J8576" s="12"/>
      <c r="K8576" s="12"/>
      <c r="L8576" s="12"/>
      <c r="M8576" s="11"/>
      <c r="N8576" s="11"/>
      <c r="O8576" s="11"/>
      <c r="P8576" s="11"/>
    </row>
    <row r="8577" spans="8:16" x14ac:dyDescent="0.25">
      <c r="H8577" s="12"/>
      <c r="I8577" s="12"/>
      <c r="J8577" s="12"/>
      <c r="K8577" s="12"/>
      <c r="L8577" s="12"/>
      <c r="M8577" s="11"/>
      <c r="N8577" s="11"/>
      <c r="O8577" s="11"/>
      <c r="P8577" s="11"/>
    </row>
    <row r="8578" spans="8:16" x14ac:dyDescent="0.25">
      <c r="H8578" s="12"/>
      <c r="I8578" s="12"/>
      <c r="J8578" s="12"/>
      <c r="K8578" s="12"/>
      <c r="L8578" s="12"/>
      <c r="M8578" s="11"/>
      <c r="N8578" s="11"/>
      <c r="O8578" s="11"/>
      <c r="P8578" s="11"/>
    </row>
    <row r="8579" spans="8:16" x14ac:dyDescent="0.25">
      <c r="H8579" s="12"/>
      <c r="I8579" s="12"/>
      <c r="J8579" s="12"/>
      <c r="K8579" s="12"/>
      <c r="L8579" s="12"/>
      <c r="M8579" s="11"/>
      <c r="N8579" s="11"/>
      <c r="O8579" s="11"/>
      <c r="P8579" s="11"/>
    </row>
    <row r="8580" spans="8:16" x14ac:dyDescent="0.25">
      <c r="H8580" s="12"/>
      <c r="I8580" s="12"/>
      <c r="J8580" s="12"/>
      <c r="K8580" s="12"/>
      <c r="L8580" s="12"/>
      <c r="M8580" s="11"/>
      <c r="N8580" s="11"/>
      <c r="O8580" s="11"/>
      <c r="P8580" s="11"/>
    </row>
    <row r="8581" spans="8:16" x14ac:dyDescent="0.25">
      <c r="H8581" s="12"/>
      <c r="I8581" s="12"/>
      <c r="J8581" s="12"/>
      <c r="K8581" s="12"/>
      <c r="L8581" s="12"/>
      <c r="M8581" s="11"/>
      <c r="N8581" s="11"/>
      <c r="O8581" s="11"/>
      <c r="P8581" s="11"/>
    </row>
    <row r="8582" spans="8:16" x14ac:dyDescent="0.25">
      <c r="H8582" s="12"/>
      <c r="I8582" s="12"/>
      <c r="J8582" s="12"/>
      <c r="K8582" s="12"/>
      <c r="L8582" s="12"/>
      <c r="M8582" s="11"/>
      <c r="N8582" s="11"/>
      <c r="O8582" s="11"/>
      <c r="P8582" s="11"/>
    </row>
    <row r="8583" spans="8:16" x14ac:dyDescent="0.25">
      <c r="H8583" s="12"/>
      <c r="I8583" s="12"/>
      <c r="J8583" s="12"/>
      <c r="K8583" s="12"/>
      <c r="L8583" s="12"/>
      <c r="M8583" s="11"/>
      <c r="N8583" s="11"/>
      <c r="O8583" s="11"/>
      <c r="P8583" s="11"/>
    </row>
    <row r="8584" spans="8:16" x14ac:dyDescent="0.25">
      <c r="H8584" s="12"/>
      <c r="I8584" s="12"/>
      <c r="J8584" s="12"/>
      <c r="K8584" s="12"/>
      <c r="L8584" s="12"/>
      <c r="M8584" s="11"/>
      <c r="N8584" s="11"/>
      <c r="O8584" s="11"/>
      <c r="P8584" s="11"/>
    </row>
    <row r="8585" spans="8:16" x14ac:dyDescent="0.25">
      <c r="H8585" s="12"/>
      <c r="I8585" s="12"/>
      <c r="J8585" s="12"/>
      <c r="K8585" s="12"/>
      <c r="L8585" s="12"/>
      <c r="M8585" s="11"/>
      <c r="N8585" s="11"/>
      <c r="O8585" s="11"/>
      <c r="P8585" s="11"/>
    </row>
    <row r="8586" spans="8:16" x14ac:dyDescent="0.25">
      <c r="H8586" s="12"/>
      <c r="I8586" s="12"/>
      <c r="J8586" s="12"/>
      <c r="K8586" s="12"/>
      <c r="L8586" s="12"/>
      <c r="M8586" s="11"/>
      <c r="N8586" s="11"/>
      <c r="O8586" s="11"/>
      <c r="P8586" s="11"/>
    </row>
    <row r="8587" spans="8:16" x14ac:dyDescent="0.25">
      <c r="H8587" s="12"/>
      <c r="I8587" s="12"/>
      <c r="J8587" s="12"/>
      <c r="K8587" s="12"/>
      <c r="L8587" s="12"/>
      <c r="M8587" s="11"/>
      <c r="N8587" s="11"/>
      <c r="O8587" s="11"/>
      <c r="P8587" s="11"/>
    </row>
    <row r="8588" spans="8:16" x14ac:dyDescent="0.25">
      <c r="H8588" s="12"/>
      <c r="I8588" s="12"/>
      <c r="J8588" s="12"/>
      <c r="K8588" s="12"/>
      <c r="L8588" s="12"/>
      <c r="M8588" s="11"/>
      <c r="N8588" s="11"/>
      <c r="O8588" s="11"/>
      <c r="P8588" s="11"/>
    </row>
    <row r="8589" spans="8:16" x14ac:dyDescent="0.25">
      <c r="H8589" s="12"/>
      <c r="I8589" s="12"/>
      <c r="J8589" s="12"/>
      <c r="K8589" s="12"/>
      <c r="L8589" s="12"/>
      <c r="M8589" s="11"/>
      <c r="N8589" s="11"/>
      <c r="O8589" s="11"/>
      <c r="P8589" s="11"/>
    </row>
    <row r="8590" spans="8:16" x14ac:dyDescent="0.25">
      <c r="H8590" s="12"/>
      <c r="I8590" s="12"/>
      <c r="J8590" s="12"/>
      <c r="K8590" s="12"/>
      <c r="L8590" s="12"/>
      <c r="M8590" s="11"/>
      <c r="N8590" s="11"/>
      <c r="O8590" s="11"/>
      <c r="P8590" s="11"/>
    </row>
    <row r="8591" spans="8:16" x14ac:dyDescent="0.25">
      <c r="H8591" s="12"/>
      <c r="I8591" s="12"/>
      <c r="J8591" s="12"/>
      <c r="K8591" s="12"/>
      <c r="L8591" s="12"/>
      <c r="M8591" s="11"/>
      <c r="N8591" s="11"/>
      <c r="O8591" s="11"/>
      <c r="P8591" s="11"/>
    </row>
    <row r="8592" spans="8:16" x14ac:dyDescent="0.25">
      <c r="H8592" s="12"/>
      <c r="I8592" s="12"/>
      <c r="J8592" s="12"/>
      <c r="K8592" s="12"/>
      <c r="L8592" s="12"/>
      <c r="M8592" s="11"/>
      <c r="N8592" s="11"/>
      <c r="O8592" s="11"/>
      <c r="P8592" s="11"/>
    </row>
    <row r="8593" spans="8:16" x14ac:dyDescent="0.25">
      <c r="H8593" s="12"/>
      <c r="I8593" s="12"/>
      <c r="J8593" s="12"/>
      <c r="K8593" s="12"/>
      <c r="L8593" s="12"/>
      <c r="M8593" s="11"/>
      <c r="N8593" s="11"/>
      <c r="O8593" s="11"/>
      <c r="P8593" s="11"/>
    </row>
    <row r="8594" spans="8:16" x14ac:dyDescent="0.25">
      <c r="H8594" s="12"/>
      <c r="I8594" s="12"/>
      <c r="J8594" s="12"/>
      <c r="K8594" s="12"/>
      <c r="L8594" s="12"/>
      <c r="M8594" s="11"/>
      <c r="N8594" s="11"/>
      <c r="O8594" s="11"/>
      <c r="P8594" s="11"/>
    </row>
    <row r="8595" spans="8:16" x14ac:dyDescent="0.25">
      <c r="H8595" s="12"/>
      <c r="I8595" s="12"/>
      <c r="J8595" s="12"/>
      <c r="K8595" s="12"/>
      <c r="L8595" s="12"/>
      <c r="M8595" s="11"/>
      <c r="N8595" s="11"/>
      <c r="O8595" s="11"/>
      <c r="P8595" s="11"/>
    </row>
    <row r="8596" spans="8:16" x14ac:dyDescent="0.25">
      <c r="H8596" s="12"/>
      <c r="I8596" s="12"/>
      <c r="J8596" s="12"/>
      <c r="K8596" s="12"/>
      <c r="L8596" s="12"/>
      <c r="M8596" s="11"/>
      <c r="N8596" s="11"/>
      <c r="O8596" s="11"/>
      <c r="P8596" s="11"/>
    </row>
    <row r="8597" spans="8:16" x14ac:dyDescent="0.25">
      <c r="H8597" s="12"/>
      <c r="I8597" s="12"/>
      <c r="J8597" s="12"/>
      <c r="K8597" s="12"/>
      <c r="L8597" s="12"/>
      <c r="M8597" s="11"/>
      <c r="N8597" s="11"/>
      <c r="O8597" s="11"/>
      <c r="P8597" s="11"/>
    </row>
    <row r="8598" spans="8:16" x14ac:dyDescent="0.25">
      <c r="H8598" s="12"/>
      <c r="I8598" s="12"/>
      <c r="J8598" s="12"/>
      <c r="K8598" s="12"/>
      <c r="L8598" s="12"/>
      <c r="M8598" s="11"/>
      <c r="N8598" s="11"/>
      <c r="O8598" s="11"/>
      <c r="P8598" s="11"/>
    </row>
    <row r="8599" spans="8:16" x14ac:dyDescent="0.25">
      <c r="H8599" s="12"/>
      <c r="I8599" s="12"/>
      <c r="J8599" s="12"/>
      <c r="K8599" s="12"/>
      <c r="L8599" s="12"/>
      <c r="M8599" s="11"/>
      <c r="N8599" s="11"/>
      <c r="O8599" s="11"/>
      <c r="P8599" s="11"/>
    </row>
    <row r="8600" spans="8:16" x14ac:dyDescent="0.25">
      <c r="H8600" s="12"/>
      <c r="I8600" s="12"/>
      <c r="J8600" s="12"/>
      <c r="K8600" s="12"/>
      <c r="L8600" s="12"/>
      <c r="M8600" s="11"/>
      <c r="N8600" s="11"/>
      <c r="O8600" s="11"/>
      <c r="P8600" s="11"/>
    </row>
    <row r="8601" spans="8:16" x14ac:dyDescent="0.25">
      <c r="H8601" s="12"/>
      <c r="I8601" s="12"/>
      <c r="J8601" s="12"/>
      <c r="K8601" s="12"/>
      <c r="L8601" s="12"/>
      <c r="M8601" s="11"/>
      <c r="N8601" s="11"/>
      <c r="O8601" s="11"/>
      <c r="P8601" s="11"/>
    </row>
    <row r="8602" spans="8:16" x14ac:dyDescent="0.25">
      <c r="H8602" s="12"/>
      <c r="I8602" s="12"/>
      <c r="J8602" s="12"/>
      <c r="K8602" s="12"/>
      <c r="L8602" s="12"/>
      <c r="M8602" s="11"/>
      <c r="N8602" s="11"/>
      <c r="O8602" s="11"/>
      <c r="P8602" s="11"/>
    </row>
    <row r="8603" spans="8:16" x14ac:dyDescent="0.25">
      <c r="H8603" s="12"/>
      <c r="I8603" s="12"/>
      <c r="J8603" s="12"/>
      <c r="K8603" s="12"/>
      <c r="L8603" s="12"/>
      <c r="M8603" s="11"/>
      <c r="N8603" s="11"/>
      <c r="O8603" s="11"/>
      <c r="P8603" s="11"/>
    </row>
    <row r="8604" spans="8:16" x14ac:dyDescent="0.25">
      <c r="H8604" s="12"/>
      <c r="I8604" s="12"/>
      <c r="J8604" s="12"/>
      <c r="K8604" s="12"/>
      <c r="L8604" s="12"/>
      <c r="M8604" s="11"/>
      <c r="N8604" s="11"/>
      <c r="O8604" s="11"/>
      <c r="P8604" s="11"/>
    </row>
    <row r="8605" spans="8:16" x14ac:dyDescent="0.25">
      <c r="H8605" s="12"/>
      <c r="I8605" s="12"/>
      <c r="J8605" s="12"/>
      <c r="K8605" s="12"/>
      <c r="L8605" s="12"/>
      <c r="M8605" s="11"/>
      <c r="N8605" s="11"/>
      <c r="O8605" s="11"/>
      <c r="P8605" s="11"/>
    </row>
    <row r="8606" spans="8:16" x14ac:dyDescent="0.25">
      <c r="H8606" s="12"/>
      <c r="I8606" s="12"/>
      <c r="J8606" s="12"/>
      <c r="K8606" s="12"/>
      <c r="L8606" s="12"/>
      <c r="M8606" s="11"/>
      <c r="N8606" s="11"/>
      <c r="O8606" s="11"/>
      <c r="P8606" s="11"/>
    </row>
    <row r="8607" spans="8:16" x14ac:dyDescent="0.25">
      <c r="H8607" s="12"/>
      <c r="I8607" s="12"/>
      <c r="J8607" s="12"/>
      <c r="K8607" s="12"/>
      <c r="L8607" s="12"/>
      <c r="M8607" s="11"/>
      <c r="N8607" s="11"/>
      <c r="O8607" s="11"/>
      <c r="P8607" s="11"/>
    </row>
    <row r="8608" spans="8:16" x14ac:dyDescent="0.25">
      <c r="H8608" s="12"/>
      <c r="I8608" s="12"/>
      <c r="J8608" s="12"/>
      <c r="K8608" s="12"/>
      <c r="L8608" s="12"/>
      <c r="M8608" s="11"/>
      <c r="N8608" s="11"/>
      <c r="O8608" s="11"/>
      <c r="P8608" s="11"/>
    </row>
    <row r="8609" spans="8:16" x14ac:dyDescent="0.25">
      <c r="H8609" s="12"/>
      <c r="I8609" s="12"/>
      <c r="J8609" s="12"/>
      <c r="K8609" s="12"/>
      <c r="L8609" s="12"/>
      <c r="M8609" s="11"/>
      <c r="N8609" s="11"/>
      <c r="O8609" s="11"/>
      <c r="P8609" s="11"/>
    </row>
    <row r="8610" spans="8:16" x14ac:dyDescent="0.25">
      <c r="H8610" s="12"/>
      <c r="I8610" s="12"/>
      <c r="J8610" s="12"/>
      <c r="K8610" s="12"/>
      <c r="L8610" s="12"/>
      <c r="M8610" s="11"/>
      <c r="N8610" s="11"/>
      <c r="O8610" s="11"/>
      <c r="P8610" s="11"/>
    </row>
    <row r="8611" spans="8:16" x14ac:dyDescent="0.25">
      <c r="H8611" s="12"/>
      <c r="I8611" s="12"/>
      <c r="J8611" s="12"/>
      <c r="K8611" s="12"/>
      <c r="L8611" s="12"/>
      <c r="M8611" s="11"/>
      <c r="N8611" s="11"/>
      <c r="O8611" s="11"/>
      <c r="P8611" s="11"/>
    </row>
    <row r="8612" spans="8:16" x14ac:dyDescent="0.25">
      <c r="H8612" s="12"/>
      <c r="I8612" s="12"/>
      <c r="J8612" s="12"/>
      <c r="K8612" s="12"/>
      <c r="L8612" s="12"/>
      <c r="M8612" s="11"/>
      <c r="N8612" s="11"/>
      <c r="O8612" s="11"/>
      <c r="P8612" s="11"/>
    </row>
    <row r="8613" spans="8:16" x14ac:dyDescent="0.25">
      <c r="H8613" s="12"/>
      <c r="I8613" s="12"/>
      <c r="J8613" s="12"/>
      <c r="K8613" s="12"/>
      <c r="L8613" s="12"/>
      <c r="M8613" s="11"/>
      <c r="N8613" s="11"/>
      <c r="O8613" s="11"/>
      <c r="P8613" s="11"/>
    </row>
    <row r="8614" spans="8:16" x14ac:dyDescent="0.25">
      <c r="H8614" s="12"/>
      <c r="I8614" s="12"/>
      <c r="J8614" s="12"/>
      <c r="K8614" s="12"/>
      <c r="L8614" s="12"/>
      <c r="M8614" s="11"/>
      <c r="N8614" s="11"/>
      <c r="O8614" s="11"/>
      <c r="P8614" s="11"/>
    </row>
    <row r="8615" spans="8:16" x14ac:dyDescent="0.25">
      <c r="H8615" s="12"/>
      <c r="I8615" s="12"/>
      <c r="J8615" s="12"/>
      <c r="K8615" s="12"/>
      <c r="L8615" s="12"/>
      <c r="M8615" s="11"/>
      <c r="N8615" s="11"/>
      <c r="O8615" s="11"/>
      <c r="P8615" s="11"/>
    </row>
    <row r="8616" spans="8:16" x14ac:dyDescent="0.25">
      <c r="H8616" s="12"/>
      <c r="I8616" s="12"/>
      <c r="J8616" s="12"/>
      <c r="K8616" s="12"/>
      <c r="L8616" s="12"/>
      <c r="M8616" s="11"/>
      <c r="N8616" s="11"/>
      <c r="O8616" s="11"/>
      <c r="P8616" s="11"/>
    </row>
    <row r="8617" spans="8:16" x14ac:dyDescent="0.25">
      <c r="H8617" s="12"/>
      <c r="I8617" s="12"/>
      <c r="J8617" s="12"/>
      <c r="K8617" s="12"/>
      <c r="L8617" s="12"/>
      <c r="M8617" s="11"/>
      <c r="N8617" s="11"/>
      <c r="O8617" s="11"/>
      <c r="P8617" s="11"/>
    </row>
    <row r="8618" spans="8:16" x14ac:dyDescent="0.25">
      <c r="H8618" s="12"/>
      <c r="I8618" s="12"/>
      <c r="J8618" s="12"/>
      <c r="K8618" s="12"/>
      <c r="L8618" s="12"/>
      <c r="M8618" s="11"/>
      <c r="N8618" s="11"/>
      <c r="O8618" s="11"/>
      <c r="P8618" s="11"/>
    </row>
    <row r="8619" spans="8:16" x14ac:dyDescent="0.25">
      <c r="H8619" s="12"/>
      <c r="I8619" s="12"/>
      <c r="J8619" s="12"/>
      <c r="K8619" s="12"/>
      <c r="L8619" s="12"/>
      <c r="M8619" s="11"/>
      <c r="N8619" s="11"/>
      <c r="O8619" s="11"/>
      <c r="P8619" s="11"/>
    </row>
    <row r="8620" spans="8:16" x14ac:dyDescent="0.25">
      <c r="H8620" s="12"/>
      <c r="I8620" s="12"/>
      <c r="J8620" s="12"/>
      <c r="K8620" s="12"/>
      <c r="L8620" s="12"/>
      <c r="M8620" s="11"/>
      <c r="N8620" s="11"/>
      <c r="O8620" s="11"/>
      <c r="P8620" s="11"/>
    </row>
    <row r="8621" spans="8:16" x14ac:dyDescent="0.25">
      <c r="H8621" s="12"/>
      <c r="I8621" s="12"/>
      <c r="J8621" s="12"/>
      <c r="K8621" s="12"/>
      <c r="L8621" s="12"/>
      <c r="M8621" s="11"/>
      <c r="N8621" s="11"/>
      <c r="O8621" s="11"/>
      <c r="P8621" s="11"/>
    </row>
    <row r="8622" spans="8:16" x14ac:dyDescent="0.25">
      <c r="H8622" s="12"/>
      <c r="I8622" s="12"/>
      <c r="J8622" s="12"/>
      <c r="K8622" s="12"/>
      <c r="L8622" s="12"/>
      <c r="M8622" s="11"/>
      <c r="N8622" s="11"/>
      <c r="O8622" s="11"/>
      <c r="P8622" s="11"/>
    </row>
    <row r="8623" spans="8:16" x14ac:dyDescent="0.25">
      <c r="H8623" s="12"/>
      <c r="I8623" s="12"/>
      <c r="J8623" s="12"/>
      <c r="K8623" s="12"/>
      <c r="L8623" s="12"/>
      <c r="M8623" s="11"/>
      <c r="N8623" s="11"/>
      <c r="O8623" s="11"/>
      <c r="P8623" s="11"/>
    </row>
    <row r="8624" spans="8:16" x14ac:dyDescent="0.25">
      <c r="H8624" s="12"/>
      <c r="I8624" s="12"/>
      <c r="J8624" s="12"/>
      <c r="K8624" s="12"/>
      <c r="L8624" s="12"/>
      <c r="M8624" s="11"/>
      <c r="N8624" s="11"/>
      <c r="O8624" s="11"/>
      <c r="P8624" s="11"/>
    </row>
    <row r="8625" spans="8:16" x14ac:dyDescent="0.25">
      <c r="H8625" s="12"/>
      <c r="I8625" s="12"/>
      <c r="J8625" s="12"/>
      <c r="K8625" s="12"/>
      <c r="L8625" s="12"/>
      <c r="M8625" s="11"/>
      <c r="N8625" s="11"/>
      <c r="O8625" s="11"/>
      <c r="P8625" s="11"/>
    </row>
    <row r="8626" spans="8:16" x14ac:dyDescent="0.25">
      <c r="H8626" s="12"/>
      <c r="I8626" s="12"/>
      <c r="J8626" s="12"/>
      <c r="K8626" s="12"/>
      <c r="L8626" s="12"/>
      <c r="M8626" s="11"/>
      <c r="N8626" s="11"/>
      <c r="O8626" s="11"/>
      <c r="P8626" s="11"/>
    </row>
    <row r="8627" spans="8:16" x14ac:dyDescent="0.25">
      <c r="H8627" s="12"/>
      <c r="I8627" s="12"/>
      <c r="J8627" s="12"/>
      <c r="K8627" s="12"/>
      <c r="L8627" s="12"/>
      <c r="M8627" s="11"/>
      <c r="N8627" s="11"/>
      <c r="O8627" s="11"/>
      <c r="P8627" s="11"/>
    </row>
    <row r="8628" spans="8:16" x14ac:dyDescent="0.25">
      <c r="H8628" s="12"/>
      <c r="I8628" s="12"/>
      <c r="J8628" s="12"/>
      <c r="K8628" s="12"/>
      <c r="L8628" s="12"/>
      <c r="M8628" s="11"/>
      <c r="N8628" s="11"/>
      <c r="O8628" s="11"/>
      <c r="P8628" s="11"/>
    </row>
    <row r="8629" spans="8:16" x14ac:dyDescent="0.25">
      <c r="H8629" s="12"/>
      <c r="I8629" s="12"/>
      <c r="J8629" s="12"/>
      <c r="K8629" s="12"/>
      <c r="L8629" s="12"/>
      <c r="M8629" s="11"/>
      <c r="N8629" s="11"/>
      <c r="O8629" s="11"/>
      <c r="P8629" s="11"/>
    </row>
    <row r="8630" spans="8:16" x14ac:dyDescent="0.25">
      <c r="H8630" s="12"/>
      <c r="I8630" s="12"/>
      <c r="J8630" s="12"/>
      <c r="K8630" s="12"/>
      <c r="L8630" s="12"/>
      <c r="M8630" s="11"/>
      <c r="N8630" s="11"/>
      <c r="O8630" s="11"/>
      <c r="P8630" s="11"/>
    </row>
    <row r="8631" spans="8:16" x14ac:dyDescent="0.25">
      <c r="H8631" s="12"/>
      <c r="I8631" s="12"/>
      <c r="J8631" s="12"/>
      <c r="K8631" s="12"/>
      <c r="L8631" s="12"/>
      <c r="M8631" s="11"/>
      <c r="N8631" s="11"/>
      <c r="O8631" s="11"/>
      <c r="P8631" s="11"/>
    </row>
    <row r="8632" spans="8:16" x14ac:dyDescent="0.25">
      <c r="H8632" s="12"/>
      <c r="I8632" s="12"/>
      <c r="J8632" s="12"/>
      <c r="K8632" s="12"/>
      <c r="L8632" s="12"/>
      <c r="M8632" s="11"/>
      <c r="N8632" s="11"/>
      <c r="O8632" s="11"/>
      <c r="P8632" s="11"/>
    </row>
    <row r="8633" spans="8:16" x14ac:dyDescent="0.25">
      <c r="H8633" s="12"/>
      <c r="I8633" s="12"/>
      <c r="J8633" s="12"/>
      <c r="K8633" s="12"/>
      <c r="L8633" s="12"/>
      <c r="M8633" s="11"/>
      <c r="N8633" s="11"/>
      <c r="O8633" s="11"/>
      <c r="P8633" s="11"/>
    </row>
    <row r="8634" spans="8:16" x14ac:dyDescent="0.25">
      <c r="H8634" s="12"/>
      <c r="I8634" s="12"/>
      <c r="J8634" s="12"/>
      <c r="K8634" s="12"/>
      <c r="L8634" s="12"/>
      <c r="M8634" s="11"/>
      <c r="N8634" s="11"/>
      <c r="O8634" s="11"/>
      <c r="P8634" s="11"/>
    </row>
    <row r="8635" spans="8:16" x14ac:dyDescent="0.25">
      <c r="H8635" s="12"/>
      <c r="I8635" s="12"/>
      <c r="J8635" s="12"/>
      <c r="K8635" s="12"/>
      <c r="L8635" s="12"/>
      <c r="M8635" s="11"/>
      <c r="N8635" s="11"/>
      <c r="O8635" s="11"/>
      <c r="P8635" s="11"/>
    </row>
    <row r="8636" spans="8:16" x14ac:dyDescent="0.25">
      <c r="H8636" s="12"/>
      <c r="I8636" s="12"/>
      <c r="J8636" s="12"/>
      <c r="K8636" s="12"/>
      <c r="L8636" s="12"/>
      <c r="M8636" s="11"/>
      <c r="N8636" s="11"/>
      <c r="O8636" s="11"/>
      <c r="P8636" s="11"/>
    </row>
    <row r="8637" spans="8:16" x14ac:dyDescent="0.25">
      <c r="H8637" s="12"/>
      <c r="I8637" s="12"/>
      <c r="J8637" s="12"/>
      <c r="K8637" s="12"/>
      <c r="L8637" s="12"/>
      <c r="M8637" s="11"/>
      <c r="N8637" s="11"/>
      <c r="O8637" s="11"/>
      <c r="P8637" s="11"/>
    </row>
    <row r="8638" spans="8:16" x14ac:dyDescent="0.25">
      <c r="H8638" s="12"/>
      <c r="I8638" s="12"/>
      <c r="J8638" s="12"/>
      <c r="K8638" s="12"/>
      <c r="L8638" s="12"/>
      <c r="M8638" s="11"/>
      <c r="N8638" s="11"/>
      <c r="O8638" s="11"/>
      <c r="P8638" s="11"/>
    </row>
    <row r="8639" spans="8:16" x14ac:dyDescent="0.25">
      <c r="H8639" s="12"/>
      <c r="I8639" s="12"/>
      <c r="J8639" s="12"/>
      <c r="K8639" s="12"/>
      <c r="L8639" s="12"/>
      <c r="M8639" s="11"/>
      <c r="N8639" s="11"/>
      <c r="O8639" s="11"/>
      <c r="P8639" s="11"/>
    </row>
    <row r="8640" spans="8:16" x14ac:dyDescent="0.25">
      <c r="H8640" s="12"/>
      <c r="I8640" s="12"/>
      <c r="J8640" s="12"/>
      <c r="K8640" s="12"/>
      <c r="L8640" s="12"/>
      <c r="M8640" s="11"/>
      <c r="N8640" s="11"/>
      <c r="O8640" s="11"/>
      <c r="P8640" s="11"/>
    </row>
    <row r="8641" spans="8:16" x14ac:dyDescent="0.25">
      <c r="H8641" s="12"/>
      <c r="I8641" s="12"/>
      <c r="J8641" s="12"/>
      <c r="K8641" s="12"/>
      <c r="L8641" s="12"/>
      <c r="M8641" s="11"/>
      <c r="N8641" s="11"/>
      <c r="O8641" s="11"/>
      <c r="P8641" s="11"/>
    </row>
    <row r="8642" spans="8:16" x14ac:dyDescent="0.25">
      <c r="H8642" s="12"/>
      <c r="I8642" s="12"/>
      <c r="J8642" s="12"/>
      <c r="K8642" s="12"/>
      <c r="L8642" s="12"/>
      <c r="M8642" s="11"/>
      <c r="N8642" s="11"/>
      <c r="O8642" s="11"/>
      <c r="P8642" s="11"/>
    </row>
    <row r="8643" spans="8:16" x14ac:dyDescent="0.25">
      <c r="H8643" s="12"/>
      <c r="I8643" s="12"/>
      <c r="J8643" s="12"/>
      <c r="K8643" s="12"/>
      <c r="L8643" s="12"/>
      <c r="M8643" s="11"/>
      <c r="N8643" s="11"/>
      <c r="O8643" s="11"/>
      <c r="P8643" s="11"/>
    </row>
    <row r="8644" spans="8:16" x14ac:dyDescent="0.25">
      <c r="H8644" s="12"/>
      <c r="I8644" s="12"/>
      <c r="J8644" s="12"/>
      <c r="K8644" s="12"/>
      <c r="L8644" s="12"/>
      <c r="M8644" s="11"/>
      <c r="N8644" s="11"/>
      <c r="O8644" s="11"/>
      <c r="P8644" s="11"/>
    </row>
    <row r="8645" spans="8:16" x14ac:dyDescent="0.25">
      <c r="H8645" s="12"/>
      <c r="I8645" s="12"/>
      <c r="J8645" s="12"/>
      <c r="K8645" s="12"/>
      <c r="L8645" s="12"/>
      <c r="M8645" s="11"/>
      <c r="N8645" s="11"/>
      <c r="O8645" s="11"/>
      <c r="P8645" s="11"/>
    </row>
    <row r="8646" spans="8:16" x14ac:dyDescent="0.25">
      <c r="H8646" s="12"/>
      <c r="I8646" s="12"/>
      <c r="J8646" s="12"/>
      <c r="K8646" s="12"/>
      <c r="L8646" s="12"/>
      <c r="M8646" s="11"/>
      <c r="N8646" s="11"/>
      <c r="O8646" s="11"/>
      <c r="P8646" s="11"/>
    </row>
    <row r="8647" spans="8:16" x14ac:dyDescent="0.25">
      <c r="H8647" s="12"/>
      <c r="I8647" s="12"/>
      <c r="J8647" s="12"/>
      <c r="K8647" s="12"/>
      <c r="L8647" s="12"/>
      <c r="M8647" s="11"/>
      <c r="N8647" s="11"/>
      <c r="O8647" s="11"/>
      <c r="P8647" s="11"/>
    </row>
    <row r="8648" spans="8:16" x14ac:dyDescent="0.25">
      <c r="H8648" s="12"/>
      <c r="I8648" s="12"/>
      <c r="J8648" s="12"/>
      <c r="K8648" s="12"/>
      <c r="L8648" s="12"/>
      <c r="M8648" s="11"/>
      <c r="N8648" s="11"/>
      <c r="O8648" s="11"/>
      <c r="P8648" s="11"/>
    </row>
    <row r="8649" spans="8:16" x14ac:dyDescent="0.25">
      <c r="H8649" s="12"/>
      <c r="I8649" s="12"/>
      <c r="J8649" s="12"/>
      <c r="K8649" s="12"/>
      <c r="L8649" s="12"/>
      <c r="M8649" s="11"/>
      <c r="N8649" s="11"/>
      <c r="O8649" s="11"/>
      <c r="P8649" s="11"/>
    </row>
    <row r="8650" spans="8:16" x14ac:dyDescent="0.25">
      <c r="H8650" s="12"/>
      <c r="I8650" s="12"/>
      <c r="J8650" s="12"/>
      <c r="K8650" s="12"/>
      <c r="L8650" s="12"/>
      <c r="M8650" s="11"/>
      <c r="N8650" s="11"/>
      <c r="O8650" s="11"/>
      <c r="P8650" s="11"/>
    </row>
    <row r="8651" spans="8:16" x14ac:dyDescent="0.25">
      <c r="H8651" s="12"/>
      <c r="I8651" s="12"/>
      <c r="J8651" s="12"/>
      <c r="K8651" s="12"/>
      <c r="L8651" s="12"/>
      <c r="M8651" s="11"/>
      <c r="N8651" s="11"/>
      <c r="O8651" s="11"/>
      <c r="P8651" s="11"/>
    </row>
    <row r="8652" spans="8:16" x14ac:dyDescent="0.25">
      <c r="H8652" s="12"/>
      <c r="I8652" s="12"/>
      <c r="J8652" s="12"/>
      <c r="K8652" s="12"/>
      <c r="L8652" s="12"/>
      <c r="M8652" s="11"/>
      <c r="N8652" s="11"/>
      <c r="O8652" s="11"/>
      <c r="P8652" s="11"/>
    </row>
    <row r="8653" spans="8:16" x14ac:dyDescent="0.25">
      <c r="H8653" s="12"/>
      <c r="I8653" s="12"/>
      <c r="J8653" s="12"/>
      <c r="K8653" s="12"/>
      <c r="L8653" s="12"/>
      <c r="M8653" s="11"/>
      <c r="N8653" s="11"/>
      <c r="O8653" s="11"/>
      <c r="P8653" s="11"/>
    </row>
    <row r="8654" spans="8:16" x14ac:dyDescent="0.25">
      <c r="H8654" s="12"/>
      <c r="I8654" s="12"/>
      <c r="J8654" s="12"/>
      <c r="K8654" s="12"/>
      <c r="L8654" s="12"/>
      <c r="M8654" s="11"/>
      <c r="N8654" s="11"/>
      <c r="O8654" s="11"/>
      <c r="P8654" s="11"/>
    </row>
    <row r="8655" spans="8:16" x14ac:dyDescent="0.25">
      <c r="H8655" s="12"/>
      <c r="I8655" s="12"/>
      <c r="J8655" s="12"/>
      <c r="K8655" s="12"/>
      <c r="L8655" s="12"/>
      <c r="M8655" s="11"/>
      <c r="N8655" s="11"/>
      <c r="O8655" s="11"/>
      <c r="P8655" s="11"/>
    </row>
    <row r="8656" spans="8:16" x14ac:dyDescent="0.25">
      <c r="H8656" s="12"/>
      <c r="I8656" s="12"/>
      <c r="J8656" s="12"/>
      <c r="K8656" s="12"/>
      <c r="L8656" s="12"/>
      <c r="M8656" s="11"/>
      <c r="N8656" s="11"/>
      <c r="O8656" s="11"/>
      <c r="P8656" s="11"/>
    </row>
    <row r="8657" spans="8:16" x14ac:dyDescent="0.25">
      <c r="H8657" s="12"/>
      <c r="I8657" s="12"/>
      <c r="J8657" s="12"/>
      <c r="K8657" s="12"/>
      <c r="L8657" s="12"/>
      <c r="M8657" s="11"/>
      <c r="N8657" s="11"/>
      <c r="O8657" s="11"/>
      <c r="P8657" s="11"/>
    </row>
    <row r="8658" spans="8:16" x14ac:dyDescent="0.25">
      <c r="H8658" s="12"/>
      <c r="I8658" s="12"/>
      <c r="J8658" s="12"/>
      <c r="K8658" s="12"/>
      <c r="L8658" s="12"/>
      <c r="M8658" s="11"/>
      <c r="N8658" s="11"/>
      <c r="O8658" s="11"/>
      <c r="P8658" s="11"/>
    </row>
    <row r="8659" spans="8:16" x14ac:dyDescent="0.25">
      <c r="H8659" s="12"/>
      <c r="I8659" s="12"/>
      <c r="J8659" s="12"/>
      <c r="K8659" s="12"/>
      <c r="L8659" s="12"/>
      <c r="M8659" s="11"/>
      <c r="N8659" s="11"/>
      <c r="O8659" s="11"/>
      <c r="P8659" s="11"/>
    </row>
    <row r="8660" spans="8:16" x14ac:dyDescent="0.25">
      <c r="H8660" s="12"/>
      <c r="I8660" s="12"/>
      <c r="J8660" s="12"/>
      <c r="K8660" s="12"/>
      <c r="L8660" s="12"/>
      <c r="M8660" s="11"/>
      <c r="N8660" s="11"/>
      <c r="O8660" s="11"/>
      <c r="P8660" s="11"/>
    </row>
    <row r="8661" spans="8:16" x14ac:dyDescent="0.25">
      <c r="H8661" s="12"/>
      <c r="I8661" s="12"/>
      <c r="J8661" s="12"/>
      <c r="K8661" s="12"/>
      <c r="L8661" s="12"/>
      <c r="M8661" s="11"/>
      <c r="N8661" s="11"/>
      <c r="O8661" s="11"/>
      <c r="P8661" s="11"/>
    </row>
    <row r="8662" spans="8:16" x14ac:dyDescent="0.25">
      <c r="H8662" s="12"/>
      <c r="I8662" s="12"/>
      <c r="J8662" s="12"/>
      <c r="K8662" s="12"/>
      <c r="L8662" s="12"/>
      <c r="M8662" s="11"/>
      <c r="N8662" s="11"/>
      <c r="O8662" s="11"/>
      <c r="P8662" s="11"/>
    </row>
    <row r="8663" spans="8:16" x14ac:dyDescent="0.25">
      <c r="H8663" s="12"/>
      <c r="I8663" s="12"/>
      <c r="J8663" s="12"/>
      <c r="K8663" s="12"/>
      <c r="L8663" s="12"/>
      <c r="M8663" s="11"/>
      <c r="N8663" s="11"/>
      <c r="O8663" s="11"/>
      <c r="P8663" s="11"/>
    </row>
    <row r="8664" spans="8:16" x14ac:dyDescent="0.25">
      <c r="H8664" s="12"/>
      <c r="I8664" s="12"/>
      <c r="J8664" s="12"/>
      <c r="K8664" s="12"/>
      <c r="L8664" s="12"/>
      <c r="M8664" s="11"/>
      <c r="N8664" s="11"/>
      <c r="O8664" s="11"/>
      <c r="P8664" s="11"/>
    </row>
    <row r="8665" spans="8:16" x14ac:dyDescent="0.25">
      <c r="H8665" s="12"/>
      <c r="I8665" s="12"/>
      <c r="J8665" s="12"/>
      <c r="K8665" s="12"/>
      <c r="L8665" s="12"/>
      <c r="M8665" s="11"/>
      <c r="N8665" s="11"/>
      <c r="O8665" s="11"/>
      <c r="P8665" s="11"/>
    </row>
    <row r="8666" spans="8:16" x14ac:dyDescent="0.25">
      <c r="H8666" s="12"/>
      <c r="I8666" s="12"/>
      <c r="J8666" s="12"/>
      <c r="K8666" s="12"/>
      <c r="L8666" s="12"/>
      <c r="M8666" s="11"/>
      <c r="N8666" s="11"/>
      <c r="O8666" s="11"/>
      <c r="P8666" s="11"/>
    </row>
    <row r="8667" spans="8:16" x14ac:dyDescent="0.25">
      <c r="H8667" s="12"/>
      <c r="I8667" s="12"/>
      <c r="J8667" s="12"/>
      <c r="K8667" s="12"/>
      <c r="L8667" s="12"/>
      <c r="M8667" s="11"/>
      <c r="N8667" s="11"/>
      <c r="O8667" s="11"/>
      <c r="P8667" s="11"/>
    </row>
    <row r="8668" spans="8:16" x14ac:dyDescent="0.25">
      <c r="H8668" s="12"/>
      <c r="I8668" s="12"/>
      <c r="J8668" s="12"/>
      <c r="K8668" s="12"/>
      <c r="L8668" s="12"/>
      <c r="M8668" s="11"/>
      <c r="N8668" s="11"/>
      <c r="O8668" s="11"/>
      <c r="P8668" s="11"/>
    </row>
    <row r="8669" spans="8:16" x14ac:dyDescent="0.25">
      <c r="H8669" s="12"/>
      <c r="I8669" s="12"/>
      <c r="J8669" s="12"/>
      <c r="K8669" s="12"/>
      <c r="L8669" s="12"/>
      <c r="M8669" s="11"/>
      <c r="N8669" s="11"/>
      <c r="O8669" s="11"/>
      <c r="P8669" s="11"/>
    </row>
    <row r="8670" spans="8:16" x14ac:dyDescent="0.25">
      <c r="H8670" s="12"/>
      <c r="I8670" s="12"/>
      <c r="J8670" s="12"/>
      <c r="K8670" s="12"/>
      <c r="L8670" s="12"/>
      <c r="M8670" s="11"/>
      <c r="N8670" s="11"/>
      <c r="O8670" s="11"/>
      <c r="P8670" s="11"/>
    </row>
    <row r="8671" spans="8:16" x14ac:dyDescent="0.25">
      <c r="H8671" s="12"/>
      <c r="I8671" s="12"/>
      <c r="J8671" s="12"/>
      <c r="K8671" s="12"/>
      <c r="L8671" s="12"/>
      <c r="M8671" s="11"/>
      <c r="N8671" s="11"/>
      <c r="O8671" s="11"/>
      <c r="P8671" s="11"/>
    </row>
    <row r="8672" spans="8:16" x14ac:dyDescent="0.25">
      <c r="H8672" s="12"/>
      <c r="I8672" s="12"/>
      <c r="J8672" s="12"/>
      <c r="K8672" s="12"/>
      <c r="L8672" s="12"/>
      <c r="M8672" s="11"/>
      <c r="N8672" s="11"/>
      <c r="O8672" s="11"/>
      <c r="P8672" s="11"/>
    </row>
    <row r="8673" spans="8:16" x14ac:dyDescent="0.25">
      <c r="H8673" s="12"/>
      <c r="I8673" s="12"/>
      <c r="J8673" s="12"/>
      <c r="K8673" s="12"/>
      <c r="L8673" s="12"/>
      <c r="M8673" s="11"/>
      <c r="N8673" s="11"/>
      <c r="O8673" s="11"/>
      <c r="P8673" s="11"/>
    </row>
    <row r="8674" spans="8:16" x14ac:dyDescent="0.25">
      <c r="H8674" s="12"/>
      <c r="I8674" s="12"/>
      <c r="J8674" s="12"/>
      <c r="K8674" s="12"/>
      <c r="L8674" s="12"/>
      <c r="M8674" s="11"/>
      <c r="N8674" s="11"/>
      <c r="O8674" s="11"/>
      <c r="P8674" s="11"/>
    </row>
    <row r="8675" spans="8:16" x14ac:dyDescent="0.25">
      <c r="H8675" s="12"/>
      <c r="I8675" s="12"/>
      <c r="J8675" s="12"/>
      <c r="K8675" s="12"/>
      <c r="L8675" s="12"/>
      <c r="M8675" s="11"/>
      <c r="N8675" s="11"/>
      <c r="O8675" s="11"/>
      <c r="P8675" s="11"/>
    </row>
    <row r="8676" spans="8:16" x14ac:dyDescent="0.25">
      <c r="H8676" s="12"/>
      <c r="I8676" s="12"/>
      <c r="J8676" s="12"/>
      <c r="K8676" s="12"/>
      <c r="L8676" s="12"/>
      <c r="M8676" s="11"/>
      <c r="N8676" s="11"/>
      <c r="O8676" s="11"/>
      <c r="P8676" s="11"/>
    </row>
    <row r="8677" spans="8:16" x14ac:dyDescent="0.25">
      <c r="H8677" s="12"/>
      <c r="I8677" s="12"/>
      <c r="J8677" s="12"/>
      <c r="K8677" s="12"/>
      <c r="L8677" s="12"/>
      <c r="M8677" s="11"/>
      <c r="N8677" s="11"/>
      <c r="O8677" s="11"/>
      <c r="P8677" s="11"/>
    </row>
    <row r="8678" spans="8:16" x14ac:dyDescent="0.25">
      <c r="H8678" s="12"/>
      <c r="I8678" s="12"/>
      <c r="J8678" s="12"/>
      <c r="K8678" s="12"/>
      <c r="L8678" s="12"/>
      <c r="M8678" s="11"/>
      <c r="N8678" s="11"/>
      <c r="O8678" s="11"/>
      <c r="P8678" s="11"/>
    </row>
    <row r="8679" spans="8:16" x14ac:dyDescent="0.25">
      <c r="H8679" s="12"/>
      <c r="I8679" s="12"/>
      <c r="J8679" s="12"/>
      <c r="K8679" s="12"/>
      <c r="L8679" s="12"/>
      <c r="M8679" s="11"/>
      <c r="N8679" s="11"/>
      <c r="O8679" s="11"/>
      <c r="P8679" s="11"/>
    </row>
    <row r="8680" spans="8:16" x14ac:dyDescent="0.25">
      <c r="H8680" s="12"/>
      <c r="I8680" s="12"/>
      <c r="J8680" s="12"/>
      <c r="K8680" s="12"/>
      <c r="L8680" s="12"/>
      <c r="M8680" s="11"/>
      <c r="N8680" s="11"/>
      <c r="O8680" s="11"/>
      <c r="P8680" s="11"/>
    </row>
    <row r="8681" spans="8:16" x14ac:dyDescent="0.25">
      <c r="H8681" s="12"/>
      <c r="I8681" s="12"/>
      <c r="J8681" s="12"/>
      <c r="K8681" s="12"/>
      <c r="L8681" s="12"/>
      <c r="M8681" s="11"/>
      <c r="N8681" s="11"/>
      <c r="O8681" s="11"/>
      <c r="P8681" s="11"/>
    </row>
    <row r="8682" spans="8:16" x14ac:dyDescent="0.25">
      <c r="H8682" s="12"/>
      <c r="I8682" s="12"/>
      <c r="J8682" s="12"/>
      <c r="K8682" s="12"/>
      <c r="L8682" s="12"/>
      <c r="M8682" s="11"/>
      <c r="N8682" s="11"/>
      <c r="O8682" s="11"/>
      <c r="P8682" s="11"/>
    </row>
    <row r="8683" spans="8:16" x14ac:dyDescent="0.25">
      <c r="H8683" s="12"/>
      <c r="I8683" s="12"/>
      <c r="J8683" s="12"/>
      <c r="K8683" s="12"/>
      <c r="L8683" s="12"/>
      <c r="M8683" s="11"/>
      <c r="N8683" s="11"/>
      <c r="O8683" s="11"/>
      <c r="P8683" s="11"/>
    </row>
    <row r="8684" spans="8:16" x14ac:dyDescent="0.25">
      <c r="H8684" s="12"/>
      <c r="I8684" s="12"/>
      <c r="J8684" s="12"/>
      <c r="K8684" s="12"/>
      <c r="L8684" s="12"/>
      <c r="M8684" s="11"/>
      <c r="N8684" s="11"/>
      <c r="O8684" s="11"/>
      <c r="P8684" s="11"/>
    </row>
    <row r="8685" spans="8:16" x14ac:dyDescent="0.25">
      <c r="H8685" s="12"/>
      <c r="I8685" s="12"/>
      <c r="J8685" s="12"/>
      <c r="K8685" s="12"/>
      <c r="L8685" s="12"/>
      <c r="M8685" s="11"/>
      <c r="N8685" s="11"/>
      <c r="O8685" s="11"/>
      <c r="P8685" s="11"/>
    </row>
    <row r="8686" spans="8:16" x14ac:dyDescent="0.25">
      <c r="H8686" s="12"/>
      <c r="I8686" s="12"/>
      <c r="J8686" s="12"/>
      <c r="K8686" s="12"/>
      <c r="L8686" s="12"/>
      <c r="M8686" s="11"/>
      <c r="N8686" s="11"/>
      <c r="O8686" s="11"/>
      <c r="P8686" s="11"/>
    </row>
    <row r="8687" spans="8:16" x14ac:dyDescent="0.25">
      <c r="H8687" s="12"/>
      <c r="I8687" s="12"/>
      <c r="J8687" s="12"/>
      <c r="K8687" s="12"/>
      <c r="L8687" s="12"/>
      <c r="M8687" s="11"/>
      <c r="N8687" s="11"/>
      <c r="O8687" s="11"/>
      <c r="P8687" s="11"/>
    </row>
    <row r="8688" spans="8:16" x14ac:dyDescent="0.25">
      <c r="H8688" s="12"/>
      <c r="I8688" s="12"/>
      <c r="J8688" s="12"/>
      <c r="K8688" s="12"/>
      <c r="L8688" s="12"/>
      <c r="M8688" s="11"/>
      <c r="N8688" s="11"/>
      <c r="O8688" s="11"/>
      <c r="P8688" s="11"/>
    </row>
    <row r="8689" spans="8:16" x14ac:dyDescent="0.25">
      <c r="H8689" s="12"/>
      <c r="I8689" s="12"/>
      <c r="J8689" s="12"/>
      <c r="K8689" s="12"/>
      <c r="L8689" s="12"/>
      <c r="M8689" s="11"/>
      <c r="N8689" s="11"/>
      <c r="O8689" s="11"/>
      <c r="P8689" s="11"/>
    </row>
    <row r="8690" spans="8:16" x14ac:dyDescent="0.25">
      <c r="H8690" s="12"/>
      <c r="I8690" s="12"/>
      <c r="J8690" s="12"/>
      <c r="K8690" s="12"/>
      <c r="L8690" s="12"/>
      <c r="M8690" s="11"/>
      <c r="N8690" s="11"/>
      <c r="O8690" s="11"/>
      <c r="P8690" s="11"/>
    </row>
    <row r="8691" spans="8:16" x14ac:dyDescent="0.25">
      <c r="H8691" s="12"/>
      <c r="I8691" s="12"/>
      <c r="J8691" s="12"/>
      <c r="K8691" s="12"/>
      <c r="L8691" s="12"/>
      <c r="M8691" s="11"/>
      <c r="N8691" s="11"/>
      <c r="O8691" s="11"/>
      <c r="P8691" s="11"/>
    </row>
    <row r="8692" spans="8:16" x14ac:dyDescent="0.25">
      <c r="H8692" s="12"/>
      <c r="I8692" s="12"/>
      <c r="J8692" s="12"/>
      <c r="K8692" s="12"/>
      <c r="L8692" s="12"/>
      <c r="M8692" s="11"/>
      <c r="N8692" s="11"/>
      <c r="O8692" s="11"/>
      <c r="P8692" s="11"/>
    </row>
    <row r="8693" spans="8:16" x14ac:dyDescent="0.25">
      <c r="H8693" s="12"/>
      <c r="I8693" s="12"/>
      <c r="J8693" s="12"/>
      <c r="K8693" s="12"/>
      <c r="L8693" s="12"/>
      <c r="M8693" s="11"/>
      <c r="N8693" s="11"/>
      <c r="O8693" s="11"/>
      <c r="P8693" s="11"/>
    </row>
    <row r="8694" spans="8:16" x14ac:dyDescent="0.25">
      <c r="H8694" s="12"/>
      <c r="I8694" s="12"/>
      <c r="J8694" s="12"/>
      <c r="K8694" s="12"/>
      <c r="L8694" s="12"/>
      <c r="M8694" s="11"/>
      <c r="N8694" s="11"/>
      <c r="O8694" s="11"/>
      <c r="P8694" s="11"/>
    </row>
    <row r="8695" spans="8:16" x14ac:dyDescent="0.25">
      <c r="H8695" s="12"/>
      <c r="I8695" s="12"/>
      <c r="J8695" s="12"/>
      <c r="K8695" s="12"/>
      <c r="L8695" s="12"/>
      <c r="M8695" s="11"/>
      <c r="N8695" s="11"/>
      <c r="O8695" s="11"/>
      <c r="P8695" s="11"/>
    </row>
    <row r="8696" spans="8:16" x14ac:dyDescent="0.25">
      <c r="H8696" s="12"/>
      <c r="I8696" s="12"/>
      <c r="J8696" s="12"/>
      <c r="K8696" s="12"/>
      <c r="L8696" s="12"/>
      <c r="M8696" s="11"/>
      <c r="N8696" s="11"/>
      <c r="O8696" s="11"/>
      <c r="P8696" s="11"/>
    </row>
    <row r="8697" spans="8:16" x14ac:dyDescent="0.25">
      <c r="H8697" s="12"/>
      <c r="I8697" s="12"/>
      <c r="J8697" s="12"/>
      <c r="K8697" s="12"/>
      <c r="L8697" s="12"/>
      <c r="M8697" s="11"/>
      <c r="N8697" s="11"/>
      <c r="O8697" s="11"/>
      <c r="P8697" s="11"/>
    </row>
    <row r="8698" spans="8:16" x14ac:dyDescent="0.25">
      <c r="H8698" s="12"/>
      <c r="I8698" s="12"/>
      <c r="J8698" s="12"/>
      <c r="K8698" s="12"/>
      <c r="L8698" s="12"/>
      <c r="M8698" s="11"/>
      <c r="N8698" s="11"/>
      <c r="O8698" s="11"/>
      <c r="P8698" s="11"/>
    </row>
    <row r="8699" spans="8:16" x14ac:dyDescent="0.25">
      <c r="H8699" s="12"/>
      <c r="I8699" s="12"/>
      <c r="J8699" s="12"/>
      <c r="K8699" s="12"/>
      <c r="L8699" s="12"/>
      <c r="M8699" s="11"/>
      <c r="N8699" s="11"/>
      <c r="O8699" s="11"/>
      <c r="P8699" s="11"/>
    </row>
    <row r="8700" spans="8:16" x14ac:dyDescent="0.25">
      <c r="H8700" s="12"/>
      <c r="I8700" s="12"/>
      <c r="J8700" s="12"/>
      <c r="K8700" s="12"/>
      <c r="L8700" s="12"/>
      <c r="M8700" s="11"/>
      <c r="N8700" s="11"/>
      <c r="O8700" s="11"/>
      <c r="P8700" s="11"/>
    </row>
    <row r="8701" spans="8:16" x14ac:dyDescent="0.25">
      <c r="H8701" s="12"/>
      <c r="I8701" s="12"/>
      <c r="J8701" s="12"/>
      <c r="K8701" s="12"/>
      <c r="L8701" s="12"/>
      <c r="M8701" s="11"/>
      <c r="N8701" s="11"/>
      <c r="O8701" s="11"/>
      <c r="P8701" s="11"/>
    </row>
    <row r="8702" spans="8:16" x14ac:dyDescent="0.25">
      <c r="H8702" s="12"/>
      <c r="I8702" s="12"/>
      <c r="J8702" s="12"/>
      <c r="K8702" s="12"/>
      <c r="L8702" s="12"/>
      <c r="M8702" s="11"/>
      <c r="N8702" s="11"/>
      <c r="O8702" s="11"/>
      <c r="P8702" s="11"/>
    </row>
    <row r="8703" spans="8:16" x14ac:dyDescent="0.25">
      <c r="H8703" s="12"/>
      <c r="I8703" s="12"/>
      <c r="J8703" s="12"/>
      <c r="K8703" s="12"/>
      <c r="L8703" s="12"/>
      <c r="M8703" s="11"/>
      <c r="N8703" s="11"/>
      <c r="O8703" s="11"/>
      <c r="P8703" s="11"/>
    </row>
    <row r="8704" spans="8:16" x14ac:dyDescent="0.25">
      <c r="H8704" s="12"/>
      <c r="I8704" s="12"/>
      <c r="J8704" s="12"/>
      <c r="K8704" s="12"/>
      <c r="L8704" s="12"/>
      <c r="M8704" s="11"/>
      <c r="N8704" s="11"/>
      <c r="O8704" s="11"/>
      <c r="P8704" s="11"/>
    </row>
    <row r="8705" spans="8:16" x14ac:dyDescent="0.25">
      <c r="H8705" s="12"/>
      <c r="I8705" s="12"/>
      <c r="J8705" s="12"/>
      <c r="K8705" s="12"/>
      <c r="L8705" s="12"/>
      <c r="M8705" s="11"/>
      <c r="N8705" s="11"/>
      <c r="O8705" s="11"/>
      <c r="P8705" s="11"/>
    </row>
    <row r="8706" spans="8:16" x14ac:dyDescent="0.25">
      <c r="H8706" s="12"/>
      <c r="I8706" s="12"/>
      <c r="J8706" s="12"/>
      <c r="K8706" s="12"/>
      <c r="L8706" s="12"/>
      <c r="M8706" s="11"/>
      <c r="N8706" s="11"/>
      <c r="O8706" s="11"/>
      <c r="P8706" s="11"/>
    </row>
    <row r="8707" spans="8:16" x14ac:dyDescent="0.25">
      <c r="H8707" s="12"/>
      <c r="I8707" s="12"/>
      <c r="J8707" s="12"/>
      <c r="K8707" s="12"/>
      <c r="L8707" s="12"/>
      <c r="M8707" s="11"/>
      <c r="N8707" s="11"/>
      <c r="O8707" s="11"/>
      <c r="P8707" s="11"/>
    </row>
    <row r="8708" spans="8:16" x14ac:dyDescent="0.25">
      <c r="H8708" s="12"/>
      <c r="I8708" s="12"/>
      <c r="J8708" s="12"/>
      <c r="K8708" s="12"/>
      <c r="L8708" s="12"/>
      <c r="M8708" s="11"/>
      <c r="N8708" s="11"/>
      <c r="O8708" s="11"/>
      <c r="P8708" s="11"/>
    </row>
    <row r="8709" spans="8:16" x14ac:dyDescent="0.25">
      <c r="H8709" s="12"/>
      <c r="I8709" s="12"/>
      <c r="J8709" s="12"/>
      <c r="K8709" s="12"/>
      <c r="L8709" s="12"/>
      <c r="M8709" s="11"/>
      <c r="N8709" s="11"/>
      <c r="O8709" s="11"/>
      <c r="P8709" s="11"/>
    </row>
    <row r="8710" spans="8:16" x14ac:dyDescent="0.25">
      <c r="H8710" s="12"/>
      <c r="I8710" s="12"/>
      <c r="J8710" s="12"/>
      <c r="K8710" s="12"/>
      <c r="L8710" s="12"/>
      <c r="M8710" s="11"/>
      <c r="N8710" s="11"/>
      <c r="O8710" s="11"/>
      <c r="P8710" s="11"/>
    </row>
    <row r="8711" spans="8:16" x14ac:dyDescent="0.25">
      <c r="H8711" s="12"/>
      <c r="I8711" s="12"/>
      <c r="J8711" s="12"/>
      <c r="K8711" s="12"/>
      <c r="L8711" s="12"/>
      <c r="M8711" s="11"/>
      <c r="N8711" s="11"/>
      <c r="O8711" s="11"/>
      <c r="P8711" s="11"/>
    </row>
    <row r="8712" spans="8:16" x14ac:dyDescent="0.25">
      <c r="H8712" s="12"/>
      <c r="I8712" s="12"/>
      <c r="J8712" s="12"/>
      <c r="K8712" s="12"/>
      <c r="L8712" s="12"/>
      <c r="M8712" s="11"/>
      <c r="N8712" s="11"/>
      <c r="O8712" s="11"/>
      <c r="P8712" s="11"/>
    </row>
    <row r="8713" spans="8:16" x14ac:dyDescent="0.25">
      <c r="H8713" s="12"/>
      <c r="I8713" s="12"/>
      <c r="J8713" s="12"/>
      <c r="K8713" s="12"/>
      <c r="L8713" s="12"/>
      <c r="M8713" s="11"/>
      <c r="N8713" s="11"/>
      <c r="O8713" s="11"/>
      <c r="P8713" s="11"/>
    </row>
    <row r="8714" spans="8:16" x14ac:dyDescent="0.25">
      <c r="H8714" s="12"/>
      <c r="I8714" s="12"/>
      <c r="J8714" s="12"/>
      <c r="K8714" s="12"/>
      <c r="L8714" s="12"/>
      <c r="M8714" s="11"/>
      <c r="N8714" s="11"/>
      <c r="O8714" s="11"/>
      <c r="P8714" s="11"/>
    </row>
    <row r="8715" spans="8:16" x14ac:dyDescent="0.25">
      <c r="H8715" s="12"/>
      <c r="I8715" s="12"/>
      <c r="J8715" s="12"/>
      <c r="K8715" s="12"/>
      <c r="L8715" s="12"/>
      <c r="M8715" s="11"/>
      <c r="N8715" s="11"/>
      <c r="O8715" s="11"/>
      <c r="P8715" s="11"/>
    </row>
    <row r="8716" spans="8:16" x14ac:dyDescent="0.25">
      <c r="H8716" s="12"/>
      <c r="I8716" s="12"/>
      <c r="J8716" s="12"/>
      <c r="K8716" s="12"/>
      <c r="L8716" s="12"/>
      <c r="M8716" s="11"/>
      <c r="N8716" s="11"/>
      <c r="O8716" s="11"/>
      <c r="P8716" s="11"/>
    </row>
    <row r="8717" spans="8:16" x14ac:dyDescent="0.25">
      <c r="H8717" s="12"/>
      <c r="I8717" s="12"/>
      <c r="J8717" s="12"/>
      <c r="K8717" s="12"/>
      <c r="L8717" s="12"/>
      <c r="M8717" s="11"/>
      <c r="N8717" s="11"/>
      <c r="O8717" s="11"/>
      <c r="P8717" s="11"/>
    </row>
    <row r="8718" spans="8:16" x14ac:dyDescent="0.25">
      <c r="H8718" s="12"/>
      <c r="I8718" s="12"/>
      <c r="J8718" s="12"/>
      <c r="K8718" s="12"/>
      <c r="L8718" s="12"/>
      <c r="M8718" s="11"/>
      <c r="N8718" s="11"/>
      <c r="O8718" s="11"/>
      <c r="P8718" s="11"/>
    </row>
    <row r="8719" spans="8:16" x14ac:dyDescent="0.25">
      <c r="H8719" s="12"/>
      <c r="I8719" s="12"/>
      <c r="J8719" s="12"/>
      <c r="K8719" s="12"/>
      <c r="L8719" s="12"/>
      <c r="M8719" s="11"/>
      <c r="N8719" s="11"/>
      <c r="O8719" s="11"/>
      <c r="P8719" s="11"/>
    </row>
    <row r="8720" spans="8:16" x14ac:dyDescent="0.25">
      <c r="H8720" s="12"/>
      <c r="I8720" s="12"/>
      <c r="J8720" s="12"/>
      <c r="K8720" s="12"/>
      <c r="L8720" s="12"/>
      <c r="M8720" s="11"/>
      <c r="N8720" s="11"/>
      <c r="O8720" s="11"/>
      <c r="P8720" s="11"/>
    </row>
    <row r="8721" spans="8:16" x14ac:dyDescent="0.25">
      <c r="H8721" s="12"/>
      <c r="I8721" s="12"/>
      <c r="J8721" s="12"/>
      <c r="K8721" s="12"/>
      <c r="L8721" s="12"/>
      <c r="M8721" s="11"/>
      <c r="N8721" s="11"/>
      <c r="O8721" s="11"/>
      <c r="P8721" s="11"/>
    </row>
    <row r="8722" spans="8:16" x14ac:dyDescent="0.25">
      <c r="H8722" s="12"/>
      <c r="I8722" s="12"/>
      <c r="J8722" s="12"/>
      <c r="K8722" s="12"/>
      <c r="L8722" s="12"/>
      <c r="M8722" s="11"/>
      <c r="N8722" s="11"/>
      <c r="O8722" s="11"/>
      <c r="P8722" s="11"/>
    </row>
    <row r="8723" spans="8:16" x14ac:dyDescent="0.25">
      <c r="H8723" s="12"/>
      <c r="I8723" s="12"/>
      <c r="J8723" s="12"/>
      <c r="K8723" s="12"/>
      <c r="L8723" s="12"/>
      <c r="M8723" s="11"/>
      <c r="N8723" s="11"/>
      <c r="O8723" s="11"/>
      <c r="P8723" s="11"/>
    </row>
    <row r="8724" spans="8:16" x14ac:dyDescent="0.25">
      <c r="H8724" s="12"/>
      <c r="I8724" s="12"/>
      <c r="J8724" s="12"/>
      <c r="K8724" s="12"/>
      <c r="L8724" s="12"/>
      <c r="M8724" s="11"/>
      <c r="N8724" s="11"/>
      <c r="O8724" s="11"/>
      <c r="P8724" s="11"/>
    </row>
    <row r="8725" spans="8:16" x14ac:dyDescent="0.25">
      <c r="H8725" s="12"/>
      <c r="I8725" s="12"/>
      <c r="J8725" s="12"/>
      <c r="K8725" s="12"/>
      <c r="L8725" s="12"/>
      <c r="M8725" s="11"/>
      <c r="N8725" s="11"/>
      <c r="O8725" s="11"/>
      <c r="P8725" s="11"/>
    </row>
    <row r="8726" spans="8:16" x14ac:dyDescent="0.25">
      <c r="H8726" s="12"/>
      <c r="I8726" s="12"/>
      <c r="J8726" s="12"/>
      <c r="K8726" s="12"/>
      <c r="L8726" s="12"/>
      <c r="M8726" s="11"/>
      <c r="N8726" s="11"/>
      <c r="O8726" s="11"/>
      <c r="P8726" s="11"/>
    </row>
    <row r="8727" spans="8:16" x14ac:dyDescent="0.25">
      <c r="H8727" s="12"/>
      <c r="I8727" s="12"/>
      <c r="J8727" s="12"/>
      <c r="K8727" s="12"/>
      <c r="L8727" s="12"/>
      <c r="M8727" s="11"/>
      <c r="N8727" s="11"/>
      <c r="O8727" s="11"/>
      <c r="P8727" s="11"/>
    </row>
    <row r="8728" spans="8:16" x14ac:dyDescent="0.25">
      <c r="H8728" s="12"/>
      <c r="I8728" s="12"/>
      <c r="J8728" s="12"/>
      <c r="K8728" s="12"/>
      <c r="L8728" s="12"/>
      <c r="M8728" s="11"/>
      <c r="N8728" s="11"/>
      <c r="O8728" s="11"/>
      <c r="P8728" s="11"/>
    </row>
    <row r="8729" spans="8:16" x14ac:dyDescent="0.25">
      <c r="H8729" s="12"/>
      <c r="I8729" s="12"/>
      <c r="J8729" s="12"/>
      <c r="K8729" s="12"/>
      <c r="L8729" s="12"/>
      <c r="M8729" s="11"/>
      <c r="N8729" s="11"/>
      <c r="O8729" s="11"/>
      <c r="P8729" s="11"/>
    </row>
    <row r="8730" spans="8:16" x14ac:dyDescent="0.25">
      <c r="H8730" s="12"/>
      <c r="I8730" s="12"/>
      <c r="J8730" s="12"/>
      <c r="K8730" s="12"/>
      <c r="L8730" s="12"/>
      <c r="M8730" s="11"/>
      <c r="N8730" s="11"/>
      <c r="O8730" s="11"/>
      <c r="P8730" s="11"/>
    </row>
    <row r="8731" spans="8:16" x14ac:dyDescent="0.25">
      <c r="H8731" s="12"/>
      <c r="I8731" s="12"/>
      <c r="J8731" s="12"/>
      <c r="K8731" s="12"/>
      <c r="L8731" s="12"/>
      <c r="M8731" s="11"/>
      <c r="N8731" s="11"/>
      <c r="O8731" s="11"/>
      <c r="P8731" s="11"/>
    </row>
    <row r="8732" spans="8:16" x14ac:dyDescent="0.25">
      <c r="H8732" s="12"/>
      <c r="I8732" s="12"/>
      <c r="J8732" s="12"/>
      <c r="K8732" s="12"/>
      <c r="L8732" s="12"/>
      <c r="M8732" s="11"/>
      <c r="N8732" s="11"/>
      <c r="O8732" s="11"/>
      <c r="P8732" s="11"/>
    </row>
    <row r="8733" spans="8:16" x14ac:dyDescent="0.25">
      <c r="H8733" s="12"/>
      <c r="I8733" s="12"/>
      <c r="J8733" s="12"/>
      <c r="K8733" s="12"/>
      <c r="L8733" s="12"/>
      <c r="M8733" s="11"/>
      <c r="N8733" s="11"/>
      <c r="O8733" s="11"/>
      <c r="P8733" s="11"/>
    </row>
    <row r="8734" spans="8:16" x14ac:dyDescent="0.25">
      <c r="H8734" s="12"/>
      <c r="I8734" s="12"/>
      <c r="J8734" s="12"/>
      <c r="K8734" s="12"/>
      <c r="L8734" s="12"/>
      <c r="M8734" s="11"/>
      <c r="N8734" s="11"/>
      <c r="O8734" s="11"/>
      <c r="P8734" s="11"/>
    </row>
    <row r="8735" spans="8:16" x14ac:dyDescent="0.25">
      <c r="H8735" s="12"/>
      <c r="I8735" s="12"/>
      <c r="J8735" s="12"/>
      <c r="K8735" s="12"/>
      <c r="L8735" s="12"/>
      <c r="M8735" s="11"/>
      <c r="N8735" s="11"/>
      <c r="O8735" s="11"/>
      <c r="P8735" s="11"/>
    </row>
    <row r="8736" spans="8:16" x14ac:dyDescent="0.25">
      <c r="H8736" s="12"/>
      <c r="I8736" s="12"/>
      <c r="J8736" s="12"/>
      <c r="K8736" s="12"/>
      <c r="L8736" s="12"/>
      <c r="M8736" s="11"/>
      <c r="N8736" s="11"/>
      <c r="O8736" s="11"/>
      <c r="P8736" s="11"/>
    </row>
    <row r="8737" spans="8:16" x14ac:dyDescent="0.25">
      <c r="H8737" s="12"/>
      <c r="I8737" s="12"/>
      <c r="J8737" s="12"/>
      <c r="K8737" s="12"/>
      <c r="L8737" s="12"/>
      <c r="M8737" s="11"/>
      <c r="N8737" s="11"/>
      <c r="O8737" s="11"/>
      <c r="P8737" s="11"/>
    </row>
    <row r="8738" spans="8:16" x14ac:dyDescent="0.25">
      <c r="H8738" s="12"/>
      <c r="I8738" s="12"/>
      <c r="J8738" s="12"/>
      <c r="K8738" s="12"/>
      <c r="L8738" s="12"/>
      <c r="M8738" s="11"/>
      <c r="N8738" s="11"/>
      <c r="O8738" s="11"/>
      <c r="P8738" s="11"/>
    </row>
    <row r="8739" spans="8:16" x14ac:dyDescent="0.25">
      <c r="H8739" s="12"/>
      <c r="I8739" s="12"/>
      <c r="J8739" s="12"/>
      <c r="K8739" s="12"/>
      <c r="L8739" s="12"/>
      <c r="M8739" s="11"/>
      <c r="N8739" s="11"/>
      <c r="O8739" s="11"/>
      <c r="P8739" s="11"/>
    </row>
    <row r="8740" spans="8:16" x14ac:dyDescent="0.25">
      <c r="H8740" s="12"/>
      <c r="I8740" s="12"/>
      <c r="J8740" s="12"/>
      <c r="K8740" s="12"/>
      <c r="L8740" s="12"/>
      <c r="M8740" s="11"/>
      <c r="N8740" s="11"/>
      <c r="O8740" s="11"/>
      <c r="P8740" s="11"/>
    </row>
    <row r="8741" spans="8:16" x14ac:dyDescent="0.25">
      <c r="H8741" s="12"/>
      <c r="I8741" s="12"/>
      <c r="J8741" s="12"/>
      <c r="K8741" s="12"/>
      <c r="L8741" s="12"/>
      <c r="M8741" s="11"/>
      <c r="N8741" s="11"/>
      <c r="O8741" s="11"/>
      <c r="P8741" s="11"/>
    </row>
    <row r="8742" spans="8:16" x14ac:dyDescent="0.25">
      <c r="H8742" s="12"/>
      <c r="I8742" s="12"/>
      <c r="J8742" s="12"/>
      <c r="K8742" s="12"/>
      <c r="L8742" s="12"/>
      <c r="M8742" s="11"/>
      <c r="N8742" s="11"/>
      <c r="O8742" s="11"/>
      <c r="P8742" s="11"/>
    </row>
    <row r="8743" spans="8:16" x14ac:dyDescent="0.25">
      <c r="H8743" s="12"/>
      <c r="I8743" s="12"/>
      <c r="J8743" s="12"/>
      <c r="K8743" s="12"/>
      <c r="L8743" s="12"/>
      <c r="M8743" s="11"/>
      <c r="N8743" s="11"/>
      <c r="O8743" s="11"/>
      <c r="P8743" s="11"/>
    </row>
    <row r="8744" spans="8:16" x14ac:dyDescent="0.25">
      <c r="H8744" s="12"/>
      <c r="I8744" s="12"/>
      <c r="J8744" s="12"/>
      <c r="K8744" s="12"/>
      <c r="L8744" s="12"/>
      <c r="M8744" s="11"/>
      <c r="N8744" s="11"/>
      <c r="O8744" s="11"/>
      <c r="P8744" s="11"/>
    </row>
    <row r="8745" spans="8:16" x14ac:dyDescent="0.25">
      <c r="H8745" s="12"/>
      <c r="I8745" s="12"/>
      <c r="J8745" s="12"/>
      <c r="K8745" s="12"/>
      <c r="L8745" s="12"/>
      <c r="M8745" s="11"/>
      <c r="N8745" s="11"/>
      <c r="O8745" s="11"/>
      <c r="P8745" s="11"/>
    </row>
    <row r="8746" spans="8:16" x14ac:dyDescent="0.25">
      <c r="H8746" s="12"/>
      <c r="I8746" s="12"/>
      <c r="J8746" s="12"/>
      <c r="K8746" s="12"/>
      <c r="L8746" s="12"/>
      <c r="M8746" s="11"/>
      <c r="N8746" s="11"/>
      <c r="O8746" s="11"/>
      <c r="P8746" s="11"/>
    </row>
    <row r="8747" spans="8:16" x14ac:dyDescent="0.25">
      <c r="H8747" s="12"/>
      <c r="I8747" s="12"/>
      <c r="J8747" s="12"/>
      <c r="K8747" s="12"/>
      <c r="L8747" s="12"/>
      <c r="M8747" s="11"/>
      <c r="N8747" s="11"/>
      <c r="O8747" s="11"/>
      <c r="P8747" s="11"/>
    </row>
    <row r="8748" spans="8:16" x14ac:dyDescent="0.25">
      <c r="H8748" s="12"/>
      <c r="I8748" s="12"/>
      <c r="J8748" s="12"/>
      <c r="K8748" s="12"/>
      <c r="L8748" s="12"/>
      <c r="M8748" s="11"/>
      <c r="N8748" s="11"/>
      <c r="O8748" s="11"/>
      <c r="P8748" s="11"/>
    </row>
    <row r="8749" spans="8:16" x14ac:dyDescent="0.25">
      <c r="H8749" s="12"/>
      <c r="I8749" s="12"/>
      <c r="J8749" s="12"/>
      <c r="K8749" s="12"/>
      <c r="L8749" s="12"/>
      <c r="M8749" s="11"/>
      <c r="N8749" s="11"/>
      <c r="O8749" s="11"/>
      <c r="P8749" s="11"/>
    </row>
    <row r="8750" spans="8:16" x14ac:dyDescent="0.25">
      <c r="H8750" s="12"/>
      <c r="I8750" s="12"/>
      <c r="J8750" s="12"/>
      <c r="K8750" s="12"/>
      <c r="L8750" s="12"/>
      <c r="M8750" s="11"/>
      <c r="N8750" s="11"/>
      <c r="O8750" s="11"/>
      <c r="P8750" s="11"/>
    </row>
    <row r="8751" spans="8:16" x14ac:dyDescent="0.25">
      <c r="H8751" s="12"/>
      <c r="I8751" s="12"/>
      <c r="J8751" s="12"/>
      <c r="K8751" s="12"/>
      <c r="L8751" s="12"/>
      <c r="M8751" s="11"/>
      <c r="N8751" s="11"/>
      <c r="O8751" s="11"/>
      <c r="P8751" s="11"/>
    </row>
    <row r="8752" spans="8:16" x14ac:dyDescent="0.25">
      <c r="H8752" s="12"/>
      <c r="I8752" s="12"/>
      <c r="J8752" s="12"/>
      <c r="K8752" s="12"/>
      <c r="L8752" s="12"/>
      <c r="M8752" s="11"/>
      <c r="N8752" s="11"/>
      <c r="O8752" s="11"/>
      <c r="P8752" s="11"/>
    </row>
    <row r="8753" spans="8:16" x14ac:dyDescent="0.25">
      <c r="H8753" s="12"/>
      <c r="I8753" s="12"/>
      <c r="J8753" s="12"/>
      <c r="K8753" s="12"/>
      <c r="L8753" s="12"/>
      <c r="M8753" s="11"/>
      <c r="N8753" s="11"/>
      <c r="O8753" s="11"/>
      <c r="P8753" s="11"/>
    </row>
    <row r="8754" spans="8:16" x14ac:dyDescent="0.25">
      <c r="H8754" s="12"/>
      <c r="I8754" s="12"/>
      <c r="J8754" s="12"/>
      <c r="K8754" s="12"/>
      <c r="L8754" s="12"/>
      <c r="M8754" s="11"/>
      <c r="N8754" s="11"/>
      <c r="O8754" s="11"/>
      <c r="P8754" s="11"/>
    </row>
    <row r="8755" spans="8:16" x14ac:dyDescent="0.25">
      <c r="H8755" s="12"/>
      <c r="I8755" s="12"/>
      <c r="J8755" s="12"/>
      <c r="K8755" s="12"/>
      <c r="L8755" s="12"/>
      <c r="M8755" s="11"/>
      <c r="N8755" s="11"/>
      <c r="O8755" s="11"/>
      <c r="P8755" s="11"/>
    </row>
    <row r="8756" spans="8:16" x14ac:dyDescent="0.25">
      <c r="H8756" s="12"/>
      <c r="I8756" s="12"/>
      <c r="J8756" s="12"/>
      <c r="K8756" s="12"/>
      <c r="L8756" s="12"/>
      <c r="M8756" s="11"/>
      <c r="N8756" s="11"/>
      <c r="O8756" s="11"/>
      <c r="P8756" s="11"/>
    </row>
    <row r="8757" spans="8:16" x14ac:dyDescent="0.25">
      <c r="H8757" s="12"/>
      <c r="I8757" s="12"/>
      <c r="J8757" s="12"/>
      <c r="K8757" s="12"/>
      <c r="L8757" s="12"/>
      <c r="M8757" s="11"/>
      <c r="N8757" s="11"/>
      <c r="O8757" s="11"/>
      <c r="P8757" s="11"/>
    </row>
    <row r="8758" spans="8:16" x14ac:dyDescent="0.25">
      <c r="H8758" s="12"/>
      <c r="I8758" s="12"/>
      <c r="J8758" s="12"/>
      <c r="K8758" s="12"/>
      <c r="L8758" s="12"/>
      <c r="M8758" s="11"/>
      <c r="N8758" s="11"/>
      <c r="O8758" s="11"/>
      <c r="P8758" s="11"/>
    </row>
    <row r="8759" spans="8:16" x14ac:dyDescent="0.25">
      <c r="H8759" s="12"/>
      <c r="I8759" s="12"/>
      <c r="J8759" s="12"/>
      <c r="K8759" s="12"/>
      <c r="L8759" s="12"/>
      <c r="M8759" s="11"/>
      <c r="N8759" s="11"/>
      <c r="O8759" s="11"/>
      <c r="P8759" s="11"/>
    </row>
    <row r="8760" spans="8:16" x14ac:dyDescent="0.25">
      <c r="H8760" s="12"/>
      <c r="I8760" s="12"/>
      <c r="J8760" s="12"/>
      <c r="K8760" s="12"/>
      <c r="L8760" s="12"/>
      <c r="M8760" s="11"/>
      <c r="N8760" s="11"/>
      <c r="O8760" s="11"/>
      <c r="P8760" s="11"/>
    </row>
    <row r="8761" spans="8:16" x14ac:dyDescent="0.25">
      <c r="H8761" s="12"/>
      <c r="I8761" s="12"/>
      <c r="J8761" s="12"/>
      <c r="K8761" s="12"/>
      <c r="L8761" s="12"/>
      <c r="M8761" s="11"/>
      <c r="N8761" s="11"/>
      <c r="O8761" s="11"/>
      <c r="P8761" s="11"/>
    </row>
    <row r="8762" spans="8:16" x14ac:dyDescent="0.25">
      <c r="H8762" s="12"/>
      <c r="I8762" s="12"/>
      <c r="J8762" s="12"/>
      <c r="K8762" s="12"/>
      <c r="L8762" s="12"/>
      <c r="M8762" s="11"/>
      <c r="N8762" s="11"/>
      <c r="O8762" s="11"/>
      <c r="P8762" s="11"/>
    </row>
    <row r="8763" spans="8:16" x14ac:dyDescent="0.25">
      <c r="H8763" s="12"/>
      <c r="I8763" s="12"/>
      <c r="J8763" s="12"/>
      <c r="K8763" s="12"/>
      <c r="L8763" s="12"/>
      <c r="M8763" s="11"/>
      <c r="N8763" s="11"/>
      <c r="O8763" s="11"/>
      <c r="P8763" s="11"/>
    </row>
    <row r="8764" spans="8:16" x14ac:dyDescent="0.25">
      <c r="H8764" s="12"/>
      <c r="I8764" s="12"/>
      <c r="J8764" s="12"/>
      <c r="K8764" s="12"/>
      <c r="L8764" s="12"/>
      <c r="M8764" s="11"/>
      <c r="N8764" s="11"/>
      <c r="O8764" s="11"/>
      <c r="P8764" s="11"/>
    </row>
    <row r="8765" spans="8:16" x14ac:dyDescent="0.25">
      <c r="H8765" s="12"/>
      <c r="I8765" s="12"/>
      <c r="J8765" s="12"/>
      <c r="K8765" s="12"/>
      <c r="L8765" s="12"/>
      <c r="M8765" s="11"/>
      <c r="N8765" s="11"/>
      <c r="O8765" s="11"/>
      <c r="P8765" s="11"/>
    </row>
    <row r="8766" spans="8:16" x14ac:dyDescent="0.25">
      <c r="H8766" s="12"/>
      <c r="I8766" s="12"/>
      <c r="J8766" s="12"/>
      <c r="K8766" s="12"/>
      <c r="L8766" s="12"/>
      <c r="M8766" s="11"/>
      <c r="N8766" s="11"/>
      <c r="O8766" s="11"/>
      <c r="P8766" s="11"/>
    </row>
    <row r="8767" spans="8:16" x14ac:dyDescent="0.25">
      <c r="H8767" s="12"/>
      <c r="I8767" s="12"/>
      <c r="J8767" s="12"/>
      <c r="K8767" s="12"/>
      <c r="L8767" s="12"/>
      <c r="M8767" s="11"/>
      <c r="N8767" s="11"/>
      <c r="O8767" s="11"/>
      <c r="P8767" s="11"/>
    </row>
    <row r="8768" spans="8:16" x14ac:dyDescent="0.25">
      <c r="H8768" s="12"/>
      <c r="I8768" s="12"/>
      <c r="J8768" s="12"/>
      <c r="K8768" s="12"/>
      <c r="L8768" s="12"/>
      <c r="M8768" s="11"/>
      <c r="N8768" s="11"/>
      <c r="O8768" s="11"/>
      <c r="P8768" s="11"/>
    </row>
    <row r="8769" spans="8:16" x14ac:dyDescent="0.25">
      <c r="H8769" s="12"/>
      <c r="I8769" s="12"/>
      <c r="J8769" s="12"/>
      <c r="K8769" s="12"/>
      <c r="L8769" s="12"/>
      <c r="M8769" s="11"/>
      <c r="N8769" s="11"/>
      <c r="O8769" s="11"/>
      <c r="P8769" s="11"/>
    </row>
    <row r="8770" spans="8:16" x14ac:dyDescent="0.25">
      <c r="H8770" s="12"/>
      <c r="I8770" s="12"/>
      <c r="J8770" s="12"/>
      <c r="K8770" s="12"/>
      <c r="L8770" s="12"/>
      <c r="M8770" s="11"/>
      <c r="N8770" s="11"/>
      <c r="O8770" s="11"/>
      <c r="P8770" s="11"/>
    </row>
    <row r="8771" spans="8:16" x14ac:dyDescent="0.25">
      <c r="H8771" s="12"/>
      <c r="I8771" s="12"/>
      <c r="J8771" s="12"/>
      <c r="K8771" s="12"/>
      <c r="L8771" s="12"/>
      <c r="M8771" s="11"/>
      <c r="N8771" s="11"/>
      <c r="O8771" s="11"/>
      <c r="P8771" s="11"/>
    </row>
    <row r="8772" spans="8:16" x14ac:dyDescent="0.25">
      <c r="H8772" s="12"/>
      <c r="I8772" s="12"/>
      <c r="J8772" s="12"/>
      <c r="K8772" s="12"/>
      <c r="L8772" s="12"/>
      <c r="M8772" s="11"/>
      <c r="N8772" s="11"/>
      <c r="O8772" s="11"/>
      <c r="P8772" s="11"/>
    </row>
    <row r="8773" spans="8:16" x14ac:dyDescent="0.25">
      <c r="H8773" s="12"/>
      <c r="I8773" s="12"/>
      <c r="J8773" s="12"/>
      <c r="K8773" s="12"/>
      <c r="L8773" s="12"/>
      <c r="M8773" s="11"/>
      <c r="N8773" s="11"/>
      <c r="O8773" s="11"/>
      <c r="P8773" s="11"/>
    </row>
    <row r="8774" spans="8:16" x14ac:dyDescent="0.25">
      <c r="H8774" s="12"/>
      <c r="I8774" s="12"/>
      <c r="J8774" s="12"/>
      <c r="K8774" s="12"/>
      <c r="L8774" s="12"/>
      <c r="M8774" s="11"/>
      <c r="N8774" s="11"/>
      <c r="O8774" s="11"/>
      <c r="P8774" s="11"/>
    </row>
    <row r="8775" spans="8:16" x14ac:dyDescent="0.25">
      <c r="H8775" s="12"/>
      <c r="I8775" s="12"/>
      <c r="J8775" s="12"/>
      <c r="K8775" s="12"/>
      <c r="L8775" s="12"/>
      <c r="M8775" s="11"/>
      <c r="N8775" s="11"/>
      <c r="O8775" s="11"/>
      <c r="P8775" s="11"/>
    </row>
    <row r="8776" spans="8:16" x14ac:dyDescent="0.25">
      <c r="H8776" s="12"/>
      <c r="I8776" s="12"/>
      <c r="J8776" s="12"/>
      <c r="K8776" s="12"/>
      <c r="L8776" s="12"/>
      <c r="M8776" s="11"/>
      <c r="N8776" s="11"/>
      <c r="O8776" s="11"/>
      <c r="P8776" s="11"/>
    </row>
    <row r="8777" spans="8:16" x14ac:dyDescent="0.25">
      <c r="H8777" s="12"/>
      <c r="I8777" s="12"/>
      <c r="J8777" s="12"/>
      <c r="K8777" s="12"/>
      <c r="L8777" s="12"/>
      <c r="M8777" s="11"/>
      <c r="N8777" s="11"/>
      <c r="O8777" s="11"/>
      <c r="P8777" s="11"/>
    </row>
    <row r="8778" spans="8:16" x14ac:dyDescent="0.25">
      <c r="H8778" s="12"/>
      <c r="I8778" s="12"/>
      <c r="J8778" s="12"/>
      <c r="K8778" s="12"/>
      <c r="L8778" s="12"/>
      <c r="M8778" s="11"/>
      <c r="N8778" s="11"/>
      <c r="O8778" s="11"/>
      <c r="P8778" s="11"/>
    </row>
    <row r="8779" spans="8:16" x14ac:dyDescent="0.25">
      <c r="H8779" s="12"/>
      <c r="I8779" s="12"/>
      <c r="J8779" s="12"/>
      <c r="K8779" s="12"/>
      <c r="L8779" s="12"/>
      <c r="M8779" s="11"/>
      <c r="N8779" s="11"/>
      <c r="O8779" s="11"/>
      <c r="P8779" s="11"/>
    </row>
    <row r="8780" spans="8:16" x14ac:dyDescent="0.25">
      <c r="H8780" s="12"/>
      <c r="I8780" s="12"/>
      <c r="J8780" s="12"/>
      <c r="K8780" s="12"/>
      <c r="L8780" s="12"/>
      <c r="M8780" s="11"/>
      <c r="N8780" s="11"/>
      <c r="O8780" s="11"/>
      <c r="P8780" s="11"/>
    </row>
    <row r="8781" spans="8:16" x14ac:dyDescent="0.25">
      <c r="H8781" s="12"/>
      <c r="I8781" s="12"/>
      <c r="J8781" s="12"/>
      <c r="K8781" s="12"/>
      <c r="L8781" s="12"/>
      <c r="M8781" s="11"/>
      <c r="N8781" s="11"/>
      <c r="O8781" s="11"/>
      <c r="P8781" s="11"/>
    </row>
    <row r="8782" spans="8:16" x14ac:dyDescent="0.25">
      <c r="H8782" s="12"/>
      <c r="I8782" s="12"/>
      <c r="J8782" s="12"/>
      <c r="K8782" s="12"/>
      <c r="L8782" s="12"/>
      <c r="M8782" s="11"/>
      <c r="N8782" s="11"/>
      <c r="O8782" s="11"/>
      <c r="P8782" s="11"/>
    </row>
    <row r="8783" spans="8:16" x14ac:dyDescent="0.25">
      <c r="H8783" s="12"/>
      <c r="I8783" s="12"/>
      <c r="J8783" s="12"/>
      <c r="K8783" s="12"/>
      <c r="L8783" s="12"/>
      <c r="M8783" s="11"/>
      <c r="N8783" s="11"/>
      <c r="O8783" s="11"/>
      <c r="P8783" s="11"/>
    </row>
    <row r="8784" spans="8:16" x14ac:dyDescent="0.25">
      <c r="H8784" s="12"/>
      <c r="I8784" s="12"/>
      <c r="J8784" s="12"/>
      <c r="K8784" s="12"/>
      <c r="L8784" s="12"/>
      <c r="M8784" s="11"/>
      <c r="N8784" s="11"/>
      <c r="O8784" s="11"/>
      <c r="P8784" s="11"/>
    </row>
    <row r="8785" spans="8:16" x14ac:dyDescent="0.25">
      <c r="H8785" s="12"/>
      <c r="I8785" s="12"/>
      <c r="J8785" s="12"/>
      <c r="K8785" s="12"/>
      <c r="L8785" s="12"/>
      <c r="M8785" s="11"/>
      <c r="N8785" s="11"/>
      <c r="O8785" s="11"/>
      <c r="P8785" s="11"/>
    </row>
    <row r="8786" spans="8:16" x14ac:dyDescent="0.25">
      <c r="H8786" s="12"/>
      <c r="I8786" s="12"/>
      <c r="J8786" s="12"/>
      <c r="K8786" s="12"/>
      <c r="L8786" s="12"/>
      <c r="M8786" s="11"/>
      <c r="N8786" s="11"/>
      <c r="O8786" s="11"/>
      <c r="P8786" s="11"/>
    </row>
    <row r="8787" spans="8:16" x14ac:dyDescent="0.25">
      <c r="H8787" s="12"/>
      <c r="I8787" s="12"/>
      <c r="J8787" s="12"/>
      <c r="K8787" s="12"/>
      <c r="L8787" s="12"/>
      <c r="M8787" s="11"/>
      <c r="N8787" s="11"/>
      <c r="O8787" s="11"/>
      <c r="P8787" s="11"/>
    </row>
    <row r="8788" spans="8:16" x14ac:dyDescent="0.25">
      <c r="H8788" s="12"/>
      <c r="I8788" s="12"/>
      <c r="J8788" s="12"/>
      <c r="K8788" s="12"/>
      <c r="L8788" s="12"/>
      <c r="M8788" s="11"/>
      <c r="N8788" s="11"/>
      <c r="O8788" s="11"/>
      <c r="P8788" s="11"/>
    </row>
    <row r="8789" spans="8:16" x14ac:dyDescent="0.25">
      <c r="H8789" s="12"/>
      <c r="I8789" s="12"/>
      <c r="J8789" s="12"/>
      <c r="K8789" s="12"/>
      <c r="L8789" s="12"/>
      <c r="M8789" s="11"/>
      <c r="N8789" s="11"/>
      <c r="O8789" s="11"/>
      <c r="P8789" s="11"/>
    </row>
    <row r="8790" spans="8:16" x14ac:dyDescent="0.25">
      <c r="H8790" s="12"/>
      <c r="I8790" s="12"/>
      <c r="J8790" s="12"/>
      <c r="K8790" s="12"/>
      <c r="L8790" s="12"/>
      <c r="M8790" s="11"/>
      <c r="N8790" s="11"/>
      <c r="O8790" s="11"/>
      <c r="P8790" s="11"/>
    </row>
    <row r="8791" spans="8:16" x14ac:dyDescent="0.25">
      <c r="H8791" s="12"/>
      <c r="I8791" s="12"/>
      <c r="J8791" s="12"/>
      <c r="K8791" s="12"/>
      <c r="L8791" s="12"/>
      <c r="M8791" s="11"/>
      <c r="N8791" s="11"/>
      <c r="O8791" s="11"/>
      <c r="P8791" s="11"/>
    </row>
    <row r="8792" spans="8:16" x14ac:dyDescent="0.25">
      <c r="H8792" s="12"/>
      <c r="I8792" s="12"/>
      <c r="J8792" s="12"/>
      <c r="K8792" s="12"/>
      <c r="L8792" s="12"/>
      <c r="M8792" s="11"/>
      <c r="N8792" s="11"/>
      <c r="O8792" s="11"/>
      <c r="P8792" s="11"/>
    </row>
    <row r="8793" spans="8:16" x14ac:dyDescent="0.25">
      <c r="H8793" s="12"/>
      <c r="I8793" s="12"/>
      <c r="J8793" s="12"/>
      <c r="K8793" s="12"/>
      <c r="L8793" s="12"/>
      <c r="M8793" s="11"/>
      <c r="N8793" s="11"/>
      <c r="O8793" s="11"/>
      <c r="P8793" s="11"/>
    </row>
    <row r="8794" spans="8:16" x14ac:dyDescent="0.25">
      <c r="H8794" s="12"/>
      <c r="I8794" s="12"/>
      <c r="J8794" s="12"/>
      <c r="K8794" s="12"/>
      <c r="L8794" s="12"/>
      <c r="M8794" s="11"/>
      <c r="N8794" s="11"/>
      <c r="O8794" s="11"/>
      <c r="P8794" s="11"/>
    </row>
    <row r="8795" spans="8:16" x14ac:dyDescent="0.25">
      <c r="H8795" s="12"/>
      <c r="I8795" s="12"/>
      <c r="J8795" s="12"/>
      <c r="K8795" s="12"/>
      <c r="L8795" s="12"/>
      <c r="M8795" s="11"/>
      <c r="N8795" s="11"/>
      <c r="O8795" s="11"/>
      <c r="P8795" s="11"/>
    </row>
    <row r="8796" spans="8:16" x14ac:dyDescent="0.25">
      <c r="H8796" s="12"/>
      <c r="I8796" s="12"/>
      <c r="J8796" s="12"/>
      <c r="K8796" s="12"/>
      <c r="L8796" s="12"/>
      <c r="M8796" s="11"/>
      <c r="N8796" s="11"/>
      <c r="O8796" s="11"/>
      <c r="P8796" s="11"/>
    </row>
    <row r="8797" spans="8:16" x14ac:dyDescent="0.25">
      <c r="H8797" s="12"/>
      <c r="I8797" s="12"/>
      <c r="J8797" s="12"/>
      <c r="K8797" s="12"/>
      <c r="L8797" s="12"/>
      <c r="M8797" s="11"/>
      <c r="N8797" s="11"/>
      <c r="O8797" s="11"/>
      <c r="P8797" s="11"/>
    </row>
    <row r="8798" spans="8:16" x14ac:dyDescent="0.25">
      <c r="H8798" s="12"/>
      <c r="I8798" s="12"/>
      <c r="J8798" s="12"/>
      <c r="K8798" s="12"/>
      <c r="L8798" s="12"/>
      <c r="M8798" s="11"/>
      <c r="N8798" s="11"/>
      <c r="O8798" s="11"/>
      <c r="P8798" s="11"/>
    </row>
    <row r="8799" spans="8:16" x14ac:dyDescent="0.25">
      <c r="H8799" s="12"/>
      <c r="I8799" s="12"/>
      <c r="J8799" s="12"/>
      <c r="K8799" s="12"/>
      <c r="L8799" s="12"/>
      <c r="M8799" s="11"/>
      <c r="N8799" s="11"/>
      <c r="O8799" s="11"/>
      <c r="P8799" s="11"/>
    </row>
    <row r="8800" spans="8:16" x14ac:dyDescent="0.25">
      <c r="H8800" s="12"/>
      <c r="I8800" s="12"/>
      <c r="J8800" s="12"/>
      <c r="K8800" s="12"/>
      <c r="L8800" s="12"/>
      <c r="M8800" s="11"/>
      <c r="N8800" s="11"/>
      <c r="O8800" s="11"/>
      <c r="P8800" s="11"/>
    </row>
    <row r="8801" spans="8:16" x14ac:dyDescent="0.25">
      <c r="H8801" s="12"/>
      <c r="I8801" s="12"/>
      <c r="J8801" s="12"/>
      <c r="K8801" s="12"/>
      <c r="L8801" s="12"/>
      <c r="M8801" s="11"/>
      <c r="N8801" s="11"/>
      <c r="O8801" s="11"/>
      <c r="P8801" s="11"/>
    </row>
    <row r="8802" spans="8:16" x14ac:dyDescent="0.25">
      <c r="H8802" s="12"/>
      <c r="I8802" s="12"/>
      <c r="J8802" s="12"/>
      <c r="K8802" s="12"/>
      <c r="L8802" s="12"/>
      <c r="M8802" s="11"/>
      <c r="N8802" s="11"/>
      <c r="O8802" s="11"/>
      <c r="P8802" s="11"/>
    </row>
    <row r="8803" spans="8:16" x14ac:dyDescent="0.25">
      <c r="H8803" s="12"/>
      <c r="I8803" s="12"/>
      <c r="J8803" s="12"/>
      <c r="K8803" s="12"/>
      <c r="L8803" s="12"/>
      <c r="M8803" s="11"/>
      <c r="N8803" s="11"/>
      <c r="O8803" s="11"/>
      <c r="P8803" s="11"/>
    </row>
    <row r="8804" spans="8:16" x14ac:dyDescent="0.25">
      <c r="H8804" s="12"/>
      <c r="I8804" s="12"/>
      <c r="J8804" s="12"/>
      <c r="K8804" s="12"/>
      <c r="L8804" s="12"/>
      <c r="M8804" s="11"/>
      <c r="N8804" s="11"/>
      <c r="O8804" s="11"/>
      <c r="P8804" s="11"/>
    </row>
    <row r="8805" spans="8:16" x14ac:dyDescent="0.25">
      <c r="H8805" s="12"/>
      <c r="I8805" s="12"/>
      <c r="J8805" s="12"/>
      <c r="K8805" s="12"/>
      <c r="L8805" s="12"/>
      <c r="M8805" s="11"/>
      <c r="N8805" s="11"/>
      <c r="O8805" s="11"/>
      <c r="P8805" s="11"/>
    </row>
    <row r="8806" spans="8:16" x14ac:dyDescent="0.25">
      <c r="H8806" s="12"/>
      <c r="I8806" s="12"/>
      <c r="J8806" s="12"/>
      <c r="K8806" s="12"/>
      <c r="L8806" s="12"/>
      <c r="M8806" s="11"/>
      <c r="N8806" s="11"/>
      <c r="O8806" s="11"/>
      <c r="P8806" s="11"/>
    </row>
    <row r="8807" spans="8:16" x14ac:dyDescent="0.25">
      <c r="H8807" s="12"/>
      <c r="I8807" s="12"/>
      <c r="J8807" s="12"/>
      <c r="K8807" s="12"/>
      <c r="L8807" s="12"/>
      <c r="M8807" s="11"/>
      <c r="N8807" s="11"/>
      <c r="O8807" s="11"/>
      <c r="P8807" s="11"/>
    </row>
    <row r="8808" spans="8:16" x14ac:dyDescent="0.25">
      <c r="H8808" s="12"/>
      <c r="I8808" s="12"/>
      <c r="J8808" s="12"/>
      <c r="K8808" s="12"/>
      <c r="L8808" s="12"/>
      <c r="M8808" s="11"/>
      <c r="N8808" s="11"/>
      <c r="O8808" s="11"/>
      <c r="P8808" s="11"/>
    </row>
    <row r="8809" spans="8:16" x14ac:dyDescent="0.25">
      <c r="H8809" s="12"/>
      <c r="I8809" s="12"/>
      <c r="J8809" s="12"/>
      <c r="K8809" s="12"/>
      <c r="L8809" s="12"/>
      <c r="M8809" s="11"/>
      <c r="N8809" s="11"/>
      <c r="O8809" s="11"/>
      <c r="P8809" s="11"/>
    </row>
    <row r="8810" spans="8:16" x14ac:dyDescent="0.25">
      <c r="H8810" s="12"/>
      <c r="I8810" s="12"/>
      <c r="J8810" s="12"/>
      <c r="K8810" s="12"/>
      <c r="L8810" s="12"/>
      <c r="M8810" s="11"/>
      <c r="N8810" s="11"/>
      <c r="O8810" s="11"/>
      <c r="P8810" s="11"/>
    </row>
    <row r="8811" spans="8:16" x14ac:dyDescent="0.25">
      <c r="H8811" s="12"/>
      <c r="I8811" s="12"/>
      <c r="J8811" s="12"/>
      <c r="K8811" s="12"/>
      <c r="L8811" s="12"/>
      <c r="M8811" s="11"/>
      <c r="N8811" s="11"/>
      <c r="O8811" s="11"/>
      <c r="P8811" s="11"/>
    </row>
    <row r="8812" spans="8:16" x14ac:dyDescent="0.25">
      <c r="H8812" s="12"/>
      <c r="I8812" s="12"/>
      <c r="J8812" s="12"/>
      <c r="K8812" s="12"/>
      <c r="L8812" s="12"/>
      <c r="M8812" s="11"/>
      <c r="N8812" s="11"/>
      <c r="O8812" s="11"/>
      <c r="P8812" s="11"/>
    </row>
    <row r="8813" spans="8:16" x14ac:dyDescent="0.25">
      <c r="H8813" s="12"/>
      <c r="I8813" s="12"/>
      <c r="J8813" s="12"/>
      <c r="K8813" s="12"/>
      <c r="L8813" s="12"/>
      <c r="M8813" s="11"/>
      <c r="N8813" s="11"/>
      <c r="O8813" s="11"/>
      <c r="P8813" s="11"/>
    </row>
    <row r="8814" spans="8:16" x14ac:dyDescent="0.25">
      <c r="H8814" s="12"/>
      <c r="I8814" s="12"/>
      <c r="J8814" s="12"/>
      <c r="K8814" s="12"/>
      <c r="L8814" s="12"/>
      <c r="M8814" s="11"/>
      <c r="N8814" s="11"/>
      <c r="O8814" s="11"/>
      <c r="P8814" s="11"/>
    </row>
    <row r="8815" spans="8:16" x14ac:dyDescent="0.25">
      <c r="H8815" s="12"/>
      <c r="I8815" s="12"/>
      <c r="J8815" s="12"/>
      <c r="K8815" s="12"/>
      <c r="L8815" s="12"/>
      <c r="M8815" s="11"/>
      <c r="N8815" s="11"/>
      <c r="O8815" s="11"/>
      <c r="P8815" s="11"/>
    </row>
    <row r="8816" spans="8:16" x14ac:dyDescent="0.25">
      <c r="H8816" s="12"/>
      <c r="I8816" s="12"/>
      <c r="J8816" s="12"/>
      <c r="K8816" s="12"/>
      <c r="L8816" s="12"/>
      <c r="M8816" s="11"/>
      <c r="N8816" s="11"/>
      <c r="O8816" s="11"/>
      <c r="P8816" s="11"/>
    </row>
    <row r="8817" spans="8:16" x14ac:dyDescent="0.25">
      <c r="H8817" s="12"/>
      <c r="I8817" s="12"/>
      <c r="J8817" s="12"/>
      <c r="K8817" s="12"/>
      <c r="L8817" s="12"/>
      <c r="M8817" s="11"/>
      <c r="N8817" s="11"/>
      <c r="O8817" s="11"/>
      <c r="P8817" s="11"/>
    </row>
    <row r="8818" spans="8:16" x14ac:dyDescent="0.25">
      <c r="H8818" s="12"/>
      <c r="I8818" s="12"/>
      <c r="J8818" s="12"/>
      <c r="K8818" s="12"/>
      <c r="L8818" s="12"/>
      <c r="M8818" s="11"/>
      <c r="N8818" s="11"/>
      <c r="O8818" s="11"/>
      <c r="P8818" s="11"/>
    </row>
    <row r="8819" spans="8:16" x14ac:dyDescent="0.25">
      <c r="H8819" s="12"/>
      <c r="I8819" s="12"/>
      <c r="J8819" s="12"/>
      <c r="K8819" s="12"/>
      <c r="L8819" s="12"/>
      <c r="M8819" s="11"/>
      <c r="N8819" s="11"/>
      <c r="O8819" s="11"/>
      <c r="P8819" s="11"/>
    </row>
    <row r="8820" spans="8:16" x14ac:dyDescent="0.25">
      <c r="H8820" s="12"/>
      <c r="I8820" s="12"/>
      <c r="J8820" s="12"/>
      <c r="K8820" s="12"/>
      <c r="L8820" s="12"/>
      <c r="M8820" s="11"/>
      <c r="N8820" s="11"/>
      <c r="O8820" s="11"/>
      <c r="P8820" s="11"/>
    </row>
    <row r="8821" spans="8:16" x14ac:dyDescent="0.25">
      <c r="H8821" s="12"/>
      <c r="I8821" s="12"/>
      <c r="J8821" s="12"/>
      <c r="K8821" s="12"/>
      <c r="L8821" s="12"/>
      <c r="M8821" s="11"/>
      <c r="N8821" s="11"/>
      <c r="O8821" s="11"/>
      <c r="P8821" s="11"/>
    </row>
    <row r="8822" spans="8:16" x14ac:dyDescent="0.25">
      <c r="H8822" s="12"/>
      <c r="I8822" s="12"/>
      <c r="J8822" s="12"/>
      <c r="K8822" s="12"/>
      <c r="L8822" s="12"/>
      <c r="M8822" s="11"/>
      <c r="N8822" s="11"/>
      <c r="O8822" s="11"/>
      <c r="P8822" s="11"/>
    </row>
    <row r="8823" spans="8:16" x14ac:dyDescent="0.25">
      <c r="H8823" s="12"/>
      <c r="I8823" s="12"/>
      <c r="J8823" s="12"/>
      <c r="K8823" s="12"/>
      <c r="L8823" s="12"/>
      <c r="M8823" s="11"/>
      <c r="N8823" s="11"/>
      <c r="O8823" s="11"/>
      <c r="P8823" s="11"/>
    </row>
    <row r="8824" spans="8:16" x14ac:dyDescent="0.25">
      <c r="H8824" s="12"/>
      <c r="I8824" s="12"/>
      <c r="J8824" s="12"/>
      <c r="K8824" s="12"/>
      <c r="L8824" s="12"/>
      <c r="M8824" s="11"/>
      <c r="N8824" s="11"/>
      <c r="O8824" s="11"/>
      <c r="P8824" s="11"/>
    </row>
    <row r="8825" spans="8:16" x14ac:dyDescent="0.25">
      <c r="H8825" s="12"/>
      <c r="I8825" s="12"/>
      <c r="J8825" s="12"/>
      <c r="K8825" s="12"/>
      <c r="L8825" s="12"/>
      <c r="M8825" s="11"/>
      <c r="N8825" s="11"/>
      <c r="O8825" s="11"/>
      <c r="P8825" s="11"/>
    </row>
    <row r="8826" spans="8:16" x14ac:dyDescent="0.25">
      <c r="H8826" s="12"/>
      <c r="I8826" s="12"/>
      <c r="J8826" s="12"/>
      <c r="K8826" s="12"/>
      <c r="L8826" s="12"/>
      <c r="M8826" s="11"/>
      <c r="N8826" s="11"/>
      <c r="O8826" s="11"/>
      <c r="P8826" s="11"/>
    </row>
    <row r="8827" spans="8:16" x14ac:dyDescent="0.25">
      <c r="H8827" s="12"/>
      <c r="I8827" s="12"/>
      <c r="J8827" s="12"/>
      <c r="K8827" s="12"/>
      <c r="L8827" s="12"/>
      <c r="M8827" s="11"/>
      <c r="N8827" s="11"/>
      <c r="O8827" s="11"/>
      <c r="P8827" s="11"/>
    </row>
    <row r="8828" spans="8:16" x14ac:dyDescent="0.25">
      <c r="H8828" s="12"/>
      <c r="I8828" s="12"/>
      <c r="J8828" s="12"/>
      <c r="K8828" s="12"/>
      <c r="L8828" s="12"/>
      <c r="M8828" s="11"/>
      <c r="N8828" s="11"/>
      <c r="O8828" s="11"/>
      <c r="P8828" s="11"/>
    </row>
    <row r="8829" spans="8:16" x14ac:dyDescent="0.25">
      <c r="H8829" s="12"/>
      <c r="I8829" s="12"/>
      <c r="J8829" s="12"/>
      <c r="K8829" s="12"/>
      <c r="L8829" s="12"/>
      <c r="M8829" s="11"/>
      <c r="N8829" s="11"/>
      <c r="O8829" s="11"/>
      <c r="P8829" s="11"/>
    </row>
    <row r="8830" spans="8:16" x14ac:dyDescent="0.25">
      <c r="H8830" s="12"/>
      <c r="I8830" s="12"/>
      <c r="J8830" s="12"/>
      <c r="K8830" s="12"/>
      <c r="L8830" s="12"/>
      <c r="M8830" s="11"/>
      <c r="N8830" s="11"/>
      <c r="O8830" s="11"/>
      <c r="P8830" s="11"/>
    </row>
    <row r="8831" spans="8:16" x14ac:dyDescent="0.25">
      <c r="H8831" s="12"/>
      <c r="I8831" s="12"/>
      <c r="J8831" s="12"/>
      <c r="K8831" s="12"/>
      <c r="L8831" s="12"/>
      <c r="M8831" s="11"/>
      <c r="N8831" s="11"/>
      <c r="O8831" s="11"/>
      <c r="P8831" s="11"/>
    </row>
    <row r="8832" spans="8:16" x14ac:dyDescent="0.25">
      <c r="H8832" s="12"/>
      <c r="I8832" s="12"/>
      <c r="J8832" s="12"/>
      <c r="K8832" s="12"/>
      <c r="L8832" s="12"/>
      <c r="M8832" s="11"/>
      <c r="N8832" s="11"/>
      <c r="O8832" s="11"/>
      <c r="P8832" s="11"/>
    </row>
    <row r="8833" spans="8:16" x14ac:dyDescent="0.25">
      <c r="H8833" s="12"/>
      <c r="I8833" s="12"/>
      <c r="J8833" s="12"/>
      <c r="K8833" s="12"/>
      <c r="L8833" s="12"/>
      <c r="M8833" s="11"/>
      <c r="N8833" s="11"/>
      <c r="O8833" s="11"/>
      <c r="P8833" s="11"/>
    </row>
    <row r="8834" spans="8:16" x14ac:dyDescent="0.25">
      <c r="H8834" s="12"/>
      <c r="I8834" s="12"/>
      <c r="J8834" s="12"/>
      <c r="K8834" s="12"/>
      <c r="L8834" s="12"/>
      <c r="M8834" s="11"/>
      <c r="N8834" s="11"/>
      <c r="O8834" s="11"/>
      <c r="P8834" s="11"/>
    </row>
    <row r="8835" spans="8:16" x14ac:dyDescent="0.25">
      <c r="H8835" s="12"/>
      <c r="I8835" s="12"/>
      <c r="J8835" s="12"/>
      <c r="K8835" s="12"/>
      <c r="L8835" s="12"/>
      <c r="M8835" s="11"/>
      <c r="N8835" s="11"/>
      <c r="O8835" s="11"/>
      <c r="P8835" s="11"/>
    </row>
    <row r="8836" spans="8:16" x14ac:dyDescent="0.25">
      <c r="H8836" s="12"/>
      <c r="I8836" s="12"/>
      <c r="J8836" s="12"/>
      <c r="K8836" s="12"/>
      <c r="L8836" s="12"/>
      <c r="M8836" s="11"/>
      <c r="N8836" s="11"/>
      <c r="O8836" s="11"/>
      <c r="P8836" s="11"/>
    </row>
    <row r="8837" spans="8:16" x14ac:dyDescent="0.25">
      <c r="H8837" s="12"/>
      <c r="I8837" s="12"/>
      <c r="J8837" s="12"/>
      <c r="K8837" s="12"/>
      <c r="L8837" s="12"/>
      <c r="M8837" s="11"/>
      <c r="N8837" s="11"/>
      <c r="O8837" s="11"/>
      <c r="P8837" s="11"/>
    </row>
    <row r="8838" spans="8:16" x14ac:dyDescent="0.25">
      <c r="H8838" s="12"/>
      <c r="I8838" s="12"/>
      <c r="J8838" s="12"/>
      <c r="K8838" s="12"/>
      <c r="L8838" s="12"/>
      <c r="M8838" s="11"/>
      <c r="N8838" s="11"/>
      <c r="O8838" s="11"/>
      <c r="P8838" s="11"/>
    </row>
    <row r="8839" spans="8:16" x14ac:dyDescent="0.25">
      <c r="H8839" s="12"/>
      <c r="I8839" s="12"/>
      <c r="J8839" s="12"/>
      <c r="K8839" s="12"/>
      <c r="L8839" s="12"/>
      <c r="M8839" s="11"/>
      <c r="N8839" s="11"/>
      <c r="O8839" s="11"/>
      <c r="P8839" s="11"/>
    </row>
    <row r="8840" spans="8:16" x14ac:dyDescent="0.25">
      <c r="H8840" s="12"/>
      <c r="I8840" s="12"/>
      <c r="J8840" s="12"/>
      <c r="K8840" s="12"/>
      <c r="L8840" s="12"/>
      <c r="M8840" s="11"/>
      <c r="N8840" s="11"/>
      <c r="O8840" s="11"/>
      <c r="P8840" s="11"/>
    </row>
    <row r="8841" spans="8:16" x14ac:dyDescent="0.25">
      <c r="H8841" s="12"/>
      <c r="I8841" s="12"/>
      <c r="J8841" s="12"/>
      <c r="K8841" s="12"/>
      <c r="L8841" s="12"/>
      <c r="M8841" s="11"/>
      <c r="N8841" s="11"/>
      <c r="O8841" s="11"/>
      <c r="P8841" s="11"/>
    </row>
    <row r="8842" spans="8:16" x14ac:dyDescent="0.25">
      <c r="H8842" s="12"/>
      <c r="I8842" s="12"/>
      <c r="J8842" s="12"/>
      <c r="K8842" s="12"/>
      <c r="L8842" s="12"/>
      <c r="M8842" s="11"/>
      <c r="N8842" s="11"/>
      <c r="O8842" s="11"/>
      <c r="P8842" s="11"/>
    </row>
    <row r="8843" spans="8:16" x14ac:dyDescent="0.25">
      <c r="H8843" s="12"/>
      <c r="I8843" s="12"/>
      <c r="J8843" s="12"/>
      <c r="K8843" s="12"/>
      <c r="L8843" s="12"/>
      <c r="M8843" s="11"/>
      <c r="N8843" s="11"/>
      <c r="O8843" s="11"/>
      <c r="P8843" s="11"/>
    </row>
    <row r="8844" spans="8:16" x14ac:dyDescent="0.25">
      <c r="H8844" s="12"/>
      <c r="I8844" s="12"/>
      <c r="J8844" s="12"/>
      <c r="K8844" s="12"/>
      <c r="L8844" s="12"/>
      <c r="M8844" s="11"/>
      <c r="N8844" s="11"/>
      <c r="O8844" s="11"/>
      <c r="P8844" s="11"/>
    </row>
    <row r="8845" spans="8:16" x14ac:dyDescent="0.25">
      <c r="H8845" s="12"/>
      <c r="I8845" s="12"/>
      <c r="J8845" s="12"/>
      <c r="K8845" s="12"/>
      <c r="L8845" s="12"/>
      <c r="M8845" s="11"/>
      <c r="N8845" s="11"/>
      <c r="O8845" s="11"/>
      <c r="P8845" s="11"/>
    </row>
    <row r="8846" spans="8:16" x14ac:dyDescent="0.25">
      <c r="H8846" s="12"/>
      <c r="I8846" s="12"/>
      <c r="J8846" s="12"/>
      <c r="K8846" s="12"/>
      <c r="L8846" s="12"/>
      <c r="M8846" s="11"/>
      <c r="N8846" s="11"/>
      <c r="O8846" s="11"/>
      <c r="P8846" s="11"/>
    </row>
    <row r="8847" spans="8:16" x14ac:dyDescent="0.25">
      <c r="H8847" s="12"/>
      <c r="I8847" s="12"/>
      <c r="J8847" s="12"/>
      <c r="K8847" s="12"/>
      <c r="L8847" s="12"/>
      <c r="M8847" s="11"/>
      <c r="N8847" s="11"/>
      <c r="O8847" s="11"/>
      <c r="P8847" s="11"/>
    </row>
    <row r="8848" spans="8:16" x14ac:dyDescent="0.25">
      <c r="H8848" s="12"/>
      <c r="I8848" s="12"/>
      <c r="J8848" s="12"/>
      <c r="K8848" s="12"/>
      <c r="L8848" s="12"/>
      <c r="M8848" s="11"/>
      <c r="N8848" s="11"/>
      <c r="O8848" s="11"/>
      <c r="P8848" s="11"/>
    </row>
    <row r="8849" spans="8:16" x14ac:dyDescent="0.25">
      <c r="H8849" s="12"/>
      <c r="I8849" s="12"/>
      <c r="J8849" s="12"/>
      <c r="K8849" s="12"/>
      <c r="L8849" s="12"/>
      <c r="M8849" s="11"/>
      <c r="N8849" s="11"/>
      <c r="O8849" s="11"/>
      <c r="P8849" s="11"/>
    </row>
    <row r="8850" spans="8:16" x14ac:dyDescent="0.25">
      <c r="H8850" s="12"/>
      <c r="I8850" s="12"/>
      <c r="J8850" s="12"/>
      <c r="K8850" s="12"/>
      <c r="L8850" s="12"/>
      <c r="M8850" s="11"/>
      <c r="N8850" s="11"/>
      <c r="O8850" s="11"/>
      <c r="P8850" s="11"/>
    </row>
    <row r="8851" spans="8:16" x14ac:dyDescent="0.25">
      <c r="H8851" s="12"/>
      <c r="I8851" s="12"/>
      <c r="J8851" s="12"/>
      <c r="K8851" s="12"/>
      <c r="L8851" s="12"/>
      <c r="M8851" s="11"/>
      <c r="N8851" s="11"/>
      <c r="O8851" s="11"/>
      <c r="P8851" s="11"/>
    </row>
    <row r="8852" spans="8:16" x14ac:dyDescent="0.25">
      <c r="H8852" s="12"/>
      <c r="I8852" s="12"/>
      <c r="J8852" s="12"/>
      <c r="K8852" s="12"/>
      <c r="L8852" s="12"/>
      <c r="M8852" s="11"/>
      <c r="N8852" s="11"/>
      <c r="O8852" s="11"/>
      <c r="P8852" s="11"/>
    </row>
    <row r="8853" spans="8:16" x14ac:dyDescent="0.25">
      <c r="H8853" s="12"/>
      <c r="I8853" s="12"/>
      <c r="J8853" s="12"/>
      <c r="K8853" s="12"/>
      <c r="L8853" s="12"/>
      <c r="M8853" s="11"/>
      <c r="N8853" s="11"/>
      <c r="O8853" s="11"/>
      <c r="P8853" s="11"/>
    </row>
    <row r="8854" spans="8:16" x14ac:dyDescent="0.25">
      <c r="H8854" s="12"/>
      <c r="I8854" s="12"/>
      <c r="J8854" s="12"/>
      <c r="K8854" s="12"/>
      <c r="L8854" s="12"/>
      <c r="M8854" s="11"/>
      <c r="N8854" s="11"/>
      <c r="O8854" s="11"/>
      <c r="P8854" s="11"/>
    </row>
    <row r="8855" spans="8:16" x14ac:dyDescent="0.25">
      <c r="H8855" s="12"/>
      <c r="I8855" s="12"/>
      <c r="J8855" s="12"/>
      <c r="K8855" s="12"/>
      <c r="L8855" s="12"/>
      <c r="M8855" s="11"/>
      <c r="N8855" s="11"/>
      <c r="O8855" s="11"/>
      <c r="P8855" s="11"/>
    </row>
    <row r="8856" spans="8:16" x14ac:dyDescent="0.25">
      <c r="H8856" s="12"/>
      <c r="I8856" s="12"/>
      <c r="J8856" s="12"/>
      <c r="K8856" s="12"/>
      <c r="L8856" s="12"/>
      <c r="M8856" s="11"/>
      <c r="N8856" s="11"/>
      <c r="O8856" s="11"/>
      <c r="P8856" s="11"/>
    </row>
    <row r="8857" spans="8:16" x14ac:dyDescent="0.25">
      <c r="H8857" s="12"/>
      <c r="I8857" s="12"/>
      <c r="J8857" s="12"/>
      <c r="K8857" s="12"/>
      <c r="L8857" s="12"/>
      <c r="M8857" s="11"/>
      <c r="N8857" s="11"/>
      <c r="O8857" s="11"/>
      <c r="P8857" s="11"/>
    </row>
    <row r="8858" spans="8:16" x14ac:dyDescent="0.25">
      <c r="H8858" s="12"/>
      <c r="I8858" s="12"/>
      <c r="J8858" s="12"/>
      <c r="K8858" s="12"/>
      <c r="L8858" s="12"/>
      <c r="M8858" s="11"/>
      <c r="N8858" s="11"/>
      <c r="O8858" s="11"/>
      <c r="P8858" s="11"/>
    </row>
    <row r="8859" spans="8:16" x14ac:dyDescent="0.25">
      <c r="H8859" s="12"/>
      <c r="I8859" s="12"/>
      <c r="J8859" s="12"/>
      <c r="K8859" s="12"/>
      <c r="L8859" s="12"/>
      <c r="M8859" s="11"/>
      <c r="N8859" s="11"/>
      <c r="O8859" s="11"/>
      <c r="P8859" s="11"/>
    </row>
    <row r="8860" spans="8:16" x14ac:dyDescent="0.25">
      <c r="H8860" s="12"/>
      <c r="I8860" s="12"/>
      <c r="J8860" s="12"/>
      <c r="K8860" s="12"/>
      <c r="L8860" s="12"/>
      <c r="M8860" s="11"/>
      <c r="N8860" s="11"/>
      <c r="O8860" s="11"/>
      <c r="P8860" s="11"/>
    </row>
    <row r="8861" spans="8:16" x14ac:dyDescent="0.25">
      <c r="H8861" s="12"/>
      <c r="I8861" s="12"/>
      <c r="J8861" s="12"/>
      <c r="K8861" s="12"/>
      <c r="L8861" s="12"/>
      <c r="M8861" s="11"/>
      <c r="N8861" s="11"/>
      <c r="O8861" s="11"/>
      <c r="P8861" s="11"/>
    </row>
    <row r="8862" spans="8:16" x14ac:dyDescent="0.25">
      <c r="H8862" s="12"/>
      <c r="I8862" s="12"/>
      <c r="J8862" s="12"/>
      <c r="K8862" s="12"/>
      <c r="L8862" s="12"/>
      <c r="M8862" s="11"/>
      <c r="N8862" s="11"/>
      <c r="O8862" s="11"/>
      <c r="P8862" s="11"/>
    </row>
    <row r="8863" spans="8:16" x14ac:dyDescent="0.25">
      <c r="H8863" s="12"/>
      <c r="I8863" s="12"/>
      <c r="J8863" s="12"/>
      <c r="K8863" s="12"/>
      <c r="L8863" s="12"/>
      <c r="M8863" s="11"/>
      <c r="N8863" s="11"/>
      <c r="O8863" s="11"/>
      <c r="P8863" s="11"/>
    </row>
    <row r="8864" spans="8:16" x14ac:dyDescent="0.25">
      <c r="H8864" s="12"/>
      <c r="I8864" s="12"/>
      <c r="J8864" s="12"/>
      <c r="K8864" s="12"/>
      <c r="L8864" s="12"/>
      <c r="M8864" s="11"/>
      <c r="N8864" s="11"/>
      <c r="O8864" s="11"/>
      <c r="P8864" s="11"/>
    </row>
    <row r="8865" spans="8:16" x14ac:dyDescent="0.25">
      <c r="H8865" s="12"/>
      <c r="I8865" s="12"/>
      <c r="J8865" s="12"/>
      <c r="K8865" s="12"/>
      <c r="L8865" s="12"/>
      <c r="M8865" s="11"/>
      <c r="N8865" s="11"/>
      <c r="O8865" s="11"/>
      <c r="P8865" s="11"/>
    </row>
    <row r="8866" spans="8:16" x14ac:dyDescent="0.25">
      <c r="H8866" s="12"/>
      <c r="I8866" s="12"/>
      <c r="J8866" s="12"/>
      <c r="K8866" s="12"/>
      <c r="L8866" s="12"/>
      <c r="M8866" s="11"/>
      <c r="N8866" s="11"/>
      <c r="O8866" s="11"/>
      <c r="P8866" s="11"/>
    </row>
    <row r="8867" spans="8:16" x14ac:dyDescent="0.25">
      <c r="H8867" s="12"/>
      <c r="I8867" s="12"/>
      <c r="J8867" s="12"/>
      <c r="K8867" s="12"/>
      <c r="L8867" s="12"/>
      <c r="M8867" s="11"/>
      <c r="N8867" s="11"/>
      <c r="O8867" s="11"/>
      <c r="P8867" s="11"/>
    </row>
    <row r="8868" spans="8:16" x14ac:dyDescent="0.25">
      <c r="H8868" s="12"/>
      <c r="I8868" s="12"/>
      <c r="J8868" s="12"/>
      <c r="K8868" s="12"/>
      <c r="L8868" s="12"/>
      <c r="M8868" s="11"/>
      <c r="N8868" s="11"/>
      <c r="O8868" s="11"/>
      <c r="P8868" s="11"/>
    </row>
    <row r="8869" spans="8:16" x14ac:dyDescent="0.25">
      <c r="H8869" s="12"/>
      <c r="I8869" s="12"/>
      <c r="J8869" s="12"/>
      <c r="K8869" s="12"/>
      <c r="L8869" s="12"/>
      <c r="M8869" s="11"/>
      <c r="N8869" s="11"/>
      <c r="O8869" s="11"/>
      <c r="P8869" s="11"/>
    </row>
    <row r="8870" spans="8:16" x14ac:dyDescent="0.25">
      <c r="H8870" s="12"/>
      <c r="I8870" s="12"/>
      <c r="J8870" s="12"/>
      <c r="K8870" s="12"/>
      <c r="L8870" s="12"/>
      <c r="M8870" s="11"/>
      <c r="N8870" s="11"/>
      <c r="O8870" s="11"/>
      <c r="P8870" s="11"/>
    </row>
    <row r="8871" spans="8:16" x14ac:dyDescent="0.25">
      <c r="H8871" s="12"/>
      <c r="I8871" s="12"/>
      <c r="J8871" s="12"/>
      <c r="K8871" s="12"/>
      <c r="L8871" s="12"/>
      <c r="M8871" s="11"/>
      <c r="N8871" s="11"/>
      <c r="O8871" s="11"/>
      <c r="P8871" s="11"/>
    </row>
    <row r="8872" spans="8:16" x14ac:dyDescent="0.25">
      <c r="H8872" s="12"/>
      <c r="I8872" s="12"/>
      <c r="J8872" s="12"/>
      <c r="K8872" s="12"/>
      <c r="L8872" s="12"/>
      <c r="M8872" s="11"/>
      <c r="N8872" s="11"/>
      <c r="O8872" s="11"/>
      <c r="P8872" s="11"/>
    </row>
    <row r="8873" spans="8:16" x14ac:dyDescent="0.25">
      <c r="H8873" s="12"/>
      <c r="I8873" s="12"/>
      <c r="J8873" s="12"/>
      <c r="K8873" s="12"/>
      <c r="L8873" s="12"/>
      <c r="M8873" s="11"/>
      <c r="N8873" s="11"/>
      <c r="O8873" s="11"/>
      <c r="P8873" s="11"/>
    </row>
    <row r="8874" spans="8:16" x14ac:dyDescent="0.25">
      <c r="H8874" s="12"/>
      <c r="I8874" s="12"/>
      <c r="J8874" s="12"/>
      <c r="K8874" s="12"/>
      <c r="L8874" s="12"/>
      <c r="M8874" s="11"/>
      <c r="N8874" s="11"/>
      <c r="O8874" s="11"/>
      <c r="P8874" s="11"/>
    </row>
    <row r="8875" spans="8:16" x14ac:dyDescent="0.25">
      <c r="H8875" s="12"/>
      <c r="I8875" s="12"/>
      <c r="J8875" s="12"/>
      <c r="K8875" s="12"/>
      <c r="L8875" s="12"/>
      <c r="M8875" s="11"/>
      <c r="N8875" s="11"/>
      <c r="O8875" s="11"/>
      <c r="P8875" s="11"/>
    </row>
    <row r="8876" spans="8:16" x14ac:dyDescent="0.25">
      <c r="H8876" s="12"/>
      <c r="I8876" s="12"/>
      <c r="J8876" s="12"/>
      <c r="K8876" s="12"/>
      <c r="L8876" s="12"/>
      <c r="M8876" s="11"/>
      <c r="N8876" s="11"/>
      <c r="O8876" s="11"/>
      <c r="P8876" s="11"/>
    </row>
    <row r="8877" spans="8:16" x14ac:dyDescent="0.25">
      <c r="H8877" s="12"/>
      <c r="I8877" s="12"/>
      <c r="J8877" s="12"/>
      <c r="K8877" s="12"/>
      <c r="L8877" s="12"/>
      <c r="M8877" s="11"/>
      <c r="N8877" s="11"/>
      <c r="O8877" s="11"/>
      <c r="P8877" s="11"/>
    </row>
    <row r="8878" spans="8:16" x14ac:dyDescent="0.25">
      <c r="H8878" s="12"/>
      <c r="I8878" s="12"/>
      <c r="J8878" s="12"/>
      <c r="K8878" s="12"/>
      <c r="L8878" s="12"/>
      <c r="M8878" s="11"/>
      <c r="N8878" s="11"/>
      <c r="O8878" s="11"/>
      <c r="P8878" s="11"/>
    </row>
    <row r="8879" spans="8:16" x14ac:dyDescent="0.25">
      <c r="H8879" s="12"/>
      <c r="I8879" s="12"/>
      <c r="J8879" s="12"/>
      <c r="K8879" s="12"/>
      <c r="L8879" s="12"/>
      <c r="M8879" s="11"/>
      <c r="N8879" s="11"/>
      <c r="O8879" s="11"/>
      <c r="P8879" s="11"/>
    </row>
    <row r="8880" spans="8:16" x14ac:dyDescent="0.25">
      <c r="H8880" s="12"/>
      <c r="I8880" s="12"/>
      <c r="J8880" s="12"/>
      <c r="K8880" s="12"/>
      <c r="L8880" s="12"/>
      <c r="M8880" s="11"/>
      <c r="N8880" s="11"/>
      <c r="O8880" s="11"/>
      <c r="P8880" s="11"/>
    </row>
    <row r="8881" spans="8:16" x14ac:dyDescent="0.25">
      <c r="H8881" s="12"/>
      <c r="I8881" s="12"/>
      <c r="J8881" s="12"/>
      <c r="K8881" s="12"/>
      <c r="L8881" s="12"/>
      <c r="M8881" s="11"/>
      <c r="N8881" s="11"/>
      <c r="O8881" s="11"/>
      <c r="P8881" s="11"/>
    </row>
    <row r="8882" spans="8:16" x14ac:dyDescent="0.25">
      <c r="H8882" s="12"/>
      <c r="I8882" s="12"/>
      <c r="J8882" s="12"/>
      <c r="K8882" s="12"/>
      <c r="L8882" s="12"/>
      <c r="M8882" s="11"/>
      <c r="N8882" s="11"/>
      <c r="O8882" s="11"/>
      <c r="P8882" s="11"/>
    </row>
    <row r="8883" spans="8:16" x14ac:dyDescent="0.25">
      <c r="H8883" s="12"/>
      <c r="I8883" s="12"/>
      <c r="J8883" s="12"/>
      <c r="K8883" s="12"/>
      <c r="L8883" s="12"/>
      <c r="M8883" s="11"/>
      <c r="N8883" s="11"/>
      <c r="O8883" s="11"/>
      <c r="P8883" s="11"/>
    </row>
    <row r="8884" spans="8:16" x14ac:dyDescent="0.25">
      <c r="H8884" s="12"/>
      <c r="I8884" s="12"/>
      <c r="J8884" s="12"/>
      <c r="K8884" s="12"/>
      <c r="L8884" s="12"/>
      <c r="M8884" s="11"/>
      <c r="N8884" s="11"/>
      <c r="O8884" s="11"/>
      <c r="P8884" s="11"/>
    </row>
    <row r="8885" spans="8:16" x14ac:dyDescent="0.25">
      <c r="H8885" s="12"/>
      <c r="I8885" s="12"/>
      <c r="J8885" s="12"/>
      <c r="K8885" s="12"/>
      <c r="L8885" s="12"/>
      <c r="M8885" s="11"/>
      <c r="N8885" s="11"/>
      <c r="O8885" s="11"/>
      <c r="P8885" s="11"/>
    </row>
    <row r="8886" spans="8:16" x14ac:dyDescent="0.25">
      <c r="H8886" s="12"/>
      <c r="I8886" s="12"/>
      <c r="J8886" s="12"/>
      <c r="K8886" s="12"/>
      <c r="L8886" s="12"/>
      <c r="M8886" s="11"/>
      <c r="N8886" s="11"/>
      <c r="O8886" s="11"/>
      <c r="P8886" s="11"/>
    </row>
    <row r="8887" spans="8:16" x14ac:dyDescent="0.25">
      <c r="H8887" s="12"/>
      <c r="I8887" s="12"/>
      <c r="J8887" s="12"/>
      <c r="K8887" s="12"/>
      <c r="L8887" s="12"/>
      <c r="M8887" s="11"/>
      <c r="N8887" s="11"/>
      <c r="O8887" s="11"/>
      <c r="P8887" s="11"/>
    </row>
    <row r="8888" spans="8:16" x14ac:dyDescent="0.25">
      <c r="H8888" s="12"/>
      <c r="I8888" s="12"/>
      <c r="J8888" s="12"/>
      <c r="K8888" s="12"/>
      <c r="L8888" s="12"/>
      <c r="M8888" s="11"/>
      <c r="N8888" s="11"/>
      <c r="O8888" s="11"/>
      <c r="P8888" s="11"/>
    </row>
    <row r="8889" spans="8:16" x14ac:dyDescent="0.25">
      <c r="H8889" s="12"/>
      <c r="I8889" s="12"/>
      <c r="J8889" s="12"/>
      <c r="K8889" s="12"/>
      <c r="L8889" s="12"/>
      <c r="M8889" s="11"/>
      <c r="N8889" s="11"/>
      <c r="O8889" s="11"/>
      <c r="P8889" s="11"/>
    </row>
    <row r="8890" spans="8:16" x14ac:dyDescent="0.25">
      <c r="H8890" s="12"/>
      <c r="I8890" s="12"/>
      <c r="J8890" s="12"/>
      <c r="K8890" s="12"/>
      <c r="L8890" s="12"/>
      <c r="M8890" s="11"/>
      <c r="N8890" s="11"/>
      <c r="O8890" s="11"/>
      <c r="P8890" s="11"/>
    </row>
    <row r="8891" spans="8:16" x14ac:dyDescent="0.25">
      <c r="H8891" s="12"/>
      <c r="I8891" s="12"/>
      <c r="J8891" s="12"/>
      <c r="K8891" s="12"/>
      <c r="L8891" s="12"/>
      <c r="M8891" s="11"/>
      <c r="N8891" s="11"/>
      <c r="O8891" s="11"/>
      <c r="P8891" s="11"/>
    </row>
    <row r="8892" spans="8:16" x14ac:dyDescent="0.25">
      <c r="H8892" s="12"/>
      <c r="I8892" s="12"/>
      <c r="J8892" s="12"/>
      <c r="K8892" s="12"/>
      <c r="L8892" s="12"/>
      <c r="M8892" s="11"/>
      <c r="N8892" s="11"/>
      <c r="O8892" s="11"/>
      <c r="P8892" s="11"/>
    </row>
    <row r="8893" spans="8:16" x14ac:dyDescent="0.25">
      <c r="H8893" s="12"/>
      <c r="I8893" s="12"/>
      <c r="J8893" s="12"/>
      <c r="K8893" s="12"/>
      <c r="L8893" s="12"/>
      <c r="M8893" s="11"/>
      <c r="N8893" s="11"/>
      <c r="O8893" s="11"/>
      <c r="P8893" s="11"/>
    </row>
    <row r="8894" spans="8:16" x14ac:dyDescent="0.25">
      <c r="H8894" s="12"/>
      <c r="I8894" s="12"/>
      <c r="J8894" s="12"/>
      <c r="K8894" s="12"/>
      <c r="L8894" s="12"/>
      <c r="M8894" s="11"/>
      <c r="N8894" s="11"/>
      <c r="O8894" s="11"/>
      <c r="P8894" s="11"/>
    </row>
    <row r="8895" spans="8:16" x14ac:dyDescent="0.25">
      <c r="H8895" s="12"/>
      <c r="I8895" s="12"/>
      <c r="J8895" s="12"/>
      <c r="K8895" s="12"/>
      <c r="L8895" s="12"/>
      <c r="M8895" s="11"/>
      <c r="N8895" s="11"/>
      <c r="O8895" s="11"/>
      <c r="P8895" s="11"/>
    </row>
    <row r="8896" spans="8:16" x14ac:dyDescent="0.25">
      <c r="H8896" s="12"/>
      <c r="I8896" s="12"/>
      <c r="J8896" s="12"/>
      <c r="K8896" s="12"/>
      <c r="L8896" s="12"/>
      <c r="M8896" s="11"/>
      <c r="N8896" s="11"/>
      <c r="O8896" s="11"/>
      <c r="P8896" s="11"/>
    </row>
    <row r="8897" spans="8:16" x14ac:dyDescent="0.25">
      <c r="H8897" s="12"/>
      <c r="I8897" s="12"/>
      <c r="J8897" s="12"/>
      <c r="K8897" s="12"/>
      <c r="L8897" s="12"/>
      <c r="M8897" s="11"/>
      <c r="N8897" s="11"/>
      <c r="O8897" s="11"/>
      <c r="P8897" s="11"/>
    </row>
    <row r="8898" spans="8:16" x14ac:dyDescent="0.25">
      <c r="H8898" s="12"/>
      <c r="I8898" s="12"/>
      <c r="J8898" s="12"/>
      <c r="K8898" s="12"/>
      <c r="L8898" s="12"/>
      <c r="M8898" s="11"/>
      <c r="N8898" s="11"/>
      <c r="O8898" s="11"/>
      <c r="P8898" s="11"/>
    </row>
    <row r="8899" spans="8:16" x14ac:dyDescent="0.25">
      <c r="H8899" s="12"/>
      <c r="I8899" s="12"/>
      <c r="J8899" s="12"/>
      <c r="K8899" s="12"/>
      <c r="L8899" s="12"/>
      <c r="M8899" s="11"/>
      <c r="N8899" s="11"/>
      <c r="O8899" s="11"/>
      <c r="P8899" s="11"/>
    </row>
    <row r="8900" spans="8:16" x14ac:dyDescent="0.25">
      <c r="H8900" s="12"/>
      <c r="I8900" s="12"/>
      <c r="J8900" s="12"/>
      <c r="K8900" s="12"/>
      <c r="L8900" s="12"/>
      <c r="M8900" s="11"/>
      <c r="N8900" s="11"/>
      <c r="O8900" s="11"/>
      <c r="P8900" s="11"/>
    </row>
    <row r="8901" spans="8:16" x14ac:dyDescent="0.25">
      <c r="H8901" s="12"/>
      <c r="I8901" s="12"/>
      <c r="J8901" s="12"/>
      <c r="K8901" s="12"/>
      <c r="L8901" s="12"/>
      <c r="M8901" s="11"/>
      <c r="N8901" s="11"/>
      <c r="O8901" s="11"/>
      <c r="P8901" s="11"/>
    </row>
    <row r="8902" spans="8:16" x14ac:dyDescent="0.25">
      <c r="H8902" s="12"/>
      <c r="I8902" s="12"/>
      <c r="J8902" s="12"/>
      <c r="K8902" s="12"/>
      <c r="L8902" s="12"/>
      <c r="M8902" s="11"/>
      <c r="N8902" s="11"/>
      <c r="O8902" s="11"/>
      <c r="P8902" s="11"/>
    </row>
    <row r="8903" spans="8:16" x14ac:dyDescent="0.25">
      <c r="H8903" s="12"/>
      <c r="I8903" s="12"/>
      <c r="J8903" s="12"/>
      <c r="K8903" s="12"/>
      <c r="L8903" s="12"/>
      <c r="M8903" s="11"/>
      <c r="N8903" s="11"/>
      <c r="O8903" s="11"/>
      <c r="P8903" s="11"/>
    </row>
    <row r="8904" spans="8:16" x14ac:dyDescent="0.25">
      <c r="H8904" s="12"/>
      <c r="I8904" s="12"/>
      <c r="J8904" s="12"/>
      <c r="K8904" s="12"/>
      <c r="L8904" s="12"/>
      <c r="M8904" s="11"/>
      <c r="N8904" s="11"/>
      <c r="O8904" s="11"/>
      <c r="P8904" s="11"/>
    </row>
    <row r="8905" spans="8:16" x14ac:dyDescent="0.25">
      <c r="H8905" s="12"/>
      <c r="I8905" s="12"/>
      <c r="J8905" s="12"/>
      <c r="K8905" s="12"/>
      <c r="L8905" s="12"/>
      <c r="M8905" s="11"/>
      <c r="N8905" s="11"/>
      <c r="O8905" s="11"/>
      <c r="P8905" s="11"/>
    </row>
    <row r="8906" spans="8:16" x14ac:dyDescent="0.25">
      <c r="H8906" s="12"/>
      <c r="I8906" s="12"/>
      <c r="J8906" s="12"/>
      <c r="K8906" s="12"/>
      <c r="L8906" s="12"/>
      <c r="M8906" s="11"/>
      <c r="N8906" s="11"/>
      <c r="O8906" s="11"/>
      <c r="P8906" s="11"/>
    </row>
    <row r="8907" spans="8:16" x14ac:dyDescent="0.25">
      <c r="H8907" s="12"/>
      <c r="I8907" s="12"/>
      <c r="J8907" s="12"/>
      <c r="K8907" s="12"/>
      <c r="L8907" s="12"/>
      <c r="M8907" s="11"/>
      <c r="N8907" s="11"/>
      <c r="O8907" s="11"/>
      <c r="P8907" s="11"/>
    </row>
    <row r="8908" spans="8:16" x14ac:dyDescent="0.25">
      <c r="H8908" s="12"/>
      <c r="I8908" s="12"/>
      <c r="J8908" s="12"/>
      <c r="K8908" s="12"/>
      <c r="L8908" s="12"/>
      <c r="M8908" s="11"/>
      <c r="N8908" s="11"/>
      <c r="O8908" s="11"/>
      <c r="P8908" s="11"/>
    </row>
    <row r="8909" spans="8:16" x14ac:dyDescent="0.25">
      <c r="H8909" s="12"/>
      <c r="I8909" s="12"/>
      <c r="J8909" s="12"/>
      <c r="K8909" s="12"/>
      <c r="L8909" s="12"/>
      <c r="M8909" s="11"/>
      <c r="N8909" s="11"/>
      <c r="O8909" s="11"/>
      <c r="P8909" s="11"/>
    </row>
    <row r="8910" spans="8:16" x14ac:dyDescent="0.25">
      <c r="H8910" s="12"/>
      <c r="I8910" s="12"/>
      <c r="J8910" s="12"/>
      <c r="K8910" s="12"/>
      <c r="L8910" s="12"/>
      <c r="M8910" s="11"/>
      <c r="N8910" s="11"/>
      <c r="O8910" s="11"/>
      <c r="P8910" s="11"/>
    </row>
    <row r="8911" spans="8:16" x14ac:dyDescent="0.25">
      <c r="H8911" s="12"/>
      <c r="I8911" s="12"/>
      <c r="J8911" s="12"/>
      <c r="K8911" s="12"/>
      <c r="L8911" s="12"/>
      <c r="M8911" s="11"/>
      <c r="N8911" s="11"/>
      <c r="O8911" s="11"/>
      <c r="P8911" s="11"/>
    </row>
    <row r="8912" spans="8:16" x14ac:dyDescent="0.25">
      <c r="H8912" s="12"/>
      <c r="I8912" s="12"/>
      <c r="J8912" s="12"/>
      <c r="K8912" s="12"/>
      <c r="L8912" s="12"/>
      <c r="M8912" s="11"/>
      <c r="N8912" s="11"/>
      <c r="O8912" s="11"/>
      <c r="P8912" s="11"/>
    </row>
    <row r="8913" spans="8:16" x14ac:dyDescent="0.25">
      <c r="H8913" s="12"/>
      <c r="I8913" s="12"/>
      <c r="J8913" s="12"/>
      <c r="K8913" s="12"/>
      <c r="L8913" s="12"/>
      <c r="M8913" s="11"/>
      <c r="N8913" s="11"/>
      <c r="O8913" s="11"/>
      <c r="P8913" s="11"/>
    </row>
    <row r="8914" spans="8:16" x14ac:dyDescent="0.25">
      <c r="H8914" s="12"/>
      <c r="I8914" s="12"/>
      <c r="J8914" s="12"/>
      <c r="K8914" s="12"/>
      <c r="L8914" s="12"/>
      <c r="M8914" s="11"/>
      <c r="N8914" s="11"/>
      <c r="O8914" s="11"/>
      <c r="P8914" s="11"/>
    </row>
    <row r="8915" spans="8:16" x14ac:dyDescent="0.25">
      <c r="H8915" s="12"/>
      <c r="I8915" s="12"/>
      <c r="J8915" s="12"/>
      <c r="K8915" s="12"/>
      <c r="L8915" s="12"/>
      <c r="M8915" s="11"/>
      <c r="N8915" s="11"/>
      <c r="O8915" s="11"/>
      <c r="P8915" s="11"/>
    </row>
    <row r="8916" spans="8:16" x14ac:dyDescent="0.25">
      <c r="H8916" s="12"/>
      <c r="I8916" s="12"/>
      <c r="J8916" s="12"/>
      <c r="K8916" s="12"/>
      <c r="L8916" s="12"/>
      <c r="M8916" s="11"/>
      <c r="N8916" s="11"/>
      <c r="O8916" s="11"/>
      <c r="P8916" s="11"/>
    </row>
    <row r="8917" spans="8:16" x14ac:dyDescent="0.25">
      <c r="H8917" s="12"/>
      <c r="I8917" s="12"/>
      <c r="J8917" s="12"/>
      <c r="K8917" s="12"/>
      <c r="L8917" s="12"/>
      <c r="M8917" s="11"/>
      <c r="N8917" s="11"/>
      <c r="O8917" s="11"/>
      <c r="P8917" s="11"/>
    </row>
    <row r="8918" spans="8:16" x14ac:dyDescent="0.25">
      <c r="H8918" s="12"/>
      <c r="I8918" s="12"/>
      <c r="J8918" s="12"/>
      <c r="K8918" s="12"/>
      <c r="L8918" s="12"/>
      <c r="M8918" s="11"/>
      <c r="N8918" s="11"/>
      <c r="O8918" s="11"/>
      <c r="P8918" s="11"/>
    </row>
    <row r="8919" spans="8:16" x14ac:dyDescent="0.25">
      <c r="H8919" s="12"/>
      <c r="I8919" s="12"/>
      <c r="J8919" s="12"/>
      <c r="K8919" s="12"/>
      <c r="L8919" s="12"/>
      <c r="M8919" s="11"/>
      <c r="N8919" s="11"/>
      <c r="O8919" s="11"/>
      <c r="P8919" s="11"/>
    </row>
    <row r="8920" spans="8:16" x14ac:dyDescent="0.25">
      <c r="H8920" s="12"/>
      <c r="I8920" s="12"/>
      <c r="J8920" s="12"/>
      <c r="K8920" s="12"/>
      <c r="L8920" s="12"/>
      <c r="M8920" s="11"/>
      <c r="N8920" s="11"/>
      <c r="O8920" s="11"/>
      <c r="P8920" s="11"/>
    </row>
    <row r="8921" spans="8:16" x14ac:dyDescent="0.25">
      <c r="H8921" s="12"/>
      <c r="I8921" s="12"/>
      <c r="J8921" s="12"/>
      <c r="K8921" s="12"/>
      <c r="L8921" s="12"/>
      <c r="M8921" s="11"/>
      <c r="N8921" s="11"/>
      <c r="O8921" s="11"/>
      <c r="P8921" s="11"/>
    </row>
    <row r="8922" spans="8:16" x14ac:dyDescent="0.25">
      <c r="H8922" s="12"/>
      <c r="I8922" s="12"/>
      <c r="J8922" s="12"/>
      <c r="K8922" s="12"/>
      <c r="L8922" s="12"/>
      <c r="M8922" s="11"/>
      <c r="N8922" s="11"/>
      <c r="O8922" s="11"/>
      <c r="P8922" s="11"/>
    </row>
    <row r="8923" spans="8:16" x14ac:dyDescent="0.25">
      <c r="H8923" s="12"/>
      <c r="I8923" s="12"/>
      <c r="J8923" s="12"/>
      <c r="K8923" s="12"/>
      <c r="L8923" s="12"/>
      <c r="M8923" s="11"/>
      <c r="N8923" s="11"/>
      <c r="O8923" s="11"/>
      <c r="P8923" s="11"/>
    </row>
    <row r="8924" spans="8:16" x14ac:dyDescent="0.25">
      <c r="H8924" s="12"/>
      <c r="I8924" s="12"/>
      <c r="J8924" s="12"/>
      <c r="K8924" s="12"/>
      <c r="L8924" s="12"/>
      <c r="M8924" s="11"/>
      <c r="N8924" s="11"/>
      <c r="O8924" s="11"/>
      <c r="P8924" s="11"/>
    </row>
    <row r="8925" spans="8:16" x14ac:dyDescent="0.25">
      <c r="H8925" s="12"/>
      <c r="I8925" s="12"/>
      <c r="J8925" s="12"/>
      <c r="K8925" s="12"/>
      <c r="L8925" s="12"/>
      <c r="M8925" s="11"/>
      <c r="N8925" s="11"/>
      <c r="O8925" s="11"/>
      <c r="P8925" s="11"/>
    </row>
    <row r="8926" spans="8:16" x14ac:dyDescent="0.25">
      <c r="H8926" s="12"/>
      <c r="I8926" s="12"/>
      <c r="J8926" s="12"/>
      <c r="K8926" s="12"/>
      <c r="L8926" s="12"/>
      <c r="M8926" s="11"/>
      <c r="N8926" s="11"/>
      <c r="O8926" s="11"/>
      <c r="P8926" s="11"/>
    </row>
    <row r="8927" spans="8:16" x14ac:dyDescent="0.25">
      <c r="H8927" s="12"/>
      <c r="I8927" s="12"/>
      <c r="J8927" s="12"/>
      <c r="K8927" s="12"/>
      <c r="L8927" s="12"/>
      <c r="M8927" s="11"/>
      <c r="N8927" s="11"/>
      <c r="O8927" s="11"/>
      <c r="P8927" s="11"/>
    </row>
    <row r="8928" spans="8:16" x14ac:dyDescent="0.25">
      <c r="H8928" s="12"/>
      <c r="I8928" s="12"/>
      <c r="J8928" s="12"/>
      <c r="K8928" s="12"/>
      <c r="L8928" s="12"/>
      <c r="M8928" s="11"/>
      <c r="N8928" s="11"/>
      <c r="O8928" s="11"/>
      <c r="P8928" s="11"/>
    </row>
    <row r="8929" spans="8:16" x14ac:dyDescent="0.25">
      <c r="H8929" s="12"/>
      <c r="I8929" s="12"/>
      <c r="J8929" s="12"/>
      <c r="K8929" s="12"/>
      <c r="L8929" s="12"/>
      <c r="M8929" s="11"/>
      <c r="N8929" s="11"/>
      <c r="O8929" s="11"/>
      <c r="P8929" s="11"/>
    </row>
    <row r="8930" spans="8:16" x14ac:dyDescent="0.25">
      <c r="H8930" s="12"/>
      <c r="I8930" s="12"/>
      <c r="J8930" s="12"/>
      <c r="K8930" s="12"/>
      <c r="L8930" s="12"/>
      <c r="M8930" s="11"/>
      <c r="N8930" s="11"/>
      <c r="O8930" s="11"/>
      <c r="P8930" s="11"/>
    </row>
    <row r="8931" spans="8:16" x14ac:dyDescent="0.25">
      <c r="H8931" s="12"/>
      <c r="I8931" s="12"/>
      <c r="J8931" s="12"/>
      <c r="K8931" s="12"/>
      <c r="L8931" s="12"/>
      <c r="M8931" s="11"/>
      <c r="N8931" s="11"/>
      <c r="O8931" s="11"/>
      <c r="P8931" s="11"/>
    </row>
    <row r="8932" spans="8:16" x14ac:dyDescent="0.25">
      <c r="H8932" s="12"/>
      <c r="I8932" s="12"/>
      <c r="J8932" s="12"/>
      <c r="K8932" s="12"/>
      <c r="L8932" s="12"/>
      <c r="M8932" s="11"/>
      <c r="N8932" s="11"/>
      <c r="O8932" s="11"/>
      <c r="P8932" s="11"/>
    </row>
    <row r="8933" spans="8:16" x14ac:dyDescent="0.25">
      <c r="H8933" s="12"/>
      <c r="I8933" s="12"/>
      <c r="J8933" s="12"/>
      <c r="K8933" s="12"/>
      <c r="L8933" s="12"/>
      <c r="M8933" s="11"/>
      <c r="N8933" s="11"/>
      <c r="O8933" s="11"/>
      <c r="P8933" s="11"/>
    </row>
    <row r="8934" spans="8:16" x14ac:dyDescent="0.25">
      <c r="H8934" s="12"/>
      <c r="I8934" s="12"/>
      <c r="J8934" s="12"/>
      <c r="K8934" s="12"/>
      <c r="L8934" s="12"/>
      <c r="M8934" s="11"/>
      <c r="N8934" s="11"/>
      <c r="O8934" s="11"/>
      <c r="P8934" s="11"/>
    </row>
    <row r="8935" spans="8:16" x14ac:dyDescent="0.25">
      <c r="H8935" s="12"/>
      <c r="I8935" s="12"/>
      <c r="J8935" s="12"/>
      <c r="K8935" s="12"/>
      <c r="L8935" s="12"/>
      <c r="M8935" s="11"/>
      <c r="N8935" s="11"/>
      <c r="O8935" s="11"/>
      <c r="P8935" s="11"/>
    </row>
    <row r="8936" spans="8:16" x14ac:dyDescent="0.25">
      <c r="H8936" s="12"/>
      <c r="I8936" s="12"/>
      <c r="J8936" s="12"/>
      <c r="K8936" s="12"/>
      <c r="L8936" s="12"/>
      <c r="M8936" s="11"/>
      <c r="N8936" s="11"/>
      <c r="O8936" s="11"/>
      <c r="P8936" s="11"/>
    </row>
    <row r="8937" spans="8:16" x14ac:dyDescent="0.25">
      <c r="H8937" s="12"/>
      <c r="I8937" s="12"/>
      <c r="J8937" s="12"/>
      <c r="K8937" s="12"/>
      <c r="L8937" s="12"/>
      <c r="M8937" s="11"/>
      <c r="N8937" s="11"/>
      <c r="O8937" s="11"/>
      <c r="P8937" s="11"/>
    </row>
    <row r="8938" spans="8:16" x14ac:dyDescent="0.25">
      <c r="H8938" s="12"/>
      <c r="I8938" s="12"/>
      <c r="J8938" s="12"/>
      <c r="K8938" s="12"/>
      <c r="L8938" s="12"/>
      <c r="M8938" s="11"/>
      <c r="N8938" s="11"/>
      <c r="O8938" s="11"/>
      <c r="P8938" s="11"/>
    </row>
    <row r="8939" spans="8:16" x14ac:dyDescent="0.25">
      <c r="H8939" s="12"/>
      <c r="I8939" s="12"/>
      <c r="J8939" s="12"/>
      <c r="K8939" s="12"/>
      <c r="L8939" s="12"/>
      <c r="M8939" s="11"/>
      <c r="N8939" s="11"/>
      <c r="O8939" s="11"/>
      <c r="P8939" s="11"/>
    </row>
    <row r="8940" spans="8:16" x14ac:dyDescent="0.25">
      <c r="H8940" s="12"/>
      <c r="I8940" s="12"/>
      <c r="J8940" s="12"/>
      <c r="K8940" s="12"/>
      <c r="L8940" s="12"/>
      <c r="M8940" s="11"/>
      <c r="N8940" s="11"/>
      <c r="O8940" s="11"/>
      <c r="P8940" s="11"/>
    </row>
    <row r="8941" spans="8:16" x14ac:dyDescent="0.25">
      <c r="H8941" s="12"/>
      <c r="I8941" s="12"/>
      <c r="J8941" s="12"/>
      <c r="K8941" s="12"/>
      <c r="L8941" s="12"/>
      <c r="M8941" s="11"/>
      <c r="N8941" s="11"/>
      <c r="O8941" s="11"/>
      <c r="P8941" s="11"/>
    </row>
    <row r="8942" spans="8:16" x14ac:dyDescent="0.25">
      <c r="H8942" s="12"/>
      <c r="I8942" s="12"/>
      <c r="J8942" s="12"/>
      <c r="K8942" s="12"/>
      <c r="L8942" s="12"/>
      <c r="M8942" s="11"/>
      <c r="N8942" s="11"/>
      <c r="O8942" s="11"/>
      <c r="P8942" s="11"/>
    </row>
    <row r="8943" spans="8:16" x14ac:dyDescent="0.25">
      <c r="H8943" s="12"/>
      <c r="I8943" s="12"/>
      <c r="J8943" s="12"/>
      <c r="K8943" s="12"/>
      <c r="L8943" s="12"/>
      <c r="M8943" s="11"/>
      <c r="N8943" s="11"/>
      <c r="O8943" s="11"/>
      <c r="P8943" s="11"/>
    </row>
    <row r="8944" spans="8:16" x14ac:dyDescent="0.25">
      <c r="H8944" s="12"/>
      <c r="I8944" s="12"/>
      <c r="J8944" s="12"/>
      <c r="K8944" s="12"/>
      <c r="L8944" s="12"/>
      <c r="M8944" s="11"/>
      <c r="N8944" s="11"/>
      <c r="O8944" s="11"/>
      <c r="P8944" s="11"/>
    </row>
    <row r="8945" spans="8:16" x14ac:dyDescent="0.25">
      <c r="H8945" s="12"/>
      <c r="I8945" s="12"/>
      <c r="J8945" s="12"/>
      <c r="K8945" s="12"/>
      <c r="L8945" s="12"/>
      <c r="M8945" s="11"/>
      <c r="N8945" s="11"/>
      <c r="O8945" s="11"/>
      <c r="P8945" s="11"/>
    </row>
    <row r="8946" spans="8:16" x14ac:dyDescent="0.25">
      <c r="H8946" s="12"/>
      <c r="I8946" s="12"/>
      <c r="J8946" s="12"/>
      <c r="K8946" s="12"/>
      <c r="L8946" s="12"/>
      <c r="M8946" s="11"/>
      <c r="N8946" s="11"/>
      <c r="O8946" s="11"/>
      <c r="P8946" s="11"/>
    </row>
    <row r="8947" spans="8:16" x14ac:dyDescent="0.25">
      <c r="H8947" s="12"/>
      <c r="I8947" s="12"/>
      <c r="J8947" s="12"/>
      <c r="K8947" s="12"/>
      <c r="L8947" s="12"/>
      <c r="M8947" s="11"/>
      <c r="N8947" s="11"/>
      <c r="O8947" s="11"/>
      <c r="P8947" s="11"/>
    </row>
    <row r="8948" spans="8:16" x14ac:dyDescent="0.25">
      <c r="H8948" s="12"/>
      <c r="I8948" s="12"/>
      <c r="J8948" s="12"/>
      <c r="K8948" s="12"/>
      <c r="L8948" s="12"/>
      <c r="M8948" s="11"/>
      <c r="N8948" s="11"/>
      <c r="O8948" s="11"/>
      <c r="P8948" s="11"/>
    </row>
    <row r="8949" spans="8:16" x14ac:dyDescent="0.25">
      <c r="H8949" s="12"/>
      <c r="I8949" s="12"/>
      <c r="J8949" s="12"/>
      <c r="K8949" s="12"/>
      <c r="L8949" s="12"/>
      <c r="M8949" s="11"/>
      <c r="N8949" s="11"/>
      <c r="O8949" s="11"/>
      <c r="P8949" s="11"/>
    </row>
    <row r="8950" spans="8:16" x14ac:dyDescent="0.25">
      <c r="H8950" s="12"/>
      <c r="I8950" s="12"/>
      <c r="J8950" s="12"/>
      <c r="K8950" s="12"/>
      <c r="L8950" s="12"/>
      <c r="M8950" s="11"/>
      <c r="N8950" s="11"/>
      <c r="O8950" s="11"/>
      <c r="P8950" s="11"/>
    </row>
    <row r="8951" spans="8:16" x14ac:dyDescent="0.25">
      <c r="H8951" s="12"/>
      <c r="I8951" s="12"/>
      <c r="J8951" s="12"/>
      <c r="K8951" s="12"/>
      <c r="L8951" s="12"/>
      <c r="M8951" s="11"/>
      <c r="N8951" s="11"/>
      <c r="O8951" s="11"/>
      <c r="P8951" s="11"/>
    </row>
    <row r="8952" spans="8:16" x14ac:dyDescent="0.25">
      <c r="H8952" s="12"/>
      <c r="I8952" s="12"/>
      <c r="J8952" s="12"/>
      <c r="K8952" s="12"/>
      <c r="L8952" s="12"/>
      <c r="M8952" s="11"/>
      <c r="N8952" s="11"/>
      <c r="O8952" s="11"/>
      <c r="P8952" s="11"/>
    </row>
    <row r="8953" spans="8:16" x14ac:dyDescent="0.25">
      <c r="H8953" s="12"/>
      <c r="I8953" s="12"/>
      <c r="J8953" s="12"/>
      <c r="K8953" s="12"/>
      <c r="L8953" s="12"/>
      <c r="M8953" s="11"/>
      <c r="N8953" s="11"/>
      <c r="O8953" s="11"/>
      <c r="P8953" s="11"/>
    </row>
    <row r="8954" spans="8:16" x14ac:dyDescent="0.25">
      <c r="H8954" s="12"/>
      <c r="I8954" s="12"/>
      <c r="J8954" s="12"/>
      <c r="K8954" s="12"/>
      <c r="L8954" s="12"/>
      <c r="M8954" s="11"/>
      <c r="N8954" s="11"/>
      <c r="O8954" s="11"/>
      <c r="P8954" s="11"/>
    </row>
    <row r="8955" spans="8:16" x14ac:dyDescent="0.25">
      <c r="H8955" s="12"/>
      <c r="I8955" s="12"/>
      <c r="J8955" s="12"/>
      <c r="K8955" s="12"/>
      <c r="L8955" s="12"/>
      <c r="M8955" s="11"/>
      <c r="N8955" s="11"/>
      <c r="O8955" s="11"/>
      <c r="P8955" s="11"/>
    </row>
    <row r="8956" spans="8:16" x14ac:dyDescent="0.25">
      <c r="H8956" s="12"/>
      <c r="I8956" s="12"/>
      <c r="J8956" s="12"/>
      <c r="K8956" s="12"/>
      <c r="L8956" s="12"/>
      <c r="M8956" s="11"/>
      <c r="N8956" s="11"/>
      <c r="O8956" s="11"/>
      <c r="P8956" s="11"/>
    </row>
    <row r="8957" spans="8:16" x14ac:dyDescent="0.25">
      <c r="H8957" s="12"/>
      <c r="I8957" s="12"/>
      <c r="J8957" s="12"/>
      <c r="K8957" s="12"/>
      <c r="L8957" s="12"/>
      <c r="M8957" s="11"/>
      <c r="N8957" s="11"/>
      <c r="O8957" s="11"/>
      <c r="P8957" s="11"/>
    </row>
    <row r="8958" spans="8:16" x14ac:dyDescent="0.25">
      <c r="H8958" s="12"/>
      <c r="I8958" s="12"/>
      <c r="J8958" s="12"/>
      <c r="K8958" s="12"/>
      <c r="L8958" s="12"/>
      <c r="M8958" s="11"/>
      <c r="N8958" s="11"/>
      <c r="O8958" s="11"/>
      <c r="P8958" s="11"/>
    </row>
    <row r="8959" spans="8:16" x14ac:dyDescent="0.25">
      <c r="H8959" s="12"/>
      <c r="I8959" s="12"/>
      <c r="J8959" s="12"/>
      <c r="K8959" s="12"/>
      <c r="L8959" s="12"/>
      <c r="M8959" s="11"/>
      <c r="N8959" s="11"/>
      <c r="O8959" s="11"/>
      <c r="P8959" s="11"/>
    </row>
    <row r="8960" spans="8:16" x14ac:dyDescent="0.25">
      <c r="H8960" s="12"/>
      <c r="I8960" s="12"/>
      <c r="J8960" s="12"/>
      <c r="K8960" s="12"/>
      <c r="L8960" s="12"/>
      <c r="M8960" s="11"/>
      <c r="N8960" s="11"/>
      <c r="O8960" s="11"/>
      <c r="P8960" s="11"/>
    </row>
    <row r="8961" spans="8:16" x14ac:dyDescent="0.25">
      <c r="H8961" s="12"/>
      <c r="I8961" s="12"/>
      <c r="J8961" s="12"/>
      <c r="K8961" s="12"/>
      <c r="L8961" s="12"/>
      <c r="M8961" s="11"/>
      <c r="N8961" s="11"/>
      <c r="O8961" s="11"/>
      <c r="P8961" s="11"/>
    </row>
    <row r="8962" spans="8:16" x14ac:dyDescent="0.25">
      <c r="H8962" s="12"/>
      <c r="I8962" s="12"/>
      <c r="J8962" s="12"/>
      <c r="K8962" s="12"/>
      <c r="L8962" s="12"/>
      <c r="M8962" s="11"/>
      <c r="N8962" s="11"/>
      <c r="O8962" s="11"/>
      <c r="P8962" s="11"/>
    </row>
    <row r="8963" spans="8:16" x14ac:dyDescent="0.25">
      <c r="H8963" s="12"/>
      <c r="I8963" s="12"/>
      <c r="J8963" s="12"/>
      <c r="K8963" s="12"/>
      <c r="L8963" s="12"/>
      <c r="M8963" s="11"/>
      <c r="N8963" s="11"/>
      <c r="O8963" s="11"/>
      <c r="P8963" s="11"/>
    </row>
    <row r="8964" spans="8:16" x14ac:dyDescent="0.25">
      <c r="H8964" s="12"/>
      <c r="I8964" s="12"/>
      <c r="J8964" s="12"/>
      <c r="K8964" s="12"/>
      <c r="L8964" s="12"/>
      <c r="M8964" s="11"/>
      <c r="N8964" s="11"/>
      <c r="O8964" s="11"/>
      <c r="P8964" s="11"/>
    </row>
    <row r="8965" spans="8:16" x14ac:dyDescent="0.25">
      <c r="H8965" s="12"/>
      <c r="I8965" s="12"/>
      <c r="J8965" s="12"/>
      <c r="K8965" s="12"/>
      <c r="L8965" s="12"/>
      <c r="M8965" s="11"/>
      <c r="N8965" s="11"/>
      <c r="O8965" s="11"/>
      <c r="P8965" s="11"/>
    </row>
    <row r="8966" spans="8:16" x14ac:dyDescent="0.25">
      <c r="H8966" s="12"/>
      <c r="I8966" s="12"/>
      <c r="J8966" s="12"/>
      <c r="K8966" s="12"/>
      <c r="L8966" s="12"/>
      <c r="M8966" s="11"/>
      <c r="N8966" s="11"/>
      <c r="O8966" s="11"/>
      <c r="P8966" s="11"/>
    </row>
    <row r="8967" spans="8:16" x14ac:dyDescent="0.25">
      <c r="H8967" s="12"/>
      <c r="I8967" s="12"/>
      <c r="J8967" s="12"/>
      <c r="K8967" s="12"/>
      <c r="L8967" s="12"/>
      <c r="M8967" s="11"/>
      <c r="N8967" s="11"/>
      <c r="O8967" s="11"/>
      <c r="P8967" s="11"/>
    </row>
    <row r="8968" spans="8:16" x14ac:dyDescent="0.25">
      <c r="H8968" s="12"/>
      <c r="I8968" s="12"/>
      <c r="J8968" s="12"/>
      <c r="K8968" s="12"/>
      <c r="L8968" s="12"/>
      <c r="M8968" s="11"/>
      <c r="N8968" s="11"/>
      <c r="O8968" s="11"/>
      <c r="P8968" s="11"/>
    </row>
    <row r="8969" spans="8:16" x14ac:dyDescent="0.25">
      <c r="H8969" s="12"/>
      <c r="I8969" s="12"/>
      <c r="J8969" s="12"/>
      <c r="K8969" s="12"/>
      <c r="L8969" s="12"/>
      <c r="M8969" s="11"/>
      <c r="N8969" s="11"/>
      <c r="O8969" s="11"/>
      <c r="P8969" s="11"/>
    </row>
    <row r="8970" spans="8:16" x14ac:dyDescent="0.25">
      <c r="H8970" s="12"/>
      <c r="I8970" s="12"/>
      <c r="J8970" s="12"/>
      <c r="K8970" s="12"/>
      <c r="L8970" s="12"/>
      <c r="M8970" s="11"/>
      <c r="N8970" s="11"/>
      <c r="O8970" s="11"/>
      <c r="P8970" s="11"/>
    </row>
    <row r="8971" spans="8:16" x14ac:dyDescent="0.25">
      <c r="H8971" s="12"/>
      <c r="I8971" s="12"/>
      <c r="J8971" s="12"/>
      <c r="K8971" s="12"/>
      <c r="L8971" s="12"/>
      <c r="M8971" s="11"/>
      <c r="N8971" s="11"/>
      <c r="O8971" s="11"/>
      <c r="P8971" s="11"/>
    </row>
    <row r="8972" spans="8:16" x14ac:dyDescent="0.25">
      <c r="H8972" s="12"/>
      <c r="I8972" s="12"/>
      <c r="J8972" s="12"/>
      <c r="K8972" s="12"/>
      <c r="L8972" s="12"/>
      <c r="M8972" s="11"/>
      <c r="N8972" s="11"/>
      <c r="O8972" s="11"/>
      <c r="P8972" s="11"/>
    </row>
    <row r="8973" spans="8:16" x14ac:dyDescent="0.25">
      <c r="H8973" s="12"/>
      <c r="I8973" s="12"/>
      <c r="J8973" s="12"/>
      <c r="K8973" s="12"/>
      <c r="L8973" s="12"/>
      <c r="M8973" s="11"/>
      <c r="N8973" s="11"/>
      <c r="O8973" s="11"/>
      <c r="P8973" s="11"/>
    </row>
    <row r="8974" spans="8:16" x14ac:dyDescent="0.25">
      <c r="H8974" s="12"/>
      <c r="I8974" s="12"/>
      <c r="J8974" s="12"/>
      <c r="K8974" s="12"/>
      <c r="L8974" s="12"/>
      <c r="M8974" s="11"/>
      <c r="N8974" s="11"/>
      <c r="O8974" s="11"/>
      <c r="P8974" s="11"/>
    </row>
    <row r="8975" spans="8:16" x14ac:dyDescent="0.25">
      <c r="H8975" s="12"/>
      <c r="I8975" s="12"/>
      <c r="J8975" s="12"/>
      <c r="K8975" s="12"/>
      <c r="L8975" s="12"/>
      <c r="M8975" s="11"/>
      <c r="N8975" s="11"/>
      <c r="O8975" s="11"/>
      <c r="P8975" s="11"/>
    </row>
    <row r="8976" spans="8:16" x14ac:dyDescent="0.25">
      <c r="H8976" s="12"/>
      <c r="I8976" s="12"/>
      <c r="J8976" s="12"/>
      <c r="K8976" s="12"/>
      <c r="L8976" s="12"/>
      <c r="M8976" s="11"/>
      <c r="N8976" s="11"/>
      <c r="O8976" s="11"/>
      <c r="P8976" s="11"/>
    </row>
    <row r="8977" spans="8:16" x14ac:dyDescent="0.25">
      <c r="H8977" s="12"/>
      <c r="I8977" s="12"/>
      <c r="J8977" s="12"/>
      <c r="K8977" s="12"/>
      <c r="L8977" s="12"/>
      <c r="M8977" s="11"/>
      <c r="N8977" s="11"/>
      <c r="O8977" s="11"/>
      <c r="P8977" s="11"/>
    </row>
    <row r="8978" spans="8:16" x14ac:dyDescent="0.25">
      <c r="H8978" s="12"/>
      <c r="I8978" s="12"/>
      <c r="J8978" s="12"/>
      <c r="K8978" s="12"/>
      <c r="L8978" s="12"/>
      <c r="M8978" s="11"/>
      <c r="N8978" s="11"/>
      <c r="O8978" s="11"/>
      <c r="P8978" s="11"/>
    </row>
    <row r="8979" spans="8:16" x14ac:dyDescent="0.25">
      <c r="H8979" s="12"/>
      <c r="I8979" s="12"/>
      <c r="J8979" s="12"/>
      <c r="K8979" s="12"/>
      <c r="L8979" s="12"/>
      <c r="M8979" s="11"/>
      <c r="N8979" s="11"/>
      <c r="O8979" s="11"/>
      <c r="P8979" s="11"/>
    </row>
    <row r="8980" spans="8:16" x14ac:dyDescent="0.25">
      <c r="H8980" s="12"/>
      <c r="I8980" s="12"/>
      <c r="J8980" s="12"/>
      <c r="K8980" s="12"/>
      <c r="L8980" s="12"/>
      <c r="M8980" s="11"/>
      <c r="N8980" s="11"/>
      <c r="O8980" s="11"/>
      <c r="P8980" s="11"/>
    </row>
    <row r="8981" spans="8:16" x14ac:dyDescent="0.25">
      <c r="H8981" s="12"/>
      <c r="I8981" s="12"/>
      <c r="J8981" s="12"/>
      <c r="K8981" s="12"/>
      <c r="L8981" s="12"/>
      <c r="M8981" s="11"/>
      <c r="N8981" s="11"/>
      <c r="O8981" s="11"/>
      <c r="P8981" s="11"/>
    </row>
    <row r="8982" spans="8:16" x14ac:dyDescent="0.25">
      <c r="H8982" s="12"/>
      <c r="I8982" s="12"/>
      <c r="J8982" s="12"/>
      <c r="K8982" s="12"/>
      <c r="L8982" s="12"/>
      <c r="M8982" s="11"/>
      <c r="N8982" s="11"/>
      <c r="O8982" s="11"/>
      <c r="P8982" s="11"/>
    </row>
    <row r="8983" spans="8:16" x14ac:dyDescent="0.25">
      <c r="H8983" s="12"/>
      <c r="I8983" s="12"/>
      <c r="J8983" s="12"/>
      <c r="K8983" s="12"/>
      <c r="L8983" s="12"/>
      <c r="M8983" s="11"/>
      <c r="N8983" s="11"/>
      <c r="O8983" s="11"/>
      <c r="P8983" s="11"/>
    </row>
    <row r="8984" spans="8:16" x14ac:dyDescent="0.25">
      <c r="H8984" s="12"/>
      <c r="I8984" s="12"/>
      <c r="J8984" s="12"/>
      <c r="K8984" s="12"/>
      <c r="L8984" s="12"/>
      <c r="M8984" s="11"/>
      <c r="N8984" s="11"/>
      <c r="O8984" s="11"/>
      <c r="P8984" s="11"/>
    </row>
    <row r="8985" spans="8:16" x14ac:dyDescent="0.25">
      <c r="H8985" s="12"/>
      <c r="I8985" s="12"/>
      <c r="J8985" s="12"/>
      <c r="K8985" s="12"/>
      <c r="L8985" s="12"/>
      <c r="M8985" s="11"/>
      <c r="N8985" s="11"/>
      <c r="O8985" s="11"/>
      <c r="P8985" s="11"/>
    </row>
    <row r="8986" spans="8:16" x14ac:dyDescent="0.25">
      <c r="H8986" s="12"/>
      <c r="I8986" s="12"/>
      <c r="J8986" s="12"/>
      <c r="K8986" s="12"/>
      <c r="L8986" s="12"/>
      <c r="M8986" s="11"/>
      <c r="N8986" s="11"/>
      <c r="O8986" s="11"/>
      <c r="P8986" s="11"/>
    </row>
    <row r="8987" spans="8:16" x14ac:dyDescent="0.25">
      <c r="H8987" s="12"/>
      <c r="I8987" s="12"/>
      <c r="J8987" s="12"/>
      <c r="K8987" s="12"/>
      <c r="L8987" s="12"/>
      <c r="M8987" s="11"/>
      <c r="N8987" s="11"/>
      <c r="O8987" s="11"/>
      <c r="P8987" s="11"/>
    </row>
    <row r="8988" spans="8:16" x14ac:dyDescent="0.25">
      <c r="H8988" s="12"/>
      <c r="I8988" s="12"/>
      <c r="J8988" s="12"/>
      <c r="K8988" s="12"/>
      <c r="L8988" s="12"/>
      <c r="M8988" s="11"/>
      <c r="N8988" s="11"/>
      <c r="O8988" s="11"/>
      <c r="P8988" s="11"/>
    </row>
    <row r="8989" spans="8:16" x14ac:dyDescent="0.25">
      <c r="H8989" s="12"/>
      <c r="I8989" s="12"/>
      <c r="J8989" s="12"/>
      <c r="K8989" s="12"/>
      <c r="L8989" s="12"/>
      <c r="M8989" s="11"/>
      <c r="N8989" s="11"/>
      <c r="O8989" s="11"/>
      <c r="P8989" s="11"/>
    </row>
    <row r="8990" spans="8:16" x14ac:dyDescent="0.25">
      <c r="H8990" s="12"/>
      <c r="I8990" s="12"/>
      <c r="J8990" s="12"/>
      <c r="K8990" s="12"/>
      <c r="L8990" s="12"/>
      <c r="M8990" s="11"/>
      <c r="N8990" s="11"/>
      <c r="O8990" s="11"/>
      <c r="P8990" s="11"/>
    </row>
    <row r="8991" spans="8:16" x14ac:dyDescent="0.25">
      <c r="H8991" s="12"/>
      <c r="I8991" s="12"/>
      <c r="J8991" s="12"/>
      <c r="K8991" s="12"/>
      <c r="L8991" s="12"/>
      <c r="M8991" s="11"/>
      <c r="N8991" s="11"/>
      <c r="O8991" s="11"/>
      <c r="P8991" s="11"/>
    </row>
    <row r="8992" spans="8:16" x14ac:dyDescent="0.25">
      <c r="H8992" s="12"/>
      <c r="I8992" s="12"/>
      <c r="J8992" s="12"/>
      <c r="K8992" s="12"/>
      <c r="L8992" s="12"/>
      <c r="M8992" s="11"/>
      <c r="N8992" s="11"/>
      <c r="O8992" s="11"/>
      <c r="P8992" s="11"/>
    </row>
    <row r="8993" spans="8:16" x14ac:dyDescent="0.25">
      <c r="H8993" s="12"/>
      <c r="I8993" s="12"/>
      <c r="J8993" s="12"/>
      <c r="K8993" s="12"/>
      <c r="L8993" s="12"/>
      <c r="M8993" s="11"/>
      <c r="N8993" s="11"/>
      <c r="O8993" s="11"/>
      <c r="P8993" s="11"/>
    </row>
    <row r="8994" spans="8:16" x14ac:dyDescent="0.25">
      <c r="H8994" s="12"/>
      <c r="I8994" s="12"/>
      <c r="J8994" s="12"/>
      <c r="K8994" s="12"/>
      <c r="L8994" s="12"/>
      <c r="M8994" s="11"/>
      <c r="N8994" s="11"/>
      <c r="O8994" s="11"/>
      <c r="P8994" s="11"/>
    </row>
    <row r="8995" spans="8:16" x14ac:dyDescent="0.25">
      <c r="H8995" s="12"/>
      <c r="I8995" s="12"/>
      <c r="J8995" s="12"/>
      <c r="K8995" s="12"/>
      <c r="L8995" s="12"/>
      <c r="M8995" s="11"/>
      <c r="N8995" s="11"/>
      <c r="O8995" s="11"/>
      <c r="P8995" s="11"/>
    </row>
    <row r="8996" spans="8:16" x14ac:dyDescent="0.25">
      <c r="H8996" s="12"/>
      <c r="I8996" s="12"/>
      <c r="J8996" s="12"/>
      <c r="K8996" s="12"/>
      <c r="L8996" s="12"/>
      <c r="M8996" s="11"/>
      <c r="N8996" s="11"/>
      <c r="O8996" s="11"/>
      <c r="P8996" s="11"/>
    </row>
    <row r="8997" spans="8:16" x14ac:dyDescent="0.25">
      <c r="H8997" s="12"/>
      <c r="I8997" s="12"/>
      <c r="J8997" s="12"/>
      <c r="K8997" s="12"/>
      <c r="L8997" s="12"/>
      <c r="M8997" s="11"/>
      <c r="N8997" s="11"/>
      <c r="O8997" s="11"/>
      <c r="P8997" s="11"/>
    </row>
    <row r="8998" spans="8:16" x14ac:dyDescent="0.25">
      <c r="H8998" s="12"/>
      <c r="I8998" s="12"/>
      <c r="J8998" s="12"/>
      <c r="K8998" s="12"/>
      <c r="L8998" s="12"/>
      <c r="M8998" s="11"/>
      <c r="N8998" s="11"/>
      <c r="O8998" s="11"/>
      <c r="P8998" s="11"/>
    </row>
    <row r="8999" spans="8:16" x14ac:dyDescent="0.25">
      <c r="H8999" s="12"/>
      <c r="I8999" s="12"/>
      <c r="J8999" s="12"/>
      <c r="K8999" s="12"/>
      <c r="L8999" s="12"/>
      <c r="M8999" s="11"/>
      <c r="N8999" s="11"/>
      <c r="O8999" s="11"/>
      <c r="P8999" s="11"/>
    </row>
    <row r="9000" spans="8:16" x14ac:dyDescent="0.25">
      <c r="H9000" s="12"/>
      <c r="I9000" s="12"/>
      <c r="J9000" s="12"/>
      <c r="K9000" s="12"/>
      <c r="L9000" s="12"/>
      <c r="M9000" s="11"/>
      <c r="N9000" s="11"/>
      <c r="O9000" s="11"/>
      <c r="P9000" s="11"/>
    </row>
    <row r="9001" spans="8:16" x14ac:dyDescent="0.25">
      <c r="H9001" s="12"/>
      <c r="I9001" s="12"/>
      <c r="J9001" s="12"/>
      <c r="K9001" s="12"/>
      <c r="L9001" s="12"/>
      <c r="M9001" s="11"/>
      <c r="N9001" s="11"/>
      <c r="O9001" s="11"/>
      <c r="P9001" s="11"/>
    </row>
    <row r="9002" spans="8:16" x14ac:dyDescent="0.25">
      <c r="H9002" s="12"/>
      <c r="I9002" s="12"/>
      <c r="J9002" s="12"/>
      <c r="K9002" s="12"/>
      <c r="L9002" s="12"/>
      <c r="M9002" s="11"/>
      <c r="N9002" s="11"/>
      <c r="O9002" s="11"/>
      <c r="P9002" s="11"/>
    </row>
    <row r="9003" spans="8:16" x14ac:dyDescent="0.25">
      <c r="H9003" s="12"/>
      <c r="I9003" s="12"/>
      <c r="J9003" s="12"/>
      <c r="K9003" s="12"/>
      <c r="L9003" s="12"/>
      <c r="M9003" s="11"/>
      <c r="N9003" s="11"/>
      <c r="O9003" s="11"/>
      <c r="P9003" s="11"/>
    </row>
    <row r="9004" spans="8:16" x14ac:dyDescent="0.25">
      <c r="H9004" s="12"/>
      <c r="I9004" s="12"/>
      <c r="J9004" s="12"/>
      <c r="K9004" s="12"/>
      <c r="L9004" s="12"/>
      <c r="M9004" s="11"/>
      <c r="N9004" s="11"/>
      <c r="O9004" s="11"/>
      <c r="P9004" s="11"/>
    </row>
    <row r="9005" spans="8:16" x14ac:dyDescent="0.25">
      <c r="H9005" s="12"/>
      <c r="I9005" s="12"/>
      <c r="J9005" s="12"/>
      <c r="K9005" s="12"/>
      <c r="L9005" s="12"/>
      <c r="M9005" s="11"/>
      <c r="N9005" s="11"/>
      <c r="O9005" s="11"/>
      <c r="P9005" s="11"/>
    </row>
    <row r="9006" spans="8:16" x14ac:dyDescent="0.25">
      <c r="H9006" s="12"/>
      <c r="I9006" s="12"/>
      <c r="J9006" s="12"/>
      <c r="K9006" s="12"/>
      <c r="L9006" s="12"/>
      <c r="M9006" s="11"/>
      <c r="N9006" s="11"/>
      <c r="O9006" s="11"/>
      <c r="P9006" s="11"/>
    </row>
    <row r="9007" spans="8:16" x14ac:dyDescent="0.25">
      <c r="H9007" s="12"/>
      <c r="I9007" s="12"/>
      <c r="J9007" s="12"/>
      <c r="K9007" s="12"/>
      <c r="L9007" s="12"/>
      <c r="M9007" s="11"/>
      <c r="N9007" s="11"/>
      <c r="O9007" s="11"/>
      <c r="P9007" s="11"/>
    </row>
    <row r="9008" spans="8:16" x14ac:dyDescent="0.25">
      <c r="H9008" s="12"/>
      <c r="I9008" s="12"/>
      <c r="J9008" s="12"/>
      <c r="K9008" s="12"/>
      <c r="L9008" s="12"/>
      <c r="M9008" s="11"/>
      <c r="N9008" s="11"/>
      <c r="O9008" s="11"/>
      <c r="P9008" s="11"/>
    </row>
    <row r="9009" spans="8:16" x14ac:dyDescent="0.25">
      <c r="H9009" s="12"/>
      <c r="I9009" s="12"/>
      <c r="J9009" s="12"/>
      <c r="K9009" s="12"/>
      <c r="L9009" s="12"/>
      <c r="M9009" s="11"/>
      <c r="N9009" s="11"/>
      <c r="O9009" s="11"/>
      <c r="P9009" s="11"/>
    </row>
    <row r="9010" spans="8:16" x14ac:dyDescent="0.25">
      <c r="H9010" s="12"/>
      <c r="I9010" s="12"/>
      <c r="J9010" s="12"/>
      <c r="K9010" s="12"/>
      <c r="L9010" s="12"/>
      <c r="M9010" s="11"/>
      <c r="N9010" s="11"/>
      <c r="O9010" s="11"/>
      <c r="P9010" s="11"/>
    </row>
    <row r="9011" spans="8:16" x14ac:dyDescent="0.25">
      <c r="H9011" s="12"/>
      <c r="I9011" s="12"/>
      <c r="J9011" s="12"/>
      <c r="K9011" s="12"/>
      <c r="L9011" s="12"/>
      <c r="M9011" s="11"/>
      <c r="N9011" s="11"/>
      <c r="O9011" s="11"/>
      <c r="P9011" s="11"/>
    </row>
    <row r="9012" spans="8:16" x14ac:dyDescent="0.25">
      <c r="H9012" s="12"/>
      <c r="I9012" s="12"/>
      <c r="J9012" s="12"/>
      <c r="K9012" s="12"/>
      <c r="L9012" s="12"/>
      <c r="M9012" s="11"/>
      <c r="N9012" s="11"/>
      <c r="O9012" s="11"/>
      <c r="P9012" s="11"/>
    </row>
    <row r="9013" spans="8:16" x14ac:dyDescent="0.25">
      <c r="H9013" s="12"/>
      <c r="I9013" s="12"/>
      <c r="J9013" s="12"/>
      <c r="K9013" s="12"/>
      <c r="L9013" s="12"/>
      <c r="M9013" s="11"/>
      <c r="N9013" s="11"/>
      <c r="O9013" s="11"/>
      <c r="P9013" s="11"/>
    </row>
    <row r="9014" spans="8:16" x14ac:dyDescent="0.25">
      <c r="H9014" s="12"/>
      <c r="I9014" s="12"/>
      <c r="J9014" s="12"/>
      <c r="K9014" s="12"/>
      <c r="L9014" s="12"/>
      <c r="M9014" s="11"/>
      <c r="N9014" s="11"/>
      <c r="O9014" s="11"/>
      <c r="P9014" s="11"/>
    </row>
    <row r="9015" spans="8:16" x14ac:dyDescent="0.25">
      <c r="H9015" s="12"/>
      <c r="I9015" s="12"/>
      <c r="J9015" s="12"/>
      <c r="K9015" s="12"/>
      <c r="L9015" s="12"/>
      <c r="M9015" s="11"/>
      <c r="N9015" s="11"/>
      <c r="O9015" s="11"/>
      <c r="P9015" s="11"/>
    </row>
    <row r="9016" spans="8:16" x14ac:dyDescent="0.25">
      <c r="H9016" s="12"/>
      <c r="I9016" s="12"/>
      <c r="J9016" s="12"/>
      <c r="K9016" s="12"/>
      <c r="L9016" s="12"/>
      <c r="M9016" s="11"/>
      <c r="N9016" s="11"/>
      <c r="O9016" s="11"/>
      <c r="P9016" s="11"/>
    </row>
    <row r="9017" spans="8:16" x14ac:dyDescent="0.25">
      <c r="H9017" s="12"/>
      <c r="I9017" s="12"/>
      <c r="J9017" s="12"/>
      <c r="K9017" s="12"/>
      <c r="L9017" s="12"/>
      <c r="M9017" s="11"/>
      <c r="N9017" s="11"/>
      <c r="O9017" s="11"/>
      <c r="P9017" s="11"/>
    </row>
    <row r="9018" spans="8:16" x14ac:dyDescent="0.25">
      <c r="H9018" s="12"/>
      <c r="I9018" s="12"/>
      <c r="J9018" s="12"/>
      <c r="K9018" s="12"/>
      <c r="L9018" s="12"/>
      <c r="M9018" s="11"/>
      <c r="N9018" s="11"/>
      <c r="O9018" s="11"/>
      <c r="P9018" s="11"/>
    </row>
    <row r="9019" spans="8:16" x14ac:dyDescent="0.25">
      <c r="H9019" s="12"/>
      <c r="I9019" s="12"/>
      <c r="J9019" s="12"/>
      <c r="K9019" s="12"/>
      <c r="L9019" s="12"/>
      <c r="M9019" s="11"/>
      <c r="N9019" s="11"/>
      <c r="O9019" s="11"/>
      <c r="P9019" s="11"/>
    </row>
    <row r="9020" spans="8:16" x14ac:dyDescent="0.25">
      <c r="H9020" s="12"/>
      <c r="I9020" s="12"/>
      <c r="J9020" s="12"/>
      <c r="K9020" s="12"/>
      <c r="L9020" s="12"/>
      <c r="M9020" s="11"/>
      <c r="N9020" s="11"/>
      <c r="O9020" s="11"/>
      <c r="P9020" s="11"/>
    </row>
    <row r="9021" spans="8:16" x14ac:dyDescent="0.25">
      <c r="H9021" s="12"/>
      <c r="I9021" s="12"/>
      <c r="J9021" s="12"/>
      <c r="K9021" s="12"/>
      <c r="L9021" s="12"/>
      <c r="M9021" s="11"/>
      <c r="N9021" s="11"/>
      <c r="O9021" s="11"/>
      <c r="P9021" s="11"/>
    </row>
    <row r="9022" spans="8:16" x14ac:dyDescent="0.25">
      <c r="H9022" s="12"/>
      <c r="I9022" s="12"/>
      <c r="J9022" s="12"/>
      <c r="K9022" s="12"/>
      <c r="L9022" s="12"/>
      <c r="M9022" s="11"/>
      <c r="N9022" s="11"/>
      <c r="O9022" s="11"/>
      <c r="P9022" s="11"/>
    </row>
    <row r="9023" spans="8:16" x14ac:dyDescent="0.25">
      <c r="H9023" s="12"/>
      <c r="I9023" s="12"/>
      <c r="J9023" s="12"/>
      <c r="K9023" s="12"/>
      <c r="L9023" s="12"/>
      <c r="M9023" s="11"/>
      <c r="N9023" s="11"/>
      <c r="O9023" s="11"/>
      <c r="P9023" s="11"/>
    </row>
    <row r="9024" spans="8:16" x14ac:dyDescent="0.25">
      <c r="H9024" s="12"/>
      <c r="I9024" s="12"/>
      <c r="J9024" s="12"/>
      <c r="K9024" s="12"/>
      <c r="L9024" s="12"/>
      <c r="M9024" s="11"/>
      <c r="N9024" s="11"/>
      <c r="O9024" s="11"/>
      <c r="P9024" s="11"/>
    </row>
    <row r="9025" spans="8:16" x14ac:dyDescent="0.25">
      <c r="H9025" s="12"/>
      <c r="I9025" s="12"/>
      <c r="J9025" s="12"/>
      <c r="K9025" s="12"/>
      <c r="L9025" s="12"/>
      <c r="M9025" s="11"/>
      <c r="N9025" s="11"/>
      <c r="O9025" s="11"/>
      <c r="P9025" s="11"/>
    </row>
    <row r="9026" spans="8:16" x14ac:dyDescent="0.25">
      <c r="H9026" s="12"/>
      <c r="I9026" s="12"/>
      <c r="J9026" s="12"/>
      <c r="K9026" s="12"/>
      <c r="L9026" s="12"/>
      <c r="M9026" s="11"/>
      <c r="N9026" s="11"/>
      <c r="O9026" s="11"/>
      <c r="P9026" s="11"/>
    </row>
    <row r="9027" spans="8:16" x14ac:dyDescent="0.25">
      <c r="H9027" s="12"/>
      <c r="I9027" s="12"/>
      <c r="J9027" s="12"/>
      <c r="K9027" s="12"/>
      <c r="L9027" s="12"/>
      <c r="M9027" s="11"/>
      <c r="N9027" s="11"/>
      <c r="O9027" s="11"/>
      <c r="P9027" s="11"/>
    </row>
    <row r="9028" spans="8:16" x14ac:dyDescent="0.25">
      <c r="H9028" s="12"/>
      <c r="I9028" s="12"/>
      <c r="J9028" s="12"/>
      <c r="K9028" s="12"/>
      <c r="L9028" s="12"/>
      <c r="M9028" s="11"/>
      <c r="N9028" s="11"/>
      <c r="O9028" s="11"/>
      <c r="P9028" s="11"/>
    </row>
    <row r="9029" spans="8:16" x14ac:dyDescent="0.25">
      <c r="H9029" s="12"/>
      <c r="I9029" s="12"/>
      <c r="J9029" s="12"/>
      <c r="K9029" s="12"/>
      <c r="L9029" s="12"/>
      <c r="M9029" s="11"/>
      <c r="N9029" s="11"/>
      <c r="O9029" s="11"/>
      <c r="P9029" s="11"/>
    </row>
    <row r="9030" spans="8:16" x14ac:dyDescent="0.25">
      <c r="H9030" s="12"/>
      <c r="I9030" s="12"/>
      <c r="J9030" s="12"/>
      <c r="K9030" s="12"/>
      <c r="L9030" s="12"/>
      <c r="M9030" s="11"/>
      <c r="N9030" s="11"/>
      <c r="O9030" s="11"/>
      <c r="P9030" s="11"/>
    </row>
    <row r="9031" spans="8:16" x14ac:dyDescent="0.25">
      <c r="H9031" s="12"/>
      <c r="I9031" s="12"/>
      <c r="J9031" s="12"/>
      <c r="K9031" s="12"/>
      <c r="L9031" s="12"/>
      <c r="M9031" s="11"/>
      <c r="N9031" s="11"/>
      <c r="O9031" s="11"/>
      <c r="P9031" s="11"/>
    </row>
    <row r="9032" spans="8:16" x14ac:dyDescent="0.25">
      <c r="H9032" s="12"/>
      <c r="I9032" s="12"/>
      <c r="J9032" s="12"/>
      <c r="K9032" s="12"/>
      <c r="L9032" s="12"/>
      <c r="M9032" s="11"/>
      <c r="N9032" s="11"/>
      <c r="O9032" s="11"/>
      <c r="P9032" s="11"/>
    </row>
    <row r="9033" spans="8:16" x14ac:dyDescent="0.25">
      <c r="H9033" s="12"/>
      <c r="I9033" s="12"/>
      <c r="J9033" s="12"/>
      <c r="K9033" s="12"/>
      <c r="L9033" s="12"/>
      <c r="M9033" s="11"/>
      <c r="N9033" s="11"/>
      <c r="O9033" s="11"/>
      <c r="P9033" s="11"/>
    </row>
    <row r="9034" spans="8:16" x14ac:dyDescent="0.25">
      <c r="H9034" s="12"/>
      <c r="I9034" s="12"/>
      <c r="J9034" s="12"/>
      <c r="K9034" s="12"/>
      <c r="L9034" s="12"/>
      <c r="M9034" s="11"/>
      <c r="N9034" s="11"/>
      <c r="O9034" s="11"/>
      <c r="P9034" s="11"/>
    </row>
    <row r="9035" spans="8:16" x14ac:dyDescent="0.25">
      <c r="H9035" s="12"/>
      <c r="I9035" s="12"/>
      <c r="J9035" s="12"/>
      <c r="K9035" s="12"/>
      <c r="L9035" s="12"/>
      <c r="M9035" s="11"/>
      <c r="N9035" s="11"/>
      <c r="O9035" s="11"/>
      <c r="P9035" s="11"/>
    </row>
    <row r="9036" spans="8:16" x14ac:dyDescent="0.25">
      <c r="H9036" s="12"/>
      <c r="I9036" s="12"/>
      <c r="J9036" s="12"/>
      <c r="K9036" s="12"/>
      <c r="L9036" s="12"/>
      <c r="M9036" s="11"/>
      <c r="N9036" s="11"/>
      <c r="O9036" s="11"/>
      <c r="P9036" s="11"/>
    </row>
    <row r="9037" spans="8:16" x14ac:dyDescent="0.25">
      <c r="H9037" s="12"/>
      <c r="I9037" s="12"/>
      <c r="J9037" s="12"/>
      <c r="K9037" s="12"/>
      <c r="L9037" s="12"/>
      <c r="M9037" s="11"/>
      <c r="N9037" s="11"/>
      <c r="O9037" s="11"/>
      <c r="P9037" s="11"/>
    </row>
    <row r="9038" spans="8:16" x14ac:dyDescent="0.25">
      <c r="H9038" s="12"/>
      <c r="I9038" s="12"/>
      <c r="J9038" s="12"/>
      <c r="K9038" s="12"/>
      <c r="L9038" s="12"/>
      <c r="M9038" s="11"/>
      <c r="N9038" s="11"/>
      <c r="O9038" s="11"/>
      <c r="P9038" s="11"/>
    </row>
    <row r="9039" spans="8:16" x14ac:dyDescent="0.25">
      <c r="H9039" s="12"/>
      <c r="I9039" s="12"/>
      <c r="J9039" s="12"/>
      <c r="K9039" s="12"/>
      <c r="L9039" s="12"/>
      <c r="M9039" s="11"/>
      <c r="N9039" s="11"/>
      <c r="O9039" s="11"/>
      <c r="P9039" s="11"/>
    </row>
    <row r="9040" spans="8:16" x14ac:dyDescent="0.25">
      <c r="H9040" s="12"/>
      <c r="I9040" s="12"/>
      <c r="J9040" s="12"/>
      <c r="K9040" s="12"/>
      <c r="L9040" s="12"/>
      <c r="M9040" s="11"/>
      <c r="N9040" s="11"/>
      <c r="O9040" s="11"/>
      <c r="P9040" s="11"/>
    </row>
    <row r="9041" spans="8:16" x14ac:dyDescent="0.25">
      <c r="H9041" s="12"/>
      <c r="I9041" s="12"/>
      <c r="J9041" s="12"/>
      <c r="K9041" s="12"/>
      <c r="L9041" s="12"/>
      <c r="M9041" s="11"/>
      <c r="N9041" s="11"/>
      <c r="O9041" s="11"/>
      <c r="P9041" s="11"/>
    </row>
    <row r="9042" spans="8:16" x14ac:dyDescent="0.25">
      <c r="H9042" s="12"/>
      <c r="I9042" s="12"/>
      <c r="J9042" s="12"/>
      <c r="K9042" s="12"/>
      <c r="L9042" s="12"/>
      <c r="M9042" s="11"/>
      <c r="N9042" s="11"/>
      <c r="O9042" s="11"/>
      <c r="P9042" s="11"/>
    </row>
    <row r="9043" spans="8:16" x14ac:dyDescent="0.25">
      <c r="H9043" s="12"/>
      <c r="I9043" s="12"/>
      <c r="J9043" s="12"/>
      <c r="K9043" s="12"/>
      <c r="L9043" s="12"/>
      <c r="M9043" s="11"/>
      <c r="N9043" s="11"/>
      <c r="O9043" s="11"/>
      <c r="P9043" s="11"/>
    </row>
    <row r="9044" spans="8:16" x14ac:dyDescent="0.25">
      <c r="H9044" s="12"/>
      <c r="I9044" s="12"/>
      <c r="J9044" s="12"/>
      <c r="K9044" s="12"/>
      <c r="L9044" s="12"/>
      <c r="M9044" s="11"/>
      <c r="N9044" s="11"/>
      <c r="O9044" s="11"/>
      <c r="P9044" s="11"/>
    </row>
    <row r="9045" spans="8:16" x14ac:dyDescent="0.25">
      <c r="H9045" s="12"/>
      <c r="I9045" s="12"/>
      <c r="J9045" s="12"/>
      <c r="K9045" s="12"/>
      <c r="L9045" s="12"/>
      <c r="M9045" s="11"/>
      <c r="N9045" s="11"/>
      <c r="O9045" s="11"/>
      <c r="P9045" s="11"/>
    </row>
    <row r="9046" spans="8:16" x14ac:dyDescent="0.25">
      <c r="H9046" s="12"/>
      <c r="I9046" s="12"/>
      <c r="J9046" s="12"/>
      <c r="K9046" s="12"/>
      <c r="L9046" s="12"/>
      <c r="M9046" s="11"/>
      <c r="N9046" s="11"/>
      <c r="O9046" s="11"/>
      <c r="P9046" s="11"/>
    </row>
    <row r="9047" spans="8:16" x14ac:dyDescent="0.25">
      <c r="H9047" s="12"/>
      <c r="I9047" s="12"/>
      <c r="J9047" s="12"/>
      <c r="K9047" s="12"/>
      <c r="L9047" s="12"/>
      <c r="M9047" s="11"/>
      <c r="N9047" s="11"/>
      <c r="O9047" s="11"/>
      <c r="P9047" s="11"/>
    </row>
    <row r="9048" spans="8:16" x14ac:dyDescent="0.25">
      <c r="H9048" s="12"/>
      <c r="I9048" s="12"/>
      <c r="J9048" s="12"/>
      <c r="K9048" s="12"/>
      <c r="L9048" s="12"/>
      <c r="M9048" s="11"/>
      <c r="N9048" s="11"/>
      <c r="O9048" s="11"/>
      <c r="P9048" s="11"/>
    </row>
    <row r="9049" spans="8:16" x14ac:dyDescent="0.25">
      <c r="H9049" s="12"/>
      <c r="I9049" s="12"/>
      <c r="J9049" s="12"/>
      <c r="K9049" s="12"/>
      <c r="L9049" s="12"/>
      <c r="M9049" s="11"/>
      <c r="N9049" s="11"/>
      <c r="O9049" s="11"/>
      <c r="P9049" s="11"/>
    </row>
    <row r="9050" spans="8:16" x14ac:dyDescent="0.25">
      <c r="H9050" s="12"/>
      <c r="I9050" s="12"/>
      <c r="J9050" s="12"/>
      <c r="K9050" s="12"/>
      <c r="L9050" s="12"/>
      <c r="M9050" s="11"/>
      <c r="N9050" s="11"/>
      <c r="O9050" s="11"/>
      <c r="P9050" s="11"/>
    </row>
    <row r="9051" spans="8:16" x14ac:dyDescent="0.25">
      <c r="H9051" s="12"/>
      <c r="I9051" s="12"/>
      <c r="J9051" s="12"/>
      <c r="K9051" s="12"/>
      <c r="L9051" s="12"/>
      <c r="M9051" s="11"/>
      <c r="N9051" s="11"/>
      <c r="O9051" s="11"/>
      <c r="P9051" s="11"/>
    </row>
    <row r="9052" spans="8:16" x14ac:dyDescent="0.25">
      <c r="H9052" s="12"/>
      <c r="I9052" s="12"/>
      <c r="J9052" s="12"/>
      <c r="K9052" s="12"/>
      <c r="L9052" s="12"/>
      <c r="M9052" s="11"/>
      <c r="N9052" s="11"/>
      <c r="O9052" s="11"/>
      <c r="P9052" s="11"/>
    </row>
    <row r="9053" spans="8:16" x14ac:dyDescent="0.25">
      <c r="H9053" s="12"/>
      <c r="I9053" s="12"/>
      <c r="J9053" s="12"/>
      <c r="K9053" s="12"/>
      <c r="L9053" s="12"/>
      <c r="M9053" s="11"/>
      <c r="N9053" s="11"/>
      <c r="O9053" s="11"/>
      <c r="P9053" s="11"/>
    </row>
    <row r="9054" spans="8:16" x14ac:dyDescent="0.25">
      <c r="H9054" s="12"/>
      <c r="I9054" s="12"/>
      <c r="J9054" s="12"/>
      <c r="K9054" s="12"/>
      <c r="L9054" s="12"/>
      <c r="M9054" s="11"/>
      <c r="N9054" s="11"/>
      <c r="O9054" s="11"/>
      <c r="P9054" s="11"/>
    </row>
    <row r="9055" spans="8:16" x14ac:dyDescent="0.25">
      <c r="H9055" s="12"/>
      <c r="I9055" s="12"/>
      <c r="J9055" s="12"/>
      <c r="K9055" s="12"/>
      <c r="L9055" s="12"/>
      <c r="M9055" s="11"/>
      <c r="N9055" s="11"/>
      <c r="O9055" s="11"/>
      <c r="P9055" s="11"/>
    </row>
    <row r="9056" spans="8:16" x14ac:dyDescent="0.25">
      <c r="H9056" s="12"/>
      <c r="I9056" s="12"/>
      <c r="J9056" s="12"/>
      <c r="K9056" s="12"/>
      <c r="L9056" s="12"/>
      <c r="M9056" s="11"/>
      <c r="N9056" s="11"/>
      <c r="O9056" s="11"/>
      <c r="P9056" s="11"/>
    </row>
    <row r="9057" spans="8:16" x14ac:dyDescent="0.25">
      <c r="H9057" s="12"/>
      <c r="I9057" s="12"/>
      <c r="J9057" s="12"/>
      <c r="K9057" s="12"/>
      <c r="L9057" s="12"/>
      <c r="M9057" s="11"/>
      <c r="N9057" s="11"/>
      <c r="O9057" s="11"/>
      <c r="P9057" s="11"/>
    </row>
    <row r="9058" spans="8:16" x14ac:dyDescent="0.25">
      <c r="H9058" s="12"/>
      <c r="I9058" s="12"/>
      <c r="J9058" s="12"/>
      <c r="K9058" s="12"/>
      <c r="L9058" s="12"/>
      <c r="M9058" s="11"/>
      <c r="N9058" s="11"/>
      <c r="O9058" s="11"/>
      <c r="P9058" s="11"/>
    </row>
    <row r="9059" spans="8:16" x14ac:dyDescent="0.25">
      <c r="H9059" s="12"/>
      <c r="I9059" s="12"/>
      <c r="J9059" s="12"/>
      <c r="K9059" s="12"/>
      <c r="L9059" s="12"/>
      <c r="M9059" s="11"/>
      <c r="N9059" s="11"/>
      <c r="O9059" s="11"/>
      <c r="P9059" s="11"/>
    </row>
    <row r="9060" spans="8:16" x14ac:dyDescent="0.25">
      <c r="H9060" s="12"/>
      <c r="I9060" s="12"/>
      <c r="J9060" s="12"/>
      <c r="K9060" s="12"/>
      <c r="L9060" s="12"/>
      <c r="M9060" s="11"/>
      <c r="N9060" s="11"/>
      <c r="O9060" s="11"/>
      <c r="P9060" s="11"/>
    </row>
    <row r="9061" spans="8:16" x14ac:dyDescent="0.25">
      <c r="H9061" s="12"/>
      <c r="I9061" s="12"/>
      <c r="J9061" s="12"/>
      <c r="K9061" s="12"/>
      <c r="L9061" s="12"/>
      <c r="M9061" s="11"/>
      <c r="N9061" s="11"/>
      <c r="O9061" s="11"/>
      <c r="P9061" s="11"/>
    </row>
    <row r="9062" spans="8:16" x14ac:dyDescent="0.25">
      <c r="H9062" s="12"/>
      <c r="I9062" s="12"/>
      <c r="J9062" s="12"/>
      <c r="K9062" s="12"/>
      <c r="L9062" s="12"/>
      <c r="M9062" s="11"/>
      <c r="N9062" s="11"/>
      <c r="O9062" s="11"/>
      <c r="P9062" s="11"/>
    </row>
    <row r="9063" spans="8:16" x14ac:dyDescent="0.25">
      <c r="H9063" s="12"/>
      <c r="I9063" s="12"/>
      <c r="J9063" s="12"/>
      <c r="K9063" s="12"/>
      <c r="L9063" s="12"/>
      <c r="M9063" s="11"/>
      <c r="N9063" s="11"/>
      <c r="O9063" s="11"/>
      <c r="P9063" s="11"/>
    </row>
    <row r="9064" spans="8:16" x14ac:dyDescent="0.25">
      <c r="H9064" s="12"/>
      <c r="I9064" s="12"/>
      <c r="J9064" s="12"/>
      <c r="K9064" s="12"/>
      <c r="L9064" s="12"/>
      <c r="M9064" s="11"/>
      <c r="N9064" s="11"/>
      <c r="O9064" s="11"/>
      <c r="P9064" s="11"/>
    </row>
    <row r="9065" spans="8:16" x14ac:dyDescent="0.25">
      <c r="H9065" s="12"/>
      <c r="I9065" s="12"/>
      <c r="J9065" s="12"/>
      <c r="K9065" s="12"/>
      <c r="L9065" s="12"/>
      <c r="M9065" s="11"/>
      <c r="N9065" s="11"/>
      <c r="O9065" s="11"/>
      <c r="P9065" s="11"/>
    </row>
    <row r="9066" spans="8:16" x14ac:dyDescent="0.25">
      <c r="H9066" s="12"/>
      <c r="I9066" s="12"/>
      <c r="J9066" s="12"/>
      <c r="K9066" s="12"/>
      <c r="L9066" s="12"/>
      <c r="M9066" s="11"/>
      <c r="N9066" s="11"/>
      <c r="O9066" s="11"/>
      <c r="P9066" s="11"/>
    </row>
    <row r="9067" spans="8:16" x14ac:dyDescent="0.25">
      <c r="H9067" s="12"/>
      <c r="I9067" s="12"/>
      <c r="J9067" s="12"/>
      <c r="K9067" s="12"/>
      <c r="L9067" s="12"/>
      <c r="M9067" s="11"/>
      <c r="N9067" s="11"/>
      <c r="O9067" s="11"/>
      <c r="P9067" s="11"/>
    </row>
    <row r="9068" spans="8:16" x14ac:dyDescent="0.25">
      <c r="H9068" s="12"/>
      <c r="I9068" s="12"/>
      <c r="J9068" s="12"/>
      <c r="K9068" s="12"/>
      <c r="L9068" s="12"/>
      <c r="M9068" s="11"/>
      <c r="N9068" s="11"/>
      <c r="O9068" s="11"/>
      <c r="P9068" s="11"/>
    </row>
    <row r="9069" spans="8:16" x14ac:dyDescent="0.25">
      <c r="H9069" s="12"/>
      <c r="I9069" s="12"/>
      <c r="J9069" s="12"/>
      <c r="K9069" s="12"/>
      <c r="L9069" s="12"/>
      <c r="M9069" s="11"/>
      <c r="N9069" s="11"/>
      <c r="O9069" s="11"/>
      <c r="P9069" s="11"/>
    </row>
    <row r="9070" spans="8:16" x14ac:dyDescent="0.25">
      <c r="H9070" s="12"/>
      <c r="I9070" s="12"/>
      <c r="J9070" s="12"/>
      <c r="K9070" s="12"/>
      <c r="L9070" s="12"/>
      <c r="M9070" s="11"/>
      <c r="N9070" s="11"/>
      <c r="O9070" s="11"/>
      <c r="P9070" s="11"/>
    </row>
    <row r="9071" spans="8:16" x14ac:dyDescent="0.25">
      <c r="H9071" s="12"/>
      <c r="I9071" s="12"/>
      <c r="J9071" s="12"/>
      <c r="K9071" s="12"/>
      <c r="L9071" s="12"/>
      <c r="M9071" s="11"/>
      <c r="N9071" s="11"/>
      <c r="O9071" s="11"/>
      <c r="P9071" s="11"/>
    </row>
    <row r="9072" spans="8:16" x14ac:dyDescent="0.25">
      <c r="H9072" s="12"/>
      <c r="I9072" s="12"/>
      <c r="J9072" s="12"/>
      <c r="K9072" s="12"/>
      <c r="L9072" s="12"/>
      <c r="M9072" s="11"/>
      <c r="N9072" s="11"/>
      <c r="O9072" s="11"/>
      <c r="P9072" s="11"/>
    </row>
    <row r="9073" spans="8:16" x14ac:dyDescent="0.25">
      <c r="H9073" s="12"/>
      <c r="I9073" s="12"/>
      <c r="J9073" s="12"/>
      <c r="K9073" s="12"/>
      <c r="L9073" s="12"/>
      <c r="M9073" s="11"/>
      <c r="N9073" s="11"/>
      <c r="O9073" s="11"/>
      <c r="P9073" s="11"/>
    </row>
    <row r="9074" spans="8:16" x14ac:dyDescent="0.25">
      <c r="H9074" s="12"/>
      <c r="I9074" s="12"/>
      <c r="J9074" s="12"/>
      <c r="K9074" s="12"/>
      <c r="L9074" s="12"/>
      <c r="M9074" s="11"/>
      <c r="N9074" s="11"/>
      <c r="O9074" s="11"/>
      <c r="P9074" s="11"/>
    </row>
    <row r="9075" spans="8:16" x14ac:dyDescent="0.25">
      <c r="H9075" s="12"/>
      <c r="I9075" s="12"/>
      <c r="J9075" s="12"/>
      <c r="K9075" s="12"/>
      <c r="L9075" s="12"/>
      <c r="M9075" s="11"/>
      <c r="N9075" s="11"/>
      <c r="O9075" s="11"/>
      <c r="P9075" s="11"/>
    </row>
    <row r="9076" spans="8:16" x14ac:dyDescent="0.25">
      <c r="H9076" s="12"/>
      <c r="I9076" s="12"/>
      <c r="J9076" s="12"/>
      <c r="K9076" s="12"/>
      <c r="L9076" s="12"/>
      <c r="M9076" s="11"/>
      <c r="N9076" s="11"/>
      <c r="O9076" s="11"/>
      <c r="P9076" s="11"/>
    </row>
    <row r="9077" spans="8:16" x14ac:dyDescent="0.25">
      <c r="H9077" s="12"/>
      <c r="I9077" s="12"/>
      <c r="J9077" s="12"/>
      <c r="K9077" s="12"/>
      <c r="L9077" s="12"/>
      <c r="M9077" s="11"/>
      <c r="N9077" s="11"/>
      <c r="O9077" s="11"/>
      <c r="P9077" s="11"/>
    </row>
    <row r="9078" spans="8:16" x14ac:dyDescent="0.25">
      <c r="H9078" s="12"/>
      <c r="I9078" s="12"/>
      <c r="J9078" s="12"/>
      <c r="K9078" s="12"/>
      <c r="L9078" s="12"/>
      <c r="M9078" s="11"/>
      <c r="N9078" s="11"/>
      <c r="O9078" s="11"/>
      <c r="P9078" s="11"/>
    </row>
    <row r="9079" spans="8:16" x14ac:dyDescent="0.25">
      <c r="H9079" s="12"/>
      <c r="I9079" s="12"/>
      <c r="J9079" s="12"/>
      <c r="K9079" s="12"/>
      <c r="L9079" s="12"/>
      <c r="M9079" s="11"/>
      <c r="N9079" s="11"/>
      <c r="O9079" s="11"/>
      <c r="P9079" s="11"/>
    </row>
    <row r="9080" spans="8:16" x14ac:dyDescent="0.25">
      <c r="H9080" s="12"/>
      <c r="I9080" s="12"/>
      <c r="J9080" s="12"/>
      <c r="K9080" s="12"/>
      <c r="L9080" s="12"/>
      <c r="M9080" s="11"/>
      <c r="N9080" s="11"/>
      <c r="O9080" s="11"/>
      <c r="P9080" s="11"/>
    </row>
    <row r="9081" spans="8:16" x14ac:dyDescent="0.25">
      <c r="H9081" s="12"/>
      <c r="I9081" s="12"/>
      <c r="J9081" s="12"/>
      <c r="K9081" s="12"/>
      <c r="L9081" s="12"/>
      <c r="M9081" s="11"/>
      <c r="N9081" s="11"/>
      <c r="O9081" s="11"/>
      <c r="P9081" s="11"/>
    </row>
    <row r="9082" spans="8:16" x14ac:dyDescent="0.25">
      <c r="H9082" s="12"/>
      <c r="I9082" s="12"/>
      <c r="J9082" s="12"/>
      <c r="K9082" s="12"/>
      <c r="L9082" s="12"/>
      <c r="M9082" s="11"/>
      <c r="N9082" s="11"/>
      <c r="O9082" s="11"/>
      <c r="P9082" s="11"/>
    </row>
    <row r="9083" spans="8:16" x14ac:dyDescent="0.25">
      <c r="H9083" s="12"/>
      <c r="I9083" s="12"/>
      <c r="J9083" s="12"/>
      <c r="K9083" s="12"/>
      <c r="L9083" s="12"/>
      <c r="M9083" s="11"/>
      <c r="N9083" s="11"/>
      <c r="O9083" s="11"/>
      <c r="P9083" s="11"/>
    </row>
    <row r="9084" spans="8:16" x14ac:dyDescent="0.25">
      <c r="H9084" s="12"/>
      <c r="I9084" s="12"/>
      <c r="J9084" s="12"/>
      <c r="K9084" s="12"/>
      <c r="L9084" s="12"/>
      <c r="M9084" s="11"/>
      <c r="N9084" s="11"/>
      <c r="O9084" s="11"/>
      <c r="P9084" s="11"/>
    </row>
    <row r="9085" spans="8:16" x14ac:dyDescent="0.25">
      <c r="H9085" s="12"/>
      <c r="I9085" s="12"/>
      <c r="J9085" s="12"/>
      <c r="K9085" s="12"/>
      <c r="L9085" s="12"/>
      <c r="M9085" s="11"/>
      <c r="N9085" s="11"/>
      <c r="O9085" s="11"/>
      <c r="P9085" s="11"/>
    </row>
    <row r="9086" spans="8:16" x14ac:dyDescent="0.25">
      <c r="H9086" s="12"/>
      <c r="I9086" s="12"/>
      <c r="J9086" s="12"/>
      <c r="K9086" s="12"/>
      <c r="L9086" s="12"/>
      <c r="M9086" s="11"/>
      <c r="N9086" s="11"/>
      <c r="O9086" s="11"/>
      <c r="P9086" s="11"/>
    </row>
    <row r="9087" spans="8:16" x14ac:dyDescent="0.25">
      <c r="H9087" s="12"/>
      <c r="I9087" s="12"/>
      <c r="J9087" s="12"/>
      <c r="K9087" s="12"/>
      <c r="L9087" s="12"/>
      <c r="M9087" s="11"/>
      <c r="N9087" s="11"/>
      <c r="O9087" s="11"/>
      <c r="P9087" s="11"/>
    </row>
    <row r="9088" spans="8:16" x14ac:dyDescent="0.25">
      <c r="H9088" s="12"/>
      <c r="I9088" s="12"/>
      <c r="J9088" s="12"/>
      <c r="K9088" s="12"/>
      <c r="L9088" s="12"/>
      <c r="M9088" s="11"/>
      <c r="N9088" s="11"/>
      <c r="O9088" s="11"/>
      <c r="P9088" s="11"/>
    </row>
    <row r="9089" spans="8:16" x14ac:dyDescent="0.25">
      <c r="H9089" s="12"/>
      <c r="I9089" s="12"/>
      <c r="J9089" s="12"/>
      <c r="K9089" s="12"/>
      <c r="L9089" s="12"/>
      <c r="M9089" s="11"/>
      <c r="N9089" s="11"/>
      <c r="O9089" s="11"/>
      <c r="P9089" s="11"/>
    </row>
    <row r="9090" spans="8:16" x14ac:dyDescent="0.25">
      <c r="H9090" s="12"/>
      <c r="I9090" s="12"/>
      <c r="J9090" s="12"/>
      <c r="K9090" s="12"/>
      <c r="L9090" s="12"/>
      <c r="M9090" s="11"/>
      <c r="N9090" s="11"/>
      <c r="O9090" s="11"/>
      <c r="P9090" s="11"/>
    </row>
    <row r="9091" spans="8:16" x14ac:dyDescent="0.25">
      <c r="H9091" s="12"/>
      <c r="I9091" s="12"/>
      <c r="J9091" s="12"/>
      <c r="K9091" s="12"/>
      <c r="L9091" s="12"/>
      <c r="M9091" s="11"/>
      <c r="N9091" s="11"/>
      <c r="O9091" s="11"/>
      <c r="P9091" s="11"/>
    </row>
    <row r="9092" spans="8:16" x14ac:dyDescent="0.25">
      <c r="H9092" s="12"/>
      <c r="I9092" s="12"/>
      <c r="J9092" s="12"/>
      <c r="K9092" s="12"/>
      <c r="L9092" s="12"/>
      <c r="M9092" s="11"/>
      <c r="N9092" s="11"/>
      <c r="O9092" s="11"/>
      <c r="P9092" s="11"/>
    </row>
    <row r="9093" spans="8:16" x14ac:dyDescent="0.25">
      <c r="H9093" s="12"/>
      <c r="I9093" s="12"/>
      <c r="J9093" s="12"/>
      <c r="K9093" s="12"/>
      <c r="L9093" s="12"/>
      <c r="M9093" s="11"/>
      <c r="N9093" s="11"/>
      <c r="O9093" s="11"/>
      <c r="P9093" s="11"/>
    </row>
    <row r="9094" spans="8:16" x14ac:dyDescent="0.25">
      <c r="H9094" s="12"/>
      <c r="I9094" s="12"/>
      <c r="J9094" s="12"/>
      <c r="K9094" s="12"/>
      <c r="L9094" s="12"/>
      <c r="M9094" s="11"/>
      <c r="N9094" s="11"/>
      <c r="O9094" s="11"/>
      <c r="P9094" s="11"/>
    </row>
    <row r="9095" spans="8:16" x14ac:dyDescent="0.25">
      <c r="H9095" s="12"/>
      <c r="I9095" s="12"/>
      <c r="J9095" s="12"/>
      <c r="K9095" s="12"/>
      <c r="L9095" s="12"/>
      <c r="M9095" s="11"/>
      <c r="N9095" s="11"/>
      <c r="O9095" s="11"/>
      <c r="P9095" s="11"/>
    </row>
    <row r="9096" spans="8:16" x14ac:dyDescent="0.25">
      <c r="H9096" s="12"/>
      <c r="I9096" s="12"/>
      <c r="J9096" s="12"/>
      <c r="K9096" s="12"/>
      <c r="L9096" s="12"/>
      <c r="M9096" s="11"/>
      <c r="N9096" s="11"/>
      <c r="O9096" s="11"/>
      <c r="P9096" s="11"/>
    </row>
    <row r="9097" spans="8:16" x14ac:dyDescent="0.25">
      <c r="H9097" s="12"/>
      <c r="I9097" s="12"/>
      <c r="J9097" s="12"/>
      <c r="K9097" s="12"/>
      <c r="L9097" s="12"/>
      <c r="M9097" s="11"/>
      <c r="N9097" s="11"/>
      <c r="O9097" s="11"/>
      <c r="P9097" s="11"/>
    </row>
    <row r="9098" spans="8:16" x14ac:dyDescent="0.25">
      <c r="H9098" s="12"/>
      <c r="I9098" s="12"/>
      <c r="J9098" s="12"/>
      <c r="K9098" s="12"/>
      <c r="L9098" s="12"/>
      <c r="M9098" s="11"/>
      <c r="N9098" s="11"/>
      <c r="O9098" s="11"/>
      <c r="P9098" s="11"/>
    </row>
    <row r="9099" spans="8:16" x14ac:dyDescent="0.25">
      <c r="H9099" s="12"/>
      <c r="I9099" s="12"/>
      <c r="J9099" s="12"/>
      <c r="K9099" s="12"/>
      <c r="L9099" s="12"/>
      <c r="M9099" s="11"/>
      <c r="N9099" s="11"/>
      <c r="O9099" s="11"/>
      <c r="P9099" s="11"/>
    </row>
    <row r="9100" spans="8:16" x14ac:dyDescent="0.25">
      <c r="H9100" s="12"/>
      <c r="I9100" s="12"/>
      <c r="J9100" s="12"/>
      <c r="K9100" s="12"/>
      <c r="L9100" s="12"/>
      <c r="M9100" s="11"/>
      <c r="N9100" s="11"/>
      <c r="O9100" s="11"/>
      <c r="P9100" s="11"/>
    </row>
    <row r="9101" spans="8:16" x14ac:dyDescent="0.25">
      <c r="H9101" s="12"/>
      <c r="I9101" s="12"/>
      <c r="J9101" s="12"/>
      <c r="K9101" s="12"/>
      <c r="L9101" s="12"/>
      <c r="M9101" s="11"/>
      <c r="N9101" s="11"/>
      <c r="O9101" s="11"/>
      <c r="P9101" s="11"/>
    </row>
    <row r="9102" spans="8:16" x14ac:dyDescent="0.25">
      <c r="H9102" s="12"/>
      <c r="I9102" s="12"/>
      <c r="J9102" s="12"/>
      <c r="K9102" s="12"/>
      <c r="L9102" s="12"/>
      <c r="M9102" s="11"/>
      <c r="N9102" s="11"/>
      <c r="O9102" s="11"/>
      <c r="P9102" s="11"/>
    </row>
    <row r="9103" spans="8:16" x14ac:dyDescent="0.25">
      <c r="H9103" s="12"/>
      <c r="I9103" s="12"/>
      <c r="J9103" s="12"/>
      <c r="K9103" s="12"/>
      <c r="L9103" s="12"/>
      <c r="M9103" s="11"/>
      <c r="N9103" s="11"/>
      <c r="O9103" s="11"/>
      <c r="P9103" s="11"/>
    </row>
    <row r="9104" spans="8:16" x14ac:dyDescent="0.25">
      <c r="H9104" s="12"/>
      <c r="I9104" s="12"/>
      <c r="J9104" s="12"/>
      <c r="K9104" s="12"/>
      <c r="L9104" s="12"/>
      <c r="M9104" s="11"/>
      <c r="N9104" s="11"/>
      <c r="O9104" s="11"/>
      <c r="P9104" s="11"/>
    </row>
    <row r="9105" spans="8:16" x14ac:dyDescent="0.25">
      <c r="H9105" s="12"/>
      <c r="I9105" s="12"/>
      <c r="J9105" s="12"/>
      <c r="K9105" s="12"/>
      <c r="L9105" s="12"/>
      <c r="M9105" s="11"/>
      <c r="N9105" s="11"/>
      <c r="O9105" s="11"/>
      <c r="P9105" s="11"/>
    </row>
    <row r="9106" spans="8:16" x14ac:dyDescent="0.25">
      <c r="H9106" s="12"/>
      <c r="I9106" s="12"/>
      <c r="J9106" s="12"/>
      <c r="K9106" s="12"/>
      <c r="L9106" s="12"/>
      <c r="M9106" s="11"/>
      <c r="N9106" s="11"/>
      <c r="O9106" s="11"/>
      <c r="P9106" s="11"/>
    </row>
    <row r="9107" spans="8:16" x14ac:dyDescent="0.25">
      <c r="H9107" s="12"/>
      <c r="I9107" s="12"/>
      <c r="J9107" s="12"/>
      <c r="K9107" s="12"/>
      <c r="L9107" s="12"/>
      <c r="M9107" s="11"/>
      <c r="N9107" s="11"/>
      <c r="O9107" s="11"/>
      <c r="P9107" s="11"/>
    </row>
    <row r="9108" spans="8:16" x14ac:dyDescent="0.25">
      <c r="H9108" s="12"/>
      <c r="I9108" s="12"/>
      <c r="J9108" s="12"/>
      <c r="K9108" s="12"/>
      <c r="L9108" s="12"/>
      <c r="M9108" s="11"/>
      <c r="N9108" s="11"/>
      <c r="O9108" s="11"/>
      <c r="P9108" s="11"/>
    </row>
    <row r="9109" spans="8:16" x14ac:dyDescent="0.25">
      <c r="H9109" s="12"/>
      <c r="I9109" s="12"/>
      <c r="J9109" s="12"/>
      <c r="K9109" s="12"/>
      <c r="L9109" s="12"/>
      <c r="M9109" s="11"/>
      <c r="N9109" s="11"/>
      <c r="O9109" s="11"/>
      <c r="P9109" s="11"/>
    </row>
    <row r="9110" spans="8:16" x14ac:dyDescent="0.25">
      <c r="H9110" s="12"/>
      <c r="I9110" s="12"/>
      <c r="J9110" s="12"/>
      <c r="K9110" s="12"/>
      <c r="L9110" s="12"/>
      <c r="M9110" s="11"/>
      <c r="N9110" s="11"/>
      <c r="O9110" s="11"/>
      <c r="P9110" s="11"/>
    </row>
    <row r="9111" spans="8:16" x14ac:dyDescent="0.25">
      <c r="H9111" s="12"/>
      <c r="I9111" s="12"/>
      <c r="J9111" s="12"/>
      <c r="K9111" s="12"/>
      <c r="L9111" s="12"/>
      <c r="M9111" s="11"/>
      <c r="N9111" s="11"/>
      <c r="O9111" s="11"/>
      <c r="P9111" s="11"/>
    </row>
    <row r="9112" spans="8:16" x14ac:dyDescent="0.25">
      <c r="H9112" s="12"/>
      <c r="I9112" s="12"/>
      <c r="J9112" s="12"/>
      <c r="K9112" s="12"/>
      <c r="L9112" s="12"/>
      <c r="M9112" s="11"/>
      <c r="N9112" s="11"/>
      <c r="O9112" s="11"/>
      <c r="P9112" s="11"/>
    </row>
    <row r="9113" spans="8:16" x14ac:dyDescent="0.25">
      <c r="H9113" s="12"/>
      <c r="I9113" s="12"/>
      <c r="J9113" s="12"/>
      <c r="K9113" s="12"/>
      <c r="L9113" s="12"/>
      <c r="M9113" s="11"/>
      <c r="N9113" s="11"/>
      <c r="O9113" s="11"/>
      <c r="P9113" s="11"/>
    </row>
    <row r="9114" spans="8:16" x14ac:dyDescent="0.25">
      <c r="H9114" s="12"/>
      <c r="I9114" s="12"/>
      <c r="J9114" s="12"/>
      <c r="K9114" s="12"/>
      <c r="L9114" s="12"/>
      <c r="M9114" s="11"/>
      <c r="N9114" s="11"/>
      <c r="O9114" s="11"/>
      <c r="P9114" s="11"/>
    </row>
    <row r="9115" spans="8:16" x14ac:dyDescent="0.25">
      <c r="H9115" s="12"/>
      <c r="I9115" s="12"/>
      <c r="J9115" s="12"/>
      <c r="K9115" s="12"/>
      <c r="L9115" s="12"/>
      <c r="M9115" s="11"/>
      <c r="N9115" s="11"/>
      <c r="O9115" s="11"/>
      <c r="P9115" s="11"/>
    </row>
    <row r="9116" spans="8:16" x14ac:dyDescent="0.25">
      <c r="H9116" s="12"/>
      <c r="I9116" s="12"/>
      <c r="J9116" s="12"/>
      <c r="K9116" s="12"/>
      <c r="L9116" s="12"/>
      <c r="M9116" s="11"/>
      <c r="N9116" s="11"/>
      <c r="O9116" s="11"/>
      <c r="P9116" s="11"/>
    </row>
    <row r="9117" spans="8:16" x14ac:dyDescent="0.25">
      <c r="H9117" s="12"/>
      <c r="I9117" s="12"/>
      <c r="J9117" s="12"/>
      <c r="K9117" s="12"/>
      <c r="L9117" s="12"/>
      <c r="M9117" s="11"/>
      <c r="N9117" s="11"/>
      <c r="O9117" s="11"/>
      <c r="P9117" s="11"/>
    </row>
    <row r="9118" spans="8:16" x14ac:dyDescent="0.25">
      <c r="H9118" s="12"/>
      <c r="I9118" s="12"/>
      <c r="J9118" s="12"/>
      <c r="K9118" s="12"/>
      <c r="L9118" s="12"/>
      <c r="M9118" s="11"/>
      <c r="N9118" s="11"/>
      <c r="O9118" s="11"/>
      <c r="P9118" s="11"/>
    </row>
    <row r="9119" spans="8:16" x14ac:dyDescent="0.25">
      <c r="H9119" s="12"/>
      <c r="I9119" s="12"/>
      <c r="J9119" s="12"/>
      <c r="K9119" s="12"/>
      <c r="L9119" s="12"/>
      <c r="M9119" s="11"/>
      <c r="N9119" s="11"/>
      <c r="O9119" s="11"/>
      <c r="P9119" s="11"/>
    </row>
    <row r="9120" spans="8:16" x14ac:dyDescent="0.25">
      <c r="H9120" s="12"/>
      <c r="I9120" s="12"/>
      <c r="J9120" s="12"/>
      <c r="K9120" s="12"/>
      <c r="L9120" s="12"/>
      <c r="M9120" s="11"/>
      <c r="N9120" s="11"/>
      <c r="O9120" s="11"/>
      <c r="P9120" s="11"/>
    </row>
    <row r="9121" spans="8:16" x14ac:dyDescent="0.25">
      <c r="H9121" s="12"/>
      <c r="I9121" s="12"/>
      <c r="J9121" s="12"/>
      <c r="K9121" s="12"/>
      <c r="L9121" s="12"/>
      <c r="M9121" s="11"/>
      <c r="N9121" s="11"/>
      <c r="O9121" s="11"/>
      <c r="P9121" s="11"/>
    </row>
    <row r="9122" spans="8:16" x14ac:dyDescent="0.25">
      <c r="H9122" s="12"/>
      <c r="I9122" s="12"/>
      <c r="J9122" s="12"/>
      <c r="K9122" s="12"/>
      <c r="L9122" s="12"/>
      <c r="M9122" s="11"/>
      <c r="N9122" s="11"/>
      <c r="O9122" s="11"/>
      <c r="P9122" s="11"/>
    </row>
    <row r="9123" spans="8:16" x14ac:dyDescent="0.25">
      <c r="H9123" s="12"/>
      <c r="I9123" s="12"/>
      <c r="J9123" s="12"/>
      <c r="K9123" s="12"/>
      <c r="L9123" s="12"/>
      <c r="M9123" s="11"/>
      <c r="N9123" s="11"/>
      <c r="O9123" s="11"/>
      <c r="P9123" s="11"/>
    </row>
    <row r="9124" spans="8:16" x14ac:dyDescent="0.25">
      <c r="H9124" s="12"/>
      <c r="I9124" s="12"/>
      <c r="J9124" s="12"/>
      <c r="K9124" s="12"/>
      <c r="L9124" s="12"/>
      <c r="M9124" s="11"/>
      <c r="N9124" s="11"/>
      <c r="O9124" s="11"/>
      <c r="P9124" s="11"/>
    </row>
    <row r="9125" spans="8:16" x14ac:dyDescent="0.25">
      <c r="H9125" s="12"/>
      <c r="I9125" s="12"/>
      <c r="J9125" s="12"/>
      <c r="K9125" s="12"/>
      <c r="L9125" s="12"/>
      <c r="M9125" s="11"/>
      <c r="N9125" s="11"/>
      <c r="O9125" s="11"/>
      <c r="P9125" s="11"/>
    </row>
    <row r="9126" spans="8:16" x14ac:dyDescent="0.25">
      <c r="H9126" s="12"/>
      <c r="I9126" s="12"/>
      <c r="J9126" s="12"/>
      <c r="K9126" s="12"/>
      <c r="L9126" s="12"/>
      <c r="M9126" s="11"/>
      <c r="N9126" s="11"/>
      <c r="O9126" s="11"/>
      <c r="P9126" s="11"/>
    </row>
    <row r="9127" spans="8:16" x14ac:dyDescent="0.25">
      <c r="H9127" s="12"/>
      <c r="I9127" s="12"/>
      <c r="J9127" s="12"/>
      <c r="K9127" s="12"/>
      <c r="L9127" s="12"/>
      <c r="M9127" s="11"/>
      <c r="N9127" s="11"/>
      <c r="O9127" s="11"/>
      <c r="P9127" s="11"/>
    </row>
    <row r="9128" spans="8:16" x14ac:dyDescent="0.25">
      <c r="H9128" s="12"/>
      <c r="I9128" s="12"/>
      <c r="J9128" s="12"/>
      <c r="K9128" s="12"/>
      <c r="L9128" s="12"/>
      <c r="M9128" s="11"/>
      <c r="N9128" s="11"/>
      <c r="O9128" s="11"/>
      <c r="P9128" s="11"/>
    </row>
    <row r="9129" spans="8:16" x14ac:dyDescent="0.25">
      <c r="H9129" s="12"/>
      <c r="I9129" s="12"/>
      <c r="J9129" s="12"/>
      <c r="K9129" s="12"/>
      <c r="L9129" s="12"/>
      <c r="M9129" s="11"/>
      <c r="N9129" s="11"/>
      <c r="O9129" s="11"/>
      <c r="P9129" s="11"/>
    </row>
    <row r="9130" spans="8:16" x14ac:dyDescent="0.25">
      <c r="H9130" s="12"/>
      <c r="I9130" s="12"/>
      <c r="J9130" s="12"/>
      <c r="K9130" s="12"/>
      <c r="L9130" s="12"/>
      <c r="M9130" s="11"/>
      <c r="N9130" s="11"/>
      <c r="O9130" s="11"/>
      <c r="P9130" s="11"/>
    </row>
    <row r="9131" spans="8:16" x14ac:dyDescent="0.25">
      <c r="H9131" s="12"/>
      <c r="I9131" s="12"/>
      <c r="J9131" s="12"/>
      <c r="K9131" s="12"/>
      <c r="L9131" s="12"/>
      <c r="M9131" s="11"/>
      <c r="N9131" s="11"/>
      <c r="O9131" s="11"/>
      <c r="P9131" s="11"/>
    </row>
    <row r="9132" spans="8:16" x14ac:dyDescent="0.25">
      <c r="H9132" s="12"/>
      <c r="I9132" s="12"/>
      <c r="J9132" s="12"/>
      <c r="K9132" s="12"/>
      <c r="L9132" s="12"/>
      <c r="M9132" s="11"/>
      <c r="N9132" s="11"/>
      <c r="O9132" s="11"/>
      <c r="P9132" s="11"/>
    </row>
    <row r="9133" spans="8:16" x14ac:dyDescent="0.25">
      <c r="H9133" s="12"/>
      <c r="I9133" s="12"/>
      <c r="J9133" s="12"/>
      <c r="K9133" s="12"/>
      <c r="L9133" s="12"/>
      <c r="M9133" s="11"/>
      <c r="N9133" s="11"/>
      <c r="O9133" s="11"/>
      <c r="P9133" s="11"/>
    </row>
    <row r="9134" spans="8:16" x14ac:dyDescent="0.25">
      <c r="H9134" s="12"/>
      <c r="I9134" s="12"/>
      <c r="J9134" s="12"/>
      <c r="K9134" s="12"/>
      <c r="L9134" s="12"/>
      <c r="M9134" s="11"/>
      <c r="N9134" s="11"/>
      <c r="O9134" s="11"/>
      <c r="P9134" s="11"/>
    </row>
    <row r="9135" spans="8:16" x14ac:dyDescent="0.25">
      <c r="H9135" s="12"/>
      <c r="I9135" s="12"/>
      <c r="J9135" s="12"/>
      <c r="K9135" s="12"/>
      <c r="L9135" s="12"/>
      <c r="M9135" s="11"/>
      <c r="N9135" s="11"/>
      <c r="O9135" s="11"/>
      <c r="P9135" s="11"/>
    </row>
    <row r="9136" spans="8:16" x14ac:dyDescent="0.25">
      <c r="H9136" s="12"/>
      <c r="I9136" s="12"/>
      <c r="J9136" s="12"/>
      <c r="K9136" s="12"/>
      <c r="L9136" s="12"/>
      <c r="M9136" s="11"/>
      <c r="N9136" s="11"/>
      <c r="O9136" s="11"/>
      <c r="P9136" s="11"/>
    </row>
    <row r="9137" spans="8:16" x14ac:dyDescent="0.25">
      <c r="H9137" s="12"/>
      <c r="I9137" s="12"/>
      <c r="J9137" s="12"/>
      <c r="K9137" s="12"/>
      <c r="L9137" s="12"/>
      <c r="M9137" s="11"/>
      <c r="N9137" s="11"/>
      <c r="O9137" s="11"/>
      <c r="P9137" s="11"/>
    </row>
    <row r="9138" spans="8:16" x14ac:dyDescent="0.25">
      <c r="H9138" s="12"/>
      <c r="I9138" s="12"/>
      <c r="J9138" s="12"/>
      <c r="K9138" s="12"/>
      <c r="L9138" s="12"/>
      <c r="M9138" s="11"/>
      <c r="N9138" s="11"/>
      <c r="O9138" s="11"/>
      <c r="P9138" s="11"/>
    </row>
    <row r="9139" spans="8:16" x14ac:dyDescent="0.25">
      <c r="H9139" s="12"/>
      <c r="I9139" s="12"/>
      <c r="J9139" s="12"/>
      <c r="K9139" s="12"/>
      <c r="L9139" s="12"/>
      <c r="M9139" s="11"/>
      <c r="N9139" s="11"/>
      <c r="O9139" s="11"/>
      <c r="P9139" s="11"/>
    </row>
    <row r="9140" spans="8:16" x14ac:dyDescent="0.25">
      <c r="H9140" s="12"/>
      <c r="I9140" s="12"/>
      <c r="J9140" s="12"/>
      <c r="K9140" s="12"/>
      <c r="L9140" s="12"/>
      <c r="M9140" s="11"/>
      <c r="N9140" s="11"/>
      <c r="O9140" s="11"/>
      <c r="P9140" s="11"/>
    </row>
    <row r="9141" spans="8:16" x14ac:dyDescent="0.25">
      <c r="H9141" s="12"/>
      <c r="I9141" s="12"/>
      <c r="J9141" s="12"/>
      <c r="K9141" s="12"/>
      <c r="L9141" s="12"/>
      <c r="M9141" s="11"/>
      <c r="N9141" s="11"/>
      <c r="O9141" s="11"/>
      <c r="P9141" s="11"/>
    </row>
    <row r="9142" spans="8:16" x14ac:dyDescent="0.25">
      <c r="H9142" s="12"/>
      <c r="I9142" s="12"/>
      <c r="J9142" s="12"/>
      <c r="K9142" s="12"/>
      <c r="L9142" s="12"/>
      <c r="M9142" s="11"/>
      <c r="N9142" s="11"/>
      <c r="O9142" s="11"/>
      <c r="P9142" s="11"/>
    </row>
    <row r="9143" spans="8:16" x14ac:dyDescent="0.25">
      <c r="H9143" s="12"/>
      <c r="I9143" s="12"/>
      <c r="J9143" s="12"/>
      <c r="K9143" s="12"/>
      <c r="L9143" s="12"/>
      <c r="M9143" s="11"/>
      <c r="N9143" s="11"/>
      <c r="O9143" s="11"/>
      <c r="P9143" s="11"/>
    </row>
    <row r="9144" spans="8:16" x14ac:dyDescent="0.25">
      <c r="H9144" s="12"/>
      <c r="I9144" s="12"/>
      <c r="J9144" s="12"/>
      <c r="K9144" s="12"/>
      <c r="L9144" s="12"/>
      <c r="M9144" s="11"/>
      <c r="N9144" s="11"/>
      <c r="O9144" s="11"/>
      <c r="P9144" s="11"/>
    </row>
    <row r="9145" spans="8:16" x14ac:dyDescent="0.25">
      <c r="H9145" s="12"/>
      <c r="I9145" s="12"/>
      <c r="J9145" s="12"/>
      <c r="K9145" s="12"/>
      <c r="L9145" s="12"/>
      <c r="M9145" s="11"/>
      <c r="N9145" s="11"/>
      <c r="O9145" s="11"/>
      <c r="P9145" s="11"/>
    </row>
    <row r="9146" spans="8:16" x14ac:dyDescent="0.25">
      <c r="H9146" s="12"/>
      <c r="I9146" s="12"/>
      <c r="J9146" s="12"/>
      <c r="K9146" s="12"/>
      <c r="L9146" s="12"/>
      <c r="M9146" s="11"/>
      <c r="N9146" s="11"/>
      <c r="O9146" s="11"/>
      <c r="P9146" s="11"/>
    </row>
    <row r="9147" spans="8:16" x14ac:dyDescent="0.25">
      <c r="H9147" s="12"/>
      <c r="I9147" s="12"/>
      <c r="J9147" s="12"/>
      <c r="K9147" s="12"/>
      <c r="L9147" s="12"/>
      <c r="M9147" s="11"/>
      <c r="N9147" s="11"/>
      <c r="O9147" s="11"/>
      <c r="P9147" s="11"/>
    </row>
    <row r="9148" spans="8:16" x14ac:dyDescent="0.25">
      <c r="H9148" s="12"/>
      <c r="I9148" s="12"/>
      <c r="J9148" s="12"/>
      <c r="K9148" s="12"/>
      <c r="L9148" s="12"/>
      <c r="M9148" s="11"/>
      <c r="N9148" s="11"/>
      <c r="O9148" s="11"/>
      <c r="P9148" s="11"/>
    </row>
    <row r="9149" spans="8:16" x14ac:dyDescent="0.25">
      <c r="H9149" s="12"/>
      <c r="I9149" s="12"/>
      <c r="J9149" s="12"/>
      <c r="K9149" s="12"/>
      <c r="L9149" s="12"/>
      <c r="M9149" s="11"/>
      <c r="N9149" s="11"/>
      <c r="O9149" s="11"/>
      <c r="P9149" s="11"/>
    </row>
    <row r="9150" spans="8:16" x14ac:dyDescent="0.25">
      <c r="H9150" s="12"/>
      <c r="I9150" s="12"/>
      <c r="J9150" s="12"/>
      <c r="K9150" s="12"/>
      <c r="L9150" s="12"/>
      <c r="M9150" s="11"/>
      <c r="N9150" s="11"/>
      <c r="O9150" s="11"/>
      <c r="P9150" s="11"/>
    </row>
    <row r="9151" spans="8:16" x14ac:dyDescent="0.25">
      <c r="H9151" s="12"/>
      <c r="I9151" s="12"/>
      <c r="J9151" s="12"/>
      <c r="K9151" s="12"/>
      <c r="L9151" s="12"/>
      <c r="M9151" s="11"/>
      <c r="N9151" s="11"/>
      <c r="O9151" s="11"/>
      <c r="P9151" s="11"/>
    </row>
    <row r="9152" spans="8:16" x14ac:dyDescent="0.25">
      <c r="H9152" s="12"/>
      <c r="I9152" s="12"/>
      <c r="J9152" s="12"/>
      <c r="K9152" s="12"/>
      <c r="L9152" s="12"/>
      <c r="M9152" s="11"/>
      <c r="N9152" s="11"/>
      <c r="O9152" s="11"/>
      <c r="P9152" s="11"/>
    </row>
    <row r="9153" spans="8:16" x14ac:dyDescent="0.25">
      <c r="H9153" s="12"/>
      <c r="I9153" s="12"/>
      <c r="J9153" s="12"/>
      <c r="K9153" s="12"/>
      <c r="L9153" s="12"/>
      <c r="M9153" s="11"/>
      <c r="N9153" s="11"/>
      <c r="O9153" s="11"/>
      <c r="P9153" s="11"/>
    </row>
    <row r="9154" spans="8:16" x14ac:dyDescent="0.25">
      <c r="H9154" s="12"/>
      <c r="I9154" s="12"/>
      <c r="J9154" s="12"/>
      <c r="K9154" s="12"/>
      <c r="L9154" s="12"/>
      <c r="M9154" s="11"/>
      <c r="N9154" s="11"/>
      <c r="O9154" s="11"/>
      <c r="P9154" s="11"/>
    </row>
    <row r="9155" spans="8:16" x14ac:dyDescent="0.25">
      <c r="H9155" s="12"/>
      <c r="I9155" s="12"/>
      <c r="J9155" s="12"/>
      <c r="K9155" s="12"/>
      <c r="L9155" s="12"/>
      <c r="M9155" s="11"/>
      <c r="N9155" s="11"/>
      <c r="O9155" s="11"/>
      <c r="P9155" s="11"/>
    </row>
    <row r="9156" spans="8:16" x14ac:dyDescent="0.25">
      <c r="H9156" s="12"/>
      <c r="I9156" s="12"/>
      <c r="J9156" s="12"/>
      <c r="K9156" s="12"/>
      <c r="L9156" s="12"/>
      <c r="M9156" s="11"/>
      <c r="N9156" s="11"/>
      <c r="O9156" s="11"/>
      <c r="P9156" s="11"/>
    </row>
    <row r="9157" spans="8:16" x14ac:dyDescent="0.25">
      <c r="H9157" s="12"/>
      <c r="I9157" s="12"/>
      <c r="J9157" s="12"/>
      <c r="K9157" s="12"/>
      <c r="L9157" s="12"/>
      <c r="M9157" s="11"/>
      <c r="N9157" s="11"/>
      <c r="O9157" s="11"/>
      <c r="P9157" s="11"/>
    </row>
    <row r="9158" spans="8:16" x14ac:dyDescent="0.25">
      <c r="H9158" s="12"/>
      <c r="I9158" s="12"/>
      <c r="J9158" s="12"/>
      <c r="K9158" s="12"/>
      <c r="L9158" s="12"/>
      <c r="M9158" s="11"/>
      <c r="N9158" s="11"/>
      <c r="O9158" s="11"/>
      <c r="P9158" s="11"/>
    </row>
    <row r="9159" spans="8:16" x14ac:dyDescent="0.25">
      <c r="H9159" s="12"/>
      <c r="I9159" s="12"/>
      <c r="J9159" s="12"/>
      <c r="K9159" s="12"/>
      <c r="L9159" s="12"/>
      <c r="M9159" s="11"/>
      <c r="N9159" s="11"/>
      <c r="O9159" s="11"/>
      <c r="P9159" s="11"/>
    </row>
    <row r="9160" spans="8:16" x14ac:dyDescent="0.25">
      <c r="H9160" s="12"/>
      <c r="I9160" s="12"/>
      <c r="J9160" s="12"/>
      <c r="K9160" s="12"/>
      <c r="L9160" s="12"/>
      <c r="M9160" s="11"/>
      <c r="N9160" s="11"/>
      <c r="O9160" s="11"/>
      <c r="P9160" s="11"/>
    </row>
    <row r="9161" spans="8:16" x14ac:dyDescent="0.25">
      <c r="H9161" s="12"/>
      <c r="I9161" s="12"/>
      <c r="J9161" s="12"/>
      <c r="K9161" s="12"/>
      <c r="L9161" s="12"/>
      <c r="M9161" s="11"/>
      <c r="N9161" s="11"/>
      <c r="O9161" s="11"/>
      <c r="P9161" s="11"/>
    </row>
    <row r="9162" spans="8:16" x14ac:dyDescent="0.25">
      <c r="H9162" s="12"/>
      <c r="I9162" s="12"/>
      <c r="J9162" s="12"/>
      <c r="K9162" s="12"/>
      <c r="L9162" s="12"/>
      <c r="M9162" s="11"/>
      <c r="N9162" s="11"/>
      <c r="O9162" s="11"/>
      <c r="P9162" s="11"/>
    </row>
    <row r="9163" spans="8:16" x14ac:dyDescent="0.25">
      <c r="H9163" s="12"/>
      <c r="I9163" s="12"/>
      <c r="J9163" s="12"/>
      <c r="K9163" s="12"/>
      <c r="L9163" s="12"/>
      <c r="M9163" s="11"/>
      <c r="N9163" s="11"/>
      <c r="O9163" s="11"/>
      <c r="P9163" s="11"/>
    </row>
    <row r="9164" spans="8:16" x14ac:dyDescent="0.25">
      <c r="H9164" s="12"/>
      <c r="I9164" s="12"/>
      <c r="J9164" s="12"/>
      <c r="K9164" s="12"/>
      <c r="L9164" s="12"/>
      <c r="M9164" s="11"/>
      <c r="N9164" s="11"/>
      <c r="O9164" s="11"/>
      <c r="P9164" s="11"/>
    </row>
    <row r="9165" spans="8:16" x14ac:dyDescent="0.25">
      <c r="H9165" s="12"/>
      <c r="I9165" s="12"/>
      <c r="J9165" s="12"/>
      <c r="K9165" s="12"/>
      <c r="L9165" s="12"/>
      <c r="M9165" s="11"/>
      <c r="N9165" s="11"/>
      <c r="O9165" s="11"/>
      <c r="P9165" s="11"/>
    </row>
    <row r="9166" spans="8:16" x14ac:dyDescent="0.25">
      <c r="H9166" s="12"/>
      <c r="I9166" s="12"/>
      <c r="J9166" s="12"/>
      <c r="K9166" s="12"/>
      <c r="L9166" s="12"/>
      <c r="M9166" s="11"/>
      <c r="N9166" s="11"/>
      <c r="O9166" s="11"/>
      <c r="P9166" s="11"/>
    </row>
    <row r="9167" spans="8:16" x14ac:dyDescent="0.25">
      <c r="H9167" s="12"/>
      <c r="I9167" s="12"/>
      <c r="J9167" s="12"/>
      <c r="K9167" s="12"/>
      <c r="L9167" s="12"/>
      <c r="M9167" s="11"/>
      <c r="N9167" s="11"/>
      <c r="O9167" s="11"/>
      <c r="P9167" s="11"/>
    </row>
    <row r="9168" spans="8:16" x14ac:dyDescent="0.25">
      <c r="H9168" s="12"/>
      <c r="I9168" s="12"/>
      <c r="J9168" s="12"/>
      <c r="K9168" s="12"/>
      <c r="L9168" s="12"/>
      <c r="M9168" s="11"/>
      <c r="N9168" s="11"/>
      <c r="O9168" s="11"/>
      <c r="P9168" s="11"/>
    </row>
    <row r="9169" spans="8:16" x14ac:dyDescent="0.25">
      <c r="H9169" s="12"/>
      <c r="I9169" s="12"/>
      <c r="J9169" s="12"/>
      <c r="K9169" s="12"/>
      <c r="L9169" s="12"/>
      <c r="M9169" s="11"/>
      <c r="N9169" s="11"/>
      <c r="O9169" s="11"/>
      <c r="P9169" s="11"/>
    </row>
    <row r="9170" spans="8:16" x14ac:dyDescent="0.25">
      <c r="H9170" s="12"/>
      <c r="I9170" s="12"/>
      <c r="J9170" s="12"/>
      <c r="K9170" s="12"/>
      <c r="L9170" s="12"/>
      <c r="M9170" s="11"/>
      <c r="N9170" s="11"/>
      <c r="O9170" s="11"/>
      <c r="P9170" s="11"/>
    </row>
    <row r="9171" spans="8:16" x14ac:dyDescent="0.25">
      <c r="H9171" s="12"/>
      <c r="I9171" s="12"/>
      <c r="J9171" s="12"/>
      <c r="K9171" s="12"/>
      <c r="L9171" s="12"/>
      <c r="M9171" s="11"/>
      <c r="N9171" s="11"/>
      <c r="O9171" s="11"/>
      <c r="P9171" s="11"/>
    </row>
    <row r="9172" spans="8:16" x14ac:dyDescent="0.25">
      <c r="H9172" s="12"/>
      <c r="I9172" s="12"/>
      <c r="J9172" s="12"/>
      <c r="K9172" s="12"/>
      <c r="L9172" s="12"/>
      <c r="M9172" s="11"/>
      <c r="N9172" s="11"/>
      <c r="O9172" s="11"/>
      <c r="P9172" s="11"/>
    </row>
    <row r="9173" spans="8:16" x14ac:dyDescent="0.25">
      <c r="H9173" s="12"/>
      <c r="I9173" s="12"/>
      <c r="J9173" s="12"/>
      <c r="K9173" s="12"/>
      <c r="L9173" s="12"/>
      <c r="M9173" s="11"/>
      <c r="N9173" s="11"/>
      <c r="O9173" s="11"/>
      <c r="P9173" s="11"/>
    </row>
    <row r="9174" spans="8:16" x14ac:dyDescent="0.25">
      <c r="H9174" s="12"/>
      <c r="I9174" s="12"/>
      <c r="J9174" s="12"/>
      <c r="K9174" s="12"/>
      <c r="L9174" s="12"/>
      <c r="M9174" s="11"/>
      <c r="N9174" s="11"/>
      <c r="O9174" s="11"/>
      <c r="P9174" s="11"/>
    </row>
    <row r="9175" spans="8:16" x14ac:dyDescent="0.25">
      <c r="H9175" s="12"/>
      <c r="I9175" s="12"/>
      <c r="J9175" s="12"/>
      <c r="K9175" s="12"/>
      <c r="L9175" s="12"/>
      <c r="M9175" s="11"/>
      <c r="N9175" s="11"/>
      <c r="O9175" s="11"/>
      <c r="P9175" s="11"/>
    </row>
    <row r="9176" spans="8:16" x14ac:dyDescent="0.25">
      <c r="H9176" s="12"/>
      <c r="I9176" s="12"/>
      <c r="J9176" s="12"/>
      <c r="K9176" s="12"/>
      <c r="L9176" s="12"/>
      <c r="M9176" s="11"/>
      <c r="N9176" s="11"/>
      <c r="O9176" s="11"/>
      <c r="P9176" s="11"/>
    </row>
    <row r="9177" spans="8:16" x14ac:dyDescent="0.25">
      <c r="H9177" s="12"/>
      <c r="I9177" s="12"/>
      <c r="J9177" s="12"/>
      <c r="K9177" s="12"/>
      <c r="L9177" s="12"/>
      <c r="M9177" s="11"/>
      <c r="N9177" s="11"/>
      <c r="O9177" s="11"/>
      <c r="P9177" s="11"/>
    </row>
    <row r="9178" spans="8:16" x14ac:dyDescent="0.25">
      <c r="H9178" s="12"/>
      <c r="I9178" s="12"/>
      <c r="J9178" s="12"/>
      <c r="K9178" s="12"/>
      <c r="L9178" s="12"/>
      <c r="M9178" s="11"/>
      <c r="N9178" s="11"/>
      <c r="O9178" s="11"/>
      <c r="P9178" s="11"/>
    </row>
    <row r="9179" spans="8:16" x14ac:dyDescent="0.25">
      <c r="H9179" s="12"/>
      <c r="I9179" s="12"/>
      <c r="J9179" s="12"/>
      <c r="K9179" s="12"/>
      <c r="L9179" s="12"/>
      <c r="M9179" s="11"/>
      <c r="N9179" s="11"/>
      <c r="O9179" s="11"/>
      <c r="P9179" s="11"/>
    </row>
    <row r="9180" spans="8:16" x14ac:dyDescent="0.25">
      <c r="H9180" s="12"/>
      <c r="I9180" s="12"/>
      <c r="J9180" s="12"/>
      <c r="K9180" s="12"/>
      <c r="L9180" s="12"/>
      <c r="M9180" s="11"/>
      <c r="N9180" s="11"/>
      <c r="O9180" s="11"/>
      <c r="P9180" s="11"/>
    </row>
    <row r="9181" spans="8:16" x14ac:dyDescent="0.25">
      <c r="H9181" s="12"/>
      <c r="I9181" s="12"/>
      <c r="J9181" s="12"/>
      <c r="K9181" s="12"/>
      <c r="L9181" s="12"/>
      <c r="M9181" s="11"/>
      <c r="N9181" s="11"/>
      <c r="O9181" s="11"/>
      <c r="P9181" s="11"/>
    </row>
    <row r="9182" spans="8:16" x14ac:dyDescent="0.25">
      <c r="H9182" s="12"/>
      <c r="I9182" s="12"/>
      <c r="J9182" s="12"/>
      <c r="K9182" s="12"/>
      <c r="L9182" s="12"/>
      <c r="M9182" s="11"/>
      <c r="N9182" s="11"/>
      <c r="O9182" s="11"/>
      <c r="P9182" s="11"/>
    </row>
    <row r="9183" spans="8:16" x14ac:dyDescent="0.25">
      <c r="H9183" s="12"/>
      <c r="I9183" s="12"/>
      <c r="J9183" s="12"/>
      <c r="K9183" s="12"/>
      <c r="L9183" s="12"/>
      <c r="M9183" s="11"/>
      <c r="N9183" s="11"/>
      <c r="O9183" s="11"/>
      <c r="P9183" s="11"/>
    </row>
    <row r="9184" spans="8:16" x14ac:dyDescent="0.25">
      <c r="H9184" s="12"/>
      <c r="I9184" s="12"/>
      <c r="J9184" s="12"/>
      <c r="K9184" s="12"/>
      <c r="L9184" s="12"/>
      <c r="M9184" s="11"/>
      <c r="N9184" s="11"/>
      <c r="O9184" s="11"/>
      <c r="P9184" s="11"/>
    </row>
    <row r="9185" spans="8:16" x14ac:dyDescent="0.25">
      <c r="H9185" s="12"/>
      <c r="I9185" s="12"/>
      <c r="J9185" s="12"/>
      <c r="K9185" s="12"/>
      <c r="L9185" s="12"/>
      <c r="M9185" s="11"/>
      <c r="N9185" s="11"/>
      <c r="O9185" s="11"/>
      <c r="P9185" s="11"/>
    </row>
    <row r="9186" spans="8:16" x14ac:dyDescent="0.25">
      <c r="H9186" s="12"/>
      <c r="I9186" s="12"/>
      <c r="J9186" s="12"/>
      <c r="K9186" s="12"/>
      <c r="L9186" s="12"/>
      <c r="M9186" s="11"/>
      <c r="N9186" s="11"/>
      <c r="O9186" s="11"/>
      <c r="P9186" s="11"/>
    </row>
    <row r="9187" spans="8:16" x14ac:dyDescent="0.25">
      <c r="H9187" s="12"/>
      <c r="I9187" s="12"/>
      <c r="J9187" s="12"/>
      <c r="K9187" s="12"/>
      <c r="L9187" s="12"/>
      <c r="M9187" s="11"/>
      <c r="N9187" s="11"/>
      <c r="O9187" s="11"/>
      <c r="P9187" s="11"/>
    </row>
    <row r="9188" spans="8:16" x14ac:dyDescent="0.25">
      <c r="H9188" s="12"/>
      <c r="I9188" s="12"/>
      <c r="J9188" s="12"/>
      <c r="K9188" s="12"/>
      <c r="L9188" s="12"/>
      <c r="M9188" s="11"/>
      <c r="N9188" s="11"/>
      <c r="O9188" s="11"/>
      <c r="P9188" s="11"/>
    </row>
    <row r="9189" spans="8:16" x14ac:dyDescent="0.25">
      <c r="H9189" s="12"/>
      <c r="I9189" s="12"/>
      <c r="J9189" s="12"/>
      <c r="K9189" s="12"/>
      <c r="L9189" s="12"/>
      <c r="M9189" s="11"/>
      <c r="N9189" s="11"/>
      <c r="O9189" s="11"/>
      <c r="P9189" s="11"/>
    </row>
    <row r="9190" spans="8:16" x14ac:dyDescent="0.25">
      <c r="H9190" s="12"/>
      <c r="I9190" s="12"/>
      <c r="J9190" s="12"/>
      <c r="K9190" s="12"/>
      <c r="L9190" s="12"/>
      <c r="M9190" s="11"/>
      <c r="N9190" s="11"/>
      <c r="O9190" s="11"/>
      <c r="P9190" s="11"/>
    </row>
    <row r="9191" spans="8:16" x14ac:dyDescent="0.25">
      <c r="H9191" s="12"/>
      <c r="I9191" s="12"/>
      <c r="J9191" s="12"/>
      <c r="K9191" s="12"/>
      <c r="L9191" s="12"/>
      <c r="M9191" s="11"/>
      <c r="N9191" s="11"/>
      <c r="O9191" s="11"/>
      <c r="P9191" s="11"/>
    </row>
    <row r="9192" spans="8:16" x14ac:dyDescent="0.25">
      <c r="H9192" s="12"/>
      <c r="I9192" s="12"/>
      <c r="J9192" s="12"/>
      <c r="K9192" s="12"/>
      <c r="L9192" s="12"/>
      <c r="M9192" s="11"/>
      <c r="N9192" s="11"/>
      <c r="O9192" s="11"/>
      <c r="P9192" s="11"/>
    </row>
    <row r="9193" spans="8:16" x14ac:dyDescent="0.25">
      <c r="H9193" s="12"/>
      <c r="I9193" s="12"/>
      <c r="J9193" s="12"/>
      <c r="K9193" s="12"/>
      <c r="L9193" s="12"/>
      <c r="M9193" s="11"/>
      <c r="N9193" s="11"/>
      <c r="O9193" s="11"/>
      <c r="P9193" s="11"/>
    </row>
    <row r="9194" spans="8:16" x14ac:dyDescent="0.25">
      <c r="H9194" s="12"/>
      <c r="I9194" s="12"/>
      <c r="J9194" s="12"/>
      <c r="K9194" s="12"/>
      <c r="L9194" s="12"/>
      <c r="M9194" s="11"/>
      <c r="N9194" s="11"/>
      <c r="O9194" s="11"/>
      <c r="P9194" s="11"/>
    </row>
    <row r="9195" spans="8:16" x14ac:dyDescent="0.25">
      <c r="H9195" s="12"/>
      <c r="I9195" s="12"/>
      <c r="J9195" s="12"/>
      <c r="K9195" s="12"/>
      <c r="L9195" s="12"/>
      <c r="M9195" s="11"/>
      <c r="N9195" s="11"/>
      <c r="O9195" s="11"/>
      <c r="P9195" s="11"/>
    </row>
    <row r="9196" spans="8:16" x14ac:dyDescent="0.25">
      <c r="H9196" s="12"/>
      <c r="I9196" s="12"/>
      <c r="J9196" s="12"/>
      <c r="K9196" s="12"/>
      <c r="L9196" s="12"/>
      <c r="M9196" s="11"/>
      <c r="N9196" s="11"/>
      <c r="O9196" s="11"/>
      <c r="P9196" s="11"/>
    </row>
    <row r="9197" spans="8:16" x14ac:dyDescent="0.25">
      <c r="H9197" s="12"/>
      <c r="I9197" s="12"/>
      <c r="J9197" s="12"/>
      <c r="K9197" s="12"/>
      <c r="L9197" s="12"/>
      <c r="M9197" s="11"/>
      <c r="N9197" s="11"/>
      <c r="O9197" s="11"/>
      <c r="P9197" s="11"/>
    </row>
    <row r="9198" spans="8:16" x14ac:dyDescent="0.25">
      <c r="H9198" s="12"/>
      <c r="I9198" s="12"/>
      <c r="J9198" s="12"/>
      <c r="K9198" s="12"/>
      <c r="L9198" s="12"/>
      <c r="M9198" s="11"/>
      <c r="N9198" s="11"/>
      <c r="O9198" s="11"/>
      <c r="P9198" s="11"/>
    </row>
    <row r="9199" spans="8:16" x14ac:dyDescent="0.25">
      <c r="H9199" s="12"/>
      <c r="I9199" s="12"/>
      <c r="J9199" s="12"/>
      <c r="K9199" s="12"/>
      <c r="L9199" s="12"/>
      <c r="M9199" s="11"/>
      <c r="N9199" s="11"/>
      <c r="O9199" s="11"/>
      <c r="P9199" s="11"/>
    </row>
    <row r="9200" spans="8:16" x14ac:dyDescent="0.25">
      <c r="H9200" s="12"/>
      <c r="I9200" s="12"/>
      <c r="J9200" s="12"/>
      <c r="K9200" s="12"/>
      <c r="L9200" s="12"/>
      <c r="M9200" s="11"/>
      <c r="N9200" s="11"/>
      <c r="O9200" s="11"/>
      <c r="P9200" s="11"/>
    </row>
    <row r="9201" spans="8:16" x14ac:dyDescent="0.25">
      <c r="H9201" s="12"/>
      <c r="I9201" s="12"/>
      <c r="J9201" s="12"/>
      <c r="K9201" s="12"/>
      <c r="L9201" s="12"/>
      <c r="M9201" s="11"/>
      <c r="N9201" s="11"/>
      <c r="O9201" s="11"/>
      <c r="P9201" s="11"/>
    </row>
    <row r="9202" spans="8:16" x14ac:dyDescent="0.25">
      <c r="H9202" s="12"/>
      <c r="I9202" s="12"/>
      <c r="J9202" s="12"/>
      <c r="K9202" s="12"/>
      <c r="L9202" s="12"/>
      <c r="M9202" s="11"/>
      <c r="N9202" s="11"/>
      <c r="O9202" s="11"/>
      <c r="P9202" s="11"/>
    </row>
    <row r="9203" spans="8:16" x14ac:dyDescent="0.25">
      <c r="H9203" s="12"/>
      <c r="I9203" s="12"/>
      <c r="J9203" s="12"/>
      <c r="K9203" s="12"/>
      <c r="L9203" s="12"/>
      <c r="M9203" s="11"/>
      <c r="N9203" s="11"/>
      <c r="O9203" s="11"/>
      <c r="P9203" s="11"/>
    </row>
    <row r="9204" spans="8:16" x14ac:dyDescent="0.25">
      <c r="H9204" s="12"/>
      <c r="I9204" s="12"/>
      <c r="J9204" s="12"/>
      <c r="K9204" s="12"/>
      <c r="L9204" s="12"/>
      <c r="M9204" s="11"/>
      <c r="N9204" s="11"/>
      <c r="O9204" s="11"/>
      <c r="P9204" s="11"/>
    </row>
    <row r="9205" spans="8:16" x14ac:dyDescent="0.25">
      <c r="H9205" s="12"/>
      <c r="I9205" s="12"/>
      <c r="J9205" s="12"/>
      <c r="K9205" s="12"/>
      <c r="L9205" s="12"/>
      <c r="M9205" s="11"/>
      <c r="N9205" s="11"/>
      <c r="O9205" s="11"/>
      <c r="P9205" s="11"/>
    </row>
    <row r="9206" spans="8:16" x14ac:dyDescent="0.25">
      <c r="H9206" s="12"/>
      <c r="I9206" s="12"/>
      <c r="J9206" s="12"/>
      <c r="K9206" s="12"/>
      <c r="L9206" s="12"/>
      <c r="M9206" s="11"/>
      <c r="N9206" s="11"/>
      <c r="O9206" s="11"/>
      <c r="P9206" s="11"/>
    </row>
    <row r="9207" spans="8:16" x14ac:dyDescent="0.25">
      <c r="H9207" s="12"/>
      <c r="I9207" s="12"/>
      <c r="J9207" s="12"/>
      <c r="K9207" s="12"/>
      <c r="L9207" s="12"/>
      <c r="M9207" s="11"/>
      <c r="N9207" s="11"/>
      <c r="O9207" s="11"/>
      <c r="P9207" s="11"/>
    </row>
    <row r="9208" spans="8:16" x14ac:dyDescent="0.25">
      <c r="H9208" s="12"/>
      <c r="I9208" s="12"/>
      <c r="J9208" s="12"/>
      <c r="K9208" s="12"/>
      <c r="L9208" s="12"/>
      <c r="M9208" s="11"/>
      <c r="N9208" s="11"/>
      <c r="O9208" s="11"/>
      <c r="P9208" s="11"/>
    </row>
    <row r="9209" spans="8:16" x14ac:dyDescent="0.25">
      <c r="H9209" s="12"/>
      <c r="I9209" s="12"/>
      <c r="J9209" s="12"/>
      <c r="K9209" s="12"/>
      <c r="L9209" s="12"/>
      <c r="M9209" s="11"/>
      <c r="N9209" s="11"/>
      <c r="O9209" s="11"/>
      <c r="P9209" s="11"/>
    </row>
    <row r="9210" spans="8:16" x14ac:dyDescent="0.25">
      <c r="H9210" s="12"/>
      <c r="I9210" s="12"/>
      <c r="J9210" s="12"/>
      <c r="K9210" s="12"/>
      <c r="L9210" s="12"/>
      <c r="M9210" s="11"/>
      <c r="N9210" s="11"/>
      <c r="O9210" s="11"/>
      <c r="P9210" s="11"/>
    </row>
    <row r="9211" spans="8:16" x14ac:dyDescent="0.25">
      <c r="H9211" s="12"/>
      <c r="I9211" s="12"/>
      <c r="J9211" s="12"/>
      <c r="K9211" s="12"/>
      <c r="L9211" s="12"/>
      <c r="M9211" s="11"/>
      <c r="N9211" s="11"/>
      <c r="O9211" s="11"/>
      <c r="P9211" s="11"/>
    </row>
    <row r="9212" spans="8:16" x14ac:dyDescent="0.25">
      <c r="H9212" s="12"/>
      <c r="I9212" s="12"/>
      <c r="J9212" s="12"/>
      <c r="K9212" s="12"/>
      <c r="L9212" s="12"/>
      <c r="M9212" s="11"/>
      <c r="N9212" s="11"/>
      <c r="O9212" s="11"/>
      <c r="P9212" s="11"/>
    </row>
    <row r="9213" spans="8:16" x14ac:dyDescent="0.25">
      <c r="H9213" s="12"/>
      <c r="I9213" s="12"/>
      <c r="J9213" s="12"/>
      <c r="K9213" s="12"/>
      <c r="L9213" s="12"/>
      <c r="M9213" s="11"/>
      <c r="N9213" s="11"/>
      <c r="O9213" s="11"/>
      <c r="P9213" s="11"/>
    </row>
    <row r="9214" spans="8:16" x14ac:dyDescent="0.25">
      <c r="H9214" s="12"/>
      <c r="I9214" s="12"/>
      <c r="J9214" s="12"/>
      <c r="K9214" s="12"/>
      <c r="L9214" s="12"/>
      <c r="M9214" s="11"/>
      <c r="N9214" s="11"/>
      <c r="O9214" s="11"/>
      <c r="P9214" s="11"/>
    </row>
    <row r="9215" spans="8:16" x14ac:dyDescent="0.25">
      <c r="H9215" s="12"/>
      <c r="I9215" s="12"/>
      <c r="J9215" s="12"/>
      <c r="K9215" s="12"/>
      <c r="L9215" s="12"/>
      <c r="M9215" s="11"/>
      <c r="N9215" s="11"/>
      <c r="O9215" s="11"/>
      <c r="P9215" s="11"/>
    </row>
    <row r="9216" spans="8:16" x14ac:dyDescent="0.25">
      <c r="H9216" s="12"/>
      <c r="I9216" s="12"/>
      <c r="J9216" s="12"/>
      <c r="K9216" s="12"/>
      <c r="L9216" s="12"/>
      <c r="M9216" s="11"/>
      <c r="N9216" s="11"/>
      <c r="O9216" s="11"/>
      <c r="P9216" s="11"/>
    </row>
    <row r="9217" spans="8:16" x14ac:dyDescent="0.25">
      <c r="H9217" s="12"/>
      <c r="I9217" s="12"/>
      <c r="J9217" s="12"/>
      <c r="K9217" s="12"/>
      <c r="L9217" s="12"/>
      <c r="M9217" s="11"/>
      <c r="N9217" s="11"/>
      <c r="O9217" s="11"/>
      <c r="P9217" s="11"/>
    </row>
    <row r="9218" spans="8:16" x14ac:dyDescent="0.25">
      <c r="H9218" s="12"/>
      <c r="I9218" s="12"/>
      <c r="J9218" s="12"/>
      <c r="K9218" s="12"/>
      <c r="L9218" s="12"/>
      <c r="M9218" s="11"/>
      <c r="N9218" s="11"/>
      <c r="O9218" s="11"/>
      <c r="P9218" s="11"/>
    </row>
    <row r="9219" spans="8:16" x14ac:dyDescent="0.25">
      <c r="H9219" s="12"/>
      <c r="I9219" s="12"/>
      <c r="J9219" s="12"/>
      <c r="K9219" s="12"/>
      <c r="L9219" s="12"/>
      <c r="M9219" s="11"/>
      <c r="N9219" s="11"/>
      <c r="O9219" s="11"/>
      <c r="P9219" s="11"/>
    </row>
    <row r="9220" spans="8:16" x14ac:dyDescent="0.25">
      <c r="H9220" s="12"/>
      <c r="I9220" s="12"/>
      <c r="J9220" s="12"/>
      <c r="K9220" s="12"/>
      <c r="L9220" s="12"/>
      <c r="M9220" s="11"/>
      <c r="N9220" s="11"/>
      <c r="O9220" s="11"/>
      <c r="P9220" s="11"/>
    </row>
    <row r="9221" spans="8:16" x14ac:dyDescent="0.25">
      <c r="H9221" s="12"/>
      <c r="I9221" s="12"/>
      <c r="J9221" s="12"/>
      <c r="K9221" s="12"/>
      <c r="L9221" s="12"/>
      <c r="M9221" s="11"/>
      <c r="N9221" s="11"/>
      <c r="O9221" s="11"/>
      <c r="P9221" s="11"/>
    </row>
    <row r="9222" spans="8:16" x14ac:dyDescent="0.25">
      <c r="H9222" s="12"/>
      <c r="I9222" s="12"/>
      <c r="J9222" s="12"/>
      <c r="K9222" s="12"/>
      <c r="L9222" s="12"/>
      <c r="M9222" s="11"/>
      <c r="N9222" s="11"/>
      <c r="O9222" s="11"/>
      <c r="P9222" s="11"/>
    </row>
    <row r="9223" spans="8:16" x14ac:dyDescent="0.25">
      <c r="H9223" s="12"/>
      <c r="I9223" s="12"/>
      <c r="J9223" s="12"/>
      <c r="K9223" s="12"/>
      <c r="L9223" s="12"/>
      <c r="M9223" s="11"/>
      <c r="N9223" s="11"/>
      <c r="O9223" s="11"/>
      <c r="P9223" s="11"/>
    </row>
    <row r="9224" spans="8:16" x14ac:dyDescent="0.25">
      <c r="H9224" s="12"/>
      <c r="I9224" s="12"/>
      <c r="J9224" s="12"/>
      <c r="K9224" s="12"/>
      <c r="L9224" s="12"/>
      <c r="M9224" s="11"/>
      <c r="N9224" s="11"/>
      <c r="O9224" s="11"/>
      <c r="P9224" s="11"/>
    </row>
    <row r="9225" spans="8:16" x14ac:dyDescent="0.25">
      <c r="H9225" s="12"/>
      <c r="I9225" s="12"/>
      <c r="J9225" s="12"/>
      <c r="K9225" s="12"/>
      <c r="L9225" s="12"/>
      <c r="M9225" s="11"/>
      <c r="N9225" s="11"/>
      <c r="O9225" s="11"/>
      <c r="P9225" s="11"/>
    </row>
    <row r="9226" spans="8:16" x14ac:dyDescent="0.25">
      <c r="H9226" s="12"/>
      <c r="I9226" s="12"/>
      <c r="J9226" s="12"/>
      <c r="K9226" s="12"/>
      <c r="L9226" s="12"/>
      <c r="M9226" s="11"/>
      <c r="N9226" s="11"/>
      <c r="O9226" s="11"/>
      <c r="P9226" s="11"/>
    </row>
    <row r="9227" spans="8:16" x14ac:dyDescent="0.25">
      <c r="H9227" s="12"/>
      <c r="I9227" s="12"/>
      <c r="J9227" s="12"/>
      <c r="K9227" s="12"/>
      <c r="L9227" s="12"/>
      <c r="M9227" s="11"/>
      <c r="N9227" s="11"/>
      <c r="O9227" s="11"/>
      <c r="P9227" s="11"/>
    </row>
    <row r="9228" spans="8:16" x14ac:dyDescent="0.25">
      <c r="H9228" s="12"/>
      <c r="I9228" s="12"/>
      <c r="J9228" s="12"/>
      <c r="K9228" s="12"/>
      <c r="L9228" s="12"/>
      <c r="M9228" s="11"/>
      <c r="N9228" s="11"/>
      <c r="O9228" s="11"/>
      <c r="P9228" s="11"/>
    </row>
    <row r="9229" spans="8:16" x14ac:dyDescent="0.25">
      <c r="H9229" s="12"/>
      <c r="I9229" s="12"/>
      <c r="J9229" s="12"/>
      <c r="K9229" s="12"/>
      <c r="L9229" s="12"/>
      <c r="M9229" s="11"/>
      <c r="N9229" s="11"/>
      <c r="O9229" s="11"/>
      <c r="P9229" s="11"/>
    </row>
    <row r="9230" spans="8:16" x14ac:dyDescent="0.25">
      <c r="H9230" s="12"/>
      <c r="I9230" s="12"/>
      <c r="J9230" s="12"/>
      <c r="K9230" s="12"/>
      <c r="L9230" s="12"/>
      <c r="M9230" s="11"/>
      <c r="N9230" s="11"/>
      <c r="O9230" s="11"/>
      <c r="P9230" s="11"/>
    </row>
    <row r="9231" spans="8:16" x14ac:dyDescent="0.25">
      <c r="H9231" s="12"/>
      <c r="I9231" s="12"/>
      <c r="J9231" s="12"/>
      <c r="K9231" s="12"/>
      <c r="L9231" s="12"/>
      <c r="M9231" s="11"/>
      <c r="N9231" s="11"/>
      <c r="O9231" s="11"/>
      <c r="P9231" s="11"/>
    </row>
    <row r="9232" spans="8:16" x14ac:dyDescent="0.25">
      <c r="H9232" s="12"/>
      <c r="I9232" s="12"/>
      <c r="J9232" s="12"/>
      <c r="K9232" s="12"/>
      <c r="L9232" s="12"/>
      <c r="M9232" s="11"/>
      <c r="N9232" s="11"/>
      <c r="O9232" s="11"/>
      <c r="P9232" s="11"/>
    </row>
    <row r="9233" spans="8:16" x14ac:dyDescent="0.25">
      <c r="H9233" s="12"/>
      <c r="I9233" s="12"/>
      <c r="J9233" s="12"/>
      <c r="K9233" s="12"/>
      <c r="L9233" s="12"/>
      <c r="M9233" s="11"/>
      <c r="N9233" s="11"/>
      <c r="O9233" s="11"/>
      <c r="P9233" s="11"/>
    </row>
    <row r="9234" spans="8:16" x14ac:dyDescent="0.25">
      <c r="H9234" s="12"/>
      <c r="I9234" s="12"/>
      <c r="J9234" s="12"/>
      <c r="K9234" s="12"/>
      <c r="L9234" s="12"/>
      <c r="M9234" s="11"/>
      <c r="N9234" s="11"/>
      <c r="O9234" s="11"/>
      <c r="P9234" s="11"/>
    </row>
    <row r="9235" spans="8:16" x14ac:dyDescent="0.25">
      <c r="H9235" s="12"/>
      <c r="I9235" s="12"/>
      <c r="J9235" s="12"/>
      <c r="K9235" s="12"/>
      <c r="L9235" s="12"/>
      <c r="M9235" s="11"/>
      <c r="N9235" s="11"/>
      <c r="O9235" s="11"/>
      <c r="P9235" s="11"/>
    </row>
    <row r="9236" spans="8:16" x14ac:dyDescent="0.25">
      <c r="H9236" s="12"/>
      <c r="I9236" s="12"/>
      <c r="J9236" s="12"/>
      <c r="K9236" s="12"/>
      <c r="L9236" s="12"/>
      <c r="M9236" s="11"/>
      <c r="N9236" s="11"/>
      <c r="O9236" s="11"/>
      <c r="P9236" s="11"/>
    </row>
    <row r="9237" spans="8:16" x14ac:dyDescent="0.25">
      <c r="H9237" s="12"/>
      <c r="I9237" s="12"/>
      <c r="J9237" s="12"/>
      <c r="K9237" s="12"/>
      <c r="L9237" s="12"/>
      <c r="M9237" s="11"/>
      <c r="N9237" s="11"/>
      <c r="O9237" s="11"/>
      <c r="P9237" s="11"/>
    </row>
    <row r="9238" spans="8:16" x14ac:dyDescent="0.25">
      <c r="H9238" s="12"/>
      <c r="I9238" s="12"/>
      <c r="J9238" s="12"/>
      <c r="K9238" s="12"/>
      <c r="L9238" s="12"/>
      <c r="M9238" s="11"/>
      <c r="N9238" s="11"/>
      <c r="O9238" s="11"/>
      <c r="P9238" s="11"/>
    </row>
    <row r="9239" spans="8:16" x14ac:dyDescent="0.25">
      <c r="H9239" s="12"/>
      <c r="I9239" s="12"/>
      <c r="J9239" s="12"/>
      <c r="K9239" s="12"/>
      <c r="L9239" s="12"/>
      <c r="M9239" s="11"/>
      <c r="N9239" s="11"/>
      <c r="O9239" s="11"/>
      <c r="P9239" s="11"/>
    </row>
    <row r="9240" spans="8:16" x14ac:dyDescent="0.25">
      <c r="H9240" s="12"/>
      <c r="I9240" s="12"/>
      <c r="J9240" s="12"/>
      <c r="K9240" s="12"/>
      <c r="L9240" s="12"/>
      <c r="M9240" s="11"/>
      <c r="N9240" s="11"/>
      <c r="O9240" s="11"/>
      <c r="P9240" s="11"/>
    </row>
    <row r="9241" spans="8:16" x14ac:dyDescent="0.25">
      <c r="H9241" s="12"/>
      <c r="I9241" s="12"/>
      <c r="J9241" s="12"/>
      <c r="K9241" s="12"/>
      <c r="L9241" s="12"/>
      <c r="M9241" s="11"/>
      <c r="N9241" s="11"/>
      <c r="O9241" s="11"/>
      <c r="P9241" s="11"/>
    </row>
    <row r="9242" spans="8:16" x14ac:dyDescent="0.25">
      <c r="H9242" s="12"/>
      <c r="I9242" s="12"/>
      <c r="J9242" s="12"/>
      <c r="K9242" s="12"/>
      <c r="L9242" s="12"/>
      <c r="M9242" s="11"/>
      <c r="N9242" s="11"/>
      <c r="O9242" s="11"/>
      <c r="P9242" s="11"/>
    </row>
    <row r="9243" spans="8:16" x14ac:dyDescent="0.25">
      <c r="H9243" s="12"/>
      <c r="I9243" s="12"/>
      <c r="J9243" s="12"/>
      <c r="K9243" s="12"/>
      <c r="L9243" s="12"/>
      <c r="M9243" s="11"/>
      <c r="N9243" s="11"/>
      <c r="O9243" s="11"/>
      <c r="P9243" s="11"/>
    </row>
    <row r="9244" spans="8:16" x14ac:dyDescent="0.25">
      <c r="H9244" s="12"/>
      <c r="I9244" s="12"/>
      <c r="J9244" s="12"/>
      <c r="K9244" s="12"/>
      <c r="L9244" s="12"/>
      <c r="M9244" s="11"/>
      <c r="N9244" s="11"/>
      <c r="O9244" s="11"/>
      <c r="P9244" s="11"/>
    </row>
    <row r="9245" spans="8:16" x14ac:dyDescent="0.25">
      <c r="H9245" s="12"/>
      <c r="I9245" s="12"/>
      <c r="J9245" s="12"/>
      <c r="K9245" s="12"/>
      <c r="L9245" s="12"/>
      <c r="M9245" s="11"/>
      <c r="N9245" s="11"/>
      <c r="O9245" s="11"/>
      <c r="P9245" s="11"/>
    </row>
    <row r="9246" spans="8:16" x14ac:dyDescent="0.25">
      <c r="H9246" s="12"/>
      <c r="I9246" s="12"/>
      <c r="J9246" s="12"/>
      <c r="K9246" s="12"/>
      <c r="L9246" s="12"/>
      <c r="M9246" s="11"/>
      <c r="N9246" s="11"/>
      <c r="O9246" s="11"/>
      <c r="P9246" s="11"/>
    </row>
    <row r="9247" spans="8:16" x14ac:dyDescent="0.25">
      <c r="H9247" s="12"/>
      <c r="I9247" s="12"/>
      <c r="J9247" s="12"/>
      <c r="K9247" s="12"/>
      <c r="L9247" s="12"/>
      <c r="M9247" s="11"/>
      <c r="N9247" s="11"/>
      <c r="O9247" s="11"/>
      <c r="P9247" s="11"/>
    </row>
    <row r="9248" spans="8:16" x14ac:dyDescent="0.25">
      <c r="H9248" s="12"/>
      <c r="I9248" s="12"/>
      <c r="J9248" s="12"/>
      <c r="K9248" s="12"/>
      <c r="L9248" s="12"/>
      <c r="M9248" s="11"/>
      <c r="N9248" s="11"/>
      <c r="O9248" s="11"/>
      <c r="P9248" s="11"/>
    </row>
    <row r="9249" spans="8:16" x14ac:dyDescent="0.25">
      <c r="H9249" s="12"/>
      <c r="I9249" s="12"/>
      <c r="J9249" s="12"/>
      <c r="K9249" s="12"/>
      <c r="L9249" s="12"/>
      <c r="M9249" s="11"/>
      <c r="N9249" s="11"/>
      <c r="O9249" s="11"/>
      <c r="P9249" s="11"/>
    </row>
    <row r="9250" spans="8:16" x14ac:dyDescent="0.25">
      <c r="H9250" s="12"/>
      <c r="I9250" s="12"/>
      <c r="J9250" s="12"/>
      <c r="K9250" s="12"/>
      <c r="L9250" s="12"/>
      <c r="M9250" s="11"/>
      <c r="N9250" s="11"/>
      <c r="O9250" s="11"/>
      <c r="P9250" s="11"/>
    </row>
    <row r="9251" spans="8:16" x14ac:dyDescent="0.25">
      <c r="H9251" s="12"/>
      <c r="I9251" s="12"/>
      <c r="J9251" s="12"/>
      <c r="K9251" s="12"/>
      <c r="L9251" s="12"/>
      <c r="M9251" s="11"/>
      <c r="N9251" s="11"/>
      <c r="O9251" s="11"/>
      <c r="P9251" s="11"/>
    </row>
    <row r="9252" spans="8:16" x14ac:dyDescent="0.25">
      <c r="H9252" s="12"/>
      <c r="I9252" s="12"/>
      <c r="J9252" s="12"/>
      <c r="K9252" s="12"/>
      <c r="L9252" s="12"/>
      <c r="M9252" s="11"/>
      <c r="N9252" s="11"/>
      <c r="O9252" s="11"/>
      <c r="P9252" s="11"/>
    </row>
    <row r="9253" spans="8:16" x14ac:dyDescent="0.25">
      <c r="H9253" s="12"/>
      <c r="I9253" s="12"/>
      <c r="J9253" s="12"/>
      <c r="K9253" s="12"/>
      <c r="L9253" s="12"/>
      <c r="M9253" s="11"/>
      <c r="N9253" s="11"/>
      <c r="O9253" s="11"/>
      <c r="P9253" s="11"/>
    </row>
    <row r="9254" spans="8:16" x14ac:dyDescent="0.25">
      <c r="H9254" s="12"/>
      <c r="I9254" s="12"/>
      <c r="J9254" s="12"/>
      <c r="K9254" s="12"/>
      <c r="L9254" s="12"/>
      <c r="M9254" s="11"/>
      <c r="N9254" s="11"/>
      <c r="O9254" s="11"/>
      <c r="P9254" s="11"/>
    </row>
    <row r="9255" spans="8:16" x14ac:dyDescent="0.25">
      <c r="H9255" s="12"/>
      <c r="I9255" s="12"/>
      <c r="J9255" s="12"/>
      <c r="K9255" s="12"/>
      <c r="L9255" s="12"/>
      <c r="M9255" s="11"/>
      <c r="N9255" s="11"/>
      <c r="O9255" s="11"/>
      <c r="P9255" s="11"/>
    </row>
    <row r="9256" spans="8:16" x14ac:dyDescent="0.25">
      <c r="H9256" s="12"/>
      <c r="I9256" s="12"/>
      <c r="J9256" s="12"/>
      <c r="K9256" s="12"/>
      <c r="L9256" s="12"/>
      <c r="M9256" s="11"/>
      <c r="N9256" s="11"/>
      <c r="O9256" s="11"/>
      <c r="P9256" s="11"/>
    </row>
    <row r="9257" spans="8:16" x14ac:dyDescent="0.25">
      <c r="H9257" s="12"/>
      <c r="I9257" s="12"/>
      <c r="J9257" s="12"/>
      <c r="K9257" s="12"/>
      <c r="L9257" s="12"/>
      <c r="M9257" s="11"/>
      <c r="N9257" s="11"/>
      <c r="O9257" s="11"/>
      <c r="P9257" s="11"/>
    </row>
    <row r="9258" spans="8:16" x14ac:dyDescent="0.25">
      <c r="H9258" s="12"/>
      <c r="I9258" s="12"/>
      <c r="J9258" s="12"/>
      <c r="K9258" s="12"/>
      <c r="L9258" s="12"/>
      <c r="M9258" s="11"/>
      <c r="N9258" s="11"/>
      <c r="O9258" s="11"/>
      <c r="P9258" s="11"/>
    </row>
    <row r="9259" spans="8:16" x14ac:dyDescent="0.25">
      <c r="H9259" s="12"/>
      <c r="I9259" s="12"/>
      <c r="J9259" s="12"/>
      <c r="K9259" s="12"/>
      <c r="L9259" s="12"/>
      <c r="M9259" s="11"/>
      <c r="N9259" s="11"/>
      <c r="O9259" s="11"/>
      <c r="P9259" s="11"/>
    </row>
    <row r="9260" spans="8:16" x14ac:dyDescent="0.25">
      <c r="H9260" s="12"/>
      <c r="I9260" s="12"/>
      <c r="J9260" s="12"/>
      <c r="K9260" s="12"/>
      <c r="L9260" s="12"/>
      <c r="M9260" s="11"/>
      <c r="N9260" s="11"/>
      <c r="O9260" s="11"/>
      <c r="P9260" s="11"/>
    </row>
    <row r="9261" spans="8:16" x14ac:dyDescent="0.25">
      <c r="H9261" s="12"/>
      <c r="I9261" s="12"/>
      <c r="J9261" s="12"/>
      <c r="K9261" s="12"/>
      <c r="L9261" s="12"/>
      <c r="M9261" s="11"/>
      <c r="N9261" s="11"/>
      <c r="O9261" s="11"/>
      <c r="P9261" s="11"/>
    </row>
    <row r="9262" spans="8:16" x14ac:dyDescent="0.25">
      <c r="H9262" s="12"/>
      <c r="I9262" s="12"/>
      <c r="J9262" s="12"/>
      <c r="K9262" s="12"/>
      <c r="L9262" s="12"/>
      <c r="M9262" s="11"/>
      <c r="N9262" s="11"/>
      <c r="O9262" s="11"/>
      <c r="P9262" s="11"/>
    </row>
    <row r="9263" spans="8:16" x14ac:dyDescent="0.25">
      <c r="H9263" s="12"/>
      <c r="I9263" s="12"/>
      <c r="J9263" s="12"/>
      <c r="K9263" s="12"/>
      <c r="L9263" s="12"/>
      <c r="M9263" s="11"/>
      <c r="N9263" s="11"/>
      <c r="O9263" s="11"/>
      <c r="P9263" s="11"/>
    </row>
    <row r="9264" spans="8:16" x14ac:dyDescent="0.25">
      <c r="H9264" s="12"/>
      <c r="I9264" s="12"/>
      <c r="J9264" s="12"/>
      <c r="K9264" s="12"/>
      <c r="L9264" s="12"/>
      <c r="M9264" s="11"/>
      <c r="N9264" s="11"/>
      <c r="O9264" s="11"/>
      <c r="P9264" s="11"/>
    </row>
    <row r="9265" spans="8:16" x14ac:dyDescent="0.25">
      <c r="H9265" s="12"/>
      <c r="I9265" s="12"/>
      <c r="J9265" s="12"/>
      <c r="K9265" s="12"/>
      <c r="L9265" s="12"/>
      <c r="M9265" s="11"/>
      <c r="N9265" s="11"/>
      <c r="O9265" s="11"/>
      <c r="P9265" s="11"/>
    </row>
    <row r="9266" spans="8:16" x14ac:dyDescent="0.25">
      <c r="H9266" s="12"/>
      <c r="I9266" s="12"/>
      <c r="J9266" s="12"/>
      <c r="K9266" s="12"/>
      <c r="L9266" s="12"/>
      <c r="M9266" s="11"/>
      <c r="N9266" s="11"/>
      <c r="O9266" s="11"/>
      <c r="P9266" s="11"/>
    </row>
    <row r="9267" spans="8:16" x14ac:dyDescent="0.25">
      <c r="H9267" s="12"/>
      <c r="I9267" s="12"/>
      <c r="J9267" s="12"/>
      <c r="K9267" s="12"/>
      <c r="L9267" s="12"/>
      <c r="M9267" s="11"/>
      <c r="N9267" s="11"/>
      <c r="O9267" s="11"/>
      <c r="P9267" s="11"/>
    </row>
    <row r="9268" spans="8:16" x14ac:dyDescent="0.25">
      <c r="H9268" s="12"/>
      <c r="I9268" s="12"/>
      <c r="J9268" s="12"/>
      <c r="K9268" s="12"/>
      <c r="L9268" s="12"/>
      <c r="M9268" s="11"/>
      <c r="N9268" s="11"/>
      <c r="O9268" s="11"/>
      <c r="P9268" s="11"/>
    </row>
    <row r="9269" spans="8:16" x14ac:dyDescent="0.25">
      <c r="H9269" s="12"/>
      <c r="I9269" s="12"/>
      <c r="J9269" s="12"/>
      <c r="K9269" s="12"/>
      <c r="L9269" s="12"/>
      <c r="M9269" s="11"/>
      <c r="N9269" s="11"/>
      <c r="O9269" s="11"/>
      <c r="P9269" s="11"/>
    </row>
    <row r="9270" spans="8:16" x14ac:dyDescent="0.25">
      <c r="H9270" s="12"/>
      <c r="I9270" s="12"/>
      <c r="J9270" s="12"/>
      <c r="K9270" s="12"/>
      <c r="L9270" s="12"/>
      <c r="M9270" s="11"/>
      <c r="N9270" s="11"/>
      <c r="O9270" s="11"/>
      <c r="P9270" s="11"/>
    </row>
    <row r="9271" spans="8:16" x14ac:dyDescent="0.25">
      <c r="H9271" s="12"/>
      <c r="I9271" s="12"/>
      <c r="J9271" s="12"/>
      <c r="K9271" s="12"/>
      <c r="L9271" s="12"/>
      <c r="M9271" s="11"/>
      <c r="N9271" s="11"/>
      <c r="O9271" s="11"/>
      <c r="P9271" s="11"/>
    </row>
    <row r="9272" spans="8:16" x14ac:dyDescent="0.25">
      <c r="H9272" s="12"/>
      <c r="I9272" s="12"/>
      <c r="J9272" s="12"/>
      <c r="K9272" s="12"/>
      <c r="L9272" s="12"/>
      <c r="M9272" s="11"/>
      <c r="N9272" s="11"/>
      <c r="O9272" s="11"/>
      <c r="P9272" s="11"/>
    </row>
    <row r="9273" spans="8:16" x14ac:dyDescent="0.25">
      <c r="H9273" s="12"/>
      <c r="I9273" s="12"/>
      <c r="J9273" s="12"/>
      <c r="K9273" s="12"/>
      <c r="L9273" s="12"/>
      <c r="M9273" s="11"/>
      <c r="N9273" s="11"/>
      <c r="O9273" s="11"/>
      <c r="P9273" s="11"/>
    </row>
    <row r="9274" spans="8:16" x14ac:dyDescent="0.25">
      <c r="H9274" s="12"/>
      <c r="I9274" s="12"/>
      <c r="J9274" s="12"/>
      <c r="K9274" s="12"/>
      <c r="L9274" s="12"/>
      <c r="M9274" s="11"/>
      <c r="N9274" s="11"/>
      <c r="O9274" s="11"/>
      <c r="P9274" s="11"/>
    </row>
    <row r="9275" spans="8:16" x14ac:dyDescent="0.25">
      <c r="H9275" s="12"/>
      <c r="I9275" s="12"/>
      <c r="J9275" s="12"/>
      <c r="K9275" s="12"/>
      <c r="L9275" s="12"/>
      <c r="M9275" s="11"/>
      <c r="N9275" s="11"/>
      <c r="O9275" s="11"/>
      <c r="P9275" s="11"/>
    </row>
    <row r="9276" spans="8:16" x14ac:dyDescent="0.25">
      <c r="H9276" s="12"/>
      <c r="I9276" s="12"/>
      <c r="J9276" s="12"/>
      <c r="K9276" s="12"/>
      <c r="L9276" s="12"/>
      <c r="M9276" s="11"/>
      <c r="N9276" s="11"/>
      <c r="O9276" s="11"/>
      <c r="P9276" s="11"/>
    </row>
    <row r="9277" spans="8:16" x14ac:dyDescent="0.25">
      <c r="H9277" s="12"/>
      <c r="I9277" s="12"/>
      <c r="J9277" s="12"/>
      <c r="K9277" s="12"/>
      <c r="L9277" s="12"/>
      <c r="M9277" s="11"/>
      <c r="N9277" s="11"/>
      <c r="O9277" s="11"/>
      <c r="P9277" s="11"/>
    </row>
    <row r="9278" spans="8:16" x14ac:dyDescent="0.25">
      <c r="H9278" s="12"/>
      <c r="I9278" s="12"/>
      <c r="J9278" s="12"/>
      <c r="K9278" s="12"/>
      <c r="L9278" s="12"/>
      <c r="M9278" s="11"/>
      <c r="N9278" s="11"/>
      <c r="O9278" s="11"/>
      <c r="P9278" s="11"/>
    </row>
    <row r="9279" spans="8:16" x14ac:dyDescent="0.25">
      <c r="H9279" s="12"/>
      <c r="I9279" s="12"/>
      <c r="J9279" s="12"/>
      <c r="K9279" s="12"/>
      <c r="L9279" s="12"/>
      <c r="M9279" s="11"/>
      <c r="N9279" s="11"/>
      <c r="O9279" s="11"/>
      <c r="P9279" s="11"/>
    </row>
    <row r="9280" spans="8:16" x14ac:dyDescent="0.25">
      <c r="H9280" s="12"/>
      <c r="I9280" s="12"/>
      <c r="J9280" s="12"/>
      <c r="K9280" s="12"/>
      <c r="L9280" s="12"/>
      <c r="M9280" s="11"/>
      <c r="N9280" s="11"/>
      <c r="O9280" s="11"/>
      <c r="P9280" s="11"/>
    </row>
    <row r="9281" spans="8:16" x14ac:dyDescent="0.25">
      <c r="H9281" s="12"/>
      <c r="I9281" s="12"/>
      <c r="J9281" s="12"/>
      <c r="K9281" s="12"/>
      <c r="L9281" s="12"/>
      <c r="M9281" s="11"/>
      <c r="N9281" s="11"/>
      <c r="O9281" s="11"/>
      <c r="P9281" s="11"/>
    </row>
    <row r="9282" spans="8:16" x14ac:dyDescent="0.25">
      <c r="H9282" s="12"/>
      <c r="I9282" s="12"/>
      <c r="J9282" s="12"/>
      <c r="K9282" s="12"/>
      <c r="L9282" s="12"/>
      <c r="M9282" s="11"/>
      <c r="N9282" s="11"/>
      <c r="O9282" s="11"/>
      <c r="P9282" s="11"/>
    </row>
    <row r="9283" spans="8:16" x14ac:dyDescent="0.25">
      <c r="H9283" s="12"/>
      <c r="I9283" s="12"/>
      <c r="J9283" s="12"/>
      <c r="K9283" s="12"/>
      <c r="L9283" s="12"/>
      <c r="M9283" s="11"/>
      <c r="N9283" s="11"/>
      <c r="O9283" s="11"/>
      <c r="P9283" s="11"/>
    </row>
    <row r="9284" spans="8:16" x14ac:dyDescent="0.25">
      <c r="H9284" s="12"/>
      <c r="I9284" s="12"/>
      <c r="J9284" s="12"/>
      <c r="K9284" s="12"/>
      <c r="L9284" s="12"/>
      <c r="M9284" s="11"/>
      <c r="N9284" s="11"/>
      <c r="O9284" s="11"/>
      <c r="P9284" s="11"/>
    </row>
    <row r="9285" spans="8:16" x14ac:dyDescent="0.25">
      <c r="H9285" s="12"/>
      <c r="I9285" s="12"/>
      <c r="J9285" s="12"/>
      <c r="K9285" s="12"/>
      <c r="L9285" s="12"/>
      <c r="M9285" s="11"/>
      <c r="N9285" s="11"/>
      <c r="O9285" s="11"/>
      <c r="P9285" s="11"/>
    </row>
    <row r="9286" spans="8:16" x14ac:dyDescent="0.25">
      <c r="H9286" s="12"/>
      <c r="I9286" s="12"/>
      <c r="J9286" s="12"/>
      <c r="K9286" s="12"/>
      <c r="L9286" s="12"/>
      <c r="M9286" s="11"/>
      <c r="N9286" s="11"/>
      <c r="O9286" s="11"/>
      <c r="P9286" s="11"/>
    </row>
    <row r="9287" spans="8:16" x14ac:dyDescent="0.25">
      <c r="H9287" s="12"/>
      <c r="I9287" s="12"/>
      <c r="J9287" s="12"/>
      <c r="K9287" s="12"/>
      <c r="L9287" s="12"/>
      <c r="M9287" s="11"/>
      <c r="N9287" s="11"/>
      <c r="O9287" s="11"/>
      <c r="P9287" s="11"/>
    </row>
    <row r="9288" spans="8:16" x14ac:dyDescent="0.25">
      <c r="H9288" s="12"/>
      <c r="I9288" s="12"/>
      <c r="J9288" s="12"/>
      <c r="K9288" s="12"/>
      <c r="L9288" s="12"/>
      <c r="M9288" s="11"/>
      <c r="N9288" s="11"/>
      <c r="O9288" s="11"/>
      <c r="P9288" s="11"/>
    </row>
    <row r="9289" spans="8:16" x14ac:dyDescent="0.25">
      <c r="H9289" s="12"/>
      <c r="I9289" s="12"/>
      <c r="J9289" s="12"/>
      <c r="K9289" s="12"/>
      <c r="L9289" s="12"/>
      <c r="M9289" s="11"/>
      <c r="N9289" s="11"/>
      <c r="O9289" s="11"/>
      <c r="P9289" s="11"/>
    </row>
    <row r="9290" spans="8:16" x14ac:dyDescent="0.25">
      <c r="H9290" s="12"/>
      <c r="I9290" s="12"/>
      <c r="J9290" s="12"/>
      <c r="K9290" s="12"/>
      <c r="L9290" s="12"/>
      <c r="M9290" s="11"/>
      <c r="N9290" s="11"/>
      <c r="O9290" s="11"/>
      <c r="P9290" s="11"/>
    </row>
    <row r="9291" spans="8:16" x14ac:dyDescent="0.25">
      <c r="H9291" s="12"/>
      <c r="I9291" s="12"/>
      <c r="J9291" s="12"/>
      <c r="K9291" s="12"/>
      <c r="L9291" s="12"/>
      <c r="M9291" s="11"/>
      <c r="N9291" s="11"/>
      <c r="O9291" s="11"/>
      <c r="P9291" s="11"/>
    </row>
    <row r="9292" spans="8:16" x14ac:dyDescent="0.25">
      <c r="H9292" s="12"/>
      <c r="I9292" s="12"/>
      <c r="J9292" s="12"/>
      <c r="K9292" s="12"/>
      <c r="L9292" s="12"/>
      <c r="M9292" s="11"/>
      <c r="N9292" s="11"/>
      <c r="O9292" s="11"/>
      <c r="P9292" s="11"/>
    </row>
    <row r="9293" spans="8:16" x14ac:dyDescent="0.25">
      <c r="H9293" s="12"/>
      <c r="I9293" s="12"/>
      <c r="J9293" s="12"/>
      <c r="K9293" s="12"/>
      <c r="L9293" s="12"/>
      <c r="M9293" s="11"/>
      <c r="N9293" s="11"/>
      <c r="O9293" s="11"/>
      <c r="P9293" s="11"/>
    </row>
    <row r="9294" spans="8:16" x14ac:dyDescent="0.25">
      <c r="H9294" s="12"/>
      <c r="I9294" s="12"/>
      <c r="J9294" s="12"/>
      <c r="K9294" s="12"/>
      <c r="L9294" s="12"/>
      <c r="M9294" s="11"/>
      <c r="N9294" s="11"/>
      <c r="O9294" s="11"/>
      <c r="P9294" s="11"/>
    </row>
    <row r="9295" spans="8:16" x14ac:dyDescent="0.25">
      <c r="H9295" s="12"/>
      <c r="I9295" s="12"/>
      <c r="J9295" s="12"/>
      <c r="K9295" s="12"/>
      <c r="L9295" s="12"/>
      <c r="M9295" s="11"/>
      <c r="N9295" s="11"/>
      <c r="O9295" s="11"/>
      <c r="P9295" s="11"/>
    </row>
    <row r="9296" spans="8:16" x14ac:dyDescent="0.25">
      <c r="H9296" s="12"/>
      <c r="I9296" s="12"/>
      <c r="J9296" s="12"/>
      <c r="K9296" s="12"/>
      <c r="L9296" s="12"/>
      <c r="M9296" s="11"/>
      <c r="N9296" s="11"/>
      <c r="O9296" s="11"/>
      <c r="P9296" s="11"/>
    </row>
    <row r="9297" spans="8:16" x14ac:dyDescent="0.25">
      <c r="H9297" s="12"/>
      <c r="I9297" s="12"/>
      <c r="J9297" s="12"/>
      <c r="K9297" s="12"/>
      <c r="L9297" s="12"/>
      <c r="M9297" s="11"/>
      <c r="N9297" s="11"/>
      <c r="O9297" s="11"/>
      <c r="P9297" s="11"/>
    </row>
    <row r="9298" spans="8:16" x14ac:dyDescent="0.25">
      <c r="H9298" s="12"/>
      <c r="I9298" s="12"/>
      <c r="J9298" s="12"/>
      <c r="K9298" s="12"/>
      <c r="L9298" s="12"/>
      <c r="M9298" s="11"/>
      <c r="N9298" s="11"/>
      <c r="O9298" s="11"/>
      <c r="P9298" s="11"/>
    </row>
    <row r="9299" spans="8:16" x14ac:dyDescent="0.25">
      <c r="H9299" s="12"/>
      <c r="I9299" s="12"/>
      <c r="J9299" s="12"/>
      <c r="K9299" s="12"/>
      <c r="L9299" s="12"/>
      <c r="M9299" s="11"/>
      <c r="N9299" s="11"/>
      <c r="O9299" s="11"/>
      <c r="P9299" s="11"/>
    </row>
    <row r="9300" spans="8:16" x14ac:dyDescent="0.25">
      <c r="H9300" s="12"/>
      <c r="I9300" s="12"/>
      <c r="J9300" s="12"/>
      <c r="K9300" s="12"/>
      <c r="L9300" s="12"/>
      <c r="M9300" s="11"/>
      <c r="N9300" s="11"/>
      <c r="O9300" s="11"/>
      <c r="P9300" s="11"/>
    </row>
    <row r="9301" spans="8:16" x14ac:dyDescent="0.25">
      <c r="H9301" s="12"/>
      <c r="I9301" s="12"/>
      <c r="J9301" s="12"/>
      <c r="K9301" s="12"/>
      <c r="L9301" s="12"/>
      <c r="M9301" s="11"/>
      <c r="N9301" s="11"/>
      <c r="O9301" s="11"/>
      <c r="P9301" s="11"/>
    </row>
    <row r="9302" spans="8:16" x14ac:dyDescent="0.25">
      <c r="H9302" s="12"/>
      <c r="I9302" s="12"/>
      <c r="J9302" s="12"/>
      <c r="K9302" s="12"/>
      <c r="L9302" s="12"/>
      <c r="M9302" s="11"/>
      <c r="N9302" s="11"/>
      <c r="O9302" s="11"/>
      <c r="P9302" s="11"/>
    </row>
    <row r="9303" spans="8:16" x14ac:dyDescent="0.25">
      <c r="H9303" s="12"/>
      <c r="I9303" s="12"/>
      <c r="J9303" s="12"/>
      <c r="K9303" s="12"/>
      <c r="L9303" s="12"/>
      <c r="M9303" s="11"/>
      <c r="N9303" s="11"/>
      <c r="O9303" s="11"/>
      <c r="P9303" s="11"/>
    </row>
    <row r="9304" spans="8:16" x14ac:dyDescent="0.25">
      <c r="H9304" s="12"/>
      <c r="I9304" s="12"/>
      <c r="J9304" s="12"/>
      <c r="K9304" s="12"/>
      <c r="L9304" s="12"/>
      <c r="M9304" s="11"/>
      <c r="N9304" s="11"/>
      <c r="O9304" s="11"/>
      <c r="P9304" s="11"/>
    </row>
    <row r="9305" spans="8:16" x14ac:dyDescent="0.25">
      <c r="H9305" s="12"/>
      <c r="I9305" s="12"/>
      <c r="J9305" s="12"/>
      <c r="K9305" s="12"/>
      <c r="L9305" s="12"/>
      <c r="M9305" s="11"/>
      <c r="N9305" s="11"/>
      <c r="O9305" s="11"/>
      <c r="P9305" s="11"/>
    </row>
    <row r="9306" spans="8:16" x14ac:dyDescent="0.25">
      <c r="H9306" s="12"/>
      <c r="I9306" s="12"/>
      <c r="J9306" s="12"/>
      <c r="K9306" s="12"/>
      <c r="L9306" s="12"/>
      <c r="M9306" s="11"/>
      <c r="N9306" s="11"/>
      <c r="O9306" s="11"/>
      <c r="P9306" s="11"/>
    </row>
    <row r="9307" spans="8:16" x14ac:dyDescent="0.25">
      <c r="H9307" s="12"/>
      <c r="I9307" s="12"/>
      <c r="J9307" s="12"/>
      <c r="K9307" s="12"/>
      <c r="L9307" s="12"/>
      <c r="M9307" s="11"/>
      <c r="N9307" s="11"/>
      <c r="O9307" s="11"/>
      <c r="P9307" s="11"/>
    </row>
    <row r="9308" spans="8:16" x14ac:dyDescent="0.25">
      <c r="H9308" s="12"/>
      <c r="I9308" s="12"/>
      <c r="J9308" s="12"/>
      <c r="K9308" s="12"/>
      <c r="L9308" s="12"/>
      <c r="M9308" s="11"/>
      <c r="N9308" s="11"/>
      <c r="O9308" s="11"/>
      <c r="P9308" s="11"/>
    </row>
    <row r="9309" spans="8:16" x14ac:dyDescent="0.25">
      <c r="H9309" s="12"/>
      <c r="I9309" s="12"/>
      <c r="J9309" s="12"/>
      <c r="K9309" s="12"/>
      <c r="L9309" s="12"/>
      <c r="M9309" s="11"/>
      <c r="N9309" s="11"/>
      <c r="O9309" s="11"/>
      <c r="P9309" s="11"/>
    </row>
    <row r="9310" spans="8:16" x14ac:dyDescent="0.25">
      <c r="H9310" s="12"/>
      <c r="I9310" s="12"/>
      <c r="J9310" s="12"/>
      <c r="K9310" s="12"/>
      <c r="L9310" s="12"/>
      <c r="M9310" s="11"/>
      <c r="N9310" s="11"/>
      <c r="O9310" s="11"/>
      <c r="P9310" s="11"/>
    </row>
    <row r="9311" spans="8:16" x14ac:dyDescent="0.25">
      <c r="H9311" s="12"/>
      <c r="I9311" s="12"/>
      <c r="J9311" s="12"/>
      <c r="K9311" s="12"/>
      <c r="L9311" s="12"/>
      <c r="M9311" s="11"/>
      <c r="N9311" s="11"/>
      <c r="O9311" s="11"/>
      <c r="P9311" s="11"/>
    </row>
    <row r="9312" spans="8:16" x14ac:dyDescent="0.25">
      <c r="H9312" s="12"/>
      <c r="I9312" s="12"/>
      <c r="J9312" s="12"/>
      <c r="K9312" s="12"/>
      <c r="L9312" s="12"/>
      <c r="M9312" s="11"/>
      <c r="N9312" s="11"/>
      <c r="O9312" s="11"/>
      <c r="P9312" s="11"/>
    </row>
    <row r="9313" spans="8:16" x14ac:dyDescent="0.25">
      <c r="H9313" s="12"/>
      <c r="I9313" s="12"/>
      <c r="J9313" s="12"/>
      <c r="K9313" s="12"/>
      <c r="L9313" s="12"/>
      <c r="M9313" s="11"/>
      <c r="N9313" s="11"/>
      <c r="O9313" s="11"/>
      <c r="P9313" s="11"/>
    </row>
    <row r="9314" spans="8:16" x14ac:dyDescent="0.25">
      <c r="H9314" s="12"/>
      <c r="I9314" s="12"/>
      <c r="J9314" s="12"/>
      <c r="K9314" s="12"/>
      <c r="L9314" s="12"/>
      <c r="M9314" s="11"/>
      <c r="N9314" s="11"/>
      <c r="O9314" s="11"/>
      <c r="P9314" s="11"/>
    </row>
    <row r="9315" spans="8:16" x14ac:dyDescent="0.25">
      <c r="H9315" s="12"/>
      <c r="I9315" s="12"/>
      <c r="J9315" s="12"/>
      <c r="K9315" s="12"/>
      <c r="L9315" s="12"/>
      <c r="M9315" s="11"/>
      <c r="N9315" s="11"/>
      <c r="O9315" s="11"/>
      <c r="P9315" s="11"/>
    </row>
    <row r="9316" spans="8:16" x14ac:dyDescent="0.25">
      <c r="H9316" s="12"/>
      <c r="I9316" s="12"/>
      <c r="J9316" s="12"/>
      <c r="K9316" s="12"/>
      <c r="L9316" s="12"/>
      <c r="M9316" s="11"/>
      <c r="N9316" s="11"/>
      <c r="O9316" s="11"/>
      <c r="P9316" s="11"/>
    </row>
    <row r="9317" spans="8:16" x14ac:dyDescent="0.25">
      <c r="H9317" s="12"/>
      <c r="I9317" s="12"/>
      <c r="J9317" s="12"/>
      <c r="K9317" s="12"/>
      <c r="L9317" s="12"/>
      <c r="M9317" s="11"/>
      <c r="N9317" s="11"/>
      <c r="O9317" s="11"/>
      <c r="P9317" s="11"/>
    </row>
    <row r="9318" spans="8:16" x14ac:dyDescent="0.25">
      <c r="H9318" s="12"/>
      <c r="I9318" s="12"/>
      <c r="J9318" s="12"/>
      <c r="K9318" s="12"/>
      <c r="L9318" s="12"/>
      <c r="M9318" s="11"/>
      <c r="N9318" s="11"/>
      <c r="O9318" s="11"/>
      <c r="P9318" s="11"/>
    </row>
    <row r="9319" spans="8:16" x14ac:dyDescent="0.25">
      <c r="H9319" s="12"/>
      <c r="I9319" s="12"/>
      <c r="J9319" s="12"/>
      <c r="K9319" s="12"/>
      <c r="L9319" s="12"/>
      <c r="M9319" s="11"/>
      <c r="N9319" s="11"/>
      <c r="O9319" s="11"/>
      <c r="P9319" s="11"/>
    </row>
    <row r="9320" spans="8:16" x14ac:dyDescent="0.25">
      <c r="H9320" s="12"/>
      <c r="I9320" s="12"/>
      <c r="J9320" s="12"/>
      <c r="K9320" s="12"/>
      <c r="L9320" s="12"/>
      <c r="M9320" s="11"/>
      <c r="N9320" s="11"/>
      <c r="O9320" s="11"/>
      <c r="P9320" s="11"/>
    </row>
    <row r="9321" spans="8:16" x14ac:dyDescent="0.25">
      <c r="H9321" s="12"/>
      <c r="I9321" s="12"/>
      <c r="J9321" s="12"/>
      <c r="K9321" s="12"/>
      <c r="L9321" s="12"/>
      <c r="M9321" s="11"/>
      <c r="N9321" s="11"/>
      <c r="O9321" s="11"/>
      <c r="P9321" s="11"/>
    </row>
    <row r="9322" spans="8:16" x14ac:dyDescent="0.25">
      <c r="H9322" s="12"/>
      <c r="I9322" s="12"/>
      <c r="J9322" s="12"/>
      <c r="K9322" s="12"/>
      <c r="L9322" s="12"/>
      <c r="M9322" s="11"/>
      <c r="N9322" s="11"/>
      <c r="O9322" s="11"/>
      <c r="P9322" s="11"/>
    </row>
    <row r="9323" spans="8:16" x14ac:dyDescent="0.25">
      <c r="H9323" s="12"/>
      <c r="I9323" s="12"/>
      <c r="J9323" s="12"/>
      <c r="K9323" s="12"/>
      <c r="L9323" s="12"/>
      <c r="M9323" s="11"/>
      <c r="N9323" s="11"/>
      <c r="O9323" s="11"/>
      <c r="P9323" s="11"/>
    </row>
    <row r="9324" spans="8:16" x14ac:dyDescent="0.25">
      <c r="H9324" s="12"/>
      <c r="I9324" s="12"/>
      <c r="J9324" s="12"/>
      <c r="K9324" s="12"/>
      <c r="L9324" s="12"/>
      <c r="M9324" s="11"/>
      <c r="N9324" s="11"/>
      <c r="O9324" s="11"/>
      <c r="P9324" s="11"/>
    </row>
    <row r="9325" spans="8:16" x14ac:dyDescent="0.25">
      <c r="H9325" s="12"/>
      <c r="I9325" s="12"/>
      <c r="J9325" s="12"/>
      <c r="K9325" s="12"/>
      <c r="L9325" s="12"/>
      <c r="M9325" s="11"/>
      <c r="N9325" s="11"/>
      <c r="O9325" s="11"/>
      <c r="P9325" s="11"/>
    </row>
    <row r="9326" spans="8:16" x14ac:dyDescent="0.25">
      <c r="H9326" s="12"/>
      <c r="I9326" s="12"/>
      <c r="J9326" s="12"/>
      <c r="K9326" s="12"/>
      <c r="L9326" s="12"/>
      <c r="M9326" s="11"/>
      <c r="N9326" s="11"/>
      <c r="O9326" s="11"/>
      <c r="P9326" s="11"/>
    </row>
    <row r="9327" spans="8:16" x14ac:dyDescent="0.25">
      <c r="H9327" s="12"/>
      <c r="I9327" s="12"/>
      <c r="J9327" s="12"/>
      <c r="K9327" s="12"/>
      <c r="L9327" s="12"/>
      <c r="M9327" s="11"/>
      <c r="N9327" s="11"/>
      <c r="O9327" s="11"/>
      <c r="P9327" s="11"/>
    </row>
    <row r="9328" spans="8:16" x14ac:dyDescent="0.25">
      <c r="H9328" s="12"/>
      <c r="I9328" s="12"/>
      <c r="J9328" s="12"/>
      <c r="K9328" s="12"/>
      <c r="L9328" s="12"/>
      <c r="M9328" s="11"/>
      <c r="N9328" s="11"/>
      <c r="O9328" s="11"/>
      <c r="P9328" s="11"/>
    </row>
    <row r="9329" spans="8:16" x14ac:dyDescent="0.25">
      <c r="H9329" s="12"/>
      <c r="I9329" s="12"/>
      <c r="J9329" s="12"/>
      <c r="K9329" s="12"/>
      <c r="L9329" s="12"/>
      <c r="M9329" s="11"/>
      <c r="N9329" s="11"/>
      <c r="O9329" s="11"/>
      <c r="P9329" s="11"/>
    </row>
    <row r="9330" spans="8:16" x14ac:dyDescent="0.25">
      <c r="H9330" s="12"/>
      <c r="I9330" s="12"/>
      <c r="J9330" s="12"/>
      <c r="K9330" s="12"/>
      <c r="L9330" s="12"/>
      <c r="M9330" s="11"/>
      <c r="N9330" s="11"/>
      <c r="O9330" s="11"/>
      <c r="P9330" s="11"/>
    </row>
    <row r="9331" spans="8:16" x14ac:dyDescent="0.25">
      <c r="H9331" s="12"/>
      <c r="I9331" s="12"/>
      <c r="J9331" s="12"/>
      <c r="K9331" s="12"/>
      <c r="L9331" s="12"/>
      <c r="M9331" s="11"/>
      <c r="N9331" s="11"/>
      <c r="O9331" s="11"/>
      <c r="P9331" s="11"/>
    </row>
    <row r="9332" spans="8:16" x14ac:dyDescent="0.25">
      <c r="H9332" s="12"/>
      <c r="I9332" s="12"/>
      <c r="J9332" s="12"/>
      <c r="K9332" s="12"/>
      <c r="L9332" s="12"/>
      <c r="M9332" s="11"/>
      <c r="N9332" s="11"/>
      <c r="O9332" s="11"/>
      <c r="P9332" s="11"/>
    </row>
    <row r="9333" spans="8:16" x14ac:dyDescent="0.25">
      <c r="H9333" s="12"/>
      <c r="I9333" s="12"/>
      <c r="J9333" s="12"/>
      <c r="K9333" s="12"/>
      <c r="L9333" s="12"/>
      <c r="M9333" s="11"/>
      <c r="N9333" s="11"/>
      <c r="O9333" s="11"/>
      <c r="P9333" s="11"/>
    </row>
    <row r="9334" spans="8:16" x14ac:dyDescent="0.25">
      <c r="H9334" s="12"/>
      <c r="I9334" s="12"/>
      <c r="J9334" s="12"/>
      <c r="K9334" s="12"/>
      <c r="L9334" s="12"/>
      <c r="M9334" s="11"/>
      <c r="N9334" s="11"/>
      <c r="O9334" s="11"/>
      <c r="P9334" s="11"/>
    </row>
    <row r="9335" spans="8:16" x14ac:dyDescent="0.25">
      <c r="H9335" s="12"/>
      <c r="I9335" s="12"/>
      <c r="J9335" s="12"/>
      <c r="K9335" s="12"/>
      <c r="L9335" s="12"/>
      <c r="M9335" s="11"/>
      <c r="N9335" s="11"/>
      <c r="O9335" s="11"/>
      <c r="P9335" s="11"/>
    </row>
    <row r="9336" spans="8:16" x14ac:dyDescent="0.25">
      <c r="H9336" s="12"/>
      <c r="I9336" s="12"/>
      <c r="J9336" s="12"/>
      <c r="K9336" s="12"/>
      <c r="L9336" s="12"/>
      <c r="M9336" s="11"/>
      <c r="N9336" s="11"/>
      <c r="O9336" s="11"/>
      <c r="P9336" s="11"/>
    </row>
    <row r="9337" spans="8:16" x14ac:dyDescent="0.25">
      <c r="H9337" s="12"/>
      <c r="I9337" s="12"/>
      <c r="J9337" s="12"/>
      <c r="K9337" s="12"/>
      <c r="L9337" s="12"/>
      <c r="M9337" s="11"/>
      <c r="N9337" s="11"/>
      <c r="O9337" s="11"/>
      <c r="P9337" s="11"/>
    </row>
    <row r="9338" spans="8:16" x14ac:dyDescent="0.25">
      <c r="H9338" s="12"/>
      <c r="I9338" s="12"/>
      <c r="J9338" s="12"/>
      <c r="K9338" s="12"/>
      <c r="L9338" s="12"/>
      <c r="M9338" s="11"/>
      <c r="N9338" s="11"/>
      <c r="O9338" s="11"/>
      <c r="P9338" s="11"/>
    </row>
    <row r="9339" spans="8:16" x14ac:dyDescent="0.25">
      <c r="H9339" s="12"/>
      <c r="I9339" s="12"/>
      <c r="J9339" s="12"/>
      <c r="K9339" s="12"/>
      <c r="L9339" s="12"/>
      <c r="M9339" s="11"/>
      <c r="N9339" s="11"/>
      <c r="O9339" s="11"/>
      <c r="P9339" s="11"/>
    </row>
    <row r="9340" spans="8:16" x14ac:dyDescent="0.25">
      <c r="H9340" s="12"/>
      <c r="I9340" s="12"/>
      <c r="J9340" s="12"/>
      <c r="K9340" s="12"/>
      <c r="L9340" s="12"/>
      <c r="M9340" s="11"/>
      <c r="N9340" s="11"/>
      <c r="O9340" s="11"/>
      <c r="P9340" s="11"/>
    </row>
    <row r="9341" spans="8:16" x14ac:dyDescent="0.25">
      <c r="H9341" s="12"/>
      <c r="I9341" s="12"/>
      <c r="J9341" s="12"/>
      <c r="K9341" s="12"/>
      <c r="L9341" s="12"/>
      <c r="M9341" s="11"/>
      <c r="N9341" s="11"/>
      <c r="O9341" s="11"/>
      <c r="P9341" s="11"/>
    </row>
    <row r="9342" spans="8:16" x14ac:dyDescent="0.25">
      <c r="H9342" s="12"/>
      <c r="I9342" s="12"/>
      <c r="J9342" s="12"/>
      <c r="K9342" s="12"/>
      <c r="L9342" s="12"/>
      <c r="M9342" s="11"/>
      <c r="N9342" s="11"/>
      <c r="O9342" s="11"/>
      <c r="P9342" s="11"/>
    </row>
    <row r="9343" spans="8:16" x14ac:dyDescent="0.25">
      <c r="H9343" s="12"/>
      <c r="I9343" s="12"/>
      <c r="J9343" s="12"/>
      <c r="K9343" s="12"/>
      <c r="L9343" s="12"/>
      <c r="M9343" s="11"/>
      <c r="N9343" s="11"/>
      <c r="O9343" s="11"/>
      <c r="P9343" s="11"/>
    </row>
    <row r="9344" spans="8:16" x14ac:dyDescent="0.25">
      <c r="H9344" s="12"/>
      <c r="I9344" s="12"/>
      <c r="J9344" s="12"/>
      <c r="K9344" s="12"/>
      <c r="L9344" s="12"/>
      <c r="M9344" s="11"/>
      <c r="N9344" s="11"/>
      <c r="O9344" s="11"/>
      <c r="P9344" s="11"/>
    </row>
    <row r="9345" spans="8:16" x14ac:dyDescent="0.25">
      <c r="H9345" s="12"/>
      <c r="I9345" s="12"/>
      <c r="J9345" s="12"/>
      <c r="K9345" s="12"/>
      <c r="L9345" s="12"/>
      <c r="M9345" s="11"/>
      <c r="N9345" s="11"/>
      <c r="O9345" s="11"/>
      <c r="P9345" s="11"/>
    </row>
    <row r="9346" spans="8:16" x14ac:dyDescent="0.25">
      <c r="H9346" s="12"/>
      <c r="I9346" s="12"/>
      <c r="J9346" s="12"/>
      <c r="K9346" s="12"/>
      <c r="L9346" s="12"/>
      <c r="M9346" s="11"/>
      <c r="N9346" s="11"/>
      <c r="O9346" s="11"/>
      <c r="P9346" s="11"/>
    </row>
    <row r="9347" spans="8:16" x14ac:dyDescent="0.25">
      <c r="H9347" s="12"/>
      <c r="I9347" s="12"/>
      <c r="J9347" s="12"/>
      <c r="K9347" s="12"/>
      <c r="L9347" s="12"/>
      <c r="M9347" s="11"/>
      <c r="N9347" s="11"/>
      <c r="O9347" s="11"/>
      <c r="P9347" s="11"/>
    </row>
    <row r="9348" spans="8:16" x14ac:dyDescent="0.25">
      <c r="H9348" s="12"/>
      <c r="I9348" s="12"/>
      <c r="J9348" s="12"/>
      <c r="K9348" s="12"/>
      <c r="L9348" s="12"/>
      <c r="M9348" s="11"/>
      <c r="N9348" s="11"/>
      <c r="O9348" s="11"/>
      <c r="P9348" s="11"/>
    </row>
    <row r="9349" spans="8:16" x14ac:dyDescent="0.25">
      <c r="H9349" s="12"/>
      <c r="I9349" s="12"/>
      <c r="J9349" s="12"/>
      <c r="K9349" s="12"/>
      <c r="L9349" s="12"/>
      <c r="M9349" s="11"/>
      <c r="N9349" s="11"/>
      <c r="O9349" s="11"/>
      <c r="P9349" s="11"/>
    </row>
    <row r="9350" spans="8:16" x14ac:dyDescent="0.25">
      <c r="H9350" s="12"/>
      <c r="I9350" s="12"/>
      <c r="J9350" s="12"/>
      <c r="K9350" s="12"/>
      <c r="L9350" s="12"/>
      <c r="M9350" s="11"/>
      <c r="N9350" s="11"/>
      <c r="O9350" s="11"/>
      <c r="P9350" s="11"/>
    </row>
    <row r="9351" spans="8:16" x14ac:dyDescent="0.25">
      <c r="H9351" s="12"/>
      <c r="I9351" s="12"/>
      <c r="J9351" s="12"/>
      <c r="K9351" s="12"/>
      <c r="L9351" s="12"/>
      <c r="M9351" s="11"/>
      <c r="N9351" s="11"/>
      <c r="O9351" s="11"/>
      <c r="P9351" s="11"/>
    </row>
    <row r="9352" spans="8:16" x14ac:dyDescent="0.25">
      <c r="H9352" s="12"/>
      <c r="I9352" s="12"/>
      <c r="J9352" s="12"/>
      <c r="K9352" s="12"/>
      <c r="L9352" s="12"/>
      <c r="M9352" s="11"/>
      <c r="N9352" s="11"/>
      <c r="O9352" s="11"/>
      <c r="P9352" s="11"/>
    </row>
    <row r="9353" spans="8:16" x14ac:dyDescent="0.25">
      <c r="H9353" s="12"/>
      <c r="I9353" s="12"/>
      <c r="J9353" s="12"/>
      <c r="K9353" s="12"/>
      <c r="L9353" s="12"/>
      <c r="M9353" s="11"/>
      <c r="N9353" s="11"/>
      <c r="O9353" s="11"/>
      <c r="P9353" s="11"/>
    </row>
    <row r="9354" spans="8:16" x14ac:dyDescent="0.25">
      <c r="H9354" s="12"/>
      <c r="I9354" s="12"/>
      <c r="J9354" s="12"/>
      <c r="K9354" s="12"/>
      <c r="L9354" s="12"/>
      <c r="M9354" s="11"/>
      <c r="N9354" s="11"/>
      <c r="O9354" s="11"/>
      <c r="P9354" s="11"/>
    </row>
    <row r="9355" spans="8:16" x14ac:dyDescent="0.25">
      <c r="H9355" s="12"/>
      <c r="I9355" s="12"/>
      <c r="J9355" s="12"/>
      <c r="K9355" s="12"/>
      <c r="L9355" s="12"/>
      <c r="M9355" s="11"/>
      <c r="N9355" s="11"/>
      <c r="O9355" s="11"/>
      <c r="P9355" s="11"/>
    </row>
    <row r="9356" spans="8:16" x14ac:dyDescent="0.25">
      <c r="H9356" s="12"/>
      <c r="I9356" s="12"/>
      <c r="J9356" s="12"/>
      <c r="K9356" s="12"/>
      <c r="L9356" s="12"/>
      <c r="M9356" s="11"/>
      <c r="N9356" s="11"/>
      <c r="O9356" s="11"/>
      <c r="P9356" s="11"/>
    </row>
    <row r="9357" spans="8:16" x14ac:dyDescent="0.25">
      <c r="H9357" s="12"/>
      <c r="I9357" s="12"/>
      <c r="J9357" s="12"/>
      <c r="K9357" s="12"/>
      <c r="L9357" s="12"/>
      <c r="M9357" s="11"/>
      <c r="N9357" s="11"/>
      <c r="O9357" s="11"/>
      <c r="P9357" s="11"/>
    </row>
    <row r="9358" spans="8:16" x14ac:dyDescent="0.25">
      <c r="H9358" s="12"/>
      <c r="I9358" s="12"/>
      <c r="J9358" s="12"/>
      <c r="K9358" s="12"/>
      <c r="L9358" s="12"/>
      <c r="M9358" s="11"/>
      <c r="N9358" s="11"/>
      <c r="O9358" s="11"/>
      <c r="P9358" s="11"/>
    </row>
    <row r="9359" spans="8:16" x14ac:dyDescent="0.25">
      <c r="H9359" s="12"/>
      <c r="I9359" s="12"/>
      <c r="J9359" s="12"/>
      <c r="K9359" s="12"/>
      <c r="L9359" s="12"/>
      <c r="M9359" s="11"/>
      <c r="N9359" s="11"/>
      <c r="O9359" s="11"/>
      <c r="P9359" s="11"/>
    </row>
    <row r="9360" spans="8:16" x14ac:dyDescent="0.25">
      <c r="H9360" s="12"/>
      <c r="I9360" s="12"/>
      <c r="J9360" s="12"/>
      <c r="K9360" s="12"/>
      <c r="L9360" s="12"/>
      <c r="M9360" s="11"/>
      <c r="N9360" s="11"/>
      <c r="O9360" s="11"/>
      <c r="P9360" s="11"/>
    </row>
    <row r="9361" spans="8:16" x14ac:dyDescent="0.25">
      <c r="H9361" s="12"/>
      <c r="I9361" s="12"/>
      <c r="J9361" s="12"/>
      <c r="K9361" s="12"/>
      <c r="L9361" s="12"/>
      <c r="M9361" s="11"/>
      <c r="N9361" s="11"/>
      <c r="O9361" s="11"/>
      <c r="P9361" s="11"/>
    </row>
    <row r="9362" spans="8:16" x14ac:dyDescent="0.25">
      <c r="H9362" s="12"/>
      <c r="I9362" s="12"/>
      <c r="J9362" s="12"/>
      <c r="K9362" s="12"/>
      <c r="L9362" s="12"/>
      <c r="M9362" s="11"/>
      <c r="N9362" s="11"/>
      <c r="O9362" s="11"/>
      <c r="P9362" s="11"/>
    </row>
    <row r="9363" spans="8:16" x14ac:dyDescent="0.25">
      <c r="H9363" s="12"/>
      <c r="I9363" s="12"/>
      <c r="J9363" s="12"/>
      <c r="K9363" s="12"/>
      <c r="L9363" s="12"/>
      <c r="M9363" s="11"/>
      <c r="N9363" s="11"/>
      <c r="O9363" s="11"/>
      <c r="P9363" s="11"/>
    </row>
    <row r="9364" spans="8:16" x14ac:dyDescent="0.25">
      <c r="H9364" s="12"/>
      <c r="I9364" s="12"/>
      <c r="J9364" s="12"/>
      <c r="K9364" s="12"/>
      <c r="L9364" s="12"/>
      <c r="M9364" s="11"/>
      <c r="N9364" s="11"/>
      <c r="O9364" s="11"/>
      <c r="P9364" s="11"/>
    </row>
    <row r="9365" spans="8:16" x14ac:dyDescent="0.25">
      <c r="H9365" s="12"/>
      <c r="I9365" s="12"/>
      <c r="J9365" s="12"/>
      <c r="K9365" s="12"/>
      <c r="L9365" s="12"/>
      <c r="M9365" s="11"/>
      <c r="N9365" s="11"/>
      <c r="O9365" s="11"/>
      <c r="P9365" s="11"/>
    </row>
    <row r="9366" spans="8:16" x14ac:dyDescent="0.25">
      <c r="H9366" s="12"/>
      <c r="I9366" s="12"/>
      <c r="J9366" s="12"/>
      <c r="K9366" s="12"/>
      <c r="L9366" s="12"/>
      <c r="M9366" s="11"/>
      <c r="N9366" s="11"/>
      <c r="O9366" s="11"/>
      <c r="P9366" s="11"/>
    </row>
    <row r="9367" spans="8:16" x14ac:dyDescent="0.25">
      <c r="H9367" s="12"/>
      <c r="I9367" s="12"/>
      <c r="J9367" s="12"/>
      <c r="K9367" s="12"/>
      <c r="L9367" s="12"/>
      <c r="M9367" s="11"/>
      <c r="N9367" s="11"/>
      <c r="O9367" s="11"/>
      <c r="P9367" s="11"/>
    </row>
    <row r="9368" spans="8:16" x14ac:dyDescent="0.25">
      <c r="H9368" s="12"/>
      <c r="I9368" s="12"/>
      <c r="J9368" s="12"/>
      <c r="K9368" s="12"/>
      <c r="L9368" s="12"/>
      <c r="M9368" s="11"/>
      <c r="N9368" s="11"/>
      <c r="O9368" s="11"/>
      <c r="P9368" s="11"/>
    </row>
    <row r="9369" spans="8:16" x14ac:dyDescent="0.25">
      <c r="H9369" s="12"/>
      <c r="I9369" s="12"/>
      <c r="J9369" s="12"/>
      <c r="K9369" s="12"/>
      <c r="L9369" s="12"/>
      <c r="M9369" s="11"/>
      <c r="N9369" s="11"/>
      <c r="O9369" s="11"/>
      <c r="P9369" s="11"/>
    </row>
    <row r="9370" spans="8:16" x14ac:dyDescent="0.25">
      <c r="H9370" s="12"/>
      <c r="I9370" s="12"/>
      <c r="J9370" s="12"/>
      <c r="K9370" s="12"/>
      <c r="L9370" s="12"/>
      <c r="M9370" s="11"/>
      <c r="N9370" s="11"/>
      <c r="O9370" s="11"/>
      <c r="P9370" s="11"/>
    </row>
    <row r="9371" spans="8:16" x14ac:dyDescent="0.25">
      <c r="H9371" s="12"/>
      <c r="I9371" s="12"/>
      <c r="J9371" s="12"/>
      <c r="K9371" s="12"/>
      <c r="L9371" s="12"/>
      <c r="M9371" s="11"/>
      <c r="N9371" s="11"/>
      <c r="O9371" s="11"/>
      <c r="P9371" s="11"/>
    </row>
    <row r="9372" spans="8:16" x14ac:dyDescent="0.25">
      <c r="H9372" s="12"/>
      <c r="I9372" s="12"/>
      <c r="J9372" s="12"/>
      <c r="K9372" s="12"/>
      <c r="L9372" s="12"/>
      <c r="M9372" s="11"/>
      <c r="N9372" s="11"/>
      <c r="O9372" s="11"/>
      <c r="P9372" s="11"/>
    </row>
    <row r="9373" spans="8:16" x14ac:dyDescent="0.25">
      <c r="H9373" s="12"/>
      <c r="I9373" s="12"/>
      <c r="J9373" s="12"/>
      <c r="K9373" s="12"/>
      <c r="L9373" s="12"/>
      <c r="M9373" s="11"/>
      <c r="N9373" s="11"/>
      <c r="O9373" s="11"/>
      <c r="P9373" s="11"/>
    </row>
    <row r="9374" spans="8:16" x14ac:dyDescent="0.25">
      <c r="H9374" s="12"/>
      <c r="I9374" s="12"/>
      <c r="J9374" s="12"/>
      <c r="K9374" s="12"/>
      <c r="L9374" s="12"/>
      <c r="M9374" s="11"/>
      <c r="N9374" s="11"/>
      <c r="O9374" s="11"/>
      <c r="P9374" s="11"/>
    </row>
    <row r="9375" spans="8:16" x14ac:dyDescent="0.25">
      <c r="H9375" s="12"/>
      <c r="I9375" s="12"/>
      <c r="J9375" s="12"/>
      <c r="K9375" s="12"/>
      <c r="L9375" s="12"/>
      <c r="M9375" s="11"/>
      <c r="N9375" s="11"/>
      <c r="O9375" s="11"/>
      <c r="P9375" s="11"/>
    </row>
    <row r="9376" spans="8:16" x14ac:dyDescent="0.25">
      <c r="H9376" s="12"/>
      <c r="I9376" s="12"/>
      <c r="J9376" s="12"/>
      <c r="K9376" s="12"/>
      <c r="L9376" s="12"/>
      <c r="M9376" s="11"/>
      <c r="N9376" s="11"/>
      <c r="O9376" s="11"/>
      <c r="P9376" s="11"/>
    </row>
    <row r="9377" spans="8:16" x14ac:dyDescent="0.25">
      <c r="H9377" s="12"/>
      <c r="I9377" s="12"/>
      <c r="J9377" s="12"/>
      <c r="K9377" s="12"/>
      <c r="L9377" s="12"/>
      <c r="M9377" s="11"/>
      <c r="N9377" s="11"/>
      <c r="O9377" s="11"/>
      <c r="P9377" s="11"/>
    </row>
    <row r="9378" spans="8:16" x14ac:dyDescent="0.25">
      <c r="H9378" s="12"/>
      <c r="I9378" s="12"/>
      <c r="J9378" s="12"/>
      <c r="K9378" s="12"/>
      <c r="L9378" s="12"/>
      <c r="M9378" s="11"/>
      <c r="N9378" s="11"/>
      <c r="O9378" s="11"/>
      <c r="P9378" s="11"/>
    </row>
    <row r="9379" spans="8:16" x14ac:dyDescent="0.25">
      <c r="H9379" s="12"/>
      <c r="I9379" s="12"/>
      <c r="J9379" s="12"/>
      <c r="K9379" s="12"/>
      <c r="L9379" s="12"/>
      <c r="M9379" s="11"/>
      <c r="N9379" s="11"/>
      <c r="O9379" s="11"/>
      <c r="P9379" s="11"/>
    </row>
    <row r="9380" spans="8:16" x14ac:dyDescent="0.25">
      <c r="H9380" s="12"/>
      <c r="I9380" s="12"/>
      <c r="J9380" s="12"/>
      <c r="K9380" s="12"/>
      <c r="L9380" s="12"/>
      <c r="M9380" s="11"/>
      <c r="N9380" s="11"/>
      <c r="O9380" s="11"/>
      <c r="P9380" s="11"/>
    </row>
    <row r="9381" spans="8:16" x14ac:dyDescent="0.25">
      <c r="H9381" s="12"/>
      <c r="I9381" s="12"/>
      <c r="J9381" s="12"/>
      <c r="K9381" s="12"/>
      <c r="L9381" s="12"/>
      <c r="M9381" s="11"/>
      <c r="N9381" s="11"/>
      <c r="O9381" s="11"/>
      <c r="P9381" s="11"/>
    </row>
    <row r="9382" spans="8:16" x14ac:dyDescent="0.25">
      <c r="H9382" s="12"/>
      <c r="I9382" s="12"/>
      <c r="J9382" s="12"/>
      <c r="K9382" s="12"/>
      <c r="L9382" s="12"/>
      <c r="M9382" s="11"/>
      <c r="N9382" s="11"/>
      <c r="O9382" s="11"/>
      <c r="P9382" s="11"/>
    </row>
    <row r="9383" spans="8:16" x14ac:dyDescent="0.25">
      <c r="H9383" s="12"/>
      <c r="I9383" s="12"/>
      <c r="J9383" s="12"/>
      <c r="K9383" s="12"/>
      <c r="L9383" s="12"/>
      <c r="M9383" s="11"/>
      <c r="N9383" s="11"/>
      <c r="O9383" s="11"/>
      <c r="P9383" s="11"/>
    </row>
    <row r="9384" spans="8:16" x14ac:dyDescent="0.25">
      <c r="H9384" s="12"/>
      <c r="I9384" s="12"/>
      <c r="J9384" s="12"/>
      <c r="K9384" s="12"/>
      <c r="L9384" s="12"/>
      <c r="M9384" s="11"/>
      <c r="N9384" s="11"/>
      <c r="O9384" s="11"/>
      <c r="P9384" s="11"/>
    </row>
    <row r="9385" spans="8:16" x14ac:dyDescent="0.25">
      <c r="H9385" s="12"/>
      <c r="I9385" s="12"/>
      <c r="J9385" s="12"/>
      <c r="K9385" s="12"/>
      <c r="L9385" s="12"/>
      <c r="M9385" s="11"/>
      <c r="N9385" s="11"/>
      <c r="O9385" s="11"/>
      <c r="P9385" s="11"/>
    </row>
    <row r="9386" spans="8:16" x14ac:dyDescent="0.25">
      <c r="H9386" s="12"/>
      <c r="I9386" s="12"/>
      <c r="J9386" s="12"/>
      <c r="K9386" s="12"/>
      <c r="L9386" s="12"/>
      <c r="M9386" s="11"/>
      <c r="N9386" s="11"/>
      <c r="O9386" s="11"/>
      <c r="P9386" s="11"/>
    </row>
    <row r="9387" spans="8:16" x14ac:dyDescent="0.25">
      <c r="H9387" s="12"/>
      <c r="I9387" s="12"/>
      <c r="J9387" s="12"/>
      <c r="K9387" s="12"/>
      <c r="L9387" s="12"/>
      <c r="M9387" s="11"/>
      <c r="N9387" s="11"/>
      <c r="O9387" s="11"/>
      <c r="P9387" s="11"/>
    </row>
    <row r="9388" spans="8:16" x14ac:dyDescent="0.25">
      <c r="H9388" s="12"/>
      <c r="I9388" s="12"/>
      <c r="J9388" s="12"/>
      <c r="K9388" s="12"/>
      <c r="L9388" s="12"/>
      <c r="M9388" s="11"/>
      <c r="N9388" s="11"/>
      <c r="O9388" s="11"/>
      <c r="P9388" s="11"/>
    </row>
    <row r="9389" spans="8:16" x14ac:dyDescent="0.25">
      <c r="H9389" s="12"/>
      <c r="I9389" s="12"/>
      <c r="J9389" s="12"/>
      <c r="K9389" s="12"/>
      <c r="L9389" s="12"/>
      <c r="M9389" s="11"/>
      <c r="N9389" s="11"/>
      <c r="O9389" s="11"/>
      <c r="P9389" s="11"/>
    </row>
    <row r="9390" spans="8:16" x14ac:dyDescent="0.25">
      <c r="H9390" s="12"/>
      <c r="I9390" s="12"/>
      <c r="J9390" s="12"/>
      <c r="K9390" s="12"/>
      <c r="L9390" s="12"/>
      <c r="M9390" s="11"/>
      <c r="N9390" s="11"/>
      <c r="O9390" s="11"/>
      <c r="P9390" s="11"/>
    </row>
    <row r="9391" spans="8:16" x14ac:dyDescent="0.25">
      <c r="H9391" s="12"/>
      <c r="I9391" s="12"/>
      <c r="J9391" s="12"/>
      <c r="K9391" s="12"/>
      <c r="L9391" s="12"/>
      <c r="M9391" s="11"/>
      <c r="N9391" s="11"/>
      <c r="O9391" s="11"/>
      <c r="P9391" s="11"/>
    </row>
    <row r="9392" spans="8:16" x14ac:dyDescent="0.25">
      <c r="H9392" s="12"/>
      <c r="I9392" s="12"/>
      <c r="J9392" s="12"/>
      <c r="K9392" s="12"/>
      <c r="L9392" s="12"/>
      <c r="M9392" s="11"/>
      <c r="N9392" s="11"/>
      <c r="O9392" s="11"/>
      <c r="P9392" s="11"/>
    </row>
    <row r="9393" spans="8:16" x14ac:dyDescent="0.25">
      <c r="H9393" s="12"/>
      <c r="I9393" s="12"/>
      <c r="J9393" s="12"/>
      <c r="K9393" s="12"/>
      <c r="L9393" s="12"/>
      <c r="M9393" s="11"/>
      <c r="N9393" s="11"/>
      <c r="O9393" s="11"/>
      <c r="P9393" s="11"/>
    </row>
    <row r="9394" spans="8:16" x14ac:dyDescent="0.25">
      <c r="H9394" s="12"/>
      <c r="I9394" s="12"/>
      <c r="J9394" s="12"/>
      <c r="K9394" s="12"/>
      <c r="L9394" s="12"/>
      <c r="M9394" s="11"/>
      <c r="N9394" s="11"/>
      <c r="O9394" s="11"/>
      <c r="P9394" s="11"/>
    </row>
    <row r="9395" spans="8:16" x14ac:dyDescent="0.25">
      <c r="H9395" s="12"/>
      <c r="I9395" s="12"/>
      <c r="J9395" s="12"/>
      <c r="K9395" s="12"/>
      <c r="L9395" s="12"/>
      <c r="M9395" s="11"/>
      <c r="N9395" s="11"/>
      <c r="O9395" s="11"/>
      <c r="P9395" s="11"/>
    </row>
    <row r="9396" spans="8:16" x14ac:dyDescent="0.25">
      <c r="H9396" s="12"/>
      <c r="I9396" s="12"/>
      <c r="J9396" s="12"/>
      <c r="K9396" s="12"/>
      <c r="L9396" s="12"/>
      <c r="M9396" s="11"/>
      <c r="N9396" s="11"/>
      <c r="O9396" s="11"/>
      <c r="P9396" s="11"/>
    </row>
    <row r="9397" spans="8:16" x14ac:dyDescent="0.25">
      <c r="H9397" s="12"/>
      <c r="I9397" s="12"/>
      <c r="J9397" s="12"/>
      <c r="K9397" s="12"/>
      <c r="L9397" s="12"/>
      <c r="M9397" s="11"/>
      <c r="N9397" s="11"/>
      <c r="O9397" s="11"/>
      <c r="P9397" s="11"/>
    </row>
    <row r="9398" spans="8:16" x14ac:dyDescent="0.25">
      <c r="H9398" s="12"/>
      <c r="I9398" s="12"/>
      <c r="J9398" s="12"/>
      <c r="K9398" s="12"/>
      <c r="L9398" s="12"/>
      <c r="M9398" s="11"/>
      <c r="N9398" s="11"/>
      <c r="O9398" s="11"/>
      <c r="P9398" s="11"/>
    </row>
    <row r="9399" spans="8:16" x14ac:dyDescent="0.25">
      <c r="H9399" s="12"/>
      <c r="I9399" s="12"/>
      <c r="J9399" s="12"/>
      <c r="K9399" s="12"/>
      <c r="L9399" s="12"/>
      <c r="M9399" s="11"/>
      <c r="N9399" s="11"/>
      <c r="O9399" s="11"/>
      <c r="P9399" s="11"/>
    </row>
    <row r="9400" spans="8:16" x14ac:dyDescent="0.25">
      <c r="H9400" s="12"/>
      <c r="I9400" s="12"/>
      <c r="J9400" s="12"/>
      <c r="K9400" s="12"/>
      <c r="L9400" s="12"/>
      <c r="M9400" s="11"/>
      <c r="N9400" s="11"/>
      <c r="O9400" s="11"/>
      <c r="P9400" s="11"/>
    </row>
    <row r="9401" spans="8:16" x14ac:dyDescent="0.25">
      <c r="H9401" s="12"/>
      <c r="I9401" s="12"/>
      <c r="J9401" s="12"/>
      <c r="K9401" s="12"/>
      <c r="L9401" s="12"/>
      <c r="M9401" s="11"/>
      <c r="N9401" s="11"/>
      <c r="O9401" s="11"/>
      <c r="P9401" s="11"/>
    </row>
    <row r="9402" spans="8:16" x14ac:dyDescent="0.25">
      <c r="H9402" s="12"/>
      <c r="I9402" s="12"/>
      <c r="J9402" s="12"/>
      <c r="K9402" s="12"/>
      <c r="L9402" s="12"/>
      <c r="M9402" s="11"/>
      <c r="N9402" s="11"/>
      <c r="O9402" s="11"/>
      <c r="P9402" s="11"/>
    </row>
    <row r="9403" spans="8:16" x14ac:dyDescent="0.25">
      <c r="H9403" s="12"/>
      <c r="I9403" s="12"/>
      <c r="J9403" s="12"/>
      <c r="K9403" s="12"/>
      <c r="L9403" s="12"/>
      <c r="M9403" s="11"/>
      <c r="N9403" s="11"/>
      <c r="O9403" s="11"/>
      <c r="P9403" s="11"/>
    </row>
    <row r="9404" spans="8:16" x14ac:dyDescent="0.25">
      <c r="H9404" s="12"/>
      <c r="I9404" s="12"/>
      <c r="J9404" s="12"/>
      <c r="K9404" s="12"/>
      <c r="L9404" s="12"/>
      <c r="M9404" s="11"/>
      <c r="N9404" s="11"/>
      <c r="O9404" s="11"/>
      <c r="P9404" s="11"/>
    </row>
    <row r="9405" spans="8:16" x14ac:dyDescent="0.25">
      <c r="H9405" s="12"/>
      <c r="I9405" s="12"/>
      <c r="J9405" s="12"/>
      <c r="K9405" s="12"/>
      <c r="L9405" s="12"/>
      <c r="M9405" s="11"/>
      <c r="N9405" s="11"/>
      <c r="O9405" s="11"/>
      <c r="P9405" s="11"/>
    </row>
    <row r="9406" spans="8:16" x14ac:dyDescent="0.25">
      <c r="H9406" s="12"/>
      <c r="I9406" s="12"/>
      <c r="J9406" s="12"/>
      <c r="K9406" s="12"/>
      <c r="L9406" s="12"/>
      <c r="M9406" s="11"/>
      <c r="N9406" s="11"/>
      <c r="O9406" s="11"/>
      <c r="P9406" s="11"/>
    </row>
    <row r="9407" spans="8:16" x14ac:dyDescent="0.25">
      <c r="H9407" s="12"/>
      <c r="I9407" s="12"/>
      <c r="J9407" s="12"/>
      <c r="K9407" s="12"/>
      <c r="L9407" s="12"/>
      <c r="M9407" s="11"/>
      <c r="N9407" s="11"/>
      <c r="O9407" s="11"/>
      <c r="P9407" s="11"/>
    </row>
    <row r="9408" spans="8:16" x14ac:dyDescent="0.25">
      <c r="H9408" s="12"/>
      <c r="I9408" s="12"/>
      <c r="J9408" s="12"/>
      <c r="K9408" s="12"/>
      <c r="L9408" s="12"/>
      <c r="M9408" s="11"/>
      <c r="N9408" s="11"/>
      <c r="O9408" s="11"/>
      <c r="P9408" s="11"/>
    </row>
    <row r="9409" spans="8:16" x14ac:dyDescent="0.25">
      <c r="H9409" s="12"/>
      <c r="I9409" s="12"/>
      <c r="J9409" s="12"/>
      <c r="K9409" s="12"/>
      <c r="L9409" s="12"/>
      <c r="M9409" s="11"/>
      <c r="N9409" s="11"/>
      <c r="O9409" s="11"/>
      <c r="P9409" s="11"/>
    </row>
    <row r="9410" spans="8:16" x14ac:dyDescent="0.25">
      <c r="H9410" s="12"/>
      <c r="I9410" s="12"/>
      <c r="J9410" s="12"/>
      <c r="K9410" s="12"/>
      <c r="L9410" s="12"/>
      <c r="M9410" s="11"/>
      <c r="N9410" s="11"/>
      <c r="O9410" s="11"/>
      <c r="P9410" s="11"/>
    </row>
    <row r="9411" spans="8:16" x14ac:dyDescent="0.25">
      <c r="H9411" s="12"/>
      <c r="I9411" s="12"/>
      <c r="J9411" s="12"/>
      <c r="K9411" s="12"/>
      <c r="L9411" s="12"/>
      <c r="M9411" s="11"/>
      <c r="N9411" s="11"/>
      <c r="O9411" s="11"/>
      <c r="P9411" s="11"/>
    </row>
    <row r="9412" spans="8:16" x14ac:dyDescent="0.25">
      <c r="H9412" s="12"/>
      <c r="I9412" s="12"/>
      <c r="J9412" s="12"/>
      <c r="K9412" s="12"/>
      <c r="L9412" s="12"/>
      <c r="M9412" s="11"/>
      <c r="N9412" s="11"/>
      <c r="O9412" s="11"/>
      <c r="P9412" s="11"/>
    </row>
    <row r="9413" spans="8:16" x14ac:dyDescent="0.25">
      <c r="H9413" s="12"/>
      <c r="I9413" s="12"/>
      <c r="J9413" s="12"/>
      <c r="K9413" s="12"/>
      <c r="L9413" s="12"/>
      <c r="M9413" s="11"/>
      <c r="N9413" s="11"/>
      <c r="O9413" s="11"/>
      <c r="P9413" s="11"/>
    </row>
    <row r="9414" spans="8:16" x14ac:dyDescent="0.25">
      <c r="H9414" s="12"/>
      <c r="I9414" s="12"/>
      <c r="J9414" s="12"/>
      <c r="K9414" s="12"/>
      <c r="L9414" s="12"/>
      <c r="M9414" s="11"/>
      <c r="N9414" s="11"/>
      <c r="O9414" s="11"/>
      <c r="P9414" s="11"/>
    </row>
    <row r="9415" spans="8:16" x14ac:dyDescent="0.25">
      <c r="H9415" s="12"/>
      <c r="I9415" s="12"/>
      <c r="J9415" s="12"/>
      <c r="K9415" s="12"/>
      <c r="L9415" s="12"/>
      <c r="M9415" s="11"/>
      <c r="N9415" s="11"/>
      <c r="O9415" s="11"/>
      <c r="P9415" s="11"/>
    </row>
    <row r="9416" spans="8:16" x14ac:dyDescent="0.25">
      <c r="H9416" s="12"/>
      <c r="I9416" s="12"/>
      <c r="J9416" s="12"/>
      <c r="K9416" s="12"/>
      <c r="L9416" s="12"/>
      <c r="M9416" s="11"/>
      <c r="N9416" s="11"/>
      <c r="O9416" s="11"/>
      <c r="P9416" s="11"/>
    </row>
    <row r="9417" spans="8:16" x14ac:dyDescent="0.25">
      <c r="H9417" s="12"/>
      <c r="I9417" s="12"/>
      <c r="J9417" s="12"/>
      <c r="K9417" s="12"/>
      <c r="L9417" s="12"/>
      <c r="M9417" s="11"/>
      <c r="N9417" s="11"/>
      <c r="O9417" s="11"/>
      <c r="P9417" s="11"/>
    </row>
    <row r="9418" spans="8:16" x14ac:dyDescent="0.25">
      <c r="H9418" s="12"/>
      <c r="I9418" s="12"/>
      <c r="J9418" s="12"/>
      <c r="K9418" s="12"/>
      <c r="L9418" s="12"/>
      <c r="M9418" s="11"/>
      <c r="N9418" s="11"/>
      <c r="O9418" s="11"/>
      <c r="P9418" s="11"/>
    </row>
    <row r="9419" spans="8:16" x14ac:dyDescent="0.25">
      <c r="H9419" s="12"/>
      <c r="I9419" s="12"/>
      <c r="J9419" s="12"/>
      <c r="K9419" s="12"/>
      <c r="L9419" s="12"/>
      <c r="M9419" s="11"/>
      <c r="N9419" s="11"/>
      <c r="O9419" s="11"/>
      <c r="P9419" s="11"/>
    </row>
    <row r="9420" spans="8:16" x14ac:dyDescent="0.25">
      <c r="H9420" s="12"/>
      <c r="I9420" s="12"/>
      <c r="J9420" s="12"/>
      <c r="K9420" s="12"/>
      <c r="L9420" s="12"/>
      <c r="M9420" s="11"/>
      <c r="N9420" s="11"/>
      <c r="O9420" s="11"/>
      <c r="P9420" s="11"/>
    </row>
    <row r="9421" spans="8:16" x14ac:dyDescent="0.25">
      <c r="H9421" s="12"/>
      <c r="I9421" s="12"/>
      <c r="J9421" s="12"/>
      <c r="K9421" s="12"/>
      <c r="L9421" s="12"/>
      <c r="M9421" s="11"/>
      <c r="N9421" s="11"/>
      <c r="O9421" s="11"/>
      <c r="P9421" s="11"/>
    </row>
    <row r="9422" spans="8:16" x14ac:dyDescent="0.25">
      <c r="H9422" s="12"/>
      <c r="I9422" s="12"/>
      <c r="J9422" s="12"/>
      <c r="K9422" s="12"/>
      <c r="L9422" s="12"/>
      <c r="M9422" s="11"/>
      <c r="N9422" s="11"/>
      <c r="O9422" s="11"/>
      <c r="P9422" s="11"/>
    </row>
    <row r="9423" spans="8:16" x14ac:dyDescent="0.25">
      <c r="H9423" s="12"/>
      <c r="I9423" s="12"/>
      <c r="J9423" s="12"/>
      <c r="K9423" s="12"/>
      <c r="L9423" s="12"/>
      <c r="M9423" s="11"/>
      <c r="N9423" s="11"/>
      <c r="O9423" s="11"/>
      <c r="P9423" s="11"/>
    </row>
    <row r="9424" spans="8:16" x14ac:dyDescent="0.25">
      <c r="H9424" s="12"/>
      <c r="I9424" s="12"/>
      <c r="J9424" s="12"/>
      <c r="K9424" s="12"/>
      <c r="L9424" s="12"/>
      <c r="M9424" s="11"/>
      <c r="N9424" s="11"/>
      <c r="O9424" s="11"/>
      <c r="P9424" s="11"/>
    </row>
    <row r="9425" spans="8:16" x14ac:dyDescent="0.25">
      <c r="H9425" s="12"/>
      <c r="I9425" s="12"/>
      <c r="J9425" s="12"/>
      <c r="K9425" s="12"/>
      <c r="L9425" s="12"/>
      <c r="M9425" s="11"/>
      <c r="N9425" s="11"/>
      <c r="O9425" s="11"/>
      <c r="P9425" s="11"/>
    </row>
    <row r="9426" spans="8:16" x14ac:dyDescent="0.25">
      <c r="H9426" s="12"/>
      <c r="I9426" s="12"/>
      <c r="J9426" s="12"/>
      <c r="K9426" s="12"/>
      <c r="L9426" s="12"/>
      <c r="M9426" s="11"/>
      <c r="N9426" s="11"/>
      <c r="O9426" s="11"/>
      <c r="P9426" s="11"/>
    </row>
    <row r="9427" spans="8:16" x14ac:dyDescent="0.25">
      <c r="H9427" s="12"/>
      <c r="I9427" s="12"/>
      <c r="J9427" s="12"/>
      <c r="K9427" s="12"/>
      <c r="L9427" s="12"/>
      <c r="M9427" s="11"/>
      <c r="N9427" s="11"/>
      <c r="O9427" s="11"/>
      <c r="P9427" s="11"/>
    </row>
    <row r="9428" spans="8:16" x14ac:dyDescent="0.25">
      <c r="H9428" s="12"/>
      <c r="I9428" s="12"/>
      <c r="J9428" s="12"/>
      <c r="K9428" s="12"/>
      <c r="L9428" s="12"/>
      <c r="M9428" s="11"/>
      <c r="N9428" s="11"/>
      <c r="O9428" s="11"/>
      <c r="P9428" s="11"/>
    </row>
    <row r="9429" spans="8:16" x14ac:dyDescent="0.25">
      <c r="H9429" s="12"/>
      <c r="I9429" s="12"/>
      <c r="J9429" s="12"/>
      <c r="K9429" s="12"/>
      <c r="L9429" s="12"/>
      <c r="M9429" s="11"/>
      <c r="N9429" s="11"/>
      <c r="O9429" s="11"/>
      <c r="P9429" s="11"/>
    </row>
    <row r="9430" spans="8:16" x14ac:dyDescent="0.25">
      <c r="H9430" s="12"/>
      <c r="I9430" s="12"/>
      <c r="J9430" s="12"/>
      <c r="K9430" s="12"/>
      <c r="L9430" s="12"/>
      <c r="M9430" s="11"/>
      <c r="N9430" s="11"/>
      <c r="O9430" s="11"/>
      <c r="P9430" s="11"/>
    </row>
    <row r="9431" spans="8:16" x14ac:dyDescent="0.25">
      <c r="H9431" s="12"/>
      <c r="I9431" s="12"/>
      <c r="J9431" s="12"/>
      <c r="K9431" s="12"/>
      <c r="L9431" s="12"/>
      <c r="M9431" s="11"/>
      <c r="N9431" s="11"/>
      <c r="O9431" s="11"/>
      <c r="P9431" s="11"/>
    </row>
    <row r="9432" spans="8:16" x14ac:dyDescent="0.25">
      <c r="H9432" s="12"/>
      <c r="I9432" s="12"/>
      <c r="J9432" s="12"/>
      <c r="K9432" s="12"/>
      <c r="L9432" s="12"/>
      <c r="M9432" s="11"/>
      <c r="N9432" s="11"/>
      <c r="O9432" s="11"/>
      <c r="P9432" s="11"/>
    </row>
    <row r="9433" spans="8:16" x14ac:dyDescent="0.25">
      <c r="H9433" s="12"/>
      <c r="I9433" s="12"/>
      <c r="J9433" s="12"/>
      <c r="K9433" s="12"/>
      <c r="L9433" s="12"/>
      <c r="M9433" s="11"/>
      <c r="N9433" s="11"/>
      <c r="O9433" s="11"/>
      <c r="P9433" s="11"/>
    </row>
    <row r="9434" spans="8:16" x14ac:dyDescent="0.25">
      <c r="H9434" s="12"/>
      <c r="I9434" s="12"/>
      <c r="J9434" s="12"/>
      <c r="K9434" s="12"/>
      <c r="L9434" s="12"/>
      <c r="M9434" s="11"/>
      <c r="N9434" s="11"/>
      <c r="O9434" s="11"/>
      <c r="P9434" s="11"/>
    </row>
    <row r="9435" spans="8:16" x14ac:dyDescent="0.25">
      <c r="H9435" s="12"/>
      <c r="I9435" s="12"/>
      <c r="J9435" s="12"/>
      <c r="K9435" s="12"/>
      <c r="L9435" s="12"/>
      <c r="M9435" s="11"/>
      <c r="N9435" s="11"/>
      <c r="O9435" s="11"/>
      <c r="P9435" s="11"/>
    </row>
    <row r="9436" spans="8:16" x14ac:dyDescent="0.25">
      <c r="H9436" s="12"/>
      <c r="I9436" s="12"/>
      <c r="J9436" s="12"/>
      <c r="K9436" s="12"/>
      <c r="L9436" s="12"/>
      <c r="M9436" s="11"/>
      <c r="N9436" s="11"/>
      <c r="O9436" s="11"/>
      <c r="P9436" s="11"/>
    </row>
    <row r="9437" spans="8:16" x14ac:dyDescent="0.25">
      <c r="H9437" s="12"/>
      <c r="I9437" s="12"/>
      <c r="J9437" s="12"/>
      <c r="K9437" s="12"/>
      <c r="L9437" s="12"/>
      <c r="M9437" s="11"/>
      <c r="N9437" s="11"/>
      <c r="O9437" s="11"/>
      <c r="P9437" s="11"/>
    </row>
    <row r="9438" spans="8:16" x14ac:dyDescent="0.25">
      <c r="H9438" s="12"/>
      <c r="I9438" s="12"/>
      <c r="J9438" s="12"/>
      <c r="K9438" s="12"/>
      <c r="L9438" s="12"/>
      <c r="M9438" s="11"/>
      <c r="N9438" s="11"/>
      <c r="O9438" s="11"/>
      <c r="P9438" s="11"/>
    </row>
    <row r="9439" spans="8:16" x14ac:dyDescent="0.25">
      <c r="H9439" s="12"/>
      <c r="I9439" s="12"/>
      <c r="J9439" s="12"/>
      <c r="K9439" s="12"/>
      <c r="L9439" s="12"/>
      <c r="M9439" s="11"/>
      <c r="N9439" s="11"/>
      <c r="O9439" s="11"/>
      <c r="P9439" s="11"/>
    </row>
    <row r="9440" spans="8:16" x14ac:dyDescent="0.25">
      <c r="H9440" s="12"/>
      <c r="I9440" s="12"/>
      <c r="J9440" s="12"/>
      <c r="K9440" s="12"/>
      <c r="L9440" s="12"/>
      <c r="M9440" s="11"/>
      <c r="N9440" s="11"/>
      <c r="O9440" s="11"/>
      <c r="P9440" s="11"/>
    </row>
    <row r="9441" spans="8:16" x14ac:dyDescent="0.25">
      <c r="H9441" s="12"/>
      <c r="I9441" s="12"/>
      <c r="J9441" s="12"/>
      <c r="K9441" s="12"/>
      <c r="L9441" s="12"/>
      <c r="M9441" s="11"/>
      <c r="N9441" s="11"/>
      <c r="O9441" s="11"/>
      <c r="P9441" s="11"/>
    </row>
    <row r="9442" spans="8:16" x14ac:dyDescent="0.25">
      <c r="H9442" s="12"/>
      <c r="I9442" s="12"/>
      <c r="J9442" s="12"/>
      <c r="K9442" s="12"/>
      <c r="L9442" s="12"/>
      <c r="M9442" s="11"/>
      <c r="N9442" s="11"/>
      <c r="O9442" s="11"/>
      <c r="P9442" s="11"/>
    </row>
    <row r="9443" spans="8:16" x14ac:dyDescent="0.25">
      <c r="H9443" s="12"/>
      <c r="I9443" s="12"/>
      <c r="J9443" s="12"/>
      <c r="K9443" s="12"/>
      <c r="L9443" s="12"/>
      <c r="M9443" s="11"/>
      <c r="N9443" s="11"/>
      <c r="O9443" s="11"/>
      <c r="P9443" s="11"/>
    </row>
    <row r="9444" spans="8:16" x14ac:dyDescent="0.25">
      <c r="H9444" s="12"/>
      <c r="I9444" s="12"/>
      <c r="J9444" s="12"/>
      <c r="K9444" s="12"/>
      <c r="L9444" s="12"/>
      <c r="M9444" s="11"/>
      <c r="N9444" s="11"/>
      <c r="O9444" s="11"/>
      <c r="P9444" s="11"/>
    </row>
    <row r="9445" spans="8:16" x14ac:dyDescent="0.25">
      <c r="H9445" s="12"/>
      <c r="I9445" s="12"/>
      <c r="J9445" s="12"/>
      <c r="K9445" s="12"/>
      <c r="L9445" s="12"/>
      <c r="M9445" s="11"/>
      <c r="N9445" s="11"/>
      <c r="O9445" s="11"/>
      <c r="P9445" s="11"/>
    </row>
    <row r="9446" spans="8:16" x14ac:dyDescent="0.25">
      <c r="H9446" s="12"/>
      <c r="I9446" s="12"/>
      <c r="J9446" s="12"/>
      <c r="K9446" s="12"/>
      <c r="L9446" s="12"/>
      <c r="M9446" s="11"/>
      <c r="N9446" s="11"/>
      <c r="O9446" s="11"/>
      <c r="P9446" s="11"/>
    </row>
    <row r="9447" spans="8:16" x14ac:dyDescent="0.25">
      <c r="H9447" s="12"/>
      <c r="I9447" s="12"/>
      <c r="J9447" s="12"/>
      <c r="K9447" s="12"/>
      <c r="L9447" s="12"/>
      <c r="M9447" s="11"/>
      <c r="N9447" s="11"/>
      <c r="O9447" s="11"/>
      <c r="P9447" s="11"/>
    </row>
    <row r="9448" spans="8:16" x14ac:dyDescent="0.25">
      <c r="H9448" s="12"/>
      <c r="I9448" s="12"/>
      <c r="J9448" s="12"/>
      <c r="K9448" s="12"/>
      <c r="L9448" s="12"/>
      <c r="M9448" s="11"/>
      <c r="N9448" s="11"/>
      <c r="O9448" s="11"/>
      <c r="P9448" s="11"/>
    </row>
    <row r="9449" spans="8:16" x14ac:dyDescent="0.25">
      <c r="H9449" s="12"/>
      <c r="I9449" s="12"/>
      <c r="J9449" s="12"/>
      <c r="K9449" s="12"/>
      <c r="L9449" s="12"/>
      <c r="M9449" s="11"/>
      <c r="N9449" s="11"/>
      <c r="O9449" s="11"/>
      <c r="P9449" s="11"/>
    </row>
    <row r="9450" spans="8:16" x14ac:dyDescent="0.25">
      <c r="H9450" s="12"/>
      <c r="I9450" s="12"/>
      <c r="J9450" s="12"/>
      <c r="K9450" s="12"/>
      <c r="L9450" s="12"/>
      <c r="M9450" s="11"/>
      <c r="N9450" s="11"/>
      <c r="O9450" s="11"/>
      <c r="P9450" s="11"/>
    </row>
    <row r="9451" spans="8:16" x14ac:dyDescent="0.25">
      <c r="H9451" s="12"/>
      <c r="I9451" s="12"/>
      <c r="J9451" s="12"/>
      <c r="K9451" s="12"/>
      <c r="L9451" s="12"/>
      <c r="M9451" s="11"/>
      <c r="N9451" s="11"/>
      <c r="O9451" s="11"/>
      <c r="P9451" s="11"/>
    </row>
    <row r="9452" spans="8:16" x14ac:dyDescent="0.25">
      <c r="H9452" s="12"/>
      <c r="I9452" s="12"/>
      <c r="J9452" s="12"/>
      <c r="K9452" s="12"/>
      <c r="L9452" s="12"/>
      <c r="M9452" s="11"/>
      <c r="N9452" s="11"/>
      <c r="O9452" s="11"/>
      <c r="P9452" s="11"/>
    </row>
    <row r="9453" spans="8:16" x14ac:dyDescent="0.25">
      <c r="H9453" s="12"/>
      <c r="I9453" s="12"/>
      <c r="J9453" s="12"/>
      <c r="K9453" s="12"/>
      <c r="L9453" s="12"/>
      <c r="M9453" s="11"/>
      <c r="N9453" s="11"/>
      <c r="O9453" s="11"/>
      <c r="P9453" s="11"/>
    </row>
    <row r="9454" spans="8:16" x14ac:dyDescent="0.25">
      <c r="H9454" s="12"/>
      <c r="I9454" s="12"/>
      <c r="J9454" s="12"/>
      <c r="K9454" s="12"/>
      <c r="L9454" s="12"/>
      <c r="M9454" s="11"/>
      <c r="N9454" s="11"/>
      <c r="O9454" s="11"/>
      <c r="P9454" s="11"/>
    </row>
    <row r="9455" spans="8:16" x14ac:dyDescent="0.25">
      <c r="H9455" s="12"/>
      <c r="I9455" s="12"/>
      <c r="J9455" s="12"/>
      <c r="K9455" s="12"/>
      <c r="L9455" s="12"/>
      <c r="M9455" s="11"/>
      <c r="N9455" s="11"/>
      <c r="O9455" s="11"/>
      <c r="P9455" s="11"/>
    </row>
    <row r="9456" spans="8:16" x14ac:dyDescent="0.25">
      <c r="H9456" s="12"/>
      <c r="I9456" s="12"/>
      <c r="J9456" s="12"/>
      <c r="K9456" s="12"/>
      <c r="L9456" s="12"/>
      <c r="M9456" s="11"/>
      <c r="N9456" s="11"/>
      <c r="O9456" s="11"/>
      <c r="P9456" s="11"/>
    </row>
    <row r="9457" spans="8:16" x14ac:dyDescent="0.25">
      <c r="H9457" s="12"/>
      <c r="I9457" s="12"/>
      <c r="J9457" s="12"/>
      <c r="K9457" s="12"/>
      <c r="L9457" s="12"/>
      <c r="M9457" s="11"/>
      <c r="N9457" s="11"/>
      <c r="O9457" s="11"/>
      <c r="P9457" s="11"/>
    </row>
    <row r="9458" spans="8:16" x14ac:dyDescent="0.25">
      <c r="H9458" s="12"/>
      <c r="I9458" s="12"/>
      <c r="J9458" s="12"/>
      <c r="K9458" s="12"/>
      <c r="L9458" s="12"/>
      <c r="M9458" s="11"/>
      <c r="N9458" s="11"/>
      <c r="O9458" s="11"/>
      <c r="P9458" s="11"/>
    </row>
    <row r="9459" spans="8:16" x14ac:dyDescent="0.25">
      <c r="H9459" s="12"/>
      <c r="I9459" s="12"/>
      <c r="J9459" s="12"/>
      <c r="K9459" s="12"/>
      <c r="L9459" s="12"/>
      <c r="M9459" s="11"/>
      <c r="N9459" s="11"/>
      <c r="O9459" s="11"/>
      <c r="P9459" s="11"/>
    </row>
    <row r="9460" spans="8:16" x14ac:dyDescent="0.25">
      <c r="H9460" s="12"/>
      <c r="I9460" s="12"/>
      <c r="J9460" s="12"/>
      <c r="K9460" s="12"/>
      <c r="L9460" s="12"/>
      <c r="M9460" s="11"/>
      <c r="N9460" s="11"/>
      <c r="O9460" s="11"/>
      <c r="P9460" s="11"/>
    </row>
    <row r="9461" spans="8:16" x14ac:dyDescent="0.25">
      <c r="H9461" s="12"/>
      <c r="I9461" s="12"/>
      <c r="J9461" s="12"/>
      <c r="K9461" s="12"/>
      <c r="L9461" s="12"/>
      <c r="M9461" s="11"/>
      <c r="N9461" s="11"/>
      <c r="O9461" s="11"/>
      <c r="P9461" s="11"/>
    </row>
    <row r="9462" spans="8:16" x14ac:dyDescent="0.25">
      <c r="H9462" s="12"/>
      <c r="I9462" s="12"/>
      <c r="J9462" s="12"/>
      <c r="K9462" s="12"/>
      <c r="L9462" s="12"/>
      <c r="M9462" s="11"/>
      <c r="N9462" s="11"/>
      <c r="O9462" s="11"/>
      <c r="P9462" s="11"/>
    </row>
    <row r="9463" spans="8:16" x14ac:dyDescent="0.25">
      <c r="H9463" s="12"/>
      <c r="I9463" s="12"/>
      <c r="J9463" s="12"/>
      <c r="K9463" s="12"/>
      <c r="L9463" s="12"/>
      <c r="M9463" s="11"/>
      <c r="N9463" s="11"/>
      <c r="O9463" s="11"/>
      <c r="P9463" s="11"/>
    </row>
    <row r="9464" spans="8:16" x14ac:dyDescent="0.25">
      <c r="H9464" s="12"/>
      <c r="I9464" s="12"/>
      <c r="J9464" s="12"/>
      <c r="K9464" s="12"/>
      <c r="L9464" s="12"/>
      <c r="M9464" s="11"/>
      <c r="N9464" s="11"/>
      <c r="O9464" s="11"/>
      <c r="P9464" s="11"/>
    </row>
    <row r="9465" spans="8:16" x14ac:dyDescent="0.25">
      <c r="H9465" s="12"/>
      <c r="I9465" s="12"/>
      <c r="J9465" s="12"/>
      <c r="K9465" s="12"/>
      <c r="L9465" s="12"/>
      <c r="M9465" s="11"/>
      <c r="N9465" s="11"/>
      <c r="O9465" s="11"/>
      <c r="P9465" s="11"/>
    </row>
    <row r="9466" spans="8:16" x14ac:dyDescent="0.25">
      <c r="H9466" s="12"/>
      <c r="I9466" s="12"/>
      <c r="J9466" s="12"/>
      <c r="K9466" s="12"/>
      <c r="L9466" s="12"/>
      <c r="M9466" s="11"/>
      <c r="N9466" s="11"/>
      <c r="O9466" s="11"/>
      <c r="P9466" s="11"/>
    </row>
    <row r="9467" spans="8:16" x14ac:dyDescent="0.25">
      <c r="H9467" s="12"/>
      <c r="I9467" s="12"/>
      <c r="J9467" s="12"/>
      <c r="K9467" s="12"/>
      <c r="L9467" s="12"/>
      <c r="M9467" s="11"/>
      <c r="N9467" s="11"/>
      <c r="O9467" s="11"/>
      <c r="P9467" s="11"/>
    </row>
    <row r="9468" spans="8:16" x14ac:dyDescent="0.25">
      <c r="H9468" s="12"/>
      <c r="I9468" s="12"/>
      <c r="J9468" s="12"/>
      <c r="K9468" s="12"/>
      <c r="L9468" s="12"/>
      <c r="M9468" s="11"/>
      <c r="N9468" s="11"/>
      <c r="O9468" s="11"/>
      <c r="P9468" s="11"/>
    </row>
    <row r="9469" spans="8:16" x14ac:dyDescent="0.25">
      <c r="H9469" s="12"/>
      <c r="I9469" s="12"/>
      <c r="J9469" s="12"/>
      <c r="K9469" s="12"/>
      <c r="L9469" s="12"/>
      <c r="M9469" s="11"/>
      <c r="N9469" s="11"/>
      <c r="O9469" s="11"/>
      <c r="P9469" s="11"/>
    </row>
    <row r="9470" spans="8:16" x14ac:dyDescent="0.25">
      <c r="H9470" s="12"/>
      <c r="I9470" s="12"/>
      <c r="J9470" s="12"/>
      <c r="K9470" s="12"/>
      <c r="L9470" s="12"/>
      <c r="M9470" s="11"/>
      <c r="N9470" s="11"/>
      <c r="O9470" s="11"/>
      <c r="P9470" s="11"/>
    </row>
    <row r="9471" spans="8:16" x14ac:dyDescent="0.25">
      <c r="H9471" s="12"/>
      <c r="I9471" s="12"/>
      <c r="J9471" s="12"/>
      <c r="K9471" s="12"/>
      <c r="L9471" s="12"/>
      <c r="M9471" s="11"/>
      <c r="N9471" s="11"/>
      <c r="O9471" s="11"/>
      <c r="P9471" s="11"/>
    </row>
    <row r="9472" spans="8:16" x14ac:dyDescent="0.25">
      <c r="H9472" s="12"/>
      <c r="I9472" s="12"/>
      <c r="J9472" s="12"/>
      <c r="K9472" s="12"/>
      <c r="L9472" s="12"/>
      <c r="M9472" s="11"/>
      <c r="N9472" s="11"/>
      <c r="O9472" s="11"/>
      <c r="P9472" s="11"/>
    </row>
    <row r="9473" spans="8:16" x14ac:dyDescent="0.25">
      <c r="H9473" s="12"/>
      <c r="I9473" s="12"/>
      <c r="J9473" s="12"/>
      <c r="K9473" s="12"/>
      <c r="L9473" s="12"/>
      <c r="M9473" s="11"/>
      <c r="N9473" s="11"/>
      <c r="O9473" s="11"/>
      <c r="P9473" s="11"/>
    </row>
    <row r="9474" spans="8:16" x14ac:dyDescent="0.25">
      <c r="H9474" s="12"/>
      <c r="I9474" s="12"/>
      <c r="J9474" s="12"/>
      <c r="K9474" s="12"/>
      <c r="L9474" s="12"/>
      <c r="M9474" s="11"/>
      <c r="N9474" s="11"/>
      <c r="O9474" s="11"/>
      <c r="P9474" s="11"/>
    </row>
    <row r="9475" spans="8:16" x14ac:dyDescent="0.25">
      <c r="H9475" s="12"/>
      <c r="I9475" s="12"/>
      <c r="J9475" s="12"/>
      <c r="K9475" s="12"/>
      <c r="L9475" s="12"/>
      <c r="M9475" s="11"/>
      <c r="N9475" s="11"/>
      <c r="O9475" s="11"/>
      <c r="P9475" s="11"/>
    </row>
    <row r="9476" spans="8:16" x14ac:dyDescent="0.25">
      <c r="H9476" s="12"/>
      <c r="I9476" s="12"/>
      <c r="J9476" s="12"/>
      <c r="K9476" s="12"/>
      <c r="L9476" s="12"/>
      <c r="M9476" s="11"/>
      <c r="N9476" s="11"/>
      <c r="O9476" s="11"/>
      <c r="P9476" s="11"/>
    </row>
    <row r="9477" spans="8:16" x14ac:dyDescent="0.25">
      <c r="H9477" s="12"/>
      <c r="I9477" s="12"/>
      <c r="J9477" s="12"/>
      <c r="K9477" s="12"/>
      <c r="L9477" s="12"/>
      <c r="M9477" s="11"/>
      <c r="N9477" s="11"/>
      <c r="O9477" s="11"/>
      <c r="P9477" s="11"/>
    </row>
    <row r="9478" spans="8:16" x14ac:dyDescent="0.25">
      <c r="H9478" s="12"/>
      <c r="I9478" s="12"/>
      <c r="J9478" s="12"/>
      <c r="K9478" s="12"/>
      <c r="L9478" s="12"/>
      <c r="M9478" s="11"/>
      <c r="N9478" s="11"/>
      <c r="O9478" s="11"/>
      <c r="P9478" s="11"/>
    </row>
    <row r="9479" spans="8:16" x14ac:dyDescent="0.25">
      <c r="H9479" s="12"/>
      <c r="I9479" s="12"/>
      <c r="J9479" s="12"/>
      <c r="K9479" s="12"/>
      <c r="L9479" s="12"/>
      <c r="M9479" s="11"/>
      <c r="N9479" s="11"/>
      <c r="O9479" s="11"/>
      <c r="P9479" s="11"/>
    </row>
    <row r="9480" spans="8:16" x14ac:dyDescent="0.25">
      <c r="H9480" s="12"/>
      <c r="I9480" s="12"/>
      <c r="J9480" s="12"/>
      <c r="K9480" s="12"/>
      <c r="L9480" s="12"/>
      <c r="M9480" s="11"/>
      <c r="N9480" s="11"/>
      <c r="O9480" s="11"/>
      <c r="P9480" s="11"/>
    </row>
    <row r="9481" spans="8:16" x14ac:dyDescent="0.25">
      <c r="H9481" s="12"/>
      <c r="I9481" s="12"/>
      <c r="J9481" s="12"/>
      <c r="K9481" s="12"/>
      <c r="L9481" s="12"/>
      <c r="M9481" s="11"/>
      <c r="N9481" s="11"/>
      <c r="O9481" s="11"/>
      <c r="P9481" s="11"/>
    </row>
    <row r="9482" spans="8:16" x14ac:dyDescent="0.25">
      <c r="H9482" s="12"/>
      <c r="I9482" s="12"/>
      <c r="J9482" s="12"/>
      <c r="K9482" s="12"/>
      <c r="L9482" s="12"/>
      <c r="M9482" s="11"/>
      <c r="N9482" s="11"/>
      <c r="O9482" s="11"/>
      <c r="P9482" s="11"/>
    </row>
    <row r="9483" spans="8:16" x14ac:dyDescent="0.25">
      <c r="H9483" s="12"/>
      <c r="I9483" s="12"/>
      <c r="J9483" s="12"/>
      <c r="K9483" s="12"/>
      <c r="L9483" s="12"/>
      <c r="M9483" s="11"/>
      <c r="N9483" s="11"/>
      <c r="O9483" s="11"/>
      <c r="P9483" s="11"/>
    </row>
    <row r="9484" spans="8:16" x14ac:dyDescent="0.25">
      <c r="H9484" s="12"/>
      <c r="I9484" s="12"/>
      <c r="J9484" s="12"/>
      <c r="K9484" s="12"/>
      <c r="L9484" s="12"/>
      <c r="M9484" s="11"/>
      <c r="N9484" s="11"/>
      <c r="O9484" s="11"/>
      <c r="P9484" s="11"/>
    </row>
    <row r="9485" spans="8:16" x14ac:dyDescent="0.25">
      <c r="H9485" s="12"/>
      <c r="I9485" s="12"/>
      <c r="J9485" s="12"/>
      <c r="K9485" s="12"/>
      <c r="L9485" s="12"/>
      <c r="M9485" s="11"/>
      <c r="N9485" s="11"/>
      <c r="O9485" s="11"/>
      <c r="P9485" s="11"/>
    </row>
    <row r="9486" spans="8:16" x14ac:dyDescent="0.25">
      <c r="H9486" s="12"/>
      <c r="I9486" s="12"/>
      <c r="J9486" s="12"/>
      <c r="K9486" s="12"/>
      <c r="L9486" s="12"/>
      <c r="M9486" s="11"/>
      <c r="N9486" s="11"/>
      <c r="O9486" s="11"/>
      <c r="P9486" s="11"/>
    </row>
    <row r="9487" spans="8:16" x14ac:dyDescent="0.25">
      <c r="H9487" s="12"/>
      <c r="I9487" s="12"/>
      <c r="J9487" s="12"/>
      <c r="K9487" s="12"/>
      <c r="L9487" s="12"/>
      <c r="M9487" s="11"/>
      <c r="N9487" s="11"/>
      <c r="O9487" s="11"/>
      <c r="P9487" s="11"/>
    </row>
    <row r="9488" spans="8:16" x14ac:dyDescent="0.25">
      <c r="H9488" s="12"/>
      <c r="I9488" s="12"/>
      <c r="J9488" s="12"/>
      <c r="K9488" s="12"/>
      <c r="L9488" s="12"/>
      <c r="M9488" s="11"/>
      <c r="N9488" s="11"/>
      <c r="O9488" s="11"/>
      <c r="P9488" s="11"/>
    </row>
    <row r="9489" spans="8:16" x14ac:dyDescent="0.25">
      <c r="H9489" s="12"/>
      <c r="I9489" s="12"/>
      <c r="J9489" s="12"/>
      <c r="K9489" s="12"/>
      <c r="L9489" s="12"/>
      <c r="M9489" s="11"/>
      <c r="N9489" s="11"/>
      <c r="O9489" s="11"/>
      <c r="P9489" s="11"/>
    </row>
    <row r="9490" spans="8:16" x14ac:dyDescent="0.25">
      <c r="H9490" s="12"/>
      <c r="I9490" s="12"/>
      <c r="J9490" s="12"/>
      <c r="K9490" s="12"/>
      <c r="L9490" s="12"/>
      <c r="M9490" s="11"/>
      <c r="N9490" s="11"/>
      <c r="O9490" s="11"/>
      <c r="P9490" s="11"/>
    </row>
    <row r="9491" spans="8:16" x14ac:dyDescent="0.25">
      <c r="H9491" s="12"/>
      <c r="I9491" s="12"/>
      <c r="J9491" s="12"/>
      <c r="K9491" s="12"/>
      <c r="L9491" s="12"/>
      <c r="M9491" s="11"/>
      <c r="N9491" s="11"/>
      <c r="O9491" s="11"/>
      <c r="P9491" s="11"/>
    </row>
    <row r="9492" spans="8:16" x14ac:dyDescent="0.25">
      <c r="H9492" s="12"/>
      <c r="I9492" s="12"/>
      <c r="J9492" s="12"/>
      <c r="K9492" s="12"/>
      <c r="L9492" s="12"/>
      <c r="M9492" s="11"/>
      <c r="N9492" s="11"/>
      <c r="O9492" s="11"/>
      <c r="P9492" s="11"/>
    </row>
    <row r="9493" spans="8:16" x14ac:dyDescent="0.25">
      <c r="H9493" s="12"/>
      <c r="I9493" s="12"/>
      <c r="J9493" s="12"/>
      <c r="K9493" s="12"/>
      <c r="L9493" s="12"/>
      <c r="M9493" s="11"/>
      <c r="N9493" s="11"/>
      <c r="O9493" s="11"/>
      <c r="P9493" s="11"/>
    </row>
    <row r="9494" spans="8:16" x14ac:dyDescent="0.25">
      <c r="H9494" s="12"/>
      <c r="I9494" s="12"/>
      <c r="J9494" s="12"/>
      <c r="K9494" s="12"/>
      <c r="L9494" s="12"/>
      <c r="M9494" s="11"/>
      <c r="N9494" s="11"/>
      <c r="O9494" s="11"/>
      <c r="P9494" s="11"/>
    </row>
    <row r="9495" spans="8:16" x14ac:dyDescent="0.25">
      <c r="H9495" s="12"/>
      <c r="I9495" s="12"/>
      <c r="J9495" s="12"/>
      <c r="K9495" s="12"/>
      <c r="L9495" s="12"/>
      <c r="M9495" s="11"/>
      <c r="N9495" s="11"/>
      <c r="O9495" s="11"/>
      <c r="P9495" s="11"/>
    </row>
    <row r="9496" spans="8:16" x14ac:dyDescent="0.25">
      <c r="H9496" s="12"/>
      <c r="I9496" s="12"/>
      <c r="J9496" s="12"/>
      <c r="K9496" s="12"/>
      <c r="L9496" s="12"/>
      <c r="M9496" s="11"/>
      <c r="N9496" s="11"/>
      <c r="O9496" s="11"/>
      <c r="P9496" s="11"/>
    </row>
    <row r="9497" spans="8:16" x14ac:dyDescent="0.25">
      <c r="H9497" s="12"/>
      <c r="I9497" s="12"/>
      <c r="J9497" s="12"/>
      <c r="K9497" s="12"/>
      <c r="L9497" s="12"/>
      <c r="M9497" s="11"/>
      <c r="N9497" s="11"/>
      <c r="O9497" s="11"/>
      <c r="P9497" s="11"/>
    </row>
    <row r="9498" spans="8:16" x14ac:dyDescent="0.25">
      <c r="H9498" s="12"/>
      <c r="I9498" s="12"/>
      <c r="J9498" s="12"/>
      <c r="K9498" s="12"/>
      <c r="L9498" s="12"/>
      <c r="M9498" s="11"/>
      <c r="N9498" s="11"/>
      <c r="O9498" s="11"/>
      <c r="P9498" s="11"/>
    </row>
    <row r="9499" spans="8:16" x14ac:dyDescent="0.25">
      <c r="H9499" s="12"/>
      <c r="I9499" s="12"/>
      <c r="J9499" s="12"/>
      <c r="K9499" s="12"/>
      <c r="L9499" s="12"/>
      <c r="M9499" s="11"/>
      <c r="N9499" s="11"/>
      <c r="O9499" s="11"/>
      <c r="P9499" s="11"/>
    </row>
    <row r="9500" spans="8:16" x14ac:dyDescent="0.25">
      <c r="H9500" s="12"/>
      <c r="I9500" s="12"/>
      <c r="J9500" s="12"/>
      <c r="K9500" s="12"/>
      <c r="L9500" s="12"/>
      <c r="M9500" s="11"/>
      <c r="N9500" s="11"/>
      <c r="O9500" s="11"/>
      <c r="P9500" s="11"/>
    </row>
    <row r="9501" spans="8:16" x14ac:dyDescent="0.25">
      <c r="H9501" s="12"/>
      <c r="I9501" s="12"/>
      <c r="J9501" s="12"/>
      <c r="K9501" s="12"/>
      <c r="L9501" s="12"/>
      <c r="M9501" s="11"/>
      <c r="N9501" s="11"/>
      <c r="O9501" s="11"/>
      <c r="P9501" s="11"/>
    </row>
    <row r="9502" spans="8:16" x14ac:dyDescent="0.25">
      <c r="H9502" s="12"/>
      <c r="I9502" s="12"/>
      <c r="J9502" s="12"/>
      <c r="K9502" s="12"/>
      <c r="L9502" s="12"/>
      <c r="M9502" s="11"/>
      <c r="N9502" s="11"/>
      <c r="O9502" s="11"/>
      <c r="P9502" s="11"/>
    </row>
    <row r="9503" spans="8:16" x14ac:dyDescent="0.25">
      <c r="H9503" s="12"/>
      <c r="I9503" s="12"/>
      <c r="J9503" s="12"/>
      <c r="K9503" s="12"/>
      <c r="L9503" s="12"/>
      <c r="M9503" s="11"/>
      <c r="N9503" s="11"/>
      <c r="O9503" s="11"/>
      <c r="P9503" s="11"/>
    </row>
    <row r="9504" spans="8:16" x14ac:dyDescent="0.25">
      <c r="H9504" s="12"/>
      <c r="I9504" s="12"/>
      <c r="J9504" s="12"/>
      <c r="K9504" s="12"/>
      <c r="L9504" s="12"/>
      <c r="M9504" s="11"/>
      <c r="N9504" s="11"/>
      <c r="O9504" s="11"/>
      <c r="P9504" s="11"/>
    </row>
    <row r="9505" spans="8:16" x14ac:dyDescent="0.25">
      <c r="H9505" s="12"/>
      <c r="I9505" s="12"/>
      <c r="J9505" s="12"/>
      <c r="K9505" s="12"/>
      <c r="L9505" s="12"/>
      <c r="M9505" s="11"/>
      <c r="N9505" s="11"/>
      <c r="O9505" s="11"/>
      <c r="P9505" s="11"/>
    </row>
    <row r="9506" spans="8:16" x14ac:dyDescent="0.25">
      <c r="H9506" s="12"/>
      <c r="I9506" s="12"/>
      <c r="J9506" s="12"/>
      <c r="K9506" s="12"/>
      <c r="L9506" s="12"/>
      <c r="M9506" s="11"/>
      <c r="N9506" s="11"/>
      <c r="O9506" s="11"/>
      <c r="P9506" s="11"/>
    </row>
    <row r="9507" spans="8:16" x14ac:dyDescent="0.25">
      <c r="H9507" s="12"/>
      <c r="I9507" s="12"/>
      <c r="J9507" s="12"/>
      <c r="K9507" s="12"/>
      <c r="L9507" s="12"/>
      <c r="M9507" s="11"/>
      <c r="N9507" s="11"/>
      <c r="O9507" s="11"/>
      <c r="P9507" s="11"/>
    </row>
    <row r="9508" spans="8:16" x14ac:dyDescent="0.25">
      <c r="H9508" s="12"/>
      <c r="I9508" s="12"/>
      <c r="J9508" s="12"/>
      <c r="K9508" s="12"/>
      <c r="L9508" s="12"/>
      <c r="M9508" s="11"/>
      <c r="N9508" s="11"/>
      <c r="O9508" s="11"/>
      <c r="P9508" s="11"/>
    </row>
    <row r="9509" spans="8:16" x14ac:dyDescent="0.25">
      <c r="H9509" s="12"/>
      <c r="I9509" s="12"/>
      <c r="J9509" s="12"/>
      <c r="K9509" s="12"/>
      <c r="L9509" s="12"/>
      <c r="M9509" s="11"/>
      <c r="N9509" s="11"/>
      <c r="O9509" s="11"/>
      <c r="P9509" s="11"/>
    </row>
    <row r="9510" spans="8:16" x14ac:dyDescent="0.25">
      <c r="H9510" s="12"/>
      <c r="I9510" s="12"/>
      <c r="J9510" s="12"/>
      <c r="K9510" s="12"/>
      <c r="L9510" s="12"/>
      <c r="M9510" s="11"/>
      <c r="N9510" s="11"/>
      <c r="O9510" s="11"/>
      <c r="P9510" s="11"/>
    </row>
    <row r="9511" spans="8:16" x14ac:dyDescent="0.25">
      <c r="H9511" s="12"/>
      <c r="I9511" s="12"/>
      <c r="J9511" s="12"/>
      <c r="K9511" s="12"/>
      <c r="L9511" s="12"/>
      <c r="M9511" s="11"/>
      <c r="N9511" s="11"/>
      <c r="O9511" s="11"/>
      <c r="P9511" s="11"/>
    </row>
    <row r="9512" spans="8:16" x14ac:dyDescent="0.25">
      <c r="H9512" s="12"/>
      <c r="I9512" s="12"/>
      <c r="J9512" s="12"/>
      <c r="K9512" s="12"/>
      <c r="L9512" s="12"/>
      <c r="M9512" s="11"/>
      <c r="N9512" s="11"/>
      <c r="O9512" s="11"/>
      <c r="P9512" s="11"/>
    </row>
    <row r="9513" spans="8:16" x14ac:dyDescent="0.25">
      <c r="H9513" s="12"/>
      <c r="I9513" s="12"/>
      <c r="J9513" s="12"/>
      <c r="K9513" s="12"/>
      <c r="L9513" s="12"/>
      <c r="M9513" s="11"/>
      <c r="N9513" s="11"/>
      <c r="O9513" s="11"/>
      <c r="P9513" s="11"/>
    </row>
    <row r="9514" spans="8:16" x14ac:dyDescent="0.25">
      <c r="H9514" s="12"/>
      <c r="I9514" s="12"/>
      <c r="J9514" s="12"/>
      <c r="K9514" s="12"/>
      <c r="L9514" s="12"/>
      <c r="M9514" s="11"/>
      <c r="N9514" s="11"/>
      <c r="O9514" s="11"/>
      <c r="P9514" s="11"/>
    </row>
    <row r="9515" spans="8:16" x14ac:dyDescent="0.25">
      <c r="H9515" s="12"/>
      <c r="I9515" s="12"/>
      <c r="J9515" s="12"/>
      <c r="K9515" s="12"/>
      <c r="L9515" s="12"/>
      <c r="M9515" s="11"/>
      <c r="N9515" s="11"/>
      <c r="O9515" s="11"/>
      <c r="P9515" s="11"/>
    </row>
    <row r="9516" spans="8:16" x14ac:dyDescent="0.25">
      <c r="H9516" s="12"/>
      <c r="I9516" s="12"/>
      <c r="J9516" s="12"/>
      <c r="K9516" s="12"/>
      <c r="L9516" s="12"/>
      <c r="M9516" s="11"/>
      <c r="N9516" s="11"/>
      <c r="O9516" s="11"/>
      <c r="P9516" s="11"/>
    </row>
    <row r="9517" spans="8:16" x14ac:dyDescent="0.25">
      <c r="H9517" s="12"/>
      <c r="I9517" s="12"/>
      <c r="J9517" s="12"/>
      <c r="K9517" s="12"/>
      <c r="L9517" s="12"/>
      <c r="M9517" s="11"/>
      <c r="N9517" s="11"/>
      <c r="O9517" s="11"/>
      <c r="P9517" s="11"/>
    </row>
    <row r="9518" spans="8:16" x14ac:dyDescent="0.25">
      <c r="H9518" s="12"/>
      <c r="I9518" s="12"/>
      <c r="J9518" s="12"/>
      <c r="K9518" s="12"/>
      <c r="L9518" s="12"/>
      <c r="M9518" s="11"/>
      <c r="N9518" s="11"/>
      <c r="O9518" s="11"/>
      <c r="P9518" s="11"/>
    </row>
    <row r="9519" spans="8:16" x14ac:dyDescent="0.25">
      <c r="H9519" s="12"/>
      <c r="I9519" s="12"/>
      <c r="J9519" s="12"/>
      <c r="K9519" s="12"/>
      <c r="L9519" s="12"/>
      <c r="M9519" s="11"/>
      <c r="N9519" s="11"/>
      <c r="O9519" s="11"/>
      <c r="P9519" s="11"/>
    </row>
    <row r="9520" spans="8:16" x14ac:dyDescent="0.25">
      <c r="H9520" s="12"/>
      <c r="I9520" s="12"/>
      <c r="J9520" s="12"/>
      <c r="K9520" s="12"/>
      <c r="L9520" s="12"/>
      <c r="M9520" s="11"/>
      <c r="N9520" s="11"/>
      <c r="O9520" s="11"/>
      <c r="P9520" s="11"/>
    </row>
    <row r="9521" spans="8:16" x14ac:dyDescent="0.25">
      <c r="H9521" s="12"/>
      <c r="I9521" s="12"/>
      <c r="J9521" s="12"/>
      <c r="K9521" s="12"/>
      <c r="L9521" s="12"/>
      <c r="M9521" s="11"/>
      <c r="N9521" s="11"/>
      <c r="O9521" s="11"/>
      <c r="P9521" s="11"/>
    </row>
    <row r="9522" spans="8:16" x14ac:dyDescent="0.25">
      <c r="H9522" s="12"/>
      <c r="I9522" s="12"/>
      <c r="J9522" s="12"/>
      <c r="K9522" s="12"/>
      <c r="L9522" s="12"/>
      <c r="M9522" s="11"/>
      <c r="N9522" s="11"/>
      <c r="O9522" s="11"/>
      <c r="P9522" s="11"/>
    </row>
    <row r="9523" spans="8:16" x14ac:dyDescent="0.25">
      <c r="H9523" s="12"/>
      <c r="I9523" s="12"/>
      <c r="J9523" s="12"/>
      <c r="K9523" s="12"/>
      <c r="L9523" s="12"/>
      <c r="M9523" s="11"/>
      <c r="N9523" s="11"/>
      <c r="O9523" s="11"/>
      <c r="P9523" s="11"/>
    </row>
    <row r="9524" spans="8:16" x14ac:dyDescent="0.25">
      <c r="H9524" s="12"/>
      <c r="I9524" s="12"/>
      <c r="J9524" s="12"/>
      <c r="K9524" s="12"/>
      <c r="L9524" s="12"/>
      <c r="M9524" s="11"/>
      <c r="N9524" s="11"/>
      <c r="O9524" s="11"/>
      <c r="P9524" s="11"/>
    </row>
    <row r="9525" spans="8:16" x14ac:dyDescent="0.25">
      <c r="H9525" s="12"/>
      <c r="I9525" s="12"/>
      <c r="J9525" s="12"/>
      <c r="K9525" s="12"/>
      <c r="L9525" s="12"/>
      <c r="M9525" s="11"/>
      <c r="N9525" s="11"/>
      <c r="O9525" s="11"/>
      <c r="P9525" s="11"/>
    </row>
    <row r="9526" spans="8:16" x14ac:dyDescent="0.25">
      <c r="H9526" s="12"/>
      <c r="I9526" s="12"/>
      <c r="J9526" s="12"/>
      <c r="K9526" s="12"/>
      <c r="L9526" s="12"/>
      <c r="M9526" s="11"/>
      <c r="N9526" s="11"/>
      <c r="O9526" s="11"/>
      <c r="P9526" s="11"/>
    </row>
    <row r="9527" spans="8:16" x14ac:dyDescent="0.25">
      <c r="H9527" s="12"/>
      <c r="I9527" s="12"/>
      <c r="J9527" s="12"/>
      <c r="K9527" s="12"/>
      <c r="L9527" s="12"/>
      <c r="M9527" s="11"/>
      <c r="N9527" s="11"/>
      <c r="O9527" s="11"/>
      <c r="P9527" s="11"/>
    </row>
    <row r="9528" spans="8:16" x14ac:dyDescent="0.25">
      <c r="H9528" s="12"/>
      <c r="I9528" s="12"/>
      <c r="J9528" s="12"/>
      <c r="K9528" s="12"/>
      <c r="L9528" s="12"/>
      <c r="M9528" s="11"/>
      <c r="N9528" s="11"/>
      <c r="O9528" s="11"/>
      <c r="P9528" s="11"/>
    </row>
    <row r="9529" spans="8:16" x14ac:dyDescent="0.25">
      <c r="H9529" s="12"/>
      <c r="I9529" s="12"/>
      <c r="J9529" s="12"/>
      <c r="K9529" s="12"/>
      <c r="L9529" s="12"/>
      <c r="M9529" s="11"/>
      <c r="N9529" s="11"/>
      <c r="O9529" s="11"/>
      <c r="P9529" s="11"/>
    </row>
    <row r="9530" spans="8:16" x14ac:dyDescent="0.25">
      <c r="H9530" s="12"/>
      <c r="I9530" s="12"/>
      <c r="J9530" s="12"/>
      <c r="K9530" s="12"/>
      <c r="L9530" s="12"/>
      <c r="M9530" s="11"/>
      <c r="N9530" s="11"/>
      <c r="O9530" s="11"/>
      <c r="P9530" s="11"/>
    </row>
    <row r="9531" spans="8:16" x14ac:dyDescent="0.25">
      <c r="H9531" s="12"/>
      <c r="I9531" s="12"/>
      <c r="J9531" s="12"/>
      <c r="K9531" s="12"/>
      <c r="L9531" s="12"/>
      <c r="M9531" s="11"/>
      <c r="N9531" s="11"/>
      <c r="O9531" s="11"/>
      <c r="P9531" s="11"/>
    </row>
    <row r="9532" spans="8:16" x14ac:dyDescent="0.25">
      <c r="H9532" s="12"/>
      <c r="I9532" s="12"/>
      <c r="J9532" s="12"/>
      <c r="K9532" s="12"/>
      <c r="L9532" s="12"/>
      <c r="M9532" s="11"/>
      <c r="N9532" s="11"/>
      <c r="O9532" s="11"/>
      <c r="P9532" s="11"/>
    </row>
    <row r="9533" spans="8:16" x14ac:dyDescent="0.25">
      <c r="H9533" s="12"/>
      <c r="I9533" s="12"/>
      <c r="J9533" s="12"/>
      <c r="K9533" s="12"/>
      <c r="L9533" s="12"/>
      <c r="M9533" s="11"/>
      <c r="N9533" s="11"/>
      <c r="O9533" s="11"/>
      <c r="P9533" s="11"/>
    </row>
    <row r="9534" spans="8:16" x14ac:dyDescent="0.25">
      <c r="H9534" s="12"/>
      <c r="I9534" s="12"/>
      <c r="J9534" s="12"/>
      <c r="K9534" s="12"/>
      <c r="L9534" s="12"/>
      <c r="M9534" s="11"/>
      <c r="N9534" s="11"/>
      <c r="O9534" s="11"/>
      <c r="P9534" s="11"/>
    </row>
    <row r="9535" spans="8:16" x14ac:dyDescent="0.25">
      <c r="H9535" s="12"/>
      <c r="I9535" s="12"/>
      <c r="J9535" s="12"/>
      <c r="K9535" s="12"/>
      <c r="L9535" s="12"/>
      <c r="M9535" s="11"/>
      <c r="N9535" s="11"/>
      <c r="O9535" s="11"/>
      <c r="P9535" s="11"/>
    </row>
    <row r="9536" spans="8:16" x14ac:dyDescent="0.25">
      <c r="H9536" s="12"/>
      <c r="I9536" s="12"/>
      <c r="J9536" s="12"/>
      <c r="K9536" s="12"/>
      <c r="L9536" s="12"/>
      <c r="M9536" s="11"/>
      <c r="N9536" s="11"/>
      <c r="O9536" s="11"/>
      <c r="P9536" s="11"/>
    </row>
    <row r="9537" spans="8:16" x14ac:dyDescent="0.25">
      <c r="H9537" s="12"/>
      <c r="I9537" s="12"/>
      <c r="J9537" s="12"/>
      <c r="K9537" s="12"/>
      <c r="L9537" s="12"/>
      <c r="M9537" s="11"/>
      <c r="N9537" s="11"/>
      <c r="O9537" s="11"/>
      <c r="P9537" s="11"/>
    </row>
    <row r="9538" spans="8:16" x14ac:dyDescent="0.25">
      <c r="H9538" s="12"/>
      <c r="I9538" s="12"/>
      <c r="J9538" s="12"/>
      <c r="K9538" s="12"/>
      <c r="L9538" s="12"/>
      <c r="M9538" s="11"/>
      <c r="N9538" s="11"/>
      <c r="O9538" s="11"/>
      <c r="P9538" s="11"/>
    </row>
    <row r="9539" spans="8:16" x14ac:dyDescent="0.25">
      <c r="H9539" s="12"/>
      <c r="I9539" s="12"/>
      <c r="J9539" s="12"/>
      <c r="K9539" s="12"/>
      <c r="L9539" s="12"/>
      <c r="M9539" s="11"/>
      <c r="N9539" s="11"/>
      <c r="O9539" s="11"/>
      <c r="P9539" s="11"/>
    </row>
    <row r="9540" spans="8:16" x14ac:dyDescent="0.25">
      <c r="H9540" s="12"/>
      <c r="I9540" s="12"/>
      <c r="J9540" s="12"/>
      <c r="K9540" s="12"/>
      <c r="L9540" s="12"/>
      <c r="M9540" s="11"/>
      <c r="N9540" s="11"/>
      <c r="O9540" s="11"/>
      <c r="P9540" s="11"/>
    </row>
    <row r="9541" spans="8:16" x14ac:dyDescent="0.25">
      <c r="H9541" s="12"/>
      <c r="I9541" s="12"/>
      <c r="J9541" s="12"/>
      <c r="K9541" s="12"/>
      <c r="L9541" s="12"/>
      <c r="M9541" s="11"/>
      <c r="N9541" s="11"/>
      <c r="O9541" s="11"/>
      <c r="P9541" s="11"/>
    </row>
    <row r="9542" spans="8:16" x14ac:dyDescent="0.25">
      <c r="H9542" s="12"/>
      <c r="I9542" s="12"/>
      <c r="J9542" s="12"/>
      <c r="K9542" s="12"/>
      <c r="L9542" s="12"/>
      <c r="M9542" s="11"/>
      <c r="N9542" s="11"/>
      <c r="O9542" s="11"/>
      <c r="P9542" s="11"/>
    </row>
    <row r="9543" spans="8:16" x14ac:dyDescent="0.25">
      <c r="H9543" s="12"/>
      <c r="I9543" s="12"/>
      <c r="J9543" s="12"/>
      <c r="K9543" s="12"/>
      <c r="L9543" s="12"/>
      <c r="M9543" s="11"/>
      <c r="N9543" s="11"/>
      <c r="O9543" s="11"/>
      <c r="P9543" s="11"/>
    </row>
    <row r="9544" spans="8:16" x14ac:dyDescent="0.25">
      <c r="H9544" s="12"/>
      <c r="I9544" s="12"/>
      <c r="J9544" s="12"/>
      <c r="K9544" s="12"/>
      <c r="L9544" s="12"/>
      <c r="M9544" s="11"/>
      <c r="N9544" s="11"/>
      <c r="O9544" s="11"/>
      <c r="P9544" s="11"/>
    </row>
    <row r="9545" spans="8:16" x14ac:dyDescent="0.25">
      <c r="H9545" s="12"/>
      <c r="I9545" s="12"/>
      <c r="J9545" s="12"/>
      <c r="K9545" s="12"/>
      <c r="L9545" s="12"/>
      <c r="M9545" s="11"/>
      <c r="N9545" s="11"/>
      <c r="O9545" s="11"/>
      <c r="P9545" s="11"/>
    </row>
    <row r="9546" spans="8:16" x14ac:dyDescent="0.25">
      <c r="H9546" s="12"/>
      <c r="I9546" s="12"/>
      <c r="J9546" s="12"/>
      <c r="K9546" s="12"/>
      <c r="L9546" s="12"/>
      <c r="M9546" s="11"/>
      <c r="N9546" s="11"/>
      <c r="O9546" s="11"/>
      <c r="P9546" s="11"/>
    </row>
    <row r="9547" spans="8:16" x14ac:dyDescent="0.25">
      <c r="H9547" s="12"/>
      <c r="I9547" s="12"/>
      <c r="J9547" s="12"/>
      <c r="K9547" s="12"/>
      <c r="L9547" s="12"/>
      <c r="M9547" s="11"/>
      <c r="N9547" s="11"/>
      <c r="O9547" s="11"/>
      <c r="P9547" s="11"/>
    </row>
    <row r="9548" spans="8:16" x14ac:dyDescent="0.25">
      <c r="H9548" s="12"/>
      <c r="I9548" s="12"/>
      <c r="J9548" s="12"/>
      <c r="K9548" s="12"/>
      <c r="L9548" s="12"/>
      <c r="M9548" s="11"/>
      <c r="N9548" s="11"/>
      <c r="O9548" s="11"/>
      <c r="P9548" s="11"/>
    </row>
    <row r="9549" spans="8:16" x14ac:dyDescent="0.25">
      <c r="H9549" s="12"/>
      <c r="I9549" s="12"/>
      <c r="J9549" s="12"/>
      <c r="K9549" s="12"/>
      <c r="L9549" s="12"/>
      <c r="M9549" s="11"/>
      <c r="N9549" s="11"/>
      <c r="O9549" s="11"/>
      <c r="P9549" s="11"/>
    </row>
    <row r="9550" spans="8:16" x14ac:dyDescent="0.25">
      <c r="H9550" s="12"/>
      <c r="I9550" s="12"/>
      <c r="J9550" s="12"/>
      <c r="K9550" s="12"/>
      <c r="L9550" s="12"/>
      <c r="M9550" s="11"/>
      <c r="N9550" s="11"/>
      <c r="O9550" s="11"/>
      <c r="P9550" s="11"/>
    </row>
    <row r="9551" spans="8:16" x14ac:dyDescent="0.25">
      <c r="H9551" s="12"/>
      <c r="I9551" s="12"/>
      <c r="J9551" s="12"/>
      <c r="K9551" s="12"/>
      <c r="L9551" s="12"/>
      <c r="M9551" s="11"/>
      <c r="N9551" s="11"/>
      <c r="O9551" s="11"/>
      <c r="P9551" s="11"/>
    </row>
    <row r="9552" spans="8:16" x14ac:dyDescent="0.25">
      <c r="H9552" s="12"/>
      <c r="I9552" s="12"/>
      <c r="J9552" s="12"/>
      <c r="K9552" s="12"/>
      <c r="L9552" s="12"/>
      <c r="M9552" s="11"/>
      <c r="N9552" s="11"/>
      <c r="O9552" s="11"/>
      <c r="P9552" s="11"/>
    </row>
    <row r="9553" spans="8:16" x14ac:dyDescent="0.25">
      <c r="H9553" s="12"/>
      <c r="I9553" s="12"/>
      <c r="J9553" s="12"/>
      <c r="K9553" s="12"/>
      <c r="L9553" s="12"/>
      <c r="M9553" s="11"/>
      <c r="N9553" s="11"/>
      <c r="O9553" s="11"/>
      <c r="P9553" s="11"/>
    </row>
    <row r="9554" spans="8:16" x14ac:dyDescent="0.25">
      <c r="H9554" s="12"/>
      <c r="I9554" s="12"/>
      <c r="J9554" s="12"/>
      <c r="K9554" s="12"/>
      <c r="L9554" s="12"/>
      <c r="M9554" s="11"/>
      <c r="N9554" s="11"/>
      <c r="O9554" s="11"/>
      <c r="P9554" s="11"/>
    </row>
    <row r="9555" spans="8:16" x14ac:dyDescent="0.25">
      <c r="H9555" s="12"/>
      <c r="I9555" s="12"/>
      <c r="J9555" s="12"/>
      <c r="K9555" s="12"/>
      <c r="L9555" s="12"/>
      <c r="M9555" s="11"/>
      <c r="N9555" s="11"/>
      <c r="O9555" s="11"/>
      <c r="P9555" s="11"/>
    </row>
    <row r="9556" spans="8:16" x14ac:dyDescent="0.25">
      <c r="H9556" s="12"/>
      <c r="I9556" s="12"/>
      <c r="J9556" s="12"/>
      <c r="K9556" s="12"/>
      <c r="L9556" s="12"/>
      <c r="M9556" s="11"/>
      <c r="N9556" s="11"/>
      <c r="O9556" s="11"/>
      <c r="P9556" s="11"/>
    </row>
    <row r="9557" spans="8:16" x14ac:dyDescent="0.25">
      <c r="H9557" s="12"/>
      <c r="I9557" s="12"/>
      <c r="J9557" s="12"/>
      <c r="K9557" s="12"/>
      <c r="L9557" s="12"/>
      <c r="M9557" s="11"/>
      <c r="N9557" s="11"/>
      <c r="O9557" s="11"/>
      <c r="P9557" s="11"/>
    </row>
    <row r="9558" spans="8:16" x14ac:dyDescent="0.25">
      <c r="H9558" s="12"/>
      <c r="I9558" s="12"/>
      <c r="J9558" s="12"/>
      <c r="K9558" s="12"/>
      <c r="L9558" s="12"/>
      <c r="M9558" s="11"/>
      <c r="N9558" s="11"/>
      <c r="O9558" s="11"/>
      <c r="P9558" s="11"/>
    </row>
    <row r="9559" spans="8:16" x14ac:dyDescent="0.25">
      <c r="H9559" s="12"/>
      <c r="I9559" s="12"/>
      <c r="J9559" s="12"/>
      <c r="K9559" s="12"/>
      <c r="L9559" s="12"/>
      <c r="M9559" s="11"/>
      <c r="N9559" s="11"/>
      <c r="O9559" s="11"/>
      <c r="P9559" s="11"/>
    </row>
    <row r="9560" spans="8:16" x14ac:dyDescent="0.25">
      <c r="H9560" s="12"/>
      <c r="I9560" s="12"/>
      <c r="J9560" s="12"/>
      <c r="K9560" s="12"/>
      <c r="L9560" s="12"/>
      <c r="M9560" s="11"/>
      <c r="N9560" s="11"/>
      <c r="O9560" s="11"/>
      <c r="P9560" s="11"/>
    </row>
    <row r="9561" spans="8:16" x14ac:dyDescent="0.25">
      <c r="H9561" s="12"/>
      <c r="I9561" s="12"/>
      <c r="J9561" s="12"/>
      <c r="K9561" s="12"/>
      <c r="L9561" s="12"/>
      <c r="M9561" s="11"/>
      <c r="N9561" s="11"/>
      <c r="O9561" s="11"/>
      <c r="P9561" s="11"/>
    </row>
    <row r="9562" spans="8:16" x14ac:dyDescent="0.25">
      <c r="H9562" s="12"/>
      <c r="I9562" s="12"/>
      <c r="J9562" s="12"/>
      <c r="K9562" s="12"/>
      <c r="L9562" s="12"/>
      <c r="M9562" s="11"/>
      <c r="N9562" s="11"/>
      <c r="O9562" s="11"/>
      <c r="P9562" s="11"/>
    </row>
    <row r="9563" spans="8:16" x14ac:dyDescent="0.25">
      <c r="H9563" s="12"/>
      <c r="I9563" s="12"/>
      <c r="J9563" s="12"/>
      <c r="K9563" s="12"/>
      <c r="L9563" s="12"/>
      <c r="M9563" s="11"/>
      <c r="N9563" s="11"/>
      <c r="O9563" s="11"/>
      <c r="P9563" s="11"/>
    </row>
    <row r="9564" spans="8:16" x14ac:dyDescent="0.25">
      <c r="H9564" s="12"/>
      <c r="I9564" s="12"/>
      <c r="J9564" s="12"/>
      <c r="K9564" s="12"/>
      <c r="L9564" s="12"/>
      <c r="M9564" s="11"/>
      <c r="N9564" s="11"/>
      <c r="O9564" s="11"/>
      <c r="P9564" s="11"/>
    </row>
    <row r="9565" spans="8:16" x14ac:dyDescent="0.25">
      <c r="H9565" s="12"/>
      <c r="I9565" s="12"/>
      <c r="J9565" s="12"/>
      <c r="K9565" s="12"/>
      <c r="L9565" s="12"/>
      <c r="M9565" s="11"/>
      <c r="N9565" s="11"/>
      <c r="O9565" s="11"/>
      <c r="P9565" s="11"/>
    </row>
    <row r="9566" spans="8:16" x14ac:dyDescent="0.25">
      <c r="H9566" s="12"/>
      <c r="I9566" s="12"/>
      <c r="J9566" s="12"/>
      <c r="K9566" s="12"/>
      <c r="L9566" s="12"/>
      <c r="M9566" s="11"/>
      <c r="N9566" s="11"/>
      <c r="O9566" s="11"/>
      <c r="P9566" s="11"/>
    </row>
    <row r="9567" spans="8:16" x14ac:dyDescent="0.25">
      <c r="H9567" s="12"/>
      <c r="I9567" s="12"/>
      <c r="J9567" s="12"/>
      <c r="K9567" s="12"/>
      <c r="L9567" s="12"/>
      <c r="M9567" s="11"/>
      <c r="N9567" s="11"/>
      <c r="O9567" s="11"/>
      <c r="P9567" s="11"/>
    </row>
    <row r="9568" spans="8:16" x14ac:dyDescent="0.25">
      <c r="H9568" s="12"/>
      <c r="I9568" s="12"/>
      <c r="J9568" s="12"/>
      <c r="K9568" s="12"/>
      <c r="L9568" s="12"/>
      <c r="M9568" s="11"/>
      <c r="N9568" s="11"/>
      <c r="O9568" s="11"/>
      <c r="P9568" s="11"/>
    </row>
    <row r="9569" spans="8:16" x14ac:dyDescent="0.25">
      <c r="H9569" s="12"/>
      <c r="I9569" s="12"/>
      <c r="J9569" s="12"/>
      <c r="K9569" s="12"/>
      <c r="L9569" s="12"/>
      <c r="M9569" s="11"/>
      <c r="N9569" s="11"/>
      <c r="O9569" s="11"/>
      <c r="P9569" s="11"/>
    </row>
    <row r="9570" spans="8:16" x14ac:dyDescent="0.25">
      <c r="H9570" s="12"/>
      <c r="I9570" s="12"/>
      <c r="J9570" s="12"/>
      <c r="K9570" s="12"/>
      <c r="L9570" s="12"/>
      <c r="M9570" s="11"/>
      <c r="N9570" s="11"/>
      <c r="O9570" s="11"/>
      <c r="P9570" s="11"/>
    </row>
    <row r="9571" spans="8:16" x14ac:dyDescent="0.25">
      <c r="H9571" s="12"/>
      <c r="I9571" s="12"/>
      <c r="J9571" s="12"/>
      <c r="K9571" s="12"/>
      <c r="L9571" s="12"/>
      <c r="M9571" s="11"/>
      <c r="N9571" s="11"/>
      <c r="O9571" s="11"/>
      <c r="P9571" s="11"/>
    </row>
    <row r="9572" spans="8:16" x14ac:dyDescent="0.25">
      <c r="H9572" s="12"/>
      <c r="I9572" s="12"/>
      <c r="J9572" s="12"/>
      <c r="K9572" s="12"/>
      <c r="L9572" s="12"/>
      <c r="M9572" s="11"/>
      <c r="N9572" s="11"/>
      <c r="O9572" s="11"/>
      <c r="P9572" s="11"/>
    </row>
    <row r="9573" spans="8:16" x14ac:dyDescent="0.25">
      <c r="H9573" s="12"/>
      <c r="I9573" s="12"/>
      <c r="J9573" s="12"/>
      <c r="K9573" s="12"/>
      <c r="L9573" s="12"/>
      <c r="M9573" s="11"/>
      <c r="N9573" s="11"/>
      <c r="O9573" s="11"/>
      <c r="P9573" s="11"/>
    </row>
    <row r="9574" spans="8:16" x14ac:dyDescent="0.25">
      <c r="H9574" s="12"/>
      <c r="I9574" s="12"/>
      <c r="J9574" s="12"/>
      <c r="K9574" s="12"/>
      <c r="L9574" s="12"/>
      <c r="M9574" s="11"/>
      <c r="N9574" s="11"/>
      <c r="O9574" s="11"/>
      <c r="P9574" s="11"/>
    </row>
    <row r="9575" spans="8:16" x14ac:dyDescent="0.25">
      <c r="H9575" s="12"/>
      <c r="I9575" s="12"/>
      <c r="J9575" s="12"/>
      <c r="K9575" s="12"/>
      <c r="L9575" s="12"/>
      <c r="M9575" s="11"/>
      <c r="N9575" s="11"/>
      <c r="O9575" s="11"/>
      <c r="P9575" s="11"/>
    </row>
    <row r="9576" spans="8:16" x14ac:dyDescent="0.25">
      <c r="H9576" s="12"/>
      <c r="I9576" s="12"/>
      <c r="J9576" s="12"/>
      <c r="K9576" s="12"/>
      <c r="L9576" s="12"/>
      <c r="M9576" s="11"/>
      <c r="N9576" s="11"/>
      <c r="O9576" s="11"/>
      <c r="P9576" s="11"/>
    </row>
    <row r="9577" spans="8:16" x14ac:dyDescent="0.25">
      <c r="H9577" s="12"/>
      <c r="I9577" s="12"/>
      <c r="J9577" s="12"/>
      <c r="K9577" s="12"/>
      <c r="L9577" s="12"/>
      <c r="M9577" s="11"/>
      <c r="N9577" s="11"/>
      <c r="O9577" s="11"/>
      <c r="P9577" s="11"/>
    </row>
    <row r="9578" spans="8:16" x14ac:dyDescent="0.25">
      <c r="H9578" s="12"/>
      <c r="I9578" s="12"/>
      <c r="J9578" s="12"/>
      <c r="K9578" s="12"/>
      <c r="L9578" s="12"/>
      <c r="M9578" s="11"/>
      <c r="N9578" s="11"/>
      <c r="O9578" s="11"/>
      <c r="P9578" s="11"/>
    </row>
    <row r="9579" spans="8:16" x14ac:dyDescent="0.25">
      <c r="H9579" s="12"/>
      <c r="I9579" s="12"/>
      <c r="J9579" s="12"/>
      <c r="K9579" s="12"/>
      <c r="L9579" s="12"/>
      <c r="M9579" s="11"/>
      <c r="N9579" s="11"/>
      <c r="O9579" s="11"/>
      <c r="P9579" s="11"/>
    </row>
    <row r="9580" spans="8:16" x14ac:dyDescent="0.25">
      <c r="H9580" s="12"/>
      <c r="I9580" s="12"/>
      <c r="J9580" s="12"/>
      <c r="K9580" s="12"/>
      <c r="L9580" s="12"/>
      <c r="M9580" s="11"/>
      <c r="N9580" s="11"/>
      <c r="O9580" s="11"/>
      <c r="P9580" s="11"/>
    </row>
    <row r="9581" spans="8:16" x14ac:dyDescent="0.25">
      <c r="H9581" s="12"/>
      <c r="I9581" s="12"/>
      <c r="J9581" s="12"/>
      <c r="K9581" s="12"/>
      <c r="L9581" s="12"/>
      <c r="M9581" s="11"/>
      <c r="N9581" s="11"/>
      <c r="O9581" s="11"/>
      <c r="P9581" s="11"/>
    </row>
    <row r="9582" spans="8:16" x14ac:dyDescent="0.25">
      <c r="H9582" s="12"/>
      <c r="I9582" s="12"/>
      <c r="J9582" s="12"/>
      <c r="K9582" s="12"/>
      <c r="L9582" s="12"/>
      <c r="M9582" s="11"/>
      <c r="N9582" s="11"/>
      <c r="O9582" s="11"/>
      <c r="P9582" s="11"/>
    </row>
    <row r="9583" spans="8:16" x14ac:dyDescent="0.25">
      <c r="H9583" s="12"/>
      <c r="I9583" s="12"/>
      <c r="J9583" s="12"/>
      <c r="K9583" s="12"/>
      <c r="L9583" s="12"/>
      <c r="M9583" s="11"/>
      <c r="N9583" s="11"/>
      <c r="O9583" s="11"/>
      <c r="P9583" s="11"/>
    </row>
    <row r="9584" spans="8:16" x14ac:dyDescent="0.25">
      <c r="H9584" s="12"/>
      <c r="I9584" s="12"/>
      <c r="J9584" s="12"/>
      <c r="K9584" s="12"/>
      <c r="L9584" s="12"/>
      <c r="M9584" s="11"/>
      <c r="N9584" s="11"/>
      <c r="O9584" s="11"/>
      <c r="P9584" s="11"/>
    </row>
    <row r="9585" spans="8:16" x14ac:dyDescent="0.25">
      <c r="H9585" s="12"/>
      <c r="I9585" s="12"/>
      <c r="J9585" s="12"/>
      <c r="K9585" s="12"/>
      <c r="L9585" s="12"/>
      <c r="M9585" s="11"/>
      <c r="N9585" s="11"/>
      <c r="O9585" s="11"/>
      <c r="P9585" s="11"/>
    </row>
    <row r="9586" spans="8:16" x14ac:dyDescent="0.25">
      <c r="H9586" s="12"/>
      <c r="I9586" s="12"/>
      <c r="J9586" s="12"/>
      <c r="K9586" s="12"/>
      <c r="L9586" s="12"/>
      <c r="M9586" s="11"/>
      <c r="N9586" s="11"/>
      <c r="O9586" s="11"/>
      <c r="P9586" s="11"/>
    </row>
    <row r="9587" spans="8:16" x14ac:dyDescent="0.25">
      <c r="H9587" s="12"/>
      <c r="I9587" s="12"/>
      <c r="J9587" s="12"/>
      <c r="K9587" s="12"/>
      <c r="L9587" s="12"/>
      <c r="M9587" s="11"/>
      <c r="N9587" s="11"/>
      <c r="O9587" s="11"/>
      <c r="P9587" s="11"/>
    </row>
    <row r="9588" spans="8:16" x14ac:dyDescent="0.25">
      <c r="H9588" s="12"/>
      <c r="I9588" s="12"/>
      <c r="J9588" s="12"/>
      <c r="K9588" s="12"/>
      <c r="L9588" s="12"/>
      <c r="M9588" s="11"/>
      <c r="N9588" s="11"/>
      <c r="O9588" s="11"/>
      <c r="P9588" s="11"/>
    </row>
    <row r="9589" spans="8:16" x14ac:dyDescent="0.25">
      <c r="H9589" s="12"/>
      <c r="I9589" s="12"/>
      <c r="J9589" s="12"/>
      <c r="K9589" s="12"/>
      <c r="L9589" s="12"/>
      <c r="M9589" s="11"/>
      <c r="N9589" s="11"/>
      <c r="O9589" s="11"/>
      <c r="P9589" s="11"/>
    </row>
    <row r="9590" spans="8:16" x14ac:dyDescent="0.25">
      <c r="H9590" s="12"/>
      <c r="I9590" s="12"/>
      <c r="J9590" s="12"/>
      <c r="K9590" s="12"/>
      <c r="L9590" s="12"/>
      <c r="M9590" s="11"/>
      <c r="N9590" s="11"/>
      <c r="O9590" s="11"/>
      <c r="P9590" s="11"/>
    </row>
    <row r="9591" spans="8:16" x14ac:dyDescent="0.25">
      <c r="H9591" s="12"/>
      <c r="I9591" s="12"/>
      <c r="J9591" s="12"/>
      <c r="K9591" s="12"/>
      <c r="L9591" s="12"/>
      <c r="M9591" s="11"/>
      <c r="N9591" s="11"/>
      <c r="O9591" s="11"/>
      <c r="P9591" s="11"/>
    </row>
    <row r="9592" spans="8:16" x14ac:dyDescent="0.25">
      <c r="H9592" s="12"/>
      <c r="I9592" s="12"/>
      <c r="J9592" s="12"/>
      <c r="K9592" s="12"/>
      <c r="L9592" s="12"/>
      <c r="M9592" s="11"/>
      <c r="N9592" s="11"/>
      <c r="O9592" s="11"/>
      <c r="P9592" s="11"/>
    </row>
    <row r="9593" spans="8:16" x14ac:dyDescent="0.25">
      <c r="H9593" s="12"/>
      <c r="I9593" s="12"/>
      <c r="J9593" s="12"/>
      <c r="K9593" s="12"/>
      <c r="L9593" s="12"/>
      <c r="M9593" s="11"/>
      <c r="N9593" s="11"/>
      <c r="O9593" s="11"/>
      <c r="P9593" s="11"/>
    </row>
    <row r="9594" spans="8:16" x14ac:dyDescent="0.25">
      <c r="H9594" s="12"/>
      <c r="I9594" s="12"/>
      <c r="J9594" s="12"/>
      <c r="K9594" s="12"/>
      <c r="L9594" s="12"/>
      <c r="M9594" s="11"/>
      <c r="N9594" s="11"/>
      <c r="O9594" s="11"/>
      <c r="P9594" s="11"/>
    </row>
    <row r="9595" spans="8:16" x14ac:dyDescent="0.25">
      <c r="H9595" s="12"/>
      <c r="I9595" s="12"/>
      <c r="J9595" s="12"/>
      <c r="K9595" s="12"/>
      <c r="L9595" s="12"/>
      <c r="M9595" s="11"/>
      <c r="N9595" s="11"/>
      <c r="O9595" s="11"/>
      <c r="P9595" s="11"/>
    </row>
    <row r="9596" spans="8:16" x14ac:dyDescent="0.25">
      <c r="H9596" s="12"/>
      <c r="I9596" s="12"/>
      <c r="J9596" s="12"/>
      <c r="K9596" s="12"/>
      <c r="L9596" s="12"/>
      <c r="M9596" s="11"/>
      <c r="N9596" s="11"/>
      <c r="O9596" s="11"/>
      <c r="P9596" s="11"/>
    </row>
    <row r="9597" spans="8:16" x14ac:dyDescent="0.25">
      <c r="H9597" s="12"/>
      <c r="I9597" s="12"/>
      <c r="J9597" s="12"/>
      <c r="K9597" s="12"/>
      <c r="L9597" s="12"/>
      <c r="M9597" s="11"/>
      <c r="N9597" s="11"/>
      <c r="O9597" s="11"/>
      <c r="P9597" s="11"/>
    </row>
    <row r="9598" spans="8:16" x14ac:dyDescent="0.25">
      <c r="H9598" s="12"/>
      <c r="I9598" s="12"/>
      <c r="J9598" s="12"/>
      <c r="K9598" s="12"/>
      <c r="L9598" s="12"/>
      <c r="M9598" s="11"/>
      <c r="N9598" s="11"/>
      <c r="O9598" s="11"/>
      <c r="P9598" s="11"/>
    </row>
    <row r="9599" spans="8:16" x14ac:dyDescent="0.25">
      <c r="H9599" s="12"/>
      <c r="I9599" s="12"/>
      <c r="J9599" s="12"/>
      <c r="K9599" s="12"/>
      <c r="L9599" s="12"/>
      <c r="M9599" s="11"/>
      <c r="N9599" s="11"/>
      <c r="O9599" s="11"/>
      <c r="P9599" s="11"/>
    </row>
    <row r="9600" spans="8:16" x14ac:dyDescent="0.25">
      <c r="H9600" s="12"/>
      <c r="I9600" s="12"/>
      <c r="J9600" s="12"/>
      <c r="K9600" s="12"/>
      <c r="L9600" s="12"/>
      <c r="M9600" s="11"/>
      <c r="N9600" s="11"/>
      <c r="O9600" s="11"/>
      <c r="P9600" s="11"/>
    </row>
    <row r="9601" spans="8:16" x14ac:dyDescent="0.25">
      <c r="H9601" s="12"/>
      <c r="I9601" s="12"/>
      <c r="J9601" s="12"/>
      <c r="K9601" s="12"/>
      <c r="L9601" s="12"/>
      <c r="M9601" s="11"/>
      <c r="N9601" s="11"/>
      <c r="O9601" s="11"/>
      <c r="P9601" s="11"/>
    </row>
    <row r="9602" spans="8:16" x14ac:dyDescent="0.25">
      <c r="H9602" s="12"/>
      <c r="I9602" s="12"/>
      <c r="J9602" s="12"/>
      <c r="K9602" s="12"/>
      <c r="L9602" s="12"/>
      <c r="M9602" s="11"/>
      <c r="N9602" s="11"/>
      <c r="O9602" s="11"/>
      <c r="P9602" s="11"/>
    </row>
    <row r="9603" spans="8:16" x14ac:dyDescent="0.25">
      <c r="H9603" s="12"/>
      <c r="I9603" s="12"/>
      <c r="J9603" s="12"/>
      <c r="K9603" s="12"/>
      <c r="L9603" s="12"/>
      <c r="M9603" s="11"/>
      <c r="N9603" s="11"/>
      <c r="O9603" s="11"/>
      <c r="P9603" s="11"/>
    </row>
    <row r="9604" spans="8:16" x14ac:dyDescent="0.25">
      <c r="H9604" s="12"/>
      <c r="I9604" s="12"/>
      <c r="J9604" s="12"/>
      <c r="K9604" s="12"/>
      <c r="L9604" s="12"/>
      <c r="M9604" s="11"/>
      <c r="N9604" s="11"/>
      <c r="O9604" s="11"/>
      <c r="P9604" s="11"/>
    </row>
    <row r="9605" spans="8:16" x14ac:dyDescent="0.25">
      <c r="H9605" s="12"/>
      <c r="I9605" s="12"/>
      <c r="J9605" s="12"/>
      <c r="K9605" s="12"/>
      <c r="L9605" s="12"/>
      <c r="M9605" s="11"/>
      <c r="N9605" s="11"/>
      <c r="O9605" s="11"/>
      <c r="P9605" s="11"/>
    </row>
    <row r="9606" spans="8:16" x14ac:dyDescent="0.25">
      <c r="H9606" s="12"/>
      <c r="I9606" s="12"/>
      <c r="J9606" s="12"/>
      <c r="K9606" s="12"/>
      <c r="L9606" s="12"/>
      <c r="M9606" s="11"/>
      <c r="N9606" s="11"/>
      <c r="O9606" s="11"/>
      <c r="P9606" s="11"/>
    </row>
    <row r="9607" spans="8:16" x14ac:dyDescent="0.25">
      <c r="H9607" s="12"/>
      <c r="I9607" s="12"/>
      <c r="J9607" s="12"/>
      <c r="K9607" s="12"/>
      <c r="L9607" s="12"/>
      <c r="M9607" s="11"/>
      <c r="N9607" s="11"/>
      <c r="O9607" s="11"/>
      <c r="P9607" s="11"/>
    </row>
    <row r="9608" spans="8:16" x14ac:dyDescent="0.25">
      <c r="H9608" s="12"/>
      <c r="I9608" s="12"/>
      <c r="J9608" s="12"/>
      <c r="K9608" s="12"/>
      <c r="L9608" s="12"/>
      <c r="M9608" s="11"/>
      <c r="N9608" s="11"/>
      <c r="O9608" s="11"/>
      <c r="P9608" s="11"/>
    </row>
    <row r="9609" spans="8:16" x14ac:dyDescent="0.25">
      <c r="H9609" s="12"/>
      <c r="I9609" s="12"/>
      <c r="J9609" s="12"/>
      <c r="K9609" s="12"/>
      <c r="L9609" s="12"/>
      <c r="M9609" s="11"/>
      <c r="N9609" s="11"/>
      <c r="O9609" s="11"/>
      <c r="P9609" s="11"/>
    </row>
    <row r="9610" spans="8:16" x14ac:dyDescent="0.25">
      <c r="H9610" s="12"/>
      <c r="I9610" s="12"/>
      <c r="J9610" s="12"/>
      <c r="K9610" s="12"/>
      <c r="L9610" s="12"/>
      <c r="M9610" s="11"/>
      <c r="N9610" s="11"/>
      <c r="O9610" s="11"/>
      <c r="P9610" s="11"/>
    </row>
    <row r="9611" spans="8:16" x14ac:dyDescent="0.25">
      <c r="H9611" s="12"/>
      <c r="I9611" s="12"/>
      <c r="J9611" s="12"/>
      <c r="K9611" s="12"/>
      <c r="L9611" s="12"/>
      <c r="M9611" s="11"/>
      <c r="N9611" s="11"/>
      <c r="O9611" s="11"/>
      <c r="P9611" s="11"/>
    </row>
    <row r="9612" spans="8:16" x14ac:dyDescent="0.25">
      <c r="H9612" s="12"/>
      <c r="I9612" s="12"/>
      <c r="J9612" s="12"/>
      <c r="K9612" s="12"/>
      <c r="L9612" s="12"/>
      <c r="M9612" s="11"/>
      <c r="N9612" s="11"/>
      <c r="O9612" s="11"/>
      <c r="P9612" s="11"/>
    </row>
    <row r="9613" spans="8:16" x14ac:dyDescent="0.25">
      <c r="H9613" s="12"/>
      <c r="I9613" s="12"/>
      <c r="J9613" s="12"/>
      <c r="K9613" s="12"/>
      <c r="L9613" s="12"/>
      <c r="M9613" s="11"/>
      <c r="N9613" s="11"/>
      <c r="O9613" s="11"/>
      <c r="P9613" s="11"/>
    </row>
    <row r="9614" spans="8:16" x14ac:dyDescent="0.25">
      <c r="H9614" s="12"/>
      <c r="I9614" s="12"/>
      <c r="J9614" s="12"/>
      <c r="K9614" s="12"/>
      <c r="L9614" s="12"/>
      <c r="M9614" s="11"/>
      <c r="N9614" s="11"/>
      <c r="O9614" s="11"/>
      <c r="P9614" s="11"/>
    </row>
    <row r="9615" spans="8:16" x14ac:dyDescent="0.25">
      <c r="H9615" s="12"/>
      <c r="I9615" s="12"/>
      <c r="J9615" s="12"/>
      <c r="K9615" s="12"/>
      <c r="L9615" s="12"/>
      <c r="M9615" s="11"/>
      <c r="N9615" s="11"/>
      <c r="O9615" s="11"/>
      <c r="P9615" s="11"/>
    </row>
    <row r="9616" spans="8:16" x14ac:dyDescent="0.25">
      <c r="H9616" s="12"/>
      <c r="I9616" s="12"/>
      <c r="J9616" s="12"/>
      <c r="K9616" s="12"/>
      <c r="L9616" s="12"/>
      <c r="M9616" s="11"/>
      <c r="N9616" s="11"/>
      <c r="O9616" s="11"/>
      <c r="P9616" s="11"/>
    </row>
    <row r="9617" spans="8:16" x14ac:dyDescent="0.25">
      <c r="H9617" s="12"/>
      <c r="I9617" s="12"/>
      <c r="J9617" s="12"/>
      <c r="K9617" s="12"/>
      <c r="L9617" s="12"/>
      <c r="M9617" s="11"/>
      <c r="N9617" s="11"/>
      <c r="O9617" s="11"/>
      <c r="P9617" s="11"/>
    </row>
    <row r="9618" spans="8:16" x14ac:dyDescent="0.25">
      <c r="H9618" s="12"/>
      <c r="I9618" s="12"/>
      <c r="J9618" s="12"/>
      <c r="K9618" s="12"/>
      <c r="L9618" s="12"/>
      <c r="M9618" s="11"/>
      <c r="N9618" s="11"/>
      <c r="O9618" s="11"/>
      <c r="P9618" s="11"/>
    </row>
    <row r="9619" spans="8:16" x14ac:dyDescent="0.25">
      <c r="H9619" s="12"/>
      <c r="I9619" s="12"/>
      <c r="J9619" s="12"/>
      <c r="K9619" s="12"/>
      <c r="L9619" s="12"/>
      <c r="M9619" s="11"/>
      <c r="N9619" s="11"/>
      <c r="O9619" s="11"/>
      <c r="P9619" s="11"/>
    </row>
    <row r="9620" spans="8:16" x14ac:dyDescent="0.25">
      <c r="H9620" s="12"/>
      <c r="I9620" s="12"/>
      <c r="J9620" s="12"/>
      <c r="K9620" s="12"/>
      <c r="L9620" s="12"/>
      <c r="M9620" s="11"/>
      <c r="N9620" s="11"/>
      <c r="O9620" s="11"/>
      <c r="P9620" s="11"/>
    </row>
    <row r="9621" spans="8:16" x14ac:dyDescent="0.25">
      <c r="H9621" s="12"/>
      <c r="I9621" s="12"/>
      <c r="J9621" s="12"/>
      <c r="K9621" s="12"/>
      <c r="L9621" s="12"/>
      <c r="M9621" s="11"/>
      <c r="N9621" s="11"/>
      <c r="O9621" s="11"/>
      <c r="P9621" s="11"/>
    </row>
    <row r="9622" spans="8:16" x14ac:dyDescent="0.25">
      <c r="H9622" s="12"/>
      <c r="I9622" s="12"/>
      <c r="J9622" s="12"/>
      <c r="K9622" s="12"/>
      <c r="L9622" s="12"/>
      <c r="M9622" s="11"/>
      <c r="N9622" s="11"/>
      <c r="O9622" s="11"/>
      <c r="P9622" s="11"/>
    </row>
    <row r="9623" spans="8:16" x14ac:dyDescent="0.25">
      <c r="H9623" s="12"/>
      <c r="I9623" s="12"/>
      <c r="J9623" s="12"/>
      <c r="K9623" s="12"/>
      <c r="L9623" s="12"/>
      <c r="M9623" s="11"/>
      <c r="N9623" s="11"/>
      <c r="O9623" s="11"/>
      <c r="P9623" s="11"/>
    </row>
    <row r="9624" spans="8:16" x14ac:dyDescent="0.25">
      <c r="H9624" s="12"/>
      <c r="I9624" s="12"/>
      <c r="J9624" s="12"/>
      <c r="K9624" s="12"/>
      <c r="L9624" s="12"/>
      <c r="M9624" s="11"/>
      <c r="N9624" s="11"/>
      <c r="O9624" s="11"/>
      <c r="P9624" s="11"/>
    </row>
    <row r="9625" spans="8:16" x14ac:dyDescent="0.25">
      <c r="H9625" s="12"/>
      <c r="I9625" s="12"/>
      <c r="J9625" s="12"/>
      <c r="K9625" s="12"/>
      <c r="L9625" s="12"/>
      <c r="M9625" s="11"/>
      <c r="N9625" s="11"/>
      <c r="O9625" s="11"/>
      <c r="P9625" s="11"/>
    </row>
    <row r="9626" spans="8:16" x14ac:dyDescent="0.25">
      <c r="H9626" s="12"/>
      <c r="I9626" s="12"/>
      <c r="J9626" s="12"/>
      <c r="K9626" s="12"/>
      <c r="L9626" s="12"/>
      <c r="M9626" s="11"/>
      <c r="N9626" s="11"/>
      <c r="O9626" s="11"/>
      <c r="P9626" s="11"/>
    </row>
    <row r="9627" spans="8:16" x14ac:dyDescent="0.25">
      <c r="H9627" s="12"/>
      <c r="I9627" s="12"/>
      <c r="J9627" s="12"/>
      <c r="K9627" s="12"/>
      <c r="L9627" s="12"/>
      <c r="M9627" s="11"/>
      <c r="N9627" s="11"/>
      <c r="O9627" s="11"/>
      <c r="P9627" s="11"/>
    </row>
    <row r="9628" spans="8:16" x14ac:dyDescent="0.25">
      <c r="H9628" s="12"/>
      <c r="I9628" s="12"/>
      <c r="J9628" s="12"/>
      <c r="K9628" s="12"/>
      <c r="L9628" s="12"/>
      <c r="M9628" s="11"/>
      <c r="N9628" s="11"/>
      <c r="O9628" s="11"/>
      <c r="P9628" s="11"/>
    </row>
    <row r="9629" spans="8:16" x14ac:dyDescent="0.25">
      <c r="H9629" s="12"/>
      <c r="I9629" s="12"/>
      <c r="J9629" s="12"/>
      <c r="K9629" s="12"/>
      <c r="L9629" s="12"/>
      <c r="M9629" s="11"/>
      <c r="N9629" s="11"/>
      <c r="O9629" s="11"/>
      <c r="P9629" s="11"/>
    </row>
    <row r="9630" spans="8:16" x14ac:dyDescent="0.25">
      <c r="H9630" s="12"/>
      <c r="I9630" s="12"/>
      <c r="J9630" s="12"/>
      <c r="K9630" s="12"/>
      <c r="L9630" s="12"/>
      <c r="M9630" s="11"/>
      <c r="N9630" s="11"/>
      <c r="O9630" s="11"/>
      <c r="P9630" s="11"/>
    </row>
    <row r="9631" spans="8:16" x14ac:dyDescent="0.25">
      <c r="H9631" s="12"/>
      <c r="I9631" s="12"/>
      <c r="J9631" s="12"/>
      <c r="K9631" s="12"/>
      <c r="L9631" s="12"/>
      <c r="M9631" s="11"/>
      <c r="N9631" s="11"/>
      <c r="O9631" s="11"/>
      <c r="P9631" s="11"/>
    </row>
    <row r="9632" spans="8:16" x14ac:dyDescent="0.25">
      <c r="H9632" s="12"/>
      <c r="I9632" s="12"/>
      <c r="J9632" s="12"/>
      <c r="K9632" s="12"/>
      <c r="L9632" s="12"/>
      <c r="M9632" s="11"/>
      <c r="N9632" s="11"/>
      <c r="O9632" s="11"/>
      <c r="P9632" s="11"/>
    </row>
    <row r="9633" spans="8:16" x14ac:dyDescent="0.25">
      <c r="H9633" s="12"/>
      <c r="I9633" s="12"/>
      <c r="J9633" s="12"/>
      <c r="K9633" s="12"/>
      <c r="L9633" s="12"/>
      <c r="M9633" s="11"/>
      <c r="N9633" s="11"/>
      <c r="O9633" s="11"/>
      <c r="P9633" s="11"/>
    </row>
    <row r="9634" spans="8:16" x14ac:dyDescent="0.25">
      <c r="H9634" s="12"/>
      <c r="I9634" s="12"/>
      <c r="J9634" s="12"/>
      <c r="K9634" s="12"/>
      <c r="L9634" s="12"/>
      <c r="M9634" s="11"/>
      <c r="N9634" s="11"/>
      <c r="O9634" s="11"/>
      <c r="P9634" s="11"/>
    </row>
    <row r="9635" spans="8:16" x14ac:dyDescent="0.25">
      <c r="H9635" s="12"/>
      <c r="I9635" s="12"/>
      <c r="J9635" s="12"/>
      <c r="K9635" s="12"/>
      <c r="L9635" s="12"/>
      <c r="M9635" s="11"/>
      <c r="N9635" s="11"/>
      <c r="O9635" s="11"/>
      <c r="P9635" s="11"/>
    </row>
    <row r="9636" spans="8:16" x14ac:dyDescent="0.25">
      <c r="H9636" s="12"/>
      <c r="I9636" s="12"/>
      <c r="J9636" s="12"/>
      <c r="K9636" s="12"/>
      <c r="L9636" s="12"/>
      <c r="M9636" s="11"/>
      <c r="N9636" s="11"/>
      <c r="O9636" s="11"/>
      <c r="P9636" s="11"/>
    </row>
    <row r="9637" spans="8:16" x14ac:dyDescent="0.25">
      <c r="H9637" s="12"/>
      <c r="I9637" s="12"/>
      <c r="J9637" s="12"/>
      <c r="K9637" s="12"/>
      <c r="L9637" s="12"/>
      <c r="M9637" s="11"/>
      <c r="N9637" s="11"/>
      <c r="O9637" s="11"/>
      <c r="P9637" s="11"/>
    </row>
    <row r="9638" spans="8:16" x14ac:dyDescent="0.25">
      <c r="H9638" s="12"/>
      <c r="I9638" s="12"/>
      <c r="J9638" s="12"/>
      <c r="K9638" s="12"/>
      <c r="L9638" s="12"/>
      <c r="M9638" s="11"/>
      <c r="N9638" s="11"/>
      <c r="O9638" s="11"/>
      <c r="P9638" s="11"/>
    </row>
    <row r="9639" spans="8:16" x14ac:dyDescent="0.25">
      <c r="H9639" s="12"/>
      <c r="I9639" s="12"/>
      <c r="J9639" s="12"/>
      <c r="K9639" s="12"/>
      <c r="L9639" s="12"/>
      <c r="M9639" s="11"/>
      <c r="N9639" s="11"/>
      <c r="O9639" s="11"/>
      <c r="P9639" s="11"/>
    </row>
    <row r="9640" spans="8:16" x14ac:dyDescent="0.25">
      <c r="H9640" s="12"/>
      <c r="I9640" s="12"/>
      <c r="J9640" s="12"/>
      <c r="K9640" s="12"/>
      <c r="L9640" s="12"/>
      <c r="M9640" s="11"/>
      <c r="N9640" s="11"/>
      <c r="O9640" s="11"/>
      <c r="P9640" s="11"/>
    </row>
    <row r="9641" spans="8:16" x14ac:dyDescent="0.25">
      <c r="H9641" s="12"/>
      <c r="I9641" s="12"/>
      <c r="J9641" s="12"/>
      <c r="K9641" s="12"/>
      <c r="L9641" s="12"/>
      <c r="M9641" s="11"/>
      <c r="N9641" s="11"/>
      <c r="O9641" s="11"/>
      <c r="P9641" s="11"/>
    </row>
    <row r="9642" spans="8:16" x14ac:dyDescent="0.25">
      <c r="H9642" s="12"/>
      <c r="I9642" s="12"/>
      <c r="J9642" s="12"/>
      <c r="K9642" s="12"/>
      <c r="L9642" s="12"/>
      <c r="M9642" s="11"/>
      <c r="N9642" s="11"/>
      <c r="O9642" s="11"/>
      <c r="P9642" s="11"/>
    </row>
    <row r="9643" spans="8:16" x14ac:dyDescent="0.25">
      <c r="H9643" s="12"/>
      <c r="I9643" s="12"/>
      <c r="J9643" s="12"/>
      <c r="K9643" s="12"/>
      <c r="L9643" s="12"/>
      <c r="M9643" s="11"/>
      <c r="N9643" s="11"/>
      <c r="O9643" s="11"/>
      <c r="P9643" s="11"/>
    </row>
    <row r="9644" spans="8:16" x14ac:dyDescent="0.25">
      <c r="H9644" s="12"/>
      <c r="I9644" s="12"/>
      <c r="J9644" s="12"/>
      <c r="K9644" s="12"/>
      <c r="L9644" s="12"/>
      <c r="M9644" s="11"/>
      <c r="N9644" s="11"/>
      <c r="O9644" s="11"/>
      <c r="P9644" s="11"/>
    </row>
    <row r="9645" spans="8:16" x14ac:dyDescent="0.25">
      <c r="H9645" s="12"/>
      <c r="I9645" s="12"/>
      <c r="J9645" s="12"/>
      <c r="K9645" s="12"/>
      <c r="L9645" s="12"/>
      <c r="M9645" s="11"/>
      <c r="N9645" s="11"/>
      <c r="O9645" s="11"/>
      <c r="P9645" s="11"/>
    </row>
    <row r="9646" spans="8:16" x14ac:dyDescent="0.25">
      <c r="H9646" s="12"/>
      <c r="I9646" s="12"/>
      <c r="J9646" s="12"/>
      <c r="K9646" s="12"/>
      <c r="L9646" s="12"/>
      <c r="M9646" s="11"/>
      <c r="N9646" s="11"/>
      <c r="O9646" s="11"/>
      <c r="P9646" s="11"/>
    </row>
    <row r="9647" spans="8:16" x14ac:dyDescent="0.25">
      <c r="H9647" s="12"/>
      <c r="I9647" s="12"/>
      <c r="J9647" s="12"/>
      <c r="K9647" s="12"/>
      <c r="L9647" s="12"/>
      <c r="M9647" s="11"/>
      <c r="N9647" s="11"/>
      <c r="O9647" s="11"/>
      <c r="P9647" s="11"/>
    </row>
    <row r="9648" spans="8:16" x14ac:dyDescent="0.25">
      <c r="H9648" s="12"/>
      <c r="I9648" s="12"/>
      <c r="J9648" s="12"/>
      <c r="K9648" s="12"/>
      <c r="L9648" s="12"/>
      <c r="M9648" s="11"/>
      <c r="N9648" s="11"/>
      <c r="O9648" s="11"/>
      <c r="P9648" s="11"/>
    </row>
    <row r="9649" spans="8:16" x14ac:dyDescent="0.25">
      <c r="H9649" s="12"/>
      <c r="I9649" s="12"/>
      <c r="J9649" s="12"/>
      <c r="K9649" s="12"/>
      <c r="L9649" s="12"/>
      <c r="M9649" s="11"/>
      <c r="N9649" s="11"/>
      <c r="O9649" s="11"/>
      <c r="P9649" s="11"/>
    </row>
    <row r="9650" spans="8:16" x14ac:dyDescent="0.25">
      <c r="H9650" s="12"/>
      <c r="I9650" s="12"/>
      <c r="J9650" s="12"/>
      <c r="K9650" s="12"/>
      <c r="L9650" s="12"/>
      <c r="M9650" s="11"/>
      <c r="N9650" s="11"/>
      <c r="O9650" s="11"/>
      <c r="P9650" s="11"/>
    </row>
    <row r="9651" spans="8:16" x14ac:dyDescent="0.25">
      <c r="H9651" s="12"/>
      <c r="I9651" s="12"/>
      <c r="J9651" s="12"/>
      <c r="K9651" s="12"/>
      <c r="L9651" s="12"/>
      <c r="M9651" s="11"/>
      <c r="N9651" s="11"/>
      <c r="O9651" s="11"/>
      <c r="P9651" s="11"/>
    </row>
    <row r="9652" spans="8:16" x14ac:dyDescent="0.25">
      <c r="H9652" s="12"/>
      <c r="I9652" s="12"/>
      <c r="J9652" s="12"/>
      <c r="K9652" s="12"/>
      <c r="L9652" s="12"/>
      <c r="M9652" s="11"/>
      <c r="N9652" s="11"/>
      <c r="O9652" s="11"/>
      <c r="P9652" s="11"/>
    </row>
    <row r="9653" spans="8:16" x14ac:dyDescent="0.25">
      <c r="H9653" s="12"/>
      <c r="I9653" s="12"/>
      <c r="J9653" s="12"/>
      <c r="K9653" s="12"/>
      <c r="L9653" s="12"/>
      <c r="M9653" s="11"/>
      <c r="N9653" s="11"/>
      <c r="O9653" s="11"/>
      <c r="P9653" s="11"/>
    </row>
    <row r="9654" spans="8:16" x14ac:dyDescent="0.25">
      <c r="H9654" s="12"/>
      <c r="I9654" s="12"/>
      <c r="J9654" s="12"/>
      <c r="K9654" s="12"/>
      <c r="L9654" s="12"/>
      <c r="M9654" s="11"/>
      <c r="N9654" s="11"/>
      <c r="O9654" s="11"/>
      <c r="P9654" s="11"/>
    </row>
    <row r="9655" spans="8:16" x14ac:dyDescent="0.25">
      <c r="H9655" s="12"/>
      <c r="I9655" s="12"/>
      <c r="J9655" s="12"/>
      <c r="K9655" s="12"/>
      <c r="L9655" s="12"/>
      <c r="M9655" s="11"/>
      <c r="N9655" s="11"/>
      <c r="O9655" s="11"/>
      <c r="P9655" s="11"/>
    </row>
    <row r="9656" spans="8:16" x14ac:dyDescent="0.25">
      <c r="H9656" s="12"/>
      <c r="I9656" s="12"/>
      <c r="J9656" s="12"/>
      <c r="K9656" s="12"/>
      <c r="L9656" s="12"/>
      <c r="M9656" s="11"/>
      <c r="N9656" s="11"/>
      <c r="O9656" s="11"/>
      <c r="P9656" s="11"/>
    </row>
    <row r="9657" spans="8:16" x14ac:dyDescent="0.25">
      <c r="H9657" s="12"/>
      <c r="I9657" s="12"/>
      <c r="J9657" s="12"/>
      <c r="K9657" s="12"/>
      <c r="L9657" s="12"/>
      <c r="M9657" s="11"/>
      <c r="N9657" s="11"/>
      <c r="O9657" s="11"/>
      <c r="P9657" s="11"/>
    </row>
    <row r="9658" spans="8:16" x14ac:dyDescent="0.25">
      <c r="H9658" s="12"/>
      <c r="I9658" s="12"/>
      <c r="J9658" s="12"/>
      <c r="K9658" s="12"/>
      <c r="L9658" s="12"/>
      <c r="M9658" s="11"/>
      <c r="N9658" s="11"/>
      <c r="O9658" s="11"/>
      <c r="P9658" s="11"/>
    </row>
    <row r="9659" spans="8:16" x14ac:dyDescent="0.25">
      <c r="H9659" s="12"/>
      <c r="I9659" s="12"/>
      <c r="J9659" s="12"/>
      <c r="K9659" s="12"/>
      <c r="L9659" s="12"/>
      <c r="M9659" s="11"/>
      <c r="N9659" s="11"/>
      <c r="O9659" s="11"/>
      <c r="P9659" s="11"/>
    </row>
    <row r="9660" spans="8:16" x14ac:dyDescent="0.25">
      <c r="H9660" s="12"/>
      <c r="I9660" s="12"/>
      <c r="J9660" s="12"/>
      <c r="K9660" s="12"/>
      <c r="L9660" s="12"/>
      <c r="M9660" s="11"/>
      <c r="N9660" s="11"/>
      <c r="O9660" s="11"/>
      <c r="P9660" s="11"/>
    </row>
    <row r="9661" spans="8:16" x14ac:dyDescent="0.25">
      <c r="H9661" s="12"/>
      <c r="I9661" s="12"/>
      <c r="J9661" s="12"/>
      <c r="K9661" s="12"/>
      <c r="L9661" s="12"/>
      <c r="M9661" s="11"/>
      <c r="N9661" s="11"/>
      <c r="O9661" s="11"/>
      <c r="P9661" s="11"/>
    </row>
    <row r="9662" spans="8:16" x14ac:dyDescent="0.25">
      <c r="H9662" s="12"/>
      <c r="I9662" s="12"/>
      <c r="J9662" s="12"/>
      <c r="K9662" s="12"/>
      <c r="L9662" s="12"/>
      <c r="M9662" s="11"/>
      <c r="N9662" s="11"/>
      <c r="O9662" s="11"/>
      <c r="P9662" s="11"/>
    </row>
    <row r="9663" spans="8:16" x14ac:dyDescent="0.25">
      <c r="H9663" s="12"/>
      <c r="I9663" s="12"/>
      <c r="J9663" s="12"/>
      <c r="K9663" s="12"/>
      <c r="L9663" s="12"/>
      <c r="M9663" s="11"/>
      <c r="N9663" s="11"/>
      <c r="O9663" s="11"/>
      <c r="P9663" s="11"/>
    </row>
    <row r="9664" spans="8:16" x14ac:dyDescent="0.25">
      <c r="H9664" s="12"/>
      <c r="I9664" s="12"/>
      <c r="J9664" s="12"/>
      <c r="K9664" s="12"/>
      <c r="L9664" s="12"/>
      <c r="M9664" s="11"/>
      <c r="N9664" s="11"/>
      <c r="O9664" s="11"/>
      <c r="P9664" s="11"/>
    </row>
    <row r="9665" spans="8:16" x14ac:dyDescent="0.25">
      <c r="H9665" s="12"/>
      <c r="I9665" s="12"/>
      <c r="J9665" s="12"/>
      <c r="K9665" s="12"/>
      <c r="L9665" s="12"/>
      <c r="M9665" s="11"/>
      <c r="N9665" s="11"/>
      <c r="O9665" s="11"/>
      <c r="P9665" s="11"/>
    </row>
    <row r="9666" spans="8:16" x14ac:dyDescent="0.25">
      <c r="H9666" s="12"/>
      <c r="I9666" s="12"/>
      <c r="J9666" s="12"/>
      <c r="K9666" s="12"/>
      <c r="L9666" s="12"/>
      <c r="M9666" s="11"/>
      <c r="N9666" s="11"/>
      <c r="O9666" s="11"/>
      <c r="P9666" s="11"/>
    </row>
    <row r="9667" spans="8:16" x14ac:dyDescent="0.25">
      <c r="H9667" s="12"/>
      <c r="I9667" s="12"/>
      <c r="J9667" s="12"/>
      <c r="K9667" s="12"/>
      <c r="L9667" s="12"/>
      <c r="M9667" s="11"/>
      <c r="N9667" s="11"/>
      <c r="O9667" s="11"/>
      <c r="P9667" s="11"/>
    </row>
    <row r="9668" spans="8:16" x14ac:dyDescent="0.25">
      <c r="H9668" s="12"/>
      <c r="I9668" s="12"/>
      <c r="J9668" s="12"/>
      <c r="K9668" s="12"/>
      <c r="L9668" s="12"/>
      <c r="M9668" s="11"/>
      <c r="N9668" s="11"/>
      <c r="O9668" s="11"/>
      <c r="P9668" s="11"/>
    </row>
    <row r="9669" spans="8:16" x14ac:dyDescent="0.25">
      <c r="H9669" s="12"/>
      <c r="I9669" s="12"/>
      <c r="J9669" s="12"/>
      <c r="K9669" s="12"/>
      <c r="L9669" s="12"/>
      <c r="M9669" s="11"/>
      <c r="N9669" s="11"/>
      <c r="O9669" s="11"/>
      <c r="P9669" s="11"/>
    </row>
    <row r="9670" spans="8:16" x14ac:dyDescent="0.25">
      <c r="H9670" s="12"/>
      <c r="I9670" s="12"/>
      <c r="J9670" s="12"/>
      <c r="K9670" s="12"/>
      <c r="L9670" s="12"/>
      <c r="M9670" s="11"/>
      <c r="N9670" s="11"/>
      <c r="O9670" s="11"/>
      <c r="P9670" s="11"/>
    </row>
    <row r="9671" spans="8:16" x14ac:dyDescent="0.25">
      <c r="H9671" s="12"/>
      <c r="I9671" s="12"/>
      <c r="J9671" s="12"/>
      <c r="K9671" s="12"/>
      <c r="L9671" s="12"/>
      <c r="M9671" s="11"/>
      <c r="N9671" s="11"/>
      <c r="O9671" s="11"/>
      <c r="P9671" s="11"/>
    </row>
    <row r="9672" spans="8:16" x14ac:dyDescent="0.25">
      <c r="H9672" s="12"/>
      <c r="I9672" s="12"/>
      <c r="J9672" s="12"/>
      <c r="K9672" s="12"/>
      <c r="L9672" s="12"/>
      <c r="M9672" s="11"/>
      <c r="N9672" s="11"/>
      <c r="O9672" s="11"/>
      <c r="P9672" s="11"/>
    </row>
    <row r="9673" spans="8:16" x14ac:dyDescent="0.25">
      <c r="H9673" s="12"/>
      <c r="I9673" s="12"/>
      <c r="J9673" s="12"/>
      <c r="K9673" s="12"/>
      <c r="L9673" s="12"/>
      <c r="M9673" s="11"/>
      <c r="N9673" s="11"/>
      <c r="O9673" s="11"/>
      <c r="P9673" s="11"/>
    </row>
    <row r="9674" spans="8:16" x14ac:dyDescent="0.25">
      <c r="H9674" s="12"/>
      <c r="I9674" s="12"/>
      <c r="J9674" s="12"/>
      <c r="K9674" s="12"/>
      <c r="L9674" s="12"/>
      <c r="M9674" s="11"/>
      <c r="N9674" s="11"/>
      <c r="O9674" s="11"/>
      <c r="P9674" s="11"/>
    </row>
    <row r="9675" spans="8:16" x14ac:dyDescent="0.25">
      <c r="H9675" s="12"/>
      <c r="I9675" s="12"/>
      <c r="J9675" s="12"/>
      <c r="K9675" s="12"/>
      <c r="L9675" s="12"/>
      <c r="M9675" s="11"/>
      <c r="N9675" s="11"/>
      <c r="O9675" s="11"/>
      <c r="P9675" s="11"/>
    </row>
    <row r="9676" spans="8:16" x14ac:dyDescent="0.25">
      <c r="H9676" s="12"/>
      <c r="I9676" s="12"/>
      <c r="J9676" s="12"/>
      <c r="K9676" s="12"/>
      <c r="L9676" s="12"/>
      <c r="M9676" s="11"/>
      <c r="N9676" s="11"/>
      <c r="O9676" s="11"/>
      <c r="P9676" s="11"/>
    </row>
    <row r="9677" spans="8:16" x14ac:dyDescent="0.25">
      <c r="H9677" s="12"/>
      <c r="I9677" s="12"/>
      <c r="J9677" s="12"/>
      <c r="K9677" s="12"/>
      <c r="L9677" s="12"/>
      <c r="M9677" s="11"/>
      <c r="N9677" s="11"/>
      <c r="O9677" s="11"/>
      <c r="P9677" s="11"/>
    </row>
    <row r="9678" spans="8:16" x14ac:dyDescent="0.25">
      <c r="H9678" s="12"/>
      <c r="I9678" s="12"/>
      <c r="J9678" s="12"/>
      <c r="K9678" s="12"/>
      <c r="L9678" s="12"/>
      <c r="M9678" s="11"/>
      <c r="N9678" s="11"/>
      <c r="O9678" s="11"/>
      <c r="P9678" s="11"/>
    </row>
    <row r="9679" spans="8:16" x14ac:dyDescent="0.25">
      <c r="H9679" s="12"/>
      <c r="I9679" s="12"/>
      <c r="J9679" s="12"/>
      <c r="K9679" s="12"/>
      <c r="L9679" s="12"/>
      <c r="M9679" s="11"/>
      <c r="N9679" s="11"/>
      <c r="O9679" s="11"/>
      <c r="P9679" s="11"/>
    </row>
    <row r="9680" spans="8:16" x14ac:dyDescent="0.25">
      <c r="H9680" s="12"/>
      <c r="I9680" s="12"/>
      <c r="J9680" s="12"/>
      <c r="K9680" s="12"/>
      <c r="L9680" s="12"/>
      <c r="M9680" s="11"/>
      <c r="N9680" s="11"/>
      <c r="O9680" s="11"/>
      <c r="P9680" s="11"/>
    </row>
    <row r="9681" spans="8:16" x14ac:dyDescent="0.25">
      <c r="H9681" s="12"/>
      <c r="I9681" s="12"/>
      <c r="J9681" s="12"/>
      <c r="K9681" s="12"/>
      <c r="L9681" s="12"/>
      <c r="M9681" s="11"/>
      <c r="N9681" s="11"/>
      <c r="O9681" s="11"/>
      <c r="P9681" s="11"/>
    </row>
    <row r="9682" spans="8:16" x14ac:dyDescent="0.25">
      <c r="H9682" s="12"/>
      <c r="I9682" s="12"/>
      <c r="J9682" s="12"/>
      <c r="K9682" s="12"/>
      <c r="L9682" s="12"/>
      <c r="M9682" s="11"/>
      <c r="N9682" s="11"/>
      <c r="O9682" s="11"/>
      <c r="P9682" s="11"/>
    </row>
    <row r="9683" spans="8:16" x14ac:dyDescent="0.25">
      <c r="H9683" s="12"/>
      <c r="I9683" s="12"/>
      <c r="J9683" s="12"/>
      <c r="K9683" s="12"/>
      <c r="L9683" s="12"/>
      <c r="M9683" s="11"/>
      <c r="N9683" s="11"/>
      <c r="O9683" s="11"/>
      <c r="P9683" s="11"/>
    </row>
    <row r="9684" spans="8:16" x14ac:dyDescent="0.25">
      <c r="H9684" s="12"/>
      <c r="I9684" s="12"/>
      <c r="J9684" s="12"/>
      <c r="K9684" s="12"/>
      <c r="L9684" s="12"/>
      <c r="M9684" s="11"/>
      <c r="N9684" s="11"/>
      <c r="O9684" s="11"/>
      <c r="P9684" s="11"/>
    </row>
    <row r="9685" spans="8:16" x14ac:dyDescent="0.25">
      <c r="H9685" s="12"/>
      <c r="I9685" s="12"/>
      <c r="J9685" s="12"/>
      <c r="K9685" s="12"/>
      <c r="L9685" s="12"/>
      <c r="M9685" s="11"/>
      <c r="N9685" s="11"/>
      <c r="O9685" s="11"/>
      <c r="P9685" s="11"/>
    </row>
    <row r="9686" spans="8:16" x14ac:dyDescent="0.25">
      <c r="H9686" s="12"/>
      <c r="I9686" s="12"/>
      <c r="J9686" s="12"/>
      <c r="K9686" s="12"/>
      <c r="L9686" s="12"/>
      <c r="M9686" s="11"/>
      <c r="N9686" s="11"/>
      <c r="O9686" s="11"/>
      <c r="P9686" s="11"/>
    </row>
    <row r="9687" spans="8:16" x14ac:dyDescent="0.25">
      <c r="H9687" s="12"/>
      <c r="I9687" s="12"/>
      <c r="J9687" s="12"/>
      <c r="K9687" s="12"/>
      <c r="L9687" s="12"/>
      <c r="M9687" s="11"/>
      <c r="N9687" s="11"/>
      <c r="O9687" s="11"/>
      <c r="P9687" s="11"/>
    </row>
    <row r="9688" spans="8:16" x14ac:dyDescent="0.25">
      <c r="H9688" s="12"/>
      <c r="I9688" s="12"/>
      <c r="J9688" s="12"/>
      <c r="K9688" s="12"/>
      <c r="L9688" s="12"/>
      <c r="M9688" s="11"/>
      <c r="N9688" s="11"/>
      <c r="O9688" s="11"/>
      <c r="P9688" s="11"/>
    </row>
    <row r="9689" spans="8:16" x14ac:dyDescent="0.25">
      <c r="H9689" s="12"/>
      <c r="I9689" s="12"/>
      <c r="J9689" s="12"/>
      <c r="K9689" s="12"/>
      <c r="L9689" s="12"/>
      <c r="M9689" s="11"/>
      <c r="N9689" s="11"/>
      <c r="O9689" s="11"/>
      <c r="P9689" s="11"/>
    </row>
    <row r="9690" spans="8:16" x14ac:dyDescent="0.25">
      <c r="H9690" s="12"/>
      <c r="I9690" s="12"/>
      <c r="J9690" s="12"/>
      <c r="K9690" s="12"/>
      <c r="L9690" s="12"/>
      <c r="M9690" s="11"/>
      <c r="N9690" s="11"/>
      <c r="O9690" s="11"/>
      <c r="P9690" s="11"/>
    </row>
    <row r="9691" spans="8:16" x14ac:dyDescent="0.25">
      <c r="H9691" s="12"/>
      <c r="I9691" s="12"/>
      <c r="J9691" s="12"/>
      <c r="K9691" s="12"/>
      <c r="L9691" s="12"/>
      <c r="M9691" s="11"/>
      <c r="N9691" s="11"/>
      <c r="O9691" s="11"/>
      <c r="P9691" s="11"/>
    </row>
    <row r="9692" spans="8:16" x14ac:dyDescent="0.25">
      <c r="H9692" s="12"/>
      <c r="I9692" s="12"/>
      <c r="J9692" s="12"/>
      <c r="K9692" s="12"/>
      <c r="L9692" s="12"/>
      <c r="M9692" s="11"/>
      <c r="N9692" s="11"/>
      <c r="O9692" s="11"/>
      <c r="P9692" s="11"/>
    </row>
    <row r="9693" spans="8:16" x14ac:dyDescent="0.25">
      <c r="H9693" s="12"/>
      <c r="I9693" s="12"/>
      <c r="J9693" s="12"/>
      <c r="K9693" s="12"/>
      <c r="L9693" s="12"/>
      <c r="M9693" s="11"/>
      <c r="N9693" s="11"/>
      <c r="O9693" s="11"/>
      <c r="P9693" s="11"/>
    </row>
    <row r="9694" spans="8:16" x14ac:dyDescent="0.25">
      <c r="H9694" s="12"/>
      <c r="I9694" s="12"/>
      <c r="J9694" s="12"/>
      <c r="K9694" s="12"/>
      <c r="L9694" s="12"/>
      <c r="M9694" s="11"/>
      <c r="N9694" s="11"/>
      <c r="O9694" s="11"/>
      <c r="P9694" s="11"/>
    </row>
    <row r="9695" spans="8:16" x14ac:dyDescent="0.25">
      <c r="H9695" s="12"/>
      <c r="I9695" s="12"/>
      <c r="J9695" s="12"/>
      <c r="K9695" s="12"/>
      <c r="L9695" s="12"/>
      <c r="M9695" s="11"/>
      <c r="N9695" s="11"/>
      <c r="O9695" s="11"/>
      <c r="P9695" s="11"/>
    </row>
    <row r="9696" spans="8:16" x14ac:dyDescent="0.25">
      <c r="H9696" s="12"/>
      <c r="I9696" s="12"/>
      <c r="J9696" s="12"/>
      <c r="K9696" s="12"/>
      <c r="L9696" s="12"/>
      <c r="M9696" s="11"/>
      <c r="N9696" s="11"/>
      <c r="O9696" s="11"/>
      <c r="P9696" s="11"/>
    </row>
    <row r="9697" spans="8:16" x14ac:dyDescent="0.25">
      <c r="H9697" s="12"/>
      <c r="I9697" s="12"/>
      <c r="J9697" s="12"/>
      <c r="K9697" s="12"/>
      <c r="L9697" s="12"/>
      <c r="M9697" s="11"/>
      <c r="N9697" s="11"/>
      <c r="O9697" s="11"/>
      <c r="P9697" s="11"/>
    </row>
    <row r="9698" spans="8:16" x14ac:dyDescent="0.25">
      <c r="H9698" s="12"/>
      <c r="I9698" s="12"/>
      <c r="J9698" s="12"/>
      <c r="K9698" s="12"/>
      <c r="L9698" s="12"/>
      <c r="M9698" s="11"/>
      <c r="N9698" s="11"/>
      <c r="O9698" s="11"/>
      <c r="P9698" s="11"/>
    </row>
    <row r="9699" spans="8:16" x14ac:dyDescent="0.25">
      <c r="H9699" s="12"/>
      <c r="I9699" s="12"/>
      <c r="J9699" s="12"/>
      <c r="K9699" s="12"/>
      <c r="L9699" s="12"/>
      <c r="M9699" s="11"/>
      <c r="N9699" s="11"/>
      <c r="O9699" s="11"/>
      <c r="P9699" s="11"/>
    </row>
    <row r="9700" spans="8:16" x14ac:dyDescent="0.25">
      <c r="H9700" s="12"/>
      <c r="I9700" s="12"/>
      <c r="J9700" s="12"/>
      <c r="K9700" s="12"/>
      <c r="L9700" s="12"/>
      <c r="M9700" s="11"/>
      <c r="N9700" s="11"/>
      <c r="O9700" s="11"/>
      <c r="P9700" s="11"/>
    </row>
    <row r="9701" spans="8:16" x14ac:dyDescent="0.25">
      <c r="H9701" s="12"/>
      <c r="I9701" s="12"/>
      <c r="J9701" s="12"/>
      <c r="K9701" s="12"/>
      <c r="L9701" s="12"/>
      <c r="M9701" s="11"/>
      <c r="N9701" s="11"/>
      <c r="O9701" s="11"/>
      <c r="P9701" s="11"/>
    </row>
    <row r="9702" spans="8:16" x14ac:dyDescent="0.25">
      <c r="H9702" s="12"/>
      <c r="I9702" s="12"/>
      <c r="J9702" s="12"/>
      <c r="K9702" s="12"/>
      <c r="L9702" s="12"/>
      <c r="M9702" s="11"/>
      <c r="N9702" s="11"/>
      <c r="O9702" s="11"/>
      <c r="P9702" s="11"/>
    </row>
    <row r="9703" spans="8:16" x14ac:dyDescent="0.25">
      <c r="H9703" s="12"/>
      <c r="I9703" s="12"/>
      <c r="J9703" s="12"/>
      <c r="K9703" s="12"/>
      <c r="L9703" s="12"/>
      <c r="M9703" s="11"/>
      <c r="N9703" s="11"/>
      <c r="O9703" s="11"/>
      <c r="P9703" s="11"/>
    </row>
    <row r="9704" spans="8:16" x14ac:dyDescent="0.25">
      <c r="H9704" s="12"/>
      <c r="I9704" s="12"/>
      <c r="J9704" s="12"/>
      <c r="K9704" s="12"/>
      <c r="L9704" s="12"/>
      <c r="M9704" s="11"/>
      <c r="N9704" s="11"/>
      <c r="O9704" s="11"/>
      <c r="P9704" s="11"/>
    </row>
    <row r="9705" spans="8:16" x14ac:dyDescent="0.25">
      <c r="H9705" s="12"/>
      <c r="I9705" s="12"/>
      <c r="J9705" s="12"/>
      <c r="K9705" s="12"/>
      <c r="L9705" s="12"/>
      <c r="M9705" s="11"/>
      <c r="N9705" s="11"/>
      <c r="O9705" s="11"/>
      <c r="P9705" s="11"/>
    </row>
    <row r="9706" spans="8:16" x14ac:dyDescent="0.25">
      <c r="H9706" s="12"/>
      <c r="I9706" s="12"/>
      <c r="J9706" s="12"/>
      <c r="K9706" s="12"/>
      <c r="L9706" s="12"/>
      <c r="M9706" s="11"/>
      <c r="N9706" s="11"/>
      <c r="O9706" s="11"/>
      <c r="P9706" s="11"/>
    </row>
    <row r="9707" spans="8:16" x14ac:dyDescent="0.25">
      <c r="H9707" s="12"/>
      <c r="I9707" s="12"/>
      <c r="J9707" s="12"/>
      <c r="K9707" s="12"/>
      <c r="L9707" s="12"/>
      <c r="M9707" s="11"/>
      <c r="N9707" s="11"/>
      <c r="O9707" s="11"/>
      <c r="P9707" s="11"/>
    </row>
    <row r="9708" spans="8:16" x14ac:dyDescent="0.25">
      <c r="H9708" s="12"/>
      <c r="I9708" s="12"/>
      <c r="J9708" s="12"/>
      <c r="K9708" s="12"/>
      <c r="L9708" s="12"/>
      <c r="M9708" s="11"/>
      <c r="N9708" s="11"/>
      <c r="O9708" s="11"/>
      <c r="P9708" s="11"/>
    </row>
    <row r="9709" spans="8:16" x14ac:dyDescent="0.25">
      <c r="H9709" s="12"/>
      <c r="I9709" s="12"/>
      <c r="J9709" s="12"/>
      <c r="K9709" s="12"/>
      <c r="L9709" s="12"/>
      <c r="M9709" s="11"/>
      <c r="N9709" s="11"/>
      <c r="O9709" s="11"/>
      <c r="P9709" s="11"/>
    </row>
    <row r="9710" spans="8:16" x14ac:dyDescent="0.25">
      <c r="H9710" s="12"/>
      <c r="I9710" s="12"/>
      <c r="J9710" s="12"/>
      <c r="K9710" s="12"/>
      <c r="L9710" s="12"/>
      <c r="M9710" s="11"/>
      <c r="N9710" s="11"/>
      <c r="O9710" s="11"/>
      <c r="P9710" s="11"/>
    </row>
    <row r="9711" spans="8:16" x14ac:dyDescent="0.25">
      <c r="H9711" s="12"/>
      <c r="I9711" s="12"/>
      <c r="J9711" s="12"/>
      <c r="K9711" s="12"/>
      <c r="L9711" s="12"/>
      <c r="M9711" s="11"/>
      <c r="N9711" s="11"/>
      <c r="O9711" s="11"/>
      <c r="P9711" s="11"/>
    </row>
    <row r="9712" spans="8:16" x14ac:dyDescent="0.25">
      <c r="H9712" s="12"/>
      <c r="I9712" s="12"/>
      <c r="J9712" s="12"/>
      <c r="K9712" s="12"/>
      <c r="L9712" s="12"/>
      <c r="M9712" s="11"/>
      <c r="N9712" s="11"/>
      <c r="O9712" s="11"/>
      <c r="P9712" s="11"/>
    </row>
    <row r="9713" spans="8:16" x14ac:dyDescent="0.25">
      <c r="H9713" s="12"/>
      <c r="I9713" s="12"/>
      <c r="J9713" s="12"/>
      <c r="K9713" s="12"/>
      <c r="L9713" s="12"/>
      <c r="M9713" s="11"/>
      <c r="N9713" s="11"/>
      <c r="O9713" s="11"/>
      <c r="P9713" s="11"/>
    </row>
    <row r="9714" spans="8:16" x14ac:dyDescent="0.25">
      <c r="H9714" s="12"/>
      <c r="I9714" s="12"/>
      <c r="J9714" s="12"/>
      <c r="K9714" s="12"/>
      <c r="L9714" s="12"/>
      <c r="M9714" s="11"/>
      <c r="N9714" s="11"/>
      <c r="O9714" s="11"/>
      <c r="P9714" s="11"/>
    </row>
    <row r="9715" spans="8:16" x14ac:dyDescent="0.25">
      <c r="H9715" s="12"/>
      <c r="I9715" s="12"/>
      <c r="J9715" s="12"/>
      <c r="K9715" s="12"/>
      <c r="L9715" s="12"/>
      <c r="M9715" s="11"/>
      <c r="N9715" s="11"/>
      <c r="O9715" s="11"/>
      <c r="P9715" s="11"/>
    </row>
    <row r="9716" spans="8:16" x14ac:dyDescent="0.25">
      <c r="H9716" s="12"/>
      <c r="I9716" s="12"/>
      <c r="J9716" s="12"/>
      <c r="K9716" s="12"/>
      <c r="L9716" s="12"/>
      <c r="M9716" s="11"/>
      <c r="N9716" s="11"/>
      <c r="O9716" s="11"/>
      <c r="P9716" s="11"/>
    </row>
    <row r="9717" spans="8:16" x14ac:dyDescent="0.25">
      <c r="H9717" s="12"/>
      <c r="I9717" s="12"/>
      <c r="J9717" s="12"/>
      <c r="K9717" s="12"/>
      <c r="L9717" s="12"/>
      <c r="M9717" s="11"/>
      <c r="N9717" s="11"/>
      <c r="O9717" s="11"/>
      <c r="P9717" s="11"/>
    </row>
    <row r="9718" spans="8:16" x14ac:dyDescent="0.25">
      <c r="H9718" s="12"/>
      <c r="I9718" s="12"/>
      <c r="J9718" s="12"/>
      <c r="K9718" s="12"/>
      <c r="L9718" s="12"/>
      <c r="M9718" s="11"/>
      <c r="N9718" s="11"/>
      <c r="O9718" s="11"/>
      <c r="P9718" s="11"/>
    </row>
    <row r="9719" spans="8:16" x14ac:dyDescent="0.25">
      <c r="H9719" s="12"/>
      <c r="I9719" s="12"/>
      <c r="J9719" s="12"/>
      <c r="K9719" s="12"/>
      <c r="L9719" s="12"/>
      <c r="M9719" s="11"/>
      <c r="N9719" s="11"/>
      <c r="O9719" s="11"/>
      <c r="P9719" s="11"/>
    </row>
    <row r="9720" spans="8:16" x14ac:dyDescent="0.25">
      <c r="H9720" s="12"/>
      <c r="I9720" s="12"/>
      <c r="J9720" s="12"/>
      <c r="K9720" s="12"/>
      <c r="L9720" s="12"/>
      <c r="M9720" s="11"/>
      <c r="N9720" s="11"/>
      <c r="O9720" s="11"/>
      <c r="P9720" s="11"/>
    </row>
    <row r="9721" spans="8:16" x14ac:dyDescent="0.25">
      <c r="H9721" s="12"/>
      <c r="I9721" s="12"/>
      <c r="J9721" s="12"/>
      <c r="K9721" s="12"/>
      <c r="L9721" s="12"/>
      <c r="M9721" s="11"/>
      <c r="N9721" s="11"/>
      <c r="O9721" s="11"/>
      <c r="P9721" s="11"/>
    </row>
    <row r="9722" spans="8:16" x14ac:dyDescent="0.25">
      <c r="H9722" s="12"/>
      <c r="I9722" s="12"/>
      <c r="J9722" s="12"/>
      <c r="K9722" s="12"/>
      <c r="L9722" s="12"/>
      <c r="M9722" s="11"/>
      <c r="N9722" s="11"/>
      <c r="O9722" s="11"/>
      <c r="P9722" s="11"/>
    </row>
    <row r="9723" spans="8:16" x14ac:dyDescent="0.25">
      <c r="H9723" s="12"/>
      <c r="I9723" s="12"/>
      <c r="J9723" s="12"/>
      <c r="K9723" s="12"/>
      <c r="L9723" s="12"/>
      <c r="M9723" s="11"/>
      <c r="N9723" s="11"/>
      <c r="O9723" s="11"/>
      <c r="P9723" s="11"/>
    </row>
    <row r="9724" spans="8:16" x14ac:dyDescent="0.25">
      <c r="H9724" s="12"/>
      <c r="I9724" s="12"/>
      <c r="J9724" s="12"/>
      <c r="K9724" s="12"/>
      <c r="L9724" s="12"/>
      <c r="M9724" s="11"/>
      <c r="N9724" s="11"/>
      <c r="O9724" s="11"/>
      <c r="P9724" s="11"/>
    </row>
    <row r="9725" spans="8:16" x14ac:dyDescent="0.25">
      <c r="H9725" s="12"/>
      <c r="I9725" s="12"/>
      <c r="J9725" s="12"/>
      <c r="K9725" s="12"/>
      <c r="L9725" s="12"/>
      <c r="M9725" s="11"/>
      <c r="N9725" s="11"/>
      <c r="O9725" s="11"/>
      <c r="P9725" s="11"/>
    </row>
    <row r="9726" spans="8:16" x14ac:dyDescent="0.25">
      <c r="H9726" s="12"/>
      <c r="I9726" s="12"/>
      <c r="J9726" s="12"/>
      <c r="K9726" s="12"/>
      <c r="L9726" s="12"/>
      <c r="M9726" s="11"/>
      <c r="N9726" s="11"/>
      <c r="O9726" s="11"/>
      <c r="P9726" s="11"/>
    </row>
    <row r="9727" spans="8:16" x14ac:dyDescent="0.25">
      <c r="H9727" s="12"/>
      <c r="I9727" s="12"/>
      <c r="J9727" s="12"/>
      <c r="K9727" s="12"/>
      <c r="L9727" s="12"/>
      <c r="M9727" s="11"/>
      <c r="N9727" s="11"/>
      <c r="O9727" s="11"/>
      <c r="P9727" s="11"/>
    </row>
    <row r="9728" spans="8:16" x14ac:dyDescent="0.25">
      <c r="H9728" s="12"/>
      <c r="I9728" s="12"/>
      <c r="J9728" s="12"/>
      <c r="K9728" s="12"/>
      <c r="L9728" s="12"/>
      <c r="M9728" s="11"/>
      <c r="N9728" s="11"/>
      <c r="O9728" s="11"/>
      <c r="P9728" s="11"/>
    </row>
    <row r="9729" spans="8:16" x14ac:dyDescent="0.25">
      <c r="H9729" s="12"/>
      <c r="I9729" s="12"/>
      <c r="J9729" s="12"/>
      <c r="K9729" s="12"/>
      <c r="L9729" s="12"/>
      <c r="M9729" s="11"/>
      <c r="N9729" s="11"/>
      <c r="O9729" s="11"/>
      <c r="P9729" s="11"/>
    </row>
    <row r="9730" spans="8:16" x14ac:dyDescent="0.25">
      <c r="H9730" s="12"/>
      <c r="I9730" s="12"/>
      <c r="J9730" s="12"/>
      <c r="K9730" s="12"/>
      <c r="L9730" s="12"/>
      <c r="M9730" s="11"/>
      <c r="N9730" s="11"/>
      <c r="O9730" s="11"/>
      <c r="P9730" s="11"/>
    </row>
    <row r="9731" spans="8:16" x14ac:dyDescent="0.25">
      <c r="H9731" s="12"/>
      <c r="I9731" s="12"/>
      <c r="J9731" s="12"/>
      <c r="K9731" s="12"/>
      <c r="L9731" s="12"/>
      <c r="M9731" s="11"/>
      <c r="N9731" s="11"/>
      <c r="O9731" s="11"/>
      <c r="P9731" s="11"/>
    </row>
    <row r="9732" spans="8:16" x14ac:dyDescent="0.25">
      <c r="H9732" s="12"/>
      <c r="I9732" s="12"/>
      <c r="J9732" s="12"/>
      <c r="K9732" s="12"/>
      <c r="L9732" s="12"/>
      <c r="M9732" s="11"/>
      <c r="N9732" s="11"/>
      <c r="O9732" s="11"/>
      <c r="P9732" s="11"/>
    </row>
    <row r="9733" spans="8:16" x14ac:dyDescent="0.25">
      <c r="H9733" s="12"/>
      <c r="I9733" s="12"/>
      <c r="J9733" s="12"/>
      <c r="K9733" s="12"/>
      <c r="L9733" s="12"/>
      <c r="M9733" s="11"/>
      <c r="N9733" s="11"/>
      <c r="O9733" s="11"/>
      <c r="P9733" s="11"/>
    </row>
    <row r="9734" spans="8:16" x14ac:dyDescent="0.25">
      <c r="H9734" s="12"/>
      <c r="I9734" s="12"/>
      <c r="J9734" s="12"/>
      <c r="K9734" s="12"/>
      <c r="L9734" s="12"/>
      <c r="M9734" s="11"/>
      <c r="N9734" s="11"/>
      <c r="O9734" s="11"/>
      <c r="P9734" s="11"/>
    </row>
    <row r="9735" spans="8:16" x14ac:dyDescent="0.25">
      <c r="H9735" s="12"/>
      <c r="I9735" s="12"/>
      <c r="J9735" s="12"/>
      <c r="K9735" s="12"/>
      <c r="L9735" s="12"/>
      <c r="M9735" s="11"/>
      <c r="N9735" s="11"/>
      <c r="O9735" s="11"/>
      <c r="P9735" s="11"/>
    </row>
    <row r="9736" spans="8:16" x14ac:dyDescent="0.25">
      <c r="H9736" s="12"/>
      <c r="I9736" s="12"/>
      <c r="J9736" s="12"/>
      <c r="K9736" s="12"/>
      <c r="L9736" s="12"/>
      <c r="M9736" s="11"/>
      <c r="N9736" s="11"/>
      <c r="O9736" s="11"/>
      <c r="P9736" s="11"/>
    </row>
    <row r="9737" spans="8:16" x14ac:dyDescent="0.25">
      <c r="H9737" s="12"/>
      <c r="I9737" s="12"/>
      <c r="J9737" s="12"/>
      <c r="K9737" s="12"/>
      <c r="L9737" s="12"/>
      <c r="M9737" s="11"/>
      <c r="N9737" s="11"/>
      <c r="O9737" s="11"/>
      <c r="P9737" s="11"/>
    </row>
    <row r="9738" spans="8:16" x14ac:dyDescent="0.25">
      <c r="H9738" s="12"/>
      <c r="I9738" s="12"/>
      <c r="J9738" s="12"/>
      <c r="K9738" s="12"/>
      <c r="L9738" s="12"/>
      <c r="M9738" s="11"/>
      <c r="N9738" s="11"/>
      <c r="O9738" s="11"/>
      <c r="P9738" s="11"/>
    </row>
    <row r="9739" spans="8:16" x14ac:dyDescent="0.25">
      <c r="H9739" s="12"/>
      <c r="I9739" s="12"/>
      <c r="J9739" s="12"/>
      <c r="K9739" s="12"/>
      <c r="L9739" s="12"/>
      <c r="M9739" s="11"/>
      <c r="N9739" s="11"/>
      <c r="O9739" s="11"/>
      <c r="P9739" s="11"/>
    </row>
    <row r="9740" spans="8:16" x14ac:dyDescent="0.25">
      <c r="H9740" s="12"/>
      <c r="I9740" s="12"/>
      <c r="J9740" s="12"/>
      <c r="K9740" s="12"/>
      <c r="L9740" s="12"/>
      <c r="M9740" s="11"/>
      <c r="N9740" s="11"/>
      <c r="O9740" s="11"/>
      <c r="P9740" s="11"/>
    </row>
    <row r="9741" spans="8:16" x14ac:dyDescent="0.25">
      <c r="H9741" s="12"/>
      <c r="I9741" s="12"/>
      <c r="J9741" s="12"/>
      <c r="K9741" s="12"/>
      <c r="L9741" s="12"/>
      <c r="M9741" s="11"/>
      <c r="N9741" s="11"/>
      <c r="O9741" s="11"/>
      <c r="P9741" s="11"/>
    </row>
    <row r="9742" spans="8:16" x14ac:dyDescent="0.25">
      <c r="H9742" s="12"/>
      <c r="I9742" s="12"/>
      <c r="J9742" s="12"/>
      <c r="K9742" s="12"/>
      <c r="L9742" s="12"/>
      <c r="M9742" s="11"/>
      <c r="N9742" s="11"/>
      <c r="O9742" s="11"/>
      <c r="P9742" s="11"/>
    </row>
    <row r="9743" spans="8:16" x14ac:dyDescent="0.25">
      <c r="H9743" s="12"/>
      <c r="I9743" s="12"/>
      <c r="J9743" s="12"/>
      <c r="K9743" s="12"/>
      <c r="L9743" s="12"/>
      <c r="M9743" s="11"/>
      <c r="N9743" s="11"/>
      <c r="O9743" s="11"/>
      <c r="P9743" s="11"/>
    </row>
    <row r="9744" spans="8:16" x14ac:dyDescent="0.25">
      <c r="H9744" s="12"/>
      <c r="I9744" s="12"/>
      <c r="J9744" s="12"/>
      <c r="K9744" s="12"/>
      <c r="L9744" s="12"/>
      <c r="M9744" s="11"/>
      <c r="N9744" s="11"/>
      <c r="O9744" s="11"/>
      <c r="P9744" s="11"/>
    </row>
    <row r="9745" spans="8:16" x14ac:dyDescent="0.25">
      <c r="H9745" s="12"/>
      <c r="I9745" s="12"/>
      <c r="J9745" s="12"/>
      <c r="K9745" s="12"/>
      <c r="L9745" s="12"/>
      <c r="M9745" s="11"/>
      <c r="N9745" s="11"/>
      <c r="O9745" s="11"/>
      <c r="P9745" s="11"/>
    </row>
    <row r="9746" spans="8:16" x14ac:dyDescent="0.25">
      <c r="H9746" s="12"/>
      <c r="I9746" s="12"/>
      <c r="J9746" s="12"/>
      <c r="K9746" s="12"/>
      <c r="L9746" s="12"/>
      <c r="M9746" s="11"/>
      <c r="N9746" s="11"/>
      <c r="O9746" s="11"/>
      <c r="P9746" s="11"/>
    </row>
    <row r="9747" spans="8:16" x14ac:dyDescent="0.25">
      <c r="H9747" s="12"/>
      <c r="I9747" s="12"/>
      <c r="J9747" s="12"/>
      <c r="K9747" s="12"/>
      <c r="L9747" s="12"/>
      <c r="M9747" s="11"/>
      <c r="N9747" s="11"/>
      <c r="O9747" s="11"/>
      <c r="P9747" s="11"/>
    </row>
    <row r="9748" spans="8:16" x14ac:dyDescent="0.25">
      <c r="H9748" s="12"/>
      <c r="I9748" s="12"/>
      <c r="J9748" s="12"/>
      <c r="K9748" s="12"/>
      <c r="L9748" s="12"/>
      <c r="M9748" s="11"/>
      <c r="N9748" s="11"/>
      <c r="O9748" s="11"/>
      <c r="P9748" s="11"/>
    </row>
    <row r="9749" spans="8:16" x14ac:dyDescent="0.25">
      <c r="H9749" s="12"/>
      <c r="I9749" s="12"/>
      <c r="J9749" s="12"/>
      <c r="K9749" s="12"/>
      <c r="L9749" s="12"/>
      <c r="M9749" s="11"/>
      <c r="N9749" s="11"/>
      <c r="O9749" s="11"/>
      <c r="P9749" s="11"/>
    </row>
    <row r="9750" spans="8:16" x14ac:dyDescent="0.25">
      <c r="H9750" s="12"/>
      <c r="I9750" s="12"/>
      <c r="J9750" s="12"/>
      <c r="K9750" s="12"/>
      <c r="L9750" s="12"/>
      <c r="M9750" s="11"/>
      <c r="N9750" s="11"/>
      <c r="O9750" s="11"/>
      <c r="P9750" s="11"/>
    </row>
    <row r="9751" spans="8:16" x14ac:dyDescent="0.25">
      <c r="H9751" s="12"/>
      <c r="I9751" s="12"/>
      <c r="J9751" s="12"/>
      <c r="K9751" s="12"/>
      <c r="L9751" s="12"/>
      <c r="M9751" s="11"/>
      <c r="N9751" s="11"/>
      <c r="O9751" s="11"/>
      <c r="P9751" s="11"/>
    </row>
    <row r="9752" spans="8:16" x14ac:dyDescent="0.25">
      <c r="H9752" s="12"/>
      <c r="I9752" s="12"/>
      <c r="J9752" s="12"/>
      <c r="K9752" s="12"/>
      <c r="L9752" s="12"/>
      <c r="M9752" s="11"/>
      <c r="N9752" s="11"/>
      <c r="O9752" s="11"/>
      <c r="P9752" s="11"/>
    </row>
    <row r="9753" spans="8:16" x14ac:dyDescent="0.25">
      <c r="H9753" s="12"/>
      <c r="I9753" s="12"/>
      <c r="J9753" s="12"/>
      <c r="K9753" s="12"/>
      <c r="L9753" s="12"/>
      <c r="M9753" s="11"/>
      <c r="N9753" s="11"/>
      <c r="O9753" s="11"/>
      <c r="P9753" s="11"/>
    </row>
    <row r="9754" spans="8:16" x14ac:dyDescent="0.25">
      <c r="H9754" s="12"/>
      <c r="I9754" s="12"/>
      <c r="J9754" s="12"/>
      <c r="K9754" s="12"/>
      <c r="L9754" s="12"/>
      <c r="M9754" s="11"/>
      <c r="N9754" s="11"/>
      <c r="O9754" s="11"/>
      <c r="P9754" s="11"/>
    </row>
    <row r="9755" spans="8:16" x14ac:dyDescent="0.25">
      <c r="H9755" s="12"/>
      <c r="I9755" s="12"/>
      <c r="J9755" s="12"/>
      <c r="K9755" s="12"/>
      <c r="L9755" s="12"/>
      <c r="M9755" s="11"/>
      <c r="N9755" s="11"/>
      <c r="O9755" s="11"/>
      <c r="P9755" s="11"/>
    </row>
    <row r="9756" spans="8:16" x14ac:dyDescent="0.25">
      <c r="H9756" s="12"/>
      <c r="I9756" s="12"/>
      <c r="J9756" s="12"/>
      <c r="K9756" s="12"/>
      <c r="L9756" s="12"/>
      <c r="M9756" s="11"/>
      <c r="N9756" s="11"/>
      <c r="O9756" s="11"/>
      <c r="P9756" s="11"/>
    </row>
    <row r="9757" spans="8:16" x14ac:dyDescent="0.25">
      <c r="H9757" s="12"/>
      <c r="I9757" s="12"/>
      <c r="J9757" s="12"/>
      <c r="K9757" s="12"/>
      <c r="L9757" s="12"/>
      <c r="M9757" s="11"/>
      <c r="N9757" s="11"/>
      <c r="O9757" s="11"/>
      <c r="P9757" s="11"/>
    </row>
    <row r="9758" spans="8:16" x14ac:dyDescent="0.25">
      <c r="H9758" s="12"/>
      <c r="I9758" s="12"/>
      <c r="J9758" s="12"/>
      <c r="K9758" s="12"/>
      <c r="L9758" s="12"/>
      <c r="M9758" s="11"/>
      <c r="N9758" s="11"/>
      <c r="O9758" s="11"/>
      <c r="P9758" s="11"/>
    </row>
    <row r="9759" spans="8:16" x14ac:dyDescent="0.25">
      <c r="H9759" s="12"/>
      <c r="I9759" s="12"/>
      <c r="J9759" s="12"/>
      <c r="K9759" s="12"/>
      <c r="L9759" s="12"/>
      <c r="M9759" s="11"/>
      <c r="N9759" s="11"/>
      <c r="O9759" s="11"/>
      <c r="P9759" s="11"/>
    </row>
    <row r="9760" spans="8:16" x14ac:dyDescent="0.25">
      <c r="H9760" s="12"/>
      <c r="I9760" s="12"/>
      <c r="J9760" s="12"/>
      <c r="K9760" s="12"/>
      <c r="L9760" s="12"/>
      <c r="M9760" s="11"/>
      <c r="N9760" s="11"/>
      <c r="O9760" s="11"/>
      <c r="P9760" s="11"/>
    </row>
    <row r="9761" spans="8:16" x14ac:dyDescent="0.25">
      <c r="H9761" s="12"/>
      <c r="I9761" s="12"/>
      <c r="J9761" s="12"/>
      <c r="K9761" s="12"/>
      <c r="L9761" s="12"/>
      <c r="M9761" s="11"/>
      <c r="N9761" s="11"/>
      <c r="O9761" s="11"/>
      <c r="P9761" s="11"/>
    </row>
    <row r="9762" spans="8:16" x14ac:dyDescent="0.25">
      <c r="H9762" s="12"/>
      <c r="I9762" s="12"/>
      <c r="J9762" s="12"/>
      <c r="K9762" s="12"/>
      <c r="L9762" s="12"/>
      <c r="M9762" s="11"/>
      <c r="N9762" s="11"/>
      <c r="O9762" s="11"/>
      <c r="P9762" s="11"/>
    </row>
    <row r="9763" spans="8:16" x14ac:dyDescent="0.25">
      <c r="H9763" s="12"/>
      <c r="I9763" s="12"/>
      <c r="J9763" s="12"/>
      <c r="K9763" s="12"/>
      <c r="L9763" s="12"/>
      <c r="M9763" s="11"/>
      <c r="N9763" s="11"/>
      <c r="O9763" s="11"/>
      <c r="P9763" s="11"/>
    </row>
    <row r="9764" spans="8:16" x14ac:dyDescent="0.25">
      <c r="H9764" s="12"/>
      <c r="I9764" s="12"/>
      <c r="J9764" s="12"/>
      <c r="K9764" s="12"/>
      <c r="L9764" s="12"/>
      <c r="M9764" s="11"/>
      <c r="N9764" s="11"/>
      <c r="O9764" s="11"/>
      <c r="P9764" s="11"/>
    </row>
    <row r="9765" spans="8:16" x14ac:dyDescent="0.25">
      <c r="H9765" s="12"/>
      <c r="I9765" s="12"/>
      <c r="J9765" s="12"/>
      <c r="K9765" s="12"/>
      <c r="L9765" s="12"/>
      <c r="M9765" s="11"/>
      <c r="N9765" s="11"/>
      <c r="O9765" s="11"/>
      <c r="P9765" s="11"/>
    </row>
    <row r="9766" spans="8:16" x14ac:dyDescent="0.25">
      <c r="H9766" s="12"/>
      <c r="I9766" s="12"/>
      <c r="J9766" s="12"/>
      <c r="K9766" s="12"/>
      <c r="L9766" s="12"/>
      <c r="M9766" s="11"/>
      <c r="N9766" s="11"/>
      <c r="O9766" s="11"/>
      <c r="P9766" s="11"/>
    </row>
    <row r="9767" spans="8:16" x14ac:dyDescent="0.25">
      <c r="H9767" s="12"/>
      <c r="I9767" s="12"/>
      <c r="J9767" s="12"/>
      <c r="K9767" s="12"/>
      <c r="L9767" s="12"/>
      <c r="M9767" s="11"/>
      <c r="N9767" s="11"/>
      <c r="O9767" s="11"/>
      <c r="P9767" s="11"/>
    </row>
    <row r="9768" spans="8:16" x14ac:dyDescent="0.25">
      <c r="H9768" s="12"/>
      <c r="I9768" s="12"/>
      <c r="J9768" s="12"/>
      <c r="K9768" s="12"/>
      <c r="L9768" s="12"/>
      <c r="M9768" s="11"/>
      <c r="N9768" s="11"/>
      <c r="O9768" s="11"/>
      <c r="P9768" s="11"/>
    </row>
    <row r="9769" spans="8:16" x14ac:dyDescent="0.25">
      <c r="H9769" s="12"/>
      <c r="I9769" s="12"/>
      <c r="J9769" s="12"/>
      <c r="K9769" s="12"/>
      <c r="L9769" s="12"/>
      <c r="M9769" s="11"/>
      <c r="N9769" s="11"/>
      <c r="O9769" s="11"/>
      <c r="P9769" s="11"/>
    </row>
    <row r="9770" spans="8:16" x14ac:dyDescent="0.25">
      <c r="H9770" s="12"/>
      <c r="I9770" s="12"/>
      <c r="J9770" s="12"/>
      <c r="K9770" s="12"/>
      <c r="L9770" s="12"/>
      <c r="M9770" s="11"/>
      <c r="N9770" s="11"/>
      <c r="O9770" s="11"/>
      <c r="P9770" s="11"/>
    </row>
    <row r="9771" spans="8:16" x14ac:dyDescent="0.25">
      <c r="H9771" s="12"/>
      <c r="I9771" s="12"/>
      <c r="J9771" s="12"/>
      <c r="K9771" s="12"/>
      <c r="L9771" s="12"/>
      <c r="M9771" s="11"/>
      <c r="N9771" s="11"/>
      <c r="O9771" s="11"/>
      <c r="P9771" s="11"/>
    </row>
    <row r="9772" spans="8:16" x14ac:dyDescent="0.25">
      <c r="H9772" s="12"/>
      <c r="I9772" s="12"/>
      <c r="J9772" s="12"/>
      <c r="K9772" s="12"/>
      <c r="L9772" s="12"/>
      <c r="M9772" s="11"/>
      <c r="N9772" s="11"/>
      <c r="O9772" s="11"/>
      <c r="P9772" s="11"/>
    </row>
    <row r="9773" spans="8:16" x14ac:dyDescent="0.25">
      <c r="H9773" s="12"/>
      <c r="I9773" s="12"/>
      <c r="J9773" s="12"/>
      <c r="K9773" s="12"/>
      <c r="L9773" s="12"/>
      <c r="M9773" s="11"/>
      <c r="N9773" s="11"/>
      <c r="O9773" s="11"/>
      <c r="P9773" s="11"/>
    </row>
    <row r="9774" spans="8:16" x14ac:dyDescent="0.25">
      <c r="H9774" s="12"/>
      <c r="I9774" s="12"/>
      <c r="J9774" s="12"/>
      <c r="K9774" s="12"/>
      <c r="L9774" s="12"/>
      <c r="M9774" s="11"/>
      <c r="N9774" s="11"/>
      <c r="O9774" s="11"/>
      <c r="P9774" s="11"/>
    </row>
    <row r="9775" spans="8:16" x14ac:dyDescent="0.25">
      <c r="H9775" s="12"/>
      <c r="I9775" s="12"/>
      <c r="J9775" s="12"/>
      <c r="K9775" s="12"/>
      <c r="L9775" s="12"/>
      <c r="M9775" s="11"/>
      <c r="N9775" s="11"/>
      <c r="O9775" s="11"/>
      <c r="P9775" s="11"/>
    </row>
    <row r="9776" spans="8:16" x14ac:dyDescent="0.25">
      <c r="H9776" s="12"/>
      <c r="I9776" s="12"/>
      <c r="J9776" s="12"/>
      <c r="K9776" s="12"/>
      <c r="L9776" s="12"/>
      <c r="M9776" s="11"/>
      <c r="N9776" s="11"/>
      <c r="O9776" s="11"/>
      <c r="P9776" s="11"/>
    </row>
    <row r="9777" spans="8:16" x14ac:dyDescent="0.25">
      <c r="H9777" s="12"/>
      <c r="I9777" s="12"/>
      <c r="J9777" s="12"/>
      <c r="K9777" s="12"/>
      <c r="L9777" s="12"/>
      <c r="M9777" s="11"/>
      <c r="N9777" s="11"/>
      <c r="O9777" s="11"/>
      <c r="P9777" s="11"/>
    </row>
    <row r="9778" spans="8:16" x14ac:dyDescent="0.25">
      <c r="H9778" s="12"/>
      <c r="I9778" s="12"/>
      <c r="J9778" s="12"/>
      <c r="K9778" s="12"/>
      <c r="L9778" s="12"/>
      <c r="M9778" s="11"/>
      <c r="N9778" s="11"/>
      <c r="O9778" s="11"/>
      <c r="P9778" s="11"/>
    </row>
    <row r="9779" spans="8:16" x14ac:dyDescent="0.25">
      <c r="H9779" s="12"/>
      <c r="I9779" s="12"/>
      <c r="J9779" s="12"/>
      <c r="K9779" s="12"/>
      <c r="L9779" s="12"/>
      <c r="M9779" s="11"/>
      <c r="N9779" s="11"/>
      <c r="O9779" s="11"/>
      <c r="P9779" s="11"/>
    </row>
    <row r="9780" spans="8:16" x14ac:dyDescent="0.25">
      <c r="H9780" s="12"/>
      <c r="I9780" s="12"/>
      <c r="J9780" s="12"/>
      <c r="K9780" s="12"/>
      <c r="L9780" s="12"/>
      <c r="M9780" s="11"/>
      <c r="N9780" s="11"/>
      <c r="O9780" s="11"/>
      <c r="P9780" s="11"/>
    </row>
    <row r="9781" spans="8:16" x14ac:dyDescent="0.25">
      <c r="H9781" s="12"/>
      <c r="I9781" s="12"/>
      <c r="J9781" s="12"/>
      <c r="K9781" s="12"/>
      <c r="L9781" s="12"/>
      <c r="M9781" s="11"/>
      <c r="N9781" s="11"/>
      <c r="O9781" s="11"/>
      <c r="P9781" s="11"/>
    </row>
    <row r="9782" spans="8:16" x14ac:dyDescent="0.25">
      <c r="H9782" s="12"/>
      <c r="I9782" s="12"/>
      <c r="J9782" s="12"/>
      <c r="K9782" s="12"/>
      <c r="L9782" s="12"/>
      <c r="M9782" s="11"/>
      <c r="N9782" s="11"/>
      <c r="O9782" s="11"/>
      <c r="P9782" s="11"/>
    </row>
    <row r="9783" spans="8:16" x14ac:dyDescent="0.25">
      <c r="H9783" s="12"/>
      <c r="I9783" s="12"/>
      <c r="J9783" s="12"/>
      <c r="K9783" s="12"/>
      <c r="L9783" s="12"/>
      <c r="M9783" s="11"/>
      <c r="N9783" s="11"/>
      <c r="O9783" s="11"/>
      <c r="P9783" s="11"/>
    </row>
    <row r="9784" spans="8:16" x14ac:dyDescent="0.25">
      <c r="H9784" s="12"/>
      <c r="I9784" s="12"/>
      <c r="J9784" s="12"/>
      <c r="K9784" s="12"/>
      <c r="L9784" s="12"/>
      <c r="M9784" s="11"/>
      <c r="N9784" s="11"/>
      <c r="O9784" s="11"/>
      <c r="P9784" s="11"/>
    </row>
    <row r="9785" spans="8:16" x14ac:dyDescent="0.25">
      <c r="H9785" s="12"/>
      <c r="I9785" s="12"/>
      <c r="J9785" s="12"/>
      <c r="K9785" s="12"/>
      <c r="L9785" s="12"/>
      <c r="M9785" s="11"/>
      <c r="N9785" s="11"/>
      <c r="O9785" s="11"/>
      <c r="P9785" s="11"/>
    </row>
    <row r="9786" spans="8:16" x14ac:dyDescent="0.25">
      <c r="H9786" s="12"/>
      <c r="I9786" s="12"/>
      <c r="J9786" s="12"/>
      <c r="K9786" s="12"/>
      <c r="L9786" s="12"/>
      <c r="M9786" s="11"/>
      <c r="N9786" s="11"/>
      <c r="O9786" s="11"/>
      <c r="P9786" s="11"/>
    </row>
    <row r="9787" spans="8:16" x14ac:dyDescent="0.25">
      <c r="H9787" s="12"/>
      <c r="I9787" s="12"/>
      <c r="J9787" s="12"/>
      <c r="K9787" s="12"/>
      <c r="L9787" s="12"/>
      <c r="M9787" s="11"/>
      <c r="N9787" s="11"/>
      <c r="O9787" s="11"/>
      <c r="P9787" s="11"/>
    </row>
    <row r="9788" spans="8:16" x14ac:dyDescent="0.25">
      <c r="H9788" s="12"/>
      <c r="I9788" s="12"/>
      <c r="J9788" s="12"/>
      <c r="K9788" s="12"/>
      <c r="L9788" s="12"/>
      <c r="M9788" s="11"/>
      <c r="N9788" s="11"/>
      <c r="O9788" s="11"/>
      <c r="P9788" s="11"/>
    </row>
    <row r="9789" spans="8:16" x14ac:dyDescent="0.25">
      <c r="H9789" s="12"/>
      <c r="I9789" s="12"/>
      <c r="J9789" s="12"/>
      <c r="K9789" s="12"/>
      <c r="L9789" s="12"/>
      <c r="M9789" s="11"/>
      <c r="N9789" s="11"/>
      <c r="O9789" s="11"/>
      <c r="P9789" s="11"/>
    </row>
    <row r="9790" spans="8:16" x14ac:dyDescent="0.25">
      <c r="H9790" s="12"/>
      <c r="I9790" s="12"/>
      <c r="J9790" s="12"/>
      <c r="K9790" s="12"/>
      <c r="L9790" s="12"/>
      <c r="M9790" s="11"/>
      <c r="N9790" s="11"/>
      <c r="O9790" s="11"/>
      <c r="P9790" s="11"/>
    </row>
    <row r="9791" spans="8:16" x14ac:dyDescent="0.25">
      <c r="H9791" s="12"/>
      <c r="I9791" s="12"/>
      <c r="J9791" s="12"/>
      <c r="K9791" s="12"/>
      <c r="L9791" s="12"/>
      <c r="M9791" s="11"/>
      <c r="N9791" s="11"/>
      <c r="O9791" s="11"/>
      <c r="P9791" s="11"/>
    </row>
    <row r="9792" spans="8:16" x14ac:dyDescent="0.25">
      <c r="H9792" s="12"/>
      <c r="I9792" s="12"/>
      <c r="J9792" s="12"/>
      <c r="K9792" s="12"/>
      <c r="L9792" s="12"/>
      <c r="M9792" s="11"/>
      <c r="N9792" s="11"/>
      <c r="O9792" s="11"/>
      <c r="P9792" s="11"/>
    </row>
    <row r="9793" spans="8:16" x14ac:dyDescent="0.25">
      <c r="H9793" s="12"/>
      <c r="I9793" s="12"/>
      <c r="J9793" s="12"/>
      <c r="K9793" s="12"/>
      <c r="L9793" s="12"/>
      <c r="M9793" s="11"/>
      <c r="N9793" s="11"/>
      <c r="O9793" s="11"/>
      <c r="P9793" s="11"/>
    </row>
    <row r="9794" spans="8:16" x14ac:dyDescent="0.25">
      <c r="H9794" s="12"/>
      <c r="I9794" s="12"/>
      <c r="J9794" s="12"/>
      <c r="K9794" s="12"/>
      <c r="L9794" s="12"/>
      <c r="M9794" s="11"/>
      <c r="N9794" s="11"/>
      <c r="O9794" s="11"/>
      <c r="P9794" s="11"/>
    </row>
    <row r="9795" spans="8:16" x14ac:dyDescent="0.25">
      <c r="H9795" s="12"/>
      <c r="I9795" s="12"/>
      <c r="J9795" s="12"/>
      <c r="K9795" s="12"/>
      <c r="L9795" s="12"/>
      <c r="M9795" s="11"/>
      <c r="N9795" s="11"/>
      <c r="O9795" s="11"/>
      <c r="P9795" s="11"/>
    </row>
    <row r="9796" spans="8:16" x14ac:dyDescent="0.25">
      <c r="H9796" s="12"/>
      <c r="I9796" s="12"/>
      <c r="J9796" s="12"/>
      <c r="K9796" s="12"/>
      <c r="L9796" s="12"/>
      <c r="M9796" s="11"/>
      <c r="N9796" s="11"/>
      <c r="O9796" s="11"/>
      <c r="P9796" s="11"/>
    </row>
    <row r="9797" spans="8:16" x14ac:dyDescent="0.25">
      <c r="H9797" s="12"/>
      <c r="I9797" s="12"/>
      <c r="J9797" s="12"/>
      <c r="K9797" s="12"/>
      <c r="L9797" s="12"/>
      <c r="M9797" s="11"/>
      <c r="N9797" s="11"/>
      <c r="O9797" s="11"/>
      <c r="P9797" s="11"/>
    </row>
    <row r="9798" spans="8:16" x14ac:dyDescent="0.25">
      <c r="H9798" s="12"/>
      <c r="I9798" s="12"/>
      <c r="J9798" s="12"/>
      <c r="K9798" s="12"/>
      <c r="L9798" s="12"/>
      <c r="M9798" s="11"/>
      <c r="N9798" s="11"/>
      <c r="O9798" s="11"/>
      <c r="P9798" s="11"/>
    </row>
    <row r="9799" spans="8:16" x14ac:dyDescent="0.25">
      <c r="H9799" s="12"/>
      <c r="I9799" s="12"/>
      <c r="J9799" s="12"/>
      <c r="K9799" s="12"/>
      <c r="L9799" s="12"/>
      <c r="M9799" s="11"/>
      <c r="N9799" s="11"/>
      <c r="O9799" s="11"/>
      <c r="P9799" s="11"/>
    </row>
    <row r="9800" spans="8:16" x14ac:dyDescent="0.25">
      <c r="H9800" s="12"/>
      <c r="I9800" s="12"/>
      <c r="J9800" s="12"/>
      <c r="K9800" s="12"/>
      <c r="L9800" s="12"/>
      <c r="M9800" s="11"/>
      <c r="N9800" s="11"/>
      <c r="O9800" s="11"/>
      <c r="P9800" s="11"/>
    </row>
    <row r="9801" spans="8:16" x14ac:dyDescent="0.25">
      <c r="H9801" s="12"/>
      <c r="I9801" s="12"/>
      <c r="J9801" s="12"/>
      <c r="K9801" s="12"/>
      <c r="L9801" s="12"/>
      <c r="M9801" s="11"/>
      <c r="N9801" s="11"/>
      <c r="O9801" s="11"/>
      <c r="P9801" s="11"/>
    </row>
    <row r="9802" spans="8:16" x14ac:dyDescent="0.25">
      <c r="H9802" s="12"/>
      <c r="I9802" s="12"/>
      <c r="J9802" s="12"/>
      <c r="K9802" s="12"/>
      <c r="L9802" s="12"/>
      <c r="M9802" s="11"/>
      <c r="N9802" s="11"/>
      <c r="O9802" s="11"/>
      <c r="P9802" s="11"/>
    </row>
    <row r="9803" spans="8:16" x14ac:dyDescent="0.25">
      <c r="H9803" s="12"/>
      <c r="I9803" s="12"/>
      <c r="J9803" s="12"/>
      <c r="K9803" s="12"/>
      <c r="L9803" s="12"/>
      <c r="M9803" s="11"/>
      <c r="N9803" s="11"/>
      <c r="O9803" s="11"/>
      <c r="P9803" s="11"/>
    </row>
    <row r="9804" spans="8:16" x14ac:dyDescent="0.25">
      <c r="H9804" s="12"/>
      <c r="I9804" s="12"/>
      <c r="J9804" s="12"/>
      <c r="K9804" s="12"/>
      <c r="L9804" s="12"/>
      <c r="M9804" s="11"/>
      <c r="N9804" s="11"/>
      <c r="O9804" s="11"/>
      <c r="P9804" s="11"/>
    </row>
    <row r="9805" spans="8:16" x14ac:dyDescent="0.25">
      <c r="H9805" s="12"/>
      <c r="I9805" s="12"/>
      <c r="J9805" s="12"/>
      <c r="K9805" s="12"/>
      <c r="L9805" s="12"/>
      <c r="M9805" s="11"/>
      <c r="N9805" s="11"/>
      <c r="O9805" s="11"/>
      <c r="P9805" s="11"/>
    </row>
    <row r="9806" spans="8:16" x14ac:dyDescent="0.25">
      <c r="H9806" s="12"/>
      <c r="I9806" s="12"/>
      <c r="J9806" s="12"/>
      <c r="K9806" s="12"/>
      <c r="L9806" s="12"/>
      <c r="M9806" s="11"/>
      <c r="N9806" s="11"/>
      <c r="O9806" s="11"/>
      <c r="P9806" s="11"/>
    </row>
    <row r="9807" spans="8:16" x14ac:dyDescent="0.25">
      <c r="H9807" s="12"/>
      <c r="I9807" s="12"/>
      <c r="J9807" s="12"/>
      <c r="K9807" s="12"/>
      <c r="L9807" s="12"/>
      <c r="M9807" s="11"/>
      <c r="N9807" s="11"/>
      <c r="O9807" s="11"/>
      <c r="P9807" s="11"/>
    </row>
    <row r="9808" spans="8:16" x14ac:dyDescent="0.25">
      <c r="H9808" s="12"/>
      <c r="I9808" s="12"/>
      <c r="J9808" s="12"/>
      <c r="K9808" s="12"/>
      <c r="L9808" s="12"/>
      <c r="M9808" s="11"/>
      <c r="N9808" s="11"/>
      <c r="O9808" s="11"/>
      <c r="P9808" s="11"/>
    </row>
    <row r="9809" spans="8:16" x14ac:dyDescent="0.25">
      <c r="H9809" s="12"/>
      <c r="I9809" s="12"/>
      <c r="J9809" s="12"/>
      <c r="K9809" s="12"/>
      <c r="L9809" s="12"/>
      <c r="M9809" s="11"/>
      <c r="N9809" s="11"/>
      <c r="O9809" s="11"/>
      <c r="P9809" s="11"/>
    </row>
    <row r="9810" spans="8:16" x14ac:dyDescent="0.25">
      <c r="H9810" s="12"/>
      <c r="I9810" s="12"/>
      <c r="J9810" s="12"/>
      <c r="K9810" s="12"/>
      <c r="L9810" s="12"/>
      <c r="M9810" s="11"/>
      <c r="N9810" s="11"/>
      <c r="O9810" s="11"/>
      <c r="P9810" s="11"/>
    </row>
    <row r="9811" spans="8:16" x14ac:dyDescent="0.25">
      <c r="H9811" s="12"/>
      <c r="I9811" s="12"/>
      <c r="J9811" s="12"/>
      <c r="K9811" s="12"/>
      <c r="L9811" s="12"/>
      <c r="M9811" s="11"/>
      <c r="N9811" s="11"/>
      <c r="O9811" s="11"/>
      <c r="P9811" s="11"/>
    </row>
    <row r="9812" spans="8:16" x14ac:dyDescent="0.25">
      <c r="H9812" s="12"/>
      <c r="I9812" s="12"/>
      <c r="J9812" s="12"/>
      <c r="K9812" s="12"/>
      <c r="L9812" s="12"/>
      <c r="M9812" s="11"/>
      <c r="N9812" s="11"/>
      <c r="O9812" s="11"/>
      <c r="P9812" s="11"/>
    </row>
    <row r="9813" spans="8:16" x14ac:dyDescent="0.25">
      <c r="H9813" s="12"/>
      <c r="I9813" s="12"/>
      <c r="J9813" s="12"/>
      <c r="K9813" s="12"/>
      <c r="L9813" s="12"/>
      <c r="M9813" s="11"/>
      <c r="N9813" s="11"/>
      <c r="O9813" s="11"/>
      <c r="P9813" s="11"/>
    </row>
    <row r="9814" spans="8:16" x14ac:dyDescent="0.25">
      <c r="H9814" s="12"/>
      <c r="I9814" s="12"/>
      <c r="J9814" s="12"/>
      <c r="K9814" s="12"/>
      <c r="L9814" s="12"/>
      <c r="M9814" s="11"/>
      <c r="N9814" s="11"/>
      <c r="O9814" s="11"/>
      <c r="P9814" s="11"/>
    </row>
    <row r="9815" spans="8:16" x14ac:dyDescent="0.25">
      <c r="H9815" s="12"/>
      <c r="I9815" s="12"/>
      <c r="J9815" s="12"/>
      <c r="K9815" s="12"/>
      <c r="L9815" s="12"/>
      <c r="M9815" s="11"/>
      <c r="N9815" s="11"/>
      <c r="O9815" s="11"/>
      <c r="P9815" s="11"/>
    </row>
    <row r="9816" spans="8:16" x14ac:dyDescent="0.25">
      <c r="H9816" s="12"/>
      <c r="I9816" s="12"/>
      <c r="J9816" s="12"/>
      <c r="K9816" s="12"/>
      <c r="L9816" s="12"/>
      <c r="M9816" s="11"/>
      <c r="N9816" s="11"/>
      <c r="O9816" s="11"/>
      <c r="P9816" s="11"/>
    </row>
    <row r="9817" spans="8:16" x14ac:dyDescent="0.25">
      <c r="H9817" s="12"/>
      <c r="I9817" s="12"/>
      <c r="J9817" s="12"/>
      <c r="K9817" s="12"/>
      <c r="L9817" s="12"/>
      <c r="M9817" s="11"/>
      <c r="N9817" s="11"/>
      <c r="O9817" s="11"/>
      <c r="P9817" s="11"/>
    </row>
    <row r="9818" spans="8:16" x14ac:dyDescent="0.25">
      <c r="H9818" s="12"/>
      <c r="I9818" s="12"/>
      <c r="J9818" s="12"/>
      <c r="K9818" s="12"/>
      <c r="L9818" s="12"/>
      <c r="M9818" s="11"/>
      <c r="N9818" s="11"/>
      <c r="O9818" s="11"/>
      <c r="P9818" s="11"/>
    </row>
    <row r="9819" spans="8:16" x14ac:dyDescent="0.25">
      <c r="H9819" s="12"/>
      <c r="I9819" s="12"/>
      <c r="J9819" s="12"/>
      <c r="K9819" s="12"/>
      <c r="L9819" s="12"/>
      <c r="M9819" s="11"/>
      <c r="N9819" s="11"/>
      <c r="O9819" s="11"/>
      <c r="P9819" s="11"/>
    </row>
    <row r="9820" spans="8:16" x14ac:dyDescent="0.25">
      <c r="H9820" s="12"/>
      <c r="I9820" s="12"/>
      <c r="J9820" s="12"/>
      <c r="K9820" s="12"/>
      <c r="L9820" s="12"/>
      <c r="M9820" s="11"/>
      <c r="N9820" s="11"/>
      <c r="O9820" s="11"/>
      <c r="P9820" s="11"/>
    </row>
    <row r="9821" spans="8:16" x14ac:dyDescent="0.25">
      <c r="H9821" s="12"/>
      <c r="I9821" s="12"/>
      <c r="J9821" s="12"/>
      <c r="K9821" s="12"/>
      <c r="L9821" s="12"/>
      <c r="M9821" s="11"/>
      <c r="N9821" s="11"/>
      <c r="O9821" s="11"/>
      <c r="P9821" s="11"/>
    </row>
    <row r="9822" spans="8:16" x14ac:dyDescent="0.25">
      <c r="H9822" s="12"/>
      <c r="I9822" s="12"/>
      <c r="J9822" s="12"/>
      <c r="K9822" s="12"/>
      <c r="L9822" s="12"/>
      <c r="M9822" s="11"/>
      <c r="N9822" s="11"/>
      <c r="O9822" s="11"/>
      <c r="P9822" s="11"/>
    </row>
    <row r="9823" spans="8:16" x14ac:dyDescent="0.25">
      <c r="H9823" s="12"/>
      <c r="I9823" s="12"/>
      <c r="J9823" s="12"/>
      <c r="K9823" s="12"/>
      <c r="L9823" s="12"/>
      <c r="M9823" s="11"/>
      <c r="N9823" s="11"/>
      <c r="O9823" s="11"/>
      <c r="P9823" s="11"/>
    </row>
    <row r="9824" spans="8:16" x14ac:dyDescent="0.25">
      <c r="H9824" s="12"/>
      <c r="I9824" s="12"/>
      <c r="J9824" s="12"/>
      <c r="K9824" s="12"/>
      <c r="L9824" s="12"/>
      <c r="M9824" s="11"/>
      <c r="N9824" s="11"/>
      <c r="O9824" s="11"/>
      <c r="P9824" s="11"/>
    </row>
    <row r="9825" spans="8:16" x14ac:dyDescent="0.25">
      <c r="H9825" s="12"/>
      <c r="I9825" s="12"/>
      <c r="J9825" s="12"/>
      <c r="K9825" s="12"/>
      <c r="L9825" s="12"/>
      <c r="M9825" s="11"/>
      <c r="N9825" s="11"/>
      <c r="O9825" s="11"/>
      <c r="P9825" s="11"/>
    </row>
    <row r="9826" spans="8:16" x14ac:dyDescent="0.25">
      <c r="H9826" s="12"/>
      <c r="I9826" s="12"/>
      <c r="J9826" s="12"/>
      <c r="K9826" s="12"/>
      <c r="L9826" s="12"/>
      <c r="M9826" s="11"/>
      <c r="N9826" s="11"/>
      <c r="O9826" s="11"/>
      <c r="P9826" s="11"/>
    </row>
    <row r="9827" spans="8:16" x14ac:dyDescent="0.25">
      <c r="H9827" s="12"/>
      <c r="I9827" s="12"/>
      <c r="J9827" s="12"/>
      <c r="K9827" s="12"/>
      <c r="L9827" s="12"/>
      <c r="M9827" s="11"/>
      <c r="N9827" s="11"/>
      <c r="O9827" s="11"/>
      <c r="P9827" s="11"/>
    </row>
    <row r="9828" spans="8:16" x14ac:dyDescent="0.25">
      <c r="H9828" s="12"/>
      <c r="I9828" s="12"/>
      <c r="J9828" s="12"/>
      <c r="K9828" s="12"/>
      <c r="L9828" s="12"/>
      <c r="M9828" s="11"/>
      <c r="N9828" s="11"/>
      <c r="O9828" s="11"/>
      <c r="P9828" s="11"/>
    </row>
    <row r="9829" spans="8:16" x14ac:dyDescent="0.25">
      <c r="H9829" s="12"/>
      <c r="I9829" s="12"/>
      <c r="J9829" s="12"/>
      <c r="K9829" s="12"/>
      <c r="L9829" s="12"/>
      <c r="M9829" s="11"/>
      <c r="N9829" s="11"/>
      <c r="O9829" s="11"/>
      <c r="P9829" s="11"/>
    </row>
    <row r="9830" spans="8:16" x14ac:dyDescent="0.25">
      <c r="H9830" s="12"/>
      <c r="I9830" s="12"/>
      <c r="J9830" s="12"/>
      <c r="K9830" s="12"/>
      <c r="L9830" s="12"/>
      <c r="M9830" s="11"/>
      <c r="N9830" s="11"/>
      <c r="O9830" s="11"/>
      <c r="P9830" s="11"/>
    </row>
    <row r="9831" spans="8:16" x14ac:dyDescent="0.25">
      <c r="H9831" s="12"/>
      <c r="I9831" s="12"/>
      <c r="J9831" s="12"/>
      <c r="K9831" s="12"/>
      <c r="L9831" s="12"/>
      <c r="M9831" s="11"/>
      <c r="N9831" s="11"/>
      <c r="O9831" s="11"/>
      <c r="P9831" s="11"/>
    </row>
    <row r="9832" spans="8:16" x14ac:dyDescent="0.25">
      <c r="H9832" s="12"/>
      <c r="I9832" s="12"/>
      <c r="J9832" s="12"/>
      <c r="K9832" s="12"/>
      <c r="L9832" s="12"/>
      <c r="M9832" s="11"/>
      <c r="N9832" s="11"/>
      <c r="O9832" s="11"/>
      <c r="P9832" s="11"/>
    </row>
    <row r="9833" spans="8:16" x14ac:dyDescent="0.25">
      <c r="H9833" s="12"/>
      <c r="I9833" s="12"/>
      <c r="J9833" s="12"/>
      <c r="K9833" s="12"/>
      <c r="L9833" s="12"/>
      <c r="M9833" s="11"/>
      <c r="N9833" s="11"/>
      <c r="O9833" s="11"/>
      <c r="P9833" s="11"/>
    </row>
    <row r="9834" spans="8:16" x14ac:dyDescent="0.25">
      <c r="H9834" s="12"/>
      <c r="I9834" s="12"/>
      <c r="J9834" s="12"/>
      <c r="K9834" s="12"/>
      <c r="L9834" s="12"/>
      <c r="M9834" s="11"/>
      <c r="N9834" s="11"/>
      <c r="O9834" s="11"/>
      <c r="P9834" s="11"/>
    </row>
    <row r="9835" spans="8:16" x14ac:dyDescent="0.25">
      <c r="H9835" s="12"/>
      <c r="I9835" s="12"/>
      <c r="J9835" s="12"/>
      <c r="K9835" s="12"/>
      <c r="L9835" s="12"/>
      <c r="M9835" s="11"/>
      <c r="N9835" s="11"/>
      <c r="O9835" s="11"/>
      <c r="P9835" s="11"/>
    </row>
    <row r="9836" spans="8:16" x14ac:dyDescent="0.25">
      <c r="H9836" s="12"/>
      <c r="I9836" s="12"/>
      <c r="J9836" s="12"/>
      <c r="K9836" s="12"/>
      <c r="L9836" s="12"/>
      <c r="M9836" s="11"/>
      <c r="N9836" s="11"/>
      <c r="O9836" s="11"/>
      <c r="P9836" s="11"/>
    </row>
    <row r="9837" spans="8:16" x14ac:dyDescent="0.25">
      <c r="H9837" s="12"/>
      <c r="I9837" s="12"/>
      <c r="J9837" s="12"/>
      <c r="K9837" s="12"/>
      <c r="L9837" s="12"/>
      <c r="M9837" s="11"/>
      <c r="N9837" s="11"/>
      <c r="O9837" s="11"/>
      <c r="P9837" s="11"/>
    </row>
    <row r="9838" spans="8:16" x14ac:dyDescent="0.25">
      <c r="H9838" s="12"/>
      <c r="I9838" s="12"/>
      <c r="J9838" s="12"/>
      <c r="K9838" s="12"/>
      <c r="L9838" s="12"/>
      <c r="M9838" s="11"/>
      <c r="N9838" s="11"/>
      <c r="O9838" s="11"/>
      <c r="P9838" s="11"/>
    </row>
    <row r="9839" spans="8:16" x14ac:dyDescent="0.25">
      <c r="H9839" s="12"/>
      <c r="I9839" s="12"/>
      <c r="J9839" s="12"/>
      <c r="K9839" s="12"/>
      <c r="L9839" s="12"/>
      <c r="M9839" s="11"/>
      <c r="N9839" s="11"/>
      <c r="O9839" s="11"/>
      <c r="P9839" s="11"/>
    </row>
    <row r="9840" spans="8:16" x14ac:dyDescent="0.25">
      <c r="H9840" s="12"/>
      <c r="I9840" s="12"/>
      <c r="J9840" s="12"/>
      <c r="K9840" s="12"/>
      <c r="L9840" s="12"/>
      <c r="M9840" s="11"/>
      <c r="N9840" s="11"/>
      <c r="O9840" s="11"/>
      <c r="P9840" s="11"/>
    </row>
    <row r="9841" spans="8:16" x14ac:dyDescent="0.25">
      <c r="H9841" s="12"/>
      <c r="I9841" s="12"/>
      <c r="J9841" s="12"/>
      <c r="K9841" s="12"/>
      <c r="L9841" s="12"/>
      <c r="M9841" s="11"/>
      <c r="N9841" s="11"/>
      <c r="O9841" s="11"/>
      <c r="P9841" s="11"/>
    </row>
    <row r="9842" spans="8:16" x14ac:dyDescent="0.25">
      <c r="H9842" s="12"/>
      <c r="I9842" s="12"/>
      <c r="J9842" s="12"/>
      <c r="K9842" s="12"/>
      <c r="L9842" s="12"/>
      <c r="M9842" s="11"/>
      <c r="N9842" s="11"/>
      <c r="O9842" s="11"/>
      <c r="P9842" s="11"/>
    </row>
    <row r="9843" spans="8:16" x14ac:dyDescent="0.25">
      <c r="H9843" s="12"/>
      <c r="I9843" s="12"/>
      <c r="J9843" s="12"/>
      <c r="K9843" s="12"/>
      <c r="L9843" s="12"/>
      <c r="M9843" s="11"/>
      <c r="N9843" s="11"/>
      <c r="O9843" s="11"/>
      <c r="P9843" s="11"/>
    </row>
    <row r="9844" spans="8:16" x14ac:dyDescent="0.25">
      <c r="H9844" s="12"/>
      <c r="I9844" s="12"/>
      <c r="J9844" s="12"/>
      <c r="K9844" s="12"/>
      <c r="L9844" s="12"/>
      <c r="M9844" s="11"/>
      <c r="N9844" s="11"/>
      <c r="O9844" s="11"/>
      <c r="P9844" s="11"/>
    </row>
    <row r="9845" spans="8:16" x14ac:dyDescent="0.25">
      <c r="H9845" s="12"/>
      <c r="I9845" s="12"/>
      <c r="J9845" s="12"/>
      <c r="K9845" s="12"/>
      <c r="L9845" s="12"/>
      <c r="M9845" s="11"/>
      <c r="N9845" s="11"/>
      <c r="O9845" s="11"/>
      <c r="P9845" s="11"/>
    </row>
    <row r="9846" spans="8:16" x14ac:dyDescent="0.25">
      <c r="H9846" s="12"/>
      <c r="I9846" s="12"/>
      <c r="J9846" s="12"/>
      <c r="K9846" s="12"/>
      <c r="L9846" s="12"/>
      <c r="M9846" s="11"/>
      <c r="N9846" s="11"/>
      <c r="O9846" s="11"/>
      <c r="P9846" s="11"/>
    </row>
    <row r="9847" spans="8:16" x14ac:dyDescent="0.25">
      <c r="H9847" s="12"/>
      <c r="I9847" s="12"/>
      <c r="J9847" s="12"/>
      <c r="K9847" s="12"/>
      <c r="L9847" s="12"/>
      <c r="M9847" s="11"/>
      <c r="N9847" s="11"/>
      <c r="O9847" s="11"/>
      <c r="P9847" s="11"/>
    </row>
    <row r="9848" spans="8:16" x14ac:dyDescent="0.25">
      <c r="H9848" s="12"/>
      <c r="I9848" s="12"/>
      <c r="J9848" s="12"/>
      <c r="K9848" s="12"/>
      <c r="L9848" s="12"/>
      <c r="M9848" s="11"/>
      <c r="N9848" s="11"/>
      <c r="O9848" s="11"/>
      <c r="P9848" s="11"/>
    </row>
    <row r="9849" spans="8:16" x14ac:dyDescent="0.25">
      <c r="H9849" s="12"/>
      <c r="I9849" s="12"/>
      <c r="J9849" s="12"/>
      <c r="K9849" s="12"/>
      <c r="L9849" s="12"/>
      <c r="M9849" s="11"/>
      <c r="N9849" s="11"/>
      <c r="O9849" s="11"/>
      <c r="P9849" s="11"/>
    </row>
    <row r="9850" spans="8:16" x14ac:dyDescent="0.25">
      <c r="H9850" s="12"/>
      <c r="I9850" s="12"/>
      <c r="J9850" s="12"/>
      <c r="K9850" s="12"/>
      <c r="L9850" s="12"/>
      <c r="M9850" s="11"/>
      <c r="N9850" s="11"/>
      <c r="O9850" s="11"/>
      <c r="P9850" s="11"/>
    </row>
    <row r="9851" spans="8:16" x14ac:dyDescent="0.25">
      <c r="H9851" s="12"/>
      <c r="I9851" s="12"/>
      <c r="J9851" s="12"/>
      <c r="K9851" s="12"/>
      <c r="L9851" s="12"/>
      <c r="M9851" s="11"/>
      <c r="N9851" s="11"/>
      <c r="O9851" s="11"/>
      <c r="P9851" s="11"/>
    </row>
    <row r="9852" spans="8:16" x14ac:dyDescent="0.25">
      <c r="H9852" s="12"/>
      <c r="I9852" s="12"/>
      <c r="J9852" s="12"/>
      <c r="K9852" s="12"/>
      <c r="L9852" s="12"/>
      <c r="M9852" s="11"/>
      <c r="N9852" s="11"/>
      <c r="O9852" s="11"/>
      <c r="P9852" s="11"/>
    </row>
    <row r="9853" spans="8:16" x14ac:dyDescent="0.25">
      <c r="H9853" s="12"/>
      <c r="I9853" s="12"/>
      <c r="J9853" s="12"/>
      <c r="K9853" s="12"/>
      <c r="L9853" s="12"/>
      <c r="M9853" s="11"/>
      <c r="N9853" s="11"/>
      <c r="O9853" s="11"/>
      <c r="P9853" s="11"/>
    </row>
    <row r="9854" spans="8:16" x14ac:dyDescent="0.25">
      <c r="H9854" s="12"/>
      <c r="I9854" s="12"/>
      <c r="J9854" s="12"/>
      <c r="K9854" s="12"/>
      <c r="L9854" s="12"/>
      <c r="M9854" s="11"/>
      <c r="N9854" s="11"/>
      <c r="O9854" s="11"/>
      <c r="P9854" s="11"/>
    </row>
    <row r="9855" spans="8:16" x14ac:dyDescent="0.25">
      <c r="H9855" s="12"/>
      <c r="I9855" s="12"/>
      <c r="J9855" s="12"/>
      <c r="K9855" s="12"/>
      <c r="L9855" s="12"/>
      <c r="M9855" s="11"/>
      <c r="N9855" s="11"/>
      <c r="O9855" s="11"/>
      <c r="P9855" s="11"/>
    </row>
    <row r="9856" spans="8:16" x14ac:dyDescent="0.25">
      <c r="H9856" s="12"/>
      <c r="I9856" s="12"/>
      <c r="J9856" s="12"/>
      <c r="K9856" s="12"/>
      <c r="L9856" s="12"/>
      <c r="M9856" s="11"/>
      <c r="N9856" s="11"/>
      <c r="O9856" s="11"/>
      <c r="P9856" s="11"/>
    </row>
    <row r="9857" spans="8:16" x14ac:dyDescent="0.25">
      <c r="H9857" s="12"/>
      <c r="I9857" s="12"/>
      <c r="J9857" s="12"/>
      <c r="K9857" s="12"/>
      <c r="L9857" s="12"/>
      <c r="M9857" s="11"/>
      <c r="N9857" s="11"/>
      <c r="O9857" s="11"/>
      <c r="P9857" s="11"/>
    </row>
    <row r="9858" spans="8:16" x14ac:dyDescent="0.25">
      <c r="H9858" s="12"/>
      <c r="I9858" s="12"/>
      <c r="J9858" s="12"/>
      <c r="K9858" s="12"/>
      <c r="L9858" s="12"/>
      <c r="M9858" s="11"/>
      <c r="N9858" s="11"/>
      <c r="O9858" s="11"/>
      <c r="P9858" s="11"/>
    </row>
    <row r="9859" spans="8:16" x14ac:dyDescent="0.25">
      <c r="H9859" s="12"/>
      <c r="I9859" s="12"/>
      <c r="J9859" s="12"/>
      <c r="K9859" s="12"/>
      <c r="L9859" s="12"/>
      <c r="M9859" s="11"/>
      <c r="N9859" s="11"/>
      <c r="O9859" s="11"/>
      <c r="P9859" s="11"/>
    </row>
    <row r="9860" spans="8:16" x14ac:dyDescent="0.25">
      <c r="H9860" s="12"/>
      <c r="I9860" s="12"/>
      <c r="J9860" s="12"/>
      <c r="K9860" s="12"/>
      <c r="L9860" s="12"/>
      <c r="M9860" s="11"/>
      <c r="N9860" s="11"/>
      <c r="O9860" s="11"/>
      <c r="P9860" s="11"/>
    </row>
    <row r="9861" spans="8:16" x14ac:dyDescent="0.25">
      <c r="H9861" s="12"/>
      <c r="I9861" s="12"/>
      <c r="J9861" s="12"/>
      <c r="K9861" s="12"/>
      <c r="L9861" s="12"/>
      <c r="M9861" s="11"/>
      <c r="N9861" s="11"/>
      <c r="O9861" s="11"/>
      <c r="P9861" s="11"/>
    </row>
    <row r="9862" spans="8:16" x14ac:dyDescent="0.25">
      <c r="H9862" s="12"/>
      <c r="I9862" s="12"/>
      <c r="J9862" s="12"/>
      <c r="K9862" s="12"/>
      <c r="L9862" s="12"/>
      <c r="M9862" s="11"/>
      <c r="N9862" s="11"/>
      <c r="O9862" s="11"/>
      <c r="P9862" s="11"/>
    </row>
    <row r="9863" spans="8:16" x14ac:dyDescent="0.25">
      <c r="H9863" s="12"/>
      <c r="I9863" s="12"/>
      <c r="J9863" s="12"/>
      <c r="K9863" s="12"/>
      <c r="L9863" s="12"/>
      <c r="M9863" s="11"/>
      <c r="N9863" s="11"/>
      <c r="O9863" s="11"/>
      <c r="P9863" s="11"/>
    </row>
    <row r="9864" spans="8:16" x14ac:dyDescent="0.25">
      <c r="H9864" s="12"/>
      <c r="I9864" s="12"/>
      <c r="J9864" s="12"/>
      <c r="K9864" s="12"/>
      <c r="L9864" s="12"/>
      <c r="M9864" s="11"/>
      <c r="N9864" s="11"/>
      <c r="O9864" s="11"/>
      <c r="P9864" s="11"/>
    </row>
    <row r="9865" spans="8:16" x14ac:dyDescent="0.25">
      <c r="H9865" s="12"/>
      <c r="I9865" s="12"/>
      <c r="J9865" s="12"/>
      <c r="K9865" s="12"/>
      <c r="L9865" s="12"/>
      <c r="M9865" s="11"/>
      <c r="N9865" s="11"/>
      <c r="O9865" s="11"/>
      <c r="P9865" s="11"/>
    </row>
    <row r="9866" spans="8:16" x14ac:dyDescent="0.25">
      <c r="H9866" s="12"/>
      <c r="I9866" s="12"/>
      <c r="J9866" s="12"/>
      <c r="K9866" s="12"/>
      <c r="L9866" s="12"/>
      <c r="M9866" s="11"/>
      <c r="N9866" s="11"/>
      <c r="O9866" s="11"/>
      <c r="P9866" s="11"/>
    </row>
    <row r="9867" spans="8:16" x14ac:dyDescent="0.25">
      <c r="H9867" s="12"/>
      <c r="I9867" s="12"/>
      <c r="J9867" s="12"/>
      <c r="K9867" s="12"/>
      <c r="L9867" s="12"/>
      <c r="M9867" s="11"/>
      <c r="N9867" s="11"/>
      <c r="O9867" s="11"/>
      <c r="P9867" s="11"/>
    </row>
    <row r="9868" spans="8:16" x14ac:dyDescent="0.25">
      <c r="H9868" s="12"/>
      <c r="I9868" s="12"/>
      <c r="J9868" s="12"/>
      <c r="K9868" s="12"/>
      <c r="L9868" s="12"/>
      <c r="M9868" s="11"/>
      <c r="N9868" s="11"/>
      <c r="O9868" s="11"/>
      <c r="P9868" s="11"/>
    </row>
    <row r="9869" spans="8:16" x14ac:dyDescent="0.25">
      <c r="H9869" s="12"/>
      <c r="I9869" s="12"/>
      <c r="J9869" s="12"/>
      <c r="K9869" s="12"/>
      <c r="L9869" s="12"/>
      <c r="M9869" s="11"/>
      <c r="N9869" s="11"/>
      <c r="O9869" s="11"/>
      <c r="P9869" s="11"/>
    </row>
    <row r="9870" spans="8:16" x14ac:dyDescent="0.25">
      <c r="H9870" s="12"/>
      <c r="I9870" s="12"/>
      <c r="J9870" s="12"/>
      <c r="K9870" s="12"/>
      <c r="L9870" s="12"/>
      <c r="M9870" s="11"/>
      <c r="N9870" s="11"/>
      <c r="O9870" s="11"/>
      <c r="P9870" s="11"/>
    </row>
    <row r="9871" spans="8:16" x14ac:dyDescent="0.25">
      <c r="H9871" s="12"/>
      <c r="I9871" s="12"/>
      <c r="J9871" s="12"/>
      <c r="K9871" s="12"/>
      <c r="L9871" s="12"/>
      <c r="M9871" s="11"/>
      <c r="N9871" s="11"/>
      <c r="O9871" s="11"/>
      <c r="P9871" s="11"/>
    </row>
    <row r="9872" spans="8:16" x14ac:dyDescent="0.25">
      <c r="H9872" s="12"/>
      <c r="I9872" s="12"/>
      <c r="J9872" s="12"/>
      <c r="K9872" s="12"/>
      <c r="L9872" s="12"/>
      <c r="M9872" s="11"/>
      <c r="N9872" s="11"/>
      <c r="O9872" s="11"/>
      <c r="P9872" s="11"/>
    </row>
    <row r="9873" spans="8:16" x14ac:dyDescent="0.25">
      <c r="H9873" s="12"/>
      <c r="I9873" s="12"/>
      <c r="J9873" s="12"/>
      <c r="K9873" s="12"/>
      <c r="L9873" s="12"/>
      <c r="M9873" s="11"/>
      <c r="N9873" s="11"/>
      <c r="O9873" s="11"/>
      <c r="P9873" s="11"/>
    </row>
    <row r="9874" spans="8:16" x14ac:dyDescent="0.25">
      <c r="H9874" s="12"/>
      <c r="I9874" s="12"/>
      <c r="J9874" s="12"/>
      <c r="K9874" s="12"/>
      <c r="L9874" s="12"/>
      <c r="M9874" s="11"/>
      <c r="N9874" s="11"/>
      <c r="O9874" s="11"/>
      <c r="P9874" s="11"/>
    </row>
    <row r="9875" spans="8:16" x14ac:dyDescent="0.25">
      <c r="H9875" s="12"/>
      <c r="I9875" s="12"/>
      <c r="J9875" s="12"/>
      <c r="K9875" s="12"/>
      <c r="L9875" s="12"/>
      <c r="M9875" s="11"/>
      <c r="N9875" s="11"/>
      <c r="O9875" s="11"/>
      <c r="P9875" s="11"/>
    </row>
    <row r="9876" spans="8:16" x14ac:dyDescent="0.25">
      <c r="H9876" s="12"/>
      <c r="I9876" s="12"/>
      <c r="J9876" s="12"/>
      <c r="K9876" s="12"/>
      <c r="L9876" s="12"/>
      <c r="M9876" s="11"/>
      <c r="N9876" s="11"/>
      <c r="O9876" s="11"/>
      <c r="P9876" s="11"/>
    </row>
    <row r="9877" spans="8:16" x14ac:dyDescent="0.25">
      <c r="H9877" s="12"/>
      <c r="I9877" s="12"/>
      <c r="J9877" s="12"/>
      <c r="K9877" s="12"/>
      <c r="L9877" s="12"/>
      <c r="M9877" s="11"/>
      <c r="N9877" s="11"/>
      <c r="O9877" s="11"/>
      <c r="P9877" s="11"/>
    </row>
    <row r="9878" spans="8:16" x14ac:dyDescent="0.25">
      <c r="H9878" s="12"/>
      <c r="I9878" s="12"/>
      <c r="J9878" s="12"/>
      <c r="K9878" s="12"/>
      <c r="L9878" s="12"/>
      <c r="M9878" s="11"/>
      <c r="N9878" s="11"/>
      <c r="O9878" s="11"/>
      <c r="P9878" s="11"/>
    </row>
    <row r="9879" spans="8:16" x14ac:dyDescent="0.25">
      <c r="H9879" s="12"/>
      <c r="I9879" s="12"/>
      <c r="J9879" s="12"/>
      <c r="K9879" s="12"/>
      <c r="L9879" s="12"/>
      <c r="M9879" s="11"/>
      <c r="N9879" s="11"/>
      <c r="O9879" s="11"/>
      <c r="P9879" s="11"/>
    </row>
    <row r="9880" spans="8:16" x14ac:dyDescent="0.25">
      <c r="H9880" s="12"/>
      <c r="I9880" s="12"/>
      <c r="J9880" s="12"/>
      <c r="K9880" s="12"/>
      <c r="L9880" s="12"/>
      <c r="M9880" s="11"/>
      <c r="N9880" s="11"/>
      <c r="O9880" s="11"/>
      <c r="P9880" s="11"/>
    </row>
    <row r="9881" spans="8:16" x14ac:dyDescent="0.25">
      <c r="H9881" s="12"/>
      <c r="I9881" s="12"/>
      <c r="J9881" s="12"/>
      <c r="K9881" s="12"/>
      <c r="L9881" s="12"/>
      <c r="M9881" s="11"/>
      <c r="N9881" s="11"/>
      <c r="O9881" s="11"/>
      <c r="P9881" s="11"/>
    </row>
    <row r="9882" spans="8:16" x14ac:dyDescent="0.25">
      <c r="H9882" s="12"/>
      <c r="I9882" s="12"/>
      <c r="J9882" s="12"/>
      <c r="K9882" s="12"/>
      <c r="L9882" s="12"/>
      <c r="M9882" s="11"/>
      <c r="N9882" s="11"/>
      <c r="O9882" s="11"/>
      <c r="P9882" s="11"/>
    </row>
    <row r="9883" spans="8:16" x14ac:dyDescent="0.25">
      <c r="H9883" s="12"/>
      <c r="I9883" s="12"/>
      <c r="J9883" s="12"/>
      <c r="K9883" s="12"/>
      <c r="L9883" s="12"/>
      <c r="M9883" s="11"/>
      <c r="N9883" s="11"/>
      <c r="O9883" s="11"/>
      <c r="P9883" s="11"/>
    </row>
    <row r="9884" spans="8:16" x14ac:dyDescent="0.25">
      <c r="H9884" s="12"/>
      <c r="I9884" s="12"/>
      <c r="J9884" s="12"/>
      <c r="K9884" s="12"/>
      <c r="L9884" s="12"/>
      <c r="M9884" s="11"/>
      <c r="N9884" s="11"/>
      <c r="O9884" s="11"/>
      <c r="P9884" s="11"/>
    </row>
    <row r="9885" spans="8:16" x14ac:dyDescent="0.25">
      <c r="H9885" s="12"/>
      <c r="I9885" s="12"/>
      <c r="J9885" s="12"/>
      <c r="K9885" s="12"/>
      <c r="L9885" s="12"/>
      <c r="M9885" s="11"/>
      <c r="N9885" s="11"/>
      <c r="O9885" s="11"/>
      <c r="P9885" s="11"/>
    </row>
    <row r="9886" spans="8:16" x14ac:dyDescent="0.25">
      <c r="H9886" s="12"/>
      <c r="I9886" s="12"/>
      <c r="J9886" s="12"/>
      <c r="K9886" s="12"/>
      <c r="L9886" s="12"/>
      <c r="M9886" s="11"/>
      <c r="N9886" s="11"/>
      <c r="O9886" s="11"/>
      <c r="P9886" s="11"/>
    </row>
    <row r="9887" spans="8:16" x14ac:dyDescent="0.25">
      <c r="H9887" s="12"/>
      <c r="I9887" s="12"/>
      <c r="J9887" s="12"/>
      <c r="K9887" s="12"/>
      <c r="L9887" s="12"/>
      <c r="M9887" s="11"/>
      <c r="N9887" s="11"/>
      <c r="O9887" s="11"/>
      <c r="P9887" s="11"/>
    </row>
    <row r="9888" spans="8:16" x14ac:dyDescent="0.25">
      <c r="H9888" s="12"/>
      <c r="I9888" s="12"/>
      <c r="J9888" s="12"/>
      <c r="K9888" s="12"/>
      <c r="L9888" s="12"/>
      <c r="M9888" s="11"/>
      <c r="N9888" s="11"/>
      <c r="O9888" s="11"/>
      <c r="P9888" s="11"/>
    </row>
    <row r="9889" spans="8:16" x14ac:dyDescent="0.25">
      <c r="H9889" s="12"/>
      <c r="I9889" s="12"/>
      <c r="J9889" s="12"/>
      <c r="K9889" s="12"/>
      <c r="L9889" s="12"/>
      <c r="M9889" s="11"/>
      <c r="N9889" s="11"/>
      <c r="O9889" s="11"/>
      <c r="P9889" s="11"/>
    </row>
    <row r="9890" spans="8:16" x14ac:dyDescent="0.25">
      <c r="H9890" s="12"/>
      <c r="I9890" s="12"/>
      <c r="J9890" s="12"/>
      <c r="K9890" s="12"/>
      <c r="L9890" s="12"/>
      <c r="M9890" s="11"/>
      <c r="N9890" s="11"/>
      <c r="O9890" s="11"/>
      <c r="P9890" s="11"/>
    </row>
    <row r="9891" spans="8:16" x14ac:dyDescent="0.25">
      <c r="H9891" s="12"/>
      <c r="I9891" s="12"/>
      <c r="J9891" s="12"/>
      <c r="K9891" s="12"/>
      <c r="L9891" s="12"/>
      <c r="M9891" s="11"/>
      <c r="N9891" s="11"/>
      <c r="O9891" s="11"/>
      <c r="P9891" s="11"/>
    </row>
    <row r="9892" spans="8:16" x14ac:dyDescent="0.25">
      <c r="H9892" s="12"/>
      <c r="I9892" s="12"/>
      <c r="J9892" s="12"/>
      <c r="K9892" s="12"/>
      <c r="L9892" s="12"/>
      <c r="M9892" s="11"/>
      <c r="N9892" s="11"/>
      <c r="O9892" s="11"/>
      <c r="P9892" s="11"/>
    </row>
    <row r="9893" spans="8:16" x14ac:dyDescent="0.25">
      <c r="H9893" s="12"/>
      <c r="I9893" s="12"/>
      <c r="J9893" s="12"/>
      <c r="K9893" s="12"/>
      <c r="L9893" s="12"/>
      <c r="M9893" s="11"/>
      <c r="N9893" s="11"/>
      <c r="O9893" s="11"/>
      <c r="P9893" s="11"/>
    </row>
    <row r="9894" spans="8:16" x14ac:dyDescent="0.25">
      <c r="H9894" s="12"/>
      <c r="I9894" s="12"/>
      <c r="J9894" s="12"/>
      <c r="K9894" s="12"/>
      <c r="L9894" s="12"/>
      <c r="M9894" s="11"/>
      <c r="N9894" s="11"/>
      <c r="O9894" s="11"/>
      <c r="P9894" s="11"/>
    </row>
    <row r="9895" spans="8:16" x14ac:dyDescent="0.25">
      <c r="H9895" s="12"/>
      <c r="I9895" s="12"/>
      <c r="J9895" s="12"/>
      <c r="K9895" s="12"/>
      <c r="L9895" s="12"/>
      <c r="M9895" s="11"/>
      <c r="N9895" s="11"/>
      <c r="O9895" s="11"/>
      <c r="P9895" s="11"/>
    </row>
    <row r="9896" spans="8:16" x14ac:dyDescent="0.25">
      <c r="H9896" s="12"/>
      <c r="I9896" s="12"/>
      <c r="J9896" s="12"/>
      <c r="K9896" s="12"/>
      <c r="L9896" s="12"/>
      <c r="M9896" s="11"/>
      <c r="N9896" s="11"/>
      <c r="O9896" s="11"/>
      <c r="P9896" s="11"/>
    </row>
    <row r="9897" spans="8:16" x14ac:dyDescent="0.25">
      <c r="H9897" s="12"/>
      <c r="I9897" s="12"/>
      <c r="J9897" s="12"/>
      <c r="K9897" s="12"/>
      <c r="L9897" s="12"/>
      <c r="M9897" s="11"/>
      <c r="N9897" s="11"/>
      <c r="O9897" s="11"/>
      <c r="P9897" s="11"/>
    </row>
    <row r="9898" spans="8:16" x14ac:dyDescent="0.25">
      <c r="H9898" s="12"/>
      <c r="I9898" s="12"/>
      <c r="J9898" s="12"/>
      <c r="K9898" s="12"/>
      <c r="L9898" s="12"/>
      <c r="M9898" s="11"/>
      <c r="N9898" s="11"/>
      <c r="O9898" s="11"/>
      <c r="P9898" s="11"/>
    </row>
    <row r="9899" spans="8:16" x14ac:dyDescent="0.25">
      <c r="H9899" s="12"/>
      <c r="I9899" s="12"/>
      <c r="J9899" s="12"/>
      <c r="K9899" s="12"/>
      <c r="L9899" s="12"/>
      <c r="M9899" s="11"/>
      <c r="N9899" s="11"/>
      <c r="O9899" s="11"/>
      <c r="P9899" s="11"/>
    </row>
    <row r="9900" spans="8:16" x14ac:dyDescent="0.25">
      <c r="H9900" s="12"/>
      <c r="I9900" s="12"/>
      <c r="J9900" s="12"/>
      <c r="K9900" s="12"/>
      <c r="L9900" s="12"/>
      <c r="M9900" s="11"/>
      <c r="N9900" s="11"/>
      <c r="O9900" s="11"/>
      <c r="P9900" s="11"/>
    </row>
    <row r="9901" spans="8:16" x14ac:dyDescent="0.25">
      <c r="H9901" s="12"/>
      <c r="I9901" s="12"/>
      <c r="J9901" s="12"/>
      <c r="K9901" s="12"/>
      <c r="L9901" s="12"/>
      <c r="M9901" s="11"/>
      <c r="N9901" s="11"/>
      <c r="O9901" s="11"/>
      <c r="P9901" s="11"/>
    </row>
    <row r="9902" spans="8:16" x14ac:dyDescent="0.25">
      <c r="H9902" s="12"/>
      <c r="I9902" s="12"/>
      <c r="J9902" s="12"/>
      <c r="K9902" s="12"/>
      <c r="L9902" s="12"/>
      <c r="M9902" s="11"/>
      <c r="N9902" s="11"/>
      <c r="O9902" s="11"/>
      <c r="P9902" s="11"/>
    </row>
    <row r="9903" spans="8:16" x14ac:dyDescent="0.25">
      <c r="H9903" s="12"/>
      <c r="I9903" s="12"/>
      <c r="J9903" s="12"/>
      <c r="K9903" s="12"/>
      <c r="L9903" s="12"/>
      <c r="M9903" s="11"/>
      <c r="N9903" s="11"/>
      <c r="O9903" s="11"/>
      <c r="P9903" s="11"/>
    </row>
    <row r="9904" spans="8:16" x14ac:dyDescent="0.25">
      <c r="H9904" s="12"/>
      <c r="I9904" s="12"/>
      <c r="J9904" s="12"/>
      <c r="K9904" s="12"/>
      <c r="L9904" s="12"/>
      <c r="M9904" s="11"/>
      <c r="N9904" s="11"/>
      <c r="O9904" s="11"/>
      <c r="P9904" s="11"/>
    </row>
    <row r="9905" spans="8:16" x14ac:dyDescent="0.25">
      <c r="H9905" s="12"/>
      <c r="I9905" s="12"/>
      <c r="J9905" s="12"/>
      <c r="K9905" s="12"/>
      <c r="L9905" s="12"/>
      <c r="M9905" s="11"/>
      <c r="N9905" s="11"/>
      <c r="O9905" s="11"/>
      <c r="P9905" s="11"/>
    </row>
    <row r="9906" spans="8:16" x14ac:dyDescent="0.25">
      <c r="H9906" s="12"/>
      <c r="I9906" s="12"/>
      <c r="J9906" s="12"/>
      <c r="K9906" s="12"/>
      <c r="L9906" s="12"/>
      <c r="M9906" s="11"/>
      <c r="N9906" s="11"/>
      <c r="O9906" s="11"/>
      <c r="P9906" s="11"/>
    </row>
    <row r="9907" spans="8:16" x14ac:dyDescent="0.25">
      <c r="H9907" s="12"/>
      <c r="I9907" s="12"/>
      <c r="J9907" s="12"/>
      <c r="K9907" s="12"/>
      <c r="L9907" s="12"/>
      <c r="M9907" s="11"/>
      <c r="N9907" s="11"/>
      <c r="O9907" s="11"/>
      <c r="P9907" s="11"/>
    </row>
    <row r="9908" spans="8:16" x14ac:dyDescent="0.25">
      <c r="H9908" s="12"/>
      <c r="I9908" s="12"/>
      <c r="J9908" s="12"/>
      <c r="K9908" s="12"/>
      <c r="L9908" s="12"/>
      <c r="M9908" s="11"/>
      <c r="N9908" s="11"/>
      <c r="O9908" s="11"/>
      <c r="P9908" s="11"/>
    </row>
    <row r="9909" spans="8:16" x14ac:dyDescent="0.25">
      <c r="H9909" s="12"/>
      <c r="I9909" s="12"/>
      <c r="J9909" s="12"/>
      <c r="K9909" s="12"/>
      <c r="L9909" s="12"/>
      <c r="M9909" s="11"/>
      <c r="N9909" s="11"/>
      <c r="O9909" s="11"/>
      <c r="P9909" s="11"/>
    </row>
    <row r="9910" spans="8:16" x14ac:dyDescent="0.25">
      <c r="H9910" s="12"/>
      <c r="I9910" s="12"/>
      <c r="J9910" s="12"/>
      <c r="K9910" s="12"/>
      <c r="L9910" s="12"/>
      <c r="M9910" s="11"/>
      <c r="N9910" s="11"/>
      <c r="O9910" s="11"/>
      <c r="P9910" s="11"/>
    </row>
    <row r="9911" spans="8:16" x14ac:dyDescent="0.25">
      <c r="H9911" s="12"/>
      <c r="I9911" s="12"/>
      <c r="J9911" s="12"/>
      <c r="K9911" s="12"/>
      <c r="L9911" s="12"/>
      <c r="M9911" s="11"/>
      <c r="N9911" s="11"/>
      <c r="O9911" s="11"/>
      <c r="P9911" s="11"/>
    </row>
    <row r="9912" spans="8:16" x14ac:dyDescent="0.25">
      <c r="H9912" s="12"/>
      <c r="I9912" s="12"/>
      <c r="J9912" s="12"/>
      <c r="K9912" s="12"/>
      <c r="L9912" s="12"/>
      <c r="M9912" s="11"/>
      <c r="N9912" s="11"/>
      <c r="O9912" s="11"/>
      <c r="P9912" s="11"/>
    </row>
    <row r="9913" spans="8:16" x14ac:dyDescent="0.25">
      <c r="H9913" s="12"/>
      <c r="I9913" s="12"/>
      <c r="J9913" s="12"/>
      <c r="K9913" s="12"/>
      <c r="L9913" s="12"/>
      <c r="M9913" s="11"/>
      <c r="N9913" s="11"/>
      <c r="O9913" s="11"/>
      <c r="P9913" s="11"/>
    </row>
    <row r="9914" spans="8:16" x14ac:dyDescent="0.25">
      <c r="H9914" s="12"/>
      <c r="I9914" s="12"/>
      <c r="J9914" s="12"/>
      <c r="K9914" s="12"/>
      <c r="L9914" s="12"/>
      <c r="M9914" s="11"/>
      <c r="N9914" s="11"/>
      <c r="O9914" s="11"/>
      <c r="P9914" s="11"/>
    </row>
    <row r="9915" spans="8:16" x14ac:dyDescent="0.25">
      <c r="H9915" s="12"/>
      <c r="I9915" s="12"/>
      <c r="J9915" s="12"/>
      <c r="K9915" s="12"/>
      <c r="L9915" s="12"/>
      <c r="M9915" s="11"/>
      <c r="N9915" s="11"/>
      <c r="O9915" s="11"/>
      <c r="P9915" s="11"/>
    </row>
    <row r="9916" spans="8:16" x14ac:dyDescent="0.25">
      <c r="H9916" s="12"/>
      <c r="I9916" s="12"/>
      <c r="J9916" s="12"/>
      <c r="K9916" s="12"/>
      <c r="L9916" s="12"/>
      <c r="M9916" s="11"/>
      <c r="N9916" s="11"/>
      <c r="O9916" s="11"/>
      <c r="P9916" s="11"/>
    </row>
    <row r="9917" spans="8:16" x14ac:dyDescent="0.25">
      <c r="H9917" s="12"/>
      <c r="I9917" s="12"/>
      <c r="J9917" s="12"/>
      <c r="K9917" s="12"/>
      <c r="L9917" s="12"/>
      <c r="M9917" s="11"/>
      <c r="N9917" s="11"/>
      <c r="O9917" s="11"/>
      <c r="P9917" s="11"/>
    </row>
    <row r="9918" spans="8:16" x14ac:dyDescent="0.25">
      <c r="H9918" s="12"/>
      <c r="I9918" s="12"/>
      <c r="J9918" s="12"/>
      <c r="K9918" s="12"/>
      <c r="L9918" s="12"/>
      <c r="M9918" s="11"/>
      <c r="N9918" s="11"/>
      <c r="O9918" s="11"/>
      <c r="P9918" s="11"/>
    </row>
    <row r="9919" spans="8:16" x14ac:dyDescent="0.25">
      <c r="H9919" s="12"/>
      <c r="I9919" s="12"/>
      <c r="J9919" s="12"/>
      <c r="K9919" s="12"/>
      <c r="L9919" s="12"/>
      <c r="M9919" s="11"/>
      <c r="N9919" s="11"/>
      <c r="O9919" s="11"/>
      <c r="P9919" s="11"/>
    </row>
    <row r="9920" spans="8:16" x14ac:dyDescent="0.25">
      <c r="H9920" s="12"/>
      <c r="I9920" s="12"/>
      <c r="J9920" s="12"/>
      <c r="K9920" s="12"/>
      <c r="L9920" s="12"/>
      <c r="M9920" s="11"/>
      <c r="N9920" s="11"/>
      <c r="O9920" s="11"/>
      <c r="P9920" s="11"/>
    </row>
    <row r="9921" spans="8:16" x14ac:dyDescent="0.25">
      <c r="H9921" s="12"/>
      <c r="I9921" s="12"/>
      <c r="J9921" s="12"/>
      <c r="K9921" s="12"/>
      <c r="L9921" s="12"/>
      <c r="M9921" s="11"/>
      <c r="N9921" s="11"/>
      <c r="O9921" s="11"/>
      <c r="P9921" s="11"/>
    </row>
    <row r="9922" spans="8:16" x14ac:dyDescent="0.25">
      <c r="H9922" s="12"/>
      <c r="I9922" s="12"/>
      <c r="J9922" s="12"/>
      <c r="K9922" s="12"/>
      <c r="L9922" s="12"/>
      <c r="M9922" s="11"/>
      <c r="N9922" s="11"/>
      <c r="O9922" s="11"/>
      <c r="P9922" s="11"/>
    </row>
    <row r="9923" spans="8:16" x14ac:dyDescent="0.25">
      <c r="H9923" s="12"/>
      <c r="I9923" s="12"/>
      <c r="J9923" s="12"/>
      <c r="K9923" s="12"/>
      <c r="L9923" s="12"/>
      <c r="M9923" s="11"/>
      <c r="N9923" s="11"/>
      <c r="O9923" s="11"/>
      <c r="P9923" s="11"/>
    </row>
    <row r="9924" spans="8:16" x14ac:dyDescent="0.25">
      <c r="H9924" s="12"/>
      <c r="I9924" s="12"/>
      <c r="J9924" s="12"/>
      <c r="K9924" s="12"/>
      <c r="L9924" s="12"/>
      <c r="M9924" s="11"/>
      <c r="N9924" s="11"/>
      <c r="O9924" s="11"/>
      <c r="P9924" s="11"/>
    </row>
    <row r="9925" spans="8:16" x14ac:dyDescent="0.25">
      <c r="H9925" s="12"/>
      <c r="I9925" s="12"/>
      <c r="J9925" s="12"/>
      <c r="K9925" s="12"/>
      <c r="L9925" s="12"/>
      <c r="M9925" s="11"/>
      <c r="N9925" s="11"/>
      <c r="O9925" s="11"/>
      <c r="P9925" s="11"/>
    </row>
    <row r="9926" spans="8:16" x14ac:dyDescent="0.25">
      <c r="H9926" s="12"/>
      <c r="I9926" s="12"/>
      <c r="J9926" s="12"/>
      <c r="K9926" s="12"/>
      <c r="L9926" s="12"/>
      <c r="M9926" s="11"/>
      <c r="N9926" s="11"/>
      <c r="O9926" s="11"/>
      <c r="P9926" s="11"/>
    </row>
    <row r="9927" spans="8:16" x14ac:dyDescent="0.25">
      <c r="H9927" s="12"/>
      <c r="I9927" s="12"/>
      <c r="J9927" s="12"/>
      <c r="K9927" s="12"/>
      <c r="L9927" s="12"/>
      <c r="M9927" s="11"/>
      <c r="N9927" s="11"/>
      <c r="O9927" s="11"/>
      <c r="P9927" s="11"/>
    </row>
    <row r="9928" spans="8:16" x14ac:dyDescent="0.25">
      <c r="H9928" s="12"/>
      <c r="I9928" s="12"/>
      <c r="J9928" s="12"/>
      <c r="K9928" s="12"/>
      <c r="L9928" s="12"/>
      <c r="M9928" s="11"/>
      <c r="N9928" s="11"/>
      <c r="O9928" s="11"/>
      <c r="P9928" s="11"/>
    </row>
    <row r="9929" spans="8:16" x14ac:dyDescent="0.25">
      <c r="H9929" s="12"/>
      <c r="I9929" s="12"/>
      <c r="J9929" s="12"/>
      <c r="K9929" s="12"/>
      <c r="L9929" s="12"/>
      <c r="M9929" s="11"/>
      <c r="N9929" s="11"/>
      <c r="O9929" s="11"/>
      <c r="P9929" s="11"/>
    </row>
    <row r="9930" spans="8:16" x14ac:dyDescent="0.25">
      <c r="H9930" s="12"/>
      <c r="I9930" s="12"/>
      <c r="J9930" s="12"/>
      <c r="K9930" s="12"/>
      <c r="L9930" s="12"/>
      <c r="M9930" s="11"/>
      <c r="N9930" s="11"/>
      <c r="O9930" s="11"/>
      <c r="P9930" s="11"/>
    </row>
    <row r="9931" spans="8:16" x14ac:dyDescent="0.25">
      <c r="H9931" s="12"/>
      <c r="I9931" s="12"/>
      <c r="J9931" s="12"/>
      <c r="K9931" s="12"/>
      <c r="L9931" s="12"/>
      <c r="M9931" s="11"/>
      <c r="N9931" s="11"/>
      <c r="O9931" s="11"/>
      <c r="P9931" s="11"/>
    </row>
    <row r="9932" spans="8:16" x14ac:dyDescent="0.25">
      <c r="H9932" s="12"/>
      <c r="I9932" s="12"/>
      <c r="J9932" s="12"/>
      <c r="K9932" s="12"/>
      <c r="L9932" s="12"/>
      <c r="M9932" s="11"/>
      <c r="N9932" s="11"/>
      <c r="O9932" s="11"/>
      <c r="P9932" s="11"/>
    </row>
    <row r="9933" spans="8:16" x14ac:dyDescent="0.25">
      <c r="H9933" s="12"/>
      <c r="I9933" s="12"/>
      <c r="J9933" s="12"/>
      <c r="K9933" s="12"/>
      <c r="L9933" s="12"/>
      <c r="M9933" s="11"/>
      <c r="N9933" s="11"/>
      <c r="O9933" s="11"/>
      <c r="P9933" s="11"/>
    </row>
    <row r="9934" spans="8:16" x14ac:dyDescent="0.25">
      <c r="H9934" s="12"/>
      <c r="I9934" s="12"/>
      <c r="J9934" s="12"/>
      <c r="K9934" s="12"/>
      <c r="L9934" s="12"/>
      <c r="M9934" s="11"/>
      <c r="N9934" s="11"/>
      <c r="O9934" s="11"/>
      <c r="P9934" s="11"/>
    </row>
    <row r="9935" spans="8:16" x14ac:dyDescent="0.25">
      <c r="H9935" s="12"/>
      <c r="I9935" s="12"/>
      <c r="J9935" s="12"/>
      <c r="K9935" s="12"/>
      <c r="L9935" s="12"/>
      <c r="M9935" s="11"/>
      <c r="N9935" s="11"/>
      <c r="O9935" s="11"/>
      <c r="P9935" s="11"/>
    </row>
    <row r="9936" spans="8:16" x14ac:dyDescent="0.25">
      <c r="H9936" s="12"/>
      <c r="I9936" s="12"/>
      <c r="J9936" s="12"/>
      <c r="K9936" s="12"/>
      <c r="L9936" s="12"/>
      <c r="M9936" s="11"/>
      <c r="N9936" s="11"/>
      <c r="O9936" s="11"/>
      <c r="P9936" s="11"/>
    </row>
    <row r="9937" spans="8:16" x14ac:dyDescent="0.25">
      <c r="H9937" s="12"/>
      <c r="I9937" s="12"/>
      <c r="J9937" s="12"/>
      <c r="K9937" s="12"/>
      <c r="L9937" s="12"/>
      <c r="M9937" s="11"/>
      <c r="N9937" s="11"/>
      <c r="O9937" s="11"/>
      <c r="P9937" s="11"/>
    </row>
    <row r="9938" spans="8:16" x14ac:dyDescent="0.25">
      <c r="H9938" s="12"/>
      <c r="I9938" s="12"/>
      <c r="J9938" s="12"/>
      <c r="K9938" s="12"/>
      <c r="L9938" s="12"/>
      <c r="M9938" s="11"/>
      <c r="N9938" s="11"/>
      <c r="O9938" s="11"/>
      <c r="P9938" s="11"/>
    </row>
    <row r="9939" spans="8:16" x14ac:dyDescent="0.25">
      <c r="H9939" s="12"/>
      <c r="I9939" s="12"/>
      <c r="J9939" s="12"/>
      <c r="K9939" s="12"/>
      <c r="L9939" s="12"/>
      <c r="M9939" s="11"/>
      <c r="N9939" s="11"/>
      <c r="O9939" s="11"/>
      <c r="P9939" s="11"/>
    </row>
    <row r="9940" spans="8:16" x14ac:dyDescent="0.25">
      <c r="H9940" s="12"/>
      <c r="I9940" s="12"/>
      <c r="J9940" s="12"/>
      <c r="K9940" s="12"/>
      <c r="L9940" s="12"/>
      <c r="M9940" s="11"/>
      <c r="N9940" s="11"/>
      <c r="O9940" s="11"/>
      <c r="P9940" s="11"/>
    </row>
    <row r="9941" spans="8:16" x14ac:dyDescent="0.25">
      <c r="H9941" s="12"/>
      <c r="I9941" s="12"/>
      <c r="J9941" s="12"/>
      <c r="K9941" s="12"/>
      <c r="L9941" s="12"/>
      <c r="M9941" s="11"/>
      <c r="N9941" s="11"/>
      <c r="O9941" s="11"/>
      <c r="P9941" s="11"/>
    </row>
    <row r="9942" spans="8:16" x14ac:dyDescent="0.25">
      <c r="H9942" s="12"/>
      <c r="I9942" s="12"/>
      <c r="J9942" s="12"/>
      <c r="K9942" s="12"/>
      <c r="L9942" s="12"/>
      <c r="M9942" s="11"/>
      <c r="N9942" s="11"/>
      <c r="O9942" s="11"/>
      <c r="P9942" s="11"/>
    </row>
    <row r="9943" spans="8:16" x14ac:dyDescent="0.25">
      <c r="H9943" s="12"/>
      <c r="I9943" s="12"/>
      <c r="J9943" s="12"/>
      <c r="K9943" s="12"/>
      <c r="L9943" s="12"/>
      <c r="M9943" s="11"/>
      <c r="N9943" s="11"/>
      <c r="O9943" s="11"/>
      <c r="P9943" s="11"/>
    </row>
    <row r="9944" spans="8:16" x14ac:dyDescent="0.25">
      <c r="H9944" s="12"/>
      <c r="I9944" s="12"/>
      <c r="J9944" s="12"/>
      <c r="K9944" s="12"/>
      <c r="L9944" s="12"/>
      <c r="M9944" s="11"/>
      <c r="N9944" s="11"/>
      <c r="O9944" s="11"/>
      <c r="P9944" s="11"/>
    </row>
    <row r="9945" spans="8:16" x14ac:dyDescent="0.25">
      <c r="H9945" s="12"/>
      <c r="I9945" s="12"/>
      <c r="J9945" s="12"/>
      <c r="K9945" s="12"/>
      <c r="L9945" s="12"/>
      <c r="M9945" s="11"/>
      <c r="N9945" s="11"/>
      <c r="O9945" s="11"/>
      <c r="P9945" s="11"/>
    </row>
    <row r="9946" spans="8:16" x14ac:dyDescent="0.25">
      <c r="H9946" s="12"/>
      <c r="I9946" s="12"/>
      <c r="J9946" s="12"/>
      <c r="K9946" s="12"/>
      <c r="L9946" s="12"/>
      <c r="M9946" s="11"/>
      <c r="N9946" s="11"/>
      <c r="O9946" s="11"/>
      <c r="P9946" s="11"/>
    </row>
    <row r="9947" spans="8:16" x14ac:dyDescent="0.25">
      <c r="H9947" s="12"/>
      <c r="I9947" s="12"/>
      <c r="J9947" s="12"/>
      <c r="K9947" s="12"/>
      <c r="L9947" s="12"/>
      <c r="M9947" s="11"/>
      <c r="N9947" s="11"/>
      <c r="O9947" s="11"/>
      <c r="P9947" s="11"/>
    </row>
    <row r="9948" spans="8:16" x14ac:dyDescent="0.25">
      <c r="H9948" s="12"/>
      <c r="I9948" s="12"/>
      <c r="J9948" s="12"/>
      <c r="K9948" s="12"/>
      <c r="L9948" s="12"/>
      <c r="M9948" s="11"/>
      <c r="N9948" s="11"/>
      <c r="O9948" s="11"/>
      <c r="P9948" s="11"/>
    </row>
    <row r="9949" spans="8:16" x14ac:dyDescent="0.25">
      <c r="H9949" s="12"/>
      <c r="I9949" s="12"/>
      <c r="J9949" s="12"/>
      <c r="K9949" s="12"/>
      <c r="L9949" s="12"/>
      <c r="M9949" s="11"/>
      <c r="N9949" s="11"/>
      <c r="O9949" s="11"/>
      <c r="P9949" s="11"/>
    </row>
    <row r="9950" spans="8:16" x14ac:dyDescent="0.25">
      <c r="H9950" s="12"/>
      <c r="I9950" s="12"/>
      <c r="J9950" s="12"/>
      <c r="K9950" s="12"/>
      <c r="L9950" s="12"/>
      <c r="M9950" s="11"/>
      <c r="N9950" s="11"/>
      <c r="O9950" s="11"/>
      <c r="P9950" s="11"/>
    </row>
    <row r="9951" spans="8:16" x14ac:dyDescent="0.25">
      <c r="H9951" s="12"/>
      <c r="I9951" s="12"/>
      <c r="J9951" s="12"/>
      <c r="K9951" s="12"/>
      <c r="L9951" s="12"/>
      <c r="M9951" s="11"/>
      <c r="N9951" s="11"/>
      <c r="O9951" s="11"/>
      <c r="P9951" s="11"/>
    </row>
    <row r="9952" spans="8:16" x14ac:dyDescent="0.25">
      <c r="H9952" s="12"/>
      <c r="I9952" s="12"/>
      <c r="J9952" s="12"/>
      <c r="K9952" s="12"/>
      <c r="L9952" s="12"/>
      <c r="M9952" s="11"/>
      <c r="N9952" s="11"/>
      <c r="O9952" s="11"/>
      <c r="P9952" s="11"/>
    </row>
    <row r="9953" spans="8:16" x14ac:dyDescent="0.25">
      <c r="H9953" s="12"/>
      <c r="I9953" s="12"/>
      <c r="J9953" s="12"/>
      <c r="K9953" s="12"/>
      <c r="L9953" s="12"/>
      <c r="M9953" s="11"/>
      <c r="N9953" s="11"/>
      <c r="O9953" s="11"/>
      <c r="P9953" s="11"/>
    </row>
    <row r="9954" spans="8:16" x14ac:dyDescent="0.25">
      <c r="H9954" s="12"/>
      <c r="I9954" s="12"/>
      <c r="J9954" s="12"/>
      <c r="K9954" s="12"/>
      <c r="L9954" s="12"/>
      <c r="M9954" s="11"/>
      <c r="N9954" s="11"/>
      <c r="O9954" s="11"/>
      <c r="P9954" s="11"/>
    </row>
    <row r="9955" spans="8:16" x14ac:dyDescent="0.25">
      <c r="H9955" s="12"/>
      <c r="I9955" s="12"/>
      <c r="J9955" s="12"/>
      <c r="K9955" s="12"/>
      <c r="L9955" s="12"/>
      <c r="M9955" s="11"/>
      <c r="N9955" s="11"/>
      <c r="O9955" s="11"/>
      <c r="P9955" s="11"/>
    </row>
    <row r="9956" spans="8:16" x14ac:dyDescent="0.25">
      <c r="H9956" s="12"/>
      <c r="I9956" s="12"/>
      <c r="J9956" s="12"/>
      <c r="K9956" s="12"/>
      <c r="L9956" s="12"/>
      <c r="M9956" s="11"/>
      <c r="N9956" s="11"/>
      <c r="O9956" s="11"/>
      <c r="P9956" s="11"/>
    </row>
    <row r="9957" spans="8:16" x14ac:dyDescent="0.25">
      <c r="H9957" s="12"/>
      <c r="I9957" s="12"/>
      <c r="J9957" s="12"/>
      <c r="K9957" s="12"/>
      <c r="L9957" s="12"/>
      <c r="M9957" s="11"/>
      <c r="N9957" s="11"/>
      <c r="O9957" s="11"/>
      <c r="P9957" s="11"/>
    </row>
    <row r="9958" spans="8:16" x14ac:dyDescent="0.25">
      <c r="H9958" s="12"/>
      <c r="I9958" s="12"/>
      <c r="J9958" s="12"/>
      <c r="K9958" s="12"/>
      <c r="L9958" s="12"/>
      <c r="M9958" s="11"/>
      <c r="N9958" s="11"/>
      <c r="O9958" s="11"/>
      <c r="P9958" s="11"/>
    </row>
    <row r="9959" spans="8:16" x14ac:dyDescent="0.25">
      <c r="H9959" s="12"/>
      <c r="I9959" s="12"/>
      <c r="J9959" s="12"/>
      <c r="K9959" s="12"/>
      <c r="L9959" s="12"/>
      <c r="M9959" s="11"/>
      <c r="N9959" s="11"/>
      <c r="O9959" s="11"/>
      <c r="P9959" s="11"/>
    </row>
    <row r="9960" spans="8:16" x14ac:dyDescent="0.25">
      <c r="H9960" s="12"/>
      <c r="I9960" s="12"/>
      <c r="J9960" s="12"/>
      <c r="K9960" s="12"/>
      <c r="L9960" s="12"/>
      <c r="M9960" s="11"/>
      <c r="N9960" s="11"/>
      <c r="O9960" s="11"/>
      <c r="P9960" s="11"/>
    </row>
    <row r="9961" spans="8:16" x14ac:dyDescent="0.25">
      <c r="H9961" s="12"/>
      <c r="I9961" s="12"/>
      <c r="J9961" s="12"/>
      <c r="K9961" s="12"/>
      <c r="L9961" s="12"/>
      <c r="M9961" s="11"/>
      <c r="N9961" s="11"/>
      <c r="O9961" s="11"/>
      <c r="P9961" s="11"/>
    </row>
    <row r="9962" spans="8:16" x14ac:dyDescent="0.25">
      <c r="H9962" s="12"/>
      <c r="I9962" s="12"/>
      <c r="J9962" s="12"/>
      <c r="K9962" s="12"/>
      <c r="L9962" s="12"/>
      <c r="M9962" s="11"/>
      <c r="N9962" s="11"/>
      <c r="O9962" s="11"/>
      <c r="P9962" s="11"/>
    </row>
    <row r="9963" spans="8:16" x14ac:dyDescent="0.25">
      <c r="H9963" s="12"/>
      <c r="I9963" s="12"/>
      <c r="J9963" s="12"/>
      <c r="K9963" s="12"/>
      <c r="L9963" s="12"/>
      <c r="M9963" s="11"/>
      <c r="N9963" s="11"/>
      <c r="O9963" s="11"/>
      <c r="P9963" s="11"/>
    </row>
    <row r="9964" spans="8:16" x14ac:dyDescent="0.25">
      <c r="H9964" s="12"/>
      <c r="I9964" s="12"/>
      <c r="J9964" s="12"/>
      <c r="K9964" s="12"/>
      <c r="L9964" s="12"/>
      <c r="M9964" s="11"/>
      <c r="N9964" s="11"/>
      <c r="O9964" s="11"/>
      <c r="P9964" s="11"/>
    </row>
    <row r="9965" spans="8:16" x14ac:dyDescent="0.25">
      <c r="H9965" s="12"/>
      <c r="I9965" s="12"/>
      <c r="J9965" s="12"/>
      <c r="K9965" s="12"/>
      <c r="L9965" s="12"/>
      <c r="M9965" s="11"/>
      <c r="N9965" s="11"/>
      <c r="O9965" s="11"/>
      <c r="P9965" s="11"/>
    </row>
    <row r="9966" spans="8:16" x14ac:dyDescent="0.25">
      <c r="H9966" s="12"/>
      <c r="I9966" s="12"/>
      <c r="J9966" s="12"/>
      <c r="K9966" s="12"/>
      <c r="L9966" s="12"/>
      <c r="M9966" s="11"/>
      <c r="N9966" s="11"/>
      <c r="O9966" s="11"/>
      <c r="P9966" s="11"/>
    </row>
    <row r="9967" spans="8:16" x14ac:dyDescent="0.25">
      <c r="H9967" s="12"/>
      <c r="I9967" s="12"/>
      <c r="J9967" s="12"/>
      <c r="K9967" s="12"/>
      <c r="L9967" s="12"/>
      <c r="M9967" s="11"/>
      <c r="N9967" s="11"/>
      <c r="O9967" s="11"/>
      <c r="P9967" s="11"/>
    </row>
    <row r="9968" spans="8:16" x14ac:dyDescent="0.25">
      <c r="H9968" s="12"/>
      <c r="I9968" s="12"/>
      <c r="J9968" s="12"/>
      <c r="K9968" s="12"/>
      <c r="L9968" s="12"/>
      <c r="M9968" s="11"/>
      <c r="N9968" s="11"/>
      <c r="O9968" s="11"/>
      <c r="P9968" s="11"/>
    </row>
    <row r="9969" spans="8:16" x14ac:dyDescent="0.25">
      <c r="H9969" s="12"/>
      <c r="I9969" s="12"/>
      <c r="J9969" s="12"/>
      <c r="K9969" s="12"/>
      <c r="L9969" s="12"/>
      <c r="M9969" s="11"/>
      <c r="N9969" s="11"/>
      <c r="O9969" s="11"/>
      <c r="P9969" s="11"/>
    </row>
    <row r="9970" spans="8:16" x14ac:dyDescent="0.25">
      <c r="H9970" s="12"/>
      <c r="I9970" s="12"/>
      <c r="J9970" s="12"/>
      <c r="K9970" s="12"/>
      <c r="L9970" s="12"/>
      <c r="M9970" s="11"/>
      <c r="N9970" s="11"/>
      <c r="O9970" s="11"/>
      <c r="P9970" s="11"/>
    </row>
    <row r="9971" spans="8:16" x14ac:dyDescent="0.25">
      <c r="H9971" s="12"/>
      <c r="I9971" s="12"/>
      <c r="J9971" s="12"/>
      <c r="K9971" s="12"/>
      <c r="L9971" s="12"/>
      <c r="M9971" s="11"/>
      <c r="N9971" s="11"/>
      <c r="O9971" s="11"/>
      <c r="P9971" s="11"/>
    </row>
    <row r="9972" spans="8:16" x14ac:dyDescent="0.25">
      <c r="H9972" s="12"/>
      <c r="I9972" s="12"/>
      <c r="J9972" s="12"/>
      <c r="K9972" s="12"/>
      <c r="L9972" s="12"/>
      <c r="M9972" s="11"/>
      <c r="N9972" s="11"/>
      <c r="O9972" s="11"/>
      <c r="P9972" s="11"/>
    </row>
    <row r="9973" spans="8:16" x14ac:dyDescent="0.25">
      <c r="H9973" s="12"/>
      <c r="I9973" s="12"/>
      <c r="J9973" s="12"/>
      <c r="K9973" s="12"/>
      <c r="L9973" s="12"/>
      <c r="M9973" s="11"/>
      <c r="N9973" s="11"/>
      <c r="O9973" s="11"/>
      <c r="P9973" s="11"/>
    </row>
    <row r="9974" spans="8:16" x14ac:dyDescent="0.25">
      <c r="H9974" s="12"/>
      <c r="I9974" s="12"/>
      <c r="J9974" s="12"/>
      <c r="K9974" s="12"/>
      <c r="L9974" s="12"/>
      <c r="M9974" s="11"/>
      <c r="N9974" s="11"/>
      <c r="O9974" s="11"/>
      <c r="P9974" s="11"/>
    </row>
    <row r="9975" spans="8:16" x14ac:dyDescent="0.25">
      <c r="H9975" s="12"/>
      <c r="I9975" s="12"/>
      <c r="J9975" s="12"/>
      <c r="K9975" s="12"/>
      <c r="L9975" s="12"/>
      <c r="M9975" s="11"/>
      <c r="N9975" s="11"/>
      <c r="O9975" s="11"/>
      <c r="P9975" s="11"/>
    </row>
    <row r="9976" spans="8:16" x14ac:dyDescent="0.25">
      <c r="H9976" s="12"/>
      <c r="I9976" s="12"/>
      <c r="J9976" s="12"/>
      <c r="K9976" s="12"/>
      <c r="L9976" s="12"/>
      <c r="M9976" s="11"/>
      <c r="N9976" s="11"/>
      <c r="O9976" s="11"/>
      <c r="P9976" s="11"/>
    </row>
    <row r="9977" spans="8:16" x14ac:dyDescent="0.25">
      <c r="H9977" s="12"/>
      <c r="I9977" s="12"/>
      <c r="J9977" s="12"/>
      <c r="K9977" s="12"/>
      <c r="L9977" s="12"/>
      <c r="M9977" s="11"/>
      <c r="N9977" s="11"/>
      <c r="O9977" s="11"/>
      <c r="P9977" s="11"/>
    </row>
    <row r="9978" spans="8:16" x14ac:dyDescent="0.25">
      <c r="H9978" s="12"/>
      <c r="I9978" s="12"/>
      <c r="J9978" s="12"/>
      <c r="K9978" s="12"/>
      <c r="L9978" s="12"/>
      <c r="M9978" s="11"/>
      <c r="N9978" s="11"/>
      <c r="O9978" s="11"/>
      <c r="P9978" s="11"/>
    </row>
    <row r="9979" spans="8:16" x14ac:dyDescent="0.25">
      <c r="H9979" s="12"/>
      <c r="I9979" s="12"/>
      <c r="J9979" s="12"/>
      <c r="K9979" s="12"/>
      <c r="L9979" s="12"/>
      <c r="M9979" s="11"/>
      <c r="N9979" s="11"/>
      <c r="O9979" s="11"/>
      <c r="P9979" s="11"/>
    </row>
    <row r="9980" spans="8:16" x14ac:dyDescent="0.25">
      <c r="H9980" s="12"/>
      <c r="I9980" s="12"/>
      <c r="J9980" s="12"/>
      <c r="K9980" s="12"/>
      <c r="L9980" s="12"/>
      <c r="M9980" s="11"/>
      <c r="N9980" s="11"/>
      <c r="O9980" s="11"/>
      <c r="P9980" s="11"/>
    </row>
    <row r="9981" spans="8:16" x14ac:dyDescent="0.25">
      <c r="H9981" s="12"/>
      <c r="I9981" s="12"/>
      <c r="J9981" s="12"/>
      <c r="K9981" s="12"/>
      <c r="L9981" s="12"/>
      <c r="M9981" s="11"/>
      <c r="N9981" s="11"/>
      <c r="O9981" s="11"/>
      <c r="P9981" s="11"/>
    </row>
    <row r="9982" spans="8:16" x14ac:dyDescent="0.25">
      <c r="H9982" s="12"/>
      <c r="I9982" s="12"/>
      <c r="J9982" s="12"/>
      <c r="K9982" s="12"/>
      <c r="L9982" s="12"/>
      <c r="M9982" s="11"/>
      <c r="N9982" s="11"/>
      <c r="O9982" s="11"/>
      <c r="P9982" s="11"/>
    </row>
    <row r="9983" spans="8:16" x14ac:dyDescent="0.25">
      <c r="H9983" s="12"/>
      <c r="I9983" s="12"/>
      <c r="J9983" s="12"/>
      <c r="K9983" s="12"/>
      <c r="L9983" s="12"/>
      <c r="M9983" s="11"/>
      <c r="N9983" s="11"/>
      <c r="O9983" s="11"/>
      <c r="P9983" s="11"/>
    </row>
    <row r="9984" spans="8:16" x14ac:dyDescent="0.25">
      <c r="H9984" s="12"/>
      <c r="I9984" s="12"/>
      <c r="J9984" s="12"/>
      <c r="K9984" s="12"/>
      <c r="L9984" s="12"/>
      <c r="M9984" s="11"/>
      <c r="N9984" s="11"/>
      <c r="O9984" s="11"/>
      <c r="P9984" s="11"/>
    </row>
    <row r="9985" spans="8:16" x14ac:dyDescent="0.25">
      <c r="H9985" s="12"/>
      <c r="I9985" s="12"/>
      <c r="J9985" s="12"/>
      <c r="K9985" s="12"/>
      <c r="L9985" s="12"/>
      <c r="M9985" s="11"/>
      <c r="N9985" s="11"/>
      <c r="O9985" s="11"/>
      <c r="P9985" s="11"/>
    </row>
    <row r="9986" spans="8:16" x14ac:dyDescent="0.25">
      <c r="H9986" s="12"/>
      <c r="I9986" s="12"/>
      <c r="J9986" s="12"/>
      <c r="K9986" s="12"/>
      <c r="L9986" s="12"/>
      <c r="M9986" s="11"/>
      <c r="N9986" s="11"/>
      <c r="O9986" s="11"/>
      <c r="P9986" s="11"/>
    </row>
    <row r="9987" spans="8:16" x14ac:dyDescent="0.25">
      <c r="H9987" s="12"/>
      <c r="I9987" s="12"/>
      <c r="J9987" s="12"/>
      <c r="K9987" s="12"/>
      <c r="L9987" s="12"/>
      <c r="M9987" s="11"/>
      <c r="N9987" s="11"/>
      <c r="O9987" s="11"/>
      <c r="P9987" s="11"/>
    </row>
    <row r="9988" spans="8:16" x14ac:dyDescent="0.25">
      <c r="H9988" s="12"/>
      <c r="I9988" s="12"/>
      <c r="J9988" s="12"/>
      <c r="K9988" s="12"/>
      <c r="L9988" s="12"/>
      <c r="M9988" s="11"/>
      <c r="N9988" s="11"/>
      <c r="O9988" s="11"/>
      <c r="P9988" s="11"/>
    </row>
    <row r="9989" spans="8:16" x14ac:dyDescent="0.25">
      <c r="H9989" s="12"/>
      <c r="I9989" s="12"/>
      <c r="J9989" s="12"/>
      <c r="K9989" s="12"/>
      <c r="L9989" s="12"/>
      <c r="M9989" s="11"/>
      <c r="N9989" s="11"/>
      <c r="O9989" s="11"/>
      <c r="P9989" s="11"/>
    </row>
    <row r="9990" spans="8:16" x14ac:dyDescent="0.25">
      <c r="H9990" s="12"/>
      <c r="I9990" s="12"/>
      <c r="J9990" s="12"/>
      <c r="K9990" s="12"/>
      <c r="L9990" s="12"/>
      <c r="M9990" s="11"/>
      <c r="N9990" s="11"/>
      <c r="O9990" s="11"/>
      <c r="P9990" s="11"/>
    </row>
    <row r="9991" spans="8:16" x14ac:dyDescent="0.25">
      <c r="H9991" s="12"/>
      <c r="I9991" s="12"/>
      <c r="J9991" s="12"/>
      <c r="K9991" s="12"/>
      <c r="L9991" s="12"/>
      <c r="M9991" s="11"/>
      <c r="N9991" s="11"/>
      <c r="O9991" s="11"/>
      <c r="P9991" s="11"/>
    </row>
    <row r="9992" spans="8:16" x14ac:dyDescent="0.25">
      <c r="H9992" s="12"/>
      <c r="I9992" s="12"/>
      <c r="J9992" s="12"/>
      <c r="K9992" s="12"/>
      <c r="L9992" s="12"/>
      <c r="M9992" s="11"/>
      <c r="N9992" s="11"/>
      <c r="O9992" s="11"/>
      <c r="P9992" s="11"/>
    </row>
    <row r="9993" spans="8:16" x14ac:dyDescent="0.25">
      <c r="H9993" s="12"/>
      <c r="I9993" s="12"/>
      <c r="J9993" s="12"/>
      <c r="K9993" s="12"/>
      <c r="L9993" s="12"/>
      <c r="M9993" s="11"/>
      <c r="N9993" s="11"/>
      <c r="O9993" s="11"/>
      <c r="P9993" s="11"/>
    </row>
    <row r="9994" spans="8:16" x14ac:dyDescent="0.25">
      <c r="H9994" s="12"/>
      <c r="I9994" s="12"/>
      <c r="J9994" s="12"/>
      <c r="K9994" s="12"/>
      <c r="L9994" s="12"/>
      <c r="M9994" s="11"/>
      <c r="N9994" s="11"/>
      <c r="O9994" s="11"/>
      <c r="P9994" s="11"/>
    </row>
    <row r="9995" spans="8:16" x14ac:dyDescent="0.25">
      <c r="H9995" s="12"/>
      <c r="I9995" s="12"/>
      <c r="J9995" s="12"/>
      <c r="K9995" s="12"/>
      <c r="L9995" s="12"/>
      <c r="M9995" s="11"/>
      <c r="N9995" s="11"/>
      <c r="O9995" s="11"/>
      <c r="P9995" s="11"/>
    </row>
    <row r="9996" spans="8:16" x14ac:dyDescent="0.25">
      <c r="H9996" s="12"/>
      <c r="I9996" s="12"/>
      <c r="J9996" s="12"/>
      <c r="K9996" s="12"/>
      <c r="L9996" s="12"/>
      <c r="M9996" s="11"/>
      <c r="N9996" s="11"/>
      <c r="O9996" s="11"/>
      <c r="P9996" s="11"/>
    </row>
    <row r="9997" spans="8:16" x14ac:dyDescent="0.25">
      <c r="H9997" s="12"/>
      <c r="I9997" s="12"/>
      <c r="J9997" s="12"/>
      <c r="K9997" s="12"/>
      <c r="L9997" s="12"/>
      <c r="M9997" s="11"/>
      <c r="N9997" s="11"/>
      <c r="O9997" s="11"/>
      <c r="P9997" s="11"/>
    </row>
    <row r="9998" spans="8:16" x14ac:dyDescent="0.25">
      <c r="H9998" s="12"/>
      <c r="I9998" s="12"/>
      <c r="J9998" s="12"/>
      <c r="K9998" s="12"/>
      <c r="L9998" s="12"/>
      <c r="M9998" s="11"/>
      <c r="N9998" s="11"/>
      <c r="O9998" s="11"/>
      <c r="P9998" s="11"/>
    </row>
    <row r="9999" spans="8:16" x14ac:dyDescent="0.25">
      <c r="H9999" s="12"/>
      <c r="I9999" s="12"/>
      <c r="J9999" s="12"/>
      <c r="K9999" s="12"/>
      <c r="L9999" s="12"/>
      <c r="M9999" s="11"/>
      <c r="N9999" s="11"/>
      <c r="O9999" s="11"/>
      <c r="P9999" s="11"/>
    </row>
    <row r="10000" spans="8:16" x14ac:dyDescent="0.25">
      <c r="H10000" s="12"/>
      <c r="I10000" s="12"/>
      <c r="J10000" s="12"/>
      <c r="K10000" s="12"/>
      <c r="L10000" s="12"/>
      <c r="M10000" s="11"/>
      <c r="N10000" s="11"/>
      <c r="O10000" s="11"/>
      <c r="P10000" s="11"/>
    </row>
    <row r="10001" spans="8:16" x14ac:dyDescent="0.25">
      <c r="H10001" s="12"/>
      <c r="I10001" s="12"/>
      <c r="J10001" s="12"/>
      <c r="K10001" s="12"/>
      <c r="L10001" s="12"/>
      <c r="M10001" s="11"/>
      <c r="N10001" s="11"/>
      <c r="O10001" s="11"/>
      <c r="P10001" s="11"/>
    </row>
    <row r="10002" spans="8:16" x14ac:dyDescent="0.25">
      <c r="H10002" s="12"/>
      <c r="I10002" s="12"/>
      <c r="J10002" s="12"/>
      <c r="K10002" s="12"/>
      <c r="L10002" s="12"/>
      <c r="M10002" s="11"/>
      <c r="N10002" s="11"/>
      <c r="O10002" s="11"/>
      <c r="P10002" s="11"/>
    </row>
    <row r="10003" spans="8:16" x14ac:dyDescent="0.25">
      <c r="H10003" s="12"/>
      <c r="I10003" s="12"/>
      <c r="J10003" s="12"/>
      <c r="K10003" s="12"/>
      <c r="L10003" s="12"/>
      <c r="M10003" s="11"/>
      <c r="N10003" s="11"/>
      <c r="O10003" s="11"/>
      <c r="P10003" s="11"/>
    </row>
    <row r="10004" spans="8:16" x14ac:dyDescent="0.25">
      <c r="H10004" s="12"/>
      <c r="I10004" s="12"/>
      <c r="J10004" s="12"/>
      <c r="K10004" s="12"/>
      <c r="L10004" s="12"/>
      <c r="M10004" s="11"/>
      <c r="N10004" s="11"/>
      <c r="O10004" s="11"/>
      <c r="P10004" s="11"/>
    </row>
    <row r="10005" spans="8:16" x14ac:dyDescent="0.25">
      <c r="H10005" s="12"/>
      <c r="I10005" s="12"/>
      <c r="J10005" s="12"/>
      <c r="K10005" s="12"/>
      <c r="L10005" s="12"/>
      <c r="M10005" s="11"/>
      <c r="N10005" s="11"/>
      <c r="O10005" s="11"/>
      <c r="P10005" s="11"/>
    </row>
    <row r="10006" spans="8:16" x14ac:dyDescent="0.25">
      <c r="H10006" s="12"/>
      <c r="I10006" s="12"/>
      <c r="J10006" s="12"/>
      <c r="K10006" s="12"/>
      <c r="L10006" s="12"/>
      <c r="M10006" s="11"/>
      <c r="N10006" s="11"/>
      <c r="O10006" s="11"/>
      <c r="P10006" s="11"/>
    </row>
    <row r="10007" spans="8:16" x14ac:dyDescent="0.25">
      <c r="H10007" s="12"/>
      <c r="I10007" s="12"/>
      <c r="J10007" s="12"/>
      <c r="K10007" s="12"/>
      <c r="L10007" s="12"/>
      <c r="M10007" s="11"/>
      <c r="N10007" s="11"/>
      <c r="O10007" s="11"/>
      <c r="P10007" s="11"/>
    </row>
    <row r="10008" spans="8:16" x14ac:dyDescent="0.25">
      <c r="H10008" s="12"/>
      <c r="I10008" s="12"/>
      <c r="J10008" s="12"/>
      <c r="K10008" s="12"/>
      <c r="L10008" s="12"/>
      <c r="M10008" s="11"/>
      <c r="N10008" s="11"/>
      <c r="O10008" s="11"/>
      <c r="P10008" s="11"/>
    </row>
    <row r="10009" spans="8:16" x14ac:dyDescent="0.25">
      <c r="H10009" s="12"/>
      <c r="I10009" s="12"/>
      <c r="J10009" s="12"/>
      <c r="K10009" s="12"/>
      <c r="L10009" s="12"/>
      <c r="M10009" s="11"/>
      <c r="N10009" s="11"/>
      <c r="O10009" s="11"/>
      <c r="P10009" s="11"/>
    </row>
    <row r="10010" spans="8:16" x14ac:dyDescent="0.25">
      <c r="H10010" s="12"/>
      <c r="I10010" s="12"/>
      <c r="J10010" s="12"/>
      <c r="K10010" s="12"/>
      <c r="L10010" s="12"/>
      <c r="M10010" s="11"/>
      <c r="N10010" s="11"/>
      <c r="O10010" s="11"/>
      <c r="P10010" s="11"/>
    </row>
    <row r="10011" spans="8:16" x14ac:dyDescent="0.25">
      <c r="H10011" s="12"/>
      <c r="I10011" s="12"/>
      <c r="J10011" s="12"/>
      <c r="K10011" s="12"/>
      <c r="L10011" s="12"/>
      <c r="M10011" s="11"/>
      <c r="N10011" s="11"/>
      <c r="O10011" s="11"/>
      <c r="P10011" s="11"/>
    </row>
    <row r="10012" spans="8:16" x14ac:dyDescent="0.25">
      <c r="H10012" s="12"/>
      <c r="I10012" s="12"/>
      <c r="J10012" s="12"/>
      <c r="K10012" s="12"/>
      <c r="L10012" s="12"/>
      <c r="M10012" s="11"/>
      <c r="N10012" s="11"/>
      <c r="O10012" s="11"/>
      <c r="P10012" s="11"/>
    </row>
    <row r="10013" spans="8:16" x14ac:dyDescent="0.25">
      <c r="H10013" s="12"/>
      <c r="I10013" s="12"/>
      <c r="J10013" s="12"/>
      <c r="K10013" s="12"/>
      <c r="L10013" s="12"/>
      <c r="M10013" s="11"/>
      <c r="N10013" s="11"/>
      <c r="O10013" s="11"/>
      <c r="P10013" s="11"/>
    </row>
    <row r="10014" spans="8:16" x14ac:dyDescent="0.25">
      <c r="H10014" s="12"/>
      <c r="I10014" s="12"/>
      <c r="J10014" s="12"/>
      <c r="K10014" s="12"/>
      <c r="L10014" s="12"/>
      <c r="M10014" s="11"/>
      <c r="N10014" s="11"/>
      <c r="O10014" s="11"/>
      <c r="P10014" s="11"/>
    </row>
    <row r="10015" spans="8:16" x14ac:dyDescent="0.25">
      <c r="H10015" s="12"/>
      <c r="I10015" s="12"/>
      <c r="J10015" s="12"/>
      <c r="K10015" s="12"/>
      <c r="L10015" s="12"/>
      <c r="M10015" s="11"/>
      <c r="N10015" s="11"/>
      <c r="O10015" s="11"/>
      <c r="P10015" s="11"/>
    </row>
    <row r="10016" spans="8:16" x14ac:dyDescent="0.25">
      <c r="H10016" s="12"/>
      <c r="I10016" s="12"/>
      <c r="J10016" s="12"/>
      <c r="K10016" s="12"/>
      <c r="L10016" s="12"/>
      <c r="M10016" s="11"/>
      <c r="N10016" s="11"/>
      <c r="O10016" s="11"/>
      <c r="P10016" s="11"/>
    </row>
    <row r="10017" spans="8:16" x14ac:dyDescent="0.25">
      <c r="H10017" s="12"/>
      <c r="I10017" s="12"/>
      <c r="J10017" s="12"/>
      <c r="K10017" s="12"/>
      <c r="L10017" s="12"/>
      <c r="M10017" s="11"/>
      <c r="N10017" s="11"/>
      <c r="O10017" s="11"/>
      <c r="P10017" s="11"/>
    </row>
    <row r="10018" spans="8:16" x14ac:dyDescent="0.25">
      <c r="H10018" s="12"/>
      <c r="I10018" s="12"/>
      <c r="J10018" s="12"/>
      <c r="K10018" s="12"/>
      <c r="L10018" s="12"/>
      <c r="M10018" s="11"/>
      <c r="N10018" s="11"/>
      <c r="O10018" s="11"/>
      <c r="P10018" s="11"/>
    </row>
    <row r="10019" spans="8:16" x14ac:dyDescent="0.25">
      <c r="H10019" s="12"/>
      <c r="I10019" s="12"/>
      <c r="J10019" s="12"/>
      <c r="K10019" s="12"/>
      <c r="L10019" s="12"/>
      <c r="M10019" s="11"/>
      <c r="N10019" s="11"/>
      <c r="O10019" s="11"/>
      <c r="P10019" s="11"/>
    </row>
    <row r="10020" spans="8:16" x14ac:dyDescent="0.25">
      <c r="H10020" s="12"/>
      <c r="I10020" s="12"/>
      <c r="J10020" s="12"/>
      <c r="K10020" s="12"/>
      <c r="L10020" s="12"/>
      <c r="M10020" s="11"/>
      <c r="N10020" s="11"/>
      <c r="O10020" s="11"/>
      <c r="P10020" s="11"/>
    </row>
    <row r="10021" spans="8:16" x14ac:dyDescent="0.25">
      <c r="H10021" s="12"/>
      <c r="I10021" s="12"/>
      <c r="J10021" s="12"/>
      <c r="K10021" s="12"/>
      <c r="L10021" s="12"/>
      <c r="M10021" s="11"/>
      <c r="N10021" s="11"/>
      <c r="O10021" s="11"/>
      <c r="P10021" s="11"/>
    </row>
    <row r="10022" spans="8:16" x14ac:dyDescent="0.25">
      <c r="H10022" s="12"/>
      <c r="I10022" s="12"/>
      <c r="J10022" s="12"/>
      <c r="K10022" s="12"/>
      <c r="L10022" s="12"/>
      <c r="M10022" s="11"/>
      <c r="N10022" s="11"/>
      <c r="O10022" s="11"/>
      <c r="P10022" s="11"/>
    </row>
    <row r="10023" spans="8:16" x14ac:dyDescent="0.25">
      <c r="H10023" s="12"/>
      <c r="I10023" s="12"/>
      <c r="J10023" s="12"/>
      <c r="K10023" s="12"/>
      <c r="L10023" s="12"/>
      <c r="M10023" s="11"/>
      <c r="N10023" s="11"/>
      <c r="O10023" s="11"/>
      <c r="P10023" s="11"/>
    </row>
    <row r="10024" spans="8:16" x14ac:dyDescent="0.25">
      <c r="H10024" s="12"/>
      <c r="I10024" s="12"/>
      <c r="J10024" s="12"/>
      <c r="K10024" s="12"/>
      <c r="L10024" s="12"/>
      <c r="M10024" s="11"/>
      <c r="N10024" s="11"/>
      <c r="O10024" s="11"/>
      <c r="P10024" s="11"/>
    </row>
    <row r="10025" spans="8:16" x14ac:dyDescent="0.25">
      <c r="H10025" s="12"/>
      <c r="I10025" s="12"/>
      <c r="J10025" s="12"/>
      <c r="K10025" s="12"/>
      <c r="L10025" s="12"/>
      <c r="M10025" s="11"/>
      <c r="N10025" s="11"/>
      <c r="O10025" s="11"/>
      <c r="P10025" s="11"/>
    </row>
    <row r="10026" spans="8:16" x14ac:dyDescent="0.25">
      <c r="H10026" s="12"/>
      <c r="I10026" s="12"/>
      <c r="J10026" s="12"/>
      <c r="K10026" s="12"/>
      <c r="L10026" s="12"/>
      <c r="M10026" s="11"/>
      <c r="N10026" s="11"/>
      <c r="O10026" s="11"/>
      <c r="P10026" s="11"/>
    </row>
    <row r="10027" spans="8:16" x14ac:dyDescent="0.25">
      <c r="H10027" s="12"/>
      <c r="I10027" s="12"/>
      <c r="J10027" s="12"/>
      <c r="K10027" s="12"/>
      <c r="L10027" s="12"/>
      <c r="M10027" s="11"/>
      <c r="N10027" s="11"/>
      <c r="O10027" s="11"/>
      <c r="P10027" s="11"/>
    </row>
    <row r="10028" spans="8:16" x14ac:dyDescent="0.25">
      <c r="H10028" s="12"/>
      <c r="I10028" s="12"/>
      <c r="J10028" s="12"/>
      <c r="K10028" s="12"/>
      <c r="L10028" s="12"/>
      <c r="M10028" s="11"/>
      <c r="N10028" s="11"/>
      <c r="O10028" s="11"/>
      <c r="P10028" s="11"/>
    </row>
    <row r="10029" spans="8:16" x14ac:dyDescent="0.25">
      <c r="H10029" s="12"/>
      <c r="I10029" s="12"/>
      <c r="J10029" s="12"/>
      <c r="K10029" s="12"/>
      <c r="L10029" s="12"/>
      <c r="M10029" s="11"/>
      <c r="N10029" s="11"/>
      <c r="O10029" s="11"/>
      <c r="P10029" s="11"/>
    </row>
    <row r="10030" spans="8:16" x14ac:dyDescent="0.25">
      <c r="H10030" s="12"/>
      <c r="I10030" s="12"/>
      <c r="J10030" s="12"/>
      <c r="K10030" s="12"/>
      <c r="L10030" s="12"/>
      <c r="M10030" s="11"/>
      <c r="N10030" s="11"/>
      <c r="O10030" s="11"/>
      <c r="P10030" s="11"/>
    </row>
    <row r="10031" spans="8:16" x14ac:dyDescent="0.25">
      <c r="H10031" s="12"/>
      <c r="I10031" s="12"/>
      <c r="J10031" s="12"/>
      <c r="K10031" s="12"/>
      <c r="L10031" s="12"/>
      <c r="M10031" s="11"/>
      <c r="N10031" s="11"/>
      <c r="O10031" s="11"/>
      <c r="P10031" s="11"/>
    </row>
    <row r="10032" spans="8:16" x14ac:dyDescent="0.25">
      <c r="H10032" s="12"/>
      <c r="I10032" s="12"/>
      <c r="J10032" s="12"/>
      <c r="K10032" s="12"/>
      <c r="L10032" s="12"/>
      <c r="M10032" s="11"/>
      <c r="N10032" s="11"/>
      <c r="O10032" s="11"/>
      <c r="P10032" s="11"/>
    </row>
    <row r="10033" spans="8:16" x14ac:dyDescent="0.25">
      <c r="H10033" s="12"/>
      <c r="I10033" s="12"/>
      <c r="J10033" s="12"/>
      <c r="K10033" s="12"/>
      <c r="L10033" s="12"/>
      <c r="M10033" s="11"/>
      <c r="N10033" s="11"/>
      <c r="O10033" s="11"/>
      <c r="P10033" s="11"/>
    </row>
    <row r="10034" spans="8:16" x14ac:dyDescent="0.25">
      <c r="H10034" s="12"/>
      <c r="I10034" s="12"/>
      <c r="J10034" s="12"/>
      <c r="K10034" s="12"/>
      <c r="L10034" s="12"/>
      <c r="M10034" s="11"/>
      <c r="N10034" s="11"/>
      <c r="O10034" s="11"/>
      <c r="P10034" s="11"/>
    </row>
    <row r="10035" spans="8:16" x14ac:dyDescent="0.25">
      <c r="H10035" s="12"/>
      <c r="I10035" s="12"/>
      <c r="J10035" s="12"/>
      <c r="K10035" s="12"/>
      <c r="L10035" s="12"/>
      <c r="M10035" s="11"/>
      <c r="N10035" s="11"/>
      <c r="O10035" s="11"/>
      <c r="P10035" s="11"/>
    </row>
    <row r="10036" spans="8:16" x14ac:dyDescent="0.25">
      <c r="H10036" s="12"/>
      <c r="I10036" s="12"/>
      <c r="J10036" s="12"/>
      <c r="K10036" s="12"/>
      <c r="L10036" s="12"/>
      <c r="M10036" s="11"/>
      <c r="N10036" s="11"/>
      <c r="O10036" s="11"/>
      <c r="P10036" s="11"/>
    </row>
    <row r="10037" spans="8:16" x14ac:dyDescent="0.25">
      <c r="H10037" s="12"/>
      <c r="I10037" s="12"/>
      <c r="J10037" s="12"/>
      <c r="K10037" s="12"/>
      <c r="L10037" s="12"/>
      <c r="M10037" s="11"/>
      <c r="N10037" s="11"/>
      <c r="O10037" s="11"/>
      <c r="P10037" s="11"/>
    </row>
    <row r="10038" spans="8:16" x14ac:dyDescent="0.25">
      <c r="H10038" s="12"/>
      <c r="I10038" s="12"/>
      <c r="J10038" s="12"/>
      <c r="K10038" s="12"/>
      <c r="L10038" s="12"/>
      <c r="M10038" s="11"/>
      <c r="N10038" s="11"/>
      <c r="O10038" s="11"/>
      <c r="P10038" s="11"/>
    </row>
    <row r="10039" spans="8:16" x14ac:dyDescent="0.25">
      <c r="H10039" s="12"/>
      <c r="I10039" s="12"/>
      <c r="J10039" s="12"/>
      <c r="K10039" s="12"/>
      <c r="L10039" s="12"/>
      <c r="M10039" s="11"/>
      <c r="N10039" s="11"/>
      <c r="O10039" s="11"/>
      <c r="P10039" s="11"/>
    </row>
    <row r="10040" spans="8:16" x14ac:dyDescent="0.25">
      <c r="H10040" s="12"/>
      <c r="I10040" s="12"/>
      <c r="J10040" s="12"/>
      <c r="K10040" s="12"/>
      <c r="L10040" s="12"/>
      <c r="M10040" s="11"/>
      <c r="N10040" s="11"/>
      <c r="O10040" s="11"/>
      <c r="P10040" s="11"/>
    </row>
    <row r="10041" spans="8:16" x14ac:dyDescent="0.25">
      <c r="H10041" s="12"/>
      <c r="I10041" s="12"/>
      <c r="J10041" s="12"/>
      <c r="K10041" s="12"/>
      <c r="L10041" s="12"/>
      <c r="M10041" s="11"/>
      <c r="N10041" s="11"/>
      <c r="O10041" s="11"/>
      <c r="P10041" s="11"/>
    </row>
    <row r="10042" spans="8:16" x14ac:dyDescent="0.25">
      <c r="H10042" s="12"/>
      <c r="I10042" s="12"/>
      <c r="J10042" s="12"/>
      <c r="K10042" s="12"/>
      <c r="L10042" s="12"/>
      <c r="M10042" s="11"/>
      <c r="N10042" s="11"/>
      <c r="O10042" s="11"/>
      <c r="P10042" s="11"/>
    </row>
    <row r="10043" spans="8:16" x14ac:dyDescent="0.25">
      <c r="H10043" s="12"/>
      <c r="I10043" s="12"/>
      <c r="J10043" s="12"/>
      <c r="K10043" s="12"/>
      <c r="L10043" s="12"/>
      <c r="M10043" s="11"/>
      <c r="N10043" s="11"/>
      <c r="O10043" s="11"/>
      <c r="P10043" s="11"/>
    </row>
    <row r="10044" spans="8:16" x14ac:dyDescent="0.25">
      <c r="H10044" s="12"/>
      <c r="I10044" s="12"/>
      <c r="J10044" s="12"/>
      <c r="K10044" s="12"/>
      <c r="L10044" s="12"/>
      <c r="M10044" s="11"/>
      <c r="N10044" s="11"/>
      <c r="O10044" s="11"/>
      <c r="P10044" s="11"/>
    </row>
    <row r="10045" spans="8:16" x14ac:dyDescent="0.25">
      <c r="H10045" s="12"/>
      <c r="I10045" s="12"/>
      <c r="J10045" s="12"/>
      <c r="K10045" s="12"/>
      <c r="L10045" s="12"/>
      <c r="M10045" s="11"/>
      <c r="N10045" s="11"/>
      <c r="O10045" s="11"/>
      <c r="P10045" s="11"/>
    </row>
    <row r="10046" spans="8:16" x14ac:dyDescent="0.25">
      <c r="H10046" s="12"/>
      <c r="I10046" s="12"/>
      <c r="J10046" s="12"/>
      <c r="K10046" s="12"/>
      <c r="L10046" s="12"/>
      <c r="M10046" s="11"/>
      <c r="N10046" s="11"/>
      <c r="O10046" s="11"/>
      <c r="P10046" s="11"/>
    </row>
    <row r="10047" spans="8:16" x14ac:dyDescent="0.25">
      <c r="H10047" s="12"/>
      <c r="I10047" s="12"/>
      <c r="J10047" s="12"/>
      <c r="K10047" s="12"/>
      <c r="L10047" s="12"/>
      <c r="M10047" s="11"/>
      <c r="N10047" s="11"/>
      <c r="O10047" s="11"/>
      <c r="P10047" s="11"/>
    </row>
    <row r="10048" spans="8:16" x14ac:dyDescent="0.25">
      <c r="H10048" s="12"/>
      <c r="I10048" s="12"/>
      <c r="J10048" s="12"/>
      <c r="K10048" s="12"/>
      <c r="L10048" s="12"/>
      <c r="M10048" s="11"/>
      <c r="N10048" s="11"/>
      <c r="O10048" s="11"/>
      <c r="P10048" s="11"/>
    </row>
    <row r="10049" spans="8:16" x14ac:dyDescent="0.25">
      <c r="H10049" s="12"/>
      <c r="I10049" s="12"/>
      <c r="J10049" s="12"/>
      <c r="K10049" s="12"/>
      <c r="L10049" s="12"/>
      <c r="M10049" s="11"/>
      <c r="N10049" s="11"/>
      <c r="O10049" s="11"/>
      <c r="P10049" s="11"/>
    </row>
    <row r="10050" spans="8:16" x14ac:dyDescent="0.25">
      <c r="H10050" s="12"/>
      <c r="I10050" s="12"/>
      <c r="J10050" s="12"/>
      <c r="K10050" s="12"/>
      <c r="L10050" s="12"/>
      <c r="M10050" s="11"/>
      <c r="N10050" s="11"/>
      <c r="O10050" s="11"/>
      <c r="P10050" s="11"/>
    </row>
    <row r="10051" spans="8:16" x14ac:dyDescent="0.25">
      <c r="H10051" s="12"/>
      <c r="I10051" s="12"/>
      <c r="J10051" s="12"/>
      <c r="K10051" s="12"/>
      <c r="L10051" s="12"/>
      <c r="M10051" s="11"/>
      <c r="N10051" s="11"/>
      <c r="O10051" s="11"/>
      <c r="P10051" s="11"/>
    </row>
    <row r="10052" spans="8:16" x14ac:dyDescent="0.25">
      <c r="H10052" s="12"/>
      <c r="I10052" s="12"/>
      <c r="J10052" s="12"/>
      <c r="K10052" s="12"/>
      <c r="L10052" s="12"/>
      <c r="M10052" s="11"/>
      <c r="N10052" s="11"/>
      <c r="O10052" s="11"/>
      <c r="P10052" s="11"/>
    </row>
    <row r="10053" spans="8:16" x14ac:dyDescent="0.25">
      <c r="H10053" s="12"/>
      <c r="I10053" s="12"/>
      <c r="J10053" s="12"/>
      <c r="K10053" s="12"/>
      <c r="L10053" s="12"/>
      <c r="M10053" s="11"/>
      <c r="N10053" s="11"/>
      <c r="O10053" s="11"/>
      <c r="P10053" s="11"/>
    </row>
    <row r="10054" spans="8:16" x14ac:dyDescent="0.25">
      <c r="H10054" s="12"/>
      <c r="I10054" s="12"/>
      <c r="J10054" s="12"/>
      <c r="K10054" s="12"/>
      <c r="L10054" s="12"/>
      <c r="M10054" s="11"/>
      <c r="N10054" s="11"/>
      <c r="O10054" s="11"/>
      <c r="P10054" s="11"/>
    </row>
    <row r="10055" spans="8:16" x14ac:dyDescent="0.25">
      <c r="H10055" s="12"/>
      <c r="I10055" s="12"/>
      <c r="J10055" s="12"/>
      <c r="K10055" s="12"/>
      <c r="L10055" s="12"/>
      <c r="M10055" s="11"/>
      <c r="N10055" s="11"/>
      <c r="O10055" s="11"/>
      <c r="P10055" s="11"/>
    </row>
    <row r="10056" spans="8:16" x14ac:dyDescent="0.25">
      <c r="H10056" s="12"/>
      <c r="I10056" s="12"/>
      <c r="J10056" s="12"/>
      <c r="K10056" s="12"/>
      <c r="L10056" s="12"/>
      <c r="M10056" s="11"/>
      <c r="N10056" s="11"/>
      <c r="O10056" s="11"/>
      <c r="P10056" s="11"/>
    </row>
    <row r="10057" spans="8:16" x14ac:dyDescent="0.25">
      <c r="H10057" s="12"/>
      <c r="I10057" s="12"/>
      <c r="J10057" s="12"/>
      <c r="K10057" s="12"/>
      <c r="L10057" s="12"/>
      <c r="M10057" s="11"/>
      <c r="N10057" s="11"/>
      <c r="O10057" s="11"/>
      <c r="P10057" s="11"/>
    </row>
    <row r="10058" spans="8:16" x14ac:dyDescent="0.25">
      <c r="H10058" s="12"/>
      <c r="I10058" s="12"/>
      <c r="J10058" s="12"/>
      <c r="K10058" s="12"/>
      <c r="L10058" s="12"/>
      <c r="M10058" s="11"/>
      <c r="N10058" s="11"/>
      <c r="O10058" s="11"/>
      <c r="P10058" s="11"/>
    </row>
    <row r="10059" spans="8:16" x14ac:dyDescent="0.25">
      <c r="H10059" s="12"/>
      <c r="I10059" s="12"/>
      <c r="J10059" s="12"/>
      <c r="K10059" s="12"/>
      <c r="L10059" s="12"/>
      <c r="M10059" s="11"/>
      <c r="N10059" s="11"/>
      <c r="O10059" s="11"/>
      <c r="P10059" s="11"/>
    </row>
    <row r="10060" spans="8:16" x14ac:dyDescent="0.25">
      <c r="H10060" s="12"/>
      <c r="I10060" s="12"/>
      <c r="J10060" s="12"/>
      <c r="K10060" s="12"/>
      <c r="L10060" s="12"/>
      <c r="M10060" s="11"/>
      <c r="N10060" s="11"/>
      <c r="O10060" s="11"/>
      <c r="P10060" s="11"/>
    </row>
    <row r="10061" spans="8:16" x14ac:dyDescent="0.25">
      <c r="H10061" s="12"/>
      <c r="I10061" s="12"/>
      <c r="J10061" s="12"/>
      <c r="K10061" s="12"/>
      <c r="L10061" s="12"/>
      <c r="M10061" s="11"/>
      <c r="N10061" s="11"/>
      <c r="O10061" s="11"/>
      <c r="P10061" s="11"/>
    </row>
    <row r="10062" spans="8:16" x14ac:dyDescent="0.25">
      <c r="H10062" s="12"/>
      <c r="I10062" s="12"/>
      <c r="J10062" s="12"/>
      <c r="K10062" s="12"/>
      <c r="L10062" s="12"/>
      <c r="M10062" s="11"/>
      <c r="N10062" s="11"/>
      <c r="O10062" s="11"/>
      <c r="P10062" s="11"/>
    </row>
    <row r="10063" spans="8:16" x14ac:dyDescent="0.25">
      <c r="H10063" s="12"/>
      <c r="I10063" s="12"/>
      <c r="J10063" s="12"/>
      <c r="K10063" s="12"/>
      <c r="L10063" s="12"/>
      <c r="M10063" s="11"/>
      <c r="N10063" s="11"/>
      <c r="O10063" s="11"/>
      <c r="P10063" s="11"/>
    </row>
    <row r="10064" spans="8:16" x14ac:dyDescent="0.25">
      <c r="H10064" s="12"/>
      <c r="I10064" s="12"/>
      <c r="J10064" s="12"/>
      <c r="K10064" s="12"/>
      <c r="L10064" s="12"/>
      <c r="M10064" s="11"/>
      <c r="N10064" s="11"/>
      <c r="O10064" s="11"/>
      <c r="P10064" s="11"/>
    </row>
    <row r="10065" spans="8:16" x14ac:dyDescent="0.25">
      <c r="H10065" s="12"/>
      <c r="I10065" s="12"/>
      <c r="J10065" s="12"/>
      <c r="K10065" s="12"/>
      <c r="L10065" s="12"/>
      <c r="M10065" s="11"/>
      <c r="N10065" s="11"/>
      <c r="O10065" s="11"/>
      <c r="P10065" s="11"/>
    </row>
    <row r="10066" spans="8:16" x14ac:dyDescent="0.25">
      <c r="H10066" s="12"/>
      <c r="I10066" s="12"/>
      <c r="J10066" s="12"/>
      <c r="K10066" s="12"/>
      <c r="L10066" s="12"/>
      <c r="M10066" s="11"/>
      <c r="N10066" s="11"/>
      <c r="O10066" s="11"/>
      <c r="P10066" s="11"/>
    </row>
    <row r="10067" spans="8:16" x14ac:dyDescent="0.25">
      <c r="H10067" s="12"/>
      <c r="I10067" s="12"/>
      <c r="J10067" s="12"/>
      <c r="K10067" s="12"/>
      <c r="L10067" s="12"/>
      <c r="M10067" s="11"/>
      <c r="N10067" s="11"/>
      <c r="O10067" s="11"/>
      <c r="P10067" s="11"/>
    </row>
    <row r="10068" spans="8:16" x14ac:dyDescent="0.25">
      <c r="H10068" s="12"/>
      <c r="I10068" s="12"/>
      <c r="J10068" s="12"/>
      <c r="K10068" s="12"/>
      <c r="L10068" s="12"/>
      <c r="M10068" s="11"/>
      <c r="N10068" s="11"/>
      <c r="O10068" s="11"/>
      <c r="P10068" s="11"/>
    </row>
    <row r="10069" spans="8:16" x14ac:dyDescent="0.25">
      <c r="H10069" s="12"/>
      <c r="I10069" s="12"/>
      <c r="J10069" s="12"/>
      <c r="K10069" s="12"/>
      <c r="L10069" s="12"/>
      <c r="M10069" s="11"/>
      <c r="N10069" s="11"/>
      <c r="O10069" s="11"/>
      <c r="P10069" s="11"/>
    </row>
    <row r="10070" spans="8:16" x14ac:dyDescent="0.25">
      <c r="H10070" s="12"/>
      <c r="I10070" s="12"/>
      <c r="J10070" s="12"/>
      <c r="K10070" s="12"/>
      <c r="L10070" s="12"/>
      <c r="M10070" s="11"/>
      <c r="N10070" s="11"/>
      <c r="O10070" s="11"/>
      <c r="P10070" s="11"/>
    </row>
    <row r="10071" spans="8:16" x14ac:dyDescent="0.25">
      <c r="H10071" s="12"/>
      <c r="I10071" s="12"/>
      <c r="J10071" s="12"/>
      <c r="K10071" s="12"/>
      <c r="L10071" s="12"/>
      <c r="M10071" s="11"/>
      <c r="N10071" s="11"/>
      <c r="O10071" s="11"/>
      <c r="P10071" s="11"/>
    </row>
    <row r="10072" spans="8:16" x14ac:dyDescent="0.25">
      <c r="H10072" s="12"/>
      <c r="I10072" s="12"/>
      <c r="J10072" s="12"/>
      <c r="K10072" s="12"/>
      <c r="L10072" s="12"/>
      <c r="M10072" s="11"/>
      <c r="N10072" s="11"/>
      <c r="O10072" s="11"/>
      <c r="P10072" s="11"/>
    </row>
    <row r="10073" spans="8:16" x14ac:dyDescent="0.25">
      <c r="H10073" s="12"/>
      <c r="I10073" s="12"/>
      <c r="J10073" s="12"/>
      <c r="K10073" s="12"/>
      <c r="L10073" s="12"/>
      <c r="M10073" s="11"/>
      <c r="N10073" s="11"/>
      <c r="O10073" s="11"/>
      <c r="P10073" s="11"/>
    </row>
    <row r="10074" spans="8:16" x14ac:dyDescent="0.25">
      <c r="H10074" s="12"/>
      <c r="I10074" s="12"/>
      <c r="J10074" s="12"/>
      <c r="K10074" s="12"/>
      <c r="L10074" s="12"/>
      <c r="M10074" s="11"/>
      <c r="N10074" s="11"/>
      <c r="O10074" s="11"/>
      <c r="P10074" s="11"/>
    </row>
    <row r="10075" spans="8:16" x14ac:dyDescent="0.25">
      <c r="H10075" s="12"/>
      <c r="I10075" s="12"/>
      <c r="J10075" s="12"/>
      <c r="K10075" s="12"/>
      <c r="L10075" s="12"/>
      <c r="M10075" s="11"/>
      <c r="N10075" s="11"/>
      <c r="O10075" s="11"/>
      <c r="P10075" s="11"/>
    </row>
    <row r="10076" spans="8:16" x14ac:dyDescent="0.25">
      <c r="H10076" s="12"/>
      <c r="I10076" s="12"/>
      <c r="J10076" s="12"/>
      <c r="K10076" s="12"/>
      <c r="L10076" s="12"/>
      <c r="M10076" s="11"/>
      <c r="N10076" s="11"/>
      <c r="O10076" s="11"/>
      <c r="P10076" s="11"/>
    </row>
    <row r="10077" spans="8:16" x14ac:dyDescent="0.25">
      <c r="H10077" s="12"/>
      <c r="I10077" s="12"/>
      <c r="J10077" s="12"/>
      <c r="K10077" s="12"/>
      <c r="L10077" s="12"/>
      <c r="M10077" s="11"/>
      <c r="N10077" s="11"/>
      <c r="O10077" s="11"/>
      <c r="P10077" s="11"/>
    </row>
    <row r="10078" spans="8:16" x14ac:dyDescent="0.25">
      <c r="H10078" s="12"/>
      <c r="I10078" s="12"/>
      <c r="J10078" s="12"/>
      <c r="K10078" s="12"/>
      <c r="L10078" s="12"/>
      <c r="M10078" s="11"/>
      <c r="N10078" s="11"/>
      <c r="O10078" s="11"/>
      <c r="P10078" s="11"/>
    </row>
    <row r="10079" spans="8:16" x14ac:dyDescent="0.25">
      <c r="H10079" s="12"/>
      <c r="I10079" s="12"/>
      <c r="J10079" s="12"/>
      <c r="K10079" s="12"/>
      <c r="L10079" s="12"/>
      <c r="M10079" s="11"/>
      <c r="N10079" s="11"/>
      <c r="O10079" s="11"/>
      <c r="P10079" s="11"/>
    </row>
    <row r="10080" spans="8:16" x14ac:dyDescent="0.25">
      <c r="H10080" s="12"/>
      <c r="I10080" s="12"/>
      <c r="J10080" s="12"/>
      <c r="K10080" s="12"/>
      <c r="L10080" s="12"/>
      <c r="M10080" s="11"/>
      <c r="N10080" s="11"/>
      <c r="O10080" s="11"/>
      <c r="P10080" s="11"/>
    </row>
    <row r="10081" spans="8:16" x14ac:dyDescent="0.25">
      <c r="H10081" s="12"/>
      <c r="I10081" s="12"/>
      <c r="J10081" s="12"/>
      <c r="K10081" s="12"/>
      <c r="L10081" s="12"/>
      <c r="M10081" s="11"/>
      <c r="N10081" s="11"/>
      <c r="O10081" s="11"/>
      <c r="P10081" s="11"/>
    </row>
    <row r="10082" spans="8:16" x14ac:dyDescent="0.25">
      <c r="H10082" s="12"/>
      <c r="I10082" s="12"/>
      <c r="J10082" s="12"/>
      <c r="K10082" s="12"/>
      <c r="L10082" s="12"/>
      <c r="M10082" s="11"/>
      <c r="N10082" s="11"/>
      <c r="O10082" s="11"/>
      <c r="P10082" s="11"/>
    </row>
    <row r="10083" spans="8:16" x14ac:dyDescent="0.25">
      <c r="H10083" s="12"/>
      <c r="I10083" s="12"/>
      <c r="J10083" s="12"/>
      <c r="K10083" s="12"/>
      <c r="L10083" s="12"/>
      <c r="M10083" s="11"/>
      <c r="N10083" s="11"/>
      <c r="O10083" s="11"/>
      <c r="P10083" s="11"/>
    </row>
    <row r="10084" spans="8:16" x14ac:dyDescent="0.25">
      <c r="H10084" s="12"/>
      <c r="I10084" s="12"/>
      <c r="J10084" s="12"/>
      <c r="K10084" s="12"/>
      <c r="L10084" s="12"/>
      <c r="M10084" s="11"/>
      <c r="N10084" s="11"/>
      <c r="O10084" s="11"/>
      <c r="P10084" s="11"/>
    </row>
    <row r="10085" spans="8:16" x14ac:dyDescent="0.25">
      <c r="H10085" s="12"/>
      <c r="I10085" s="12"/>
      <c r="J10085" s="12"/>
      <c r="K10085" s="12"/>
      <c r="L10085" s="12"/>
      <c r="M10085" s="11"/>
      <c r="N10085" s="11"/>
      <c r="O10085" s="11"/>
      <c r="P10085" s="11"/>
    </row>
    <row r="10086" spans="8:16" x14ac:dyDescent="0.25">
      <c r="H10086" s="12"/>
      <c r="I10086" s="12"/>
      <c r="J10086" s="12"/>
      <c r="K10086" s="12"/>
      <c r="L10086" s="12"/>
      <c r="M10086" s="11"/>
      <c r="N10086" s="11"/>
      <c r="O10086" s="11"/>
      <c r="P10086" s="11"/>
    </row>
    <row r="10087" spans="8:16" x14ac:dyDescent="0.25">
      <c r="H10087" s="12"/>
      <c r="I10087" s="12"/>
      <c r="J10087" s="12"/>
      <c r="K10087" s="12"/>
      <c r="L10087" s="12"/>
      <c r="M10087" s="11"/>
      <c r="N10087" s="11"/>
      <c r="O10087" s="11"/>
      <c r="P10087" s="11"/>
    </row>
    <row r="10088" spans="8:16" x14ac:dyDescent="0.25">
      <c r="H10088" s="12"/>
      <c r="I10088" s="12"/>
      <c r="J10088" s="12"/>
      <c r="K10088" s="12"/>
      <c r="L10088" s="12"/>
      <c r="M10088" s="11"/>
      <c r="N10088" s="11"/>
      <c r="O10088" s="11"/>
      <c r="P10088" s="11"/>
    </row>
    <row r="10089" spans="8:16" x14ac:dyDescent="0.25">
      <c r="H10089" s="12"/>
      <c r="I10089" s="12"/>
      <c r="J10089" s="12"/>
      <c r="K10089" s="12"/>
      <c r="L10089" s="12"/>
      <c r="M10089" s="11"/>
      <c r="N10089" s="11"/>
      <c r="O10089" s="11"/>
      <c r="P10089" s="11"/>
    </row>
    <row r="10090" spans="8:16" x14ac:dyDescent="0.25">
      <c r="H10090" s="12"/>
      <c r="I10090" s="12"/>
      <c r="J10090" s="12"/>
      <c r="K10090" s="12"/>
      <c r="L10090" s="12"/>
      <c r="M10090" s="11"/>
      <c r="N10090" s="11"/>
      <c r="O10090" s="11"/>
      <c r="P10090" s="11"/>
    </row>
    <row r="10091" spans="8:16" x14ac:dyDescent="0.25">
      <c r="H10091" s="12"/>
      <c r="I10091" s="12"/>
      <c r="J10091" s="12"/>
      <c r="K10091" s="12"/>
      <c r="L10091" s="12"/>
      <c r="M10091" s="11"/>
      <c r="N10091" s="11"/>
      <c r="O10091" s="11"/>
      <c r="P10091" s="11"/>
    </row>
    <row r="10092" spans="8:16" x14ac:dyDescent="0.25">
      <c r="H10092" s="12"/>
      <c r="I10092" s="12"/>
      <c r="J10092" s="12"/>
      <c r="K10092" s="12"/>
      <c r="L10092" s="12"/>
      <c r="M10092" s="11"/>
      <c r="N10092" s="11"/>
      <c r="O10092" s="11"/>
      <c r="P10092" s="11"/>
    </row>
    <row r="10093" spans="8:16" x14ac:dyDescent="0.25">
      <c r="H10093" s="12"/>
      <c r="I10093" s="12"/>
      <c r="J10093" s="12"/>
      <c r="K10093" s="12"/>
      <c r="L10093" s="12"/>
      <c r="M10093" s="11"/>
      <c r="N10093" s="11"/>
      <c r="O10093" s="11"/>
      <c r="P10093" s="11"/>
    </row>
    <row r="10094" spans="8:16" x14ac:dyDescent="0.25">
      <c r="H10094" s="12"/>
      <c r="I10094" s="12"/>
      <c r="J10094" s="12"/>
      <c r="K10094" s="12"/>
      <c r="L10094" s="12"/>
      <c r="M10094" s="11"/>
      <c r="N10094" s="11"/>
      <c r="O10094" s="11"/>
      <c r="P10094" s="11"/>
    </row>
    <row r="10095" spans="8:16" x14ac:dyDescent="0.25">
      <c r="H10095" s="12"/>
      <c r="I10095" s="12"/>
      <c r="J10095" s="12"/>
      <c r="K10095" s="12"/>
      <c r="L10095" s="12"/>
      <c r="M10095" s="11"/>
      <c r="N10095" s="11"/>
      <c r="O10095" s="11"/>
      <c r="P10095" s="11"/>
    </row>
    <row r="10096" spans="8:16" x14ac:dyDescent="0.25">
      <c r="H10096" s="12"/>
      <c r="I10096" s="12"/>
      <c r="J10096" s="12"/>
      <c r="K10096" s="12"/>
      <c r="L10096" s="12"/>
      <c r="M10096" s="11"/>
      <c r="N10096" s="11"/>
      <c r="O10096" s="11"/>
      <c r="P10096" s="11"/>
    </row>
    <row r="10097" spans="8:16" x14ac:dyDescent="0.25">
      <c r="H10097" s="12"/>
      <c r="I10097" s="12"/>
      <c r="J10097" s="12"/>
      <c r="K10097" s="12"/>
      <c r="L10097" s="12"/>
      <c r="M10097" s="11"/>
      <c r="N10097" s="11"/>
      <c r="O10097" s="11"/>
      <c r="P10097" s="11"/>
    </row>
    <row r="10098" spans="8:16" x14ac:dyDescent="0.25">
      <c r="H10098" s="12"/>
      <c r="I10098" s="12"/>
      <c r="J10098" s="12"/>
      <c r="K10098" s="12"/>
      <c r="L10098" s="12"/>
      <c r="M10098" s="11"/>
      <c r="N10098" s="11"/>
      <c r="O10098" s="11"/>
      <c r="P10098" s="11"/>
    </row>
    <row r="10099" spans="8:16" x14ac:dyDescent="0.25">
      <c r="H10099" s="12"/>
      <c r="I10099" s="12"/>
      <c r="J10099" s="12"/>
      <c r="K10099" s="12"/>
      <c r="L10099" s="12"/>
      <c r="M10099" s="11"/>
      <c r="N10099" s="11"/>
      <c r="O10099" s="11"/>
      <c r="P10099" s="11"/>
    </row>
    <row r="10100" spans="8:16" x14ac:dyDescent="0.25">
      <c r="H10100" s="12"/>
      <c r="I10100" s="12"/>
      <c r="J10100" s="12"/>
      <c r="K10100" s="12"/>
      <c r="L10100" s="12"/>
      <c r="M10100" s="11"/>
      <c r="N10100" s="11"/>
      <c r="O10100" s="11"/>
      <c r="P10100" s="11"/>
    </row>
    <row r="10101" spans="8:16" x14ac:dyDescent="0.25">
      <c r="H10101" s="12"/>
      <c r="I10101" s="12"/>
      <c r="J10101" s="12"/>
      <c r="K10101" s="12"/>
      <c r="L10101" s="12"/>
      <c r="M10101" s="11"/>
      <c r="N10101" s="11"/>
      <c r="O10101" s="11"/>
      <c r="P10101" s="11"/>
    </row>
    <row r="10102" spans="8:16" x14ac:dyDescent="0.25">
      <c r="H10102" s="12"/>
      <c r="I10102" s="12"/>
      <c r="J10102" s="12"/>
      <c r="K10102" s="12"/>
      <c r="L10102" s="12"/>
      <c r="M10102" s="11"/>
      <c r="N10102" s="11"/>
      <c r="O10102" s="11"/>
      <c r="P10102" s="11"/>
    </row>
    <row r="10103" spans="8:16" x14ac:dyDescent="0.25">
      <c r="H10103" s="12"/>
      <c r="I10103" s="12"/>
      <c r="J10103" s="12"/>
      <c r="K10103" s="12"/>
      <c r="L10103" s="12"/>
      <c r="M10103" s="11"/>
      <c r="N10103" s="11"/>
      <c r="O10103" s="11"/>
      <c r="P10103" s="11"/>
    </row>
    <row r="10104" spans="8:16" x14ac:dyDescent="0.25">
      <c r="H10104" s="12"/>
      <c r="I10104" s="12"/>
      <c r="J10104" s="12"/>
      <c r="K10104" s="12"/>
      <c r="L10104" s="12"/>
      <c r="M10104" s="11"/>
      <c r="N10104" s="11"/>
      <c r="O10104" s="11"/>
      <c r="P10104" s="11"/>
    </row>
    <row r="10105" spans="8:16" x14ac:dyDescent="0.25">
      <c r="H10105" s="12"/>
      <c r="I10105" s="12"/>
      <c r="J10105" s="12"/>
      <c r="K10105" s="12"/>
      <c r="L10105" s="12"/>
      <c r="M10105" s="11"/>
      <c r="N10105" s="11"/>
      <c r="O10105" s="11"/>
      <c r="P10105" s="11"/>
    </row>
    <row r="10106" spans="8:16" x14ac:dyDescent="0.25">
      <c r="H10106" s="12"/>
      <c r="I10106" s="12"/>
      <c r="J10106" s="12"/>
      <c r="K10106" s="12"/>
      <c r="L10106" s="12"/>
      <c r="M10106" s="11"/>
      <c r="N10106" s="11"/>
      <c r="O10106" s="11"/>
      <c r="P10106" s="11"/>
    </row>
    <row r="10107" spans="8:16" x14ac:dyDescent="0.25">
      <c r="H10107" s="12"/>
      <c r="I10107" s="12"/>
      <c r="J10107" s="12"/>
      <c r="K10107" s="12"/>
      <c r="L10107" s="12"/>
      <c r="M10107" s="11"/>
      <c r="N10107" s="11"/>
      <c r="O10107" s="11"/>
      <c r="P10107" s="11"/>
    </row>
    <row r="10108" spans="8:16" x14ac:dyDescent="0.25">
      <c r="H10108" s="12"/>
      <c r="I10108" s="12"/>
      <c r="J10108" s="12"/>
      <c r="K10108" s="12"/>
      <c r="L10108" s="12"/>
      <c r="M10108" s="11"/>
      <c r="N10108" s="11"/>
      <c r="O10108" s="11"/>
      <c r="P10108" s="11"/>
    </row>
    <row r="10109" spans="8:16" x14ac:dyDescent="0.25">
      <c r="H10109" s="12"/>
      <c r="I10109" s="12"/>
      <c r="J10109" s="12"/>
      <c r="K10109" s="12"/>
      <c r="L10109" s="12"/>
      <c r="M10109" s="11"/>
      <c r="N10109" s="11"/>
      <c r="O10109" s="11"/>
      <c r="P10109" s="11"/>
    </row>
    <row r="10110" spans="8:16" x14ac:dyDescent="0.25">
      <c r="H10110" s="12"/>
      <c r="I10110" s="12"/>
      <c r="J10110" s="12"/>
      <c r="K10110" s="12"/>
      <c r="L10110" s="12"/>
      <c r="M10110" s="11"/>
      <c r="N10110" s="11"/>
      <c r="O10110" s="11"/>
      <c r="P10110" s="11"/>
    </row>
    <row r="10111" spans="8:16" x14ac:dyDescent="0.25">
      <c r="H10111" s="12"/>
      <c r="I10111" s="12"/>
      <c r="J10111" s="12"/>
      <c r="K10111" s="12"/>
      <c r="L10111" s="12"/>
      <c r="M10111" s="11"/>
      <c r="N10111" s="11"/>
      <c r="O10111" s="11"/>
      <c r="P10111" s="11"/>
    </row>
    <row r="10112" spans="8:16" x14ac:dyDescent="0.25">
      <c r="H10112" s="12"/>
      <c r="I10112" s="12"/>
      <c r="J10112" s="12"/>
      <c r="K10112" s="12"/>
      <c r="L10112" s="12"/>
      <c r="M10112" s="11"/>
      <c r="N10112" s="11"/>
      <c r="O10112" s="11"/>
      <c r="P10112" s="11"/>
    </row>
    <row r="10113" spans="8:16" x14ac:dyDescent="0.25">
      <c r="H10113" s="12"/>
      <c r="I10113" s="12"/>
      <c r="J10113" s="12"/>
      <c r="K10113" s="12"/>
      <c r="L10113" s="12"/>
      <c r="M10113" s="11"/>
      <c r="N10113" s="11"/>
      <c r="O10113" s="11"/>
      <c r="P10113" s="11"/>
    </row>
    <row r="10114" spans="8:16" x14ac:dyDescent="0.25">
      <c r="H10114" s="12"/>
      <c r="I10114" s="12"/>
      <c r="J10114" s="12"/>
      <c r="K10114" s="12"/>
      <c r="L10114" s="12"/>
      <c r="M10114" s="11"/>
      <c r="N10114" s="11"/>
      <c r="O10114" s="11"/>
      <c r="P10114" s="11"/>
    </row>
    <row r="10115" spans="8:16" x14ac:dyDescent="0.25">
      <c r="H10115" s="12"/>
      <c r="I10115" s="12"/>
      <c r="J10115" s="12"/>
      <c r="K10115" s="12"/>
      <c r="L10115" s="12"/>
      <c r="M10115" s="11"/>
      <c r="N10115" s="11"/>
      <c r="O10115" s="11"/>
      <c r="P10115" s="11"/>
    </row>
    <row r="10116" spans="8:16" x14ac:dyDescent="0.25">
      <c r="H10116" s="12"/>
      <c r="I10116" s="12"/>
      <c r="J10116" s="12"/>
      <c r="K10116" s="12"/>
      <c r="L10116" s="12"/>
      <c r="M10116" s="11"/>
      <c r="N10116" s="11"/>
      <c r="O10116" s="11"/>
      <c r="P10116" s="11"/>
    </row>
    <row r="10117" spans="8:16" x14ac:dyDescent="0.25">
      <c r="H10117" s="12"/>
      <c r="I10117" s="12"/>
      <c r="J10117" s="12"/>
      <c r="K10117" s="12"/>
      <c r="L10117" s="12"/>
      <c r="M10117" s="11"/>
      <c r="N10117" s="11"/>
      <c r="O10117" s="11"/>
      <c r="P10117" s="11"/>
    </row>
    <row r="10118" spans="8:16" x14ac:dyDescent="0.25">
      <c r="H10118" s="12"/>
      <c r="I10118" s="12"/>
      <c r="J10118" s="12"/>
      <c r="K10118" s="12"/>
      <c r="L10118" s="12"/>
      <c r="M10118" s="11"/>
      <c r="N10118" s="11"/>
      <c r="O10118" s="11"/>
      <c r="P10118" s="11"/>
    </row>
    <row r="10119" spans="8:16" x14ac:dyDescent="0.25">
      <c r="H10119" s="12"/>
      <c r="I10119" s="12"/>
      <c r="J10119" s="12"/>
      <c r="K10119" s="12"/>
      <c r="L10119" s="12"/>
      <c r="M10119" s="11"/>
      <c r="N10119" s="11"/>
      <c r="O10119" s="11"/>
      <c r="P10119" s="11"/>
    </row>
    <row r="10120" spans="8:16" x14ac:dyDescent="0.25">
      <c r="H10120" s="12"/>
      <c r="I10120" s="12"/>
      <c r="J10120" s="12"/>
      <c r="K10120" s="12"/>
      <c r="L10120" s="12"/>
      <c r="M10120" s="11"/>
      <c r="N10120" s="11"/>
      <c r="O10120" s="11"/>
      <c r="P10120" s="11"/>
    </row>
    <row r="10121" spans="8:16" x14ac:dyDescent="0.25">
      <c r="H10121" s="12"/>
      <c r="I10121" s="12"/>
      <c r="J10121" s="12"/>
      <c r="K10121" s="12"/>
      <c r="L10121" s="12"/>
      <c r="M10121" s="11"/>
      <c r="N10121" s="11"/>
      <c r="O10121" s="11"/>
      <c r="P10121" s="11"/>
    </row>
    <row r="10122" spans="8:16" x14ac:dyDescent="0.25">
      <c r="H10122" s="12"/>
      <c r="I10122" s="12"/>
      <c r="J10122" s="12"/>
      <c r="K10122" s="12"/>
      <c r="L10122" s="12"/>
      <c r="M10122" s="11"/>
      <c r="N10122" s="11"/>
      <c r="O10122" s="11"/>
      <c r="P10122" s="11"/>
    </row>
    <row r="10123" spans="8:16" x14ac:dyDescent="0.25">
      <c r="H10123" s="12"/>
      <c r="I10123" s="12"/>
      <c r="J10123" s="12"/>
      <c r="K10123" s="12"/>
      <c r="L10123" s="12"/>
      <c r="M10123" s="11"/>
      <c r="N10123" s="11"/>
      <c r="O10123" s="11"/>
      <c r="P10123" s="11"/>
    </row>
    <row r="10124" spans="8:16" x14ac:dyDescent="0.25">
      <c r="H10124" s="12"/>
      <c r="I10124" s="12"/>
      <c r="J10124" s="12"/>
      <c r="K10124" s="12"/>
      <c r="L10124" s="12"/>
      <c r="M10124" s="11"/>
      <c r="N10124" s="11"/>
      <c r="O10124" s="11"/>
      <c r="P10124" s="11"/>
    </row>
    <row r="10125" spans="8:16" x14ac:dyDescent="0.25">
      <c r="H10125" s="12"/>
      <c r="I10125" s="12"/>
      <c r="J10125" s="12"/>
      <c r="K10125" s="12"/>
      <c r="L10125" s="12"/>
      <c r="M10125" s="11"/>
      <c r="N10125" s="11"/>
      <c r="O10125" s="11"/>
      <c r="P10125" s="11"/>
    </row>
    <row r="10126" spans="8:16" x14ac:dyDescent="0.25">
      <c r="H10126" s="12"/>
      <c r="I10126" s="12"/>
      <c r="J10126" s="12"/>
      <c r="K10126" s="12"/>
      <c r="L10126" s="12"/>
      <c r="M10126" s="11"/>
      <c r="N10126" s="11"/>
      <c r="O10126" s="11"/>
      <c r="P10126" s="11"/>
    </row>
    <row r="10127" spans="8:16" x14ac:dyDescent="0.25">
      <c r="H10127" s="12"/>
      <c r="I10127" s="12"/>
      <c r="J10127" s="12"/>
      <c r="K10127" s="12"/>
      <c r="L10127" s="12"/>
      <c r="M10127" s="11"/>
      <c r="N10127" s="11"/>
      <c r="O10127" s="11"/>
      <c r="P10127" s="11"/>
    </row>
    <row r="10128" spans="8:16" x14ac:dyDescent="0.25">
      <c r="H10128" s="12"/>
      <c r="I10128" s="12"/>
      <c r="J10128" s="12"/>
      <c r="K10128" s="12"/>
      <c r="L10128" s="12"/>
      <c r="M10128" s="11"/>
      <c r="N10128" s="11"/>
      <c r="O10128" s="11"/>
      <c r="P10128" s="11"/>
    </row>
    <row r="10129" spans="8:16" x14ac:dyDescent="0.25">
      <c r="H10129" s="12"/>
      <c r="I10129" s="12"/>
      <c r="J10129" s="12"/>
      <c r="K10129" s="12"/>
      <c r="L10129" s="12"/>
      <c r="M10129" s="11"/>
      <c r="N10129" s="11"/>
      <c r="O10129" s="11"/>
      <c r="P10129" s="11"/>
    </row>
    <row r="10130" spans="8:16" x14ac:dyDescent="0.25">
      <c r="H10130" s="12"/>
      <c r="I10130" s="12"/>
      <c r="J10130" s="12"/>
      <c r="K10130" s="12"/>
      <c r="L10130" s="12"/>
      <c r="M10130" s="11"/>
      <c r="N10130" s="11"/>
      <c r="O10130" s="11"/>
      <c r="P10130" s="11"/>
    </row>
    <row r="10131" spans="8:16" x14ac:dyDescent="0.25">
      <c r="H10131" s="12"/>
      <c r="I10131" s="12"/>
      <c r="J10131" s="12"/>
      <c r="K10131" s="12"/>
      <c r="L10131" s="12"/>
      <c r="M10131" s="11"/>
      <c r="N10131" s="11"/>
      <c r="O10131" s="11"/>
      <c r="P10131" s="11"/>
    </row>
    <row r="10132" spans="8:16" x14ac:dyDescent="0.25">
      <c r="H10132" s="12"/>
      <c r="I10132" s="12"/>
      <c r="J10132" s="12"/>
      <c r="K10132" s="12"/>
      <c r="L10132" s="12"/>
      <c r="M10132" s="11"/>
      <c r="N10132" s="11"/>
      <c r="O10132" s="11"/>
      <c r="P10132" s="11"/>
    </row>
    <row r="10133" spans="8:16" x14ac:dyDescent="0.25">
      <c r="H10133" s="12"/>
      <c r="I10133" s="12"/>
      <c r="J10133" s="12"/>
      <c r="K10133" s="12"/>
      <c r="L10133" s="12"/>
      <c r="M10133" s="11"/>
      <c r="N10133" s="11"/>
      <c r="O10133" s="11"/>
      <c r="P10133" s="11"/>
    </row>
    <row r="10134" spans="8:16" x14ac:dyDescent="0.25">
      <c r="H10134" s="12"/>
      <c r="I10134" s="12"/>
      <c r="J10134" s="12"/>
      <c r="K10134" s="12"/>
      <c r="L10134" s="12"/>
      <c r="M10134" s="11"/>
      <c r="N10134" s="11"/>
      <c r="O10134" s="11"/>
      <c r="P10134" s="11"/>
    </row>
    <row r="10135" spans="8:16" x14ac:dyDescent="0.25">
      <c r="H10135" s="12"/>
      <c r="I10135" s="12"/>
      <c r="J10135" s="12"/>
      <c r="K10135" s="12"/>
      <c r="L10135" s="12"/>
      <c r="M10135" s="11"/>
      <c r="N10135" s="11"/>
      <c r="O10135" s="11"/>
      <c r="P10135" s="11"/>
    </row>
    <row r="10136" spans="8:16" x14ac:dyDescent="0.25">
      <c r="H10136" s="12"/>
      <c r="I10136" s="12"/>
      <c r="J10136" s="12"/>
      <c r="K10136" s="12"/>
      <c r="L10136" s="12"/>
      <c r="M10136" s="11"/>
      <c r="N10136" s="11"/>
      <c r="O10136" s="11"/>
      <c r="P10136" s="11"/>
    </row>
    <row r="10137" spans="8:16" x14ac:dyDescent="0.25">
      <c r="H10137" s="12"/>
      <c r="I10137" s="12"/>
      <c r="J10137" s="12"/>
      <c r="K10137" s="12"/>
      <c r="L10137" s="12"/>
      <c r="M10137" s="11"/>
      <c r="N10137" s="11"/>
      <c r="O10137" s="11"/>
      <c r="P10137" s="11"/>
    </row>
    <row r="10138" spans="8:16" x14ac:dyDescent="0.25">
      <c r="H10138" s="12"/>
      <c r="I10138" s="12"/>
      <c r="J10138" s="12"/>
      <c r="K10138" s="12"/>
      <c r="L10138" s="12"/>
      <c r="M10138" s="11"/>
      <c r="N10138" s="11"/>
      <c r="O10138" s="11"/>
      <c r="P10138" s="11"/>
    </row>
    <row r="10139" spans="8:16" x14ac:dyDescent="0.25">
      <c r="H10139" s="12"/>
      <c r="I10139" s="12"/>
      <c r="J10139" s="12"/>
      <c r="K10139" s="12"/>
      <c r="L10139" s="12"/>
      <c r="M10139" s="11"/>
      <c r="N10139" s="11"/>
      <c r="O10139" s="11"/>
      <c r="P10139" s="11"/>
    </row>
    <row r="10140" spans="8:16" x14ac:dyDescent="0.25">
      <c r="H10140" s="12"/>
      <c r="I10140" s="12"/>
      <c r="J10140" s="12"/>
      <c r="K10140" s="12"/>
      <c r="L10140" s="12"/>
      <c r="M10140" s="11"/>
      <c r="N10140" s="11"/>
      <c r="O10140" s="11"/>
      <c r="P10140" s="11"/>
    </row>
    <row r="10141" spans="8:16" x14ac:dyDescent="0.25">
      <c r="H10141" s="12"/>
      <c r="I10141" s="12"/>
      <c r="J10141" s="12"/>
      <c r="K10141" s="12"/>
      <c r="L10141" s="12"/>
      <c r="M10141" s="11"/>
      <c r="N10141" s="11"/>
      <c r="O10141" s="11"/>
      <c r="P10141" s="11"/>
    </row>
    <row r="10142" spans="8:16" x14ac:dyDescent="0.25">
      <c r="H10142" s="12"/>
      <c r="I10142" s="12"/>
      <c r="J10142" s="12"/>
      <c r="K10142" s="12"/>
      <c r="L10142" s="12"/>
      <c r="M10142" s="11"/>
      <c r="N10142" s="11"/>
      <c r="O10142" s="11"/>
      <c r="P10142" s="11"/>
    </row>
    <row r="10143" spans="8:16" x14ac:dyDescent="0.25">
      <c r="H10143" s="12"/>
      <c r="I10143" s="12"/>
      <c r="J10143" s="12"/>
      <c r="K10143" s="12"/>
      <c r="L10143" s="12"/>
      <c r="M10143" s="11"/>
      <c r="N10143" s="11"/>
      <c r="O10143" s="11"/>
      <c r="P10143" s="11"/>
    </row>
    <row r="10144" spans="8:16" x14ac:dyDescent="0.25">
      <c r="H10144" s="12"/>
      <c r="I10144" s="12"/>
      <c r="J10144" s="12"/>
      <c r="K10144" s="12"/>
      <c r="L10144" s="12"/>
      <c r="M10144" s="11"/>
      <c r="N10144" s="11"/>
      <c r="O10144" s="11"/>
      <c r="P10144" s="11"/>
    </row>
    <row r="10145" spans="8:16" x14ac:dyDescent="0.25">
      <c r="H10145" s="12"/>
      <c r="I10145" s="12"/>
      <c r="J10145" s="12"/>
      <c r="K10145" s="12"/>
      <c r="L10145" s="12"/>
      <c r="M10145" s="11"/>
      <c r="N10145" s="11"/>
      <c r="O10145" s="11"/>
      <c r="P10145" s="11"/>
    </row>
    <row r="10146" spans="8:16" x14ac:dyDescent="0.25">
      <c r="H10146" s="12"/>
      <c r="I10146" s="12"/>
      <c r="J10146" s="12"/>
      <c r="K10146" s="12"/>
      <c r="L10146" s="12"/>
      <c r="M10146" s="11"/>
      <c r="N10146" s="11"/>
      <c r="O10146" s="11"/>
      <c r="P10146" s="11"/>
    </row>
    <row r="10147" spans="8:16" x14ac:dyDescent="0.25">
      <c r="H10147" s="12"/>
      <c r="I10147" s="12"/>
      <c r="J10147" s="12"/>
      <c r="K10147" s="12"/>
      <c r="L10147" s="12"/>
      <c r="M10147" s="11"/>
      <c r="N10147" s="11"/>
      <c r="O10147" s="11"/>
      <c r="P10147" s="11"/>
    </row>
    <row r="10148" spans="8:16" x14ac:dyDescent="0.25">
      <c r="H10148" s="12"/>
      <c r="I10148" s="12"/>
      <c r="J10148" s="12"/>
      <c r="K10148" s="12"/>
      <c r="L10148" s="12"/>
      <c r="M10148" s="11"/>
      <c r="N10148" s="11"/>
      <c r="O10148" s="11"/>
      <c r="P10148" s="11"/>
    </row>
    <row r="10149" spans="8:16" x14ac:dyDescent="0.25">
      <c r="H10149" s="12"/>
      <c r="I10149" s="12"/>
      <c r="J10149" s="12"/>
      <c r="K10149" s="12"/>
      <c r="L10149" s="12"/>
      <c r="M10149" s="11"/>
      <c r="N10149" s="11"/>
      <c r="O10149" s="11"/>
      <c r="P10149" s="11"/>
    </row>
    <row r="10150" spans="8:16" x14ac:dyDescent="0.25">
      <c r="H10150" s="12"/>
      <c r="I10150" s="12"/>
      <c r="J10150" s="12"/>
      <c r="K10150" s="12"/>
      <c r="L10150" s="12"/>
      <c r="M10150" s="11"/>
      <c r="N10150" s="11"/>
      <c r="O10150" s="11"/>
      <c r="P10150" s="11"/>
    </row>
    <row r="10151" spans="8:16" x14ac:dyDescent="0.25">
      <c r="H10151" s="12"/>
      <c r="I10151" s="12"/>
      <c r="J10151" s="12"/>
      <c r="K10151" s="12"/>
      <c r="L10151" s="12"/>
      <c r="M10151" s="11"/>
      <c r="N10151" s="11"/>
      <c r="O10151" s="11"/>
      <c r="P10151" s="11"/>
    </row>
    <row r="10152" spans="8:16" x14ac:dyDescent="0.25">
      <c r="H10152" s="12"/>
      <c r="I10152" s="12"/>
      <c r="J10152" s="12"/>
      <c r="K10152" s="12"/>
      <c r="L10152" s="12"/>
      <c r="M10152" s="11"/>
      <c r="N10152" s="11"/>
      <c r="O10152" s="11"/>
      <c r="P10152" s="11"/>
    </row>
    <row r="10153" spans="8:16" x14ac:dyDescent="0.25">
      <c r="H10153" s="12"/>
      <c r="I10153" s="12"/>
      <c r="J10153" s="12"/>
      <c r="K10153" s="12"/>
      <c r="L10153" s="12"/>
      <c r="M10153" s="11"/>
      <c r="N10153" s="11"/>
      <c r="O10153" s="11"/>
      <c r="P10153" s="11"/>
    </row>
    <row r="10154" spans="8:16" x14ac:dyDescent="0.25">
      <c r="H10154" s="12"/>
      <c r="I10154" s="12"/>
      <c r="J10154" s="12"/>
      <c r="K10154" s="12"/>
      <c r="L10154" s="12"/>
      <c r="M10154" s="11"/>
      <c r="N10154" s="11"/>
      <c r="O10154" s="11"/>
      <c r="P10154" s="11"/>
    </row>
    <row r="10155" spans="8:16" x14ac:dyDescent="0.25">
      <c r="H10155" s="12"/>
      <c r="I10155" s="12"/>
      <c r="J10155" s="12"/>
      <c r="K10155" s="12"/>
      <c r="L10155" s="12"/>
      <c r="M10155" s="11"/>
      <c r="N10155" s="11"/>
      <c r="O10155" s="11"/>
      <c r="P10155" s="11"/>
    </row>
    <row r="10156" spans="8:16" x14ac:dyDescent="0.25">
      <c r="H10156" s="12"/>
      <c r="I10156" s="12"/>
      <c r="J10156" s="12"/>
      <c r="K10156" s="12"/>
      <c r="L10156" s="12"/>
      <c r="M10156" s="11"/>
      <c r="N10156" s="11"/>
      <c r="O10156" s="11"/>
      <c r="P10156" s="11"/>
    </row>
    <row r="10157" spans="8:16" x14ac:dyDescent="0.25">
      <c r="H10157" s="12"/>
      <c r="I10157" s="12"/>
      <c r="J10157" s="12"/>
      <c r="K10157" s="12"/>
      <c r="L10157" s="12"/>
      <c r="M10157" s="11"/>
      <c r="N10157" s="11"/>
      <c r="O10157" s="11"/>
      <c r="P10157" s="11"/>
    </row>
    <row r="10158" spans="8:16" x14ac:dyDescent="0.25">
      <c r="H10158" s="12"/>
      <c r="I10158" s="12"/>
      <c r="J10158" s="12"/>
      <c r="K10158" s="12"/>
      <c r="L10158" s="12"/>
      <c r="M10158" s="11"/>
      <c r="N10158" s="11"/>
      <c r="O10158" s="11"/>
      <c r="P10158" s="11"/>
    </row>
    <row r="10159" spans="8:16" x14ac:dyDescent="0.25">
      <c r="H10159" s="12"/>
      <c r="I10159" s="12"/>
      <c r="J10159" s="12"/>
      <c r="K10159" s="12"/>
      <c r="L10159" s="12"/>
      <c r="M10159" s="11"/>
      <c r="N10159" s="11"/>
      <c r="O10159" s="11"/>
      <c r="P10159" s="11"/>
    </row>
    <row r="10160" spans="8:16" x14ac:dyDescent="0.25">
      <c r="H10160" s="12"/>
      <c r="I10160" s="12"/>
      <c r="J10160" s="12"/>
      <c r="K10160" s="12"/>
      <c r="L10160" s="12"/>
      <c r="M10160" s="11"/>
      <c r="N10160" s="11"/>
      <c r="O10160" s="11"/>
      <c r="P10160" s="11"/>
    </row>
    <row r="10161" spans="8:16" x14ac:dyDescent="0.25">
      <c r="H10161" s="12"/>
      <c r="I10161" s="12"/>
      <c r="J10161" s="12"/>
      <c r="K10161" s="12"/>
      <c r="L10161" s="12"/>
      <c r="M10161" s="11"/>
      <c r="N10161" s="11"/>
      <c r="O10161" s="11"/>
      <c r="P10161" s="11"/>
    </row>
    <row r="10162" spans="8:16" x14ac:dyDescent="0.25">
      <c r="H10162" s="12"/>
      <c r="I10162" s="12"/>
      <c r="J10162" s="12"/>
      <c r="K10162" s="12"/>
      <c r="L10162" s="12"/>
      <c r="M10162" s="11"/>
      <c r="N10162" s="11"/>
      <c r="O10162" s="11"/>
      <c r="P10162" s="11"/>
    </row>
    <row r="10163" spans="8:16" x14ac:dyDescent="0.25">
      <c r="H10163" s="12"/>
      <c r="I10163" s="12"/>
      <c r="J10163" s="12"/>
      <c r="K10163" s="12"/>
      <c r="L10163" s="12"/>
      <c r="M10163" s="11"/>
      <c r="N10163" s="11"/>
      <c r="O10163" s="11"/>
      <c r="P10163" s="11"/>
    </row>
    <row r="10164" spans="8:16" x14ac:dyDescent="0.25">
      <c r="H10164" s="12"/>
      <c r="I10164" s="12"/>
      <c r="J10164" s="12"/>
      <c r="K10164" s="12"/>
      <c r="L10164" s="12"/>
      <c r="M10164" s="11"/>
      <c r="N10164" s="11"/>
      <c r="O10164" s="11"/>
      <c r="P10164" s="11"/>
    </row>
    <row r="10165" spans="8:16" x14ac:dyDescent="0.25">
      <c r="H10165" s="12"/>
      <c r="I10165" s="12"/>
      <c r="J10165" s="12"/>
      <c r="K10165" s="12"/>
      <c r="L10165" s="12"/>
      <c r="M10165" s="11"/>
      <c r="N10165" s="11"/>
      <c r="O10165" s="11"/>
      <c r="P10165" s="11"/>
    </row>
    <row r="10166" spans="8:16" x14ac:dyDescent="0.25">
      <c r="H10166" s="12"/>
      <c r="I10166" s="12"/>
      <c r="J10166" s="12"/>
      <c r="K10166" s="12"/>
      <c r="L10166" s="12"/>
      <c r="M10166" s="11"/>
      <c r="N10166" s="11"/>
      <c r="O10166" s="11"/>
      <c r="P10166" s="11"/>
    </row>
    <row r="10167" spans="8:16" x14ac:dyDescent="0.25">
      <c r="H10167" s="12"/>
      <c r="I10167" s="12"/>
      <c r="J10167" s="12"/>
      <c r="K10167" s="12"/>
      <c r="L10167" s="12"/>
      <c r="M10167" s="11"/>
      <c r="N10167" s="11"/>
      <c r="O10167" s="11"/>
      <c r="P10167" s="11"/>
    </row>
    <row r="10168" spans="8:16" x14ac:dyDescent="0.25">
      <c r="H10168" s="12"/>
      <c r="I10168" s="12"/>
      <c r="J10168" s="12"/>
      <c r="K10168" s="12"/>
      <c r="L10168" s="12"/>
      <c r="M10168" s="11"/>
      <c r="N10168" s="11"/>
      <c r="O10168" s="11"/>
      <c r="P10168" s="11"/>
    </row>
    <row r="10169" spans="8:16" x14ac:dyDescent="0.25">
      <c r="H10169" s="12"/>
      <c r="I10169" s="12"/>
      <c r="J10169" s="12"/>
      <c r="K10169" s="12"/>
      <c r="L10169" s="12"/>
      <c r="M10169" s="11"/>
      <c r="N10169" s="11"/>
      <c r="O10169" s="11"/>
      <c r="P10169" s="11"/>
    </row>
    <row r="10170" spans="8:16" x14ac:dyDescent="0.25">
      <c r="H10170" s="12"/>
      <c r="I10170" s="12"/>
      <c r="J10170" s="12"/>
      <c r="K10170" s="12"/>
      <c r="L10170" s="12"/>
      <c r="M10170" s="11"/>
      <c r="N10170" s="11"/>
      <c r="O10170" s="11"/>
      <c r="P10170" s="11"/>
    </row>
    <row r="10171" spans="8:16" x14ac:dyDescent="0.25">
      <c r="H10171" s="12"/>
      <c r="I10171" s="12"/>
      <c r="J10171" s="12"/>
      <c r="K10171" s="12"/>
      <c r="L10171" s="12"/>
      <c r="M10171" s="11"/>
      <c r="N10171" s="11"/>
      <c r="O10171" s="11"/>
      <c r="P10171" s="11"/>
    </row>
    <row r="10172" spans="8:16" x14ac:dyDescent="0.25">
      <c r="H10172" s="12"/>
      <c r="I10172" s="12"/>
      <c r="J10172" s="12"/>
      <c r="K10172" s="12"/>
      <c r="L10172" s="12"/>
      <c r="M10172" s="11"/>
      <c r="N10172" s="11"/>
      <c r="O10172" s="11"/>
      <c r="P10172" s="11"/>
    </row>
    <row r="10173" spans="8:16" x14ac:dyDescent="0.25">
      <c r="H10173" s="12"/>
      <c r="I10173" s="12"/>
      <c r="J10173" s="12"/>
      <c r="K10173" s="12"/>
      <c r="L10173" s="12"/>
      <c r="M10173" s="11"/>
      <c r="N10173" s="11"/>
      <c r="O10173" s="11"/>
      <c r="P10173" s="11"/>
    </row>
    <row r="10174" spans="8:16" x14ac:dyDescent="0.25">
      <c r="H10174" s="12"/>
      <c r="I10174" s="12"/>
      <c r="J10174" s="12"/>
      <c r="K10174" s="12"/>
      <c r="L10174" s="12"/>
      <c r="M10174" s="11"/>
      <c r="N10174" s="11"/>
      <c r="O10174" s="11"/>
      <c r="P10174" s="11"/>
    </row>
    <row r="10175" spans="8:16" x14ac:dyDescent="0.25">
      <c r="H10175" s="12"/>
      <c r="I10175" s="12"/>
      <c r="J10175" s="12"/>
      <c r="K10175" s="12"/>
      <c r="L10175" s="12"/>
      <c r="M10175" s="11"/>
      <c r="N10175" s="11"/>
      <c r="O10175" s="11"/>
      <c r="P10175" s="11"/>
    </row>
    <row r="10176" spans="8:16" x14ac:dyDescent="0.25">
      <c r="H10176" s="12"/>
      <c r="I10176" s="12"/>
      <c r="J10176" s="12"/>
      <c r="K10176" s="12"/>
      <c r="L10176" s="12"/>
      <c r="M10176" s="11"/>
      <c r="N10176" s="11"/>
      <c r="O10176" s="11"/>
      <c r="P10176" s="11"/>
    </row>
    <row r="10177" spans="8:16" x14ac:dyDescent="0.25">
      <c r="H10177" s="12"/>
      <c r="I10177" s="12"/>
      <c r="J10177" s="12"/>
      <c r="K10177" s="12"/>
      <c r="L10177" s="12"/>
      <c r="M10177" s="11"/>
      <c r="N10177" s="11"/>
      <c r="O10177" s="11"/>
      <c r="P10177" s="11"/>
    </row>
    <row r="10178" spans="8:16" x14ac:dyDescent="0.25">
      <c r="H10178" s="12"/>
      <c r="I10178" s="12"/>
      <c r="J10178" s="12"/>
      <c r="K10178" s="12"/>
      <c r="L10178" s="12"/>
      <c r="M10178" s="11"/>
      <c r="N10178" s="11"/>
      <c r="O10178" s="11"/>
      <c r="P10178" s="11"/>
    </row>
    <row r="10179" spans="8:16" x14ac:dyDescent="0.25">
      <c r="H10179" s="12"/>
      <c r="I10179" s="12"/>
      <c r="J10179" s="12"/>
      <c r="K10179" s="12"/>
      <c r="L10179" s="12"/>
      <c r="M10179" s="11"/>
      <c r="N10179" s="11"/>
      <c r="O10179" s="11"/>
      <c r="P10179" s="11"/>
    </row>
    <row r="10180" spans="8:16" x14ac:dyDescent="0.25">
      <c r="H10180" s="12"/>
      <c r="I10180" s="12"/>
      <c r="J10180" s="12"/>
      <c r="K10180" s="12"/>
      <c r="L10180" s="12"/>
      <c r="M10180" s="11"/>
      <c r="N10180" s="11"/>
      <c r="O10180" s="11"/>
      <c r="P10180" s="11"/>
    </row>
    <row r="10181" spans="8:16" x14ac:dyDescent="0.25">
      <c r="H10181" s="12"/>
      <c r="I10181" s="12"/>
      <c r="J10181" s="12"/>
      <c r="K10181" s="12"/>
      <c r="L10181" s="12"/>
      <c r="M10181" s="11"/>
      <c r="N10181" s="11"/>
      <c r="O10181" s="11"/>
      <c r="P10181" s="11"/>
    </row>
    <row r="10182" spans="8:16" x14ac:dyDescent="0.25">
      <c r="H10182" s="12"/>
      <c r="I10182" s="12"/>
      <c r="J10182" s="12"/>
      <c r="K10182" s="12"/>
      <c r="L10182" s="12"/>
      <c r="M10182" s="11"/>
      <c r="N10182" s="11"/>
      <c r="O10182" s="11"/>
      <c r="P10182" s="11"/>
    </row>
    <row r="10183" spans="8:16" x14ac:dyDescent="0.25">
      <c r="H10183" s="12"/>
      <c r="I10183" s="12"/>
      <c r="J10183" s="12"/>
      <c r="K10183" s="12"/>
      <c r="L10183" s="12"/>
      <c r="M10183" s="11"/>
      <c r="N10183" s="11"/>
      <c r="O10183" s="11"/>
      <c r="P10183" s="11"/>
    </row>
    <row r="10184" spans="8:16" x14ac:dyDescent="0.25">
      <c r="H10184" s="12"/>
      <c r="I10184" s="12"/>
      <c r="J10184" s="12"/>
      <c r="K10184" s="12"/>
      <c r="L10184" s="12"/>
      <c r="M10184" s="11"/>
      <c r="N10184" s="11"/>
      <c r="O10184" s="11"/>
      <c r="P10184" s="11"/>
    </row>
    <row r="10185" spans="8:16" x14ac:dyDescent="0.25">
      <c r="H10185" s="12"/>
      <c r="I10185" s="12"/>
      <c r="J10185" s="12"/>
      <c r="K10185" s="12"/>
      <c r="L10185" s="12"/>
      <c r="M10185" s="11"/>
      <c r="N10185" s="11"/>
      <c r="O10185" s="11"/>
      <c r="P10185" s="11"/>
    </row>
    <row r="10186" spans="8:16" x14ac:dyDescent="0.25">
      <c r="H10186" s="12"/>
      <c r="I10186" s="12"/>
      <c r="J10186" s="12"/>
      <c r="K10186" s="12"/>
      <c r="L10186" s="12"/>
      <c r="M10186" s="11"/>
      <c r="N10186" s="11"/>
      <c r="O10186" s="11"/>
      <c r="P10186" s="11"/>
    </row>
    <row r="10187" spans="8:16" x14ac:dyDescent="0.25">
      <c r="H10187" s="12"/>
      <c r="I10187" s="12"/>
      <c r="J10187" s="12"/>
      <c r="K10187" s="12"/>
      <c r="L10187" s="12"/>
      <c r="M10187" s="11"/>
      <c r="N10187" s="11"/>
      <c r="O10187" s="11"/>
      <c r="P10187" s="11"/>
    </row>
    <row r="10188" spans="8:16" x14ac:dyDescent="0.25">
      <c r="H10188" s="12"/>
      <c r="I10188" s="12"/>
      <c r="J10188" s="12"/>
      <c r="K10188" s="12"/>
      <c r="L10188" s="12"/>
      <c r="M10188" s="11"/>
      <c r="N10188" s="11"/>
      <c r="O10188" s="11"/>
      <c r="P10188" s="11"/>
    </row>
    <row r="10189" spans="8:16" x14ac:dyDescent="0.25">
      <c r="H10189" s="12"/>
      <c r="I10189" s="12"/>
      <c r="J10189" s="12"/>
      <c r="K10189" s="12"/>
      <c r="L10189" s="12"/>
      <c r="M10189" s="11"/>
      <c r="N10189" s="11"/>
      <c r="O10189" s="11"/>
      <c r="P10189" s="11"/>
    </row>
    <row r="10190" spans="8:16" x14ac:dyDescent="0.25">
      <c r="H10190" s="12"/>
      <c r="I10190" s="12"/>
      <c r="J10190" s="12"/>
      <c r="K10190" s="12"/>
      <c r="L10190" s="12"/>
      <c r="M10190" s="11"/>
      <c r="N10190" s="11"/>
      <c r="O10190" s="11"/>
      <c r="P10190" s="11"/>
    </row>
    <row r="10191" spans="8:16" x14ac:dyDescent="0.25">
      <c r="H10191" s="12"/>
      <c r="I10191" s="12"/>
      <c r="J10191" s="12"/>
      <c r="K10191" s="12"/>
      <c r="L10191" s="12"/>
      <c r="M10191" s="11"/>
      <c r="N10191" s="11"/>
      <c r="O10191" s="11"/>
      <c r="P10191" s="11"/>
    </row>
    <row r="10192" spans="8:16" x14ac:dyDescent="0.25">
      <c r="H10192" s="12"/>
      <c r="I10192" s="12"/>
      <c r="J10192" s="12"/>
      <c r="K10192" s="12"/>
      <c r="L10192" s="12"/>
      <c r="M10192" s="11"/>
      <c r="N10192" s="11"/>
      <c r="O10192" s="11"/>
      <c r="P10192" s="11"/>
    </row>
    <row r="10193" spans="8:16" x14ac:dyDescent="0.25">
      <c r="H10193" s="12"/>
      <c r="I10193" s="12"/>
      <c r="J10193" s="12"/>
      <c r="K10193" s="12"/>
      <c r="L10193" s="12"/>
      <c r="M10193" s="11"/>
      <c r="N10193" s="11"/>
      <c r="O10193" s="11"/>
      <c r="P10193" s="11"/>
    </row>
    <row r="10194" spans="8:16" x14ac:dyDescent="0.25">
      <c r="H10194" s="12"/>
      <c r="I10194" s="12"/>
      <c r="J10194" s="12"/>
      <c r="K10194" s="12"/>
      <c r="L10194" s="12"/>
      <c r="M10194" s="11"/>
      <c r="N10194" s="11"/>
      <c r="O10194" s="11"/>
      <c r="P10194" s="11"/>
    </row>
    <row r="10195" spans="8:16" x14ac:dyDescent="0.25">
      <c r="H10195" s="12"/>
      <c r="I10195" s="12"/>
      <c r="J10195" s="12"/>
      <c r="K10195" s="12"/>
      <c r="L10195" s="12"/>
      <c r="M10195" s="11"/>
      <c r="N10195" s="11"/>
      <c r="O10195" s="11"/>
      <c r="P10195" s="11"/>
    </row>
    <row r="10196" spans="8:16" x14ac:dyDescent="0.25">
      <c r="H10196" s="12"/>
      <c r="I10196" s="12"/>
      <c r="J10196" s="12"/>
      <c r="K10196" s="12"/>
      <c r="L10196" s="12"/>
      <c r="M10196" s="11"/>
      <c r="N10196" s="11"/>
      <c r="O10196" s="11"/>
      <c r="P10196" s="11"/>
    </row>
    <row r="10197" spans="8:16" x14ac:dyDescent="0.25">
      <c r="H10197" s="12"/>
      <c r="I10197" s="12"/>
      <c r="J10197" s="12"/>
      <c r="K10197" s="12"/>
      <c r="L10197" s="12"/>
      <c r="M10197" s="11"/>
      <c r="N10197" s="11"/>
      <c r="O10197" s="11"/>
      <c r="P10197" s="11"/>
    </row>
    <row r="10198" spans="8:16" x14ac:dyDescent="0.25">
      <c r="H10198" s="12"/>
      <c r="I10198" s="12"/>
      <c r="J10198" s="12"/>
      <c r="K10198" s="12"/>
      <c r="L10198" s="12"/>
      <c r="M10198" s="11"/>
      <c r="N10198" s="11"/>
      <c r="O10198" s="11"/>
      <c r="P10198" s="11"/>
    </row>
    <row r="10199" spans="8:16" x14ac:dyDescent="0.25">
      <c r="H10199" s="12"/>
      <c r="I10199" s="12"/>
      <c r="J10199" s="12"/>
      <c r="K10199" s="12"/>
      <c r="L10199" s="12"/>
      <c r="M10199" s="11"/>
      <c r="N10199" s="11"/>
      <c r="O10199" s="11"/>
      <c r="P10199" s="11"/>
    </row>
    <row r="10200" spans="8:16" x14ac:dyDescent="0.25">
      <c r="H10200" s="12"/>
      <c r="I10200" s="12"/>
      <c r="J10200" s="12"/>
      <c r="K10200" s="12"/>
      <c r="L10200" s="12"/>
      <c r="M10200" s="11"/>
      <c r="N10200" s="11"/>
      <c r="O10200" s="11"/>
      <c r="P10200" s="11"/>
    </row>
    <row r="10201" spans="8:16" x14ac:dyDescent="0.25">
      <c r="H10201" s="12"/>
      <c r="I10201" s="12"/>
      <c r="J10201" s="12"/>
      <c r="K10201" s="12"/>
      <c r="L10201" s="12"/>
      <c r="M10201" s="11"/>
      <c r="N10201" s="11"/>
      <c r="O10201" s="11"/>
      <c r="P10201" s="11"/>
    </row>
    <row r="10202" spans="8:16" x14ac:dyDescent="0.25">
      <c r="H10202" s="12"/>
      <c r="I10202" s="12"/>
      <c r="J10202" s="12"/>
      <c r="K10202" s="12"/>
      <c r="L10202" s="12"/>
      <c r="M10202" s="11"/>
      <c r="N10202" s="11"/>
      <c r="O10202" s="11"/>
      <c r="P10202" s="11"/>
    </row>
    <row r="10203" spans="8:16" x14ac:dyDescent="0.25">
      <c r="H10203" s="12"/>
      <c r="I10203" s="12"/>
      <c r="J10203" s="12"/>
      <c r="K10203" s="12"/>
      <c r="L10203" s="12"/>
      <c r="M10203" s="11"/>
      <c r="N10203" s="11"/>
      <c r="O10203" s="11"/>
      <c r="P10203" s="11"/>
    </row>
    <row r="10204" spans="8:16" x14ac:dyDescent="0.25">
      <c r="H10204" s="12"/>
      <c r="I10204" s="12"/>
      <c r="J10204" s="12"/>
      <c r="K10204" s="12"/>
      <c r="L10204" s="12"/>
      <c r="M10204" s="11"/>
      <c r="N10204" s="11"/>
      <c r="O10204" s="11"/>
      <c r="P10204" s="11"/>
    </row>
    <row r="10205" spans="8:16" x14ac:dyDescent="0.25">
      <c r="H10205" s="12"/>
      <c r="I10205" s="12"/>
      <c r="J10205" s="12"/>
      <c r="K10205" s="12"/>
      <c r="L10205" s="12"/>
      <c r="M10205" s="11"/>
      <c r="N10205" s="11"/>
      <c r="O10205" s="11"/>
      <c r="P10205" s="11"/>
    </row>
    <row r="10206" spans="8:16" x14ac:dyDescent="0.25">
      <c r="H10206" s="12"/>
      <c r="I10206" s="12"/>
      <c r="J10206" s="12"/>
      <c r="K10206" s="12"/>
      <c r="L10206" s="12"/>
      <c r="M10206" s="11"/>
      <c r="N10206" s="11"/>
      <c r="O10206" s="11"/>
      <c r="P10206" s="11"/>
    </row>
    <row r="10207" spans="8:16" x14ac:dyDescent="0.25">
      <c r="H10207" s="12"/>
      <c r="I10207" s="12"/>
      <c r="J10207" s="12"/>
      <c r="K10207" s="12"/>
      <c r="L10207" s="12"/>
      <c r="M10207" s="11"/>
      <c r="N10207" s="11"/>
      <c r="O10207" s="11"/>
      <c r="P10207" s="11"/>
    </row>
    <row r="10208" spans="8:16" x14ac:dyDescent="0.25">
      <c r="H10208" s="12"/>
      <c r="I10208" s="12"/>
      <c r="J10208" s="12"/>
      <c r="K10208" s="12"/>
      <c r="L10208" s="12"/>
      <c r="M10208" s="11"/>
      <c r="N10208" s="11"/>
      <c r="O10208" s="11"/>
      <c r="P10208" s="11"/>
    </row>
    <row r="10209" spans="8:16" x14ac:dyDescent="0.25">
      <c r="H10209" s="12"/>
      <c r="I10209" s="12"/>
      <c r="J10209" s="12"/>
      <c r="K10209" s="12"/>
      <c r="L10209" s="12"/>
      <c r="M10209" s="11"/>
      <c r="N10209" s="11"/>
      <c r="O10209" s="11"/>
      <c r="P10209" s="11"/>
    </row>
    <row r="10210" spans="8:16" x14ac:dyDescent="0.25">
      <c r="H10210" s="12"/>
      <c r="I10210" s="12"/>
      <c r="J10210" s="12"/>
      <c r="K10210" s="12"/>
      <c r="L10210" s="12"/>
      <c r="M10210" s="11"/>
      <c r="N10210" s="11"/>
      <c r="O10210" s="11"/>
      <c r="P10210" s="11"/>
    </row>
    <row r="10211" spans="8:16" x14ac:dyDescent="0.25">
      <c r="H10211" s="12"/>
      <c r="I10211" s="12"/>
      <c r="J10211" s="12"/>
      <c r="K10211" s="12"/>
      <c r="L10211" s="12"/>
      <c r="M10211" s="11"/>
      <c r="N10211" s="11"/>
      <c r="O10211" s="11"/>
      <c r="P10211" s="11"/>
    </row>
    <row r="10212" spans="8:16" x14ac:dyDescent="0.25">
      <c r="H10212" s="12"/>
      <c r="I10212" s="12"/>
      <c r="J10212" s="12"/>
      <c r="K10212" s="12"/>
      <c r="L10212" s="12"/>
      <c r="M10212" s="11"/>
      <c r="N10212" s="11"/>
      <c r="O10212" s="11"/>
      <c r="P10212" s="11"/>
    </row>
    <row r="10213" spans="8:16" x14ac:dyDescent="0.25">
      <c r="H10213" s="12"/>
      <c r="I10213" s="12"/>
      <c r="J10213" s="12"/>
      <c r="K10213" s="12"/>
      <c r="L10213" s="12"/>
      <c r="M10213" s="11"/>
      <c r="N10213" s="11"/>
      <c r="O10213" s="11"/>
      <c r="P10213" s="11"/>
    </row>
    <row r="10214" spans="8:16" x14ac:dyDescent="0.25">
      <c r="H10214" s="12"/>
      <c r="I10214" s="12"/>
      <c r="J10214" s="12"/>
      <c r="K10214" s="12"/>
      <c r="L10214" s="12"/>
      <c r="M10214" s="11"/>
      <c r="N10214" s="11"/>
      <c r="O10214" s="11"/>
      <c r="P10214" s="11"/>
    </row>
    <row r="10215" spans="8:16" x14ac:dyDescent="0.25">
      <c r="H10215" s="12"/>
      <c r="I10215" s="12"/>
      <c r="J10215" s="12"/>
      <c r="K10215" s="12"/>
      <c r="L10215" s="12"/>
      <c r="M10215" s="11"/>
      <c r="N10215" s="11"/>
      <c r="O10215" s="11"/>
      <c r="P10215" s="11"/>
    </row>
    <row r="10216" spans="8:16" x14ac:dyDescent="0.25">
      <c r="H10216" s="12"/>
      <c r="I10216" s="12"/>
      <c r="J10216" s="12"/>
      <c r="K10216" s="12"/>
      <c r="L10216" s="12"/>
      <c r="M10216" s="11"/>
      <c r="N10216" s="11"/>
      <c r="O10216" s="11"/>
      <c r="P10216" s="11"/>
    </row>
    <row r="10217" spans="8:16" x14ac:dyDescent="0.25">
      <c r="H10217" s="12"/>
      <c r="I10217" s="12"/>
      <c r="J10217" s="12"/>
      <c r="K10217" s="12"/>
      <c r="L10217" s="12"/>
      <c r="M10217" s="11"/>
      <c r="N10217" s="11"/>
      <c r="O10217" s="11"/>
      <c r="P10217" s="11"/>
    </row>
    <row r="10218" spans="8:16" x14ac:dyDescent="0.25">
      <c r="H10218" s="12"/>
      <c r="I10218" s="12"/>
      <c r="J10218" s="12"/>
      <c r="K10218" s="12"/>
      <c r="L10218" s="12"/>
      <c r="M10218" s="11"/>
      <c r="N10218" s="11"/>
      <c r="O10218" s="11"/>
      <c r="P10218" s="11"/>
    </row>
    <row r="10219" spans="8:16" x14ac:dyDescent="0.25">
      <c r="H10219" s="12"/>
      <c r="I10219" s="12"/>
      <c r="J10219" s="12"/>
      <c r="K10219" s="12"/>
      <c r="L10219" s="12"/>
      <c r="M10219" s="11"/>
      <c r="N10219" s="11"/>
      <c r="O10219" s="11"/>
      <c r="P10219" s="11"/>
    </row>
    <row r="10220" spans="8:16" x14ac:dyDescent="0.25">
      <c r="H10220" s="12"/>
      <c r="I10220" s="12"/>
      <c r="J10220" s="12"/>
      <c r="K10220" s="12"/>
      <c r="L10220" s="12"/>
      <c r="M10220" s="11"/>
      <c r="N10220" s="11"/>
      <c r="O10220" s="11"/>
      <c r="P10220" s="11"/>
    </row>
    <row r="10221" spans="8:16" x14ac:dyDescent="0.25">
      <c r="H10221" s="12"/>
      <c r="I10221" s="12"/>
      <c r="J10221" s="12"/>
      <c r="K10221" s="12"/>
      <c r="L10221" s="12"/>
      <c r="M10221" s="11"/>
      <c r="N10221" s="11"/>
      <c r="O10221" s="11"/>
      <c r="P10221" s="11"/>
    </row>
    <row r="10222" spans="8:16" x14ac:dyDescent="0.25">
      <c r="H10222" s="12"/>
      <c r="I10222" s="12"/>
      <c r="J10222" s="12"/>
      <c r="K10222" s="12"/>
      <c r="L10222" s="12"/>
      <c r="M10222" s="11"/>
      <c r="N10222" s="11"/>
      <c r="O10222" s="11"/>
      <c r="P10222" s="11"/>
    </row>
    <row r="10223" spans="8:16" x14ac:dyDescent="0.25">
      <c r="H10223" s="12"/>
      <c r="I10223" s="12"/>
      <c r="J10223" s="12"/>
      <c r="K10223" s="12"/>
      <c r="L10223" s="12"/>
      <c r="M10223" s="11"/>
      <c r="N10223" s="11"/>
      <c r="O10223" s="11"/>
      <c r="P10223" s="11"/>
    </row>
    <row r="10224" spans="8:16" x14ac:dyDescent="0.25">
      <c r="H10224" s="12"/>
      <c r="I10224" s="12"/>
      <c r="J10224" s="12"/>
      <c r="K10224" s="12"/>
      <c r="L10224" s="12"/>
      <c r="M10224" s="11"/>
      <c r="N10224" s="11"/>
      <c r="O10224" s="11"/>
      <c r="P10224" s="11"/>
    </row>
    <row r="10225" spans="8:16" x14ac:dyDescent="0.25">
      <c r="H10225" s="12"/>
      <c r="I10225" s="12"/>
      <c r="J10225" s="12"/>
      <c r="K10225" s="12"/>
      <c r="L10225" s="12"/>
      <c r="M10225" s="11"/>
      <c r="N10225" s="11"/>
      <c r="O10225" s="11"/>
      <c r="P10225" s="11"/>
    </row>
    <row r="10226" spans="8:16" x14ac:dyDescent="0.25">
      <c r="H10226" s="12"/>
      <c r="I10226" s="12"/>
      <c r="J10226" s="12"/>
      <c r="K10226" s="12"/>
      <c r="L10226" s="12"/>
      <c r="M10226" s="11"/>
      <c r="N10226" s="11"/>
      <c r="O10226" s="11"/>
      <c r="P10226" s="11"/>
    </row>
    <row r="10227" spans="8:16" x14ac:dyDescent="0.25">
      <c r="H10227" s="12"/>
      <c r="I10227" s="12"/>
      <c r="J10227" s="12"/>
      <c r="K10227" s="12"/>
      <c r="L10227" s="12"/>
      <c r="M10227" s="11"/>
      <c r="N10227" s="11"/>
      <c r="O10227" s="11"/>
      <c r="P10227" s="11"/>
    </row>
    <row r="10228" spans="8:16" x14ac:dyDescent="0.25">
      <c r="H10228" s="12"/>
      <c r="I10228" s="12"/>
      <c r="J10228" s="12"/>
      <c r="K10228" s="12"/>
      <c r="L10228" s="12"/>
      <c r="M10228" s="11"/>
      <c r="N10228" s="11"/>
      <c r="O10228" s="11"/>
      <c r="P10228" s="11"/>
    </row>
    <row r="10229" spans="8:16" x14ac:dyDescent="0.25">
      <c r="H10229" s="12"/>
      <c r="I10229" s="12"/>
      <c r="J10229" s="12"/>
      <c r="K10229" s="12"/>
      <c r="L10229" s="12"/>
      <c r="M10229" s="11"/>
      <c r="N10229" s="11"/>
      <c r="O10229" s="11"/>
      <c r="P10229" s="11"/>
    </row>
    <row r="10230" spans="8:16" x14ac:dyDescent="0.25">
      <c r="H10230" s="12"/>
      <c r="I10230" s="12"/>
      <c r="J10230" s="12"/>
      <c r="K10230" s="12"/>
      <c r="L10230" s="12"/>
      <c r="M10230" s="11"/>
      <c r="N10230" s="11"/>
      <c r="O10230" s="11"/>
      <c r="P10230" s="11"/>
    </row>
    <row r="10231" spans="8:16" x14ac:dyDescent="0.25">
      <c r="H10231" s="12"/>
      <c r="I10231" s="12"/>
      <c r="J10231" s="12"/>
      <c r="K10231" s="12"/>
      <c r="L10231" s="12"/>
      <c r="M10231" s="11"/>
      <c r="N10231" s="11"/>
      <c r="O10231" s="11"/>
      <c r="P10231" s="11"/>
    </row>
    <row r="10232" spans="8:16" x14ac:dyDescent="0.25">
      <c r="H10232" s="12"/>
      <c r="I10232" s="12"/>
      <c r="J10232" s="12"/>
      <c r="K10232" s="12"/>
      <c r="L10232" s="12"/>
      <c r="M10232" s="11"/>
      <c r="N10232" s="11"/>
      <c r="O10232" s="11"/>
      <c r="P10232" s="11"/>
    </row>
    <row r="10233" spans="8:16" x14ac:dyDescent="0.25">
      <c r="H10233" s="12"/>
      <c r="I10233" s="12"/>
      <c r="J10233" s="12"/>
      <c r="K10233" s="12"/>
      <c r="L10233" s="12"/>
      <c r="M10233" s="11"/>
      <c r="N10233" s="11"/>
      <c r="O10233" s="11"/>
      <c r="P10233" s="11"/>
    </row>
    <row r="10234" spans="8:16" x14ac:dyDescent="0.25">
      <c r="H10234" s="12"/>
      <c r="I10234" s="12"/>
      <c r="J10234" s="12"/>
      <c r="K10234" s="12"/>
      <c r="L10234" s="12"/>
      <c r="M10234" s="11"/>
      <c r="N10234" s="11"/>
      <c r="O10234" s="11"/>
      <c r="P10234" s="11"/>
    </row>
    <row r="10235" spans="8:16" x14ac:dyDescent="0.25">
      <c r="H10235" s="12"/>
      <c r="I10235" s="12"/>
      <c r="J10235" s="12"/>
      <c r="K10235" s="12"/>
      <c r="L10235" s="12"/>
      <c r="M10235" s="11"/>
      <c r="N10235" s="11"/>
      <c r="O10235" s="11"/>
      <c r="P10235" s="11"/>
    </row>
    <row r="10236" spans="8:16" x14ac:dyDescent="0.25">
      <c r="H10236" s="12"/>
      <c r="I10236" s="12"/>
      <c r="J10236" s="12"/>
      <c r="K10236" s="12"/>
      <c r="L10236" s="12"/>
      <c r="M10236" s="11"/>
      <c r="N10236" s="11"/>
      <c r="O10236" s="11"/>
      <c r="P10236" s="11"/>
    </row>
    <row r="10237" spans="8:16" x14ac:dyDescent="0.25">
      <c r="H10237" s="12"/>
      <c r="I10237" s="12"/>
      <c r="J10237" s="12"/>
      <c r="K10237" s="12"/>
      <c r="L10237" s="12"/>
      <c r="M10237" s="11"/>
      <c r="N10237" s="11"/>
      <c r="O10237" s="11"/>
      <c r="P10237" s="11"/>
    </row>
    <row r="10238" spans="8:16" x14ac:dyDescent="0.25">
      <c r="H10238" s="12"/>
      <c r="I10238" s="12"/>
      <c r="J10238" s="12"/>
      <c r="K10238" s="12"/>
      <c r="L10238" s="12"/>
      <c r="M10238" s="11"/>
      <c r="N10238" s="11"/>
      <c r="O10238" s="11"/>
      <c r="P10238" s="11"/>
    </row>
    <row r="10239" spans="8:16" x14ac:dyDescent="0.25">
      <c r="H10239" s="12"/>
      <c r="I10239" s="12"/>
      <c r="J10239" s="12"/>
      <c r="K10239" s="12"/>
      <c r="L10239" s="12"/>
      <c r="M10239" s="11"/>
      <c r="N10239" s="11"/>
      <c r="O10239" s="11"/>
      <c r="P10239" s="11"/>
    </row>
    <row r="10240" spans="8:16" x14ac:dyDescent="0.25">
      <c r="H10240" s="12"/>
      <c r="I10240" s="12"/>
      <c r="J10240" s="12"/>
      <c r="K10240" s="12"/>
      <c r="L10240" s="12"/>
      <c r="M10240" s="11"/>
      <c r="N10240" s="11"/>
      <c r="O10240" s="11"/>
      <c r="P10240" s="11"/>
    </row>
    <row r="10241" spans="8:16" x14ac:dyDescent="0.25">
      <c r="H10241" s="12"/>
      <c r="I10241" s="12"/>
      <c r="J10241" s="12"/>
      <c r="K10241" s="12"/>
      <c r="L10241" s="12"/>
      <c r="M10241" s="11"/>
      <c r="N10241" s="11"/>
      <c r="O10241" s="11"/>
      <c r="P10241" s="11"/>
    </row>
    <row r="10242" spans="8:16" x14ac:dyDescent="0.25">
      <c r="H10242" s="12"/>
      <c r="I10242" s="12"/>
      <c r="J10242" s="12"/>
      <c r="K10242" s="12"/>
      <c r="L10242" s="12"/>
      <c r="M10242" s="11"/>
      <c r="N10242" s="11"/>
      <c r="O10242" s="11"/>
      <c r="P10242" s="11"/>
    </row>
    <row r="10243" spans="8:16" x14ac:dyDescent="0.25">
      <c r="H10243" s="12"/>
      <c r="I10243" s="12"/>
      <c r="J10243" s="12"/>
      <c r="K10243" s="12"/>
      <c r="L10243" s="12"/>
      <c r="M10243" s="11"/>
      <c r="N10243" s="11"/>
      <c r="O10243" s="11"/>
      <c r="P10243" s="11"/>
    </row>
    <row r="10244" spans="8:16" x14ac:dyDescent="0.25">
      <c r="H10244" s="12"/>
      <c r="I10244" s="12"/>
      <c r="J10244" s="12"/>
      <c r="K10244" s="12"/>
      <c r="L10244" s="12"/>
      <c r="M10244" s="11"/>
      <c r="N10244" s="11"/>
      <c r="O10244" s="11"/>
      <c r="P10244" s="11"/>
    </row>
    <row r="10245" spans="8:16" x14ac:dyDescent="0.25">
      <c r="H10245" s="12"/>
      <c r="I10245" s="12"/>
      <c r="J10245" s="12"/>
      <c r="K10245" s="12"/>
      <c r="L10245" s="12"/>
      <c r="M10245" s="11"/>
      <c r="N10245" s="11"/>
      <c r="O10245" s="11"/>
      <c r="P10245" s="11"/>
    </row>
    <row r="10246" spans="8:16" x14ac:dyDescent="0.25">
      <c r="H10246" s="12"/>
      <c r="I10246" s="12"/>
      <c r="J10246" s="12"/>
      <c r="K10246" s="12"/>
      <c r="L10246" s="12"/>
      <c r="M10246" s="11"/>
      <c r="N10246" s="11"/>
      <c r="O10246" s="11"/>
      <c r="P10246" s="11"/>
    </row>
    <row r="10247" spans="8:16" x14ac:dyDescent="0.25">
      <c r="H10247" s="12"/>
      <c r="I10247" s="12"/>
      <c r="J10247" s="12"/>
      <c r="K10247" s="12"/>
      <c r="L10247" s="12"/>
      <c r="M10247" s="11"/>
      <c r="N10247" s="11"/>
      <c r="O10247" s="11"/>
      <c r="P10247" s="11"/>
    </row>
    <row r="10248" spans="8:16" x14ac:dyDescent="0.25">
      <c r="H10248" s="12"/>
      <c r="I10248" s="12"/>
      <c r="J10248" s="12"/>
      <c r="K10248" s="12"/>
      <c r="L10248" s="12"/>
      <c r="M10248" s="11"/>
      <c r="N10248" s="11"/>
      <c r="O10248" s="11"/>
      <c r="P10248" s="11"/>
    </row>
    <row r="10249" spans="8:16" x14ac:dyDescent="0.25">
      <c r="H10249" s="12"/>
      <c r="I10249" s="12"/>
      <c r="J10249" s="12"/>
      <c r="K10249" s="12"/>
      <c r="L10249" s="12"/>
      <c r="M10249" s="11"/>
      <c r="N10249" s="11"/>
      <c r="O10249" s="11"/>
      <c r="P10249" s="11"/>
    </row>
    <row r="10250" spans="8:16" x14ac:dyDescent="0.25">
      <c r="H10250" s="12"/>
      <c r="I10250" s="12"/>
      <c r="J10250" s="12"/>
      <c r="K10250" s="12"/>
      <c r="L10250" s="12"/>
      <c r="M10250" s="11"/>
      <c r="N10250" s="11"/>
      <c r="O10250" s="11"/>
      <c r="P10250" s="11"/>
    </row>
    <row r="10251" spans="8:16" x14ac:dyDescent="0.25">
      <c r="H10251" s="12"/>
      <c r="I10251" s="12"/>
      <c r="J10251" s="12"/>
      <c r="K10251" s="12"/>
      <c r="L10251" s="12"/>
      <c r="M10251" s="11"/>
      <c r="N10251" s="11"/>
      <c r="O10251" s="11"/>
      <c r="P10251" s="11"/>
    </row>
    <row r="10252" spans="8:16" x14ac:dyDescent="0.25">
      <c r="H10252" s="12"/>
      <c r="I10252" s="12"/>
      <c r="J10252" s="12"/>
      <c r="K10252" s="12"/>
      <c r="L10252" s="12"/>
      <c r="M10252" s="11"/>
      <c r="N10252" s="11"/>
      <c r="O10252" s="11"/>
      <c r="P10252" s="11"/>
    </row>
    <row r="10253" spans="8:16" x14ac:dyDescent="0.25">
      <c r="H10253" s="12"/>
      <c r="I10253" s="12"/>
      <c r="J10253" s="12"/>
      <c r="K10253" s="12"/>
      <c r="L10253" s="12"/>
      <c r="M10253" s="11"/>
      <c r="N10253" s="11"/>
      <c r="O10253" s="11"/>
      <c r="P10253" s="11"/>
    </row>
    <row r="10254" spans="8:16" x14ac:dyDescent="0.25">
      <c r="H10254" s="12"/>
      <c r="I10254" s="12"/>
      <c r="J10254" s="12"/>
      <c r="K10254" s="12"/>
      <c r="L10254" s="12"/>
      <c r="M10254" s="11"/>
      <c r="N10254" s="11"/>
      <c r="O10254" s="11"/>
      <c r="P10254" s="11"/>
    </row>
    <row r="10255" spans="8:16" x14ac:dyDescent="0.25">
      <c r="H10255" s="12"/>
      <c r="I10255" s="12"/>
      <c r="J10255" s="12"/>
      <c r="K10255" s="12"/>
      <c r="L10255" s="12"/>
      <c r="M10255" s="11"/>
      <c r="N10255" s="11"/>
      <c r="O10255" s="11"/>
      <c r="P10255" s="11"/>
    </row>
    <row r="10256" spans="8:16" x14ac:dyDescent="0.25">
      <c r="H10256" s="12"/>
      <c r="I10256" s="12"/>
      <c r="J10256" s="12"/>
      <c r="K10256" s="12"/>
      <c r="L10256" s="12"/>
      <c r="M10256" s="11"/>
      <c r="N10256" s="11"/>
      <c r="O10256" s="11"/>
      <c r="P10256" s="11"/>
    </row>
    <row r="10257" spans="8:16" x14ac:dyDescent="0.25">
      <c r="H10257" s="12"/>
      <c r="I10257" s="12"/>
      <c r="J10257" s="12"/>
      <c r="K10257" s="12"/>
      <c r="L10257" s="12"/>
      <c r="M10257" s="11"/>
      <c r="N10257" s="11"/>
      <c r="O10257" s="11"/>
      <c r="P10257" s="11"/>
    </row>
    <row r="10258" spans="8:16" x14ac:dyDescent="0.25">
      <c r="H10258" s="12"/>
      <c r="I10258" s="12"/>
      <c r="J10258" s="12"/>
      <c r="K10258" s="12"/>
      <c r="L10258" s="12"/>
      <c r="M10258" s="11"/>
      <c r="N10258" s="11"/>
      <c r="O10258" s="11"/>
      <c r="P10258" s="11"/>
    </row>
    <row r="10259" spans="8:16" x14ac:dyDescent="0.25">
      <c r="H10259" s="12"/>
      <c r="I10259" s="12"/>
      <c r="J10259" s="12"/>
      <c r="K10259" s="12"/>
      <c r="L10259" s="12"/>
      <c r="M10259" s="11"/>
      <c r="N10259" s="11"/>
      <c r="O10259" s="11"/>
      <c r="P10259" s="11"/>
    </row>
    <row r="10260" spans="8:16" x14ac:dyDescent="0.25">
      <c r="H10260" s="12"/>
      <c r="I10260" s="12"/>
      <c r="J10260" s="12"/>
      <c r="K10260" s="12"/>
      <c r="L10260" s="12"/>
      <c r="M10260" s="11"/>
      <c r="N10260" s="11"/>
      <c r="O10260" s="11"/>
      <c r="P10260" s="11"/>
    </row>
    <row r="10261" spans="8:16" x14ac:dyDescent="0.25">
      <c r="H10261" s="12"/>
      <c r="I10261" s="12"/>
      <c r="J10261" s="12"/>
      <c r="K10261" s="12"/>
      <c r="L10261" s="12"/>
      <c r="M10261" s="11"/>
      <c r="N10261" s="11"/>
      <c r="O10261" s="11"/>
      <c r="P10261" s="11"/>
    </row>
    <row r="10262" spans="8:16" x14ac:dyDescent="0.25">
      <c r="H10262" s="12"/>
      <c r="I10262" s="12"/>
      <c r="J10262" s="12"/>
      <c r="K10262" s="12"/>
      <c r="L10262" s="12"/>
      <c r="M10262" s="11"/>
      <c r="N10262" s="11"/>
      <c r="O10262" s="11"/>
      <c r="P10262" s="11"/>
    </row>
    <row r="10263" spans="8:16" x14ac:dyDescent="0.25">
      <c r="H10263" s="12"/>
      <c r="I10263" s="12"/>
      <c r="J10263" s="12"/>
      <c r="K10263" s="12"/>
      <c r="L10263" s="12"/>
      <c r="M10263" s="11"/>
      <c r="N10263" s="11"/>
      <c r="O10263" s="11"/>
      <c r="P10263" s="11"/>
    </row>
    <row r="10264" spans="8:16" x14ac:dyDescent="0.25">
      <c r="H10264" s="12"/>
      <c r="I10264" s="12"/>
      <c r="J10264" s="12"/>
      <c r="K10264" s="12"/>
      <c r="L10264" s="12"/>
      <c r="M10264" s="11"/>
      <c r="N10264" s="11"/>
      <c r="O10264" s="11"/>
      <c r="P10264" s="11"/>
    </row>
    <row r="10265" spans="8:16" x14ac:dyDescent="0.25">
      <c r="H10265" s="12"/>
      <c r="I10265" s="12"/>
      <c r="J10265" s="12"/>
      <c r="K10265" s="12"/>
      <c r="L10265" s="12"/>
      <c r="M10265" s="11"/>
      <c r="N10265" s="11"/>
      <c r="O10265" s="11"/>
      <c r="P10265" s="11"/>
    </row>
    <row r="10266" spans="8:16" x14ac:dyDescent="0.25">
      <c r="H10266" s="12"/>
      <c r="I10266" s="12"/>
      <c r="J10266" s="12"/>
      <c r="K10266" s="12"/>
      <c r="L10266" s="12"/>
      <c r="M10266" s="11"/>
      <c r="N10266" s="11"/>
      <c r="O10266" s="11"/>
      <c r="P10266" s="11"/>
    </row>
    <row r="10267" spans="8:16" x14ac:dyDescent="0.25">
      <c r="H10267" s="12"/>
      <c r="I10267" s="12"/>
      <c r="J10267" s="12"/>
      <c r="K10267" s="12"/>
      <c r="L10267" s="12"/>
      <c r="M10267" s="11"/>
      <c r="N10267" s="11"/>
      <c r="O10267" s="11"/>
      <c r="P10267" s="11"/>
    </row>
    <row r="10268" spans="8:16" x14ac:dyDescent="0.25">
      <c r="H10268" s="12"/>
      <c r="I10268" s="12"/>
      <c r="J10268" s="12"/>
      <c r="K10268" s="12"/>
      <c r="L10268" s="12"/>
      <c r="M10268" s="11"/>
      <c r="N10268" s="11"/>
      <c r="O10268" s="11"/>
      <c r="P10268" s="11"/>
    </row>
    <row r="10269" spans="8:16" x14ac:dyDescent="0.25">
      <c r="H10269" s="12"/>
      <c r="I10269" s="12"/>
      <c r="J10269" s="12"/>
      <c r="K10269" s="12"/>
      <c r="L10269" s="12"/>
      <c r="M10269" s="11"/>
      <c r="N10269" s="11"/>
      <c r="O10269" s="11"/>
      <c r="P10269" s="11"/>
    </row>
    <row r="10270" spans="8:16" x14ac:dyDescent="0.25">
      <c r="H10270" s="12"/>
      <c r="I10270" s="12"/>
      <c r="J10270" s="12"/>
      <c r="K10270" s="12"/>
      <c r="L10270" s="12"/>
      <c r="M10270" s="11"/>
      <c r="N10270" s="11"/>
      <c r="O10270" s="11"/>
      <c r="P10270" s="11"/>
    </row>
    <row r="10271" spans="8:16" x14ac:dyDescent="0.25">
      <c r="H10271" s="12"/>
      <c r="I10271" s="12"/>
      <c r="J10271" s="12"/>
      <c r="K10271" s="12"/>
      <c r="L10271" s="12"/>
      <c r="M10271" s="11"/>
      <c r="N10271" s="11"/>
      <c r="O10271" s="11"/>
      <c r="P10271" s="11"/>
    </row>
    <row r="10272" spans="8:16" x14ac:dyDescent="0.25">
      <c r="H10272" s="12"/>
      <c r="I10272" s="12"/>
      <c r="J10272" s="12"/>
      <c r="K10272" s="12"/>
      <c r="L10272" s="12"/>
      <c r="M10272" s="11"/>
      <c r="N10272" s="11"/>
      <c r="O10272" s="11"/>
      <c r="P10272" s="11"/>
    </row>
    <row r="10273" spans="8:16" x14ac:dyDescent="0.25">
      <c r="H10273" s="12"/>
      <c r="I10273" s="12"/>
      <c r="J10273" s="12"/>
      <c r="K10273" s="12"/>
      <c r="L10273" s="12"/>
      <c r="M10273" s="11"/>
      <c r="N10273" s="11"/>
      <c r="O10273" s="11"/>
      <c r="P10273" s="11"/>
    </row>
    <row r="10274" spans="8:16" x14ac:dyDescent="0.25">
      <c r="H10274" s="12"/>
      <c r="I10274" s="12"/>
      <c r="J10274" s="12"/>
      <c r="K10274" s="12"/>
      <c r="L10274" s="12"/>
      <c r="M10274" s="11"/>
      <c r="N10274" s="11"/>
      <c r="O10274" s="11"/>
      <c r="P10274" s="11"/>
    </row>
    <row r="10275" spans="8:16" x14ac:dyDescent="0.25">
      <c r="H10275" s="12"/>
      <c r="I10275" s="12"/>
      <c r="J10275" s="12"/>
      <c r="K10275" s="12"/>
      <c r="L10275" s="12"/>
      <c r="M10275" s="11"/>
      <c r="N10275" s="11"/>
      <c r="O10275" s="11"/>
      <c r="P10275" s="11"/>
    </row>
    <row r="10276" spans="8:16" x14ac:dyDescent="0.25">
      <c r="H10276" s="12"/>
      <c r="I10276" s="12"/>
      <c r="J10276" s="12"/>
      <c r="K10276" s="12"/>
      <c r="L10276" s="12"/>
      <c r="M10276" s="11"/>
      <c r="N10276" s="11"/>
      <c r="O10276" s="11"/>
      <c r="P10276" s="11"/>
    </row>
    <row r="10277" spans="8:16" x14ac:dyDescent="0.25">
      <c r="H10277" s="12"/>
      <c r="I10277" s="12"/>
      <c r="J10277" s="12"/>
      <c r="K10277" s="12"/>
      <c r="L10277" s="12"/>
      <c r="M10277" s="11"/>
      <c r="N10277" s="11"/>
      <c r="O10277" s="11"/>
      <c r="P10277" s="11"/>
    </row>
    <row r="10278" spans="8:16" x14ac:dyDescent="0.25">
      <c r="H10278" s="12"/>
      <c r="I10278" s="12"/>
      <c r="J10278" s="12"/>
      <c r="K10278" s="12"/>
      <c r="L10278" s="12"/>
      <c r="M10278" s="11"/>
      <c r="N10278" s="11"/>
      <c r="O10278" s="11"/>
      <c r="P10278" s="11"/>
    </row>
    <row r="10279" spans="8:16" x14ac:dyDescent="0.25">
      <c r="H10279" s="12"/>
      <c r="I10279" s="12"/>
      <c r="J10279" s="12"/>
      <c r="K10279" s="12"/>
      <c r="L10279" s="12"/>
      <c r="M10279" s="11"/>
      <c r="N10279" s="11"/>
      <c r="O10279" s="11"/>
      <c r="P10279" s="11"/>
    </row>
    <row r="10280" spans="8:16" x14ac:dyDescent="0.25">
      <c r="H10280" s="12"/>
      <c r="I10280" s="12"/>
      <c r="J10280" s="12"/>
      <c r="K10280" s="12"/>
      <c r="L10280" s="12"/>
      <c r="M10280" s="11"/>
      <c r="N10280" s="11"/>
      <c r="O10280" s="11"/>
      <c r="P10280" s="11"/>
    </row>
    <row r="10281" spans="8:16" x14ac:dyDescent="0.25">
      <c r="H10281" s="12"/>
      <c r="I10281" s="12"/>
      <c r="J10281" s="12"/>
      <c r="K10281" s="12"/>
      <c r="L10281" s="12"/>
      <c r="M10281" s="11"/>
      <c r="N10281" s="11"/>
      <c r="O10281" s="11"/>
      <c r="P10281" s="11"/>
    </row>
    <row r="10282" spans="8:16" x14ac:dyDescent="0.25">
      <c r="H10282" s="12"/>
      <c r="I10282" s="12"/>
      <c r="J10282" s="12"/>
      <c r="K10282" s="12"/>
      <c r="L10282" s="12"/>
      <c r="M10282" s="11"/>
      <c r="N10282" s="11"/>
      <c r="O10282" s="11"/>
      <c r="P10282" s="11"/>
    </row>
    <row r="10283" spans="8:16" x14ac:dyDescent="0.25">
      <c r="H10283" s="12"/>
      <c r="I10283" s="12"/>
      <c r="J10283" s="12"/>
      <c r="K10283" s="12"/>
      <c r="L10283" s="12"/>
      <c r="M10283" s="11"/>
      <c r="N10283" s="11"/>
      <c r="O10283" s="11"/>
      <c r="P10283" s="11"/>
    </row>
    <row r="10284" spans="8:16" x14ac:dyDescent="0.25">
      <c r="H10284" s="12"/>
      <c r="I10284" s="12"/>
      <c r="J10284" s="12"/>
      <c r="K10284" s="12"/>
      <c r="L10284" s="12"/>
      <c r="M10284" s="11"/>
      <c r="N10284" s="11"/>
      <c r="O10284" s="11"/>
      <c r="P10284" s="11"/>
    </row>
    <row r="10285" spans="8:16" x14ac:dyDescent="0.25">
      <c r="H10285" s="12"/>
      <c r="I10285" s="12"/>
      <c r="J10285" s="12"/>
      <c r="K10285" s="12"/>
      <c r="L10285" s="12"/>
      <c r="M10285" s="11"/>
      <c r="N10285" s="11"/>
      <c r="O10285" s="11"/>
      <c r="P10285" s="11"/>
    </row>
    <row r="10286" spans="8:16" x14ac:dyDescent="0.25">
      <c r="H10286" s="12"/>
      <c r="I10286" s="12"/>
      <c r="J10286" s="12"/>
      <c r="K10286" s="12"/>
      <c r="L10286" s="12"/>
      <c r="M10286" s="11"/>
      <c r="N10286" s="11"/>
      <c r="O10286" s="11"/>
      <c r="P10286" s="11"/>
    </row>
    <row r="10287" spans="8:16" x14ac:dyDescent="0.25">
      <c r="H10287" s="12"/>
      <c r="I10287" s="12"/>
      <c r="J10287" s="12"/>
      <c r="K10287" s="12"/>
      <c r="L10287" s="12"/>
      <c r="M10287" s="11"/>
      <c r="N10287" s="11"/>
      <c r="O10287" s="11"/>
      <c r="P10287" s="11"/>
    </row>
    <row r="10288" spans="8:16" x14ac:dyDescent="0.25">
      <c r="H10288" s="12"/>
      <c r="I10288" s="12"/>
      <c r="J10288" s="12"/>
      <c r="K10288" s="12"/>
      <c r="L10288" s="12"/>
      <c r="M10288" s="11"/>
      <c r="N10288" s="11"/>
      <c r="O10288" s="11"/>
      <c r="P10288" s="11"/>
    </row>
    <row r="10289" spans="8:16" x14ac:dyDescent="0.25">
      <c r="H10289" s="12"/>
      <c r="I10289" s="12"/>
      <c r="J10289" s="12"/>
      <c r="K10289" s="12"/>
      <c r="L10289" s="12"/>
      <c r="M10289" s="11"/>
      <c r="N10289" s="11"/>
      <c r="O10289" s="11"/>
      <c r="P10289" s="11"/>
    </row>
    <row r="10290" spans="8:16" x14ac:dyDescent="0.25">
      <c r="H10290" s="12"/>
      <c r="I10290" s="12"/>
      <c r="J10290" s="12"/>
      <c r="K10290" s="12"/>
      <c r="L10290" s="12"/>
      <c r="M10290" s="11"/>
      <c r="N10290" s="11"/>
      <c r="O10290" s="11"/>
      <c r="P10290" s="11"/>
    </row>
    <row r="10291" spans="8:16" x14ac:dyDescent="0.25">
      <c r="H10291" s="12"/>
      <c r="I10291" s="12"/>
      <c r="J10291" s="12"/>
      <c r="K10291" s="12"/>
      <c r="L10291" s="12"/>
      <c r="M10291" s="11"/>
      <c r="N10291" s="11"/>
      <c r="O10291" s="11"/>
      <c r="P10291" s="11"/>
    </row>
    <row r="10292" spans="8:16" x14ac:dyDescent="0.25">
      <c r="H10292" s="12"/>
      <c r="I10292" s="12"/>
      <c r="J10292" s="12"/>
      <c r="K10292" s="12"/>
      <c r="L10292" s="12"/>
      <c r="M10292" s="11"/>
      <c r="N10292" s="11"/>
      <c r="O10292" s="11"/>
      <c r="P10292" s="11"/>
    </row>
    <row r="10293" spans="8:16" x14ac:dyDescent="0.25">
      <c r="H10293" s="12"/>
      <c r="I10293" s="12"/>
      <c r="J10293" s="12"/>
      <c r="K10293" s="12"/>
      <c r="L10293" s="12"/>
      <c r="M10293" s="11"/>
      <c r="N10293" s="11"/>
      <c r="O10293" s="11"/>
      <c r="P10293" s="11"/>
    </row>
    <row r="10294" spans="8:16" x14ac:dyDescent="0.25">
      <c r="H10294" s="12"/>
      <c r="I10294" s="12"/>
      <c r="J10294" s="12"/>
      <c r="K10294" s="12"/>
      <c r="L10294" s="12"/>
      <c r="M10294" s="11"/>
      <c r="N10294" s="11"/>
      <c r="O10294" s="11"/>
      <c r="P10294" s="11"/>
    </row>
    <row r="10295" spans="8:16" x14ac:dyDescent="0.25">
      <c r="H10295" s="12"/>
      <c r="I10295" s="12"/>
      <c r="J10295" s="12"/>
      <c r="K10295" s="12"/>
      <c r="L10295" s="12"/>
      <c r="M10295" s="11"/>
      <c r="N10295" s="11"/>
      <c r="O10295" s="11"/>
      <c r="P10295" s="11"/>
    </row>
    <row r="10296" spans="8:16" x14ac:dyDescent="0.25">
      <c r="H10296" s="12"/>
      <c r="I10296" s="12"/>
      <c r="J10296" s="12"/>
      <c r="K10296" s="12"/>
      <c r="L10296" s="12"/>
      <c r="M10296" s="11"/>
      <c r="N10296" s="11"/>
      <c r="O10296" s="11"/>
      <c r="P10296" s="11"/>
    </row>
    <row r="10297" spans="8:16" x14ac:dyDescent="0.25">
      <c r="H10297" s="12"/>
      <c r="I10297" s="12"/>
      <c r="J10297" s="12"/>
      <c r="K10297" s="12"/>
      <c r="L10297" s="12"/>
      <c r="M10297" s="11"/>
      <c r="N10297" s="11"/>
      <c r="O10297" s="11"/>
      <c r="P10297" s="11"/>
    </row>
    <row r="10298" spans="8:16" x14ac:dyDescent="0.25">
      <c r="H10298" s="12"/>
      <c r="I10298" s="12"/>
      <c r="J10298" s="12"/>
      <c r="K10298" s="12"/>
      <c r="L10298" s="12"/>
      <c r="M10298" s="11"/>
      <c r="N10298" s="11"/>
      <c r="O10298" s="11"/>
      <c r="P10298" s="11"/>
    </row>
    <row r="10299" spans="8:16" x14ac:dyDescent="0.25">
      <c r="H10299" s="12"/>
      <c r="I10299" s="12"/>
      <c r="J10299" s="12"/>
      <c r="K10299" s="12"/>
      <c r="L10299" s="12"/>
      <c r="M10299" s="11"/>
      <c r="N10299" s="11"/>
      <c r="O10299" s="11"/>
      <c r="P10299" s="11"/>
    </row>
    <row r="10300" spans="8:16" x14ac:dyDescent="0.25">
      <c r="H10300" s="12"/>
      <c r="I10300" s="12"/>
      <c r="J10300" s="12"/>
      <c r="K10300" s="12"/>
      <c r="L10300" s="12"/>
      <c r="M10300" s="11"/>
      <c r="N10300" s="11"/>
      <c r="O10300" s="11"/>
      <c r="P10300" s="11"/>
    </row>
    <row r="10301" spans="8:16" x14ac:dyDescent="0.25">
      <c r="H10301" s="12"/>
      <c r="I10301" s="12"/>
      <c r="J10301" s="12"/>
      <c r="K10301" s="12"/>
      <c r="L10301" s="12"/>
      <c r="M10301" s="11"/>
      <c r="N10301" s="11"/>
      <c r="O10301" s="11"/>
      <c r="P10301" s="11"/>
    </row>
    <row r="10302" spans="8:16" x14ac:dyDescent="0.25">
      <c r="H10302" s="12"/>
      <c r="I10302" s="12"/>
      <c r="J10302" s="12"/>
      <c r="K10302" s="12"/>
      <c r="L10302" s="12"/>
      <c r="M10302" s="11"/>
      <c r="N10302" s="11"/>
      <c r="O10302" s="11"/>
      <c r="P10302" s="11"/>
    </row>
    <row r="10303" spans="8:16" x14ac:dyDescent="0.25">
      <c r="H10303" s="12"/>
      <c r="I10303" s="12"/>
      <c r="J10303" s="12"/>
      <c r="K10303" s="12"/>
      <c r="L10303" s="12"/>
      <c r="M10303" s="11"/>
      <c r="N10303" s="11"/>
      <c r="O10303" s="11"/>
      <c r="P10303" s="11"/>
    </row>
    <row r="10304" spans="8:16" x14ac:dyDescent="0.25">
      <c r="H10304" s="12"/>
      <c r="I10304" s="12"/>
      <c r="J10304" s="12"/>
      <c r="K10304" s="12"/>
      <c r="L10304" s="12"/>
      <c r="M10304" s="11"/>
      <c r="N10304" s="11"/>
      <c r="O10304" s="11"/>
      <c r="P10304" s="11"/>
    </row>
    <row r="10305" spans="8:16" x14ac:dyDescent="0.25">
      <c r="H10305" s="12"/>
      <c r="I10305" s="12"/>
      <c r="J10305" s="12"/>
      <c r="K10305" s="12"/>
      <c r="L10305" s="12"/>
      <c r="M10305" s="11"/>
      <c r="N10305" s="11"/>
      <c r="O10305" s="11"/>
      <c r="P10305" s="11"/>
    </row>
    <row r="10306" spans="8:16" x14ac:dyDescent="0.25">
      <c r="H10306" s="12"/>
      <c r="I10306" s="12"/>
      <c r="J10306" s="12"/>
      <c r="K10306" s="12"/>
      <c r="L10306" s="12"/>
      <c r="M10306" s="11"/>
      <c r="N10306" s="11"/>
      <c r="O10306" s="11"/>
      <c r="P10306" s="11"/>
    </row>
    <row r="10307" spans="8:16" x14ac:dyDescent="0.25">
      <c r="H10307" s="12"/>
      <c r="I10307" s="12"/>
      <c r="J10307" s="12"/>
      <c r="K10307" s="12"/>
      <c r="L10307" s="12"/>
      <c r="M10307" s="11"/>
      <c r="N10307" s="11"/>
      <c r="O10307" s="11"/>
      <c r="P10307" s="11"/>
    </row>
    <row r="10308" spans="8:16" x14ac:dyDescent="0.25">
      <c r="H10308" s="12"/>
      <c r="I10308" s="12"/>
      <c r="J10308" s="12"/>
      <c r="K10308" s="12"/>
      <c r="L10308" s="12"/>
      <c r="M10308" s="11"/>
      <c r="N10308" s="11"/>
      <c r="O10308" s="11"/>
      <c r="P10308" s="11"/>
    </row>
    <row r="10309" spans="8:16" x14ac:dyDescent="0.25">
      <c r="H10309" s="12"/>
      <c r="I10309" s="12"/>
      <c r="J10309" s="12"/>
      <c r="K10309" s="12"/>
      <c r="L10309" s="12"/>
      <c r="M10309" s="11"/>
      <c r="N10309" s="11"/>
      <c r="O10309" s="11"/>
      <c r="P10309" s="11"/>
    </row>
    <row r="10310" spans="8:16" x14ac:dyDescent="0.25">
      <c r="H10310" s="12"/>
      <c r="I10310" s="12"/>
      <c r="J10310" s="12"/>
      <c r="K10310" s="12"/>
      <c r="L10310" s="12"/>
      <c r="M10310" s="11"/>
      <c r="N10310" s="11"/>
      <c r="O10310" s="11"/>
      <c r="P10310" s="11"/>
    </row>
    <row r="10311" spans="8:16" x14ac:dyDescent="0.25">
      <c r="H10311" s="12"/>
      <c r="I10311" s="12"/>
      <c r="J10311" s="12"/>
      <c r="K10311" s="12"/>
      <c r="L10311" s="12"/>
      <c r="M10311" s="11"/>
      <c r="N10311" s="11"/>
      <c r="O10311" s="11"/>
      <c r="P10311" s="11"/>
    </row>
    <row r="10312" spans="8:16" x14ac:dyDescent="0.25">
      <c r="H10312" s="12"/>
      <c r="I10312" s="12"/>
      <c r="J10312" s="12"/>
      <c r="K10312" s="12"/>
      <c r="L10312" s="12"/>
      <c r="M10312" s="11"/>
      <c r="N10312" s="11"/>
      <c r="O10312" s="11"/>
      <c r="P10312" s="11"/>
    </row>
    <row r="10313" spans="8:16" x14ac:dyDescent="0.25">
      <c r="H10313" s="12"/>
      <c r="I10313" s="12"/>
      <c r="J10313" s="12"/>
      <c r="K10313" s="12"/>
      <c r="L10313" s="12"/>
      <c r="M10313" s="11"/>
      <c r="N10313" s="11"/>
      <c r="O10313" s="11"/>
      <c r="P10313" s="11"/>
    </row>
    <row r="10314" spans="8:16" x14ac:dyDescent="0.25">
      <c r="H10314" s="12"/>
      <c r="I10314" s="12"/>
      <c r="J10314" s="12"/>
      <c r="K10314" s="12"/>
      <c r="L10314" s="12"/>
      <c r="M10314" s="11"/>
      <c r="N10314" s="11"/>
      <c r="O10314" s="11"/>
      <c r="P10314" s="11"/>
    </row>
    <row r="10315" spans="8:16" x14ac:dyDescent="0.25">
      <c r="H10315" s="12"/>
      <c r="I10315" s="12"/>
      <c r="J10315" s="12"/>
      <c r="K10315" s="12"/>
      <c r="L10315" s="12"/>
      <c r="M10315" s="11"/>
      <c r="N10315" s="11"/>
      <c r="O10315" s="11"/>
      <c r="P10315" s="11"/>
    </row>
    <row r="10316" spans="8:16" x14ac:dyDescent="0.25">
      <c r="H10316" s="12"/>
      <c r="I10316" s="12"/>
      <c r="J10316" s="12"/>
      <c r="K10316" s="12"/>
      <c r="L10316" s="12"/>
      <c r="M10316" s="11"/>
      <c r="N10316" s="11"/>
      <c r="O10316" s="11"/>
      <c r="P10316" s="11"/>
    </row>
    <row r="10317" spans="8:16" x14ac:dyDescent="0.25">
      <c r="H10317" s="12"/>
      <c r="I10317" s="12"/>
      <c r="J10317" s="12"/>
      <c r="K10317" s="12"/>
      <c r="L10317" s="12"/>
      <c r="M10317" s="11"/>
      <c r="N10317" s="11"/>
      <c r="O10317" s="11"/>
      <c r="P10317" s="11"/>
    </row>
    <row r="10318" spans="8:16" x14ac:dyDescent="0.25">
      <c r="H10318" s="12"/>
      <c r="I10318" s="12"/>
      <c r="J10318" s="12"/>
      <c r="K10318" s="12"/>
      <c r="L10318" s="12"/>
      <c r="M10318" s="11"/>
      <c r="N10318" s="11"/>
      <c r="O10318" s="11"/>
      <c r="P10318" s="11"/>
    </row>
    <row r="10319" spans="8:16" x14ac:dyDescent="0.25">
      <c r="H10319" s="12"/>
      <c r="I10319" s="12"/>
      <c r="J10319" s="12"/>
      <c r="K10319" s="12"/>
      <c r="L10319" s="12"/>
      <c r="M10319" s="11"/>
      <c r="N10319" s="11"/>
      <c r="O10319" s="11"/>
      <c r="P10319" s="11"/>
    </row>
    <row r="10320" spans="8:16" x14ac:dyDescent="0.25">
      <c r="H10320" s="12"/>
      <c r="I10320" s="12"/>
      <c r="J10320" s="12"/>
      <c r="K10320" s="12"/>
      <c r="L10320" s="12"/>
      <c r="M10320" s="11"/>
      <c r="N10320" s="11"/>
      <c r="O10320" s="11"/>
      <c r="P10320" s="11"/>
    </row>
    <row r="10321" spans="8:16" x14ac:dyDescent="0.25">
      <c r="H10321" s="12"/>
      <c r="I10321" s="12"/>
      <c r="J10321" s="12"/>
      <c r="K10321" s="12"/>
      <c r="L10321" s="12"/>
      <c r="M10321" s="11"/>
      <c r="N10321" s="11"/>
      <c r="O10321" s="11"/>
      <c r="P10321" s="11"/>
    </row>
    <row r="10322" spans="8:16" x14ac:dyDescent="0.25">
      <c r="H10322" s="12"/>
      <c r="I10322" s="12"/>
      <c r="J10322" s="12"/>
      <c r="K10322" s="12"/>
      <c r="L10322" s="12"/>
      <c r="M10322" s="11"/>
      <c r="N10322" s="11"/>
      <c r="O10322" s="11"/>
      <c r="P10322" s="11"/>
    </row>
    <row r="10323" spans="8:16" x14ac:dyDescent="0.25">
      <c r="H10323" s="12"/>
      <c r="I10323" s="12"/>
      <c r="J10323" s="12"/>
      <c r="K10323" s="12"/>
      <c r="L10323" s="12"/>
      <c r="M10323" s="11"/>
      <c r="N10323" s="11"/>
      <c r="O10323" s="11"/>
      <c r="P10323" s="11"/>
    </row>
    <row r="10324" spans="8:16" x14ac:dyDescent="0.25">
      <c r="H10324" s="12"/>
      <c r="I10324" s="12"/>
      <c r="J10324" s="12"/>
      <c r="K10324" s="12"/>
      <c r="L10324" s="12"/>
      <c r="M10324" s="11"/>
      <c r="N10324" s="11"/>
      <c r="O10324" s="11"/>
      <c r="P10324" s="11"/>
    </row>
    <row r="10325" spans="8:16" x14ac:dyDescent="0.25">
      <c r="H10325" s="12"/>
      <c r="I10325" s="12"/>
      <c r="J10325" s="12"/>
      <c r="K10325" s="12"/>
      <c r="L10325" s="12"/>
      <c r="M10325" s="11"/>
      <c r="N10325" s="11"/>
      <c r="O10325" s="11"/>
      <c r="P10325" s="11"/>
    </row>
    <row r="10326" spans="8:16" x14ac:dyDescent="0.25">
      <c r="H10326" s="12"/>
      <c r="I10326" s="12"/>
      <c r="J10326" s="12"/>
      <c r="K10326" s="12"/>
      <c r="L10326" s="12"/>
      <c r="M10326" s="11"/>
      <c r="N10326" s="11"/>
      <c r="O10326" s="11"/>
      <c r="P10326" s="11"/>
    </row>
    <row r="10327" spans="8:16" x14ac:dyDescent="0.25">
      <c r="H10327" s="12"/>
      <c r="I10327" s="12"/>
      <c r="J10327" s="12"/>
      <c r="K10327" s="12"/>
      <c r="L10327" s="12"/>
      <c r="M10327" s="11"/>
      <c r="N10327" s="11"/>
      <c r="O10327" s="11"/>
      <c r="P10327" s="11"/>
    </row>
    <row r="10328" spans="8:16" x14ac:dyDescent="0.25">
      <c r="H10328" s="12"/>
      <c r="I10328" s="12"/>
      <c r="J10328" s="12"/>
      <c r="K10328" s="12"/>
      <c r="L10328" s="12"/>
      <c r="M10328" s="11"/>
      <c r="N10328" s="11"/>
      <c r="O10328" s="11"/>
      <c r="P10328" s="11"/>
    </row>
    <row r="10329" spans="8:16" x14ac:dyDescent="0.25">
      <c r="H10329" s="12"/>
      <c r="I10329" s="12"/>
      <c r="J10329" s="12"/>
      <c r="K10329" s="12"/>
      <c r="L10329" s="12"/>
      <c r="M10329" s="11"/>
      <c r="N10329" s="11"/>
      <c r="O10329" s="11"/>
      <c r="P10329" s="11"/>
    </row>
    <row r="10330" spans="8:16" x14ac:dyDescent="0.25">
      <c r="H10330" s="12"/>
      <c r="I10330" s="12"/>
      <c r="J10330" s="12"/>
      <c r="K10330" s="12"/>
      <c r="L10330" s="12"/>
      <c r="M10330" s="11"/>
      <c r="N10330" s="11"/>
      <c r="O10330" s="11"/>
      <c r="P10330" s="11"/>
    </row>
    <row r="10331" spans="8:16" x14ac:dyDescent="0.25">
      <c r="H10331" s="12"/>
      <c r="I10331" s="12"/>
      <c r="J10331" s="12"/>
      <c r="K10331" s="12"/>
      <c r="L10331" s="12"/>
      <c r="M10331" s="11"/>
      <c r="N10331" s="11"/>
      <c r="O10331" s="11"/>
      <c r="P10331" s="11"/>
    </row>
    <row r="10332" spans="8:16" x14ac:dyDescent="0.25">
      <c r="H10332" s="12"/>
      <c r="I10332" s="12"/>
      <c r="J10332" s="12"/>
      <c r="K10332" s="12"/>
      <c r="L10332" s="12"/>
      <c r="M10332" s="11"/>
      <c r="N10332" s="11"/>
      <c r="O10332" s="11"/>
      <c r="P10332" s="11"/>
    </row>
    <row r="10333" spans="8:16" x14ac:dyDescent="0.25">
      <c r="H10333" s="12"/>
      <c r="I10333" s="12"/>
      <c r="J10333" s="12"/>
      <c r="K10333" s="12"/>
      <c r="L10333" s="12"/>
      <c r="M10333" s="11"/>
      <c r="N10333" s="11"/>
      <c r="O10333" s="11"/>
      <c r="P10333" s="11"/>
    </row>
    <row r="10334" spans="8:16" x14ac:dyDescent="0.25">
      <c r="H10334" s="12"/>
      <c r="I10334" s="12"/>
      <c r="J10334" s="12"/>
      <c r="K10334" s="12"/>
      <c r="L10334" s="12"/>
      <c r="M10334" s="11"/>
      <c r="N10334" s="11"/>
      <c r="O10334" s="11"/>
      <c r="P10334" s="11"/>
    </row>
    <row r="10335" spans="8:16" x14ac:dyDescent="0.25">
      <c r="H10335" s="12"/>
      <c r="I10335" s="12"/>
      <c r="J10335" s="12"/>
      <c r="K10335" s="12"/>
      <c r="L10335" s="12"/>
      <c r="M10335" s="11"/>
      <c r="N10335" s="11"/>
      <c r="O10335" s="11"/>
      <c r="P10335" s="11"/>
    </row>
    <row r="10336" spans="8:16" x14ac:dyDescent="0.25">
      <c r="H10336" s="12"/>
      <c r="I10336" s="12"/>
      <c r="J10336" s="12"/>
      <c r="K10336" s="12"/>
      <c r="L10336" s="12"/>
      <c r="M10336" s="11"/>
      <c r="N10336" s="11"/>
      <c r="O10336" s="11"/>
      <c r="P10336" s="11"/>
    </row>
    <row r="10337" spans="8:16" x14ac:dyDescent="0.25">
      <c r="H10337" s="12"/>
      <c r="I10337" s="12"/>
      <c r="J10337" s="12"/>
      <c r="K10337" s="12"/>
      <c r="L10337" s="12"/>
      <c r="M10337" s="11"/>
      <c r="N10337" s="11"/>
      <c r="O10337" s="11"/>
      <c r="P10337" s="11"/>
    </row>
    <row r="10338" spans="8:16" x14ac:dyDescent="0.25">
      <c r="H10338" s="12"/>
      <c r="I10338" s="12"/>
      <c r="J10338" s="12"/>
      <c r="K10338" s="12"/>
      <c r="L10338" s="12"/>
      <c r="M10338" s="11"/>
      <c r="N10338" s="11"/>
      <c r="O10338" s="11"/>
      <c r="P10338" s="11"/>
    </row>
    <row r="10339" spans="8:16" x14ac:dyDescent="0.25">
      <c r="H10339" s="12"/>
      <c r="I10339" s="12"/>
      <c r="J10339" s="12"/>
      <c r="K10339" s="12"/>
      <c r="L10339" s="12"/>
      <c r="M10339" s="11"/>
      <c r="N10339" s="11"/>
      <c r="O10339" s="11"/>
      <c r="P10339" s="11"/>
    </row>
    <row r="10340" spans="8:16" x14ac:dyDescent="0.25">
      <c r="H10340" s="12"/>
      <c r="I10340" s="12"/>
      <c r="J10340" s="12"/>
      <c r="K10340" s="12"/>
      <c r="L10340" s="12"/>
      <c r="M10340" s="11"/>
      <c r="N10340" s="11"/>
      <c r="O10340" s="11"/>
      <c r="P10340" s="11"/>
    </row>
    <row r="10341" spans="8:16" x14ac:dyDescent="0.25">
      <c r="H10341" s="12"/>
      <c r="I10341" s="12"/>
      <c r="J10341" s="12"/>
      <c r="K10341" s="12"/>
      <c r="L10341" s="12"/>
      <c r="M10341" s="11"/>
      <c r="N10341" s="11"/>
      <c r="O10341" s="11"/>
      <c r="P10341" s="11"/>
    </row>
    <row r="10342" spans="8:16" x14ac:dyDescent="0.25">
      <c r="H10342" s="12"/>
      <c r="I10342" s="12"/>
      <c r="J10342" s="12"/>
      <c r="K10342" s="12"/>
      <c r="L10342" s="12"/>
      <c r="M10342" s="11"/>
      <c r="N10342" s="11"/>
      <c r="O10342" s="11"/>
      <c r="P10342" s="11"/>
    </row>
    <row r="10343" spans="8:16" x14ac:dyDescent="0.25">
      <c r="H10343" s="12"/>
      <c r="I10343" s="12"/>
      <c r="J10343" s="12"/>
      <c r="K10343" s="12"/>
      <c r="L10343" s="12"/>
      <c r="M10343" s="11"/>
      <c r="N10343" s="11"/>
      <c r="O10343" s="11"/>
      <c r="P10343" s="11"/>
    </row>
    <row r="10344" spans="8:16" x14ac:dyDescent="0.25">
      <c r="H10344" s="12"/>
      <c r="I10344" s="12"/>
      <c r="J10344" s="12"/>
      <c r="K10344" s="12"/>
      <c r="L10344" s="12"/>
      <c r="M10344" s="11"/>
      <c r="N10344" s="11"/>
      <c r="O10344" s="11"/>
      <c r="P10344" s="11"/>
    </row>
    <row r="10345" spans="8:16" x14ac:dyDescent="0.25">
      <c r="H10345" s="12"/>
      <c r="I10345" s="12"/>
      <c r="J10345" s="12"/>
      <c r="K10345" s="12"/>
      <c r="L10345" s="12"/>
      <c r="M10345" s="11"/>
      <c r="N10345" s="11"/>
      <c r="O10345" s="11"/>
      <c r="P10345" s="11"/>
    </row>
    <row r="10346" spans="8:16" x14ac:dyDescent="0.25">
      <c r="H10346" s="12"/>
      <c r="I10346" s="12"/>
      <c r="J10346" s="12"/>
      <c r="K10346" s="12"/>
      <c r="L10346" s="12"/>
      <c r="M10346" s="11"/>
      <c r="N10346" s="11"/>
      <c r="O10346" s="11"/>
      <c r="P10346" s="11"/>
    </row>
    <row r="10347" spans="8:16" x14ac:dyDescent="0.25">
      <c r="H10347" s="12"/>
      <c r="I10347" s="12"/>
      <c r="J10347" s="12"/>
      <c r="K10347" s="12"/>
      <c r="L10347" s="12"/>
      <c r="M10347" s="11"/>
      <c r="N10347" s="11"/>
      <c r="O10347" s="11"/>
      <c r="P10347" s="11"/>
    </row>
    <row r="10348" spans="8:16" x14ac:dyDescent="0.25">
      <c r="H10348" s="12"/>
      <c r="I10348" s="12"/>
      <c r="J10348" s="12"/>
      <c r="K10348" s="12"/>
      <c r="L10348" s="12"/>
      <c r="M10348" s="11"/>
      <c r="N10348" s="11"/>
      <c r="O10348" s="11"/>
      <c r="P10348" s="11"/>
    </row>
    <row r="10349" spans="8:16" x14ac:dyDescent="0.25">
      <c r="H10349" s="12"/>
      <c r="I10349" s="12"/>
      <c r="J10349" s="12"/>
      <c r="K10349" s="12"/>
      <c r="L10349" s="12"/>
      <c r="M10349" s="11"/>
      <c r="N10349" s="11"/>
      <c r="O10349" s="11"/>
      <c r="P10349" s="11"/>
    </row>
    <row r="10350" spans="8:16" x14ac:dyDescent="0.25">
      <c r="H10350" s="12"/>
      <c r="I10350" s="12"/>
      <c r="J10350" s="12"/>
      <c r="K10350" s="12"/>
      <c r="L10350" s="12"/>
      <c r="M10350" s="11"/>
      <c r="N10350" s="11"/>
      <c r="O10350" s="11"/>
      <c r="P10350" s="11"/>
    </row>
    <row r="10351" spans="8:16" x14ac:dyDescent="0.25">
      <c r="H10351" s="12"/>
      <c r="I10351" s="12"/>
      <c r="J10351" s="12"/>
      <c r="K10351" s="12"/>
      <c r="L10351" s="12"/>
      <c r="M10351" s="11"/>
      <c r="N10351" s="11"/>
      <c r="O10351" s="11"/>
      <c r="P10351" s="11"/>
    </row>
    <row r="10352" spans="8:16" x14ac:dyDescent="0.25">
      <c r="H10352" s="12"/>
      <c r="I10352" s="12"/>
      <c r="J10352" s="12"/>
      <c r="K10352" s="12"/>
      <c r="L10352" s="12"/>
      <c r="M10352" s="11"/>
      <c r="N10352" s="11"/>
      <c r="O10352" s="11"/>
      <c r="P10352" s="11"/>
    </row>
    <row r="10353" spans="8:16" x14ac:dyDescent="0.25">
      <c r="H10353" s="12"/>
      <c r="I10353" s="12"/>
      <c r="J10353" s="12"/>
      <c r="K10353" s="12"/>
      <c r="L10353" s="12"/>
      <c r="M10353" s="11"/>
      <c r="N10353" s="11"/>
      <c r="O10353" s="11"/>
      <c r="P10353" s="11"/>
    </row>
    <row r="10354" spans="8:16" x14ac:dyDescent="0.25">
      <c r="H10354" s="12"/>
      <c r="I10354" s="12"/>
      <c r="J10354" s="12"/>
      <c r="K10354" s="12"/>
      <c r="L10354" s="12"/>
      <c r="M10354" s="11"/>
      <c r="N10354" s="11"/>
      <c r="O10354" s="11"/>
      <c r="P10354" s="11"/>
    </row>
    <row r="10355" spans="8:16" x14ac:dyDescent="0.25">
      <c r="H10355" s="12"/>
      <c r="I10355" s="12"/>
      <c r="J10355" s="12"/>
      <c r="K10355" s="12"/>
      <c r="L10355" s="12"/>
      <c r="M10355" s="11"/>
      <c r="N10355" s="11"/>
      <c r="O10355" s="11"/>
      <c r="P10355" s="11"/>
    </row>
    <row r="10356" spans="8:16" x14ac:dyDescent="0.25">
      <c r="H10356" s="12"/>
      <c r="I10356" s="12"/>
      <c r="J10356" s="12"/>
      <c r="K10356" s="12"/>
      <c r="L10356" s="12"/>
      <c r="M10356" s="11"/>
      <c r="N10356" s="11"/>
      <c r="O10356" s="11"/>
      <c r="P10356" s="11"/>
    </row>
    <row r="10357" spans="8:16" x14ac:dyDescent="0.25">
      <c r="H10357" s="12"/>
      <c r="I10357" s="12"/>
      <c r="J10357" s="12"/>
      <c r="K10357" s="12"/>
      <c r="L10357" s="12"/>
      <c r="M10357" s="11"/>
      <c r="N10357" s="11"/>
      <c r="O10357" s="11"/>
      <c r="P10357" s="11"/>
    </row>
    <row r="10358" spans="8:16" x14ac:dyDescent="0.25">
      <c r="H10358" s="12"/>
      <c r="I10358" s="12"/>
      <c r="J10358" s="12"/>
      <c r="K10358" s="12"/>
      <c r="L10358" s="12"/>
      <c r="M10358" s="11"/>
      <c r="N10358" s="11"/>
      <c r="O10358" s="11"/>
      <c r="P10358" s="11"/>
    </row>
    <row r="10359" spans="8:16" x14ac:dyDescent="0.25">
      <c r="H10359" s="12"/>
      <c r="I10359" s="12"/>
      <c r="J10359" s="12"/>
      <c r="K10359" s="12"/>
      <c r="L10359" s="12"/>
      <c r="M10359" s="11"/>
      <c r="N10359" s="11"/>
      <c r="O10359" s="11"/>
      <c r="P10359" s="11"/>
    </row>
    <row r="10360" spans="8:16" x14ac:dyDescent="0.25">
      <c r="H10360" s="12"/>
      <c r="I10360" s="12"/>
      <c r="J10360" s="12"/>
      <c r="K10360" s="12"/>
      <c r="L10360" s="12"/>
      <c r="M10360" s="11"/>
      <c r="N10360" s="11"/>
      <c r="O10360" s="11"/>
      <c r="P10360" s="11"/>
    </row>
    <row r="10361" spans="8:16" x14ac:dyDescent="0.25">
      <c r="H10361" s="12"/>
      <c r="I10361" s="12"/>
      <c r="J10361" s="12"/>
      <c r="K10361" s="12"/>
      <c r="L10361" s="12"/>
      <c r="M10361" s="11"/>
      <c r="N10361" s="11"/>
      <c r="O10361" s="11"/>
      <c r="P10361" s="11"/>
    </row>
    <row r="10362" spans="8:16" x14ac:dyDescent="0.25">
      <c r="H10362" s="12"/>
      <c r="I10362" s="12"/>
      <c r="J10362" s="12"/>
      <c r="K10362" s="12"/>
      <c r="L10362" s="12"/>
      <c r="M10362" s="11"/>
      <c r="N10362" s="11"/>
      <c r="O10362" s="11"/>
      <c r="P10362" s="11"/>
    </row>
    <row r="10363" spans="8:16" x14ac:dyDescent="0.25">
      <c r="H10363" s="12"/>
      <c r="I10363" s="12"/>
      <c r="J10363" s="12"/>
      <c r="K10363" s="12"/>
      <c r="L10363" s="12"/>
      <c r="M10363" s="11"/>
      <c r="N10363" s="11"/>
      <c r="O10363" s="11"/>
      <c r="P10363" s="11"/>
    </row>
    <row r="10364" spans="8:16" x14ac:dyDescent="0.25">
      <c r="H10364" s="12"/>
      <c r="I10364" s="12"/>
      <c r="J10364" s="12"/>
      <c r="K10364" s="12"/>
      <c r="L10364" s="12"/>
      <c r="M10364" s="11"/>
      <c r="N10364" s="11"/>
      <c r="O10364" s="11"/>
      <c r="P10364" s="11"/>
    </row>
    <row r="10365" spans="8:16" x14ac:dyDescent="0.25">
      <c r="H10365" s="12"/>
      <c r="I10365" s="12"/>
      <c r="J10365" s="12"/>
      <c r="K10365" s="12"/>
      <c r="L10365" s="12"/>
      <c r="M10365" s="11"/>
      <c r="N10365" s="11"/>
      <c r="O10365" s="11"/>
      <c r="P10365" s="11"/>
    </row>
    <row r="10366" spans="8:16" x14ac:dyDescent="0.25">
      <c r="H10366" s="12"/>
      <c r="I10366" s="12"/>
      <c r="J10366" s="12"/>
      <c r="K10366" s="12"/>
      <c r="L10366" s="12"/>
      <c r="M10366" s="11"/>
      <c r="N10366" s="11"/>
      <c r="O10366" s="11"/>
      <c r="P10366" s="11"/>
    </row>
    <row r="10367" spans="8:16" x14ac:dyDescent="0.25">
      <c r="H10367" s="12"/>
      <c r="I10367" s="12"/>
      <c r="J10367" s="12"/>
      <c r="K10367" s="12"/>
      <c r="L10367" s="12"/>
      <c r="M10367" s="11"/>
      <c r="N10367" s="11"/>
      <c r="O10367" s="11"/>
      <c r="P10367" s="11"/>
    </row>
    <row r="10368" spans="8:16" x14ac:dyDescent="0.25">
      <c r="H10368" s="12"/>
      <c r="I10368" s="12"/>
      <c r="J10368" s="12"/>
      <c r="K10368" s="12"/>
      <c r="L10368" s="12"/>
      <c r="M10368" s="11"/>
      <c r="N10368" s="11"/>
      <c r="O10368" s="11"/>
      <c r="P10368" s="11"/>
    </row>
    <row r="10369" spans="8:16" x14ac:dyDescent="0.25">
      <c r="H10369" s="12"/>
      <c r="I10369" s="12"/>
      <c r="J10369" s="12"/>
      <c r="K10369" s="12"/>
      <c r="L10369" s="12"/>
      <c r="M10369" s="11"/>
      <c r="N10369" s="11"/>
      <c r="O10369" s="11"/>
      <c r="P10369" s="11"/>
    </row>
    <row r="10370" spans="8:16" x14ac:dyDescent="0.25">
      <c r="H10370" s="12"/>
      <c r="I10370" s="12"/>
      <c r="J10370" s="12"/>
      <c r="K10370" s="12"/>
      <c r="L10370" s="12"/>
      <c r="M10370" s="11"/>
      <c r="N10370" s="11"/>
      <c r="O10370" s="11"/>
      <c r="P10370" s="11"/>
    </row>
    <row r="10371" spans="8:16" x14ac:dyDescent="0.25">
      <c r="H10371" s="12"/>
      <c r="I10371" s="12"/>
      <c r="J10371" s="12"/>
      <c r="K10371" s="12"/>
      <c r="L10371" s="12"/>
      <c r="M10371" s="11"/>
      <c r="N10371" s="11"/>
      <c r="O10371" s="11"/>
      <c r="P10371" s="11"/>
    </row>
    <row r="10372" spans="8:16" x14ac:dyDescent="0.25">
      <c r="H10372" s="12"/>
      <c r="I10372" s="12"/>
      <c r="J10372" s="12"/>
      <c r="K10372" s="12"/>
      <c r="L10372" s="12"/>
      <c r="M10372" s="11"/>
      <c r="N10372" s="11"/>
      <c r="O10372" s="11"/>
      <c r="P10372" s="11"/>
    </row>
    <row r="10373" spans="8:16" x14ac:dyDescent="0.25">
      <c r="H10373" s="12"/>
      <c r="I10373" s="12"/>
      <c r="J10373" s="12"/>
      <c r="K10373" s="12"/>
      <c r="L10373" s="12"/>
      <c r="M10373" s="11"/>
      <c r="N10373" s="11"/>
      <c r="O10373" s="11"/>
      <c r="P10373" s="11"/>
    </row>
    <row r="10374" spans="8:16" x14ac:dyDescent="0.25">
      <c r="H10374" s="12"/>
      <c r="I10374" s="12"/>
      <c r="J10374" s="12"/>
      <c r="K10374" s="12"/>
      <c r="L10374" s="12"/>
      <c r="M10374" s="11"/>
      <c r="N10374" s="11"/>
      <c r="O10374" s="11"/>
      <c r="P10374" s="11"/>
    </row>
    <row r="10375" spans="8:16" x14ac:dyDescent="0.25">
      <c r="H10375" s="12"/>
      <c r="I10375" s="12"/>
      <c r="J10375" s="12"/>
      <c r="K10375" s="12"/>
      <c r="L10375" s="12"/>
      <c r="M10375" s="11"/>
      <c r="N10375" s="11"/>
      <c r="O10375" s="11"/>
      <c r="P10375" s="11"/>
    </row>
    <row r="10376" spans="8:16" x14ac:dyDescent="0.25">
      <c r="H10376" s="12"/>
      <c r="I10376" s="12"/>
      <c r="J10376" s="12"/>
      <c r="K10376" s="12"/>
      <c r="L10376" s="12"/>
      <c r="M10376" s="11"/>
      <c r="N10376" s="11"/>
      <c r="O10376" s="11"/>
      <c r="P10376" s="11"/>
    </row>
    <row r="10377" spans="8:16" x14ac:dyDescent="0.25">
      <c r="H10377" s="12"/>
      <c r="I10377" s="12"/>
      <c r="J10377" s="12"/>
      <c r="K10377" s="12"/>
      <c r="L10377" s="12"/>
      <c r="M10377" s="11"/>
      <c r="N10377" s="11"/>
      <c r="O10377" s="11"/>
      <c r="P10377" s="11"/>
    </row>
    <row r="10378" spans="8:16" x14ac:dyDescent="0.25">
      <c r="H10378" s="12"/>
      <c r="I10378" s="12"/>
      <c r="J10378" s="12"/>
      <c r="K10378" s="12"/>
      <c r="L10378" s="12"/>
      <c r="M10378" s="11"/>
      <c r="N10378" s="11"/>
      <c r="O10378" s="11"/>
      <c r="P10378" s="11"/>
    </row>
    <row r="10379" spans="8:16" x14ac:dyDescent="0.25">
      <c r="H10379" s="12"/>
      <c r="I10379" s="12"/>
      <c r="J10379" s="12"/>
      <c r="K10379" s="12"/>
      <c r="L10379" s="12"/>
      <c r="M10379" s="11"/>
      <c r="N10379" s="11"/>
      <c r="O10379" s="11"/>
      <c r="P10379" s="11"/>
    </row>
    <row r="10380" spans="8:16" x14ac:dyDescent="0.25">
      <c r="H10380" s="12"/>
      <c r="I10380" s="12"/>
      <c r="J10380" s="12"/>
      <c r="K10380" s="12"/>
      <c r="L10380" s="12"/>
      <c r="M10380" s="11"/>
      <c r="N10380" s="11"/>
      <c r="O10380" s="11"/>
      <c r="P10380" s="11"/>
    </row>
    <row r="10381" spans="8:16" x14ac:dyDescent="0.25">
      <c r="H10381" s="12"/>
      <c r="I10381" s="12"/>
      <c r="J10381" s="12"/>
      <c r="K10381" s="12"/>
      <c r="L10381" s="12"/>
      <c r="M10381" s="11"/>
      <c r="N10381" s="11"/>
      <c r="O10381" s="11"/>
      <c r="P10381" s="11"/>
    </row>
    <row r="10382" spans="8:16" x14ac:dyDescent="0.25">
      <c r="H10382" s="12"/>
      <c r="I10382" s="12"/>
      <c r="J10382" s="12"/>
      <c r="K10382" s="12"/>
      <c r="L10382" s="12"/>
      <c r="M10382" s="11"/>
      <c r="N10382" s="11"/>
      <c r="O10382" s="11"/>
      <c r="P10382" s="11"/>
    </row>
    <row r="10383" spans="8:16" x14ac:dyDescent="0.25">
      <c r="H10383" s="12"/>
      <c r="I10383" s="12"/>
      <c r="J10383" s="12"/>
      <c r="K10383" s="12"/>
      <c r="L10383" s="12"/>
      <c r="M10383" s="11"/>
      <c r="N10383" s="11"/>
      <c r="O10383" s="11"/>
      <c r="P10383" s="11"/>
    </row>
    <row r="10384" spans="8:16" x14ac:dyDescent="0.25">
      <c r="H10384" s="12"/>
      <c r="I10384" s="12"/>
      <c r="J10384" s="12"/>
      <c r="K10384" s="12"/>
      <c r="L10384" s="12"/>
      <c r="M10384" s="11"/>
      <c r="N10384" s="11"/>
      <c r="O10384" s="11"/>
      <c r="P10384" s="11"/>
    </row>
    <row r="10385" spans="8:16" x14ac:dyDescent="0.25">
      <c r="H10385" s="12"/>
      <c r="I10385" s="12"/>
      <c r="J10385" s="12"/>
      <c r="K10385" s="12"/>
      <c r="L10385" s="12"/>
      <c r="M10385" s="11"/>
      <c r="N10385" s="11"/>
      <c r="O10385" s="11"/>
      <c r="P10385" s="11"/>
    </row>
    <row r="10386" spans="8:16" x14ac:dyDescent="0.25">
      <c r="H10386" s="12"/>
      <c r="I10386" s="12"/>
      <c r="J10386" s="12"/>
      <c r="K10386" s="12"/>
      <c r="L10386" s="12"/>
      <c r="M10386" s="11"/>
      <c r="N10386" s="11"/>
      <c r="O10386" s="11"/>
      <c r="P10386" s="11"/>
    </row>
    <row r="10387" spans="8:16" x14ac:dyDescent="0.25">
      <c r="H10387" s="12"/>
      <c r="I10387" s="12"/>
      <c r="J10387" s="12"/>
      <c r="K10387" s="12"/>
      <c r="L10387" s="12"/>
      <c r="M10387" s="11"/>
      <c r="N10387" s="11"/>
      <c r="O10387" s="11"/>
      <c r="P10387" s="11"/>
    </row>
    <row r="10388" spans="8:16" x14ac:dyDescent="0.25">
      <c r="H10388" s="12"/>
      <c r="I10388" s="12"/>
      <c r="J10388" s="12"/>
      <c r="K10388" s="12"/>
      <c r="L10388" s="12"/>
      <c r="M10388" s="11"/>
      <c r="N10388" s="11"/>
      <c r="O10388" s="11"/>
      <c r="P10388" s="11"/>
    </row>
    <row r="10389" spans="8:16" x14ac:dyDescent="0.25">
      <c r="H10389" s="12"/>
      <c r="I10389" s="12"/>
      <c r="J10389" s="12"/>
      <c r="K10389" s="12"/>
      <c r="L10389" s="12"/>
      <c r="M10389" s="11"/>
      <c r="N10389" s="11"/>
      <c r="O10389" s="11"/>
      <c r="P10389" s="11"/>
    </row>
    <row r="10390" spans="8:16" x14ac:dyDescent="0.25">
      <c r="H10390" s="12"/>
      <c r="I10390" s="12"/>
      <c r="J10390" s="12"/>
      <c r="K10390" s="12"/>
      <c r="L10390" s="12"/>
      <c r="M10390" s="11"/>
      <c r="N10390" s="11"/>
      <c r="O10390" s="11"/>
      <c r="P10390" s="11"/>
    </row>
    <row r="10391" spans="8:16" x14ac:dyDescent="0.25">
      <c r="H10391" s="12"/>
      <c r="I10391" s="12"/>
      <c r="J10391" s="12"/>
      <c r="K10391" s="12"/>
      <c r="L10391" s="12"/>
      <c r="M10391" s="11"/>
      <c r="N10391" s="11"/>
      <c r="O10391" s="11"/>
      <c r="P10391" s="11"/>
    </row>
    <row r="10392" spans="8:16" x14ac:dyDescent="0.25">
      <c r="H10392" s="12"/>
      <c r="I10392" s="12"/>
      <c r="J10392" s="12"/>
      <c r="K10392" s="12"/>
      <c r="L10392" s="12"/>
      <c r="M10392" s="11"/>
      <c r="N10392" s="11"/>
      <c r="O10392" s="11"/>
      <c r="P10392" s="11"/>
    </row>
    <row r="10393" spans="8:16" x14ac:dyDescent="0.25">
      <c r="H10393" s="12"/>
      <c r="I10393" s="12"/>
      <c r="J10393" s="12"/>
      <c r="K10393" s="12"/>
      <c r="L10393" s="12"/>
      <c r="M10393" s="11"/>
      <c r="N10393" s="11"/>
      <c r="O10393" s="11"/>
      <c r="P10393" s="11"/>
    </row>
    <row r="10394" spans="8:16" x14ac:dyDescent="0.25">
      <c r="H10394" s="12"/>
      <c r="I10394" s="12"/>
      <c r="J10394" s="12"/>
      <c r="K10394" s="12"/>
      <c r="L10394" s="12"/>
      <c r="M10394" s="11"/>
      <c r="N10394" s="11"/>
      <c r="O10394" s="11"/>
      <c r="P10394" s="11"/>
    </row>
    <row r="10395" spans="8:16" x14ac:dyDescent="0.25">
      <c r="H10395" s="12"/>
      <c r="I10395" s="12"/>
      <c r="J10395" s="12"/>
      <c r="K10395" s="12"/>
      <c r="L10395" s="12"/>
      <c r="M10395" s="11"/>
      <c r="N10395" s="11"/>
      <c r="O10395" s="11"/>
      <c r="P10395" s="11"/>
    </row>
    <row r="10396" spans="8:16" x14ac:dyDescent="0.25">
      <c r="H10396" s="12"/>
      <c r="I10396" s="12"/>
      <c r="J10396" s="12"/>
      <c r="K10396" s="12"/>
      <c r="L10396" s="12"/>
      <c r="M10396" s="11"/>
      <c r="N10396" s="11"/>
      <c r="O10396" s="11"/>
      <c r="P10396" s="11"/>
    </row>
    <row r="10397" spans="8:16" x14ac:dyDescent="0.25">
      <c r="H10397" s="12"/>
      <c r="I10397" s="12"/>
      <c r="J10397" s="12"/>
      <c r="K10397" s="12"/>
      <c r="L10397" s="12"/>
      <c r="M10397" s="11"/>
      <c r="N10397" s="11"/>
      <c r="O10397" s="11"/>
      <c r="P10397" s="11"/>
    </row>
    <row r="10398" spans="8:16" x14ac:dyDescent="0.25">
      <c r="H10398" s="12"/>
      <c r="I10398" s="12"/>
      <c r="J10398" s="12"/>
      <c r="K10398" s="12"/>
      <c r="L10398" s="12"/>
      <c r="M10398" s="11"/>
      <c r="N10398" s="11"/>
      <c r="O10398" s="11"/>
      <c r="P10398" s="11"/>
    </row>
    <row r="10399" spans="8:16" x14ac:dyDescent="0.25">
      <c r="H10399" s="12"/>
      <c r="I10399" s="12"/>
      <c r="J10399" s="12"/>
      <c r="K10399" s="12"/>
      <c r="L10399" s="12"/>
      <c r="M10399" s="11"/>
      <c r="N10399" s="11"/>
      <c r="O10399" s="11"/>
      <c r="P10399" s="11"/>
    </row>
    <row r="10400" spans="8:16" x14ac:dyDescent="0.25">
      <c r="H10400" s="12"/>
      <c r="I10400" s="12"/>
      <c r="J10400" s="12"/>
      <c r="K10400" s="12"/>
      <c r="L10400" s="12"/>
      <c r="M10400" s="11"/>
      <c r="N10400" s="11"/>
      <c r="O10400" s="11"/>
      <c r="P10400" s="11"/>
    </row>
    <row r="10401" spans="8:16" x14ac:dyDescent="0.25">
      <c r="H10401" s="12"/>
      <c r="I10401" s="12"/>
      <c r="J10401" s="12"/>
      <c r="K10401" s="12"/>
      <c r="L10401" s="12"/>
      <c r="M10401" s="11"/>
      <c r="N10401" s="11"/>
      <c r="O10401" s="11"/>
      <c r="P10401" s="11"/>
    </row>
    <row r="10402" spans="8:16" x14ac:dyDescent="0.25">
      <c r="H10402" s="12"/>
      <c r="I10402" s="12"/>
      <c r="J10402" s="12"/>
      <c r="K10402" s="12"/>
      <c r="L10402" s="12"/>
      <c r="M10402" s="11"/>
      <c r="N10402" s="11"/>
      <c r="O10402" s="11"/>
      <c r="P10402" s="11"/>
    </row>
    <row r="10403" spans="8:16" x14ac:dyDescent="0.25">
      <c r="H10403" s="12"/>
      <c r="I10403" s="12"/>
      <c r="J10403" s="12"/>
      <c r="K10403" s="12"/>
      <c r="L10403" s="12"/>
      <c r="M10403" s="11"/>
      <c r="N10403" s="11"/>
      <c r="O10403" s="11"/>
      <c r="P10403" s="11"/>
    </row>
    <row r="10404" spans="8:16" x14ac:dyDescent="0.25">
      <c r="H10404" s="12"/>
      <c r="I10404" s="12"/>
      <c r="J10404" s="12"/>
      <c r="K10404" s="12"/>
      <c r="L10404" s="12"/>
      <c r="M10404" s="11"/>
      <c r="N10404" s="11"/>
      <c r="O10404" s="11"/>
      <c r="P10404" s="11"/>
    </row>
    <row r="10405" spans="8:16" x14ac:dyDescent="0.25">
      <c r="H10405" s="12"/>
      <c r="I10405" s="12"/>
      <c r="J10405" s="12"/>
      <c r="K10405" s="12"/>
      <c r="L10405" s="12"/>
      <c r="M10405" s="11"/>
      <c r="N10405" s="11"/>
      <c r="O10405" s="11"/>
      <c r="P10405" s="11"/>
    </row>
    <row r="10406" spans="8:16" x14ac:dyDescent="0.25">
      <c r="H10406" s="12"/>
      <c r="I10406" s="12"/>
      <c r="J10406" s="12"/>
      <c r="K10406" s="12"/>
      <c r="L10406" s="12"/>
      <c r="M10406" s="11"/>
      <c r="N10406" s="11"/>
      <c r="O10406" s="11"/>
      <c r="P10406" s="11"/>
    </row>
    <row r="10407" spans="8:16" x14ac:dyDescent="0.25">
      <c r="H10407" s="12"/>
      <c r="I10407" s="12"/>
      <c r="J10407" s="12"/>
      <c r="K10407" s="12"/>
      <c r="L10407" s="12"/>
      <c r="M10407" s="11"/>
      <c r="N10407" s="11"/>
      <c r="O10407" s="11"/>
      <c r="P10407" s="11"/>
    </row>
    <row r="10408" spans="8:16" x14ac:dyDescent="0.25">
      <c r="H10408" s="12"/>
      <c r="I10408" s="12"/>
      <c r="J10408" s="12"/>
      <c r="K10408" s="12"/>
      <c r="L10408" s="12"/>
      <c r="M10408" s="11"/>
      <c r="N10408" s="11"/>
      <c r="O10408" s="11"/>
      <c r="P10408" s="11"/>
    </row>
    <row r="10409" spans="8:16" x14ac:dyDescent="0.25">
      <c r="H10409" s="12"/>
      <c r="I10409" s="12"/>
      <c r="J10409" s="12"/>
      <c r="K10409" s="12"/>
      <c r="L10409" s="12"/>
      <c r="M10409" s="11"/>
      <c r="N10409" s="11"/>
      <c r="O10409" s="11"/>
      <c r="P10409" s="11"/>
    </row>
    <row r="10410" spans="8:16" x14ac:dyDescent="0.25">
      <c r="H10410" s="12"/>
      <c r="I10410" s="12"/>
      <c r="J10410" s="12"/>
      <c r="K10410" s="12"/>
      <c r="L10410" s="12"/>
      <c r="M10410" s="11"/>
      <c r="N10410" s="11"/>
      <c r="O10410" s="11"/>
      <c r="P10410" s="11"/>
    </row>
    <row r="10411" spans="8:16" x14ac:dyDescent="0.25">
      <c r="H10411" s="12"/>
      <c r="I10411" s="12"/>
      <c r="J10411" s="12"/>
      <c r="K10411" s="12"/>
      <c r="L10411" s="12"/>
      <c r="M10411" s="11"/>
      <c r="N10411" s="11"/>
      <c r="O10411" s="11"/>
      <c r="P10411" s="11"/>
    </row>
    <row r="10412" spans="8:16" x14ac:dyDescent="0.25">
      <c r="H10412" s="12"/>
      <c r="I10412" s="12"/>
      <c r="J10412" s="12"/>
      <c r="K10412" s="12"/>
      <c r="L10412" s="12"/>
      <c r="M10412" s="11"/>
      <c r="N10412" s="11"/>
      <c r="O10412" s="11"/>
      <c r="P10412" s="11"/>
    </row>
    <row r="10413" spans="8:16" x14ac:dyDescent="0.25">
      <c r="H10413" s="12"/>
      <c r="I10413" s="12"/>
      <c r="J10413" s="12"/>
      <c r="K10413" s="12"/>
      <c r="L10413" s="12"/>
      <c r="M10413" s="11"/>
      <c r="N10413" s="11"/>
      <c r="O10413" s="11"/>
      <c r="P10413" s="11"/>
    </row>
    <row r="10414" spans="8:16" x14ac:dyDescent="0.25">
      <c r="H10414" s="12"/>
      <c r="I10414" s="12"/>
      <c r="J10414" s="12"/>
      <c r="K10414" s="12"/>
      <c r="L10414" s="12"/>
      <c r="M10414" s="11"/>
      <c r="N10414" s="11"/>
      <c r="O10414" s="11"/>
      <c r="P10414" s="11"/>
    </row>
    <row r="10415" spans="8:16" x14ac:dyDescent="0.25">
      <c r="H10415" s="12"/>
      <c r="I10415" s="12"/>
      <c r="J10415" s="12"/>
      <c r="K10415" s="12"/>
      <c r="L10415" s="12"/>
      <c r="M10415" s="11"/>
      <c r="N10415" s="11"/>
      <c r="O10415" s="11"/>
      <c r="P10415" s="11"/>
    </row>
    <row r="10416" spans="8:16" x14ac:dyDescent="0.25">
      <c r="H10416" s="12"/>
      <c r="I10416" s="12"/>
      <c r="J10416" s="12"/>
      <c r="K10416" s="12"/>
      <c r="L10416" s="12"/>
      <c r="M10416" s="11"/>
      <c r="N10416" s="11"/>
      <c r="O10416" s="11"/>
      <c r="P10416" s="11"/>
    </row>
    <row r="10417" spans="8:16" x14ac:dyDescent="0.25">
      <c r="H10417" s="12"/>
      <c r="I10417" s="12"/>
      <c r="J10417" s="12"/>
      <c r="K10417" s="12"/>
      <c r="L10417" s="12"/>
      <c r="M10417" s="11"/>
      <c r="N10417" s="11"/>
      <c r="O10417" s="11"/>
      <c r="P10417" s="11"/>
    </row>
    <row r="10418" spans="8:16" x14ac:dyDescent="0.25">
      <c r="H10418" s="12"/>
      <c r="I10418" s="12"/>
      <c r="J10418" s="12"/>
      <c r="K10418" s="12"/>
      <c r="L10418" s="12"/>
      <c r="M10418" s="11"/>
      <c r="N10418" s="11"/>
      <c r="O10418" s="11"/>
      <c r="P10418" s="11"/>
    </row>
    <row r="10419" spans="8:16" x14ac:dyDescent="0.25">
      <c r="H10419" s="12"/>
      <c r="I10419" s="12"/>
      <c r="J10419" s="12"/>
      <c r="K10419" s="12"/>
      <c r="L10419" s="12"/>
      <c r="M10419" s="11"/>
      <c r="N10419" s="11"/>
      <c r="O10419" s="11"/>
      <c r="P10419" s="11"/>
    </row>
    <row r="10420" spans="8:16" x14ac:dyDescent="0.25">
      <c r="H10420" s="12"/>
      <c r="I10420" s="12"/>
      <c r="J10420" s="12"/>
      <c r="K10420" s="12"/>
      <c r="L10420" s="12"/>
      <c r="M10420" s="11"/>
      <c r="N10420" s="11"/>
      <c r="O10420" s="11"/>
      <c r="P10420" s="11"/>
    </row>
    <row r="10421" spans="8:16" x14ac:dyDescent="0.25">
      <c r="H10421" s="12"/>
      <c r="I10421" s="12"/>
      <c r="J10421" s="12"/>
      <c r="K10421" s="12"/>
      <c r="L10421" s="12"/>
      <c r="M10421" s="11"/>
      <c r="N10421" s="11"/>
      <c r="O10421" s="11"/>
      <c r="P10421" s="11"/>
    </row>
    <row r="10422" spans="8:16" x14ac:dyDescent="0.25">
      <c r="H10422" s="12"/>
      <c r="I10422" s="12"/>
      <c r="J10422" s="12"/>
      <c r="K10422" s="12"/>
      <c r="L10422" s="12"/>
      <c r="M10422" s="11"/>
      <c r="N10422" s="11"/>
      <c r="O10422" s="11"/>
      <c r="P10422" s="11"/>
    </row>
    <row r="10423" spans="8:16" x14ac:dyDescent="0.25">
      <c r="H10423" s="12"/>
      <c r="I10423" s="12"/>
      <c r="J10423" s="12"/>
      <c r="K10423" s="12"/>
      <c r="L10423" s="12"/>
      <c r="M10423" s="11"/>
      <c r="N10423" s="11"/>
      <c r="O10423" s="11"/>
      <c r="P10423" s="11"/>
    </row>
    <row r="10424" spans="8:16" x14ac:dyDescent="0.25">
      <c r="H10424" s="12"/>
      <c r="I10424" s="12"/>
      <c r="J10424" s="12"/>
      <c r="K10424" s="12"/>
      <c r="L10424" s="12"/>
      <c r="M10424" s="11"/>
      <c r="N10424" s="11"/>
      <c r="O10424" s="11"/>
      <c r="P10424" s="11"/>
    </row>
    <row r="10425" spans="8:16" x14ac:dyDescent="0.25">
      <c r="H10425" s="12"/>
      <c r="I10425" s="12"/>
      <c r="J10425" s="12"/>
      <c r="K10425" s="12"/>
      <c r="L10425" s="12"/>
      <c r="M10425" s="11"/>
      <c r="N10425" s="11"/>
      <c r="O10425" s="11"/>
      <c r="P10425" s="11"/>
    </row>
    <row r="10426" spans="8:16" x14ac:dyDescent="0.25">
      <c r="H10426" s="12"/>
      <c r="I10426" s="12"/>
      <c r="J10426" s="12"/>
      <c r="K10426" s="12"/>
      <c r="L10426" s="12"/>
      <c r="M10426" s="11"/>
      <c r="N10426" s="11"/>
      <c r="O10426" s="11"/>
      <c r="P10426" s="11"/>
    </row>
    <row r="10427" spans="8:16" x14ac:dyDescent="0.25">
      <c r="H10427" s="12"/>
      <c r="I10427" s="12"/>
      <c r="J10427" s="12"/>
      <c r="K10427" s="12"/>
      <c r="L10427" s="12"/>
      <c r="M10427" s="11"/>
      <c r="N10427" s="11"/>
      <c r="O10427" s="11"/>
      <c r="P10427" s="11"/>
    </row>
    <row r="10428" spans="8:16" x14ac:dyDescent="0.25">
      <c r="H10428" s="12"/>
      <c r="I10428" s="12"/>
      <c r="J10428" s="12"/>
      <c r="K10428" s="12"/>
      <c r="L10428" s="12"/>
      <c r="M10428" s="11"/>
      <c r="N10428" s="11"/>
      <c r="O10428" s="11"/>
      <c r="P10428" s="11"/>
    </row>
    <row r="10429" spans="8:16" x14ac:dyDescent="0.25">
      <c r="H10429" s="12"/>
      <c r="I10429" s="12"/>
      <c r="J10429" s="12"/>
      <c r="K10429" s="12"/>
      <c r="L10429" s="12"/>
      <c r="M10429" s="11"/>
      <c r="N10429" s="11"/>
      <c r="O10429" s="11"/>
      <c r="P10429" s="11"/>
    </row>
    <row r="10430" spans="8:16" x14ac:dyDescent="0.25">
      <c r="H10430" s="12"/>
      <c r="I10430" s="12"/>
      <c r="J10430" s="12"/>
      <c r="K10430" s="12"/>
      <c r="L10430" s="12"/>
      <c r="M10430" s="11"/>
      <c r="N10430" s="11"/>
      <c r="O10430" s="11"/>
      <c r="P10430" s="11"/>
    </row>
    <row r="10431" spans="8:16" x14ac:dyDescent="0.25">
      <c r="H10431" s="12"/>
      <c r="I10431" s="12"/>
      <c r="J10431" s="12"/>
      <c r="K10431" s="12"/>
      <c r="L10431" s="12"/>
      <c r="M10431" s="11"/>
      <c r="N10431" s="11"/>
      <c r="O10431" s="11"/>
      <c r="P10431" s="11"/>
    </row>
    <row r="10432" spans="8:16" x14ac:dyDescent="0.25">
      <c r="H10432" s="12"/>
      <c r="I10432" s="12"/>
      <c r="J10432" s="12"/>
      <c r="K10432" s="12"/>
      <c r="L10432" s="12"/>
      <c r="M10432" s="11"/>
      <c r="N10432" s="11"/>
      <c r="O10432" s="11"/>
      <c r="P10432" s="11"/>
    </row>
    <row r="10433" spans="8:16" x14ac:dyDescent="0.25">
      <c r="H10433" s="12"/>
      <c r="I10433" s="12"/>
      <c r="J10433" s="12"/>
      <c r="K10433" s="12"/>
      <c r="L10433" s="12"/>
      <c r="M10433" s="11"/>
      <c r="N10433" s="11"/>
      <c r="O10433" s="11"/>
      <c r="P10433" s="11"/>
    </row>
    <row r="10434" spans="8:16" x14ac:dyDescent="0.25">
      <c r="H10434" s="12"/>
      <c r="I10434" s="12"/>
      <c r="J10434" s="12"/>
      <c r="K10434" s="12"/>
      <c r="L10434" s="12"/>
      <c r="M10434" s="11"/>
      <c r="N10434" s="11"/>
      <c r="O10434" s="11"/>
      <c r="P10434" s="11"/>
    </row>
    <row r="10435" spans="8:16" x14ac:dyDescent="0.25">
      <c r="H10435" s="12"/>
      <c r="I10435" s="12"/>
      <c r="J10435" s="12"/>
      <c r="K10435" s="12"/>
      <c r="L10435" s="12"/>
      <c r="M10435" s="11"/>
      <c r="N10435" s="11"/>
      <c r="O10435" s="11"/>
      <c r="P10435" s="11"/>
    </row>
    <row r="10436" spans="8:16" x14ac:dyDescent="0.25">
      <c r="H10436" s="12"/>
      <c r="I10436" s="12"/>
      <c r="J10436" s="12"/>
      <c r="K10436" s="12"/>
      <c r="L10436" s="12"/>
      <c r="M10436" s="11"/>
      <c r="N10436" s="11"/>
      <c r="O10436" s="11"/>
      <c r="P10436" s="11"/>
    </row>
    <row r="10437" spans="8:16" x14ac:dyDescent="0.25">
      <c r="H10437" s="12"/>
      <c r="I10437" s="12"/>
      <c r="J10437" s="12"/>
      <c r="K10437" s="12"/>
      <c r="L10437" s="12"/>
      <c r="M10437" s="11"/>
      <c r="N10437" s="11"/>
      <c r="O10437" s="11"/>
      <c r="P10437" s="11"/>
    </row>
    <row r="10438" spans="8:16" x14ac:dyDescent="0.25">
      <c r="H10438" s="12"/>
      <c r="I10438" s="12"/>
      <c r="J10438" s="12"/>
      <c r="K10438" s="12"/>
      <c r="L10438" s="12"/>
      <c r="M10438" s="11"/>
      <c r="N10438" s="11"/>
      <c r="O10438" s="11"/>
      <c r="P10438" s="11"/>
    </row>
    <row r="10439" spans="8:16" x14ac:dyDescent="0.25">
      <c r="H10439" s="12"/>
      <c r="I10439" s="12"/>
      <c r="J10439" s="12"/>
      <c r="K10439" s="12"/>
      <c r="L10439" s="12"/>
      <c r="M10439" s="11"/>
      <c r="N10439" s="11"/>
      <c r="O10439" s="11"/>
      <c r="P10439" s="11"/>
    </row>
    <row r="10440" spans="8:16" x14ac:dyDescent="0.25">
      <c r="H10440" s="12"/>
      <c r="I10440" s="12"/>
      <c r="J10440" s="12"/>
      <c r="K10440" s="12"/>
      <c r="L10440" s="12"/>
      <c r="M10440" s="11"/>
      <c r="N10440" s="11"/>
      <c r="O10440" s="11"/>
      <c r="P10440" s="11"/>
    </row>
    <row r="10441" spans="8:16" x14ac:dyDescent="0.25">
      <c r="H10441" s="12"/>
      <c r="I10441" s="12"/>
      <c r="J10441" s="12"/>
      <c r="K10441" s="12"/>
      <c r="L10441" s="12"/>
      <c r="M10441" s="11"/>
      <c r="N10441" s="11"/>
      <c r="O10441" s="11"/>
      <c r="P10441" s="11"/>
    </row>
    <row r="10442" spans="8:16" x14ac:dyDescent="0.25">
      <c r="H10442" s="12"/>
      <c r="I10442" s="12"/>
      <c r="J10442" s="12"/>
      <c r="K10442" s="12"/>
      <c r="L10442" s="12"/>
      <c r="M10442" s="11"/>
      <c r="N10442" s="11"/>
      <c r="O10442" s="11"/>
      <c r="P10442" s="11"/>
    </row>
    <row r="10443" spans="8:16" x14ac:dyDescent="0.25">
      <c r="H10443" s="12"/>
      <c r="I10443" s="12"/>
      <c r="J10443" s="12"/>
      <c r="K10443" s="12"/>
      <c r="L10443" s="12"/>
      <c r="M10443" s="11"/>
      <c r="N10443" s="11"/>
      <c r="O10443" s="11"/>
      <c r="P10443" s="11"/>
    </row>
    <row r="10444" spans="8:16" x14ac:dyDescent="0.25">
      <c r="H10444" s="12"/>
      <c r="I10444" s="12"/>
      <c r="J10444" s="12"/>
      <c r="K10444" s="12"/>
      <c r="L10444" s="12"/>
      <c r="M10444" s="11"/>
      <c r="N10444" s="11"/>
      <c r="O10444" s="11"/>
      <c r="P10444" s="11"/>
    </row>
    <row r="10445" spans="8:16" x14ac:dyDescent="0.25">
      <c r="H10445" s="12"/>
      <c r="I10445" s="12"/>
      <c r="J10445" s="12"/>
      <c r="K10445" s="12"/>
      <c r="L10445" s="12"/>
      <c r="M10445" s="11"/>
      <c r="N10445" s="11"/>
      <c r="O10445" s="11"/>
      <c r="P10445" s="11"/>
    </row>
    <row r="10446" spans="8:16" x14ac:dyDescent="0.25">
      <c r="H10446" s="12"/>
      <c r="I10446" s="12"/>
      <c r="J10446" s="12"/>
      <c r="K10446" s="12"/>
      <c r="L10446" s="12"/>
      <c r="M10446" s="11"/>
      <c r="N10446" s="11"/>
      <c r="O10446" s="11"/>
      <c r="P10446" s="11"/>
    </row>
    <row r="10447" spans="8:16" x14ac:dyDescent="0.25">
      <c r="H10447" s="12"/>
      <c r="I10447" s="12"/>
      <c r="J10447" s="12"/>
      <c r="K10447" s="12"/>
      <c r="L10447" s="12"/>
      <c r="M10447" s="11"/>
      <c r="N10447" s="11"/>
      <c r="O10447" s="11"/>
      <c r="P10447" s="11"/>
    </row>
    <row r="10448" spans="8:16" x14ac:dyDescent="0.25">
      <c r="H10448" s="12"/>
      <c r="I10448" s="12"/>
      <c r="J10448" s="12"/>
      <c r="K10448" s="12"/>
      <c r="L10448" s="12"/>
      <c r="M10448" s="11"/>
      <c r="N10448" s="11"/>
      <c r="O10448" s="11"/>
      <c r="P10448" s="11"/>
    </row>
    <row r="10449" spans="8:16" x14ac:dyDescent="0.25">
      <c r="H10449" s="12"/>
      <c r="I10449" s="12"/>
      <c r="J10449" s="12"/>
      <c r="K10449" s="12"/>
      <c r="L10449" s="12"/>
      <c r="M10449" s="11"/>
      <c r="N10449" s="11"/>
      <c r="O10449" s="11"/>
      <c r="P10449" s="11"/>
    </row>
    <row r="10450" spans="8:16" x14ac:dyDescent="0.25">
      <c r="H10450" s="12"/>
      <c r="I10450" s="12"/>
      <c r="J10450" s="12"/>
      <c r="K10450" s="12"/>
      <c r="L10450" s="12"/>
      <c r="M10450" s="11"/>
      <c r="N10450" s="11"/>
      <c r="O10450" s="11"/>
      <c r="P10450" s="11"/>
    </row>
    <row r="10451" spans="8:16" x14ac:dyDescent="0.25">
      <c r="H10451" s="12"/>
      <c r="I10451" s="12"/>
      <c r="J10451" s="12"/>
      <c r="K10451" s="12"/>
      <c r="L10451" s="12"/>
      <c r="M10451" s="11"/>
      <c r="N10451" s="11"/>
      <c r="O10451" s="11"/>
      <c r="P10451" s="11"/>
    </row>
    <row r="10452" spans="8:16" x14ac:dyDescent="0.25">
      <c r="H10452" s="12"/>
      <c r="I10452" s="12"/>
      <c r="J10452" s="12"/>
      <c r="K10452" s="12"/>
      <c r="L10452" s="12"/>
      <c r="M10452" s="11"/>
      <c r="N10452" s="11"/>
      <c r="O10452" s="11"/>
      <c r="P10452" s="11"/>
    </row>
    <row r="10453" spans="8:16" x14ac:dyDescent="0.25">
      <c r="H10453" s="12"/>
      <c r="I10453" s="12"/>
      <c r="J10453" s="12"/>
      <c r="K10453" s="12"/>
      <c r="L10453" s="12"/>
      <c r="M10453" s="11"/>
      <c r="N10453" s="11"/>
      <c r="O10453" s="11"/>
      <c r="P10453" s="11"/>
    </row>
    <row r="10454" spans="8:16" x14ac:dyDescent="0.25">
      <c r="H10454" s="12"/>
      <c r="I10454" s="12"/>
      <c r="J10454" s="12"/>
      <c r="K10454" s="12"/>
      <c r="L10454" s="12"/>
      <c r="M10454" s="11"/>
      <c r="N10454" s="11"/>
      <c r="O10454" s="11"/>
      <c r="P10454" s="11"/>
    </row>
    <row r="10455" spans="8:16" x14ac:dyDescent="0.25">
      <c r="H10455" s="12"/>
      <c r="I10455" s="12"/>
      <c r="J10455" s="12"/>
      <c r="K10455" s="12"/>
      <c r="L10455" s="12"/>
      <c r="M10455" s="11"/>
      <c r="N10455" s="11"/>
      <c r="O10455" s="11"/>
      <c r="P10455" s="11"/>
    </row>
    <row r="10456" spans="8:16" x14ac:dyDescent="0.25">
      <c r="H10456" s="12"/>
      <c r="I10456" s="12"/>
      <c r="J10456" s="12"/>
      <c r="K10456" s="12"/>
      <c r="L10456" s="12"/>
      <c r="M10456" s="11"/>
      <c r="N10456" s="11"/>
      <c r="O10456" s="11"/>
      <c r="P10456" s="11"/>
    </row>
    <row r="10457" spans="8:16" x14ac:dyDescent="0.25">
      <c r="H10457" s="12"/>
      <c r="I10457" s="12"/>
      <c r="J10457" s="12"/>
      <c r="K10457" s="12"/>
      <c r="L10457" s="12"/>
      <c r="M10457" s="11"/>
      <c r="N10457" s="11"/>
      <c r="O10457" s="11"/>
      <c r="P10457" s="11"/>
    </row>
    <row r="10458" spans="8:16" x14ac:dyDescent="0.25">
      <c r="H10458" s="12"/>
      <c r="I10458" s="12"/>
      <c r="J10458" s="12"/>
      <c r="K10458" s="12"/>
      <c r="L10458" s="12"/>
      <c r="M10458" s="11"/>
      <c r="N10458" s="11"/>
      <c r="O10458" s="11"/>
      <c r="P10458" s="11"/>
    </row>
    <row r="10459" spans="8:16" x14ac:dyDescent="0.25">
      <c r="H10459" s="12"/>
      <c r="I10459" s="12"/>
      <c r="J10459" s="12"/>
      <c r="K10459" s="12"/>
      <c r="L10459" s="12"/>
      <c r="M10459" s="11"/>
      <c r="N10459" s="11"/>
      <c r="O10459" s="11"/>
      <c r="P10459" s="11"/>
    </row>
    <row r="10460" spans="8:16" x14ac:dyDescent="0.25">
      <c r="H10460" s="12"/>
      <c r="I10460" s="12"/>
      <c r="J10460" s="12"/>
      <c r="K10460" s="12"/>
      <c r="L10460" s="12"/>
      <c r="M10460" s="11"/>
      <c r="N10460" s="11"/>
      <c r="O10460" s="11"/>
      <c r="P10460" s="11"/>
    </row>
    <row r="10461" spans="8:16" x14ac:dyDescent="0.25">
      <c r="H10461" s="12"/>
      <c r="I10461" s="12"/>
      <c r="J10461" s="12"/>
      <c r="K10461" s="12"/>
      <c r="L10461" s="12"/>
      <c r="M10461" s="11"/>
      <c r="N10461" s="11"/>
      <c r="O10461" s="11"/>
      <c r="P10461" s="11"/>
    </row>
    <row r="10462" spans="8:16" x14ac:dyDescent="0.25">
      <c r="H10462" s="12"/>
      <c r="I10462" s="12"/>
      <c r="J10462" s="12"/>
      <c r="K10462" s="12"/>
      <c r="L10462" s="12"/>
      <c r="M10462" s="11"/>
      <c r="N10462" s="11"/>
      <c r="O10462" s="11"/>
      <c r="P10462" s="11"/>
    </row>
    <row r="10463" spans="8:16" x14ac:dyDescent="0.25">
      <c r="H10463" s="12"/>
      <c r="I10463" s="12"/>
      <c r="J10463" s="12"/>
      <c r="K10463" s="12"/>
      <c r="L10463" s="12"/>
      <c r="M10463" s="11"/>
      <c r="N10463" s="11"/>
      <c r="O10463" s="11"/>
      <c r="P10463" s="11"/>
    </row>
    <row r="10464" spans="8:16" x14ac:dyDescent="0.25">
      <c r="H10464" s="12"/>
      <c r="I10464" s="12"/>
      <c r="J10464" s="12"/>
      <c r="K10464" s="12"/>
      <c r="L10464" s="12"/>
      <c r="M10464" s="11"/>
      <c r="N10464" s="11"/>
      <c r="O10464" s="11"/>
      <c r="P10464" s="11"/>
    </row>
    <row r="10465" spans="8:16" x14ac:dyDescent="0.25">
      <c r="H10465" s="12"/>
      <c r="I10465" s="12"/>
      <c r="J10465" s="12"/>
      <c r="K10465" s="12"/>
      <c r="L10465" s="12"/>
      <c r="M10465" s="11"/>
      <c r="N10465" s="11"/>
      <c r="O10465" s="11"/>
      <c r="P10465" s="11"/>
    </row>
    <row r="10466" spans="8:16" x14ac:dyDescent="0.25">
      <c r="H10466" s="12"/>
      <c r="I10466" s="12"/>
      <c r="J10466" s="12"/>
      <c r="K10466" s="12"/>
      <c r="L10466" s="12"/>
      <c r="M10466" s="11"/>
      <c r="N10466" s="11"/>
      <c r="O10466" s="11"/>
      <c r="P10466" s="11"/>
    </row>
    <row r="10467" spans="8:16" x14ac:dyDescent="0.25">
      <c r="H10467" s="12"/>
      <c r="I10467" s="12"/>
      <c r="J10467" s="12"/>
      <c r="K10467" s="12"/>
      <c r="L10467" s="12"/>
      <c r="M10467" s="11"/>
      <c r="N10467" s="11"/>
      <c r="O10467" s="11"/>
      <c r="P10467" s="11"/>
    </row>
    <row r="10468" spans="8:16" x14ac:dyDescent="0.25">
      <c r="H10468" s="12"/>
      <c r="I10468" s="12"/>
      <c r="J10468" s="12"/>
      <c r="K10468" s="12"/>
      <c r="L10468" s="12"/>
      <c r="M10468" s="11"/>
      <c r="N10468" s="11"/>
      <c r="O10468" s="11"/>
      <c r="P10468" s="11"/>
    </row>
    <row r="10469" spans="8:16" x14ac:dyDescent="0.25">
      <c r="H10469" s="12"/>
      <c r="I10469" s="12"/>
      <c r="J10469" s="12"/>
      <c r="K10469" s="12"/>
      <c r="L10469" s="12"/>
      <c r="M10469" s="11"/>
      <c r="N10469" s="11"/>
      <c r="O10469" s="11"/>
      <c r="P10469" s="11"/>
    </row>
    <row r="10470" spans="8:16" x14ac:dyDescent="0.25">
      <c r="H10470" s="12"/>
      <c r="I10470" s="12"/>
      <c r="J10470" s="12"/>
      <c r="K10470" s="12"/>
      <c r="L10470" s="12"/>
      <c r="M10470" s="11"/>
      <c r="N10470" s="11"/>
      <c r="O10470" s="11"/>
      <c r="P10470" s="11"/>
    </row>
    <row r="10471" spans="8:16" x14ac:dyDescent="0.25">
      <c r="H10471" s="12"/>
      <c r="I10471" s="12"/>
      <c r="J10471" s="12"/>
      <c r="K10471" s="12"/>
      <c r="L10471" s="12"/>
      <c r="M10471" s="11"/>
      <c r="N10471" s="11"/>
      <c r="O10471" s="11"/>
      <c r="P10471" s="11"/>
    </row>
    <row r="10472" spans="8:16" x14ac:dyDescent="0.25">
      <c r="H10472" s="12"/>
      <c r="I10472" s="12"/>
      <c r="J10472" s="12"/>
      <c r="K10472" s="12"/>
      <c r="L10472" s="12"/>
      <c r="M10472" s="11"/>
      <c r="N10472" s="11"/>
      <c r="O10472" s="11"/>
      <c r="P10472" s="11"/>
    </row>
    <row r="10473" spans="8:16" x14ac:dyDescent="0.25">
      <c r="H10473" s="12"/>
      <c r="I10473" s="12"/>
      <c r="J10473" s="12"/>
      <c r="K10473" s="12"/>
      <c r="L10473" s="12"/>
      <c r="M10473" s="11"/>
      <c r="N10473" s="11"/>
      <c r="O10473" s="11"/>
      <c r="P10473" s="11"/>
    </row>
    <row r="10474" spans="8:16" x14ac:dyDescent="0.25">
      <c r="H10474" s="12"/>
      <c r="I10474" s="12"/>
      <c r="J10474" s="12"/>
      <c r="K10474" s="12"/>
      <c r="L10474" s="12"/>
      <c r="M10474" s="11"/>
      <c r="N10474" s="11"/>
      <c r="O10474" s="11"/>
      <c r="P10474" s="11"/>
    </row>
    <row r="10475" spans="8:16" x14ac:dyDescent="0.25">
      <c r="H10475" s="12"/>
      <c r="I10475" s="12"/>
      <c r="J10475" s="12"/>
      <c r="K10475" s="12"/>
      <c r="L10475" s="12"/>
      <c r="M10475" s="11"/>
      <c r="N10475" s="11"/>
      <c r="O10475" s="11"/>
      <c r="P10475" s="11"/>
    </row>
    <row r="10476" spans="8:16" x14ac:dyDescent="0.25">
      <c r="H10476" s="12"/>
      <c r="I10476" s="12"/>
      <c r="J10476" s="12"/>
      <c r="K10476" s="12"/>
      <c r="L10476" s="12"/>
      <c r="M10476" s="11"/>
      <c r="N10476" s="11"/>
      <c r="O10476" s="11"/>
      <c r="P10476" s="11"/>
    </row>
    <row r="10477" spans="8:16" x14ac:dyDescent="0.25">
      <c r="H10477" s="12"/>
      <c r="I10477" s="12"/>
      <c r="J10477" s="12"/>
      <c r="K10477" s="12"/>
      <c r="L10477" s="12"/>
      <c r="M10477" s="11"/>
      <c r="N10477" s="11"/>
      <c r="O10477" s="11"/>
      <c r="P10477" s="11"/>
    </row>
    <row r="10478" spans="8:16" x14ac:dyDescent="0.25">
      <c r="H10478" s="12"/>
      <c r="I10478" s="12"/>
      <c r="J10478" s="12"/>
      <c r="K10478" s="12"/>
      <c r="L10478" s="12"/>
      <c r="M10478" s="11"/>
      <c r="N10478" s="11"/>
      <c r="O10478" s="11"/>
      <c r="P10478" s="11"/>
    </row>
    <row r="10479" spans="8:16" x14ac:dyDescent="0.25">
      <c r="H10479" s="12"/>
      <c r="I10479" s="12"/>
      <c r="J10479" s="12"/>
      <c r="K10479" s="12"/>
      <c r="L10479" s="12"/>
      <c r="M10479" s="11"/>
      <c r="N10479" s="11"/>
      <c r="O10479" s="11"/>
      <c r="P10479" s="11"/>
    </row>
    <row r="10480" spans="8:16" x14ac:dyDescent="0.25">
      <c r="H10480" s="12"/>
      <c r="I10480" s="12"/>
      <c r="J10480" s="12"/>
      <c r="K10480" s="12"/>
      <c r="L10480" s="12"/>
      <c r="M10480" s="11"/>
      <c r="N10480" s="11"/>
      <c r="O10480" s="11"/>
      <c r="P10480" s="11"/>
    </row>
    <row r="10481" spans="8:16" x14ac:dyDescent="0.25">
      <c r="H10481" s="12"/>
      <c r="I10481" s="12"/>
      <c r="J10481" s="12"/>
      <c r="K10481" s="12"/>
      <c r="L10481" s="12"/>
      <c r="M10481" s="11"/>
      <c r="N10481" s="11"/>
      <c r="O10481" s="11"/>
      <c r="P10481" s="11"/>
    </row>
    <row r="10482" spans="8:16" x14ac:dyDescent="0.25">
      <c r="H10482" s="12"/>
      <c r="I10482" s="12"/>
      <c r="J10482" s="12"/>
      <c r="K10482" s="12"/>
      <c r="L10482" s="12"/>
      <c r="M10482" s="11"/>
      <c r="N10482" s="11"/>
      <c r="O10482" s="11"/>
      <c r="P10482" s="11"/>
    </row>
    <row r="10483" spans="8:16" x14ac:dyDescent="0.25">
      <c r="H10483" s="12"/>
      <c r="I10483" s="12"/>
      <c r="J10483" s="12"/>
      <c r="K10483" s="12"/>
      <c r="L10483" s="12"/>
      <c r="M10483" s="11"/>
      <c r="N10483" s="11"/>
      <c r="O10483" s="11"/>
      <c r="P10483" s="11"/>
    </row>
    <row r="10484" spans="8:16" x14ac:dyDescent="0.25">
      <c r="H10484" s="12"/>
      <c r="I10484" s="12"/>
      <c r="J10484" s="12"/>
      <c r="K10484" s="12"/>
      <c r="L10484" s="12"/>
      <c r="M10484" s="11"/>
      <c r="N10484" s="11"/>
      <c r="O10484" s="11"/>
      <c r="P10484" s="11"/>
    </row>
    <row r="10485" spans="8:16" x14ac:dyDescent="0.25">
      <c r="H10485" s="12"/>
      <c r="I10485" s="12"/>
      <c r="J10485" s="12"/>
      <c r="K10485" s="12"/>
      <c r="L10485" s="12"/>
      <c r="M10485" s="11"/>
      <c r="N10485" s="11"/>
      <c r="O10485" s="11"/>
      <c r="P10485" s="11"/>
    </row>
    <row r="10486" spans="8:16" x14ac:dyDescent="0.25">
      <c r="H10486" s="12"/>
      <c r="I10486" s="12"/>
      <c r="J10486" s="12"/>
      <c r="K10486" s="12"/>
      <c r="L10486" s="12"/>
      <c r="M10486" s="11"/>
      <c r="N10486" s="11"/>
      <c r="O10486" s="11"/>
      <c r="P10486" s="11"/>
    </row>
    <row r="10487" spans="8:16" x14ac:dyDescent="0.25">
      <c r="H10487" s="12"/>
      <c r="I10487" s="12"/>
      <c r="J10487" s="12"/>
      <c r="K10487" s="12"/>
      <c r="L10487" s="12"/>
      <c r="M10487" s="11"/>
      <c r="N10487" s="11"/>
      <c r="O10487" s="11"/>
      <c r="P10487" s="11"/>
    </row>
    <row r="10488" spans="8:16" x14ac:dyDescent="0.25">
      <c r="H10488" s="12"/>
      <c r="I10488" s="12"/>
      <c r="J10488" s="12"/>
      <c r="K10488" s="12"/>
      <c r="L10488" s="12"/>
      <c r="M10488" s="11"/>
      <c r="N10488" s="11"/>
      <c r="O10488" s="11"/>
      <c r="P10488" s="11"/>
    </row>
    <row r="10489" spans="8:16" x14ac:dyDescent="0.25">
      <c r="H10489" s="12"/>
      <c r="I10489" s="12"/>
      <c r="J10489" s="12"/>
      <c r="K10489" s="12"/>
      <c r="L10489" s="12"/>
      <c r="M10489" s="11"/>
      <c r="N10489" s="11"/>
      <c r="O10489" s="11"/>
      <c r="P10489" s="11"/>
    </row>
    <row r="10490" spans="8:16" x14ac:dyDescent="0.25">
      <c r="H10490" s="12"/>
      <c r="I10490" s="12"/>
      <c r="J10490" s="12"/>
      <c r="K10490" s="12"/>
      <c r="L10490" s="12"/>
      <c r="M10490" s="11"/>
      <c r="N10490" s="11"/>
      <c r="O10490" s="11"/>
      <c r="P10490" s="11"/>
    </row>
    <row r="10491" spans="8:16" x14ac:dyDescent="0.25">
      <c r="H10491" s="12"/>
      <c r="I10491" s="12"/>
      <c r="J10491" s="12"/>
      <c r="K10491" s="12"/>
      <c r="L10491" s="12"/>
      <c r="M10491" s="11"/>
      <c r="N10491" s="11"/>
      <c r="O10491" s="11"/>
      <c r="P10491" s="11"/>
    </row>
    <row r="10492" spans="8:16" x14ac:dyDescent="0.25">
      <c r="H10492" s="12"/>
      <c r="I10492" s="12"/>
      <c r="J10492" s="12"/>
      <c r="K10492" s="12"/>
      <c r="L10492" s="12"/>
      <c r="M10492" s="11"/>
      <c r="N10492" s="11"/>
      <c r="O10492" s="11"/>
      <c r="P10492" s="11"/>
    </row>
    <row r="10493" spans="8:16" x14ac:dyDescent="0.25">
      <c r="H10493" s="12"/>
      <c r="I10493" s="12"/>
      <c r="J10493" s="12"/>
      <c r="K10493" s="12"/>
      <c r="L10493" s="12"/>
      <c r="M10493" s="11"/>
      <c r="N10493" s="11"/>
      <c r="O10493" s="11"/>
      <c r="P10493" s="11"/>
    </row>
    <row r="10494" spans="8:16" x14ac:dyDescent="0.25">
      <c r="H10494" s="12"/>
      <c r="I10494" s="12"/>
      <c r="J10494" s="12"/>
      <c r="K10494" s="12"/>
      <c r="L10494" s="12"/>
      <c r="M10494" s="11"/>
      <c r="N10494" s="11"/>
      <c r="O10494" s="11"/>
      <c r="P10494" s="11"/>
    </row>
    <row r="10495" spans="8:16" x14ac:dyDescent="0.25">
      <c r="H10495" s="12"/>
      <c r="I10495" s="12"/>
      <c r="J10495" s="12"/>
      <c r="K10495" s="12"/>
      <c r="L10495" s="12"/>
      <c r="M10495" s="11"/>
      <c r="N10495" s="11"/>
      <c r="O10495" s="11"/>
      <c r="P10495" s="11"/>
    </row>
    <row r="10496" spans="8:16" x14ac:dyDescent="0.25">
      <c r="H10496" s="12"/>
      <c r="I10496" s="12"/>
      <c r="J10496" s="12"/>
      <c r="K10496" s="12"/>
      <c r="L10496" s="12"/>
      <c r="M10496" s="11"/>
      <c r="N10496" s="11"/>
      <c r="O10496" s="11"/>
      <c r="P10496" s="11"/>
    </row>
    <row r="10497" spans="8:16" x14ac:dyDescent="0.25">
      <c r="H10497" s="12"/>
      <c r="I10497" s="12"/>
      <c r="J10497" s="12"/>
      <c r="K10497" s="12"/>
      <c r="L10497" s="12"/>
      <c r="M10497" s="11"/>
      <c r="N10497" s="11"/>
      <c r="O10497" s="11"/>
      <c r="P10497" s="11"/>
    </row>
    <row r="10498" spans="8:16" x14ac:dyDescent="0.25">
      <c r="H10498" s="12"/>
      <c r="I10498" s="12"/>
      <c r="J10498" s="12"/>
      <c r="K10498" s="12"/>
      <c r="L10498" s="12"/>
      <c r="M10498" s="11"/>
      <c r="N10498" s="11"/>
      <c r="O10498" s="11"/>
      <c r="P10498" s="11"/>
    </row>
    <row r="10499" spans="8:16" x14ac:dyDescent="0.25">
      <c r="H10499" s="12"/>
      <c r="I10499" s="12"/>
      <c r="J10499" s="12"/>
      <c r="K10499" s="12"/>
      <c r="L10499" s="12"/>
      <c r="M10499" s="11"/>
      <c r="N10499" s="11"/>
      <c r="O10499" s="11"/>
      <c r="P10499" s="11"/>
    </row>
    <row r="10500" spans="8:16" x14ac:dyDescent="0.25">
      <c r="H10500" s="12"/>
      <c r="I10500" s="12"/>
      <c r="J10500" s="12"/>
      <c r="K10500" s="12"/>
      <c r="L10500" s="12"/>
      <c r="M10500" s="11"/>
      <c r="N10500" s="11"/>
      <c r="O10500" s="11"/>
      <c r="P10500" s="11"/>
    </row>
    <row r="10501" spans="8:16" x14ac:dyDescent="0.25">
      <c r="H10501" s="12"/>
      <c r="I10501" s="12"/>
      <c r="J10501" s="12"/>
      <c r="K10501" s="12"/>
      <c r="L10501" s="12"/>
      <c r="M10501" s="11"/>
      <c r="N10501" s="11"/>
      <c r="O10501" s="11"/>
      <c r="P10501" s="11"/>
    </row>
    <row r="10502" spans="8:16" x14ac:dyDescent="0.25">
      <c r="H10502" s="12"/>
      <c r="I10502" s="12"/>
      <c r="J10502" s="12"/>
      <c r="K10502" s="12"/>
      <c r="L10502" s="12"/>
      <c r="M10502" s="11"/>
      <c r="N10502" s="11"/>
      <c r="O10502" s="11"/>
      <c r="P10502" s="11"/>
    </row>
    <row r="10503" spans="8:16" x14ac:dyDescent="0.25">
      <c r="H10503" s="12"/>
      <c r="I10503" s="12"/>
      <c r="J10503" s="12"/>
      <c r="K10503" s="12"/>
      <c r="L10503" s="12"/>
      <c r="M10503" s="11"/>
      <c r="N10503" s="11"/>
      <c r="O10503" s="11"/>
      <c r="P10503" s="11"/>
    </row>
    <row r="10504" spans="8:16" x14ac:dyDescent="0.25">
      <c r="H10504" s="12"/>
      <c r="I10504" s="12"/>
      <c r="J10504" s="12"/>
      <c r="K10504" s="12"/>
      <c r="L10504" s="12"/>
      <c r="M10504" s="11"/>
      <c r="N10504" s="11"/>
      <c r="O10504" s="11"/>
      <c r="P10504" s="11"/>
    </row>
    <row r="10505" spans="8:16" x14ac:dyDescent="0.25">
      <c r="H10505" s="12"/>
      <c r="I10505" s="12"/>
      <c r="J10505" s="12"/>
      <c r="K10505" s="12"/>
      <c r="L10505" s="12"/>
      <c r="M10505" s="11"/>
      <c r="N10505" s="11"/>
      <c r="O10505" s="11"/>
      <c r="P10505" s="11"/>
    </row>
    <row r="10506" spans="8:16" x14ac:dyDescent="0.25">
      <c r="H10506" s="12"/>
      <c r="I10506" s="12"/>
      <c r="J10506" s="12"/>
      <c r="K10506" s="12"/>
      <c r="L10506" s="12"/>
      <c r="M10506" s="11"/>
      <c r="N10506" s="11"/>
      <c r="O10506" s="11"/>
      <c r="P10506" s="11"/>
    </row>
    <row r="10507" spans="8:16" x14ac:dyDescent="0.25">
      <c r="H10507" s="12"/>
      <c r="I10507" s="12"/>
      <c r="J10507" s="12"/>
      <c r="K10507" s="12"/>
      <c r="L10507" s="12"/>
      <c r="M10507" s="11"/>
      <c r="N10507" s="11"/>
      <c r="O10507" s="11"/>
      <c r="P10507" s="11"/>
    </row>
    <row r="10508" spans="8:16" x14ac:dyDescent="0.25">
      <c r="H10508" s="12"/>
      <c r="I10508" s="12"/>
      <c r="J10508" s="12"/>
      <c r="K10508" s="12"/>
      <c r="L10508" s="12"/>
      <c r="M10508" s="11"/>
      <c r="N10508" s="11"/>
      <c r="O10508" s="11"/>
      <c r="P10508" s="11"/>
    </row>
    <row r="10509" spans="8:16" x14ac:dyDescent="0.25">
      <c r="H10509" s="12"/>
      <c r="I10509" s="12"/>
      <c r="J10509" s="12"/>
      <c r="K10509" s="12"/>
      <c r="L10509" s="12"/>
      <c r="M10509" s="11"/>
      <c r="N10509" s="11"/>
      <c r="O10509" s="11"/>
      <c r="P10509" s="11"/>
    </row>
    <row r="10510" spans="8:16" x14ac:dyDescent="0.25">
      <c r="H10510" s="12"/>
      <c r="I10510" s="12"/>
      <c r="J10510" s="12"/>
      <c r="K10510" s="12"/>
      <c r="L10510" s="12"/>
      <c r="M10510" s="11"/>
      <c r="N10510" s="11"/>
      <c r="O10510" s="11"/>
      <c r="P10510" s="11"/>
    </row>
    <row r="10511" spans="8:16" x14ac:dyDescent="0.25">
      <c r="H10511" s="12"/>
      <c r="I10511" s="12"/>
      <c r="J10511" s="12"/>
      <c r="K10511" s="12"/>
      <c r="L10511" s="12"/>
      <c r="M10511" s="11"/>
      <c r="N10511" s="11"/>
      <c r="O10511" s="11"/>
      <c r="P10511" s="11"/>
    </row>
    <row r="10512" spans="8:16" x14ac:dyDescent="0.25">
      <c r="H10512" s="12"/>
      <c r="I10512" s="12"/>
      <c r="J10512" s="12"/>
      <c r="K10512" s="12"/>
      <c r="L10512" s="12"/>
      <c r="M10512" s="11"/>
      <c r="N10512" s="11"/>
      <c r="O10512" s="11"/>
      <c r="P10512" s="11"/>
    </row>
    <row r="10513" spans="8:16" x14ac:dyDescent="0.25">
      <c r="H10513" s="12"/>
      <c r="I10513" s="12"/>
      <c r="J10513" s="12"/>
      <c r="K10513" s="12"/>
      <c r="L10513" s="12"/>
      <c r="M10513" s="11"/>
      <c r="N10513" s="11"/>
      <c r="O10513" s="11"/>
      <c r="P10513" s="11"/>
    </row>
    <row r="10514" spans="8:16" x14ac:dyDescent="0.25">
      <c r="H10514" s="12"/>
      <c r="I10514" s="12"/>
      <c r="J10514" s="12"/>
      <c r="K10514" s="12"/>
      <c r="L10514" s="12"/>
      <c r="M10514" s="11"/>
      <c r="N10514" s="11"/>
      <c r="O10514" s="11"/>
      <c r="P10514" s="11"/>
    </row>
    <row r="10515" spans="8:16" x14ac:dyDescent="0.25">
      <c r="H10515" s="12"/>
      <c r="I10515" s="12"/>
      <c r="J10515" s="12"/>
      <c r="K10515" s="12"/>
      <c r="L10515" s="12"/>
      <c r="M10515" s="11"/>
      <c r="N10515" s="11"/>
      <c r="O10515" s="11"/>
      <c r="P10515" s="11"/>
    </row>
    <row r="10516" spans="8:16" x14ac:dyDescent="0.25">
      <c r="H10516" s="12"/>
      <c r="I10516" s="12"/>
      <c r="J10516" s="12"/>
      <c r="K10516" s="12"/>
      <c r="L10516" s="12"/>
      <c r="M10516" s="11"/>
      <c r="N10516" s="11"/>
      <c r="O10516" s="11"/>
      <c r="P10516" s="11"/>
    </row>
    <row r="10517" spans="8:16" x14ac:dyDescent="0.25">
      <c r="H10517" s="12"/>
      <c r="I10517" s="12"/>
      <c r="J10517" s="12"/>
      <c r="K10517" s="12"/>
      <c r="L10517" s="12"/>
      <c r="M10517" s="11"/>
      <c r="N10517" s="11"/>
      <c r="O10517" s="11"/>
      <c r="P10517" s="11"/>
    </row>
    <row r="10518" spans="8:16" x14ac:dyDescent="0.25">
      <c r="H10518" s="12"/>
      <c r="I10518" s="12"/>
      <c r="J10518" s="12"/>
      <c r="K10518" s="12"/>
      <c r="L10518" s="12"/>
      <c r="M10518" s="11"/>
      <c r="N10518" s="11"/>
      <c r="O10518" s="11"/>
      <c r="P10518" s="11"/>
    </row>
    <row r="10519" spans="8:16" x14ac:dyDescent="0.25">
      <c r="H10519" s="12"/>
      <c r="I10519" s="12"/>
      <c r="J10519" s="12"/>
      <c r="K10519" s="12"/>
      <c r="L10519" s="12"/>
      <c r="M10519" s="11"/>
      <c r="N10519" s="11"/>
      <c r="O10519" s="11"/>
      <c r="P10519" s="11"/>
    </row>
    <row r="10520" spans="8:16" x14ac:dyDescent="0.25">
      <c r="H10520" s="12"/>
      <c r="I10520" s="12"/>
      <c r="J10520" s="12"/>
      <c r="K10520" s="12"/>
      <c r="L10520" s="12"/>
      <c r="M10520" s="11"/>
      <c r="N10520" s="11"/>
      <c r="O10520" s="11"/>
      <c r="P10520" s="11"/>
    </row>
    <row r="10521" spans="8:16" x14ac:dyDescent="0.25">
      <c r="H10521" s="12"/>
      <c r="I10521" s="12"/>
      <c r="J10521" s="12"/>
      <c r="K10521" s="12"/>
      <c r="L10521" s="12"/>
      <c r="M10521" s="11"/>
      <c r="N10521" s="11"/>
      <c r="O10521" s="11"/>
      <c r="P10521" s="11"/>
    </row>
    <row r="10522" spans="8:16" x14ac:dyDescent="0.25">
      <c r="H10522" s="12"/>
      <c r="I10522" s="12"/>
      <c r="J10522" s="12"/>
      <c r="K10522" s="12"/>
      <c r="L10522" s="12"/>
      <c r="M10522" s="11"/>
      <c r="N10522" s="11"/>
      <c r="O10522" s="11"/>
      <c r="P10522" s="11"/>
    </row>
    <row r="10523" spans="8:16" x14ac:dyDescent="0.25">
      <c r="H10523" s="12"/>
      <c r="I10523" s="12"/>
      <c r="J10523" s="12"/>
      <c r="K10523" s="12"/>
      <c r="L10523" s="12"/>
      <c r="M10523" s="11"/>
      <c r="N10523" s="11"/>
      <c r="O10523" s="11"/>
      <c r="P10523" s="11"/>
    </row>
    <row r="10524" spans="8:16" x14ac:dyDescent="0.25">
      <c r="H10524" s="12"/>
      <c r="I10524" s="12"/>
      <c r="J10524" s="12"/>
      <c r="K10524" s="12"/>
      <c r="L10524" s="12"/>
      <c r="M10524" s="11"/>
      <c r="N10524" s="11"/>
      <c r="O10524" s="11"/>
      <c r="P10524" s="11"/>
    </row>
    <row r="10525" spans="8:16" x14ac:dyDescent="0.25">
      <c r="H10525" s="12"/>
      <c r="I10525" s="12"/>
      <c r="J10525" s="12"/>
      <c r="K10525" s="12"/>
      <c r="L10525" s="12"/>
      <c r="M10525" s="11"/>
      <c r="N10525" s="11"/>
      <c r="O10525" s="11"/>
      <c r="P10525" s="11"/>
    </row>
    <row r="10526" spans="8:16" x14ac:dyDescent="0.25">
      <c r="H10526" s="12"/>
      <c r="I10526" s="12"/>
      <c r="J10526" s="12"/>
      <c r="K10526" s="12"/>
      <c r="L10526" s="12"/>
      <c r="M10526" s="11"/>
      <c r="N10526" s="11"/>
      <c r="O10526" s="11"/>
      <c r="P10526" s="11"/>
    </row>
    <row r="10527" spans="8:16" x14ac:dyDescent="0.25">
      <c r="H10527" s="12"/>
      <c r="I10527" s="12"/>
      <c r="J10527" s="12"/>
      <c r="K10527" s="12"/>
      <c r="L10527" s="12"/>
      <c r="M10527" s="11"/>
      <c r="N10527" s="11"/>
      <c r="O10527" s="11"/>
      <c r="P10527" s="11"/>
    </row>
    <row r="10528" spans="8:16" x14ac:dyDescent="0.25">
      <c r="H10528" s="12"/>
      <c r="I10528" s="12"/>
      <c r="J10528" s="12"/>
      <c r="K10528" s="12"/>
      <c r="L10528" s="12"/>
      <c r="M10528" s="11"/>
      <c r="N10528" s="11"/>
      <c r="O10528" s="11"/>
      <c r="P10528" s="11"/>
    </row>
    <row r="10529" spans="8:16" x14ac:dyDescent="0.25">
      <c r="H10529" s="12"/>
      <c r="I10529" s="12"/>
      <c r="J10529" s="12"/>
      <c r="K10529" s="12"/>
      <c r="L10529" s="12"/>
      <c r="M10529" s="11"/>
      <c r="N10529" s="11"/>
      <c r="O10529" s="11"/>
      <c r="P10529" s="11"/>
    </row>
    <row r="10530" spans="8:16" x14ac:dyDescent="0.25">
      <c r="H10530" s="12"/>
      <c r="I10530" s="12"/>
      <c r="J10530" s="12"/>
      <c r="K10530" s="12"/>
      <c r="L10530" s="12"/>
      <c r="M10530" s="11"/>
      <c r="N10530" s="11"/>
      <c r="O10530" s="11"/>
      <c r="P10530" s="11"/>
    </row>
    <row r="10531" spans="8:16" x14ac:dyDescent="0.25">
      <c r="H10531" s="12"/>
      <c r="I10531" s="12"/>
      <c r="J10531" s="12"/>
      <c r="K10531" s="12"/>
      <c r="L10531" s="12"/>
      <c r="M10531" s="11"/>
      <c r="N10531" s="11"/>
      <c r="O10531" s="11"/>
      <c r="P10531" s="11"/>
    </row>
    <row r="10532" spans="8:16" x14ac:dyDescent="0.25">
      <c r="H10532" s="12"/>
      <c r="I10532" s="12"/>
      <c r="J10532" s="12"/>
      <c r="K10532" s="12"/>
      <c r="L10532" s="12"/>
      <c r="M10532" s="11"/>
      <c r="N10532" s="11"/>
      <c r="O10532" s="11"/>
      <c r="P10532" s="11"/>
    </row>
    <row r="10533" spans="8:16" x14ac:dyDescent="0.25">
      <c r="H10533" s="12"/>
      <c r="I10533" s="12"/>
      <c r="J10533" s="12"/>
      <c r="K10533" s="12"/>
      <c r="L10533" s="12"/>
      <c r="M10533" s="11"/>
      <c r="N10533" s="11"/>
      <c r="O10533" s="11"/>
      <c r="P10533" s="11"/>
    </row>
    <row r="10534" spans="8:16" x14ac:dyDescent="0.25">
      <c r="H10534" s="12"/>
      <c r="I10534" s="12"/>
      <c r="J10534" s="12"/>
      <c r="K10534" s="12"/>
      <c r="L10534" s="12"/>
      <c r="M10534" s="11"/>
      <c r="N10534" s="11"/>
      <c r="O10534" s="11"/>
      <c r="P10534" s="11"/>
    </row>
    <row r="10535" spans="8:16" x14ac:dyDescent="0.25">
      <c r="H10535" s="12"/>
      <c r="I10535" s="12"/>
      <c r="J10535" s="12"/>
      <c r="K10535" s="12"/>
      <c r="L10535" s="12"/>
      <c r="M10535" s="11"/>
      <c r="N10535" s="11"/>
      <c r="O10535" s="11"/>
      <c r="P10535" s="11"/>
    </row>
    <row r="10536" spans="8:16" x14ac:dyDescent="0.25">
      <c r="H10536" s="12"/>
      <c r="I10536" s="12"/>
      <c r="J10536" s="12"/>
      <c r="K10536" s="12"/>
      <c r="L10536" s="12"/>
      <c r="M10536" s="11"/>
      <c r="N10536" s="11"/>
      <c r="O10536" s="11"/>
      <c r="P10536" s="11"/>
    </row>
    <row r="10537" spans="8:16" x14ac:dyDescent="0.25">
      <c r="H10537" s="12"/>
      <c r="I10537" s="12"/>
      <c r="J10537" s="12"/>
      <c r="K10537" s="12"/>
      <c r="L10537" s="12"/>
      <c r="M10537" s="11"/>
      <c r="N10537" s="11"/>
      <c r="O10537" s="11"/>
      <c r="P10537" s="11"/>
    </row>
    <row r="10538" spans="8:16" x14ac:dyDescent="0.25">
      <c r="H10538" s="12"/>
      <c r="I10538" s="12"/>
      <c r="J10538" s="12"/>
      <c r="K10538" s="12"/>
      <c r="L10538" s="12"/>
      <c r="M10538" s="11"/>
      <c r="N10538" s="11"/>
      <c r="O10538" s="11"/>
      <c r="P10538" s="11"/>
    </row>
    <row r="10539" spans="8:16" x14ac:dyDescent="0.25">
      <c r="H10539" s="12"/>
      <c r="I10539" s="12"/>
      <c r="J10539" s="12"/>
      <c r="K10539" s="12"/>
      <c r="L10539" s="12"/>
      <c r="M10539" s="11"/>
      <c r="N10539" s="11"/>
      <c r="O10539" s="11"/>
      <c r="P10539" s="11"/>
    </row>
    <row r="10540" spans="8:16" x14ac:dyDescent="0.25">
      <c r="H10540" s="12"/>
      <c r="I10540" s="12"/>
      <c r="J10540" s="12"/>
      <c r="K10540" s="12"/>
      <c r="L10540" s="12"/>
      <c r="M10540" s="11"/>
      <c r="N10540" s="11"/>
      <c r="O10540" s="11"/>
      <c r="P10540" s="11"/>
    </row>
    <row r="10541" spans="8:16" x14ac:dyDescent="0.25">
      <c r="H10541" s="12"/>
      <c r="I10541" s="12"/>
      <c r="J10541" s="12"/>
      <c r="K10541" s="12"/>
      <c r="L10541" s="12"/>
      <c r="M10541" s="11"/>
      <c r="N10541" s="11"/>
      <c r="O10541" s="11"/>
      <c r="P10541" s="11"/>
    </row>
    <row r="10542" spans="8:16" x14ac:dyDescent="0.25">
      <c r="H10542" s="12"/>
      <c r="I10542" s="12"/>
      <c r="J10542" s="12"/>
      <c r="K10542" s="12"/>
      <c r="L10542" s="12"/>
      <c r="M10542" s="11"/>
      <c r="N10542" s="11"/>
      <c r="O10542" s="11"/>
      <c r="P10542" s="11"/>
    </row>
    <row r="10543" spans="8:16" x14ac:dyDescent="0.25">
      <c r="H10543" s="12"/>
      <c r="I10543" s="12"/>
      <c r="J10543" s="12"/>
      <c r="K10543" s="12"/>
      <c r="L10543" s="12"/>
      <c r="M10543" s="11"/>
      <c r="N10543" s="11"/>
      <c r="O10543" s="11"/>
      <c r="P10543" s="11"/>
    </row>
    <row r="10544" spans="8:16" x14ac:dyDescent="0.25">
      <c r="H10544" s="12"/>
      <c r="I10544" s="12"/>
      <c r="J10544" s="12"/>
      <c r="K10544" s="12"/>
      <c r="L10544" s="12"/>
      <c r="M10544" s="11"/>
      <c r="N10544" s="11"/>
      <c r="O10544" s="11"/>
      <c r="P10544" s="11"/>
    </row>
    <row r="10545" spans="8:16" x14ac:dyDescent="0.25">
      <c r="H10545" s="12"/>
      <c r="I10545" s="12"/>
      <c r="J10545" s="12"/>
      <c r="K10545" s="12"/>
      <c r="L10545" s="12"/>
      <c r="M10545" s="11"/>
      <c r="N10545" s="11"/>
      <c r="O10545" s="11"/>
      <c r="P10545" s="11"/>
    </row>
    <row r="10546" spans="8:16" x14ac:dyDescent="0.25">
      <c r="H10546" s="12"/>
      <c r="I10546" s="12"/>
      <c r="J10546" s="12"/>
      <c r="K10546" s="12"/>
      <c r="L10546" s="12"/>
      <c r="M10546" s="11"/>
      <c r="N10546" s="11"/>
      <c r="O10546" s="11"/>
      <c r="P10546" s="11"/>
    </row>
    <row r="10547" spans="8:16" x14ac:dyDescent="0.25">
      <c r="H10547" s="12"/>
      <c r="I10547" s="12"/>
      <c r="J10547" s="12"/>
      <c r="K10547" s="12"/>
      <c r="L10547" s="12"/>
      <c r="M10547" s="11"/>
      <c r="N10547" s="11"/>
      <c r="O10547" s="11"/>
      <c r="P10547" s="11"/>
    </row>
    <row r="10548" spans="8:16" x14ac:dyDescent="0.25">
      <c r="H10548" s="12"/>
      <c r="I10548" s="12"/>
      <c r="J10548" s="12"/>
      <c r="K10548" s="12"/>
      <c r="L10548" s="12"/>
      <c r="M10548" s="11"/>
      <c r="N10548" s="11"/>
      <c r="O10548" s="11"/>
      <c r="P10548" s="11"/>
    </row>
    <row r="10549" spans="8:16" x14ac:dyDescent="0.25">
      <c r="H10549" s="12"/>
      <c r="I10549" s="12"/>
      <c r="J10549" s="12"/>
      <c r="K10549" s="12"/>
      <c r="L10549" s="12"/>
      <c r="M10549" s="11"/>
      <c r="N10549" s="11"/>
      <c r="O10549" s="11"/>
      <c r="P10549" s="11"/>
    </row>
    <row r="10550" spans="8:16" x14ac:dyDescent="0.25">
      <c r="H10550" s="12"/>
      <c r="I10550" s="12"/>
      <c r="J10550" s="12"/>
      <c r="K10550" s="12"/>
      <c r="L10550" s="12"/>
      <c r="M10550" s="11"/>
      <c r="N10550" s="11"/>
      <c r="O10550" s="11"/>
      <c r="P10550" s="11"/>
    </row>
    <row r="10551" spans="8:16" x14ac:dyDescent="0.25">
      <c r="H10551" s="12"/>
      <c r="I10551" s="12"/>
      <c r="J10551" s="12"/>
      <c r="K10551" s="12"/>
      <c r="L10551" s="12"/>
      <c r="M10551" s="11"/>
      <c r="N10551" s="11"/>
      <c r="O10551" s="11"/>
      <c r="P10551" s="11"/>
    </row>
    <row r="10552" spans="8:16" x14ac:dyDescent="0.25">
      <c r="H10552" s="12"/>
      <c r="I10552" s="12"/>
      <c r="J10552" s="12"/>
      <c r="K10552" s="12"/>
      <c r="L10552" s="12"/>
      <c r="M10552" s="11"/>
      <c r="N10552" s="11"/>
      <c r="O10552" s="11"/>
      <c r="P10552" s="11"/>
    </row>
    <row r="10553" spans="8:16" x14ac:dyDescent="0.25">
      <c r="H10553" s="12"/>
      <c r="I10553" s="12"/>
      <c r="J10553" s="12"/>
      <c r="K10553" s="12"/>
      <c r="L10553" s="12"/>
      <c r="M10553" s="11"/>
      <c r="N10553" s="11"/>
      <c r="O10553" s="11"/>
      <c r="P10553" s="11"/>
    </row>
    <row r="10554" spans="8:16" x14ac:dyDescent="0.25">
      <c r="H10554" s="12"/>
      <c r="I10554" s="12"/>
      <c r="J10554" s="12"/>
      <c r="K10554" s="12"/>
      <c r="L10554" s="12"/>
      <c r="M10554" s="11"/>
      <c r="N10554" s="11"/>
      <c r="O10554" s="11"/>
      <c r="P10554" s="11"/>
    </row>
    <row r="10555" spans="8:16" x14ac:dyDescent="0.25">
      <c r="H10555" s="12"/>
      <c r="I10555" s="12"/>
      <c r="J10555" s="12"/>
      <c r="K10555" s="12"/>
      <c r="L10555" s="12"/>
      <c r="M10555" s="11"/>
      <c r="N10555" s="11"/>
      <c r="O10555" s="11"/>
      <c r="P10555" s="11"/>
    </row>
    <row r="10556" spans="8:16" x14ac:dyDescent="0.25">
      <c r="H10556" s="12"/>
      <c r="I10556" s="12"/>
      <c r="J10556" s="12"/>
      <c r="K10556" s="12"/>
      <c r="L10556" s="12"/>
      <c r="M10556" s="11"/>
      <c r="N10556" s="11"/>
      <c r="O10556" s="11"/>
      <c r="P10556" s="11"/>
    </row>
    <row r="10557" spans="8:16" x14ac:dyDescent="0.25">
      <c r="H10557" s="12"/>
      <c r="I10557" s="12"/>
      <c r="J10557" s="12"/>
      <c r="K10557" s="12"/>
      <c r="L10557" s="12"/>
      <c r="M10557" s="11"/>
      <c r="N10557" s="11"/>
      <c r="O10557" s="11"/>
      <c r="P10557" s="11"/>
    </row>
    <row r="10558" spans="8:16" x14ac:dyDescent="0.25">
      <c r="H10558" s="12"/>
      <c r="I10558" s="12"/>
      <c r="J10558" s="12"/>
      <c r="K10558" s="12"/>
      <c r="L10558" s="12"/>
      <c r="M10558" s="11"/>
      <c r="N10558" s="11"/>
      <c r="O10558" s="11"/>
      <c r="P10558" s="11"/>
    </row>
    <row r="10559" spans="8:16" x14ac:dyDescent="0.25">
      <c r="H10559" s="12"/>
      <c r="I10559" s="12"/>
      <c r="J10559" s="12"/>
      <c r="K10559" s="12"/>
      <c r="L10559" s="12"/>
      <c r="M10559" s="11"/>
      <c r="N10559" s="11"/>
      <c r="O10559" s="11"/>
      <c r="P10559" s="11"/>
    </row>
    <row r="10560" spans="8:16" x14ac:dyDescent="0.25">
      <c r="H10560" s="12"/>
      <c r="I10560" s="12"/>
      <c r="J10560" s="12"/>
      <c r="K10560" s="12"/>
      <c r="L10560" s="12"/>
      <c r="M10560" s="11"/>
      <c r="N10560" s="11"/>
      <c r="O10560" s="11"/>
      <c r="P10560" s="11"/>
    </row>
    <row r="10561" spans="8:16" x14ac:dyDescent="0.25">
      <c r="H10561" s="12"/>
      <c r="I10561" s="12"/>
      <c r="J10561" s="12"/>
      <c r="K10561" s="12"/>
      <c r="L10561" s="12"/>
      <c r="M10561" s="11"/>
      <c r="N10561" s="11"/>
      <c r="O10561" s="11"/>
      <c r="P10561" s="11"/>
    </row>
    <row r="10562" spans="8:16" x14ac:dyDescent="0.25">
      <c r="H10562" s="12"/>
      <c r="I10562" s="12"/>
      <c r="J10562" s="12"/>
      <c r="K10562" s="12"/>
      <c r="L10562" s="12"/>
      <c r="M10562" s="11"/>
      <c r="N10562" s="11"/>
      <c r="O10562" s="11"/>
      <c r="P10562" s="11"/>
    </row>
    <row r="10563" spans="8:16" x14ac:dyDescent="0.25">
      <c r="H10563" s="12"/>
      <c r="I10563" s="12"/>
      <c r="J10563" s="12"/>
      <c r="K10563" s="12"/>
      <c r="L10563" s="12"/>
      <c r="M10563" s="11"/>
      <c r="N10563" s="11"/>
      <c r="O10563" s="11"/>
      <c r="P10563" s="11"/>
    </row>
    <row r="10564" spans="8:16" x14ac:dyDescent="0.25">
      <c r="H10564" s="12"/>
      <c r="I10564" s="12"/>
      <c r="J10564" s="12"/>
      <c r="K10564" s="12"/>
      <c r="L10564" s="12"/>
      <c r="M10564" s="11"/>
      <c r="N10564" s="11"/>
      <c r="O10564" s="11"/>
      <c r="P10564" s="11"/>
    </row>
    <row r="10565" spans="8:16" x14ac:dyDescent="0.25">
      <c r="H10565" s="12"/>
      <c r="I10565" s="12"/>
      <c r="J10565" s="12"/>
      <c r="K10565" s="12"/>
      <c r="L10565" s="12"/>
      <c r="M10565" s="11"/>
      <c r="N10565" s="11"/>
      <c r="O10565" s="11"/>
      <c r="P10565" s="11"/>
    </row>
    <row r="10566" spans="8:16" x14ac:dyDescent="0.25">
      <c r="H10566" s="12"/>
      <c r="I10566" s="12"/>
      <c r="J10566" s="12"/>
      <c r="K10566" s="12"/>
      <c r="L10566" s="12"/>
      <c r="M10566" s="11"/>
      <c r="N10566" s="11"/>
      <c r="O10566" s="11"/>
      <c r="P10566" s="11"/>
    </row>
    <row r="10567" spans="8:16" x14ac:dyDescent="0.25">
      <c r="H10567" s="12"/>
      <c r="I10567" s="12"/>
      <c r="J10567" s="12"/>
      <c r="K10567" s="12"/>
      <c r="L10567" s="12"/>
      <c r="M10567" s="11"/>
      <c r="N10567" s="11"/>
      <c r="O10567" s="11"/>
      <c r="P10567" s="11"/>
    </row>
    <row r="10568" spans="8:16" x14ac:dyDescent="0.25">
      <c r="H10568" s="12"/>
      <c r="I10568" s="12"/>
      <c r="J10568" s="12"/>
      <c r="K10568" s="12"/>
      <c r="L10568" s="12"/>
      <c r="M10568" s="11"/>
      <c r="N10568" s="11"/>
      <c r="O10568" s="11"/>
      <c r="P10568" s="11"/>
    </row>
    <row r="10569" spans="8:16" x14ac:dyDescent="0.25">
      <c r="H10569" s="12"/>
      <c r="I10569" s="12"/>
      <c r="J10569" s="12"/>
      <c r="K10569" s="12"/>
      <c r="L10569" s="12"/>
      <c r="M10569" s="11"/>
      <c r="N10569" s="11"/>
      <c r="O10569" s="11"/>
      <c r="P10569" s="11"/>
    </row>
    <row r="10570" spans="8:16" x14ac:dyDescent="0.25">
      <c r="H10570" s="12"/>
      <c r="I10570" s="12"/>
      <c r="J10570" s="12"/>
      <c r="K10570" s="12"/>
      <c r="L10570" s="12"/>
      <c r="M10570" s="11"/>
      <c r="N10570" s="11"/>
      <c r="O10570" s="11"/>
      <c r="P10570" s="11"/>
    </row>
    <row r="10571" spans="8:16" x14ac:dyDescent="0.25">
      <c r="H10571" s="12"/>
      <c r="I10571" s="12"/>
      <c r="J10571" s="12"/>
      <c r="K10571" s="12"/>
      <c r="L10571" s="12"/>
      <c r="M10571" s="11"/>
      <c r="N10571" s="11"/>
      <c r="O10571" s="11"/>
      <c r="P10571" s="11"/>
    </row>
    <row r="10572" spans="8:16" x14ac:dyDescent="0.25">
      <c r="H10572" s="12"/>
      <c r="I10572" s="12"/>
      <c r="J10572" s="12"/>
      <c r="K10572" s="12"/>
      <c r="L10572" s="12"/>
      <c r="M10572" s="11"/>
      <c r="N10572" s="11"/>
      <c r="O10572" s="11"/>
      <c r="P10572" s="11"/>
    </row>
    <row r="10573" spans="8:16" x14ac:dyDescent="0.25">
      <c r="H10573" s="12"/>
      <c r="I10573" s="12"/>
      <c r="J10573" s="12"/>
      <c r="K10573" s="12"/>
      <c r="L10573" s="12"/>
      <c r="M10573" s="11"/>
      <c r="N10573" s="11"/>
      <c r="O10573" s="11"/>
      <c r="P10573" s="11"/>
    </row>
    <row r="10574" spans="8:16" x14ac:dyDescent="0.25">
      <c r="H10574" s="12"/>
      <c r="I10574" s="12"/>
      <c r="J10574" s="12"/>
      <c r="K10574" s="12"/>
      <c r="L10574" s="12"/>
      <c r="M10574" s="11"/>
      <c r="N10574" s="11"/>
      <c r="O10574" s="11"/>
      <c r="P10574" s="11"/>
    </row>
    <row r="10575" spans="8:16" x14ac:dyDescent="0.25">
      <c r="H10575" s="12"/>
      <c r="I10575" s="12"/>
      <c r="J10575" s="12"/>
      <c r="K10575" s="12"/>
      <c r="L10575" s="12"/>
      <c r="M10575" s="11"/>
      <c r="N10575" s="11"/>
      <c r="O10575" s="11"/>
      <c r="P10575" s="11"/>
    </row>
    <row r="10576" spans="8:16" x14ac:dyDescent="0.25">
      <c r="H10576" s="12"/>
      <c r="I10576" s="12"/>
      <c r="J10576" s="12"/>
      <c r="K10576" s="12"/>
      <c r="L10576" s="12"/>
      <c r="M10576" s="11"/>
      <c r="N10576" s="11"/>
      <c r="O10576" s="11"/>
      <c r="P10576" s="11"/>
    </row>
    <row r="10577" spans="8:16" x14ac:dyDescent="0.25">
      <c r="H10577" s="12"/>
      <c r="I10577" s="12"/>
      <c r="J10577" s="12"/>
      <c r="K10577" s="12"/>
      <c r="L10577" s="12"/>
      <c r="M10577" s="11"/>
      <c r="N10577" s="11"/>
      <c r="O10577" s="11"/>
      <c r="P10577" s="11"/>
    </row>
    <row r="10578" spans="8:16" x14ac:dyDescent="0.25">
      <c r="H10578" s="12"/>
      <c r="I10578" s="12"/>
      <c r="J10578" s="12"/>
      <c r="K10578" s="12"/>
      <c r="L10578" s="12"/>
      <c r="M10578" s="11"/>
      <c r="N10578" s="11"/>
      <c r="O10578" s="11"/>
      <c r="P10578" s="11"/>
    </row>
    <row r="10579" spans="8:16" x14ac:dyDescent="0.25">
      <c r="H10579" s="12"/>
      <c r="I10579" s="12"/>
      <c r="J10579" s="12"/>
      <c r="K10579" s="12"/>
      <c r="L10579" s="12"/>
      <c r="M10579" s="11"/>
      <c r="N10579" s="11"/>
      <c r="O10579" s="11"/>
      <c r="P10579" s="11"/>
    </row>
    <row r="10580" spans="8:16" x14ac:dyDescent="0.25">
      <c r="H10580" s="12"/>
      <c r="I10580" s="12"/>
      <c r="J10580" s="12"/>
      <c r="K10580" s="12"/>
      <c r="L10580" s="12"/>
      <c r="M10580" s="11"/>
      <c r="N10580" s="11"/>
      <c r="O10580" s="11"/>
      <c r="P10580" s="11"/>
    </row>
    <row r="10581" spans="8:16" x14ac:dyDescent="0.25">
      <c r="H10581" s="12"/>
      <c r="I10581" s="12"/>
      <c r="J10581" s="12"/>
      <c r="K10581" s="12"/>
      <c r="L10581" s="12"/>
      <c r="M10581" s="11"/>
      <c r="N10581" s="11"/>
      <c r="O10581" s="11"/>
      <c r="P10581" s="11"/>
    </row>
    <row r="10582" spans="8:16" x14ac:dyDescent="0.25">
      <c r="H10582" s="12"/>
      <c r="I10582" s="12"/>
      <c r="J10582" s="12"/>
      <c r="K10582" s="12"/>
      <c r="L10582" s="12"/>
      <c r="M10582" s="11"/>
      <c r="N10582" s="11"/>
      <c r="O10582" s="11"/>
      <c r="P10582" s="11"/>
    </row>
    <row r="10583" spans="8:16" x14ac:dyDescent="0.25">
      <c r="H10583" s="12"/>
      <c r="I10583" s="12"/>
      <c r="J10583" s="12"/>
      <c r="K10583" s="12"/>
      <c r="L10583" s="12"/>
      <c r="M10583" s="11"/>
      <c r="N10583" s="11"/>
      <c r="O10583" s="11"/>
      <c r="P10583" s="11"/>
    </row>
    <row r="10584" spans="8:16" x14ac:dyDescent="0.25">
      <c r="H10584" s="12"/>
      <c r="I10584" s="12"/>
      <c r="J10584" s="12"/>
      <c r="K10584" s="12"/>
      <c r="L10584" s="12"/>
      <c r="M10584" s="11"/>
      <c r="N10584" s="11"/>
      <c r="O10584" s="11"/>
      <c r="P10584" s="11"/>
    </row>
    <row r="10585" spans="8:16" x14ac:dyDescent="0.25">
      <c r="H10585" s="12"/>
      <c r="I10585" s="12"/>
      <c r="J10585" s="12"/>
      <c r="K10585" s="12"/>
      <c r="L10585" s="12"/>
      <c r="M10585" s="11"/>
      <c r="N10585" s="11"/>
      <c r="O10585" s="11"/>
      <c r="P10585" s="11"/>
    </row>
    <row r="10586" spans="8:16" x14ac:dyDescent="0.25">
      <c r="H10586" s="12"/>
      <c r="I10586" s="12"/>
      <c r="J10586" s="12"/>
      <c r="K10586" s="12"/>
      <c r="L10586" s="12"/>
      <c r="M10586" s="11"/>
      <c r="N10586" s="11"/>
      <c r="O10586" s="11"/>
      <c r="P10586" s="11"/>
    </row>
    <row r="10587" spans="8:16" x14ac:dyDescent="0.25">
      <c r="H10587" s="12"/>
      <c r="I10587" s="12"/>
      <c r="J10587" s="12"/>
      <c r="K10587" s="12"/>
      <c r="L10587" s="12"/>
      <c r="M10587" s="11"/>
      <c r="N10587" s="11"/>
      <c r="O10587" s="11"/>
      <c r="P10587" s="11"/>
    </row>
    <row r="10588" spans="8:16" x14ac:dyDescent="0.25">
      <c r="H10588" s="12"/>
      <c r="I10588" s="12"/>
      <c r="J10588" s="12"/>
      <c r="K10588" s="12"/>
      <c r="L10588" s="12"/>
      <c r="M10588" s="11"/>
      <c r="N10588" s="11"/>
      <c r="O10588" s="11"/>
      <c r="P10588" s="11"/>
    </row>
    <row r="10589" spans="8:16" x14ac:dyDescent="0.25">
      <c r="H10589" s="12"/>
      <c r="I10589" s="12"/>
      <c r="J10589" s="12"/>
      <c r="K10589" s="12"/>
      <c r="L10589" s="12"/>
      <c r="M10589" s="11"/>
      <c r="N10589" s="11"/>
      <c r="O10589" s="11"/>
      <c r="P10589" s="11"/>
    </row>
    <row r="10590" spans="8:16" x14ac:dyDescent="0.25">
      <c r="H10590" s="12"/>
      <c r="I10590" s="12"/>
      <c r="J10590" s="12"/>
      <c r="K10590" s="12"/>
      <c r="L10590" s="12"/>
      <c r="M10590" s="11"/>
      <c r="N10590" s="11"/>
      <c r="O10590" s="11"/>
      <c r="P10590" s="11"/>
    </row>
    <row r="10591" spans="8:16" x14ac:dyDescent="0.25">
      <c r="H10591" s="12"/>
      <c r="I10591" s="12"/>
      <c r="J10591" s="12"/>
      <c r="K10591" s="12"/>
      <c r="L10591" s="12"/>
      <c r="M10591" s="11"/>
      <c r="N10591" s="11"/>
      <c r="O10591" s="11"/>
      <c r="P10591" s="11"/>
    </row>
    <row r="10592" spans="8:16" x14ac:dyDescent="0.25">
      <c r="H10592" s="12"/>
      <c r="I10592" s="12"/>
      <c r="J10592" s="12"/>
      <c r="K10592" s="12"/>
      <c r="L10592" s="12"/>
      <c r="M10592" s="11"/>
      <c r="N10592" s="11"/>
      <c r="O10592" s="11"/>
      <c r="P10592" s="11"/>
    </row>
    <row r="10593" spans="8:16" x14ac:dyDescent="0.25">
      <c r="H10593" s="12"/>
      <c r="I10593" s="12"/>
      <c r="J10593" s="12"/>
      <c r="K10593" s="12"/>
      <c r="L10593" s="12"/>
      <c r="M10593" s="11"/>
      <c r="N10593" s="11"/>
      <c r="O10593" s="11"/>
      <c r="P10593" s="11"/>
    </row>
    <row r="10594" spans="8:16" x14ac:dyDescent="0.25">
      <c r="H10594" s="12"/>
      <c r="I10594" s="12"/>
      <c r="J10594" s="12"/>
      <c r="K10594" s="12"/>
      <c r="L10594" s="12"/>
      <c r="M10594" s="11"/>
      <c r="N10594" s="11"/>
      <c r="O10594" s="11"/>
      <c r="P10594" s="11"/>
    </row>
    <row r="10595" spans="8:16" x14ac:dyDescent="0.25">
      <c r="H10595" s="12"/>
      <c r="I10595" s="12"/>
      <c r="J10595" s="12"/>
      <c r="K10595" s="12"/>
      <c r="L10595" s="12"/>
      <c r="M10595" s="11"/>
      <c r="N10595" s="11"/>
      <c r="O10595" s="11"/>
      <c r="P10595" s="11"/>
    </row>
    <row r="10596" spans="8:16" x14ac:dyDescent="0.25">
      <c r="H10596" s="12"/>
      <c r="I10596" s="12"/>
      <c r="J10596" s="12"/>
      <c r="K10596" s="12"/>
      <c r="L10596" s="12"/>
      <c r="M10596" s="11"/>
      <c r="N10596" s="11"/>
      <c r="O10596" s="11"/>
      <c r="P10596" s="11"/>
    </row>
    <row r="10597" spans="8:16" x14ac:dyDescent="0.25">
      <c r="H10597" s="12"/>
      <c r="I10597" s="12"/>
      <c r="J10597" s="12"/>
      <c r="K10597" s="12"/>
      <c r="L10597" s="12"/>
      <c r="M10597" s="11"/>
      <c r="N10597" s="11"/>
      <c r="O10597" s="11"/>
      <c r="P10597" s="11"/>
    </row>
    <row r="10598" spans="8:16" x14ac:dyDescent="0.25">
      <c r="H10598" s="12"/>
      <c r="I10598" s="12"/>
      <c r="J10598" s="12"/>
      <c r="K10598" s="12"/>
      <c r="L10598" s="12"/>
      <c r="M10598" s="11"/>
      <c r="N10598" s="11"/>
      <c r="O10598" s="11"/>
      <c r="P10598" s="11"/>
    </row>
    <row r="10599" spans="8:16" x14ac:dyDescent="0.25">
      <c r="H10599" s="12"/>
      <c r="I10599" s="12"/>
      <c r="J10599" s="12"/>
      <c r="K10599" s="12"/>
      <c r="L10599" s="12"/>
      <c r="M10599" s="11"/>
      <c r="N10599" s="11"/>
      <c r="O10599" s="11"/>
      <c r="P10599" s="11"/>
    </row>
    <row r="10600" spans="8:16" x14ac:dyDescent="0.25">
      <c r="H10600" s="12"/>
      <c r="I10600" s="12"/>
      <c r="J10600" s="12"/>
      <c r="K10600" s="12"/>
      <c r="L10600" s="12"/>
      <c r="M10600" s="11"/>
      <c r="N10600" s="11"/>
      <c r="O10600" s="11"/>
      <c r="P10600" s="11"/>
    </row>
    <row r="10601" spans="8:16" x14ac:dyDescent="0.25">
      <c r="H10601" s="12"/>
      <c r="I10601" s="12"/>
      <c r="J10601" s="12"/>
      <c r="K10601" s="12"/>
      <c r="L10601" s="12"/>
      <c r="M10601" s="11"/>
      <c r="N10601" s="11"/>
      <c r="O10601" s="11"/>
      <c r="P10601" s="11"/>
    </row>
    <row r="10602" spans="8:16" x14ac:dyDescent="0.25">
      <c r="H10602" s="12"/>
      <c r="I10602" s="12"/>
      <c r="J10602" s="12"/>
      <c r="K10602" s="12"/>
      <c r="L10602" s="12"/>
      <c r="M10602" s="11"/>
      <c r="N10602" s="11"/>
      <c r="O10602" s="11"/>
      <c r="P10602" s="11"/>
    </row>
    <row r="10603" spans="8:16" x14ac:dyDescent="0.25">
      <c r="H10603" s="12"/>
      <c r="I10603" s="12"/>
      <c r="J10603" s="12"/>
      <c r="K10603" s="12"/>
      <c r="L10603" s="12"/>
      <c r="M10603" s="11"/>
      <c r="N10603" s="11"/>
      <c r="O10603" s="11"/>
      <c r="P10603" s="11"/>
    </row>
    <row r="10604" spans="8:16" x14ac:dyDescent="0.25">
      <c r="H10604" s="12"/>
      <c r="I10604" s="12"/>
      <c r="J10604" s="12"/>
      <c r="K10604" s="12"/>
      <c r="L10604" s="12"/>
      <c r="M10604" s="11"/>
      <c r="N10604" s="11"/>
      <c r="O10604" s="11"/>
      <c r="P10604" s="11"/>
    </row>
    <row r="10605" spans="8:16" x14ac:dyDescent="0.25">
      <c r="H10605" s="12"/>
      <c r="I10605" s="12"/>
      <c r="J10605" s="12"/>
      <c r="K10605" s="12"/>
      <c r="L10605" s="12"/>
      <c r="M10605" s="11"/>
      <c r="N10605" s="11"/>
      <c r="O10605" s="11"/>
      <c r="P10605" s="11"/>
    </row>
    <row r="10606" spans="8:16" x14ac:dyDescent="0.25">
      <c r="H10606" s="12"/>
      <c r="I10606" s="12"/>
      <c r="J10606" s="12"/>
      <c r="K10606" s="12"/>
      <c r="L10606" s="12"/>
      <c r="M10606" s="11"/>
      <c r="N10606" s="11"/>
      <c r="O10606" s="11"/>
      <c r="P10606" s="11"/>
    </row>
    <row r="10607" spans="8:16" x14ac:dyDescent="0.25">
      <c r="H10607" s="12"/>
      <c r="I10607" s="12"/>
      <c r="J10607" s="12"/>
      <c r="K10607" s="12"/>
      <c r="L10607" s="12"/>
      <c r="M10607" s="11"/>
      <c r="N10607" s="11"/>
      <c r="O10607" s="11"/>
      <c r="P10607" s="11"/>
    </row>
    <row r="10608" spans="8:16" x14ac:dyDescent="0.25">
      <c r="H10608" s="12"/>
      <c r="I10608" s="12"/>
      <c r="J10608" s="12"/>
      <c r="K10608" s="12"/>
      <c r="L10608" s="12"/>
      <c r="M10608" s="11"/>
      <c r="N10608" s="11"/>
      <c r="O10608" s="11"/>
      <c r="P10608" s="11"/>
    </row>
    <row r="10609" spans="8:16" x14ac:dyDescent="0.25">
      <c r="H10609" s="12"/>
      <c r="I10609" s="12"/>
      <c r="J10609" s="12"/>
      <c r="K10609" s="12"/>
      <c r="L10609" s="12"/>
      <c r="M10609" s="11"/>
      <c r="N10609" s="11"/>
      <c r="O10609" s="11"/>
      <c r="P10609" s="11"/>
    </row>
    <row r="10610" spans="8:16" x14ac:dyDescent="0.25">
      <c r="H10610" s="12"/>
      <c r="I10610" s="12"/>
      <c r="J10610" s="12"/>
      <c r="K10610" s="12"/>
      <c r="L10610" s="12"/>
      <c r="M10610" s="11"/>
      <c r="N10610" s="11"/>
      <c r="O10610" s="11"/>
      <c r="P10610" s="11"/>
    </row>
    <row r="10611" spans="8:16" x14ac:dyDescent="0.25">
      <c r="H10611" s="12"/>
      <c r="I10611" s="12"/>
      <c r="J10611" s="12"/>
      <c r="K10611" s="12"/>
      <c r="L10611" s="12"/>
      <c r="M10611" s="11"/>
      <c r="N10611" s="11"/>
      <c r="O10611" s="11"/>
      <c r="P10611" s="11"/>
    </row>
    <row r="10612" spans="8:16" x14ac:dyDescent="0.25">
      <c r="H10612" s="12"/>
      <c r="I10612" s="12"/>
      <c r="J10612" s="12"/>
      <c r="K10612" s="12"/>
      <c r="L10612" s="12"/>
      <c r="M10612" s="11"/>
      <c r="N10612" s="11"/>
      <c r="O10612" s="11"/>
      <c r="P10612" s="11"/>
    </row>
    <row r="10613" spans="8:16" x14ac:dyDescent="0.25">
      <c r="H10613" s="12"/>
      <c r="I10613" s="12"/>
      <c r="J10613" s="12"/>
      <c r="K10613" s="12"/>
      <c r="L10613" s="12"/>
      <c r="M10613" s="11"/>
      <c r="N10613" s="11"/>
      <c r="O10613" s="11"/>
      <c r="P10613" s="11"/>
    </row>
    <row r="10614" spans="8:16" x14ac:dyDescent="0.25">
      <c r="H10614" s="12"/>
      <c r="I10614" s="12"/>
      <c r="J10614" s="12"/>
      <c r="K10614" s="12"/>
      <c r="L10614" s="12"/>
      <c r="M10614" s="11"/>
      <c r="N10614" s="11"/>
      <c r="O10614" s="11"/>
      <c r="P10614" s="11"/>
    </row>
    <row r="10615" spans="8:16" x14ac:dyDescent="0.25">
      <c r="H10615" s="12"/>
      <c r="I10615" s="12"/>
      <c r="J10615" s="12"/>
      <c r="K10615" s="12"/>
      <c r="L10615" s="12"/>
      <c r="M10615" s="11"/>
      <c r="N10615" s="11"/>
      <c r="O10615" s="11"/>
      <c r="P10615" s="11"/>
    </row>
    <row r="10616" spans="8:16" x14ac:dyDescent="0.25">
      <c r="H10616" s="12"/>
      <c r="I10616" s="12"/>
      <c r="J10616" s="12"/>
      <c r="K10616" s="12"/>
      <c r="L10616" s="12"/>
      <c r="M10616" s="11"/>
      <c r="N10616" s="11"/>
      <c r="O10616" s="11"/>
      <c r="P10616" s="11"/>
    </row>
    <row r="10617" spans="8:16" x14ac:dyDescent="0.25">
      <c r="H10617" s="12"/>
      <c r="I10617" s="12"/>
      <c r="J10617" s="12"/>
      <c r="K10617" s="12"/>
      <c r="L10617" s="12"/>
      <c r="M10617" s="11"/>
      <c r="N10617" s="11"/>
      <c r="O10617" s="11"/>
      <c r="P10617" s="11"/>
    </row>
    <row r="10618" spans="8:16" x14ac:dyDescent="0.25">
      <c r="H10618" s="12"/>
      <c r="I10618" s="12"/>
      <c r="J10618" s="12"/>
      <c r="K10618" s="12"/>
      <c r="L10618" s="12"/>
      <c r="M10618" s="11"/>
      <c r="N10618" s="11"/>
      <c r="O10618" s="11"/>
      <c r="P10618" s="11"/>
    </row>
    <row r="10619" spans="8:16" x14ac:dyDescent="0.25">
      <c r="H10619" s="12"/>
      <c r="I10619" s="12"/>
      <c r="J10619" s="12"/>
      <c r="K10619" s="12"/>
      <c r="L10619" s="12"/>
      <c r="M10619" s="11"/>
      <c r="N10619" s="11"/>
      <c r="O10619" s="11"/>
      <c r="P10619" s="11"/>
    </row>
    <row r="10620" spans="8:16" x14ac:dyDescent="0.25">
      <c r="H10620" s="12"/>
      <c r="I10620" s="12"/>
      <c r="J10620" s="12"/>
      <c r="K10620" s="12"/>
      <c r="L10620" s="12"/>
      <c r="M10620" s="11"/>
      <c r="N10620" s="11"/>
      <c r="O10620" s="11"/>
      <c r="P10620" s="11"/>
    </row>
    <row r="10621" spans="8:16" x14ac:dyDescent="0.25">
      <c r="H10621" s="12"/>
      <c r="I10621" s="12"/>
      <c r="J10621" s="12"/>
      <c r="K10621" s="12"/>
      <c r="L10621" s="12"/>
      <c r="M10621" s="11"/>
      <c r="N10621" s="11"/>
      <c r="O10621" s="11"/>
      <c r="P10621" s="11"/>
    </row>
    <row r="10622" spans="8:16" x14ac:dyDescent="0.25">
      <c r="H10622" s="12"/>
      <c r="I10622" s="12"/>
      <c r="J10622" s="12"/>
      <c r="K10622" s="12"/>
      <c r="L10622" s="12"/>
      <c r="M10622" s="11"/>
      <c r="N10622" s="11"/>
      <c r="O10622" s="11"/>
      <c r="P10622" s="11"/>
    </row>
    <row r="10623" spans="8:16" x14ac:dyDescent="0.25">
      <c r="H10623" s="12"/>
      <c r="I10623" s="12"/>
      <c r="J10623" s="12"/>
      <c r="K10623" s="12"/>
      <c r="L10623" s="12"/>
      <c r="M10623" s="11"/>
      <c r="N10623" s="11"/>
      <c r="O10623" s="11"/>
      <c r="P10623" s="11"/>
    </row>
    <row r="10624" spans="8:16" x14ac:dyDescent="0.25">
      <c r="H10624" s="12"/>
      <c r="I10624" s="12"/>
      <c r="J10624" s="12"/>
      <c r="K10624" s="12"/>
      <c r="L10624" s="12"/>
      <c r="M10624" s="11"/>
      <c r="N10624" s="11"/>
      <c r="O10624" s="11"/>
      <c r="P10624" s="11"/>
    </row>
    <row r="10625" spans="8:16" x14ac:dyDescent="0.25">
      <c r="H10625" s="12"/>
      <c r="I10625" s="12"/>
      <c r="J10625" s="12"/>
      <c r="K10625" s="12"/>
      <c r="L10625" s="12"/>
      <c r="M10625" s="11"/>
      <c r="N10625" s="11"/>
      <c r="O10625" s="11"/>
      <c r="P10625" s="11"/>
    </row>
    <row r="10626" spans="8:16" x14ac:dyDescent="0.25">
      <c r="H10626" s="12"/>
      <c r="I10626" s="12"/>
      <c r="J10626" s="12"/>
      <c r="K10626" s="12"/>
      <c r="L10626" s="12"/>
      <c r="M10626" s="11"/>
      <c r="N10626" s="11"/>
      <c r="O10626" s="11"/>
      <c r="P10626" s="11"/>
    </row>
    <row r="10627" spans="8:16" x14ac:dyDescent="0.25">
      <c r="H10627" s="12"/>
      <c r="I10627" s="12"/>
      <c r="J10627" s="12"/>
      <c r="K10627" s="12"/>
      <c r="L10627" s="12"/>
      <c r="M10627" s="11"/>
      <c r="N10627" s="11"/>
      <c r="O10627" s="11"/>
      <c r="P10627" s="11"/>
    </row>
    <row r="10628" spans="8:16" x14ac:dyDescent="0.25">
      <c r="H10628" s="12"/>
      <c r="I10628" s="12"/>
      <c r="J10628" s="12"/>
      <c r="K10628" s="12"/>
      <c r="L10628" s="12"/>
      <c r="M10628" s="11"/>
      <c r="N10628" s="11"/>
      <c r="O10628" s="11"/>
      <c r="P10628" s="11"/>
    </row>
    <row r="10629" spans="8:16" x14ac:dyDescent="0.25">
      <c r="H10629" s="12"/>
      <c r="I10629" s="12"/>
      <c r="J10629" s="12"/>
      <c r="K10629" s="12"/>
      <c r="L10629" s="12"/>
      <c r="M10629" s="11"/>
      <c r="N10629" s="11"/>
      <c r="O10629" s="11"/>
      <c r="P10629" s="11"/>
    </row>
    <row r="10630" spans="8:16" x14ac:dyDescent="0.25">
      <c r="H10630" s="12"/>
      <c r="I10630" s="12"/>
      <c r="J10630" s="12"/>
      <c r="K10630" s="12"/>
      <c r="L10630" s="12"/>
      <c r="M10630" s="11"/>
      <c r="N10630" s="11"/>
      <c r="O10630" s="11"/>
      <c r="P10630" s="11"/>
    </row>
    <row r="10631" spans="8:16" x14ac:dyDescent="0.25">
      <c r="H10631" s="12"/>
      <c r="I10631" s="12"/>
      <c r="J10631" s="12"/>
      <c r="K10631" s="12"/>
      <c r="L10631" s="12"/>
      <c r="M10631" s="11"/>
      <c r="N10631" s="11"/>
      <c r="O10631" s="11"/>
      <c r="P10631" s="11"/>
    </row>
    <row r="10632" spans="8:16" x14ac:dyDescent="0.25">
      <c r="H10632" s="12"/>
      <c r="I10632" s="12"/>
      <c r="J10632" s="12"/>
      <c r="K10632" s="12"/>
      <c r="L10632" s="12"/>
      <c r="M10632" s="11"/>
      <c r="N10632" s="11"/>
      <c r="O10632" s="11"/>
      <c r="P10632" s="11"/>
    </row>
    <row r="10633" spans="8:16" x14ac:dyDescent="0.25">
      <c r="H10633" s="12"/>
      <c r="I10633" s="12"/>
      <c r="J10633" s="12"/>
      <c r="K10633" s="12"/>
      <c r="L10633" s="12"/>
      <c r="M10633" s="11"/>
      <c r="N10633" s="11"/>
      <c r="O10633" s="11"/>
      <c r="P10633" s="11"/>
    </row>
    <row r="10634" spans="8:16" x14ac:dyDescent="0.25">
      <c r="H10634" s="12"/>
      <c r="I10634" s="12"/>
      <c r="J10634" s="12"/>
      <c r="K10634" s="12"/>
      <c r="L10634" s="12"/>
      <c r="M10634" s="11"/>
      <c r="N10634" s="11"/>
      <c r="O10634" s="11"/>
      <c r="P10634" s="11"/>
    </row>
    <row r="10635" spans="8:16" x14ac:dyDescent="0.25">
      <c r="H10635" s="12"/>
      <c r="I10635" s="12"/>
      <c r="J10635" s="12"/>
      <c r="K10635" s="12"/>
      <c r="L10635" s="12"/>
      <c r="M10635" s="11"/>
      <c r="N10635" s="11"/>
      <c r="O10635" s="11"/>
      <c r="P10635" s="11"/>
    </row>
    <row r="10636" spans="8:16" x14ac:dyDescent="0.25">
      <c r="H10636" s="12"/>
      <c r="I10636" s="12"/>
      <c r="J10636" s="12"/>
      <c r="K10636" s="12"/>
      <c r="L10636" s="12"/>
      <c r="M10636" s="11"/>
      <c r="N10636" s="11"/>
      <c r="O10636" s="11"/>
      <c r="P10636" s="11"/>
    </row>
    <row r="10637" spans="8:16" x14ac:dyDescent="0.25">
      <c r="H10637" s="12"/>
      <c r="I10637" s="12"/>
      <c r="J10637" s="12"/>
      <c r="K10637" s="12"/>
      <c r="L10637" s="12"/>
      <c r="M10637" s="11"/>
      <c r="N10637" s="11"/>
      <c r="O10637" s="11"/>
      <c r="P10637" s="11"/>
    </row>
    <row r="10638" spans="8:16" x14ac:dyDescent="0.25">
      <c r="H10638" s="12"/>
      <c r="I10638" s="12"/>
      <c r="J10638" s="12"/>
      <c r="K10638" s="12"/>
      <c r="L10638" s="12"/>
      <c r="M10638" s="11"/>
      <c r="N10638" s="11"/>
      <c r="O10638" s="11"/>
      <c r="P10638" s="11"/>
    </row>
    <row r="10639" spans="8:16" x14ac:dyDescent="0.25">
      <c r="H10639" s="12"/>
      <c r="I10639" s="12"/>
      <c r="J10639" s="12"/>
      <c r="K10639" s="12"/>
      <c r="L10639" s="12"/>
      <c r="M10639" s="11"/>
      <c r="N10639" s="11"/>
      <c r="O10639" s="11"/>
      <c r="P10639" s="11"/>
    </row>
    <row r="10640" spans="8:16" x14ac:dyDescent="0.25">
      <c r="H10640" s="12"/>
      <c r="I10640" s="12"/>
      <c r="J10640" s="12"/>
      <c r="K10640" s="12"/>
      <c r="L10640" s="12"/>
      <c r="M10640" s="11"/>
      <c r="N10640" s="11"/>
      <c r="O10640" s="11"/>
      <c r="P10640" s="11"/>
    </row>
    <row r="10641" spans="8:16" x14ac:dyDescent="0.25">
      <c r="H10641" s="12"/>
      <c r="I10641" s="12"/>
      <c r="J10641" s="12"/>
      <c r="K10641" s="12"/>
      <c r="L10641" s="12"/>
      <c r="M10641" s="11"/>
      <c r="N10641" s="11"/>
      <c r="O10641" s="11"/>
      <c r="P10641" s="11"/>
    </row>
    <row r="10642" spans="8:16" x14ac:dyDescent="0.25">
      <c r="H10642" s="12"/>
      <c r="I10642" s="12"/>
      <c r="J10642" s="12"/>
      <c r="K10642" s="12"/>
      <c r="L10642" s="12"/>
      <c r="M10642" s="11"/>
      <c r="N10642" s="11"/>
      <c r="O10642" s="11"/>
      <c r="P10642" s="11"/>
    </row>
    <row r="10643" spans="8:16" x14ac:dyDescent="0.25">
      <c r="H10643" s="12"/>
      <c r="I10643" s="12"/>
      <c r="J10643" s="12"/>
      <c r="K10643" s="12"/>
      <c r="L10643" s="12"/>
      <c r="M10643" s="11"/>
      <c r="N10643" s="11"/>
      <c r="O10643" s="11"/>
      <c r="P10643" s="11"/>
    </row>
    <row r="10644" spans="8:16" x14ac:dyDescent="0.25">
      <c r="H10644" s="12"/>
      <c r="I10644" s="12"/>
      <c r="J10644" s="12"/>
      <c r="K10644" s="12"/>
      <c r="L10644" s="12"/>
      <c r="M10644" s="11"/>
      <c r="N10644" s="11"/>
      <c r="O10644" s="11"/>
      <c r="P10644" s="11"/>
    </row>
    <row r="10645" spans="8:16" x14ac:dyDescent="0.25">
      <c r="H10645" s="12"/>
      <c r="I10645" s="12"/>
      <c r="J10645" s="12"/>
      <c r="K10645" s="12"/>
      <c r="L10645" s="12"/>
      <c r="M10645" s="11"/>
      <c r="N10645" s="11"/>
      <c r="O10645" s="11"/>
      <c r="P10645" s="11"/>
    </row>
    <row r="10646" spans="8:16" x14ac:dyDescent="0.25">
      <c r="H10646" s="12"/>
      <c r="I10646" s="12"/>
      <c r="J10646" s="12"/>
      <c r="K10646" s="12"/>
      <c r="L10646" s="12"/>
      <c r="M10646" s="11"/>
      <c r="N10646" s="11"/>
      <c r="O10646" s="11"/>
      <c r="P10646" s="11"/>
    </row>
    <row r="10647" spans="8:16" x14ac:dyDescent="0.25">
      <c r="H10647" s="12"/>
      <c r="I10647" s="12"/>
      <c r="J10647" s="12"/>
      <c r="K10647" s="12"/>
      <c r="L10647" s="12"/>
      <c r="M10647" s="11"/>
      <c r="N10647" s="11"/>
      <c r="O10647" s="11"/>
      <c r="P10647" s="11"/>
    </row>
    <row r="10648" spans="8:16" x14ac:dyDescent="0.25">
      <c r="H10648" s="12"/>
      <c r="I10648" s="12"/>
      <c r="J10648" s="12"/>
      <c r="K10648" s="12"/>
      <c r="L10648" s="12"/>
      <c r="M10648" s="11"/>
      <c r="N10648" s="11"/>
      <c r="O10648" s="11"/>
      <c r="P10648" s="11"/>
    </row>
    <row r="10649" spans="8:16" x14ac:dyDescent="0.25">
      <c r="H10649" s="12"/>
      <c r="I10649" s="12"/>
      <c r="J10649" s="12"/>
      <c r="K10649" s="12"/>
      <c r="L10649" s="12"/>
      <c r="M10649" s="11"/>
      <c r="N10649" s="11"/>
      <c r="O10649" s="11"/>
      <c r="P10649" s="11"/>
    </row>
    <row r="10650" spans="8:16" x14ac:dyDescent="0.25">
      <c r="H10650" s="12"/>
      <c r="I10650" s="12"/>
      <c r="J10650" s="12"/>
      <c r="K10650" s="12"/>
      <c r="L10650" s="12"/>
      <c r="M10650" s="11"/>
      <c r="N10650" s="11"/>
      <c r="O10650" s="11"/>
      <c r="P10650" s="11"/>
    </row>
    <row r="10651" spans="8:16" x14ac:dyDescent="0.25">
      <c r="H10651" s="12"/>
      <c r="I10651" s="12"/>
      <c r="J10651" s="12"/>
      <c r="K10651" s="12"/>
      <c r="L10651" s="12"/>
      <c r="M10651" s="11"/>
      <c r="N10651" s="11"/>
      <c r="O10651" s="11"/>
      <c r="P10651" s="11"/>
    </row>
    <row r="10652" spans="8:16" x14ac:dyDescent="0.25">
      <c r="H10652" s="12"/>
      <c r="I10652" s="12"/>
      <c r="J10652" s="12"/>
      <c r="K10652" s="12"/>
      <c r="L10652" s="12"/>
      <c r="M10652" s="11"/>
      <c r="N10652" s="11"/>
      <c r="O10652" s="11"/>
      <c r="P10652" s="11"/>
    </row>
    <row r="10653" spans="8:16" x14ac:dyDescent="0.25">
      <c r="H10653" s="12"/>
      <c r="I10653" s="12"/>
      <c r="J10653" s="12"/>
      <c r="K10653" s="12"/>
      <c r="L10653" s="12"/>
      <c r="M10653" s="11"/>
      <c r="N10653" s="11"/>
      <c r="O10653" s="11"/>
      <c r="P10653" s="11"/>
    </row>
    <row r="10654" spans="8:16" x14ac:dyDescent="0.25">
      <c r="H10654" s="12"/>
      <c r="I10654" s="12"/>
      <c r="J10654" s="12"/>
      <c r="K10654" s="12"/>
      <c r="L10654" s="12"/>
      <c r="M10654" s="11"/>
      <c r="N10654" s="11"/>
      <c r="O10654" s="11"/>
      <c r="P10654" s="11"/>
    </row>
    <row r="10655" spans="8:16" x14ac:dyDescent="0.25">
      <c r="H10655" s="12"/>
      <c r="I10655" s="12"/>
      <c r="J10655" s="12"/>
      <c r="K10655" s="12"/>
      <c r="L10655" s="12"/>
      <c r="M10655" s="11"/>
      <c r="N10655" s="11"/>
      <c r="O10655" s="11"/>
      <c r="P10655" s="11"/>
    </row>
    <row r="10656" spans="8:16" x14ac:dyDescent="0.25">
      <c r="H10656" s="12"/>
      <c r="I10656" s="12"/>
      <c r="J10656" s="12"/>
      <c r="K10656" s="12"/>
      <c r="L10656" s="12"/>
      <c r="M10656" s="11"/>
      <c r="N10656" s="11"/>
      <c r="O10656" s="11"/>
      <c r="P10656" s="11"/>
    </row>
    <row r="10657" spans="8:16" x14ac:dyDescent="0.25">
      <c r="H10657" s="12"/>
      <c r="I10657" s="12"/>
      <c r="J10657" s="12"/>
      <c r="K10657" s="12"/>
      <c r="L10657" s="12"/>
      <c r="M10657" s="11"/>
      <c r="N10657" s="11"/>
      <c r="O10657" s="11"/>
      <c r="P10657" s="11"/>
    </row>
    <row r="10658" spans="8:16" x14ac:dyDescent="0.25">
      <c r="H10658" s="12"/>
      <c r="I10658" s="12"/>
      <c r="J10658" s="12"/>
      <c r="K10658" s="12"/>
      <c r="L10658" s="12"/>
      <c r="M10658" s="11"/>
      <c r="N10658" s="11"/>
      <c r="O10658" s="11"/>
      <c r="P10658" s="11"/>
    </row>
    <row r="10659" spans="8:16" x14ac:dyDescent="0.25">
      <c r="H10659" s="12"/>
      <c r="I10659" s="12"/>
      <c r="J10659" s="12"/>
      <c r="K10659" s="12"/>
      <c r="L10659" s="12"/>
      <c r="M10659" s="11"/>
      <c r="N10659" s="11"/>
      <c r="O10659" s="11"/>
      <c r="P10659" s="11"/>
    </row>
    <row r="10660" spans="8:16" x14ac:dyDescent="0.25">
      <c r="H10660" s="12"/>
      <c r="I10660" s="12"/>
      <c r="J10660" s="12"/>
      <c r="K10660" s="12"/>
      <c r="L10660" s="12"/>
      <c r="M10660" s="11"/>
      <c r="N10660" s="11"/>
      <c r="O10660" s="11"/>
      <c r="P10660" s="11"/>
    </row>
    <row r="10661" spans="8:16" x14ac:dyDescent="0.25">
      <c r="H10661" s="12"/>
      <c r="I10661" s="12"/>
      <c r="J10661" s="12"/>
      <c r="K10661" s="12"/>
      <c r="L10661" s="12"/>
      <c r="M10661" s="11"/>
      <c r="N10661" s="11"/>
      <c r="O10661" s="11"/>
      <c r="P10661" s="11"/>
    </row>
    <row r="10662" spans="8:16" x14ac:dyDescent="0.25">
      <c r="H10662" s="12"/>
      <c r="I10662" s="12"/>
      <c r="J10662" s="12"/>
      <c r="K10662" s="12"/>
      <c r="L10662" s="12"/>
      <c r="M10662" s="11"/>
      <c r="N10662" s="11"/>
      <c r="O10662" s="11"/>
      <c r="P10662" s="11"/>
    </row>
    <row r="10663" spans="8:16" x14ac:dyDescent="0.25">
      <c r="H10663" s="12"/>
      <c r="I10663" s="12"/>
      <c r="J10663" s="12"/>
      <c r="K10663" s="12"/>
      <c r="L10663" s="12"/>
      <c r="M10663" s="11"/>
      <c r="N10663" s="11"/>
      <c r="O10663" s="11"/>
      <c r="P10663" s="11"/>
    </row>
    <row r="10664" spans="8:16" x14ac:dyDescent="0.25">
      <c r="H10664" s="12"/>
      <c r="I10664" s="12"/>
      <c r="J10664" s="12"/>
      <c r="K10664" s="12"/>
      <c r="L10664" s="12"/>
      <c r="M10664" s="11"/>
      <c r="N10664" s="11"/>
      <c r="O10664" s="11"/>
      <c r="P10664" s="11"/>
    </row>
    <row r="10665" spans="8:16" x14ac:dyDescent="0.25">
      <c r="H10665" s="12"/>
      <c r="I10665" s="12"/>
      <c r="J10665" s="12"/>
      <c r="K10665" s="12"/>
      <c r="L10665" s="12"/>
      <c r="M10665" s="11"/>
      <c r="N10665" s="11"/>
      <c r="O10665" s="11"/>
      <c r="P10665" s="11"/>
    </row>
    <row r="10666" spans="8:16" x14ac:dyDescent="0.25">
      <c r="H10666" s="12"/>
      <c r="I10666" s="12"/>
      <c r="J10666" s="12"/>
      <c r="K10666" s="12"/>
      <c r="L10666" s="12"/>
      <c r="M10666" s="11"/>
      <c r="N10666" s="11"/>
      <c r="O10666" s="11"/>
      <c r="P10666" s="11"/>
    </row>
    <row r="10667" spans="8:16" x14ac:dyDescent="0.25">
      <c r="H10667" s="12"/>
      <c r="I10667" s="12"/>
      <c r="J10667" s="12"/>
      <c r="K10667" s="12"/>
      <c r="L10667" s="12"/>
      <c r="M10667" s="11"/>
      <c r="N10667" s="11"/>
      <c r="O10667" s="11"/>
      <c r="P10667" s="11"/>
    </row>
    <row r="10668" spans="8:16" x14ac:dyDescent="0.25">
      <c r="H10668" s="12"/>
      <c r="I10668" s="12"/>
      <c r="J10668" s="12"/>
      <c r="K10668" s="12"/>
      <c r="L10668" s="12"/>
      <c r="M10668" s="11"/>
      <c r="N10668" s="11"/>
      <c r="O10668" s="11"/>
      <c r="P10668" s="11"/>
    </row>
    <row r="10669" spans="8:16" x14ac:dyDescent="0.25">
      <c r="H10669" s="12"/>
      <c r="I10669" s="12"/>
      <c r="J10669" s="12"/>
      <c r="K10669" s="12"/>
      <c r="L10669" s="12"/>
      <c r="M10669" s="11"/>
      <c r="N10669" s="11"/>
      <c r="O10669" s="11"/>
      <c r="P10669" s="11"/>
    </row>
    <row r="10670" spans="8:16" x14ac:dyDescent="0.25">
      <c r="H10670" s="12"/>
      <c r="I10670" s="12"/>
      <c r="J10670" s="12"/>
      <c r="K10670" s="12"/>
      <c r="L10670" s="12"/>
      <c r="M10670" s="11"/>
      <c r="N10670" s="11"/>
      <c r="O10670" s="11"/>
      <c r="P10670" s="11"/>
    </row>
    <row r="10671" spans="8:16" x14ac:dyDescent="0.25">
      <c r="H10671" s="12"/>
      <c r="I10671" s="12"/>
      <c r="J10671" s="12"/>
      <c r="K10671" s="12"/>
      <c r="L10671" s="12"/>
      <c r="M10671" s="11"/>
      <c r="N10671" s="11"/>
      <c r="O10671" s="11"/>
      <c r="P10671" s="11"/>
    </row>
    <row r="10672" spans="8:16" x14ac:dyDescent="0.25">
      <c r="H10672" s="12"/>
      <c r="I10672" s="12"/>
      <c r="J10672" s="12"/>
      <c r="K10672" s="12"/>
      <c r="L10672" s="12"/>
      <c r="M10672" s="11"/>
      <c r="N10672" s="11"/>
      <c r="O10672" s="11"/>
      <c r="P10672" s="11"/>
    </row>
    <row r="10673" spans="8:16" x14ac:dyDescent="0.25">
      <c r="H10673" s="12"/>
      <c r="I10673" s="12"/>
      <c r="J10673" s="12"/>
      <c r="K10673" s="12"/>
      <c r="L10673" s="12"/>
      <c r="M10673" s="11"/>
      <c r="N10673" s="11"/>
      <c r="O10673" s="11"/>
      <c r="P10673" s="11"/>
    </row>
    <row r="10674" spans="8:16" x14ac:dyDescent="0.25">
      <c r="H10674" s="12"/>
      <c r="I10674" s="12"/>
      <c r="J10674" s="12"/>
      <c r="K10674" s="12"/>
      <c r="L10674" s="12"/>
      <c r="M10674" s="11"/>
      <c r="N10674" s="11"/>
      <c r="O10674" s="11"/>
      <c r="P10674" s="11"/>
    </row>
    <row r="10675" spans="8:16" x14ac:dyDescent="0.25">
      <c r="H10675" s="12"/>
      <c r="I10675" s="12"/>
      <c r="J10675" s="12"/>
      <c r="K10675" s="12"/>
      <c r="L10675" s="12"/>
      <c r="M10675" s="11"/>
      <c r="N10675" s="11"/>
      <c r="O10675" s="11"/>
      <c r="P10675" s="11"/>
    </row>
    <row r="10676" spans="8:16" x14ac:dyDescent="0.25">
      <c r="H10676" s="12"/>
      <c r="I10676" s="12"/>
      <c r="J10676" s="12"/>
      <c r="K10676" s="12"/>
      <c r="L10676" s="12"/>
      <c r="M10676" s="11"/>
      <c r="N10676" s="11"/>
      <c r="O10676" s="11"/>
      <c r="P10676" s="11"/>
    </row>
    <row r="10677" spans="8:16" x14ac:dyDescent="0.25">
      <c r="H10677" s="12"/>
      <c r="I10677" s="12"/>
      <c r="J10677" s="12"/>
      <c r="K10677" s="12"/>
      <c r="L10677" s="12"/>
      <c r="M10677" s="11"/>
      <c r="N10677" s="11"/>
      <c r="O10677" s="11"/>
      <c r="P10677" s="11"/>
    </row>
    <row r="10678" spans="8:16" x14ac:dyDescent="0.25">
      <c r="H10678" s="12"/>
      <c r="I10678" s="12"/>
      <c r="J10678" s="12"/>
      <c r="K10678" s="12"/>
      <c r="L10678" s="12"/>
      <c r="M10678" s="11"/>
      <c r="N10678" s="11"/>
      <c r="O10678" s="11"/>
      <c r="P10678" s="11"/>
    </row>
    <row r="10679" spans="8:16" x14ac:dyDescent="0.25">
      <c r="H10679" s="12"/>
      <c r="I10679" s="12"/>
      <c r="J10679" s="12"/>
      <c r="K10679" s="12"/>
      <c r="L10679" s="12"/>
      <c r="M10679" s="11"/>
      <c r="N10679" s="11"/>
      <c r="O10679" s="11"/>
      <c r="P10679" s="11"/>
    </row>
    <row r="10680" spans="8:16" x14ac:dyDescent="0.25">
      <c r="H10680" s="12"/>
      <c r="I10680" s="12"/>
      <c r="J10680" s="12"/>
      <c r="K10680" s="12"/>
      <c r="L10680" s="12"/>
      <c r="M10680" s="11"/>
      <c r="N10680" s="11"/>
      <c r="O10680" s="11"/>
      <c r="P10680" s="11"/>
    </row>
    <row r="10681" spans="8:16" x14ac:dyDescent="0.25">
      <c r="H10681" s="12"/>
      <c r="I10681" s="12"/>
      <c r="J10681" s="12"/>
      <c r="K10681" s="12"/>
      <c r="L10681" s="12"/>
      <c r="M10681" s="11"/>
      <c r="N10681" s="11"/>
      <c r="O10681" s="11"/>
      <c r="P10681" s="11"/>
    </row>
    <row r="10682" spans="8:16" x14ac:dyDescent="0.25">
      <c r="H10682" s="12"/>
      <c r="I10682" s="12"/>
      <c r="J10682" s="12"/>
      <c r="K10682" s="12"/>
      <c r="L10682" s="12"/>
      <c r="M10682" s="11"/>
      <c r="N10682" s="11"/>
      <c r="O10682" s="11"/>
      <c r="P10682" s="11"/>
    </row>
    <row r="10683" spans="8:16" x14ac:dyDescent="0.25">
      <c r="H10683" s="12"/>
      <c r="I10683" s="12"/>
      <c r="J10683" s="12"/>
      <c r="K10683" s="12"/>
      <c r="L10683" s="12"/>
      <c r="M10683" s="11"/>
      <c r="N10683" s="11"/>
      <c r="O10683" s="11"/>
      <c r="P10683" s="11"/>
    </row>
    <row r="10684" spans="8:16" x14ac:dyDescent="0.25">
      <c r="H10684" s="12"/>
      <c r="I10684" s="12"/>
      <c r="J10684" s="12"/>
      <c r="K10684" s="12"/>
      <c r="L10684" s="12"/>
      <c r="M10684" s="11"/>
      <c r="N10684" s="11"/>
      <c r="O10684" s="11"/>
      <c r="P10684" s="11"/>
    </row>
    <row r="10685" spans="8:16" x14ac:dyDescent="0.25">
      <c r="H10685" s="12"/>
      <c r="I10685" s="12"/>
      <c r="J10685" s="12"/>
      <c r="K10685" s="12"/>
      <c r="L10685" s="12"/>
      <c r="M10685" s="11"/>
      <c r="N10685" s="11"/>
      <c r="O10685" s="11"/>
      <c r="P10685" s="11"/>
    </row>
    <row r="10686" spans="8:16" x14ac:dyDescent="0.25">
      <c r="H10686" s="12"/>
      <c r="I10686" s="12"/>
      <c r="J10686" s="12"/>
      <c r="K10686" s="12"/>
      <c r="L10686" s="12"/>
      <c r="M10686" s="11"/>
      <c r="N10686" s="11"/>
      <c r="O10686" s="11"/>
      <c r="P10686" s="11"/>
    </row>
    <row r="10687" spans="8:16" x14ac:dyDescent="0.25">
      <c r="H10687" s="12"/>
      <c r="I10687" s="12"/>
      <c r="J10687" s="12"/>
      <c r="K10687" s="12"/>
      <c r="L10687" s="12"/>
      <c r="M10687" s="11"/>
      <c r="N10687" s="11"/>
      <c r="O10687" s="11"/>
      <c r="P10687" s="11"/>
    </row>
    <row r="10688" spans="8:16" x14ac:dyDescent="0.25">
      <c r="H10688" s="12"/>
      <c r="I10688" s="12"/>
      <c r="J10688" s="12"/>
      <c r="K10688" s="12"/>
      <c r="L10688" s="12"/>
      <c r="M10688" s="11"/>
      <c r="N10688" s="11"/>
      <c r="O10688" s="11"/>
      <c r="P10688" s="11"/>
    </row>
    <row r="10689" spans="8:16" x14ac:dyDescent="0.25">
      <c r="H10689" s="12"/>
      <c r="I10689" s="12"/>
      <c r="J10689" s="12"/>
      <c r="K10689" s="12"/>
      <c r="L10689" s="12"/>
      <c r="M10689" s="11"/>
      <c r="N10689" s="11"/>
      <c r="O10689" s="11"/>
      <c r="P10689" s="11"/>
    </row>
    <row r="10690" spans="8:16" x14ac:dyDescent="0.25">
      <c r="H10690" s="12"/>
      <c r="I10690" s="12"/>
      <c r="J10690" s="12"/>
      <c r="K10690" s="12"/>
      <c r="L10690" s="12"/>
      <c r="M10690" s="11"/>
      <c r="N10690" s="11"/>
      <c r="O10690" s="11"/>
      <c r="P10690" s="11"/>
    </row>
    <row r="10691" spans="8:16" x14ac:dyDescent="0.25">
      <c r="H10691" s="12"/>
      <c r="I10691" s="12"/>
      <c r="J10691" s="12"/>
      <c r="K10691" s="12"/>
      <c r="L10691" s="12"/>
      <c r="M10691" s="11"/>
      <c r="N10691" s="11"/>
      <c r="O10691" s="11"/>
      <c r="P10691" s="11"/>
    </row>
    <row r="10692" spans="8:16" x14ac:dyDescent="0.25">
      <c r="H10692" s="12"/>
      <c r="I10692" s="12"/>
      <c r="J10692" s="12"/>
      <c r="K10692" s="12"/>
      <c r="L10692" s="12"/>
      <c r="M10692" s="11"/>
      <c r="N10692" s="11"/>
      <c r="O10692" s="11"/>
      <c r="P10692" s="11"/>
    </row>
    <row r="10693" spans="8:16" x14ac:dyDescent="0.25">
      <c r="H10693" s="12"/>
      <c r="I10693" s="12"/>
      <c r="J10693" s="12"/>
      <c r="K10693" s="12"/>
      <c r="L10693" s="12"/>
      <c r="M10693" s="11"/>
      <c r="N10693" s="11"/>
      <c r="O10693" s="11"/>
      <c r="P10693" s="11"/>
    </row>
    <row r="10694" spans="8:16" x14ac:dyDescent="0.25">
      <c r="H10694" s="12"/>
      <c r="I10694" s="12"/>
      <c r="J10694" s="12"/>
      <c r="K10694" s="12"/>
      <c r="L10694" s="12"/>
      <c r="M10694" s="11"/>
      <c r="N10694" s="11"/>
      <c r="O10694" s="11"/>
      <c r="P10694" s="11"/>
    </row>
    <row r="10695" spans="8:16" x14ac:dyDescent="0.25">
      <c r="H10695" s="12"/>
      <c r="I10695" s="12"/>
      <c r="J10695" s="12"/>
      <c r="K10695" s="12"/>
      <c r="L10695" s="12"/>
      <c r="M10695" s="11"/>
      <c r="N10695" s="11"/>
      <c r="O10695" s="11"/>
      <c r="P10695" s="11"/>
    </row>
    <row r="10696" spans="8:16" x14ac:dyDescent="0.25">
      <c r="H10696" s="12"/>
      <c r="I10696" s="12"/>
      <c r="J10696" s="12"/>
      <c r="K10696" s="12"/>
      <c r="L10696" s="12"/>
      <c r="M10696" s="11"/>
      <c r="N10696" s="11"/>
      <c r="O10696" s="11"/>
      <c r="P10696" s="11"/>
    </row>
    <row r="10697" spans="8:16" x14ac:dyDescent="0.25">
      <c r="H10697" s="12"/>
      <c r="I10697" s="12"/>
      <c r="J10697" s="12"/>
      <c r="K10697" s="12"/>
      <c r="L10697" s="12"/>
      <c r="M10697" s="11"/>
      <c r="N10697" s="11"/>
      <c r="O10697" s="11"/>
      <c r="P10697" s="11"/>
    </row>
    <row r="10698" spans="8:16" x14ac:dyDescent="0.25">
      <c r="H10698" s="12"/>
      <c r="I10698" s="12"/>
      <c r="J10698" s="12"/>
      <c r="K10698" s="12"/>
      <c r="L10698" s="12"/>
      <c r="M10698" s="11"/>
      <c r="N10698" s="11"/>
      <c r="O10698" s="11"/>
      <c r="P10698" s="11"/>
    </row>
    <row r="10699" spans="8:16" x14ac:dyDescent="0.25">
      <c r="H10699" s="12"/>
      <c r="I10699" s="12"/>
      <c r="J10699" s="12"/>
      <c r="K10699" s="12"/>
      <c r="L10699" s="12"/>
      <c r="M10699" s="11"/>
      <c r="N10699" s="11"/>
      <c r="O10699" s="11"/>
      <c r="P10699" s="11"/>
    </row>
    <row r="10700" spans="8:16" x14ac:dyDescent="0.25">
      <c r="H10700" s="12"/>
      <c r="I10700" s="12"/>
      <c r="J10700" s="12"/>
      <c r="K10700" s="12"/>
      <c r="L10700" s="12"/>
      <c r="M10700" s="11"/>
      <c r="N10700" s="11"/>
      <c r="O10700" s="11"/>
      <c r="P10700" s="11"/>
    </row>
    <row r="10701" spans="8:16" x14ac:dyDescent="0.25">
      <c r="H10701" s="12"/>
      <c r="I10701" s="12"/>
      <c r="J10701" s="12"/>
      <c r="K10701" s="12"/>
      <c r="L10701" s="12"/>
      <c r="M10701" s="11"/>
      <c r="N10701" s="11"/>
      <c r="O10701" s="11"/>
      <c r="P10701" s="11"/>
    </row>
    <row r="10702" spans="8:16" x14ac:dyDescent="0.25">
      <c r="H10702" s="12"/>
      <c r="I10702" s="12"/>
      <c r="J10702" s="12"/>
      <c r="K10702" s="12"/>
      <c r="L10702" s="12"/>
      <c r="M10702" s="11"/>
      <c r="N10702" s="11"/>
      <c r="O10702" s="11"/>
      <c r="P10702" s="11"/>
    </row>
    <row r="10703" spans="8:16" x14ac:dyDescent="0.25">
      <c r="H10703" s="12"/>
      <c r="I10703" s="12"/>
      <c r="J10703" s="12"/>
      <c r="K10703" s="12"/>
      <c r="L10703" s="12"/>
      <c r="M10703" s="11"/>
      <c r="N10703" s="11"/>
      <c r="O10703" s="11"/>
      <c r="P10703" s="11"/>
    </row>
    <row r="10704" spans="8:16" x14ac:dyDescent="0.25">
      <c r="H10704" s="12"/>
      <c r="I10704" s="12"/>
      <c r="J10704" s="12"/>
      <c r="K10704" s="12"/>
      <c r="L10704" s="12"/>
      <c r="M10704" s="11"/>
      <c r="N10704" s="11"/>
      <c r="O10704" s="11"/>
      <c r="P10704" s="11"/>
    </row>
    <row r="10705" spans="8:16" x14ac:dyDescent="0.25">
      <c r="H10705" s="12"/>
      <c r="I10705" s="12"/>
      <c r="J10705" s="12"/>
      <c r="K10705" s="12"/>
      <c r="L10705" s="12"/>
      <c r="M10705" s="11"/>
      <c r="N10705" s="11"/>
      <c r="O10705" s="11"/>
      <c r="P10705" s="11"/>
    </row>
    <row r="10706" spans="8:16" x14ac:dyDescent="0.25">
      <c r="H10706" s="12"/>
      <c r="I10706" s="12"/>
      <c r="J10706" s="12"/>
      <c r="K10706" s="12"/>
      <c r="L10706" s="12"/>
      <c r="M10706" s="11"/>
      <c r="N10706" s="11"/>
      <c r="O10706" s="11"/>
      <c r="P10706" s="11"/>
    </row>
    <row r="10707" spans="8:16" x14ac:dyDescent="0.25">
      <c r="H10707" s="12"/>
      <c r="I10707" s="12"/>
      <c r="J10707" s="12"/>
      <c r="K10707" s="12"/>
      <c r="L10707" s="12"/>
      <c r="M10707" s="11"/>
      <c r="N10707" s="11"/>
      <c r="O10707" s="11"/>
      <c r="P10707" s="11"/>
    </row>
    <row r="10708" spans="8:16" x14ac:dyDescent="0.25">
      <c r="H10708" s="12"/>
      <c r="I10708" s="12"/>
      <c r="J10708" s="12"/>
      <c r="K10708" s="12"/>
      <c r="L10708" s="12"/>
      <c r="M10708" s="11"/>
      <c r="N10708" s="11"/>
      <c r="O10708" s="11"/>
      <c r="P10708" s="11"/>
    </row>
    <row r="10709" spans="8:16" x14ac:dyDescent="0.25">
      <c r="H10709" s="12"/>
      <c r="I10709" s="12"/>
      <c r="J10709" s="12"/>
      <c r="K10709" s="12"/>
      <c r="L10709" s="12"/>
      <c r="M10709" s="11"/>
      <c r="N10709" s="11"/>
      <c r="O10709" s="11"/>
      <c r="P10709" s="11"/>
    </row>
    <row r="10710" spans="8:16" x14ac:dyDescent="0.25">
      <c r="H10710" s="12"/>
      <c r="I10710" s="12"/>
      <c r="J10710" s="12"/>
      <c r="K10710" s="12"/>
      <c r="L10710" s="12"/>
      <c r="M10710" s="11"/>
      <c r="N10710" s="11"/>
      <c r="O10710" s="11"/>
      <c r="P10710" s="11"/>
    </row>
    <row r="10711" spans="8:16" x14ac:dyDescent="0.25">
      <c r="H10711" s="12"/>
      <c r="I10711" s="12"/>
      <c r="J10711" s="12"/>
      <c r="K10711" s="12"/>
      <c r="L10711" s="12"/>
      <c r="M10711" s="11"/>
      <c r="N10711" s="11"/>
      <c r="O10711" s="11"/>
      <c r="P10711" s="11"/>
    </row>
    <row r="10712" spans="8:16" x14ac:dyDescent="0.25">
      <c r="H10712" s="12"/>
      <c r="I10712" s="12"/>
      <c r="J10712" s="12"/>
      <c r="K10712" s="12"/>
      <c r="L10712" s="12"/>
      <c r="M10712" s="11"/>
      <c r="N10712" s="11"/>
      <c r="O10712" s="11"/>
      <c r="P10712" s="11"/>
    </row>
    <row r="10713" spans="8:16" x14ac:dyDescent="0.25">
      <c r="H10713" s="12"/>
      <c r="I10713" s="12"/>
      <c r="J10713" s="12"/>
      <c r="K10713" s="12"/>
      <c r="L10713" s="12"/>
      <c r="M10713" s="11"/>
      <c r="N10713" s="11"/>
      <c r="O10713" s="11"/>
      <c r="P10713" s="11"/>
    </row>
    <row r="10714" spans="8:16" x14ac:dyDescent="0.25">
      <c r="H10714" s="12"/>
      <c r="I10714" s="12"/>
      <c r="J10714" s="12"/>
      <c r="K10714" s="12"/>
      <c r="L10714" s="12"/>
      <c r="M10714" s="11"/>
      <c r="N10714" s="11"/>
      <c r="O10714" s="11"/>
      <c r="P10714" s="11"/>
    </row>
    <row r="10715" spans="8:16" x14ac:dyDescent="0.25">
      <c r="H10715" s="12"/>
      <c r="I10715" s="12"/>
      <c r="J10715" s="12"/>
      <c r="K10715" s="12"/>
      <c r="L10715" s="12"/>
      <c r="M10715" s="11"/>
      <c r="N10715" s="11"/>
      <c r="O10715" s="11"/>
      <c r="P10715" s="11"/>
    </row>
    <row r="10716" spans="8:16" x14ac:dyDescent="0.25">
      <c r="H10716" s="12"/>
      <c r="I10716" s="12"/>
      <c r="J10716" s="12"/>
      <c r="K10716" s="12"/>
      <c r="L10716" s="12"/>
      <c r="M10716" s="11"/>
      <c r="N10716" s="11"/>
      <c r="O10716" s="11"/>
      <c r="P10716" s="11"/>
    </row>
    <row r="10717" spans="8:16" x14ac:dyDescent="0.25">
      <c r="H10717" s="12"/>
      <c r="I10717" s="12"/>
      <c r="J10717" s="12"/>
      <c r="K10717" s="12"/>
      <c r="L10717" s="12"/>
      <c r="M10717" s="11"/>
      <c r="N10717" s="11"/>
      <c r="O10717" s="11"/>
      <c r="P10717" s="11"/>
    </row>
    <row r="10718" spans="8:16" x14ac:dyDescent="0.25">
      <c r="H10718" s="12"/>
      <c r="I10718" s="12"/>
      <c r="J10718" s="12"/>
      <c r="K10718" s="12"/>
      <c r="L10718" s="12"/>
      <c r="M10718" s="11"/>
      <c r="N10718" s="11"/>
      <c r="O10718" s="11"/>
      <c r="P10718" s="11"/>
    </row>
    <row r="10719" spans="8:16" x14ac:dyDescent="0.25">
      <c r="H10719" s="12"/>
      <c r="I10719" s="12"/>
      <c r="J10719" s="12"/>
      <c r="K10719" s="12"/>
      <c r="L10719" s="12"/>
      <c r="M10719" s="11"/>
      <c r="N10719" s="11"/>
      <c r="O10719" s="11"/>
      <c r="P10719" s="11"/>
    </row>
    <row r="10720" spans="8:16" x14ac:dyDescent="0.25">
      <c r="H10720" s="12"/>
      <c r="I10720" s="12"/>
      <c r="J10720" s="12"/>
      <c r="K10720" s="12"/>
      <c r="L10720" s="12"/>
      <c r="M10720" s="11"/>
      <c r="N10720" s="11"/>
      <c r="O10720" s="11"/>
      <c r="P10720" s="11"/>
    </row>
    <row r="10721" spans="8:16" x14ac:dyDescent="0.25">
      <c r="H10721" s="12"/>
      <c r="I10721" s="12"/>
      <c r="J10721" s="12"/>
      <c r="K10721" s="12"/>
      <c r="L10721" s="12"/>
      <c r="M10721" s="11"/>
      <c r="N10721" s="11"/>
      <c r="O10721" s="11"/>
      <c r="P10721" s="11"/>
    </row>
    <row r="10722" spans="8:16" x14ac:dyDescent="0.25">
      <c r="H10722" s="12"/>
      <c r="I10722" s="12"/>
      <c r="J10722" s="12"/>
      <c r="K10722" s="12"/>
      <c r="L10722" s="12"/>
      <c r="M10722" s="11"/>
      <c r="N10722" s="11"/>
      <c r="O10722" s="11"/>
      <c r="P10722" s="11"/>
    </row>
    <row r="10723" spans="8:16" x14ac:dyDescent="0.25">
      <c r="H10723" s="12"/>
      <c r="I10723" s="12"/>
      <c r="J10723" s="12"/>
      <c r="K10723" s="12"/>
      <c r="L10723" s="12"/>
      <c r="M10723" s="11"/>
      <c r="N10723" s="11"/>
      <c r="O10723" s="11"/>
      <c r="P10723" s="11"/>
    </row>
    <row r="10724" spans="8:16" x14ac:dyDescent="0.25">
      <c r="H10724" s="12"/>
      <c r="I10724" s="12"/>
      <c r="J10724" s="12"/>
      <c r="K10724" s="12"/>
      <c r="L10724" s="12"/>
      <c r="M10724" s="11"/>
      <c r="N10724" s="11"/>
      <c r="O10724" s="11"/>
      <c r="P10724" s="11"/>
    </row>
    <row r="10725" spans="8:16" x14ac:dyDescent="0.25">
      <c r="H10725" s="12"/>
      <c r="I10725" s="12"/>
      <c r="J10725" s="12"/>
      <c r="K10725" s="12"/>
      <c r="L10725" s="12"/>
      <c r="M10725" s="11"/>
      <c r="N10725" s="11"/>
      <c r="O10725" s="11"/>
      <c r="P10725" s="11"/>
    </row>
    <row r="10726" spans="8:16" x14ac:dyDescent="0.25">
      <c r="H10726" s="12"/>
      <c r="I10726" s="12"/>
      <c r="J10726" s="12"/>
      <c r="K10726" s="12"/>
      <c r="L10726" s="12"/>
      <c r="M10726" s="11"/>
      <c r="N10726" s="11"/>
      <c r="O10726" s="11"/>
      <c r="P10726" s="11"/>
    </row>
    <row r="10727" spans="8:16" x14ac:dyDescent="0.25">
      <c r="H10727" s="12"/>
      <c r="I10727" s="12"/>
      <c r="J10727" s="12"/>
      <c r="K10727" s="12"/>
      <c r="L10727" s="12"/>
      <c r="M10727" s="11"/>
      <c r="N10727" s="11"/>
      <c r="O10727" s="11"/>
      <c r="P10727" s="11"/>
    </row>
    <row r="10728" spans="8:16" x14ac:dyDescent="0.25">
      <c r="H10728" s="12"/>
      <c r="I10728" s="12"/>
      <c r="J10728" s="12"/>
      <c r="K10728" s="12"/>
      <c r="L10728" s="12"/>
      <c r="M10728" s="11"/>
      <c r="N10728" s="11"/>
      <c r="O10728" s="11"/>
      <c r="P10728" s="11"/>
    </row>
    <row r="10729" spans="8:16" x14ac:dyDescent="0.25">
      <c r="H10729" s="12"/>
      <c r="I10729" s="12"/>
      <c r="J10729" s="12"/>
      <c r="K10729" s="12"/>
      <c r="L10729" s="12"/>
      <c r="M10729" s="11"/>
      <c r="N10729" s="11"/>
      <c r="O10729" s="11"/>
      <c r="P10729" s="11"/>
    </row>
    <row r="10730" spans="8:16" x14ac:dyDescent="0.25">
      <c r="H10730" s="12"/>
      <c r="I10730" s="12"/>
      <c r="J10730" s="12"/>
      <c r="K10730" s="12"/>
      <c r="L10730" s="12"/>
      <c r="M10730" s="11"/>
      <c r="N10730" s="11"/>
      <c r="O10730" s="11"/>
      <c r="P10730" s="11"/>
    </row>
    <row r="10731" spans="8:16" x14ac:dyDescent="0.25">
      <c r="H10731" s="12"/>
      <c r="I10731" s="12"/>
      <c r="J10731" s="12"/>
      <c r="K10731" s="12"/>
      <c r="L10731" s="12"/>
      <c r="M10731" s="11"/>
      <c r="N10731" s="11"/>
      <c r="O10731" s="11"/>
      <c r="P10731" s="11"/>
    </row>
    <row r="10732" spans="8:16" x14ac:dyDescent="0.25">
      <c r="H10732" s="12"/>
      <c r="I10732" s="12"/>
      <c r="J10732" s="12"/>
      <c r="K10732" s="12"/>
      <c r="L10732" s="12"/>
      <c r="M10732" s="11"/>
      <c r="N10732" s="11"/>
      <c r="O10732" s="11"/>
      <c r="P10732" s="11"/>
    </row>
    <row r="10733" spans="8:16" x14ac:dyDescent="0.25">
      <c r="H10733" s="12"/>
      <c r="I10733" s="12"/>
      <c r="J10733" s="12"/>
      <c r="K10733" s="12"/>
      <c r="L10733" s="12"/>
      <c r="M10733" s="11"/>
      <c r="N10733" s="11"/>
      <c r="O10733" s="11"/>
      <c r="P10733" s="11"/>
    </row>
    <row r="10734" spans="8:16" x14ac:dyDescent="0.25">
      <c r="H10734" s="12"/>
      <c r="I10734" s="12"/>
      <c r="J10734" s="12"/>
      <c r="K10734" s="12"/>
      <c r="L10734" s="12"/>
      <c r="M10734" s="11"/>
      <c r="N10734" s="11"/>
      <c r="O10734" s="11"/>
      <c r="P10734" s="11"/>
    </row>
    <row r="10735" spans="8:16" x14ac:dyDescent="0.25">
      <c r="H10735" s="12"/>
      <c r="I10735" s="12"/>
      <c r="J10735" s="12"/>
      <c r="K10735" s="12"/>
      <c r="L10735" s="12"/>
      <c r="M10735" s="11"/>
      <c r="N10735" s="11"/>
      <c r="O10735" s="11"/>
      <c r="P10735" s="11"/>
    </row>
    <row r="10736" spans="8:16" x14ac:dyDescent="0.25">
      <c r="H10736" s="12"/>
      <c r="I10736" s="12"/>
      <c r="J10736" s="12"/>
      <c r="K10736" s="12"/>
      <c r="L10736" s="12"/>
      <c r="M10736" s="11"/>
      <c r="N10736" s="11"/>
      <c r="O10736" s="11"/>
      <c r="P10736" s="11"/>
    </row>
    <row r="10737" spans="8:16" x14ac:dyDescent="0.25">
      <c r="H10737" s="12"/>
      <c r="I10737" s="12"/>
      <c r="J10737" s="12"/>
      <c r="K10737" s="12"/>
      <c r="L10737" s="12"/>
      <c r="M10737" s="11"/>
      <c r="N10737" s="11"/>
      <c r="O10737" s="11"/>
      <c r="P10737" s="11"/>
    </row>
    <row r="10738" spans="8:16" x14ac:dyDescent="0.25">
      <c r="H10738" s="12"/>
      <c r="I10738" s="12"/>
      <c r="J10738" s="12"/>
      <c r="K10738" s="12"/>
      <c r="L10738" s="12"/>
      <c r="M10738" s="11"/>
      <c r="N10738" s="11"/>
      <c r="O10738" s="11"/>
      <c r="P10738" s="11"/>
    </row>
    <row r="10739" spans="8:16" x14ac:dyDescent="0.25">
      <c r="H10739" s="12"/>
      <c r="I10739" s="12"/>
      <c r="J10739" s="12"/>
      <c r="K10739" s="12"/>
      <c r="L10739" s="12"/>
      <c r="M10739" s="11"/>
      <c r="N10739" s="11"/>
      <c r="O10739" s="11"/>
      <c r="P10739" s="11"/>
    </row>
    <row r="10740" spans="8:16" x14ac:dyDescent="0.25">
      <c r="H10740" s="12"/>
      <c r="I10740" s="12"/>
      <c r="J10740" s="12"/>
      <c r="K10740" s="12"/>
      <c r="L10740" s="12"/>
      <c r="M10740" s="11"/>
      <c r="N10740" s="11"/>
      <c r="O10740" s="11"/>
      <c r="P10740" s="11"/>
    </row>
    <row r="10741" spans="8:16" x14ac:dyDescent="0.25">
      <c r="H10741" s="12"/>
      <c r="I10741" s="12"/>
      <c r="J10741" s="12"/>
      <c r="K10741" s="12"/>
      <c r="L10741" s="12"/>
      <c r="M10741" s="11"/>
      <c r="N10741" s="11"/>
      <c r="O10741" s="11"/>
      <c r="P10741" s="11"/>
    </row>
    <row r="10742" spans="8:16" x14ac:dyDescent="0.25">
      <c r="H10742" s="12"/>
      <c r="I10742" s="12"/>
      <c r="J10742" s="12"/>
      <c r="K10742" s="12"/>
      <c r="L10742" s="12"/>
      <c r="M10742" s="11"/>
      <c r="N10742" s="11"/>
      <c r="O10742" s="11"/>
      <c r="P10742" s="11"/>
    </row>
    <row r="10743" spans="8:16" x14ac:dyDescent="0.25">
      <c r="H10743" s="12"/>
      <c r="I10743" s="12"/>
      <c r="J10743" s="12"/>
      <c r="K10743" s="12"/>
      <c r="L10743" s="12"/>
      <c r="M10743" s="11"/>
      <c r="N10743" s="11"/>
      <c r="O10743" s="11"/>
      <c r="P10743" s="11"/>
    </row>
    <row r="10744" spans="8:16" x14ac:dyDescent="0.25">
      <c r="H10744" s="12"/>
      <c r="I10744" s="12"/>
      <c r="J10744" s="12"/>
      <c r="K10744" s="12"/>
      <c r="L10744" s="12"/>
      <c r="M10744" s="11"/>
      <c r="N10744" s="11"/>
      <c r="O10744" s="11"/>
      <c r="P10744" s="11"/>
    </row>
    <row r="10745" spans="8:16" x14ac:dyDescent="0.25">
      <c r="H10745" s="12"/>
      <c r="I10745" s="12"/>
      <c r="J10745" s="12"/>
      <c r="K10745" s="12"/>
      <c r="L10745" s="12"/>
      <c r="M10745" s="11"/>
      <c r="N10745" s="11"/>
      <c r="O10745" s="11"/>
      <c r="P10745" s="11"/>
    </row>
    <row r="10746" spans="8:16" x14ac:dyDescent="0.25">
      <c r="H10746" s="12"/>
      <c r="I10746" s="12"/>
      <c r="J10746" s="12"/>
      <c r="K10746" s="12"/>
      <c r="L10746" s="12"/>
      <c r="M10746" s="11"/>
      <c r="N10746" s="11"/>
      <c r="O10746" s="11"/>
      <c r="P10746" s="11"/>
    </row>
    <row r="10747" spans="8:16" x14ac:dyDescent="0.25">
      <c r="H10747" s="12"/>
      <c r="I10747" s="12"/>
      <c r="J10747" s="12"/>
      <c r="K10747" s="12"/>
      <c r="L10747" s="12"/>
      <c r="M10747" s="11"/>
      <c r="N10747" s="11"/>
      <c r="O10747" s="11"/>
      <c r="P10747" s="11"/>
    </row>
    <row r="10748" spans="8:16" x14ac:dyDescent="0.25">
      <c r="H10748" s="12"/>
      <c r="I10748" s="12"/>
      <c r="J10748" s="12"/>
      <c r="K10748" s="12"/>
      <c r="L10748" s="12"/>
      <c r="M10748" s="11"/>
      <c r="N10748" s="11"/>
      <c r="O10748" s="11"/>
      <c r="P10748" s="11"/>
    </row>
    <row r="10749" spans="8:16" x14ac:dyDescent="0.25">
      <c r="H10749" s="12"/>
      <c r="I10749" s="12"/>
      <c r="J10749" s="12"/>
      <c r="K10749" s="12"/>
      <c r="L10749" s="12"/>
      <c r="M10749" s="11"/>
      <c r="N10749" s="11"/>
      <c r="O10749" s="11"/>
      <c r="P10749" s="11"/>
    </row>
    <row r="10750" spans="8:16" x14ac:dyDescent="0.25">
      <c r="H10750" s="12"/>
      <c r="I10750" s="12"/>
      <c r="J10750" s="12"/>
      <c r="K10750" s="12"/>
      <c r="L10750" s="12"/>
      <c r="M10750" s="11"/>
      <c r="N10750" s="11"/>
      <c r="O10750" s="11"/>
      <c r="P10750" s="11"/>
    </row>
    <row r="10751" spans="8:16" x14ac:dyDescent="0.25">
      <c r="H10751" s="12"/>
      <c r="I10751" s="12"/>
      <c r="J10751" s="12"/>
      <c r="K10751" s="12"/>
      <c r="L10751" s="12"/>
      <c r="M10751" s="11"/>
      <c r="N10751" s="11"/>
      <c r="O10751" s="11"/>
      <c r="P10751" s="11"/>
    </row>
    <row r="10752" spans="8:16" x14ac:dyDescent="0.25">
      <c r="H10752" s="12"/>
      <c r="I10752" s="12"/>
      <c r="J10752" s="12"/>
      <c r="K10752" s="12"/>
      <c r="L10752" s="12"/>
      <c r="M10752" s="11"/>
      <c r="N10752" s="11"/>
      <c r="O10752" s="11"/>
      <c r="P10752" s="11"/>
    </row>
    <row r="10753" spans="8:16" x14ac:dyDescent="0.25">
      <c r="H10753" s="12"/>
      <c r="I10753" s="12"/>
      <c r="J10753" s="12"/>
      <c r="K10753" s="12"/>
      <c r="L10753" s="12"/>
      <c r="M10753" s="11"/>
      <c r="N10753" s="11"/>
      <c r="O10753" s="11"/>
      <c r="P10753" s="11"/>
    </row>
    <row r="10754" spans="8:16" x14ac:dyDescent="0.25">
      <c r="H10754" s="12"/>
      <c r="I10754" s="12"/>
      <c r="J10754" s="12"/>
      <c r="K10754" s="12"/>
      <c r="L10754" s="12"/>
      <c r="M10754" s="11"/>
      <c r="N10754" s="11"/>
      <c r="O10754" s="11"/>
      <c r="P10754" s="11"/>
    </row>
    <row r="10755" spans="8:16" x14ac:dyDescent="0.25">
      <c r="H10755" s="12"/>
      <c r="I10755" s="12"/>
      <c r="J10755" s="12"/>
      <c r="K10755" s="12"/>
      <c r="L10755" s="12"/>
      <c r="M10755" s="11"/>
      <c r="N10755" s="11"/>
      <c r="O10755" s="11"/>
      <c r="P10755" s="11"/>
    </row>
    <row r="10756" spans="8:16" x14ac:dyDescent="0.25">
      <c r="H10756" s="12"/>
      <c r="I10756" s="12"/>
      <c r="J10756" s="12"/>
      <c r="K10756" s="12"/>
      <c r="L10756" s="12"/>
      <c r="M10756" s="11"/>
      <c r="N10756" s="11"/>
      <c r="O10756" s="11"/>
      <c r="P10756" s="11"/>
    </row>
    <row r="10757" spans="8:16" x14ac:dyDescent="0.25">
      <c r="H10757" s="12"/>
      <c r="I10757" s="12"/>
      <c r="J10757" s="12"/>
      <c r="K10757" s="12"/>
      <c r="L10757" s="12"/>
      <c r="M10757" s="11"/>
      <c r="N10757" s="11"/>
      <c r="O10757" s="11"/>
      <c r="P10757" s="11"/>
    </row>
    <row r="10758" spans="8:16" x14ac:dyDescent="0.25">
      <c r="H10758" s="12"/>
      <c r="I10758" s="12"/>
      <c r="J10758" s="12"/>
      <c r="K10758" s="12"/>
      <c r="L10758" s="12"/>
      <c r="M10758" s="11"/>
      <c r="N10758" s="11"/>
      <c r="O10758" s="11"/>
      <c r="P10758" s="11"/>
    </row>
    <row r="10759" spans="8:16" x14ac:dyDescent="0.25">
      <c r="H10759" s="12"/>
      <c r="I10759" s="12"/>
      <c r="J10759" s="12"/>
      <c r="K10759" s="12"/>
      <c r="L10759" s="12"/>
      <c r="M10759" s="11"/>
      <c r="N10759" s="11"/>
      <c r="O10759" s="11"/>
      <c r="P10759" s="11"/>
    </row>
    <row r="10760" spans="8:16" x14ac:dyDescent="0.25">
      <c r="H10760" s="12"/>
      <c r="I10760" s="12"/>
      <c r="J10760" s="12"/>
      <c r="K10760" s="12"/>
      <c r="L10760" s="12"/>
      <c r="M10760" s="11"/>
      <c r="N10760" s="11"/>
      <c r="O10760" s="11"/>
      <c r="P10760" s="11"/>
    </row>
    <row r="10761" spans="8:16" x14ac:dyDescent="0.25">
      <c r="H10761" s="12"/>
      <c r="I10761" s="12"/>
      <c r="J10761" s="12"/>
      <c r="K10761" s="12"/>
      <c r="L10761" s="12"/>
      <c r="M10761" s="11"/>
      <c r="N10761" s="11"/>
      <c r="O10761" s="11"/>
      <c r="P10761" s="11"/>
    </row>
    <row r="10762" spans="8:16" x14ac:dyDescent="0.25">
      <c r="H10762" s="12"/>
      <c r="I10762" s="12"/>
      <c r="J10762" s="12"/>
      <c r="K10762" s="12"/>
      <c r="L10762" s="12"/>
      <c r="M10762" s="11"/>
      <c r="N10762" s="11"/>
      <c r="O10762" s="11"/>
      <c r="P10762" s="11"/>
    </row>
    <row r="10763" spans="8:16" x14ac:dyDescent="0.25">
      <c r="H10763" s="12"/>
      <c r="I10763" s="12"/>
      <c r="J10763" s="12"/>
      <c r="K10763" s="12"/>
      <c r="L10763" s="12"/>
      <c r="M10763" s="11"/>
      <c r="N10763" s="11"/>
      <c r="O10763" s="11"/>
      <c r="P10763" s="11"/>
    </row>
    <row r="10764" spans="8:16" x14ac:dyDescent="0.25">
      <c r="H10764" s="12"/>
      <c r="I10764" s="12"/>
      <c r="J10764" s="12"/>
      <c r="K10764" s="12"/>
      <c r="L10764" s="12"/>
      <c r="M10764" s="11"/>
      <c r="N10764" s="11"/>
      <c r="O10764" s="11"/>
      <c r="P10764" s="11"/>
    </row>
    <row r="10765" spans="8:16" x14ac:dyDescent="0.25">
      <c r="H10765" s="12"/>
      <c r="I10765" s="12"/>
      <c r="J10765" s="12"/>
      <c r="K10765" s="12"/>
      <c r="L10765" s="12"/>
      <c r="M10765" s="11"/>
      <c r="N10765" s="11"/>
      <c r="O10765" s="11"/>
      <c r="P10765" s="11"/>
    </row>
    <row r="10766" spans="8:16" x14ac:dyDescent="0.25">
      <c r="H10766" s="12"/>
      <c r="I10766" s="12"/>
      <c r="J10766" s="12"/>
      <c r="K10766" s="12"/>
      <c r="L10766" s="12"/>
      <c r="M10766" s="11"/>
      <c r="N10766" s="11"/>
      <c r="O10766" s="11"/>
      <c r="P10766" s="11"/>
    </row>
    <row r="10767" spans="8:16" x14ac:dyDescent="0.25">
      <c r="H10767" s="12"/>
      <c r="I10767" s="12"/>
      <c r="J10767" s="12"/>
      <c r="K10767" s="12"/>
      <c r="L10767" s="12"/>
      <c r="M10767" s="11"/>
      <c r="N10767" s="11"/>
      <c r="O10767" s="11"/>
      <c r="P10767" s="11"/>
    </row>
    <row r="10768" spans="8:16" x14ac:dyDescent="0.25">
      <c r="H10768" s="12"/>
      <c r="I10768" s="12"/>
      <c r="J10768" s="12"/>
      <c r="K10768" s="12"/>
      <c r="L10768" s="12"/>
      <c r="M10768" s="11"/>
      <c r="N10768" s="11"/>
      <c r="O10768" s="11"/>
      <c r="P10768" s="11"/>
    </row>
    <row r="10769" spans="8:16" x14ac:dyDescent="0.25">
      <c r="H10769" s="12"/>
      <c r="I10769" s="12"/>
      <c r="J10769" s="12"/>
      <c r="K10769" s="12"/>
      <c r="L10769" s="12"/>
      <c r="M10769" s="11"/>
      <c r="N10769" s="11"/>
      <c r="O10769" s="11"/>
      <c r="P10769" s="11"/>
    </row>
    <row r="10770" spans="8:16" x14ac:dyDescent="0.25">
      <c r="H10770" s="12"/>
      <c r="I10770" s="12"/>
      <c r="J10770" s="12"/>
      <c r="K10770" s="12"/>
      <c r="L10770" s="12"/>
      <c r="M10770" s="11"/>
      <c r="N10770" s="11"/>
      <c r="O10770" s="11"/>
      <c r="P10770" s="11"/>
    </row>
    <row r="10771" spans="8:16" x14ac:dyDescent="0.25">
      <c r="H10771" s="12"/>
      <c r="I10771" s="12"/>
      <c r="J10771" s="12"/>
      <c r="K10771" s="12"/>
      <c r="L10771" s="12"/>
      <c r="M10771" s="11"/>
      <c r="N10771" s="11"/>
      <c r="O10771" s="11"/>
      <c r="P10771" s="11"/>
    </row>
    <row r="10772" spans="8:16" x14ac:dyDescent="0.25">
      <c r="H10772" s="12"/>
      <c r="I10772" s="12"/>
      <c r="J10772" s="12"/>
      <c r="K10772" s="12"/>
      <c r="L10772" s="12"/>
      <c r="M10772" s="11"/>
      <c r="N10772" s="11"/>
      <c r="O10772" s="11"/>
      <c r="P10772" s="11"/>
    </row>
    <row r="10773" spans="8:16" x14ac:dyDescent="0.25">
      <c r="H10773" s="12"/>
      <c r="I10773" s="12"/>
      <c r="J10773" s="12"/>
      <c r="K10773" s="12"/>
      <c r="L10773" s="12"/>
      <c r="M10773" s="11"/>
      <c r="N10773" s="11"/>
      <c r="O10773" s="11"/>
      <c r="P10773" s="11"/>
    </row>
    <row r="10774" spans="8:16" x14ac:dyDescent="0.25">
      <c r="H10774" s="12"/>
      <c r="I10774" s="12"/>
      <c r="J10774" s="12"/>
      <c r="K10774" s="12"/>
      <c r="L10774" s="12"/>
      <c r="M10774" s="11"/>
      <c r="N10774" s="11"/>
      <c r="O10774" s="11"/>
      <c r="P10774" s="11"/>
    </row>
    <row r="10775" spans="8:16" x14ac:dyDescent="0.25">
      <c r="H10775" s="12"/>
      <c r="I10775" s="12"/>
      <c r="J10775" s="12"/>
      <c r="K10775" s="12"/>
      <c r="L10775" s="12"/>
      <c r="M10775" s="11"/>
      <c r="N10775" s="11"/>
      <c r="O10775" s="11"/>
      <c r="P10775" s="11"/>
    </row>
    <row r="10776" spans="8:16" x14ac:dyDescent="0.25">
      <c r="H10776" s="12"/>
      <c r="I10776" s="12"/>
      <c r="J10776" s="12"/>
      <c r="K10776" s="12"/>
      <c r="L10776" s="12"/>
      <c r="M10776" s="11"/>
      <c r="N10776" s="11"/>
      <c r="O10776" s="11"/>
      <c r="P10776" s="11"/>
    </row>
    <row r="10777" spans="8:16" x14ac:dyDescent="0.25">
      <c r="H10777" s="12"/>
      <c r="I10777" s="12"/>
      <c r="J10777" s="12"/>
      <c r="K10777" s="12"/>
      <c r="L10777" s="12"/>
      <c r="M10777" s="11"/>
      <c r="N10777" s="11"/>
      <c r="O10777" s="11"/>
      <c r="P10777" s="11"/>
    </row>
    <row r="10778" spans="8:16" x14ac:dyDescent="0.25">
      <c r="H10778" s="12"/>
      <c r="I10778" s="12"/>
      <c r="J10778" s="12"/>
      <c r="K10778" s="12"/>
      <c r="L10778" s="12"/>
      <c r="M10778" s="11"/>
      <c r="N10778" s="11"/>
      <c r="O10778" s="11"/>
      <c r="P10778" s="11"/>
    </row>
    <row r="10779" spans="8:16" x14ac:dyDescent="0.25">
      <c r="H10779" s="12"/>
      <c r="I10779" s="12"/>
      <c r="J10779" s="12"/>
      <c r="K10779" s="12"/>
      <c r="L10779" s="12"/>
      <c r="M10779" s="11"/>
      <c r="N10779" s="11"/>
      <c r="O10779" s="11"/>
      <c r="P10779" s="11"/>
    </row>
    <row r="10780" spans="8:16" x14ac:dyDescent="0.25">
      <c r="H10780" s="12"/>
      <c r="I10780" s="12"/>
      <c r="J10780" s="12"/>
      <c r="K10780" s="12"/>
      <c r="L10780" s="12"/>
      <c r="M10780" s="11"/>
      <c r="N10780" s="11"/>
      <c r="O10780" s="11"/>
      <c r="P10780" s="11"/>
    </row>
    <row r="10781" spans="8:16" x14ac:dyDescent="0.25">
      <c r="H10781" s="12"/>
      <c r="I10781" s="12"/>
      <c r="J10781" s="12"/>
      <c r="K10781" s="12"/>
      <c r="L10781" s="12"/>
      <c r="M10781" s="11"/>
      <c r="N10781" s="11"/>
      <c r="O10781" s="11"/>
      <c r="P10781" s="11"/>
    </row>
    <row r="10782" spans="8:16" x14ac:dyDescent="0.25">
      <c r="H10782" s="12"/>
      <c r="I10782" s="12"/>
      <c r="J10782" s="12"/>
      <c r="K10782" s="12"/>
      <c r="L10782" s="12"/>
      <c r="M10782" s="11"/>
      <c r="N10782" s="11"/>
      <c r="O10782" s="11"/>
      <c r="P10782" s="11"/>
    </row>
    <row r="10783" spans="8:16" x14ac:dyDescent="0.25">
      <c r="H10783" s="12"/>
      <c r="I10783" s="12"/>
      <c r="J10783" s="12"/>
      <c r="K10783" s="12"/>
      <c r="L10783" s="12"/>
      <c r="M10783" s="11"/>
      <c r="N10783" s="11"/>
      <c r="O10783" s="11"/>
      <c r="P10783" s="11"/>
    </row>
    <row r="10784" spans="8:16" x14ac:dyDescent="0.25">
      <c r="H10784" s="12"/>
      <c r="I10784" s="12"/>
      <c r="J10784" s="12"/>
      <c r="K10784" s="12"/>
      <c r="L10784" s="12"/>
      <c r="M10784" s="11"/>
      <c r="N10784" s="11"/>
      <c r="O10784" s="11"/>
      <c r="P10784" s="11"/>
    </row>
    <row r="10785" spans="8:16" x14ac:dyDescent="0.25">
      <c r="H10785" s="12"/>
      <c r="I10785" s="12"/>
      <c r="J10785" s="12"/>
      <c r="K10785" s="12"/>
      <c r="L10785" s="12"/>
      <c r="M10785" s="11"/>
      <c r="N10785" s="11"/>
      <c r="O10785" s="11"/>
      <c r="P10785" s="11"/>
    </row>
    <row r="10786" spans="8:16" x14ac:dyDescent="0.25">
      <c r="H10786" s="12"/>
      <c r="I10786" s="12"/>
      <c r="J10786" s="12"/>
      <c r="K10786" s="12"/>
      <c r="L10786" s="12"/>
      <c r="M10786" s="11"/>
      <c r="N10786" s="11"/>
      <c r="O10786" s="11"/>
      <c r="P10786" s="11"/>
    </row>
    <row r="10787" spans="8:16" x14ac:dyDescent="0.25">
      <c r="H10787" s="12"/>
      <c r="I10787" s="12"/>
      <c r="J10787" s="12"/>
      <c r="K10787" s="12"/>
      <c r="L10787" s="12"/>
      <c r="M10787" s="11"/>
      <c r="N10787" s="11"/>
      <c r="O10787" s="11"/>
      <c r="P10787" s="11"/>
    </row>
    <row r="10788" spans="8:16" x14ac:dyDescent="0.25">
      <c r="H10788" s="12"/>
      <c r="I10788" s="12"/>
      <c r="J10788" s="12"/>
      <c r="K10788" s="12"/>
      <c r="L10788" s="12"/>
      <c r="M10788" s="11"/>
      <c r="N10788" s="11"/>
      <c r="O10788" s="11"/>
      <c r="P10788" s="11"/>
    </row>
    <row r="10789" spans="8:16" x14ac:dyDescent="0.25">
      <c r="H10789" s="12"/>
      <c r="I10789" s="12"/>
      <c r="J10789" s="12"/>
      <c r="K10789" s="12"/>
      <c r="L10789" s="12"/>
      <c r="M10789" s="11"/>
      <c r="N10789" s="11"/>
      <c r="O10789" s="11"/>
      <c r="P10789" s="11"/>
    </row>
    <row r="10790" spans="8:16" x14ac:dyDescent="0.25">
      <c r="H10790" s="12"/>
      <c r="I10790" s="12"/>
      <c r="J10790" s="12"/>
      <c r="K10790" s="12"/>
      <c r="L10790" s="12"/>
      <c r="M10790" s="11"/>
      <c r="N10790" s="11"/>
      <c r="O10790" s="11"/>
      <c r="P10790" s="11"/>
    </row>
    <row r="10791" spans="8:16" x14ac:dyDescent="0.25">
      <c r="H10791" s="12"/>
      <c r="I10791" s="12"/>
      <c r="J10791" s="12"/>
      <c r="K10791" s="12"/>
      <c r="L10791" s="12"/>
      <c r="M10791" s="11"/>
      <c r="N10791" s="11"/>
      <c r="O10791" s="11"/>
      <c r="P10791" s="11"/>
    </row>
    <row r="10792" spans="8:16" x14ac:dyDescent="0.25">
      <c r="H10792" s="12"/>
      <c r="I10792" s="12"/>
      <c r="J10792" s="12"/>
      <c r="K10792" s="12"/>
      <c r="L10792" s="12"/>
      <c r="M10792" s="11"/>
      <c r="N10792" s="11"/>
      <c r="O10792" s="11"/>
      <c r="P10792" s="11"/>
    </row>
    <row r="10793" spans="8:16" x14ac:dyDescent="0.25">
      <c r="H10793" s="12"/>
      <c r="I10793" s="12"/>
      <c r="J10793" s="12"/>
      <c r="K10793" s="12"/>
      <c r="L10793" s="12"/>
      <c r="M10793" s="11"/>
      <c r="N10793" s="11"/>
      <c r="O10793" s="11"/>
      <c r="P10793" s="11"/>
    </row>
    <row r="10794" spans="8:16" x14ac:dyDescent="0.25">
      <c r="H10794" s="12"/>
      <c r="I10794" s="12"/>
      <c r="J10794" s="12"/>
      <c r="K10794" s="12"/>
      <c r="L10794" s="12"/>
      <c r="M10794" s="11"/>
      <c r="N10794" s="11"/>
      <c r="O10794" s="11"/>
      <c r="P10794" s="11"/>
    </row>
    <row r="10795" spans="8:16" x14ac:dyDescent="0.25">
      <c r="H10795" s="12"/>
      <c r="I10795" s="12"/>
      <c r="J10795" s="12"/>
      <c r="K10795" s="12"/>
      <c r="L10795" s="12"/>
      <c r="M10795" s="11"/>
      <c r="N10795" s="11"/>
      <c r="O10795" s="11"/>
      <c r="P10795" s="11"/>
    </row>
    <row r="10796" spans="8:16" x14ac:dyDescent="0.25">
      <c r="H10796" s="12"/>
      <c r="I10796" s="12"/>
      <c r="J10796" s="12"/>
      <c r="K10796" s="12"/>
      <c r="L10796" s="12"/>
      <c r="M10796" s="11"/>
      <c r="N10796" s="11"/>
      <c r="O10796" s="11"/>
      <c r="P10796" s="11"/>
    </row>
    <row r="10797" spans="8:16" x14ac:dyDescent="0.25">
      <c r="H10797" s="12"/>
      <c r="I10797" s="12"/>
      <c r="J10797" s="12"/>
      <c r="K10797" s="12"/>
      <c r="L10797" s="12"/>
      <c r="M10797" s="11"/>
      <c r="N10797" s="11"/>
      <c r="O10797" s="11"/>
      <c r="P10797" s="11"/>
    </row>
    <row r="10798" spans="8:16" x14ac:dyDescent="0.25">
      <c r="H10798" s="12"/>
      <c r="I10798" s="12"/>
      <c r="J10798" s="12"/>
      <c r="K10798" s="12"/>
      <c r="L10798" s="12"/>
      <c r="M10798" s="11"/>
      <c r="N10798" s="11"/>
      <c r="O10798" s="11"/>
      <c r="P10798" s="11"/>
    </row>
    <row r="10799" spans="8:16" x14ac:dyDescent="0.25">
      <c r="H10799" s="12"/>
      <c r="I10799" s="12"/>
      <c r="J10799" s="12"/>
      <c r="K10799" s="12"/>
      <c r="L10799" s="12"/>
      <c r="M10799" s="11"/>
      <c r="N10799" s="11"/>
      <c r="O10799" s="11"/>
      <c r="P10799" s="11"/>
    </row>
    <row r="10800" spans="8:16" x14ac:dyDescent="0.25">
      <c r="H10800" s="12"/>
      <c r="I10800" s="12"/>
      <c r="J10800" s="12"/>
      <c r="K10800" s="12"/>
      <c r="L10800" s="12"/>
      <c r="M10800" s="11"/>
      <c r="N10800" s="11"/>
      <c r="O10800" s="11"/>
      <c r="P10800" s="11"/>
    </row>
    <row r="10801" spans="8:16" x14ac:dyDescent="0.25">
      <c r="H10801" s="12"/>
      <c r="I10801" s="12"/>
      <c r="J10801" s="12"/>
      <c r="K10801" s="12"/>
      <c r="L10801" s="12"/>
      <c r="M10801" s="11"/>
      <c r="N10801" s="11"/>
      <c r="O10801" s="11"/>
      <c r="P10801" s="11"/>
    </row>
    <row r="10802" spans="8:16" x14ac:dyDescent="0.25">
      <c r="H10802" s="12"/>
      <c r="I10802" s="12"/>
      <c r="J10802" s="12"/>
      <c r="K10802" s="12"/>
      <c r="L10802" s="12"/>
      <c r="M10802" s="11"/>
      <c r="N10802" s="11"/>
      <c r="O10802" s="11"/>
      <c r="P10802" s="11"/>
    </row>
    <row r="10803" spans="8:16" x14ac:dyDescent="0.25">
      <c r="H10803" s="12"/>
      <c r="I10803" s="12"/>
      <c r="J10803" s="12"/>
      <c r="K10803" s="12"/>
      <c r="L10803" s="12"/>
      <c r="M10803" s="11"/>
      <c r="N10803" s="11"/>
      <c r="O10803" s="11"/>
      <c r="P10803" s="11"/>
    </row>
    <row r="10804" spans="8:16" x14ac:dyDescent="0.25">
      <c r="H10804" s="12"/>
      <c r="I10804" s="12"/>
      <c r="J10804" s="12"/>
      <c r="K10804" s="12"/>
      <c r="L10804" s="12"/>
      <c r="M10804" s="11"/>
      <c r="N10804" s="11"/>
      <c r="O10804" s="11"/>
      <c r="P10804" s="11"/>
    </row>
    <row r="10805" spans="8:16" x14ac:dyDescent="0.25">
      <c r="H10805" s="12"/>
      <c r="I10805" s="12"/>
      <c r="J10805" s="12"/>
      <c r="K10805" s="12"/>
      <c r="L10805" s="12"/>
      <c r="M10805" s="11"/>
      <c r="N10805" s="11"/>
      <c r="O10805" s="11"/>
      <c r="P10805" s="11"/>
    </row>
    <row r="10806" spans="8:16" x14ac:dyDescent="0.25">
      <c r="H10806" s="12"/>
      <c r="I10806" s="12"/>
      <c r="J10806" s="12"/>
      <c r="K10806" s="12"/>
      <c r="L10806" s="12"/>
      <c r="M10806" s="11"/>
      <c r="N10806" s="11"/>
      <c r="O10806" s="11"/>
      <c r="P10806" s="11"/>
    </row>
    <row r="10807" spans="8:16" x14ac:dyDescent="0.25">
      <c r="H10807" s="12"/>
      <c r="I10807" s="12"/>
      <c r="J10807" s="12"/>
      <c r="K10807" s="12"/>
      <c r="L10807" s="12"/>
      <c r="M10807" s="11"/>
      <c r="N10807" s="11"/>
      <c r="O10807" s="11"/>
      <c r="P10807" s="11"/>
    </row>
    <row r="10808" spans="8:16" x14ac:dyDescent="0.25">
      <c r="H10808" s="12"/>
      <c r="I10808" s="12"/>
      <c r="J10808" s="12"/>
      <c r="K10808" s="12"/>
      <c r="L10808" s="12"/>
      <c r="M10808" s="11"/>
      <c r="N10808" s="11"/>
      <c r="O10808" s="11"/>
      <c r="P10808" s="11"/>
    </row>
    <row r="10809" spans="8:16" x14ac:dyDescent="0.25">
      <c r="H10809" s="12"/>
      <c r="I10809" s="12"/>
      <c r="J10809" s="12"/>
      <c r="K10809" s="12"/>
      <c r="L10809" s="12"/>
      <c r="M10809" s="11"/>
      <c r="N10809" s="11"/>
      <c r="O10809" s="11"/>
      <c r="P10809" s="11"/>
    </row>
    <row r="10810" spans="8:16" x14ac:dyDescent="0.25">
      <c r="H10810" s="12"/>
      <c r="I10810" s="12"/>
      <c r="J10810" s="12"/>
      <c r="K10810" s="12"/>
      <c r="L10810" s="12"/>
      <c r="M10810" s="11"/>
      <c r="N10810" s="11"/>
      <c r="O10810" s="11"/>
      <c r="P10810" s="11"/>
    </row>
    <row r="10811" spans="8:16" x14ac:dyDescent="0.25">
      <c r="H10811" s="12"/>
      <c r="I10811" s="12"/>
      <c r="J10811" s="12"/>
      <c r="K10811" s="12"/>
      <c r="L10811" s="12"/>
      <c r="M10811" s="11"/>
      <c r="N10811" s="11"/>
      <c r="O10811" s="11"/>
      <c r="P10811" s="11"/>
    </row>
    <row r="10812" spans="8:16" x14ac:dyDescent="0.25">
      <c r="H10812" s="12"/>
      <c r="I10812" s="12"/>
      <c r="J10812" s="12"/>
      <c r="K10812" s="12"/>
      <c r="L10812" s="12"/>
      <c r="M10812" s="11"/>
      <c r="N10812" s="11"/>
      <c r="O10812" s="11"/>
      <c r="P10812" s="11"/>
    </row>
    <row r="10813" spans="8:16" x14ac:dyDescent="0.25">
      <c r="H10813" s="12"/>
      <c r="I10813" s="12"/>
      <c r="J10813" s="12"/>
      <c r="K10813" s="12"/>
      <c r="L10813" s="12"/>
      <c r="M10813" s="11"/>
      <c r="N10813" s="11"/>
      <c r="O10813" s="11"/>
      <c r="P10813" s="11"/>
    </row>
    <row r="10814" spans="8:16" x14ac:dyDescent="0.25">
      <c r="H10814" s="12"/>
      <c r="I10814" s="12"/>
      <c r="J10814" s="12"/>
      <c r="K10814" s="12"/>
      <c r="L10814" s="12"/>
      <c r="M10814" s="11"/>
      <c r="N10814" s="11"/>
      <c r="O10814" s="11"/>
      <c r="P10814" s="11"/>
    </row>
    <row r="10815" spans="8:16" x14ac:dyDescent="0.25">
      <c r="H10815" s="12"/>
      <c r="I10815" s="12"/>
      <c r="J10815" s="12"/>
      <c r="K10815" s="12"/>
      <c r="L10815" s="12"/>
      <c r="M10815" s="11"/>
      <c r="N10815" s="11"/>
      <c r="O10815" s="11"/>
      <c r="P10815" s="11"/>
    </row>
    <row r="10816" spans="8:16" x14ac:dyDescent="0.25">
      <c r="H10816" s="12"/>
      <c r="I10816" s="12"/>
      <c r="J10816" s="12"/>
      <c r="K10816" s="12"/>
      <c r="L10816" s="12"/>
      <c r="M10816" s="11"/>
      <c r="N10816" s="11"/>
      <c r="O10816" s="11"/>
      <c r="P10816" s="11"/>
    </row>
    <row r="10817" spans="8:16" x14ac:dyDescent="0.25">
      <c r="H10817" s="12"/>
      <c r="I10817" s="12"/>
      <c r="J10817" s="12"/>
      <c r="K10817" s="12"/>
      <c r="L10817" s="12"/>
      <c r="M10817" s="11"/>
      <c r="N10817" s="11"/>
      <c r="O10817" s="11"/>
      <c r="P10817" s="11"/>
    </row>
    <row r="10818" spans="8:16" x14ac:dyDescent="0.25">
      <c r="H10818" s="12"/>
      <c r="I10818" s="12"/>
      <c r="J10818" s="12"/>
      <c r="K10818" s="12"/>
      <c r="L10818" s="12"/>
      <c r="M10818" s="11"/>
      <c r="N10818" s="11"/>
      <c r="O10818" s="11"/>
      <c r="P10818" s="11"/>
    </row>
    <row r="10819" spans="8:16" x14ac:dyDescent="0.25">
      <c r="H10819" s="12"/>
      <c r="I10819" s="12"/>
      <c r="J10819" s="12"/>
      <c r="K10819" s="12"/>
      <c r="L10819" s="12"/>
      <c r="M10819" s="11"/>
      <c r="N10819" s="11"/>
      <c r="O10819" s="11"/>
      <c r="P10819" s="11"/>
    </row>
    <row r="10820" spans="8:16" x14ac:dyDescent="0.25">
      <c r="H10820" s="12"/>
      <c r="I10820" s="12"/>
      <c r="J10820" s="12"/>
      <c r="K10820" s="12"/>
      <c r="L10820" s="12"/>
      <c r="M10820" s="11"/>
      <c r="N10820" s="11"/>
      <c r="O10820" s="11"/>
      <c r="P10820" s="11"/>
    </row>
    <row r="10821" spans="8:16" x14ac:dyDescent="0.25">
      <c r="H10821" s="12"/>
      <c r="I10821" s="12"/>
      <c r="J10821" s="12"/>
      <c r="K10821" s="12"/>
      <c r="L10821" s="12"/>
      <c r="M10821" s="11"/>
      <c r="N10821" s="11"/>
      <c r="O10821" s="11"/>
      <c r="P10821" s="11"/>
    </row>
    <row r="10822" spans="8:16" x14ac:dyDescent="0.25">
      <c r="H10822" s="12"/>
      <c r="I10822" s="12"/>
      <c r="J10822" s="12"/>
      <c r="K10822" s="12"/>
      <c r="L10822" s="12"/>
      <c r="M10822" s="11"/>
      <c r="N10822" s="11"/>
      <c r="O10822" s="11"/>
      <c r="P10822" s="11"/>
    </row>
    <row r="10823" spans="8:16" x14ac:dyDescent="0.25">
      <c r="H10823" s="12"/>
      <c r="I10823" s="12"/>
      <c r="J10823" s="12"/>
      <c r="K10823" s="12"/>
      <c r="L10823" s="12"/>
      <c r="M10823" s="11"/>
      <c r="N10823" s="11"/>
      <c r="O10823" s="11"/>
      <c r="P10823" s="11"/>
    </row>
    <row r="10824" spans="8:16" x14ac:dyDescent="0.25">
      <c r="H10824" s="12"/>
      <c r="I10824" s="12"/>
      <c r="J10824" s="12"/>
      <c r="K10824" s="12"/>
      <c r="L10824" s="12"/>
      <c r="M10824" s="11"/>
      <c r="N10824" s="11"/>
      <c r="O10824" s="11"/>
      <c r="P10824" s="11"/>
    </row>
    <row r="10825" spans="8:16" x14ac:dyDescent="0.25">
      <c r="H10825" s="12"/>
      <c r="I10825" s="12"/>
      <c r="J10825" s="12"/>
      <c r="K10825" s="12"/>
      <c r="L10825" s="12"/>
      <c r="M10825" s="11"/>
      <c r="N10825" s="11"/>
      <c r="O10825" s="11"/>
      <c r="P10825" s="11"/>
    </row>
    <row r="10826" spans="8:16" x14ac:dyDescent="0.25">
      <c r="H10826" s="12"/>
      <c r="I10826" s="12"/>
      <c r="J10826" s="12"/>
      <c r="K10826" s="12"/>
      <c r="L10826" s="12"/>
      <c r="M10826" s="11"/>
      <c r="N10826" s="11"/>
      <c r="O10826" s="11"/>
      <c r="P10826" s="11"/>
    </row>
    <row r="10827" spans="8:16" x14ac:dyDescent="0.25">
      <c r="H10827" s="12"/>
      <c r="I10827" s="12"/>
      <c r="J10827" s="12"/>
      <c r="K10827" s="12"/>
      <c r="L10827" s="12"/>
      <c r="M10827" s="11"/>
      <c r="N10827" s="11"/>
      <c r="O10827" s="11"/>
      <c r="P10827" s="11"/>
    </row>
    <row r="10828" spans="8:16" x14ac:dyDescent="0.25">
      <c r="H10828" s="12"/>
      <c r="I10828" s="12"/>
      <c r="J10828" s="12"/>
      <c r="K10828" s="12"/>
      <c r="L10828" s="12"/>
      <c r="M10828" s="11"/>
      <c r="N10828" s="11"/>
      <c r="O10828" s="11"/>
      <c r="P10828" s="11"/>
    </row>
    <row r="10829" spans="8:16" x14ac:dyDescent="0.25">
      <c r="H10829" s="12"/>
      <c r="I10829" s="12"/>
      <c r="J10829" s="12"/>
      <c r="K10829" s="12"/>
      <c r="L10829" s="12"/>
      <c r="M10829" s="11"/>
      <c r="N10829" s="11"/>
      <c r="O10829" s="11"/>
      <c r="P10829" s="11"/>
    </row>
    <row r="10830" spans="8:16" x14ac:dyDescent="0.25">
      <c r="H10830" s="12"/>
      <c r="I10830" s="12"/>
      <c r="J10830" s="12"/>
      <c r="K10830" s="12"/>
      <c r="L10830" s="12"/>
      <c r="M10830" s="11"/>
      <c r="N10830" s="11"/>
      <c r="O10830" s="11"/>
      <c r="P10830" s="11"/>
    </row>
    <row r="10831" spans="8:16" x14ac:dyDescent="0.25">
      <c r="H10831" s="12"/>
      <c r="I10831" s="12"/>
      <c r="J10831" s="12"/>
      <c r="K10831" s="12"/>
      <c r="L10831" s="12"/>
      <c r="M10831" s="11"/>
      <c r="N10831" s="11"/>
      <c r="O10831" s="11"/>
      <c r="P10831" s="11"/>
    </row>
    <row r="10832" spans="8:16" x14ac:dyDescent="0.25">
      <c r="H10832" s="12"/>
      <c r="I10832" s="12"/>
      <c r="J10832" s="12"/>
      <c r="K10832" s="12"/>
      <c r="L10832" s="12"/>
      <c r="M10832" s="11"/>
      <c r="N10832" s="11"/>
      <c r="O10832" s="11"/>
      <c r="P10832" s="11"/>
    </row>
    <row r="10833" spans="8:16" x14ac:dyDescent="0.25">
      <c r="H10833" s="12"/>
      <c r="I10833" s="12"/>
      <c r="J10833" s="12"/>
      <c r="K10833" s="12"/>
      <c r="L10833" s="12"/>
      <c r="M10833" s="11"/>
      <c r="N10833" s="11"/>
      <c r="O10833" s="11"/>
      <c r="P10833" s="11"/>
    </row>
    <row r="10834" spans="8:16" x14ac:dyDescent="0.25">
      <c r="H10834" s="12"/>
      <c r="I10834" s="12"/>
      <c r="J10834" s="12"/>
      <c r="K10834" s="12"/>
      <c r="L10834" s="12"/>
      <c r="M10834" s="11"/>
      <c r="N10834" s="11"/>
      <c r="O10834" s="11"/>
      <c r="P10834" s="11"/>
    </row>
    <row r="10835" spans="8:16" x14ac:dyDescent="0.25">
      <c r="H10835" s="12"/>
      <c r="I10835" s="12"/>
      <c r="J10835" s="12"/>
      <c r="K10835" s="12"/>
      <c r="L10835" s="12"/>
      <c r="M10835" s="11"/>
      <c r="N10835" s="11"/>
      <c r="O10835" s="11"/>
      <c r="P10835" s="11"/>
    </row>
    <row r="10836" spans="8:16" x14ac:dyDescent="0.25">
      <c r="H10836" s="12"/>
      <c r="I10836" s="12"/>
      <c r="J10836" s="12"/>
      <c r="K10836" s="12"/>
      <c r="L10836" s="12"/>
      <c r="M10836" s="11"/>
      <c r="N10836" s="11"/>
      <c r="O10836" s="11"/>
      <c r="P10836" s="11"/>
    </row>
    <row r="10837" spans="8:16" x14ac:dyDescent="0.25">
      <c r="H10837" s="12"/>
      <c r="I10837" s="12"/>
      <c r="J10837" s="12"/>
      <c r="K10837" s="12"/>
      <c r="L10837" s="12"/>
      <c r="M10837" s="11"/>
      <c r="N10837" s="11"/>
      <c r="O10837" s="11"/>
      <c r="P10837" s="11"/>
    </row>
    <row r="10838" spans="8:16" x14ac:dyDescent="0.25">
      <c r="H10838" s="12"/>
      <c r="I10838" s="12"/>
      <c r="J10838" s="12"/>
      <c r="K10838" s="12"/>
      <c r="L10838" s="12"/>
      <c r="M10838" s="11"/>
      <c r="N10838" s="11"/>
      <c r="O10838" s="11"/>
      <c r="P10838" s="11"/>
    </row>
    <row r="10839" spans="8:16" x14ac:dyDescent="0.25">
      <c r="H10839" s="12"/>
      <c r="I10839" s="12"/>
      <c r="J10839" s="12"/>
      <c r="K10839" s="12"/>
      <c r="L10839" s="12"/>
      <c r="M10839" s="11"/>
      <c r="N10839" s="11"/>
      <c r="O10839" s="11"/>
      <c r="P10839" s="11"/>
    </row>
    <row r="10840" spans="8:16" x14ac:dyDescent="0.25">
      <c r="H10840" s="12"/>
      <c r="I10840" s="12"/>
      <c r="J10840" s="12"/>
      <c r="K10840" s="12"/>
      <c r="L10840" s="12"/>
      <c r="M10840" s="11"/>
      <c r="N10840" s="11"/>
      <c r="O10840" s="11"/>
      <c r="P10840" s="11"/>
    </row>
    <row r="10841" spans="8:16" x14ac:dyDescent="0.25">
      <c r="H10841" s="12"/>
      <c r="I10841" s="12"/>
      <c r="J10841" s="12"/>
      <c r="K10841" s="12"/>
      <c r="L10841" s="12"/>
      <c r="M10841" s="11"/>
      <c r="N10841" s="11"/>
      <c r="O10841" s="11"/>
      <c r="P10841" s="11"/>
    </row>
    <row r="10842" spans="8:16" x14ac:dyDescent="0.25">
      <c r="H10842" s="12"/>
      <c r="I10842" s="12"/>
      <c r="J10842" s="12"/>
      <c r="K10842" s="12"/>
      <c r="L10842" s="12"/>
      <c r="M10842" s="11"/>
      <c r="N10842" s="11"/>
      <c r="O10842" s="11"/>
      <c r="P10842" s="11"/>
    </row>
    <row r="10843" spans="8:16" x14ac:dyDescent="0.25">
      <c r="H10843" s="12"/>
      <c r="I10843" s="12"/>
      <c r="J10843" s="12"/>
      <c r="K10843" s="12"/>
      <c r="L10843" s="12"/>
      <c r="M10843" s="11"/>
      <c r="N10843" s="11"/>
      <c r="O10843" s="11"/>
      <c r="P10843" s="11"/>
    </row>
    <row r="10844" spans="8:16" x14ac:dyDescent="0.25">
      <c r="H10844" s="12"/>
      <c r="I10844" s="12"/>
      <c r="J10844" s="12"/>
      <c r="K10844" s="12"/>
      <c r="L10844" s="12"/>
      <c r="M10844" s="11"/>
      <c r="N10844" s="11"/>
      <c r="O10844" s="11"/>
      <c r="P10844" s="11"/>
    </row>
    <row r="10845" spans="8:16" x14ac:dyDescent="0.25">
      <c r="H10845" s="12"/>
      <c r="I10845" s="12"/>
      <c r="J10845" s="12"/>
      <c r="K10845" s="12"/>
      <c r="L10845" s="12"/>
      <c r="M10845" s="11"/>
      <c r="N10845" s="11"/>
      <c r="O10845" s="11"/>
      <c r="P10845" s="11"/>
    </row>
    <row r="10846" spans="8:16" x14ac:dyDescent="0.25">
      <c r="H10846" s="12"/>
      <c r="I10846" s="12"/>
      <c r="J10846" s="12"/>
      <c r="K10846" s="12"/>
      <c r="L10846" s="12"/>
      <c r="M10846" s="11"/>
      <c r="N10846" s="11"/>
      <c r="O10846" s="11"/>
      <c r="P10846" s="11"/>
    </row>
    <row r="10847" spans="8:16" x14ac:dyDescent="0.25">
      <c r="H10847" s="12"/>
      <c r="I10847" s="12"/>
      <c r="J10847" s="12"/>
      <c r="K10847" s="12"/>
      <c r="L10847" s="12"/>
      <c r="M10847" s="11"/>
      <c r="N10847" s="11"/>
      <c r="O10847" s="11"/>
      <c r="P10847" s="11"/>
    </row>
    <row r="10848" spans="8:16" x14ac:dyDescent="0.25">
      <c r="H10848" s="12"/>
      <c r="I10848" s="12"/>
      <c r="J10848" s="12"/>
      <c r="K10848" s="12"/>
      <c r="L10848" s="12"/>
      <c r="M10848" s="11"/>
      <c r="N10848" s="11"/>
      <c r="O10848" s="11"/>
      <c r="P10848" s="11"/>
    </row>
    <row r="10849" spans="8:16" x14ac:dyDescent="0.25">
      <c r="H10849" s="12"/>
      <c r="I10849" s="12"/>
      <c r="J10849" s="12"/>
      <c r="K10849" s="12"/>
      <c r="L10849" s="12"/>
      <c r="M10849" s="11"/>
      <c r="N10849" s="11"/>
      <c r="O10849" s="11"/>
      <c r="P10849" s="11"/>
    </row>
    <row r="10850" spans="8:16" x14ac:dyDescent="0.25">
      <c r="H10850" s="12"/>
      <c r="I10850" s="12"/>
      <c r="J10850" s="12"/>
      <c r="K10850" s="12"/>
      <c r="L10850" s="12"/>
      <c r="M10850" s="11"/>
      <c r="N10850" s="11"/>
      <c r="O10850" s="11"/>
      <c r="P10850" s="11"/>
    </row>
    <row r="10851" spans="8:16" x14ac:dyDescent="0.25">
      <c r="H10851" s="12"/>
      <c r="I10851" s="12"/>
      <c r="J10851" s="12"/>
      <c r="K10851" s="12"/>
      <c r="L10851" s="12"/>
      <c r="M10851" s="11"/>
      <c r="N10851" s="11"/>
      <c r="O10851" s="11"/>
      <c r="P10851" s="11"/>
    </row>
    <row r="10852" spans="8:16" x14ac:dyDescent="0.25">
      <c r="H10852" s="12"/>
      <c r="I10852" s="12"/>
      <c r="J10852" s="12"/>
      <c r="K10852" s="12"/>
      <c r="L10852" s="12"/>
      <c r="M10852" s="11"/>
      <c r="N10852" s="11"/>
      <c r="O10852" s="11"/>
      <c r="P10852" s="11"/>
    </row>
    <row r="10853" spans="8:16" x14ac:dyDescent="0.25">
      <c r="H10853" s="12"/>
      <c r="I10853" s="12"/>
      <c r="J10853" s="12"/>
      <c r="K10853" s="12"/>
      <c r="L10853" s="12"/>
      <c r="M10853" s="11"/>
      <c r="N10853" s="11"/>
      <c r="O10853" s="11"/>
      <c r="P10853" s="11"/>
    </row>
    <row r="10854" spans="8:16" x14ac:dyDescent="0.25">
      <c r="H10854" s="12"/>
      <c r="I10854" s="12"/>
      <c r="J10854" s="12"/>
      <c r="K10854" s="12"/>
      <c r="L10854" s="12"/>
      <c r="M10854" s="11"/>
      <c r="N10854" s="11"/>
      <c r="O10854" s="11"/>
      <c r="P10854" s="11"/>
    </row>
    <row r="10855" spans="8:16" x14ac:dyDescent="0.25">
      <c r="H10855" s="12"/>
      <c r="I10855" s="12"/>
      <c r="J10855" s="12"/>
      <c r="K10855" s="12"/>
      <c r="L10855" s="12"/>
      <c r="M10855" s="11"/>
      <c r="N10855" s="11"/>
      <c r="O10855" s="11"/>
      <c r="P10855" s="11"/>
    </row>
    <row r="10856" spans="8:16" x14ac:dyDescent="0.25">
      <c r="H10856" s="12"/>
      <c r="I10856" s="12"/>
      <c r="J10856" s="12"/>
      <c r="K10856" s="12"/>
      <c r="L10856" s="12"/>
      <c r="M10856" s="11"/>
      <c r="N10856" s="11"/>
      <c r="O10856" s="11"/>
      <c r="P10856" s="11"/>
    </row>
    <row r="10857" spans="8:16" x14ac:dyDescent="0.25">
      <c r="H10857" s="12"/>
      <c r="I10857" s="12"/>
      <c r="J10857" s="12"/>
      <c r="K10857" s="12"/>
      <c r="L10857" s="12"/>
      <c r="M10857" s="11"/>
      <c r="N10857" s="11"/>
      <c r="O10857" s="11"/>
      <c r="P10857" s="11"/>
    </row>
    <row r="10858" spans="8:16" x14ac:dyDescent="0.25">
      <c r="H10858" s="12"/>
      <c r="I10858" s="12"/>
      <c r="J10858" s="12"/>
      <c r="K10858" s="12"/>
      <c r="L10858" s="12"/>
      <c r="M10858" s="11"/>
      <c r="N10858" s="11"/>
      <c r="O10858" s="11"/>
      <c r="P10858" s="11"/>
    </row>
    <row r="10859" spans="8:16" x14ac:dyDescent="0.25">
      <c r="H10859" s="12"/>
      <c r="I10859" s="12"/>
      <c r="J10859" s="12"/>
      <c r="K10859" s="12"/>
      <c r="L10859" s="12"/>
      <c r="M10859" s="11"/>
      <c r="N10859" s="11"/>
      <c r="O10859" s="11"/>
      <c r="P10859" s="11"/>
    </row>
    <row r="10860" spans="8:16" x14ac:dyDescent="0.25">
      <c r="H10860" s="12"/>
      <c r="I10860" s="12"/>
      <c r="J10860" s="12"/>
      <c r="K10860" s="12"/>
      <c r="L10860" s="12"/>
      <c r="M10860" s="11"/>
      <c r="N10860" s="11"/>
      <c r="O10860" s="11"/>
      <c r="P10860" s="11"/>
    </row>
    <row r="10861" spans="8:16" x14ac:dyDescent="0.25">
      <c r="H10861" s="12"/>
      <c r="I10861" s="12"/>
      <c r="J10861" s="12"/>
      <c r="K10861" s="12"/>
      <c r="L10861" s="12"/>
      <c r="M10861" s="11"/>
      <c r="N10861" s="11"/>
      <c r="O10861" s="11"/>
      <c r="P10861" s="11"/>
    </row>
    <row r="10862" spans="8:16" x14ac:dyDescent="0.25">
      <c r="H10862" s="12"/>
      <c r="I10862" s="12"/>
      <c r="J10862" s="12"/>
      <c r="K10862" s="12"/>
      <c r="L10862" s="12"/>
      <c r="M10862" s="11"/>
      <c r="N10862" s="11"/>
      <c r="O10862" s="11"/>
      <c r="P10862" s="11"/>
    </row>
    <row r="10863" spans="8:16" x14ac:dyDescent="0.25">
      <c r="H10863" s="12"/>
      <c r="I10863" s="12"/>
      <c r="J10863" s="12"/>
      <c r="K10863" s="12"/>
      <c r="L10863" s="12"/>
      <c r="M10863" s="11"/>
      <c r="N10863" s="11"/>
      <c r="O10863" s="11"/>
      <c r="P10863" s="11"/>
    </row>
    <row r="10864" spans="8:16" x14ac:dyDescent="0.25">
      <c r="H10864" s="12"/>
      <c r="I10864" s="12"/>
      <c r="J10864" s="12"/>
      <c r="K10864" s="12"/>
      <c r="L10864" s="12"/>
      <c r="M10864" s="11"/>
      <c r="N10864" s="11"/>
      <c r="O10864" s="11"/>
      <c r="P10864" s="11"/>
    </row>
    <row r="10865" spans="8:16" x14ac:dyDescent="0.25">
      <c r="H10865" s="12"/>
      <c r="I10865" s="12"/>
      <c r="J10865" s="12"/>
      <c r="K10865" s="12"/>
      <c r="L10865" s="12"/>
      <c r="M10865" s="11"/>
      <c r="N10865" s="11"/>
      <c r="O10865" s="11"/>
      <c r="P10865" s="11"/>
    </row>
    <row r="10866" spans="8:16" x14ac:dyDescent="0.25">
      <c r="H10866" s="12"/>
      <c r="I10866" s="12"/>
      <c r="J10866" s="12"/>
      <c r="K10866" s="12"/>
      <c r="L10866" s="12"/>
      <c r="M10866" s="11"/>
      <c r="N10866" s="11"/>
      <c r="O10866" s="11"/>
      <c r="P10866" s="11"/>
    </row>
    <row r="10867" spans="8:16" x14ac:dyDescent="0.25">
      <c r="H10867" s="12"/>
      <c r="I10867" s="12"/>
      <c r="J10867" s="12"/>
      <c r="K10867" s="12"/>
      <c r="L10867" s="12"/>
      <c r="M10867" s="11"/>
      <c r="N10867" s="11"/>
      <c r="O10867" s="11"/>
      <c r="P10867" s="11"/>
    </row>
    <row r="10868" spans="8:16" x14ac:dyDescent="0.25">
      <c r="H10868" s="12"/>
      <c r="I10868" s="12"/>
      <c r="J10868" s="12"/>
      <c r="K10868" s="12"/>
      <c r="L10868" s="12"/>
      <c r="M10868" s="11"/>
      <c r="N10868" s="11"/>
      <c r="O10868" s="11"/>
      <c r="P10868" s="11"/>
    </row>
    <row r="10869" spans="8:16" x14ac:dyDescent="0.25">
      <c r="H10869" s="12"/>
      <c r="I10869" s="12"/>
      <c r="J10869" s="12"/>
      <c r="K10869" s="12"/>
      <c r="L10869" s="12"/>
      <c r="M10869" s="11"/>
      <c r="N10869" s="11"/>
      <c r="O10869" s="11"/>
      <c r="P10869" s="11"/>
    </row>
    <row r="10870" spans="8:16" x14ac:dyDescent="0.25">
      <c r="H10870" s="12"/>
      <c r="I10870" s="12"/>
      <c r="J10870" s="12"/>
      <c r="K10870" s="12"/>
      <c r="L10870" s="12"/>
      <c r="M10870" s="11"/>
      <c r="N10870" s="11"/>
      <c r="O10870" s="11"/>
      <c r="P10870" s="11"/>
    </row>
    <row r="10871" spans="8:16" x14ac:dyDescent="0.25">
      <c r="H10871" s="12"/>
      <c r="I10871" s="12"/>
      <c r="J10871" s="12"/>
      <c r="K10871" s="12"/>
      <c r="L10871" s="12"/>
      <c r="M10871" s="11"/>
      <c r="N10871" s="11"/>
      <c r="O10871" s="11"/>
      <c r="P10871" s="11"/>
    </row>
    <row r="10872" spans="8:16" x14ac:dyDescent="0.25">
      <c r="H10872" s="12"/>
      <c r="I10872" s="12"/>
      <c r="J10872" s="12"/>
      <c r="K10872" s="12"/>
      <c r="L10872" s="12"/>
      <c r="M10872" s="11"/>
      <c r="N10872" s="11"/>
      <c r="O10872" s="11"/>
      <c r="P10872" s="11"/>
    </row>
    <row r="10873" spans="8:16" x14ac:dyDescent="0.25">
      <c r="H10873" s="12"/>
      <c r="I10873" s="12"/>
      <c r="J10873" s="12"/>
      <c r="K10873" s="12"/>
      <c r="L10873" s="12"/>
      <c r="M10873" s="11"/>
      <c r="N10873" s="11"/>
      <c r="O10873" s="11"/>
      <c r="P10873" s="11"/>
    </row>
    <row r="10874" spans="8:16" x14ac:dyDescent="0.25">
      <c r="H10874" s="12"/>
      <c r="I10874" s="12"/>
      <c r="J10874" s="12"/>
      <c r="K10874" s="12"/>
      <c r="L10874" s="12"/>
      <c r="M10874" s="11"/>
      <c r="N10874" s="11"/>
      <c r="O10874" s="11"/>
      <c r="P10874" s="11"/>
    </row>
    <row r="10875" spans="8:16" x14ac:dyDescent="0.25">
      <c r="H10875" s="12"/>
      <c r="I10875" s="12"/>
      <c r="J10875" s="12"/>
      <c r="K10875" s="12"/>
      <c r="L10875" s="12"/>
      <c r="M10875" s="11"/>
      <c r="N10875" s="11"/>
      <c r="O10875" s="11"/>
      <c r="P10875" s="11"/>
    </row>
    <row r="10876" spans="8:16" x14ac:dyDescent="0.25">
      <c r="H10876" s="12"/>
      <c r="I10876" s="12"/>
      <c r="J10876" s="12"/>
      <c r="K10876" s="12"/>
      <c r="L10876" s="12"/>
      <c r="M10876" s="11"/>
      <c r="N10876" s="11"/>
      <c r="O10876" s="11"/>
      <c r="P10876" s="11"/>
    </row>
    <row r="10877" spans="8:16" x14ac:dyDescent="0.25">
      <c r="H10877" s="12"/>
      <c r="I10877" s="12"/>
      <c r="J10877" s="12"/>
      <c r="K10877" s="12"/>
      <c r="L10877" s="12"/>
      <c r="M10877" s="11"/>
      <c r="N10877" s="11"/>
      <c r="O10877" s="11"/>
      <c r="P10877" s="11"/>
    </row>
    <row r="10878" spans="8:16" x14ac:dyDescent="0.25">
      <c r="H10878" s="12"/>
      <c r="I10878" s="12"/>
      <c r="J10878" s="12"/>
      <c r="K10878" s="12"/>
      <c r="L10878" s="12"/>
      <c r="M10878" s="11"/>
      <c r="N10878" s="11"/>
      <c r="O10878" s="11"/>
      <c r="P10878" s="11"/>
    </row>
    <row r="10879" spans="8:16" x14ac:dyDescent="0.25">
      <c r="H10879" s="12"/>
      <c r="I10879" s="12"/>
      <c r="J10879" s="12"/>
      <c r="K10879" s="12"/>
      <c r="L10879" s="12"/>
      <c r="M10879" s="11"/>
      <c r="N10879" s="11"/>
      <c r="O10879" s="11"/>
      <c r="P10879" s="11"/>
    </row>
    <row r="10880" spans="8:16" x14ac:dyDescent="0.25">
      <c r="H10880" s="12"/>
      <c r="I10880" s="12"/>
      <c r="J10880" s="12"/>
      <c r="K10880" s="12"/>
      <c r="L10880" s="12"/>
      <c r="M10880" s="11"/>
      <c r="N10880" s="11"/>
      <c r="O10880" s="11"/>
      <c r="P10880" s="11"/>
    </row>
    <row r="10881" spans="8:16" x14ac:dyDescent="0.25">
      <c r="H10881" s="12"/>
      <c r="I10881" s="12"/>
      <c r="J10881" s="12"/>
      <c r="K10881" s="12"/>
      <c r="L10881" s="12"/>
      <c r="M10881" s="11"/>
      <c r="N10881" s="11"/>
      <c r="O10881" s="11"/>
      <c r="P10881" s="11"/>
    </row>
    <row r="10882" spans="8:16" x14ac:dyDescent="0.25">
      <c r="H10882" s="12"/>
      <c r="I10882" s="12"/>
      <c r="J10882" s="12"/>
      <c r="K10882" s="12"/>
      <c r="L10882" s="12"/>
      <c r="M10882" s="11"/>
      <c r="N10882" s="11"/>
      <c r="O10882" s="11"/>
      <c r="P10882" s="11"/>
    </row>
    <row r="10883" spans="8:16" x14ac:dyDescent="0.25">
      <c r="H10883" s="12"/>
      <c r="I10883" s="12"/>
      <c r="J10883" s="12"/>
      <c r="K10883" s="12"/>
      <c r="L10883" s="12"/>
      <c r="M10883" s="11"/>
      <c r="N10883" s="11"/>
      <c r="O10883" s="11"/>
      <c r="P10883" s="11"/>
    </row>
    <row r="10884" spans="8:16" x14ac:dyDescent="0.25">
      <c r="H10884" s="12"/>
      <c r="I10884" s="12"/>
      <c r="J10884" s="12"/>
      <c r="K10884" s="12"/>
      <c r="L10884" s="12"/>
      <c r="M10884" s="11"/>
      <c r="N10884" s="11"/>
      <c r="O10884" s="11"/>
      <c r="P10884" s="11"/>
    </row>
    <row r="10885" spans="8:16" x14ac:dyDescent="0.25">
      <c r="H10885" s="12"/>
      <c r="I10885" s="12"/>
      <c r="J10885" s="12"/>
      <c r="K10885" s="12"/>
      <c r="L10885" s="12"/>
      <c r="M10885" s="11"/>
      <c r="N10885" s="11"/>
      <c r="O10885" s="11"/>
      <c r="P10885" s="11"/>
    </row>
    <row r="10886" spans="8:16" x14ac:dyDescent="0.25">
      <c r="H10886" s="12"/>
      <c r="I10886" s="12"/>
      <c r="J10886" s="12"/>
      <c r="K10886" s="12"/>
      <c r="L10886" s="12"/>
      <c r="M10886" s="11"/>
      <c r="N10886" s="11"/>
      <c r="O10886" s="11"/>
      <c r="P10886" s="11"/>
    </row>
    <row r="10887" spans="8:16" x14ac:dyDescent="0.25">
      <c r="H10887" s="12"/>
      <c r="I10887" s="12"/>
      <c r="J10887" s="12"/>
      <c r="K10887" s="12"/>
      <c r="L10887" s="12"/>
      <c r="M10887" s="11"/>
      <c r="N10887" s="11"/>
      <c r="O10887" s="11"/>
      <c r="P10887" s="11"/>
    </row>
    <row r="10888" spans="8:16" x14ac:dyDescent="0.25">
      <c r="H10888" s="12"/>
      <c r="I10888" s="12"/>
      <c r="J10888" s="12"/>
      <c r="K10888" s="12"/>
      <c r="L10888" s="12"/>
      <c r="M10888" s="11"/>
      <c r="N10888" s="11"/>
      <c r="O10888" s="11"/>
      <c r="P10888" s="11"/>
    </row>
    <row r="10889" spans="8:16" x14ac:dyDescent="0.25">
      <c r="H10889" s="12"/>
      <c r="I10889" s="12"/>
      <c r="J10889" s="12"/>
      <c r="K10889" s="12"/>
      <c r="L10889" s="12"/>
      <c r="M10889" s="11"/>
      <c r="N10889" s="11"/>
      <c r="O10889" s="11"/>
      <c r="P10889" s="11"/>
    </row>
    <row r="10890" spans="8:16" x14ac:dyDescent="0.25">
      <c r="H10890" s="12"/>
      <c r="I10890" s="12"/>
      <c r="J10890" s="12"/>
      <c r="K10890" s="12"/>
      <c r="L10890" s="12"/>
      <c r="M10890" s="11"/>
      <c r="N10890" s="11"/>
      <c r="O10890" s="11"/>
      <c r="P10890" s="11"/>
    </row>
    <row r="10891" spans="8:16" x14ac:dyDescent="0.25">
      <c r="H10891" s="12"/>
      <c r="I10891" s="12"/>
      <c r="J10891" s="12"/>
      <c r="K10891" s="12"/>
      <c r="L10891" s="12"/>
      <c r="M10891" s="11"/>
      <c r="N10891" s="11"/>
      <c r="O10891" s="11"/>
      <c r="P10891" s="11"/>
    </row>
    <row r="10892" spans="8:16" x14ac:dyDescent="0.25">
      <c r="H10892" s="12"/>
      <c r="I10892" s="12"/>
      <c r="J10892" s="12"/>
      <c r="K10892" s="12"/>
      <c r="L10892" s="12"/>
      <c r="M10892" s="11"/>
      <c r="N10892" s="11"/>
      <c r="O10892" s="11"/>
      <c r="P10892" s="11"/>
    </row>
    <row r="10893" spans="8:16" x14ac:dyDescent="0.25">
      <c r="H10893" s="12"/>
      <c r="I10893" s="12"/>
      <c r="J10893" s="12"/>
      <c r="K10893" s="12"/>
      <c r="L10893" s="12"/>
      <c r="M10893" s="11"/>
      <c r="N10893" s="11"/>
      <c r="O10893" s="11"/>
      <c r="P10893" s="11"/>
    </row>
    <row r="10894" spans="8:16" x14ac:dyDescent="0.25">
      <c r="H10894" s="12"/>
      <c r="I10894" s="12"/>
      <c r="J10894" s="12"/>
      <c r="K10894" s="12"/>
      <c r="L10894" s="12"/>
      <c r="M10894" s="11"/>
      <c r="N10894" s="11"/>
      <c r="O10894" s="11"/>
      <c r="P10894" s="11"/>
    </row>
    <row r="10895" spans="8:16" x14ac:dyDescent="0.25">
      <c r="H10895" s="12"/>
      <c r="I10895" s="12"/>
      <c r="J10895" s="12"/>
      <c r="K10895" s="12"/>
      <c r="L10895" s="12"/>
      <c r="M10895" s="11"/>
      <c r="N10895" s="11"/>
      <c r="O10895" s="11"/>
      <c r="P10895" s="11"/>
    </row>
    <row r="10896" spans="8:16" x14ac:dyDescent="0.25">
      <c r="H10896" s="12"/>
      <c r="I10896" s="12"/>
      <c r="J10896" s="12"/>
      <c r="K10896" s="12"/>
      <c r="L10896" s="12"/>
      <c r="M10896" s="11"/>
      <c r="N10896" s="11"/>
      <c r="O10896" s="11"/>
      <c r="P10896" s="11"/>
    </row>
    <row r="10897" spans="8:16" x14ac:dyDescent="0.25">
      <c r="H10897" s="12"/>
      <c r="I10897" s="12"/>
      <c r="J10897" s="12"/>
      <c r="K10897" s="12"/>
      <c r="L10897" s="12"/>
      <c r="M10897" s="11"/>
      <c r="N10897" s="11"/>
      <c r="O10897" s="11"/>
      <c r="P10897" s="11"/>
    </row>
    <row r="10898" spans="8:16" x14ac:dyDescent="0.25">
      <c r="H10898" s="12"/>
      <c r="I10898" s="12"/>
      <c r="J10898" s="12"/>
      <c r="K10898" s="12"/>
      <c r="L10898" s="12"/>
      <c r="M10898" s="11"/>
      <c r="N10898" s="11"/>
      <c r="O10898" s="11"/>
      <c r="P10898" s="11"/>
    </row>
    <row r="10899" spans="8:16" x14ac:dyDescent="0.25">
      <c r="H10899" s="12"/>
      <c r="I10899" s="12"/>
      <c r="J10899" s="12"/>
      <c r="K10899" s="12"/>
      <c r="L10899" s="12"/>
      <c r="M10899" s="11"/>
      <c r="N10899" s="11"/>
      <c r="O10899" s="11"/>
      <c r="P10899" s="11"/>
    </row>
    <row r="10900" spans="8:16" x14ac:dyDescent="0.25">
      <c r="H10900" s="12"/>
      <c r="I10900" s="12"/>
      <c r="J10900" s="12"/>
      <c r="K10900" s="12"/>
      <c r="L10900" s="12"/>
      <c r="M10900" s="11"/>
      <c r="N10900" s="11"/>
      <c r="O10900" s="11"/>
      <c r="P10900" s="11"/>
    </row>
    <row r="10901" spans="8:16" x14ac:dyDescent="0.25">
      <c r="H10901" s="12"/>
      <c r="I10901" s="12"/>
      <c r="J10901" s="12"/>
      <c r="K10901" s="12"/>
      <c r="L10901" s="12"/>
      <c r="M10901" s="11"/>
      <c r="N10901" s="11"/>
      <c r="O10901" s="11"/>
      <c r="P10901" s="11"/>
    </row>
    <row r="10902" spans="8:16" x14ac:dyDescent="0.25">
      <c r="H10902" s="12"/>
      <c r="I10902" s="12"/>
      <c r="J10902" s="12"/>
      <c r="K10902" s="12"/>
      <c r="L10902" s="12"/>
      <c r="M10902" s="11"/>
      <c r="N10902" s="11"/>
      <c r="O10902" s="11"/>
      <c r="P10902" s="11"/>
    </row>
    <row r="10903" spans="8:16" x14ac:dyDescent="0.25">
      <c r="H10903" s="12"/>
      <c r="I10903" s="12"/>
      <c r="J10903" s="12"/>
      <c r="K10903" s="12"/>
      <c r="L10903" s="12"/>
      <c r="M10903" s="11"/>
      <c r="N10903" s="11"/>
      <c r="O10903" s="11"/>
      <c r="P10903" s="11"/>
    </row>
    <row r="10904" spans="8:16" x14ac:dyDescent="0.25">
      <c r="H10904" s="12"/>
      <c r="I10904" s="12"/>
      <c r="J10904" s="12"/>
      <c r="K10904" s="12"/>
      <c r="L10904" s="12"/>
      <c r="M10904" s="11"/>
      <c r="N10904" s="11"/>
      <c r="O10904" s="11"/>
      <c r="P10904" s="11"/>
    </row>
    <row r="10905" spans="8:16" x14ac:dyDescent="0.25">
      <c r="H10905" s="12"/>
      <c r="I10905" s="12"/>
      <c r="J10905" s="12"/>
      <c r="K10905" s="12"/>
      <c r="L10905" s="12"/>
      <c r="M10905" s="11"/>
      <c r="N10905" s="11"/>
      <c r="O10905" s="11"/>
      <c r="P10905" s="11"/>
    </row>
    <row r="10906" spans="8:16" x14ac:dyDescent="0.25">
      <c r="H10906" s="12"/>
      <c r="I10906" s="12"/>
      <c r="J10906" s="12"/>
      <c r="K10906" s="12"/>
      <c r="L10906" s="12"/>
      <c r="M10906" s="11"/>
      <c r="N10906" s="11"/>
      <c r="O10906" s="11"/>
      <c r="P10906" s="11"/>
    </row>
    <row r="10907" spans="8:16" x14ac:dyDescent="0.25">
      <c r="H10907" s="12"/>
      <c r="I10907" s="12"/>
      <c r="J10907" s="12"/>
      <c r="K10907" s="12"/>
      <c r="L10907" s="12"/>
      <c r="M10907" s="11"/>
      <c r="N10907" s="11"/>
      <c r="O10907" s="11"/>
      <c r="P10907" s="11"/>
    </row>
    <row r="10908" spans="8:16" x14ac:dyDescent="0.25">
      <c r="H10908" s="12"/>
      <c r="I10908" s="12"/>
      <c r="J10908" s="12"/>
      <c r="K10908" s="12"/>
      <c r="L10908" s="12"/>
      <c r="M10908" s="11"/>
      <c r="N10908" s="11"/>
      <c r="O10908" s="11"/>
      <c r="P10908" s="11"/>
    </row>
    <row r="10909" spans="8:16" x14ac:dyDescent="0.25">
      <c r="H10909" s="12"/>
      <c r="I10909" s="12"/>
      <c r="J10909" s="12"/>
      <c r="K10909" s="12"/>
      <c r="L10909" s="12"/>
      <c r="M10909" s="11"/>
      <c r="N10909" s="11"/>
      <c r="O10909" s="11"/>
      <c r="P10909" s="11"/>
    </row>
    <row r="10910" spans="8:16" x14ac:dyDescent="0.25">
      <c r="H10910" s="12"/>
      <c r="I10910" s="12"/>
      <c r="J10910" s="12"/>
      <c r="K10910" s="12"/>
      <c r="L10910" s="12"/>
      <c r="M10910" s="11"/>
      <c r="N10910" s="11"/>
      <c r="O10910" s="11"/>
      <c r="P10910" s="11"/>
    </row>
    <row r="10911" spans="8:16" x14ac:dyDescent="0.25">
      <c r="H10911" s="12"/>
      <c r="I10911" s="12"/>
      <c r="J10911" s="12"/>
      <c r="K10911" s="12"/>
      <c r="L10911" s="12"/>
      <c r="M10911" s="11"/>
      <c r="N10911" s="11"/>
      <c r="O10911" s="11"/>
      <c r="P10911" s="11"/>
    </row>
    <row r="10912" spans="8:16" x14ac:dyDescent="0.25">
      <c r="H10912" s="12"/>
      <c r="I10912" s="12"/>
      <c r="J10912" s="12"/>
      <c r="K10912" s="12"/>
      <c r="L10912" s="12"/>
      <c r="M10912" s="11"/>
      <c r="N10912" s="11"/>
      <c r="O10912" s="11"/>
      <c r="P10912" s="11"/>
    </row>
    <row r="10913" spans="8:16" x14ac:dyDescent="0.25">
      <c r="H10913" s="12"/>
      <c r="I10913" s="12"/>
      <c r="J10913" s="12"/>
      <c r="K10913" s="12"/>
      <c r="L10913" s="12"/>
      <c r="M10913" s="11"/>
      <c r="N10913" s="11"/>
      <c r="O10913" s="11"/>
      <c r="P10913" s="11"/>
    </row>
    <row r="10914" spans="8:16" x14ac:dyDescent="0.25">
      <c r="H10914" s="12"/>
      <c r="I10914" s="12"/>
      <c r="J10914" s="12"/>
      <c r="K10914" s="12"/>
      <c r="L10914" s="12"/>
      <c r="M10914" s="11"/>
      <c r="N10914" s="11"/>
      <c r="O10914" s="11"/>
      <c r="P10914" s="11"/>
    </row>
    <row r="10915" spans="8:16" x14ac:dyDescent="0.25">
      <c r="H10915" s="12"/>
      <c r="I10915" s="12"/>
      <c r="J10915" s="12"/>
      <c r="K10915" s="12"/>
      <c r="L10915" s="12"/>
      <c r="M10915" s="11"/>
      <c r="N10915" s="11"/>
      <c r="O10915" s="11"/>
      <c r="P10915" s="11"/>
    </row>
    <row r="10916" spans="8:16" x14ac:dyDescent="0.25">
      <c r="H10916" s="12"/>
      <c r="I10916" s="12"/>
      <c r="J10916" s="12"/>
      <c r="K10916" s="12"/>
      <c r="L10916" s="12"/>
      <c r="M10916" s="11"/>
      <c r="N10916" s="11"/>
      <c r="O10916" s="11"/>
      <c r="P10916" s="11"/>
    </row>
    <row r="10917" spans="8:16" x14ac:dyDescent="0.25">
      <c r="H10917" s="12"/>
      <c r="I10917" s="12"/>
      <c r="J10917" s="12"/>
      <c r="K10917" s="12"/>
      <c r="L10917" s="12"/>
      <c r="M10917" s="11"/>
      <c r="N10917" s="11"/>
      <c r="O10917" s="11"/>
      <c r="P10917" s="11"/>
    </row>
    <row r="10918" spans="8:16" x14ac:dyDescent="0.25">
      <c r="H10918" s="12"/>
      <c r="I10918" s="12"/>
      <c r="J10918" s="12"/>
      <c r="K10918" s="12"/>
      <c r="L10918" s="12"/>
      <c r="M10918" s="11"/>
      <c r="N10918" s="11"/>
      <c r="O10918" s="11"/>
      <c r="P10918" s="11"/>
    </row>
    <row r="10919" spans="8:16" x14ac:dyDescent="0.25">
      <c r="H10919" s="12"/>
      <c r="I10919" s="12"/>
      <c r="J10919" s="12"/>
      <c r="K10919" s="12"/>
      <c r="L10919" s="12"/>
      <c r="M10919" s="11"/>
      <c r="N10919" s="11"/>
      <c r="O10919" s="11"/>
      <c r="P10919" s="11"/>
    </row>
    <row r="10920" spans="8:16" x14ac:dyDescent="0.25">
      <c r="H10920" s="12"/>
      <c r="I10920" s="12"/>
      <c r="J10920" s="12"/>
      <c r="K10920" s="12"/>
      <c r="L10920" s="12"/>
      <c r="M10920" s="11"/>
      <c r="N10920" s="11"/>
      <c r="O10920" s="11"/>
      <c r="P10920" s="11"/>
    </row>
    <row r="10921" spans="8:16" x14ac:dyDescent="0.25">
      <c r="H10921" s="12"/>
      <c r="I10921" s="12"/>
      <c r="J10921" s="12"/>
      <c r="K10921" s="12"/>
      <c r="L10921" s="12"/>
      <c r="M10921" s="11"/>
      <c r="N10921" s="11"/>
      <c r="O10921" s="11"/>
      <c r="P10921" s="11"/>
    </row>
    <row r="10922" spans="8:16" x14ac:dyDescent="0.25">
      <c r="H10922" s="12"/>
      <c r="I10922" s="12"/>
      <c r="J10922" s="12"/>
      <c r="K10922" s="12"/>
      <c r="L10922" s="12"/>
      <c r="M10922" s="11"/>
      <c r="N10922" s="11"/>
      <c r="O10922" s="11"/>
      <c r="P10922" s="11"/>
    </row>
    <row r="10923" spans="8:16" x14ac:dyDescent="0.25">
      <c r="H10923" s="12"/>
      <c r="I10923" s="12"/>
      <c r="J10923" s="12"/>
      <c r="K10923" s="12"/>
      <c r="L10923" s="12"/>
      <c r="M10923" s="11"/>
      <c r="N10923" s="11"/>
      <c r="O10923" s="11"/>
      <c r="P10923" s="11"/>
    </row>
    <row r="10924" spans="8:16" x14ac:dyDescent="0.25">
      <c r="H10924" s="12"/>
      <c r="I10924" s="12"/>
      <c r="J10924" s="12"/>
      <c r="K10924" s="12"/>
      <c r="L10924" s="12"/>
      <c r="M10924" s="11"/>
      <c r="N10924" s="11"/>
      <c r="O10924" s="11"/>
      <c r="P10924" s="11"/>
    </row>
    <row r="10925" spans="8:16" x14ac:dyDescent="0.25">
      <c r="H10925" s="12"/>
      <c r="I10925" s="12"/>
      <c r="J10925" s="12"/>
      <c r="K10925" s="12"/>
      <c r="L10925" s="12"/>
      <c r="M10925" s="11"/>
      <c r="N10925" s="11"/>
      <c r="O10925" s="11"/>
      <c r="P10925" s="11"/>
    </row>
    <row r="10926" spans="8:16" x14ac:dyDescent="0.25">
      <c r="H10926" s="12"/>
      <c r="I10926" s="12"/>
      <c r="J10926" s="12"/>
      <c r="K10926" s="12"/>
      <c r="L10926" s="12"/>
      <c r="M10926" s="11"/>
      <c r="N10926" s="11"/>
      <c r="O10926" s="11"/>
      <c r="P10926" s="11"/>
    </row>
    <row r="10927" spans="8:16" x14ac:dyDescent="0.25">
      <c r="H10927" s="12"/>
      <c r="I10927" s="12"/>
      <c r="J10927" s="12"/>
      <c r="K10927" s="12"/>
      <c r="L10927" s="12"/>
      <c r="M10927" s="11"/>
      <c r="N10927" s="11"/>
      <c r="O10927" s="11"/>
      <c r="P10927" s="11"/>
    </row>
    <row r="10928" spans="8:16" x14ac:dyDescent="0.25">
      <c r="H10928" s="12"/>
      <c r="I10928" s="12"/>
      <c r="J10928" s="12"/>
      <c r="K10928" s="12"/>
      <c r="L10928" s="12"/>
      <c r="M10928" s="11"/>
      <c r="N10928" s="11"/>
      <c r="O10928" s="11"/>
      <c r="P10928" s="11"/>
    </row>
    <row r="10929" spans="8:16" x14ac:dyDescent="0.25">
      <c r="H10929" s="12"/>
      <c r="I10929" s="12"/>
      <c r="J10929" s="12"/>
      <c r="K10929" s="12"/>
      <c r="L10929" s="12"/>
      <c r="M10929" s="11"/>
      <c r="N10929" s="11"/>
      <c r="O10929" s="11"/>
      <c r="P10929" s="11"/>
    </row>
    <row r="10930" spans="8:16" x14ac:dyDescent="0.25">
      <c r="H10930" s="12"/>
      <c r="I10930" s="12"/>
      <c r="J10930" s="12"/>
      <c r="K10930" s="12"/>
      <c r="L10930" s="12"/>
      <c r="M10930" s="11"/>
      <c r="N10930" s="11"/>
      <c r="O10930" s="11"/>
      <c r="P10930" s="11"/>
    </row>
    <row r="10931" spans="8:16" x14ac:dyDescent="0.25">
      <c r="H10931" s="12"/>
      <c r="I10931" s="12"/>
      <c r="J10931" s="12"/>
      <c r="K10931" s="12"/>
      <c r="L10931" s="12"/>
      <c r="M10931" s="11"/>
      <c r="N10931" s="11"/>
      <c r="O10931" s="11"/>
      <c r="P10931" s="11"/>
    </row>
    <row r="10932" spans="8:16" x14ac:dyDescent="0.25">
      <c r="H10932" s="12"/>
      <c r="I10932" s="12"/>
      <c r="J10932" s="12"/>
      <c r="K10932" s="12"/>
      <c r="L10932" s="12"/>
      <c r="M10932" s="11"/>
      <c r="N10932" s="11"/>
      <c r="O10932" s="11"/>
      <c r="P10932" s="11"/>
    </row>
    <row r="10933" spans="8:16" x14ac:dyDescent="0.25">
      <c r="H10933" s="12"/>
      <c r="I10933" s="12"/>
      <c r="J10933" s="12"/>
      <c r="K10933" s="12"/>
      <c r="L10933" s="12"/>
      <c r="M10933" s="11"/>
      <c r="N10933" s="11"/>
      <c r="O10933" s="11"/>
      <c r="P10933" s="11"/>
    </row>
    <row r="10934" spans="8:16" x14ac:dyDescent="0.25">
      <c r="H10934" s="12"/>
      <c r="I10934" s="12"/>
      <c r="J10934" s="12"/>
      <c r="K10934" s="12"/>
      <c r="L10934" s="12"/>
      <c r="M10934" s="11"/>
      <c r="N10934" s="11"/>
      <c r="O10934" s="11"/>
      <c r="P10934" s="11"/>
    </row>
    <row r="10935" spans="8:16" x14ac:dyDescent="0.25">
      <c r="H10935" s="12"/>
      <c r="I10935" s="12"/>
      <c r="J10935" s="12"/>
      <c r="K10935" s="12"/>
      <c r="L10935" s="12"/>
      <c r="M10935" s="11"/>
      <c r="N10935" s="11"/>
      <c r="O10935" s="11"/>
      <c r="P10935" s="11"/>
    </row>
    <row r="10936" spans="8:16" x14ac:dyDescent="0.25">
      <c r="H10936" s="12"/>
      <c r="I10936" s="12"/>
      <c r="J10936" s="12"/>
      <c r="K10936" s="12"/>
      <c r="L10936" s="12"/>
      <c r="M10936" s="11"/>
      <c r="N10936" s="11"/>
      <c r="O10936" s="11"/>
      <c r="P10936" s="11"/>
    </row>
    <row r="10937" spans="8:16" x14ac:dyDescent="0.25">
      <c r="H10937" s="12"/>
      <c r="I10937" s="12"/>
      <c r="J10937" s="12"/>
      <c r="K10937" s="12"/>
      <c r="L10937" s="12"/>
      <c r="M10937" s="11"/>
      <c r="N10937" s="11"/>
      <c r="O10937" s="11"/>
      <c r="P10937" s="11"/>
    </row>
    <row r="10938" spans="8:16" x14ac:dyDescent="0.25">
      <c r="H10938" s="12"/>
      <c r="I10938" s="12"/>
      <c r="J10938" s="12"/>
      <c r="K10938" s="12"/>
      <c r="L10938" s="12"/>
      <c r="M10938" s="11"/>
      <c r="N10938" s="11"/>
      <c r="O10938" s="11"/>
      <c r="P10938" s="11"/>
    </row>
    <row r="10939" spans="8:16" x14ac:dyDescent="0.25">
      <c r="H10939" s="12"/>
      <c r="I10939" s="12"/>
      <c r="J10939" s="12"/>
      <c r="K10939" s="12"/>
      <c r="L10939" s="12"/>
      <c r="M10939" s="11"/>
      <c r="N10939" s="11"/>
      <c r="O10939" s="11"/>
      <c r="P10939" s="11"/>
    </row>
    <row r="10940" spans="8:16" x14ac:dyDescent="0.25">
      <c r="H10940" s="12"/>
      <c r="I10940" s="12"/>
      <c r="J10940" s="12"/>
      <c r="K10940" s="12"/>
      <c r="L10940" s="12"/>
      <c r="M10940" s="11"/>
      <c r="N10940" s="11"/>
      <c r="O10940" s="11"/>
      <c r="P10940" s="11"/>
    </row>
    <row r="10941" spans="8:16" x14ac:dyDescent="0.25">
      <c r="H10941" s="12"/>
      <c r="I10941" s="12"/>
      <c r="J10941" s="12"/>
      <c r="K10941" s="12"/>
      <c r="L10941" s="12"/>
      <c r="M10941" s="11"/>
      <c r="N10941" s="11"/>
      <c r="O10941" s="11"/>
      <c r="P10941" s="11"/>
    </row>
    <row r="10942" spans="8:16" x14ac:dyDescent="0.25">
      <c r="H10942" s="12"/>
      <c r="I10942" s="12"/>
      <c r="J10942" s="12"/>
      <c r="K10942" s="12"/>
      <c r="L10942" s="12"/>
      <c r="M10942" s="11"/>
      <c r="N10942" s="11"/>
      <c r="O10942" s="11"/>
      <c r="P10942" s="11"/>
    </row>
    <row r="10943" spans="8:16" x14ac:dyDescent="0.25">
      <c r="H10943" s="12"/>
      <c r="I10943" s="12"/>
      <c r="J10943" s="12"/>
      <c r="K10943" s="12"/>
      <c r="L10943" s="12"/>
      <c r="M10943" s="11"/>
      <c r="N10943" s="11"/>
      <c r="O10943" s="11"/>
      <c r="P10943" s="11"/>
    </row>
    <row r="10944" spans="8:16" x14ac:dyDescent="0.25">
      <c r="H10944" s="12"/>
      <c r="I10944" s="12"/>
      <c r="J10944" s="12"/>
      <c r="K10944" s="12"/>
      <c r="L10944" s="12"/>
      <c r="M10944" s="11"/>
      <c r="N10944" s="11"/>
      <c r="O10944" s="11"/>
      <c r="P10944" s="11"/>
    </row>
    <row r="10945" spans="8:16" x14ac:dyDescent="0.25">
      <c r="H10945" s="12"/>
      <c r="I10945" s="12"/>
      <c r="J10945" s="12"/>
      <c r="K10945" s="12"/>
      <c r="L10945" s="12"/>
      <c r="M10945" s="11"/>
      <c r="N10945" s="11"/>
      <c r="O10945" s="11"/>
      <c r="P10945" s="11"/>
    </row>
    <row r="10946" spans="8:16" x14ac:dyDescent="0.25">
      <c r="H10946" s="12"/>
      <c r="I10946" s="12"/>
      <c r="J10946" s="12"/>
      <c r="K10946" s="12"/>
      <c r="L10946" s="12"/>
      <c r="M10946" s="11"/>
      <c r="N10946" s="11"/>
      <c r="O10946" s="11"/>
      <c r="P10946" s="11"/>
    </row>
    <row r="10947" spans="8:16" x14ac:dyDescent="0.25">
      <c r="H10947" s="12"/>
      <c r="I10947" s="12"/>
      <c r="J10947" s="12"/>
      <c r="K10947" s="12"/>
      <c r="L10947" s="12"/>
      <c r="M10947" s="11"/>
      <c r="N10947" s="11"/>
      <c r="O10947" s="11"/>
      <c r="P10947" s="11"/>
    </row>
    <row r="10948" spans="8:16" x14ac:dyDescent="0.25">
      <c r="H10948" s="12"/>
      <c r="I10948" s="12"/>
      <c r="J10948" s="12"/>
      <c r="K10948" s="12"/>
      <c r="L10948" s="12"/>
      <c r="M10948" s="11"/>
      <c r="N10948" s="11"/>
      <c r="O10948" s="11"/>
      <c r="P10948" s="11"/>
    </row>
    <row r="10949" spans="8:16" x14ac:dyDescent="0.25">
      <c r="H10949" s="12"/>
      <c r="I10949" s="12"/>
      <c r="J10949" s="12"/>
      <c r="K10949" s="12"/>
      <c r="L10949" s="12"/>
      <c r="M10949" s="11"/>
      <c r="N10949" s="11"/>
      <c r="O10949" s="11"/>
      <c r="P10949" s="11"/>
    </row>
    <row r="10950" spans="8:16" x14ac:dyDescent="0.25">
      <c r="H10950" s="12"/>
      <c r="I10950" s="12"/>
      <c r="J10950" s="12"/>
      <c r="K10950" s="12"/>
      <c r="L10950" s="12"/>
      <c r="M10950" s="11"/>
      <c r="N10950" s="11"/>
      <c r="O10950" s="11"/>
      <c r="P10950" s="11"/>
    </row>
    <row r="10951" spans="8:16" x14ac:dyDescent="0.25">
      <c r="H10951" s="12"/>
      <c r="I10951" s="12"/>
      <c r="J10951" s="12"/>
      <c r="K10951" s="12"/>
      <c r="L10951" s="12"/>
      <c r="M10951" s="11"/>
      <c r="N10951" s="11"/>
      <c r="O10951" s="11"/>
      <c r="P10951" s="11"/>
    </row>
    <row r="10952" spans="8:16" x14ac:dyDescent="0.25">
      <c r="H10952" s="12"/>
      <c r="I10952" s="12"/>
      <c r="J10952" s="12"/>
      <c r="K10952" s="12"/>
      <c r="L10952" s="12"/>
      <c r="M10952" s="11"/>
      <c r="N10952" s="11"/>
      <c r="O10952" s="11"/>
      <c r="P10952" s="11"/>
    </row>
    <row r="10953" spans="8:16" x14ac:dyDescent="0.25">
      <c r="H10953" s="12"/>
      <c r="I10953" s="12"/>
      <c r="J10953" s="12"/>
      <c r="K10953" s="12"/>
      <c r="L10953" s="12"/>
      <c r="M10953" s="11"/>
      <c r="N10953" s="11"/>
      <c r="O10953" s="11"/>
      <c r="P10953" s="11"/>
    </row>
    <row r="10954" spans="8:16" x14ac:dyDescent="0.25">
      <c r="H10954" s="12"/>
      <c r="I10954" s="12"/>
      <c r="J10954" s="12"/>
      <c r="K10954" s="12"/>
      <c r="L10954" s="12"/>
      <c r="M10954" s="11"/>
      <c r="N10954" s="11"/>
      <c r="O10954" s="11"/>
      <c r="P10954" s="11"/>
    </row>
    <row r="10955" spans="8:16" x14ac:dyDescent="0.25">
      <c r="H10955" s="12"/>
      <c r="I10955" s="12"/>
      <c r="J10955" s="12"/>
      <c r="K10955" s="12"/>
      <c r="L10955" s="12"/>
      <c r="M10955" s="11"/>
      <c r="N10955" s="11"/>
      <c r="O10955" s="11"/>
      <c r="P10955" s="11"/>
    </row>
    <row r="10956" spans="8:16" x14ac:dyDescent="0.25">
      <c r="H10956" s="12"/>
      <c r="I10956" s="12"/>
      <c r="J10956" s="12"/>
      <c r="K10956" s="12"/>
      <c r="L10956" s="12"/>
      <c r="M10956" s="11"/>
      <c r="N10956" s="11"/>
      <c r="O10956" s="11"/>
      <c r="P10956" s="11"/>
    </row>
    <row r="10957" spans="8:16" x14ac:dyDescent="0.25">
      <c r="H10957" s="12"/>
      <c r="I10957" s="12"/>
      <c r="J10957" s="12"/>
      <c r="K10957" s="12"/>
      <c r="L10957" s="12"/>
      <c r="M10957" s="11"/>
      <c r="N10957" s="11"/>
      <c r="O10957" s="11"/>
      <c r="P10957" s="11"/>
    </row>
    <row r="10958" spans="8:16" x14ac:dyDescent="0.25">
      <c r="H10958" s="12"/>
      <c r="I10958" s="12"/>
      <c r="J10958" s="12"/>
      <c r="K10958" s="12"/>
      <c r="L10958" s="12"/>
      <c r="M10958" s="11"/>
      <c r="N10958" s="11"/>
      <c r="O10958" s="11"/>
      <c r="P10958" s="11"/>
    </row>
    <row r="10959" spans="8:16" x14ac:dyDescent="0.25">
      <c r="H10959" s="12"/>
      <c r="I10959" s="12"/>
      <c r="J10959" s="12"/>
      <c r="K10959" s="12"/>
      <c r="L10959" s="12"/>
      <c r="M10959" s="11"/>
      <c r="N10959" s="11"/>
      <c r="O10959" s="11"/>
      <c r="P10959" s="11"/>
    </row>
    <row r="10960" spans="8:16" x14ac:dyDescent="0.25">
      <c r="H10960" s="12"/>
      <c r="I10960" s="12"/>
      <c r="J10960" s="12"/>
      <c r="K10960" s="12"/>
      <c r="L10960" s="12"/>
      <c r="M10960" s="11"/>
      <c r="N10960" s="11"/>
      <c r="O10960" s="11"/>
      <c r="P10960" s="11"/>
    </row>
    <row r="10961" spans="8:16" x14ac:dyDescent="0.25">
      <c r="H10961" s="12"/>
      <c r="I10961" s="12"/>
      <c r="J10961" s="12"/>
      <c r="K10961" s="12"/>
      <c r="L10961" s="12"/>
      <c r="M10961" s="11"/>
      <c r="N10961" s="11"/>
      <c r="O10961" s="11"/>
      <c r="P10961" s="11"/>
    </row>
    <row r="10962" spans="8:16" x14ac:dyDescent="0.25">
      <c r="H10962" s="12"/>
      <c r="I10962" s="12"/>
      <c r="J10962" s="12"/>
      <c r="K10962" s="12"/>
      <c r="L10962" s="12"/>
      <c r="M10962" s="11"/>
      <c r="N10962" s="11"/>
      <c r="O10962" s="11"/>
      <c r="P10962" s="11"/>
    </row>
    <row r="10963" spans="8:16" x14ac:dyDescent="0.25">
      <c r="H10963" s="12"/>
      <c r="I10963" s="12"/>
      <c r="J10963" s="12"/>
      <c r="K10963" s="12"/>
      <c r="L10963" s="12"/>
      <c r="M10963" s="11"/>
      <c r="N10963" s="11"/>
      <c r="O10963" s="11"/>
      <c r="P10963" s="11"/>
    </row>
    <row r="10964" spans="8:16" x14ac:dyDescent="0.25">
      <c r="H10964" s="12"/>
      <c r="I10964" s="12"/>
      <c r="J10964" s="12"/>
      <c r="K10964" s="12"/>
      <c r="L10964" s="12"/>
      <c r="M10964" s="11"/>
      <c r="N10964" s="11"/>
      <c r="O10964" s="11"/>
      <c r="P10964" s="11"/>
    </row>
    <row r="10965" spans="8:16" x14ac:dyDescent="0.25">
      <c r="H10965" s="12"/>
      <c r="I10965" s="12"/>
      <c r="J10965" s="12"/>
      <c r="K10965" s="12"/>
      <c r="L10965" s="12"/>
      <c r="M10965" s="11"/>
      <c r="N10965" s="11"/>
      <c r="O10965" s="11"/>
      <c r="P10965" s="11"/>
    </row>
    <row r="10966" spans="8:16" x14ac:dyDescent="0.25">
      <c r="H10966" s="12"/>
      <c r="I10966" s="12"/>
      <c r="J10966" s="12"/>
      <c r="K10966" s="12"/>
      <c r="L10966" s="12"/>
      <c r="M10966" s="11"/>
      <c r="N10966" s="11"/>
      <c r="O10966" s="11"/>
      <c r="P10966" s="11"/>
    </row>
    <row r="10967" spans="8:16" x14ac:dyDescent="0.25">
      <c r="H10967" s="12"/>
      <c r="I10967" s="12"/>
      <c r="J10967" s="12"/>
      <c r="K10967" s="12"/>
      <c r="L10967" s="12"/>
      <c r="M10967" s="11"/>
      <c r="N10967" s="11"/>
      <c r="O10967" s="11"/>
      <c r="P10967" s="11"/>
    </row>
    <row r="10968" spans="8:16" x14ac:dyDescent="0.25">
      <c r="H10968" s="12"/>
      <c r="I10968" s="12"/>
      <c r="J10968" s="12"/>
      <c r="K10968" s="12"/>
      <c r="L10968" s="12"/>
      <c r="M10968" s="11"/>
      <c r="N10968" s="11"/>
      <c r="O10968" s="11"/>
      <c r="P10968" s="11"/>
    </row>
    <row r="10969" spans="8:16" x14ac:dyDescent="0.25">
      <c r="H10969" s="12"/>
      <c r="I10969" s="12"/>
      <c r="J10969" s="12"/>
      <c r="K10969" s="12"/>
      <c r="L10969" s="12"/>
      <c r="M10969" s="11"/>
      <c r="N10969" s="11"/>
      <c r="O10969" s="11"/>
      <c r="P10969" s="11"/>
    </row>
    <row r="10970" spans="8:16" x14ac:dyDescent="0.25">
      <c r="H10970" s="12"/>
      <c r="I10970" s="12"/>
      <c r="J10970" s="12"/>
      <c r="K10970" s="12"/>
      <c r="L10970" s="12"/>
      <c r="M10970" s="11"/>
      <c r="N10970" s="11"/>
      <c r="O10970" s="11"/>
      <c r="P10970" s="11"/>
    </row>
    <row r="10971" spans="8:16" x14ac:dyDescent="0.25">
      <c r="H10971" s="12"/>
      <c r="I10971" s="12"/>
      <c r="J10971" s="12"/>
      <c r="K10971" s="12"/>
      <c r="L10971" s="12"/>
      <c r="M10971" s="11"/>
      <c r="N10971" s="11"/>
      <c r="O10971" s="11"/>
      <c r="P10971" s="11"/>
    </row>
    <row r="10972" spans="8:16" x14ac:dyDescent="0.25">
      <c r="H10972" s="12"/>
      <c r="I10972" s="12"/>
      <c r="J10972" s="12"/>
      <c r="K10972" s="12"/>
      <c r="L10972" s="12"/>
      <c r="M10972" s="11"/>
      <c r="N10972" s="11"/>
      <c r="O10972" s="11"/>
      <c r="P10972" s="11"/>
    </row>
    <row r="10973" spans="8:16" x14ac:dyDescent="0.25">
      <c r="H10973" s="12"/>
      <c r="I10973" s="12"/>
      <c r="J10973" s="12"/>
      <c r="K10973" s="12"/>
      <c r="L10973" s="12"/>
      <c r="M10973" s="11"/>
      <c r="N10973" s="11"/>
      <c r="O10973" s="11"/>
      <c r="P10973" s="11"/>
    </row>
    <row r="10974" spans="8:16" x14ac:dyDescent="0.25">
      <c r="H10974" s="12"/>
      <c r="I10974" s="12"/>
      <c r="J10974" s="12"/>
      <c r="K10974" s="12"/>
      <c r="L10974" s="12"/>
      <c r="M10974" s="11"/>
      <c r="N10974" s="11"/>
      <c r="O10974" s="11"/>
      <c r="P10974" s="11"/>
    </row>
    <row r="10975" spans="8:16" x14ac:dyDescent="0.25">
      <c r="H10975" s="12"/>
      <c r="I10975" s="12"/>
      <c r="J10975" s="12"/>
      <c r="K10975" s="12"/>
      <c r="L10975" s="12"/>
      <c r="M10975" s="11"/>
      <c r="N10975" s="11"/>
      <c r="O10975" s="11"/>
      <c r="P10975" s="11"/>
    </row>
    <row r="10976" spans="8:16" x14ac:dyDescent="0.25">
      <c r="H10976" s="12"/>
      <c r="I10976" s="12"/>
      <c r="J10976" s="12"/>
      <c r="K10976" s="12"/>
      <c r="L10976" s="12"/>
      <c r="M10976" s="11"/>
      <c r="N10976" s="11"/>
      <c r="O10976" s="11"/>
      <c r="P10976" s="11"/>
    </row>
    <row r="10977" spans="8:16" x14ac:dyDescent="0.25">
      <c r="H10977" s="12"/>
      <c r="I10977" s="12"/>
      <c r="J10977" s="12"/>
      <c r="K10977" s="12"/>
      <c r="L10977" s="12"/>
      <c r="M10977" s="11"/>
      <c r="N10977" s="11"/>
      <c r="O10977" s="11"/>
      <c r="P10977" s="11"/>
    </row>
    <row r="10978" spans="8:16" x14ac:dyDescent="0.25">
      <c r="H10978" s="12"/>
      <c r="I10978" s="12"/>
      <c r="J10978" s="12"/>
      <c r="K10978" s="12"/>
      <c r="L10978" s="12"/>
      <c r="M10978" s="11"/>
      <c r="N10978" s="11"/>
      <c r="O10978" s="11"/>
      <c r="P10978" s="11"/>
    </row>
    <row r="10979" spans="8:16" x14ac:dyDescent="0.25">
      <c r="H10979" s="12"/>
      <c r="I10979" s="12"/>
      <c r="J10979" s="12"/>
      <c r="K10979" s="12"/>
      <c r="L10979" s="12"/>
      <c r="M10979" s="11"/>
      <c r="N10979" s="11"/>
      <c r="O10979" s="11"/>
      <c r="P10979" s="11"/>
    </row>
    <row r="10980" spans="8:16" x14ac:dyDescent="0.25">
      <c r="H10980" s="12"/>
      <c r="I10980" s="12"/>
      <c r="J10980" s="12"/>
      <c r="K10980" s="12"/>
      <c r="L10980" s="12"/>
      <c r="M10980" s="11"/>
      <c r="N10980" s="11"/>
      <c r="O10980" s="11"/>
      <c r="P10980" s="11"/>
    </row>
    <row r="10981" spans="8:16" x14ac:dyDescent="0.25">
      <c r="H10981" s="12"/>
      <c r="I10981" s="12"/>
      <c r="J10981" s="12"/>
      <c r="K10981" s="12"/>
      <c r="L10981" s="12"/>
      <c r="M10981" s="11"/>
      <c r="N10981" s="11"/>
      <c r="O10981" s="11"/>
      <c r="P10981" s="11"/>
    </row>
    <row r="10982" spans="8:16" x14ac:dyDescent="0.25">
      <c r="H10982" s="12"/>
      <c r="I10982" s="12"/>
      <c r="J10982" s="12"/>
      <c r="K10982" s="12"/>
      <c r="L10982" s="12"/>
      <c r="M10982" s="11"/>
      <c r="N10982" s="11"/>
      <c r="O10982" s="11"/>
      <c r="P10982" s="11"/>
    </row>
    <row r="10983" spans="8:16" x14ac:dyDescent="0.25">
      <c r="H10983" s="12"/>
      <c r="I10983" s="12"/>
      <c r="J10983" s="12"/>
      <c r="K10983" s="12"/>
      <c r="L10983" s="12"/>
      <c r="M10983" s="11"/>
      <c r="N10983" s="11"/>
      <c r="O10983" s="11"/>
      <c r="P10983" s="11"/>
    </row>
    <row r="10984" spans="8:16" x14ac:dyDescent="0.25">
      <c r="H10984" s="12"/>
      <c r="I10984" s="12"/>
      <c r="J10984" s="12"/>
      <c r="K10984" s="12"/>
      <c r="L10984" s="12"/>
      <c r="M10984" s="11"/>
      <c r="N10984" s="11"/>
      <c r="O10984" s="11"/>
      <c r="P10984" s="11"/>
    </row>
    <row r="10985" spans="8:16" x14ac:dyDescent="0.25">
      <c r="H10985" s="12"/>
      <c r="I10985" s="12"/>
      <c r="J10985" s="12"/>
      <c r="K10985" s="12"/>
      <c r="L10985" s="12"/>
      <c r="M10985" s="11"/>
      <c r="N10985" s="11"/>
      <c r="O10985" s="11"/>
      <c r="P10985" s="11"/>
    </row>
    <row r="10986" spans="8:16" x14ac:dyDescent="0.25">
      <c r="H10986" s="12"/>
      <c r="I10986" s="12"/>
      <c r="J10986" s="12"/>
      <c r="K10986" s="12"/>
      <c r="L10986" s="12"/>
      <c r="M10986" s="11"/>
      <c r="N10986" s="11"/>
      <c r="O10986" s="11"/>
      <c r="P10986" s="11"/>
    </row>
    <row r="10987" spans="8:16" x14ac:dyDescent="0.25">
      <c r="H10987" s="12"/>
      <c r="I10987" s="12"/>
      <c r="J10987" s="12"/>
      <c r="K10987" s="12"/>
      <c r="L10987" s="12"/>
      <c r="M10987" s="11"/>
      <c r="N10987" s="11"/>
      <c r="O10987" s="11"/>
      <c r="P10987" s="11"/>
    </row>
    <row r="10988" spans="8:16" x14ac:dyDescent="0.25">
      <c r="H10988" s="12"/>
      <c r="I10988" s="12"/>
      <c r="J10988" s="12"/>
      <c r="K10988" s="12"/>
      <c r="L10988" s="12"/>
      <c r="M10988" s="11"/>
      <c r="N10988" s="11"/>
      <c r="O10988" s="11"/>
      <c r="P10988" s="11"/>
    </row>
    <row r="10989" spans="8:16" x14ac:dyDescent="0.25">
      <c r="H10989" s="12"/>
      <c r="I10989" s="12"/>
      <c r="J10989" s="12"/>
      <c r="K10989" s="12"/>
      <c r="L10989" s="12"/>
      <c r="M10989" s="11"/>
      <c r="N10989" s="11"/>
      <c r="O10989" s="11"/>
      <c r="P10989" s="11"/>
    </row>
    <row r="10990" spans="8:16" x14ac:dyDescent="0.25">
      <c r="H10990" s="12"/>
      <c r="I10990" s="12"/>
      <c r="J10990" s="12"/>
      <c r="K10990" s="12"/>
      <c r="L10990" s="12"/>
      <c r="M10990" s="11"/>
      <c r="N10990" s="11"/>
      <c r="O10990" s="11"/>
      <c r="P10990" s="11"/>
    </row>
    <row r="10991" spans="8:16" x14ac:dyDescent="0.25">
      <c r="H10991" s="12"/>
      <c r="I10991" s="12"/>
      <c r="J10991" s="12"/>
      <c r="K10991" s="12"/>
      <c r="L10991" s="12"/>
      <c r="M10991" s="11"/>
      <c r="N10991" s="11"/>
      <c r="O10991" s="11"/>
      <c r="P10991" s="11"/>
    </row>
    <row r="10992" spans="8:16" x14ac:dyDescent="0.25">
      <c r="H10992" s="12"/>
      <c r="I10992" s="12"/>
      <c r="J10992" s="12"/>
      <c r="K10992" s="12"/>
      <c r="L10992" s="12"/>
      <c r="M10992" s="11"/>
      <c r="N10992" s="11"/>
      <c r="O10992" s="11"/>
      <c r="P10992" s="11"/>
    </row>
    <row r="10993" spans="8:16" x14ac:dyDescent="0.25">
      <c r="H10993" s="12"/>
      <c r="I10993" s="12"/>
      <c r="J10993" s="12"/>
      <c r="K10993" s="12"/>
      <c r="L10993" s="12"/>
      <c r="M10993" s="11"/>
      <c r="N10993" s="11"/>
      <c r="O10993" s="11"/>
      <c r="P10993" s="11"/>
    </row>
    <row r="10994" spans="8:16" x14ac:dyDescent="0.25">
      <c r="H10994" s="12"/>
      <c r="I10994" s="12"/>
      <c r="J10994" s="12"/>
      <c r="K10994" s="12"/>
      <c r="L10994" s="12"/>
      <c r="M10994" s="11"/>
      <c r="N10994" s="11"/>
      <c r="O10994" s="11"/>
      <c r="P10994" s="11"/>
    </row>
    <row r="10995" spans="8:16" x14ac:dyDescent="0.25">
      <c r="H10995" s="12"/>
      <c r="I10995" s="12"/>
      <c r="J10995" s="12"/>
      <c r="K10995" s="12"/>
      <c r="L10995" s="12"/>
      <c r="M10995" s="11"/>
      <c r="N10995" s="11"/>
      <c r="O10995" s="11"/>
      <c r="P10995" s="11"/>
    </row>
    <row r="10996" spans="8:16" x14ac:dyDescent="0.25">
      <c r="H10996" s="12"/>
      <c r="I10996" s="12"/>
      <c r="J10996" s="12"/>
      <c r="K10996" s="12"/>
      <c r="L10996" s="12"/>
      <c r="M10996" s="11"/>
      <c r="N10996" s="11"/>
      <c r="O10996" s="11"/>
      <c r="P10996" s="11"/>
    </row>
    <row r="10997" spans="8:16" x14ac:dyDescent="0.25">
      <c r="H10997" s="12"/>
      <c r="I10997" s="12"/>
      <c r="J10997" s="12"/>
      <c r="K10997" s="12"/>
      <c r="L10997" s="12"/>
      <c r="M10997" s="11"/>
      <c r="N10997" s="11"/>
      <c r="O10997" s="11"/>
      <c r="P10997" s="11"/>
    </row>
    <row r="10998" spans="8:16" x14ac:dyDescent="0.25">
      <c r="H10998" s="12"/>
      <c r="I10998" s="12"/>
      <c r="J10998" s="12"/>
      <c r="K10998" s="12"/>
      <c r="L10998" s="12"/>
      <c r="M10998" s="11"/>
      <c r="N10998" s="11"/>
      <c r="O10998" s="11"/>
      <c r="P10998" s="11"/>
    </row>
    <row r="10999" spans="8:16" x14ac:dyDescent="0.25">
      <c r="H10999" s="12"/>
      <c r="I10999" s="12"/>
      <c r="J10999" s="12"/>
      <c r="K10999" s="12"/>
      <c r="L10999" s="12"/>
      <c r="M10999" s="11"/>
      <c r="N10999" s="11"/>
      <c r="O10999" s="11"/>
      <c r="P10999" s="11"/>
    </row>
    <row r="11000" spans="8:16" x14ac:dyDescent="0.25">
      <c r="H11000" s="12"/>
      <c r="I11000" s="12"/>
      <c r="J11000" s="12"/>
      <c r="K11000" s="12"/>
      <c r="L11000" s="12"/>
      <c r="M11000" s="11"/>
      <c r="N11000" s="11"/>
      <c r="O11000" s="11"/>
      <c r="P11000" s="11"/>
    </row>
    <row r="11001" spans="8:16" x14ac:dyDescent="0.25">
      <c r="H11001" s="12"/>
      <c r="I11001" s="12"/>
      <c r="J11001" s="12"/>
      <c r="K11001" s="12"/>
      <c r="L11001" s="12"/>
      <c r="M11001" s="11"/>
      <c r="N11001" s="11"/>
      <c r="O11001" s="11"/>
      <c r="P11001" s="11"/>
    </row>
    <row r="11002" spans="8:16" x14ac:dyDescent="0.25">
      <c r="H11002" s="12"/>
      <c r="I11002" s="12"/>
      <c r="J11002" s="12"/>
      <c r="K11002" s="12"/>
      <c r="L11002" s="12"/>
      <c r="M11002" s="11"/>
      <c r="N11002" s="11"/>
      <c r="O11002" s="11"/>
      <c r="P11002" s="11"/>
    </row>
    <row r="11003" spans="8:16" x14ac:dyDescent="0.25">
      <c r="H11003" s="12"/>
      <c r="I11003" s="12"/>
      <c r="J11003" s="12"/>
      <c r="K11003" s="12"/>
      <c r="L11003" s="12"/>
      <c r="M11003" s="11"/>
      <c r="N11003" s="11"/>
      <c r="O11003" s="11"/>
      <c r="P11003" s="11"/>
    </row>
    <row r="11004" spans="8:16" x14ac:dyDescent="0.25">
      <c r="H11004" s="12"/>
      <c r="I11004" s="12"/>
      <c r="J11004" s="12"/>
      <c r="K11004" s="12"/>
      <c r="L11004" s="12"/>
      <c r="M11004" s="11"/>
      <c r="N11004" s="11"/>
      <c r="O11004" s="11"/>
      <c r="P11004" s="11"/>
    </row>
    <row r="11005" spans="8:16" x14ac:dyDescent="0.25">
      <c r="H11005" s="12"/>
      <c r="I11005" s="12"/>
      <c r="J11005" s="12"/>
      <c r="K11005" s="12"/>
      <c r="L11005" s="12"/>
      <c r="M11005" s="11"/>
      <c r="N11005" s="11"/>
      <c r="O11005" s="11"/>
      <c r="P11005" s="11"/>
    </row>
    <row r="11006" spans="8:16" x14ac:dyDescent="0.25">
      <c r="H11006" s="12"/>
      <c r="I11006" s="12"/>
      <c r="J11006" s="12"/>
      <c r="K11006" s="12"/>
      <c r="L11006" s="12"/>
      <c r="M11006" s="11"/>
      <c r="N11006" s="11"/>
      <c r="O11006" s="11"/>
      <c r="P11006" s="11"/>
    </row>
    <row r="11007" spans="8:16" x14ac:dyDescent="0.25">
      <c r="H11007" s="12"/>
      <c r="I11007" s="12"/>
      <c r="J11007" s="12"/>
      <c r="K11007" s="12"/>
      <c r="L11007" s="12"/>
      <c r="M11007" s="11"/>
      <c r="N11007" s="11"/>
      <c r="O11007" s="11"/>
      <c r="P11007" s="11"/>
    </row>
    <row r="11008" spans="8:16" x14ac:dyDescent="0.25">
      <c r="H11008" s="12"/>
      <c r="I11008" s="12"/>
      <c r="J11008" s="12"/>
      <c r="K11008" s="12"/>
      <c r="L11008" s="12"/>
      <c r="M11008" s="11"/>
      <c r="N11008" s="11"/>
      <c r="O11008" s="11"/>
      <c r="P11008" s="11"/>
    </row>
    <row r="11009" spans="8:16" x14ac:dyDescent="0.25">
      <c r="H11009" s="12"/>
      <c r="I11009" s="12"/>
      <c r="J11009" s="12"/>
      <c r="K11009" s="12"/>
      <c r="L11009" s="12"/>
      <c r="M11009" s="11"/>
      <c r="N11009" s="11"/>
      <c r="O11009" s="11"/>
      <c r="P11009" s="11"/>
    </row>
    <row r="11010" spans="8:16" x14ac:dyDescent="0.25">
      <c r="H11010" s="12"/>
      <c r="I11010" s="12"/>
      <c r="J11010" s="12"/>
      <c r="K11010" s="12"/>
      <c r="L11010" s="12"/>
      <c r="M11010" s="11"/>
      <c r="N11010" s="11"/>
      <c r="O11010" s="11"/>
      <c r="P11010" s="11"/>
    </row>
    <row r="11011" spans="8:16" x14ac:dyDescent="0.25">
      <c r="H11011" s="12"/>
      <c r="I11011" s="12"/>
      <c r="J11011" s="12"/>
      <c r="K11011" s="12"/>
      <c r="L11011" s="12"/>
      <c r="M11011" s="11"/>
      <c r="N11011" s="11"/>
      <c r="O11011" s="11"/>
      <c r="P11011" s="11"/>
    </row>
    <row r="11012" spans="8:16" x14ac:dyDescent="0.25">
      <c r="H11012" s="12"/>
      <c r="I11012" s="12"/>
      <c r="J11012" s="12"/>
      <c r="K11012" s="12"/>
      <c r="L11012" s="12"/>
      <c r="M11012" s="11"/>
      <c r="N11012" s="11"/>
      <c r="O11012" s="11"/>
      <c r="P11012" s="11"/>
    </row>
    <row r="11013" spans="8:16" x14ac:dyDescent="0.25">
      <c r="H11013" s="12"/>
      <c r="I11013" s="12"/>
      <c r="J11013" s="12"/>
      <c r="K11013" s="12"/>
      <c r="L11013" s="12"/>
      <c r="M11013" s="11"/>
      <c r="N11013" s="11"/>
      <c r="O11013" s="11"/>
      <c r="P11013" s="11"/>
    </row>
    <row r="11014" spans="8:16" x14ac:dyDescent="0.25">
      <c r="H11014" s="12"/>
      <c r="I11014" s="12"/>
      <c r="J11014" s="12"/>
      <c r="K11014" s="12"/>
      <c r="L11014" s="12"/>
      <c r="M11014" s="11"/>
      <c r="N11014" s="11"/>
      <c r="O11014" s="11"/>
      <c r="P11014" s="11"/>
    </row>
    <row r="11015" spans="8:16" x14ac:dyDescent="0.25">
      <c r="H11015" s="12"/>
      <c r="I11015" s="12"/>
      <c r="J11015" s="12"/>
      <c r="K11015" s="12"/>
      <c r="L11015" s="12"/>
      <c r="M11015" s="11"/>
      <c r="N11015" s="11"/>
      <c r="O11015" s="11"/>
      <c r="P11015" s="11"/>
    </row>
    <row r="11016" spans="8:16" x14ac:dyDescent="0.25">
      <c r="H11016" s="12"/>
      <c r="I11016" s="12"/>
      <c r="J11016" s="12"/>
      <c r="K11016" s="12"/>
      <c r="L11016" s="12"/>
      <c r="M11016" s="11"/>
      <c r="N11016" s="11"/>
      <c r="O11016" s="11"/>
      <c r="P11016" s="11"/>
    </row>
    <row r="11017" spans="8:16" x14ac:dyDescent="0.25">
      <c r="H11017" s="12"/>
      <c r="I11017" s="12"/>
      <c r="J11017" s="12"/>
      <c r="K11017" s="12"/>
      <c r="L11017" s="12"/>
      <c r="M11017" s="11"/>
      <c r="N11017" s="11"/>
      <c r="O11017" s="11"/>
      <c r="P11017" s="11"/>
    </row>
    <row r="11018" spans="8:16" x14ac:dyDescent="0.25">
      <c r="H11018" s="12"/>
      <c r="I11018" s="12"/>
      <c r="J11018" s="12"/>
      <c r="K11018" s="12"/>
      <c r="L11018" s="12"/>
      <c r="M11018" s="11"/>
      <c r="N11018" s="11"/>
      <c r="O11018" s="11"/>
      <c r="P11018" s="11"/>
    </row>
    <row r="11019" spans="8:16" x14ac:dyDescent="0.25">
      <c r="H11019" s="12"/>
      <c r="I11019" s="12"/>
      <c r="J11019" s="12"/>
      <c r="K11019" s="12"/>
      <c r="L11019" s="12"/>
      <c r="M11019" s="11"/>
      <c r="N11019" s="11"/>
      <c r="O11019" s="11"/>
      <c r="P11019" s="11"/>
    </row>
    <row r="11020" spans="8:16" x14ac:dyDescent="0.25">
      <c r="H11020" s="12"/>
      <c r="I11020" s="12"/>
      <c r="J11020" s="12"/>
      <c r="K11020" s="12"/>
      <c r="L11020" s="12"/>
      <c r="M11020" s="11"/>
      <c r="N11020" s="11"/>
      <c r="O11020" s="11"/>
      <c r="P11020" s="11"/>
    </row>
    <row r="11021" spans="8:16" x14ac:dyDescent="0.25">
      <c r="H11021" s="12"/>
      <c r="I11021" s="12"/>
      <c r="J11021" s="12"/>
      <c r="K11021" s="12"/>
      <c r="L11021" s="12"/>
      <c r="M11021" s="11"/>
      <c r="N11021" s="11"/>
      <c r="O11021" s="11"/>
      <c r="P11021" s="11"/>
    </row>
    <row r="11022" spans="8:16" x14ac:dyDescent="0.25">
      <c r="H11022" s="12"/>
      <c r="I11022" s="12"/>
      <c r="J11022" s="12"/>
      <c r="K11022" s="12"/>
      <c r="L11022" s="12"/>
      <c r="M11022" s="11"/>
      <c r="N11022" s="11"/>
      <c r="O11022" s="11"/>
      <c r="P11022" s="11"/>
    </row>
    <row r="11023" spans="8:16" x14ac:dyDescent="0.25">
      <c r="H11023" s="12"/>
      <c r="I11023" s="12"/>
      <c r="J11023" s="12"/>
      <c r="K11023" s="12"/>
      <c r="L11023" s="12"/>
      <c r="M11023" s="11"/>
      <c r="N11023" s="11"/>
      <c r="O11023" s="11"/>
      <c r="P11023" s="11"/>
    </row>
    <row r="11024" spans="8:16" x14ac:dyDescent="0.25">
      <c r="H11024" s="12"/>
      <c r="I11024" s="12"/>
      <c r="J11024" s="12"/>
      <c r="K11024" s="12"/>
      <c r="L11024" s="12"/>
      <c r="M11024" s="11"/>
      <c r="N11024" s="11"/>
      <c r="O11024" s="11"/>
      <c r="P11024" s="11"/>
    </row>
    <row r="11025" spans="8:16" x14ac:dyDescent="0.25">
      <c r="H11025" s="12"/>
      <c r="I11025" s="12"/>
      <c r="J11025" s="12"/>
      <c r="K11025" s="12"/>
      <c r="L11025" s="12"/>
      <c r="M11025" s="11"/>
      <c r="N11025" s="11"/>
      <c r="O11025" s="11"/>
      <c r="P11025" s="11"/>
    </row>
    <row r="11026" spans="8:16" x14ac:dyDescent="0.25">
      <c r="H11026" s="12"/>
      <c r="I11026" s="12"/>
      <c r="J11026" s="12"/>
      <c r="K11026" s="12"/>
      <c r="L11026" s="12"/>
      <c r="M11026" s="11"/>
      <c r="N11026" s="11"/>
      <c r="O11026" s="11"/>
      <c r="P11026" s="11"/>
    </row>
    <row r="11027" spans="8:16" x14ac:dyDescent="0.25">
      <c r="H11027" s="12"/>
      <c r="I11027" s="12"/>
      <c r="J11027" s="12"/>
      <c r="K11027" s="12"/>
      <c r="L11027" s="12"/>
      <c r="M11027" s="11"/>
      <c r="N11027" s="11"/>
      <c r="O11027" s="11"/>
      <c r="P11027" s="11"/>
    </row>
    <row r="11028" spans="8:16" x14ac:dyDescent="0.25">
      <c r="H11028" s="12"/>
      <c r="I11028" s="12"/>
      <c r="J11028" s="12"/>
      <c r="K11028" s="12"/>
      <c r="L11028" s="12"/>
      <c r="M11028" s="11"/>
      <c r="N11028" s="11"/>
      <c r="O11028" s="11"/>
      <c r="P11028" s="11"/>
    </row>
    <row r="11029" spans="8:16" x14ac:dyDescent="0.25">
      <c r="H11029" s="12"/>
      <c r="I11029" s="12"/>
      <c r="J11029" s="12"/>
      <c r="K11029" s="12"/>
      <c r="L11029" s="12"/>
      <c r="M11029" s="11"/>
      <c r="N11029" s="11"/>
      <c r="O11029" s="11"/>
      <c r="P11029" s="11"/>
    </row>
    <row r="11030" spans="8:16" x14ac:dyDescent="0.25">
      <c r="H11030" s="12"/>
      <c r="I11030" s="12"/>
      <c r="J11030" s="12"/>
      <c r="K11030" s="12"/>
      <c r="L11030" s="12"/>
      <c r="M11030" s="11"/>
      <c r="N11030" s="11"/>
      <c r="O11030" s="11"/>
      <c r="P11030" s="11"/>
    </row>
    <row r="11031" spans="8:16" x14ac:dyDescent="0.25">
      <c r="H11031" s="12"/>
      <c r="I11031" s="12"/>
      <c r="J11031" s="12"/>
      <c r="K11031" s="12"/>
      <c r="L11031" s="12"/>
      <c r="M11031" s="11"/>
      <c r="N11031" s="11"/>
      <c r="O11031" s="11"/>
      <c r="P11031" s="11"/>
    </row>
    <row r="11032" spans="8:16" x14ac:dyDescent="0.25">
      <c r="H11032" s="12"/>
      <c r="I11032" s="12"/>
      <c r="J11032" s="12"/>
      <c r="K11032" s="12"/>
      <c r="L11032" s="12"/>
      <c r="M11032" s="11"/>
      <c r="N11032" s="11"/>
      <c r="O11032" s="11"/>
      <c r="P11032" s="11"/>
    </row>
    <row r="11033" spans="8:16" x14ac:dyDescent="0.25">
      <c r="H11033" s="12"/>
      <c r="I11033" s="12"/>
      <c r="J11033" s="12"/>
      <c r="K11033" s="12"/>
      <c r="L11033" s="12"/>
      <c r="M11033" s="11"/>
      <c r="N11033" s="11"/>
      <c r="O11033" s="11"/>
      <c r="P11033" s="11"/>
    </row>
    <row r="11034" spans="8:16" x14ac:dyDescent="0.25">
      <c r="H11034" s="12"/>
      <c r="I11034" s="12"/>
      <c r="J11034" s="12"/>
      <c r="K11034" s="12"/>
      <c r="L11034" s="12"/>
      <c r="M11034" s="11"/>
      <c r="N11034" s="11"/>
      <c r="O11034" s="11"/>
      <c r="P11034" s="11"/>
    </row>
    <row r="11035" spans="8:16" x14ac:dyDescent="0.25">
      <c r="H11035" s="12"/>
      <c r="I11035" s="12"/>
      <c r="J11035" s="12"/>
      <c r="K11035" s="12"/>
      <c r="L11035" s="12"/>
      <c r="M11035" s="11"/>
      <c r="N11035" s="11"/>
      <c r="O11035" s="11"/>
      <c r="P11035" s="11"/>
    </row>
    <row r="11036" spans="8:16" x14ac:dyDescent="0.25">
      <c r="H11036" s="12"/>
      <c r="I11036" s="12"/>
      <c r="J11036" s="12"/>
      <c r="K11036" s="12"/>
      <c r="L11036" s="12"/>
      <c r="M11036" s="11"/>
      <c r="N11036" s="11"/>
      <c r="O11036" s="11"/>
      <c r="P11036" s="11"/>
    </row>
    <row r="11037" spans="8:16" x14ac:dyDescent="0.25">
      <c r="H11037" s="12"/>
      <c r="I11037" s="12"/>
      <c r="J11037" s="12"/>
      <c r="K11037" s="12"/>
      <c r="L11037" s="12"/>
      <c r="M11037" s="11"/>
      <c r="N11037" s="11"/>
      <c r="O11037" s="11"/>
      <c r="P11037" s="11"/>
    </row>
    <row r="11038" spans="8:16" x14ac:dyDescent="0.25">
      <c r="H11038" s="12"/>
      <c r="I11038" s="12"/>
      <c r="J11038" s="12"/>
      <c r="K11038" s="12"/>
      <c r="L11038" s="12"/>
      <c r="M11038" s="11"/>
      <c r="N11038" s="11"/>
      <c r="O11038" s="11"/>
      <c r="P11038" s="11"/>
    </row>
    <row r="11039" spans="8:16" x14ac:dyDescent="0.25">
      <c r="H11039" s="12"/>
      <c r="I11039" s="12"/>
      <c r="J11039" s="12"/>
      <c r="K11039" s="12"/>
      <c r="L11039" s="12"/>
      <c r="M11039" s="11"/>
      <c r="N11039" s="11"/>
      <c r="O11039" s="11"/>
      <c r="P11039" s="11"/>
    </row>
    <row r="11040" spans="8:16" x14ac:dyDescent="0.25">
      <c r="H11040" s="12"/>
      <c r="I11040" s="12"/>
      <c r="J11040" s="12"/>
      <c r="K11040" s="12"/>
      <c r="L11040" s="12"/>
      <c r="M11040" s="11"/>
      <c r="N11040" s="11"/>
      <c r="O11040" s="11"/>
      <c r="P11040" s="11"/>
    </row>
    <row r="11041" spans="8:16" x14ac:dyDescent="0.25">
      <c r="H11041" s="12"/>
      <c r="I11041" s="12"/>
      <c r="J11041" s="12"/>
      <c r="K11041" s="12"/>
      <c r="L11041" s="12"/>
      <c r="M11041" s="11"/>
      <c r="N11041" s="11"/>
      <c r="O11041" s="11"/>
      <c r="P11041" s="11"/>
    </row>
    <row r="11042" spans="8:16" x14ac:dyDescent="0.25">
      <c r="H11042" s="12"/>
      <c r="I11042" s="12"/>
      <c r="J11042" s="12"/>
      <c r="K11042" s="12"/>
      <c r="L11042" s="12"/>
      <c r="M11042" s="11"/>
      <c r="N11042" s="11"/>
      <c r="O11042" s="11"/>
      <c r="P11042" s="11"/>
    </row>
    <row r="11043" spans="8:16" x14ac:dyDescent="0.25">
      <c r="H11043" s="12"/>
      <c r="I11043" s="12"/>
      <c r="J11043" s="12"/>
      <c r="K11043" s="12"/>
      <c r="L11043" s="12"/>
      <c r="M11043" s="11"/>
      <c r="N11043" s="11"/>
      <c r="O11043" s="11"/>
      <c r="P11043" s="11"/>
    </row>
    <row r="11044" spans="8:16" x14ac:dyDescent="0.25">
      <c r="H11044" s="12"/>
      <c r="I11044" s="12"/>
      <c r="J11044" s="12"/>
      <c r="K11044" s="12"/>
      <c r="L11044" s="12"/>
      <c r="M11044" s="11"/>
      <c r="N11044" s="11"/>
      <c r="O11044" s="11"/>
      <c r="P11044" s="11"/>
    </row>
    <row r="11045" spans="8:16" x14ac:dyDescent="0.25">
      <c r="H11045" s="12"/>
      <c r="I11045" s="12"/>
      <c r="J11045" s="12"/>
      <c r="K11045" s="12"/>
      <c r="L11045" s="12"/>
      <c r="M11045" s="11"/>
      <c r="N11045" s="11"/>
      <c r="O11045" s="11"/>
      <c r="P11045" s="11"/>
    </row>
    <row r="11046" spans="8:16" x14ac:dyDescent="0.25">
      <c r="H11046" s="12"/>
      <c r="I11046" s="12"/>
      <c r="J11046" s="12"/>
      <c r="K11046" s="12"/>
      <c r="L11046" s="12"/>
      <c r="M11046" s="11"/>
      <c r="N11046" s="11"/>
      <c r="O11046" s="11"/>
      <c r="P11046" s="11"/>
    </row>
    <row r="11047" spans="8:16" x14ac:dyDescent="0.25">
      <c r="H11047" s="12"/>
      <c r="I11047" s="12"/>
      <c r="J11047" s="12"/>
      <c r="K11047" s="12"/>
      <c r="L11047" s="12"/>
      <c r="M11047" s="11"/>
      <c r="N11047" s="11"/>
      <c r="O11047" s="11"/>
      <c r="P11047" s="11"/>
    </row>
    <row r="11048" spans="8:16" x14ac:dyDescent="0.25">
      <c r="H11048" s="12"/>
      <c r="I11048" s="12"/>
      <c r="J11048" s="12"/>
      <c r="K11048" s="12"/>
      <c r="L11048" s="12"/>
      <c r="M11048" s="11"/>
      <c r="N11048" s="11"/>
      <c r="O11048" s="11"/>
      <c r="P11048" s="11"/>
    </row>
    <row r="11049" spans="8:16" x14ac:dyDescent="0.25">
      <c r="H11049" s="12"/>
      <c r="I11049" s="12"/>
      <c r="J11049" s="12"/>
      <c r="K11049" s="12"/>
      <c r="L11049" s="12"/>
      <c r="M11049" s="11"/>
      <c r="N11049" s="11"/>
      <c r="O11049" s="11"/>
      <c r="P11049" s="11"/>
    </row>
    <row r="11050" spans="8:16" x14ac:dyDescent="0.25">
      <c r="H11050" s="12"/>
      <c r="I11050" s="12"/>
      <c r="J11050" s="12"/>
      <c r="K11050" s="12"/>
      <c r="L11050" s="12"/>
      <c r="M11050" s="11"/>
      <c r="N11050" s="11"/>
      <c r="O11050" s="11"/>
      <c r="P11050" s="11"/>
    </row>
    <row r="11051" spans="8:16" x14ac:dyDescent="0.25">
      <c r="H11051" s="12"/>
      <c r="I11051" s="12"/>
      <c r="J11051" s="12"/>
      <c r="K11051" s="12"/>
      <c r="L11051" s="12"/>
      <c r="M11051" s="11"/>
      <c r="N11051" s="11"/>
      <c r="O11051" s="11"/>
      <c r="P11051" s="11"/>
    </row>
    <row r="11052" spans="8:16" x14ac:dyDescent="0.25">
      <c r="H11052" s="12"/>
      <c r="I11052" s="12"/>
      <c r="J11052" s="12"/>
      <c r="K11052" s="12"/>
      <c r="L11052" s="12"/>
      <c r="M11052" s="11"/>
      <c r="N11052" s="11"/>
      <c r="O11052" s="11"/>
      <c r="P11052" s="11"/>
    </row>
    <row r="11053" spans="8:16" x14ac:dyDescent="0.25">
      <c r="H11053" s="12"/>
      <c r="I11053" s="12"/>
      <c r="J11053" s="12"/>
      <c r="K11053" s="12"/>
      <c r="L11053" s="12"/>
      <c r="M11053" s="11"/>
      <c r="N11053" s="11"/>
      <c r="O11053" s="11"/>
      <c r="P11053" s="11"/>
    </row>
    <row r="11054" spans="8:16" x14ac:dyDescent="0.25">
      <c r="H11054" s="12"/>
      <c r="I11054" s="12"/>
      <c r="J11054" s="12"/>
      <c r="K11054" s="12"/>
      <c r="L11054" s="12"/>
      <c r="M11054" s="11"/>
      <c r="N11054" s="11"/>
      <c r="O11054" s="11"/>
      <c r="P11054" s="11"/>
    </row>
    <row r="11055" spans="8:16" x14ac:dyDescent="0.25">
      <c r="H11055" s="12"/>
      <c r="I11055" s="12"/>
      <c r="J11055" s="12"/>
      <c r="K11055" s="12"/>
      <c r="L11055" s="12"/>
      <c r="M11055" s="11"/>
      <c r="N11055" s="11"/>
      <c r="O11055" s="11"/>
      <c r="P11055" s="11"/>
    </row>
    <row r="11056" spans="8:16" x14ac:dyDescent="0.25">
      <c r="H11056" s="12"/>
      <c r="I11056" s="12"/>
      <c r="J11056" s="12"/>
      <c r="K11056" s="12"/>
      <c r="L11056" s="12"/>
      <c r="M11056" s="11"/>
      <c r="N11056" s="11"/>
      <c r="O11056" s="11"/>
      <c r="P11056" s="11"/>
    </row>
    <row r="11057" spans="8:16" x14ac:dyDescent="0.25">
      <c r="H11057" s="12"/>
      <c r="I11057" s="12"/>
      <c r="J11057" s="12"/>
      <c r="K11057" s="12"/>
      <c r="L11057" s="12"/>
      <c r="M11057" s="11"/>
      <c r="N11057" s="11"/>
      <c r="O11057" s="11"/>
      <c r="P11057" s="11"/>
    </row>
    <row r="11058" spans="8:16" x14ac:dyDescent="0.25">
      <c r="H11058" s="12"/>
      <c r="I11058" s="12"/>
      <c r="J11058" s="12"/>
      <c r="K11058" s="12"/>
      <c r="L11058" s="12"/>
      <c r="M11058" s="11"/>
      <c r="N11058" s="11"/>
      <c r="O11058" s="11"/>
      <c r="P11058" s="11"/>
    </row>
    <row r="11059" spans="8:16" x14ac:dyDescent="0.25">
      <c r="H11059" s="12"/>
      <c r="I11059" s="12"/>
      <c r="J11059" s="12"/>
      <c r="K11059" s="12"/>
      <c r="L11059" s="12"/>
      <c r="M11059" s="11"/>
      <c r="N11059" s="11"/>
      <c r="O11059" s="11"/>
      <c r="P11059" s="11"/>
    </row>
    <row r="11060" spans="8:16" x14ac:dyDescent="0.25">
      <c r="H11060" s="12"/>
      <c r="I11060" s="12"/>
      <c r="J11060" s="12"/>
      <c r="K11060" s="12"/>
      <c r="L11060" s="12"/>
      <c r="M11060" s="11"/>
      <c r="N11060" s="11"/>
      <c r="O11060" s="11"/>
      <c r="P11060" s="11"/>
    </row>
    <row r="11061" spans="8:16" x14ac:dyDescent="0.25">
      <c r="H11061" s="12"/>
      <c r="I11061" s="12"/>
      <c r="J11061" s="12"/>
      <c r="K11061" s="12"/>
      <c r="L11061" s="12"/>
      <c r="M11061" s="11"/>
      <c r="N11061" s="11"/>
      <c r="O11061" s="11"/>
      <c r="P11061" s="11"/>
    </row>
    <row r="11062" spans="8:16" x14ac:dyDescent="0.25">
      <c r="H11062" s="12"/>
      <c r="I11062" s="12"/>
      <c r="J11062" s="12"/>
      <c r="K11062" s="12"/>
      <c r="L11062" s="12"/>
      <c r="M11062" s="11"/>
      <c r="N11062" s="11"/>
      <c r="O11062" s="11"/>
      <c r="P11062" s="11"/>
    </row>
    <row r="11063" spans="8:16" x14ac:dyDescent="0.25">
      <c r="H11063" s="12"/>
      <c r="I11063" s="12"/>
      <c r="J11063" s="12"/>
      <c r="K11063" s="12"/>
      <c r="L11063" s="12"/>
      <c r="M11063" s="11"/>
      <c r="N11063" s="11"/>
      <c r="O11063" s="11"/>
      <c r="P11063" s="11"/>
    </row>
    <row r="11064" spans="8:16" x14ac:dyDescent="0.25">
      <c r="H11064" s="12"/>
      <c r="I11064" s="12"/>
      <c r="J11064" s="12"/>
      <c r="K11064" s="12"/>
      <c r="L11064" s="12"/>
      <c r="M11064" s="11"/>
      <c r="N11064" s="11"/>
      <c r="O11064" s="11"/>
      <c r="P11064" s="11"/>
    </row>
    <row r="11065" spans="8:16" x14ac:dyDescent="0.25">
      <c r="H11065" s="12"/>
      <c r="I11065" s="12"/>
      <c r="J11065" s="12"/>
      <c r="K11065" s="12"/>
      <c r="L11065" s="12"/>
      <c r="M11065" s="11"/>
      <c r="N11065" s="11"/>
      <c r="O11065" s="11"/>
      <c r="P11065" s="11"/>
    </row>
    <row r="11066" spans="8:16" x14ac:dyDescent="0.25">
      <c r="H11066" s="12"/>
      <c r="I11066" s="12"/>
      <c r="J11066" s="12"/>
      <c r="K11066" s="12"/>
      <c r="L11066" s="12"/>
      <c r="M11066" s="11"/>
      <c r="N11066" s="11"/>
      <c r="O11066" s="11"/>
      <c r="P11066" s="11"/>
    </row>
    <row r="11067" spans="8:16" x14ac:dyDescent="0.25">
      <c r="H11067" s="12"/>
      <c r="I11067" s="12"/>
      <c r="J11067" s="12"/>
      <c r="K11067" s="12"/>
      <c r="L11067" s="12"/>
      <c r="M11067" s="11"/>
      <c r="N11067" s="11"/>
      <c r="O11067" s="11"/>
      <c r="P11067" s="11"/>
    </row>
    <row r="11068" spans="8:16" x14ac:dyDescent="0.25">
      <c r="H11068" s="12"/>
      <c r="I11068" s="12"/>
      <c r="J11068" s="12"/>
      <c r="K11068" s="12"/>
      <c r="L11068" s="12"/>
      <c r="M11068" s="11"/>
      <c r="N11068" s="11"/>
      <c r="O11068" s="11"/>
      <c r="P11068" s="11"/>
    </row>
    <row r="11069" spans="8:16" x14ac:dyDescent="0.25">
      <c r="H11069" s="12"/>
      <c r="I11069" s="12"/>
      <c r="J11069" s="12"/>
      <c r="K11069" s="12"/>
      <c r="L11069" s="12"/>
      <c r="M11069" s="11"/>
      <c r="N11069" s="11"/>
      <c r="O11069" s="11"/>
      <c r="P11069" s="11"/>
    </row>
    <row r="11070" spans="8:16" x14ac:dyDescent="0.25">
      <c r="H11070" s="12"/>
      <c r="I11070" s="12"/>
      <c r="J11070" s="12"/>
      <c r="K11070" s="12"/>
      <c r="L11070" s="12"/>
      <c r="M11070" s="11"/>
      <c r="N11070" s="11"/>
      <c r="O11070" s="11"/>
      <c r="P11070" s="11"/>
    </row>
    <row r="11071" spans="8:16" x14ac:dyDescent="0.25">
      <c r="H11071" s="12"/>
      <c r="I11071" s="12"/>
      <c r="J11071" s="12"/>
      <c r="K11071" s="12"/>
      <c r="L11071" s="12"/>
      <c r="M11071" s="11"/>
      <c r="N11071" s="11"/>
      <c r="O11071" s="11"/>
      <c r="P11071" s="11"/>
    </row>
    <row r="11072" spans="8:16" x14ac:dyDescent="0.25">
      <c r="H11072" s="12"/>
      <c r="I11072" s="12"/>
      <c r="J11072" s="12"/>
      <c r="K11072" s="12"/>
      <c r="L11072" s="12"/>
      <c r="M11072" s="11"/>
      <c r="N11072" s="11"/>
      <c r="O11072" s="11"/>
      <c r="P11072" s="11"/>
    </row>
    <row r="11073" spans="8:16" x14ac:dyDescent="0.25">
      <c r="H11073" s="12"/>
      <c r="I11073" s="12"/>
      <c r="J11073" s="12"/>
      <c r="K11073" s="12"/>
      <c r="L11073" s="12"/>
      <c r="M11073" s="11"/>
      <c r="N11073" s="11"/>
      <c r="O11073" s="11"/>
      <c r="P11073" s="11"/>
    </row>
    <row r="11074" spans="8:16" x14ac:dyDescent="0.25">
      <c r="H11074" s="12"/>
      <c r="I11074" s="12"/>
      <c r="J11074" s="12"/>
      <c r="K11074" s="12"/>
      <c r="L11074" s="12"/>
      <c r="M11074" s="11"/>
      <c r="N11074" s="11"/>
      <c r="O11074" s="11"/>
      <c r="P11074" s="11"/>
    </row>
    <row r="11075" spans="8:16" x14ac:dyDescent="0.25">
      <c r="H11075" s="12"/>
      <c r="I11075" s="12"/>
      <c r="J11075" s="12"/>
      <c r="K11075" s="12"/>
      <c r="L11075" s="12"/>
      <c r="M11075" s="11"/>
      <c r="N11075" s="11"/>
      <c r="O11075" s="11"/>
      <c r="P11075" s="11"/>
    </row>
    <row r="11076" spans="8:16" x14ac:dyDescent="0.25">
      <c r="H11076" s="12"/>
      <c r="I11076" s="12"/>
      <c r="J11076" s="12"/>
      <c r="K11076" s="12"/>
      <c r="L11076" s="12"/>
      <c r="M11076" s="11"/>
      <c r="N11076" s="11"/>
      <c r="O11076" s="11"/>
      <c r="P11076" s="11"/>
    </row>
    <row r="11077" spans="8:16" x14ac:dyDescent="0.25">
      <c r="H11077" s="12"/>
      <c r="I11077" s="12"/>
      <c r="J11077" s="12"/>
      <c r="K11077" s="12"/>
      <c r="L11077" s="12"/>
      <c r="M11077" s="11"/>
      <c r="N11077" s="11"/>
      <c r="O11077" s="11"/>
      <c r="P11077" s="11"/>
    </row>
    <row r="11078" spans="8:16" x14ac:dyDescent="0.25">
      <c r="H11078" s="12"/>
      <c r="I11078" s="12"/>
      <c r="J11078" s="12"/>
      <c r="K11078" s="12"/>
      <c r="L11078" s="12"/>
      <c r="M11078" s="11"/>
      <c r="N11078" s="11"/>
      <c r="O11078" s="11"/>
      <c r="P11078" s="11"/>
    </row>
    <row r="11079" spans="8:16" x14ac:dyDescent="0.25">
      <c r="H11079" s="12"/>
      <c r="I11079" s="12"/>
      <c r="J11079" s="12"/>
      <c r="K11079" s="12"/>
      <c r="L11079" s="12"/>
      <c r="M11079" s="11"/>
      <c r="N11079" s="11"/>
      <c r="O11079" s="11"/>
      <c r="P11079" s="11"/>
    </row>
    <row r="11080" spans="8:16" x14ac:dyDescent="0.25">
      <c r="H11080" s="12"/>
      <c r="I11080" s="12"/>
      <c r="J11080" s="12"/>
      <c r="K11080" s="12"/>
      <c r="L11080" s="12"/>
      <c r="M11080" s="11"/>
      <c r="N11080" s="11"/>
      <c r="O11080" s="11"/>
      <c r="P11080" s="11"/>
    </row>
    <row r="11081" spans="8:16" x14ac:dyDescent="0.25">
      <c r="H11081" s="12"/>
      <c r="I11081" s="12"/>
      <c r="J11081" s="12"/>
      <c r="K11081" s="12"/>
      <c r="L11081" s="12"/>
      <c r="M11081" s="11"/>
      <c r="N11081" s="11"/>
      <c r="O11081" s="11"/>
      <c r="P11081" s="11"/>
    </row>
    <row r="11082" spans="8:16" x14ac:dyDescent="0.25">
      <c r="H11082" s="12"/>
      <c r="I11082" s="12"/>
      <c r="J11082" s="12"/>
      <c r="K11082" s="12"/>
      <c r="L11082" s="12"/>
      <c r="M11082" s="11"/>
      <c r="N11082" s="11"/>
      <c r="O11082" s="11"/>
      <c r="P11082" s="11"/>
    </row>
    <row r="11083" spans="8:16" x14ac:dyDescent="0.25">
      <c r="H11083" s="12"/>
      <c r="I11083" s="12"/>
      <c r="J11083" s="12"/>
      <c r="K11083" s="12"/>
      <c r="L11083" s="12"/>
      <c r="M11083" s="11"/>
      <c r="N11083" s="11"/>
      <c r="O11083" s="11"/>
      <c r="P11083" s="11"/>
    </row>
    <row r="11084" spans="8:16" x14ac:dyDescent="0.25">
      <c r="H11084" s="12"/>
      <c r="I11084" s="12"/>
      <c r="J11084" s="12"/>
      <c r="K11084" s="12"/>
      <c r="L11084" s="12"/>
      <c r="M11084" s="11"/>
      <c r="N11084" s="11"/>
      <c r="O11084" s="11"/>
      <c r="P11084" s="11"/>
    </row>
    <row r="11085" spans="8:16" x14ac:dyDescent="0.25">
      <c r="H11085" s="12"/>
      <c r="I11085" s="12"/>
      <c r="J11085" s="12"/>
      <c r="K11085" s="12"/>
      <c r="L11085" s="12"/>
      <c r="M11085" s="11"/>
      <c r="N11085" s="11"/>
      <c r="O11085" s="11"/>
      <c r="P11085" s="11"/>
    </row>
    <row r="11086" spans="8:16" x14ac:dyDescent="0.25">
      <c r="H11086" s="12"/>
      <c r="I11086" s="12"/>
      <c r="J11086" s="12"/>
      <c r="K11086" s="12"/>
      <c r="L11086" s="12"/>
      <c r="M11086" s="11"/>
      <c r="N11086" s="11"/>
      <c r="O11086" s="11"/>
      <c r="P11086" s="11"/>
    </row>
    <row r="11087" spans="8:16" x14ac:dyDescent="0.25">
      <c r="H11087" s="12"/>
      <c r="I11087" s="12"/>
      <c r="J11087" s="12"/>
      <c r="K11087" s="12"/>
      <c r="L11087" s="12"/>
      <c r="M11087" s="11"/>
      <c r="N11087" s="11"/>
      <c r="O11087" s="11"/>
      <c r="P11087" s="11"/>
    </row>
    <row r="11088" spans="8:16" x14ac:dyDescent="0.25">
      <c r="H11088" s="12"/>
      <c r="I11088" s="12"/>
      <c r="J11088" s="12"/>
      <c r="K11088" s="12"/>
      <c r="L11088" s="12"/>
      <c r="M11088" s="11"/>
      <c r="N11088" s="11"/>
      <c r="O11088" s="11"/>
      <c r="P11088" s="11"/>
    </row>
    <row r="11089" spans="8:16" x14ac:dyDescent="0.25">
      <c r="H11089" s="12"/>
      <c r="I11089" s="12"/>
      <c r="J11089" s="12"/>
      <c r="K11089" s="12"/>
      <c r="L11089" s="12"/>
      <c r="M11089" s="11"/>
      <c r="N11089" s="11"/>
      <c r="O11089" s="11"/>
      <c r="P11089" s="11"/>
    </row>
    <row r="11090" spans="8:16" x14ac:dyDescent="0.25">
      <c r="H11090" s="12"/>
      <c r="I11090" s="12"/>
      <c r="J11090" s="12"/>
      <c r="K11090" s="12"/>
      <c r="L11090" s="12"/>
      <c r="M11090" s="11"/>
      <c r="N11090" s="11"/>
      <c r="O11090" s="11"/>
      <c r="P11090" s="11"/>
    </row>
    <row r="11091" spans="8:16" x14ac:dyDescent="0.25">
      <c r="H11091" s="12"/>
      <c r="I11091" s="12"/>
      <c r="J11091" s="12"/>
      <c r="K11091" s="12"/>
      <c r="L11091" s="12"/>
      <c r="M11091" s="11"/>
      <c r="N11091" s="11"/>
      <c r="O11091" s="11"/>
      <c r="P11091" s="11"/>
    </row>
    <row r="11092" spans="8:16" x14ac:dyDescent="0.25">
      <c r="H11092" s="12"/>
      <c r="I11092" s="12"/>
      <c r="J11092" s="12"/>
      <c r="K11092" s="12"/>
      <c r="L11092" s="12"/>
      <c r="M11092" s="11"/>
      <c r="N11092" s="11"/>
      <c r="O11092" s="11"/>
      <c r="P11092" s="11"/>
    </row>
    <row r="11093" spans="8:16" x14ac:dyDescent="0.25">
      <c r="H11093" s="12"/>
      <c r="I11093" s="12"/>
      <c r="J11093" s="12"/>
      <c r="K11093" s="12"/>
      <c r="L11093" s="12"/>
      <c r="M11093" s="11"/>
      <c r="N11093" s="11"/>
      <c r="O11093" s="11"/>
      <c r="P11093" s="11"/>
    </row>
    <row r="11094" spans="8:16" x14ac:dyDescent="0.25">
      <c r="H11094" s="12"/>
      <c r="I11094" s="12"/>
      <c r="J11094" s="12"/>
      <c r="K11094" s="12"/>
      <c r="L11094" s="12"/>
      <c r="M11094" s="11"/>
      <c r="N11094" s="11"/>
      <c r="O11094" s="11"/>
      <c r="P11094" s="11"/>
    </row>
    <row r="11095" spans="8:16" x14ac:dyDescent="0.25">
      <c r="H11095" s="12"/>
      <c r="I11095" s="12"/>
      <c r="J11095" s="12"/>
      <c r="K11095" s="12"/>
      <c r="L11095" s="12"/>
      <c r="M11095" s="11"/>
      <c r="N11095" s="11"/>
      <c r="O11095" s="11"/>
      <c r="P11095" s="11"/>
    </row>
    <row r="11096" spans="8:16" x14ac:dyDescent="0.25">
      <c r="H11096" s="12"/>
      <c r="I11096" s="12"/>
      <c r="J11096" s="12"/>
      <c r="K11096" s="12"/>
      <c r="L11096" s="12"/>
      <c r="M11096" s="11"/>
      <c r="N11096" s="11"/>
      <c r="O11096" s="11"/>
      <c r="P11096" s="11"/>
    </row>
    <row r="11097" spans="8:16" x14ac:dyDescent="0.25">
      <c r="H11097" s="12"/>
      <c r="I11097" s="12"/>
      <c r="J11097" s="12"/>
      <c r="K11097" s="12"/>
      <c r="L11097" s="12"/>
      <c r="M11097" s="11"/>
      <c r="N11097" s="11"/>
      <c r="O11097" s="11"/>
      <c r="P11097" s="11"/>
    </row>
    <row r="11098" spans="8:16" x14ac:dyDescent="0.25">
      <c r="H11098" s="12"/>
      <c r="I11098" s="12"/>
      <c r="J11098" s="12"/>
      <c r="K11098" s="12"/>
      <c r="L11098" s="12"/>
      <c r="M11098" s="11"/>
      <c r="N11098" s="11"/>
      <c r="O11098" s="11"/>
      <c r="P11098" s="11"/>
    </row>
    <row r="11099" spans="8:16" x14ac:dyDescent="0.25">
      <c r="H11099" s="12"/>
      <c r="I11099" s="12"/>
      <c r="J11099" s="12"/>
      <c r="K11099" s="12"/>
      <c r="L11099" s="12"/>
      <c r="M11099" s="11"/>
      <c r="N11099" s="11"/>
      <c r="O11099" s="11"/>
      <c r="P11099" s="11"/>
    </row>
    <row r="11100" spans="8:16" x14ac:dyDescent="0.25">
      <c r="H11100" s="12"/>
      <c r="I11100" s="12"/>
      <c r="J11100" s="12"/>
      <c r="K11100" s="12"/>
      <c r="L11100" s="12"/>
      <c r="M11100" s="11"/>
      <c r="N11100" s="11"/>
      <c r="O11100" s="11"/>
      <c r="P11100" s="11"/>
    </row>
    <row r="11101" spans="8:16" x14ac:dyDescent="0.25">
      <c r="H11101" s="12"/>
      <c r="I11101" s="12"/>
      <c r="J11101" s="12"/>
      <c r="K11101" s="12"/>
      <c r="L11101" s="12"/>
      <c r="M11101" s="11"/>
      <c r="N11101" s="11"/>
      <c r="O11101" s="11"/>
      <c r="P11101" s="11"/>
    </row>
    <row r="11102" spans="8:16" x14ac:dyDescent="0.25">
      <c r="H11102" s="12"/>
      <c r="I11102" s="12"/>
      <c r="J11102" s="12"/>
      <c r="K11102" s="12"/>
      <c r="L11102" s="12"/>
      <c r="M11102" s="11"/>
      <c r="N11102" s="11"/>
      <c r="O11102" s="11"/>
      <c r="P11102" s="11"/>
    </row>
    <row r="11103" spans="8:16" x14ac:dyDescent="0.25">
      <c r="H11103" s="12"/>
      <c r="I11103" s="12"/>
      <c r="J11103" s="12"/>
      <c r="K11103" s="12"/>
      <c r="L11103" s="12"/>
      <c r="M11103" s="11"/>
      <c r="N11103" s="11"/>
      <c r="O11103" s="11"/>
      <c r="P11103" s="11"/>
    </row>
    <row r="11104" spans="8:16" x14ac:dyDescent="0.25">
      <c r="H11104" s="12"/>
      <c r="I11104" s="12"/>
      <c r="J11104" s="12"/>
      <c r="K11104" s="12"/>
      <c r="L11104" s="12"/>
      <c r="M11104" s="11"/>
      <c r="N11104" s="11"/>
      <c r="O11104" s="11"/>
      <c r="P11104" s="11"/>
    </row>
    <row r="11105" spans="8:16" x14ac:dyDescent="0.25">
      <c r="H11105" s="12"/>
      <c r="I11105" s="12"/>
      <c r="J11105" s="12"/>
      <c r="K11105" s="12"/>
      <c r="L11105" s="12"/>
      <c r="M11105" s="11"/>
      <c r="N11105" s="11"/>
      <c r="O11105" s="11"/>
      <c r="P11105" s="11"/>
    </row>
    <row r="11106" spans="8:16" x14ac:dyDescent="0.25">
      <c r="H11106" s="12"/>
      <c r="I11106" s="12"/>
      <c r="J11106" s="12"/>
      <c r="K11106" s="12"/>
      <c r="L11106" s="12"/>
      <c r="M11106" s="11"/>
      <c r="N11106" s="11"/>
      <c r="O11106" s="11"/>
      <c r="P11106" s="11"/>
    </row>
    <row r="11107" spans="8:16" x14ac:dyDescent="0.25">
      <c r="H11107" s="12"/>
      <c r="I11107" s="12"/>
      <c r="J11107" s="12"/>
      <c r="K11107" s="12"/>
      <c r="L11107" s="12"/>
      <c r="M11107" s="11"/>
      <c r="N11107" s="11"/>
      <c r="O11107" s="11"/>
      <c r="P11107" s="11"/>
    </row>
    <row r="11108" spans="8:16" x14ac:dyDescent="0.25">
      <c r="H11108" s="12"/>
      <c r="I11108" s="12"/>
      <c r="J11108" s="12"/>
      <c r="K11108" s="12"/>
      <c r="L11108" s="12"/>
      <c r="M11108" s="11"/>
      <c r="N11108" s="11"/>
      <c r="O11108" s="11"/>
      <c r="P11108" s="11"/>
    </row>
    <row r="11109" spans="8:16" x14ac:dyDescent="0.25">
      <c r="H11109" s="12"/>
      <c r="I11109" s="12"/>
      <c r="J11109" s="12"/>
      <c r="K11109" s="12"/>
      <c r="L11109" s="12"/>
      <c r="M11109" s="11"/>
      <c r="N11109" s="11"/>
      <c r="O11109" s="11"/>
      <c r="P11109" s="11"/>
    </row>
    <row r="11110" spans="8:16" x14ac:dyDescent="0.25">
      <c r="H11110" s="12"/>
      <c r="I11110" s="12"/>
      <c r="J11110" s="12"/>
      <c r="K11110" s="12"/>
      <c r="L11110" s="12"/>
      <c r="M11110" s="11"/>
      <c r="N11110" s="11"/>
      <c r="O11110" s="11"/>
      <c r="P11110" s="11"/>
    </row>
    <row r="11111" spans="8:16" x14ac:dyDescent="0.25">
      <c r="H11111" s="12"/>
      <c r="I11111" s="12"/>
      <c r="J11111" s="12"/>
      <c r="K11111" s="12"/>
      <c r="L11111" s="12"/>
      <c r="M11111" s="11"/>
      <c r="N11111" s="11"/>
      <c r="O11111" s="11"/>
      <c r="P11111" s="11"/>
    </row>
    <row r="11112" spans="8:16" x14ac:dyDescent="0.25">
      <c r="H11112" s="12"/>
      <c r="I11112" s="12"/>
      <c r="J11112" s="12"/>
      <c r="K11112" s="12"/>
      <c r="L11112" s="12"/>
      <c r="M11112" s="11"/>
      <c r="N11112" s="11"/>
      <c r="O11112" s="11"/>
      <c r="P11112" s="11"/>
    </row>
    <row r="11113" spans="8:16" x14ac:dyDescent="0.25">
      <c r="H11113" s="12"/>
      <c r="I11113" s="12"/>
      <c r="J11113" s="12"/>
      <c r="K11113" s="12"/>
      <c r="L11113" s="12"/>
      <c r="M11113" s="11"/>
      <c r="N11113" s="11"/>
      <c r="O11113" s="11"/>
      <c r="P11113" s="11"/>
    </row>
    <row r="11114" spans="8:16" x14ac:dyDescent="0.25">
      <c r="H11114" s="12"/>
      <c r="I11114" s="12"/>
      <c r="J11114" s="12"/>
      <c r="K11114" s="12"/>
      <c r="L11114" s="12"/>
      <c r="M11114" s="11"/>
      <c r="N11114" s="11"/>
      <c r="O11114" s="11"/>
      <c r="P11114" s="11"/>
    </row>
    <row r="11115" spans="8:16" x14ac:dyDescent="0.25">
      <c r="H11115" s="12"/>
      <c r="I11115" s="12"/>
      <c r="J11115" s="12"/>
      <c r="K11115" s="12"/>
      <c r="L11115" s="12"/>
      <c r="M11115" s="11"/>
      <c r="N11115" s="11"/>
      <c r="O11115" s="11"/>
      <c r="P11115" s="11"/>
    </row>
    <row r="11116" spans="8:16" x14ac:dyDescent="0.25">
      <c r="H11116" s="12"/>
      <c r="I11116" s="12"/>
      <c r="J11116" s="12"/>
      <c r="K11116" s="12"/>
      <c r="L11116" s="12"/>
      <c r="M11116" s="11"/>
      <c r="N11116" s="11"/>
      <c r="O11116" s="11"/>
      <c r="P11116" s="11"/>
    </row>
    <row r="11117" spans="8:16" x14ac:dyDescent="0.25">
      <c r="H11117" s="12"/>
      <c r="I11117" s="12"/>
      <c r="J11117" s="12"/>
      <c r="K11117" s="12"/>
      <c r="L11117" s="12"/>
      <c r="M11117" s="11"/>
      <c r="N11117" s="11"/>
      <c r="O11117" s="11"/>
      <c r="P11117" s="11"/>
    </row>
    <row r="11118" spans="8:16" x14ac:dyDescent="0.25">
      <c r="H11118" s="12"/>
      <c r="I11118" s="12"/>
      <c r="J11118" s="12"/>
      <c r="K11118" s="12"/>
      <c r="L11118" s="12"/>
      <c r="M11118" s="11"/>
      <c r="N11118" s="11"/>
      <c r="O11118" s="11"/>
      <c r="P11118" s="11"/>
    </row>
    <row r="11119" spans="8:16" x14ac:dyDescent="0.25">
      <c r="H11119" s="12"/>
      <c r="I11119" s="12"/>
      <c r="J11119" s="12"/>
      <c r="K11119" s="12"/>
      <c r="L11119" s="12"/>
      <c r="M11119" s="11"/>
      <c r="N11119" s="11"/>
      <c r="O11119" s="11"/>
      <c r="P11119" s="11"/>
    </row>
    <row r="11120" spans="8:16" x14ac:dyDescent="0.25">
      <c r="H11120" s="12"/>
      <c r="I11120" s="12"/>
      <c r="J11120" s="12"/>
      <c r="K11120" s="12"/>
      <c r="L11120" s="12"/>
      <c r="M11120" s="11"/>
      <c r="N11120" s="11"/>
      <c r="O11120" s="11"/>
      <c r="P11120" s="11"/>
    </row>
    <row r="11121" spans="8:16" x14ac:dyDescent="0.25">
      <c r="H11121" s="12"/>
      <c r="I11121" s="12"/>
      <c r="J11121" s="12"/>
      <c r="K11121" s="12"/>
      <c r="L11121" s="12"/>
      <c r="M11121" s="11"/>
      <c r="N11121" s="11"/>
      <c r="O11121" s="11"/>
      <c r="P11121" s="11"/>
    </row>
    <row r="11122" spans="8:16" x14ac:dyDescent="0.25">
      <c r="H11122" s="12"/>
      <c r="I11122" s="12"/>
      <c r="J11122" s="12"/>
      <c r="K11122" s="12"/>
      <c r="L11122" s="12"/>
      <c r="M11122" s="11"/>
      <c r="N11122" s="11"/>
      <c r="O11122" s="11"/>
      <c r="P11122" s="11"/>
    </row>
    <row r="11123" spans="8:16" x14ac:dyDescent="0.25">
      <c r="H11123" s="12"/>
      <c r="I11123" s="12"/>
      <c r="J11123" s="12"/>
      <c r="K11123" s="12"/>
      <c r="L11123" s="12"/>
      <c r="M11123" s="11"/>
      <c r="N11123" s="11"/>
      <c r="O11123" s="11"/>
      <c r="P11123" s="11"/>
    </row>
    <row r="11124" spans="8:16" x14ac:dyDescent="0.25">
      <c r="H11124" s="12"/>
      <c r="I11124" s="12"/>
      <c r="J11124" s="12"/>
      <c r="K11124" s="12"/>
      <c r="L11124" s="12"/>
      <c r="M11124" s="11"/>
      <c r="N11124" s="11"/>
      <c r="O11124" s="11"/>
      <c r="P11124" s="11"/>
    </row>
    <row r="11125" spans="8:16" x14ac:dyDescent="0.25">
      <c r="H11125" s="12"/>
      <c r="I11125" s="12"/>
      <c r="J11125" s="12"/>
      <c r="K11125" s="12"/>
      <c r="L11125" s="12"/>
      <c r="M11125" s="11"/>
      <c r="N11125" s="11"/>
      <c r="O11125" s="11"/>
      <c r="P11125" s="11"/>
    </row>
    <row r="11126" spans="8:16" x14ac:dyDescent="0.25">
      <c r="H11126" s="12"/>
      <c r="I11126" s="12"/>
      <c r="J11126" s="12"/>
      <c r="K11126" s="12"/>
      <c r="L11126" s="12"/>
      <c r="M11126" s="11"/>
      <c r="N11126" s="11"/>
      <c r="O11126" s="11"/>
      <c r="P11126" s="11"/>
    </row>
    <row r="11127" spans="8:16" x14ac:dyDescent="0.25">
      <c r="H11127" s="12"/>
      <c r="I11127" s="12"/>
      <c r="J11127" s="12"/>
      <c r="K11127" s="12"/>
      <c r="L11127" s="12"/>
      <c r="M11127" s="11"/>
      <c r="N11127" s="11"/>
      <c r="O11127" s="11"/>
      <c r="P11127" s="11"/>
    </row>
    <row r="11128" spans="8:16" x14ac:dyDescent="0.25">
      <c r="H11128" s="12"/>
      <c r="I11128" s="12"/>
      <c r="J11128" s="12"/>
      <c r="K11128" s="12"/>
      <c r="L11128" s="12"/>
      <c r="M11128" s="11"/>
      <c r="N11128" s="11"/>
      <c r="O11128" s="11"/>
      <c r="P11128" s="11"/>
    </row>
    <row r="11129" spans="8:16" x14ac:dyDescent="0.25">
      <c r="H11129" s="12"/>
      <c r="I11129" s="12"/>
      <c r="J11129" s="12"/>
      <c r="K11129" s="12"/>
      <c r="L11129" s="12"/>
      <c r="M11129" s="11"/>
      <c r="N11129" s="11"/>
      <c r="O11129" s="11"/>
      <c r="P11129" s="11"/>
    </row>
    <row r="11130" spans="8:16" x14ac:dyDescent="0.25">
      <c r="H11130" s="12"/>
      <c r="I11130" s="12"/>
      <c r="J11130" s="12"/>
      <c r="K11130" s="12"/>
      <c r="L11130" s="12"/>
      <c r="M11130" s="11"/>
      <c r="N11130" s="11"/>
      <c r="O11130" s="11"/>
      <c r="P11130" s="11"/>
    </row>
    <row r="11131" spans="8:16" x14ac:dyDescent="0.25">
      <c r="H11131" s="12"/>
      <c r="I11131" s="12"/>
      <c r="J11131" s="12"/>
      <c r="K11131" s="12"/>
      <c r="L11131" s="12"/>
      <c r="M11131" s="11"/>
      <c r="N11131" s="11"/>
      <c r="O11131" s="11"/>
      <c r="P11131" s="11"/>
    </row>
    <row r="11132" spans="8:16" x14ac:dyDescent="0.25">
      <c r="H11132" s="12"/>
      <c r="I11132" s="12"/>
      <c r="J11132" s="12"/>
      <c r="K11132" s="12"/>
      <c r="L11132" s="12"/>
      <c r="M11132" s="11"/>
      <c r="N11132" s="11"/>
      <c r="O11132" s="11"/>
      <c r="P11132" s="11"/>
    </row>
    <row r="11133" spans="8:16" x14ac:dyDescent="0.25">
      <c r="H11133" s="12"/>
      <c r="I11133" s="12"/>
      <c r="J11133" s="12"/>
      <c r="K11133" s="12"/>
      <c r="L11133" s="12"/>
      <c r="M11133" s="11"/>
      <c r="N11133" s="11"/>
      <c r="O11133" s="11"/>
      <c r="P11133" s="11"/>
    </row>
    <row r="11134" spans="8:16" x14ac:dyDescent="0.25">
      <c r="H11134" s="12"/>
      <c r="I11134" s="12"/>
      <c r="J11134" s="12"/>
      <c r="K11134" s="12"/>
      <c r="L11134" s="12"/>
      <c r="M11134" s="11"/>
      <c r="N11134" s="11"/>
      <c r="O11134" s="11"/>
      <c r="P11134" s="11"/>
    </row>
    <row r="11135" spans="8:16" x14ac:dyDescent="0.25">
      <c r="H11135" s="12"/>
      <c r="I11135" s="12"/>
      <c r="J11135" s="12"/>
      <c r="K11135" s="12"/>
      <c r="L11135" s="12"/>
      <c r="M11135" s="11"/>
      <c r="N11135" s="11"/>
      <c r="O11135" s="11"/>
      <c r="P11135" s="11"/>
    </row>
    <row r="11136" spans="8:16" x14ac:dyDescent="0.25">
      <c r="H11136" s="12"/>
      <c r="I11136" s="12"/>
      <c r="J11136" s="12"/>
      <c r="K11136" s="12"/>
      <c r="L11136" s="12"/>
      <c r="M11136" s="11"/>
      <c r="N11136" s="11"/>
      <c r="O11136" s="11"/>
      <c r="P11136" s="11"/>
    </row>
    <row r="11137" spans="8:16" x14ac:dyDescent="0.25">
      <c r="H11137" s="12"/>
      <c r="I11137" s="12"/>
      <c r="J11137" s="12"/>
      <c r="K11137" s="12"/>
      <c r="L11137" s="12"/>
      <c r="M11137" s="11"/>
      <c r="N11137" s="11"/>
      <c r="O11137" s="11"/>
      <c r="P11137" s="11"/>
    </row>
    <row r="11138" spans="8:16" x14ac:dyDescent="0.25">
      <c r="H11138" s="12"/>
      <c r="I11138" s="12"/>
      <c r="J11138" s="12"/>
      <c r="K11138" s="12"/>
      <c r="L11138" s="12"/>
      <c r="M11138" s="11"/>
      <c r="N11138" s="11"/>
      <c r="O11138" s="11"/>
      <c r="P11138" s="11"/>
    </row>
    <row r="11139" spans="8:16" x14ac:dyDescent="0.25">
      <c r="H11139" s="12"/>
      <c r="I11139" s="12"/>
      <c r="J11139" s="12"/>
      <c r="K11139" s="12"/>
      <c r="L11139" s="12"/>
      <c r="M11139" s="11"/>
      <c r="N11139" s="11"/>
      <c r="O11139" s="11"/>
      <c r="P11139" s="11"/>
    </row>
    <row r="11140" spans="8:16" x14ac:dyDescent="0.25">
      <c r="H11140" s="12"/>
      <c r="I11140" s="12"/>
      <c r="J11140" s="12"/>
      <c r="K11140" s="12"/>
      <c r="L11140" s="12"/>
      <c r="M11140" s="11"/>
      <c r="N11140" s="11"/>
      <c r="O11140" s="11"/>
      <c r="P11140" s="11"/>
    </row>
    <row r="11141" spans="8:16" x14ac:dyDescent="0.25">
      <c r="H11141" s="12"/>
      <c r="I11141" s="12"/>
      <c r="J11141" s="12"/>
      <c r="K11141" s="12"/>
      <c r="L11141" s="12"/>
      <c r="M11141" s="11"/>
      <c r="N11141" s="11"/>
      <c r="O11141" s="11"/>
      <c r="P11141" s="11"/>
    </row>
    <row r="11142" spans="8:16" x14ac:dyDescent="0.25">
      <c r="H11142" s="12"/>
      <c r="I11142" s="12"/>
      <c r="J11142" s="12"/>
      <c r="K11142" s="12"/>
      <c r="L11142" s="12"/>
      <c r="M11142" s="11"/>
      <c r="N11142" s="11"/>
      <c r="O11142" s="11"/>
      <c r="P11142" s="11"/>
    </row>
    <row r="11143" spans="8:16" x14ac:dyDescent="0.25">
      <c r="H11143" s="12"/>
      <c r="I11143" s="12"/>
      <c r="J11143" s="12"/>
      <c r="K11143" s="12"/>
      <c r="L11143" s="12"/>
      <c r="M11143" s="11"/>
      <c r="N11143" s="11"/>
      <c r="O11143" s="11"/>
      <c r="P11143" s="11"/>
    </row>
    <row r="11144" spans="8:16" x14ac:dyDescent="0.25">
      <c r="H11144" s="12"/>
      <c r="I11144" s="12"/>
      <c r="J11144" s="12"/>
      <c r="K11144" s="12"/>
      <c r="L11144" s="12"/>
      <c r="M11144" s="11"/>
      <c r="N11144" s="11"/>
      <c r="O11144" s="11"/>
      <c r="P11144" s="11"/>
    </row>
    <row r="11145" spans="8:16" x14ac:dyDescent="0.25">
      <c r="H11145" s="12"/>
      <c r="I11145" s="12"/>
      <c r="J11145" s="12"/>
      <c r="K11145" s="12"/>
      <c r="L11145" s="12"/>
      <c r="M11145" s="11"/>
      <c r="N11145" s="11"/>
      <c r="O11145" s="11"/>
      <c r="P11145" s="11"/>
    </row>
    <row r="11146" spans="8:16" x14ac:dyDescent="0.25">
      <c r="H11146" s="12"/>
      <c r="I11146" s="12"/>
      <c r="J11146" s="12"/>
      <c r="K11146" s="12"/>
      <c r="L11146" s="12"/>
      <c r="M11146" s="11"/>
      <c r="N11146" s="11"/>
      <c r="O11146" s="11"/>
      <c r="P11146" s="11"/>
    </row>
    <row r="11147" spans="8:16" x14ac:dyDescent="0.25">
      <c r="H11147" s="12"/>
      <c r="I11147" s="12"/>
      <c r="J11147" s="12"/>
      <c r="K11147" s="12"/>
      <c r="L11147" s="12"/>
      <c r="M11147" s="11"/>
      <c r="N11147" s="11"/>
      <c r="O11147" s="11"/>
      <c r="P11147" s="11"/>
    </row>
    <row r="11148" spans="8:16" x14ac:dyDescent="0.25">
      <c r="H11148" s="12"/>
      <c r="I11148" s="12"/>
      <c r="J11148" s="12"/>
      <c r="K11148" s="12"/>
      <c r="L11148" s="12"/>
      <c r="M11148" s="11"/>
      <c r="N11148" s="11"/>
      <c r="O11148" s="11"/>
      <c r="P11148" s="11"/>
    </row>
    <row r="11149" spans="8:16" x14ac:dyDescent="0.25">
      <c r="H11149" s="12"/>
      <c r="I11149" s="12"/>
      <c r="J11149" s="12"/>
      <c r="K11149" s="12"/>
      <c r="L11149" s="12"/>
      <c r="M11149" s="11"/>
      <c r="N11149" s="11"/>
      <c r="O11149" s="11"/>
      <c r="P11149" s="11"/>
    </row>
    <row r="11150" spans="8:16" x14ac:dyDescent="0.25">
      <c r="H11150" s="12"/>
      <c r="I11150" s="12"/>
      <c r="J11150" s="12"/>
      <c r="K11150" s="12"/>
      <c r="L11150" s="12"/>
      <c r="M11150" s="11"/>
      <c r="N11150" s="11"/>
      <c r="O11150" s="11"/>
      <c r="P11150" s="11"/>
    </row>
    <row r="11151" spans="8:16" x14ac:dyDescent="0.25">
      <c r="H11151" s="12"/>
      <c r="I11151" s="12"/>
      <c r="J11151" s="12"/>
      <c r="K11151" s="12"/>
      <c r="L11151" s="12"/>
      <c r="M11151" s="11"/>
      <c r="N11151" s="11"/>
      <c r="O11151" s="11"/>
      <c r="P11151" s="11"/>
    </row>
    <row r="11152" spans="8:16" x14ac:dyDescent="0.25">
      <c r="H11152" s="12"/>
      <c r="I11152" s="12"/>
      <c r="J11152" s="12"/>
      <c r="K11152" s="12"/>
      <c r="L11152" s="12"/>
      <c r="M11152" s="11"/>
      <c r="N11152" s="11"/>
      <c r="O11152" s="11"/>
      <c r="P11152" s="11"/>
    </row>
    <row r="11153" spans="8:16" x14ac:dyDescent="0.25">
      <c r="H11153" s="12"/>
      <c r="I11153" s="12"/>
      <c r="J11153" s="12"/>
      <c r="K11153" s="12"/>
      <c r="L11153" s="12"/>
      <c r="M11153" s="11"/>
      <c r="N11153" s="11"/>
      <c r="O11153" s="11"/>
      <c r="P11153" s="11"/>
    </row>
    <row r="11154" spans="8:16" x14ac:dyDescent="0.25">
      <c r="H11154" s="12"/>
      <c r="I11154" s="12"/>
      <c r="J11154" s="12"/>
      <c r="K11154" s="12"/>
      <c r="L11154" s="12"/>
      <c r="M11154" s="11"/>
      <c r="N11154" s="11"/>
      <c r="O11154" s="11"/>
      <c r="P11154" s="11"/>
    </row>
    <row r="11155" spans="8:16" x14ac:dyDescent="0.25">
      <c r="H11155" s="12"/>
      <c r="I11155" s="12"/>
      <c r="J11155" s="12"/>
      <c r="K11155" s="12"/>
      <c r="L11155" s="12"/>
      <c r="M11155" s="11"/>
      <c r="N11155" s="11"/>
      <c r="O11155" s="11"/>
      <c r="P11155" s="11"/>
    </row>
    <row r="11156" spans="8:16" x14ac:dyDescent="0.25">
      <c r="H11156" s="12"/>
      <c r="I11156" s="12"/>
      <c r="J11156" s="12"/>
      <c r="K11156" s="12"/>
      <c r="L11156" s="12"/>
      <c r="M11156" s="11"/>
      <c r="N11156" s="11"/>
      <c r="O11156" s="11"/>
      <c r="P11156" s="11"/>
    </row>
    <row r="11157" spans="8:16" x14ac:dyDescent="0.25">
      <c r="H11157" s="12"/>
      <c r="I11157" s="12"/>
      <c r="J11157" s="12"/>
      <c r="K11157" s="12"/>
      <c r="L11157" s="12"/>
      <c r="M11157" s="11"/>
      <c r="N11157" s="11"/>
      <c r="O11157" s="11"/>
      <c r="P11157" s="11"/>
    </row>
    <row r="11158" spans="8:16" x14ac:dyDescent="0.25">
      <c r="H11158" s="12"/>
      <c r="I11158" s="12"/>
      <c r="J11158" s="12"/>
      <c r="K11158" s="12"/>
      <c r="L11158" s="12"/>
      <c r="M11158" s="11"/>
      <c r="N11158" s="11"/>
      <c r="O11158" s="11"/>
      <c r="P11158" s="11"/>
    </row>
    <row r="11159" spans="8:16" x14ac:dyDescent="0.25">
      <c r="H11159" s="12"/>
      <c r="I11159" s="12"/>
      <c r="J11159" s="12"/>
      <c r="K11159" s="12"/>
      <c r="L11159" s="12"/>
      <c r="M11159" s="11"/>
      <c r="N11159" s="11"/>
      <c r="O11159" s="11"/>
      <c r="P11159" s="11"/>
    </row>
    <row r="11160" spans="8:16" x14ac:dyDescent="0.25">
      <c r="H11160" s="12"/>
      <c r="I11160" s="12"/>
      <c r="J11160" s="12"/>
      <c r="K11160" s="12"/>
      <c r="L11160" s="12"/>
      <c r="M11160" s="11"/>
      <c r="N11160" s="11"/>
      <c r="O11160" s="11"/>
      <c r="P11160" s="11"/>
    </row>
    <row r="11161" spans="8:16" x14ac:dyDescent="0.25">
      <c r="H11161" s="12"/>
      <c r="I11161" s="12"/>
      <c r="J11161" s="12"/>
      <c r="K11161" s="12"/>
      <c r="L11161" s="12"/>
      <c r="M11161" s="11"/>
      <c r="N11161" s="11"/>
      <c r="O11161" s="11"/>
      <c r="P11161" s="11"/>
    </row>
    <row r="11162" spans="8:16" x14ac:dyDescent="0.25">
      <c r="H11162" s="12"/>
      <c r="I11162" s="12"/>
      <c r="J11162" s="12"/>
      <c r="K11162" s="12"/>
      <c r="L11162" s="12"/>
      <c r="M11162" s="11"/>
      <c r="N11162" s="11"/>
      <c r="O11162" s="11"/>
      <c r="P11162" s="11"/>
    </row>
    <row r="11163" spans="8:16" x14ac:dyDescent="0.25">
      <c r="H11163" s="12"/>
      <c r="I11163" s="12"/>
      <c r="J11163" s="12"/>
      <c r="K11163" s="12"/>
      <c r="L11163" s="12"/>
      <c r="M11163" s="11"/>
      <c r="N11163" s="11"/>
      <c r="O11163" s="11"/>
      <c r="P11163" s="11"/>
    </row>
    <row r="11164" spans="8:16" x14ac:dyDescent="0.25">
      <c r="H11164" s="12"/>
      <c r="I11164" s="12"/>
      <c r="J11164" s="12"/>
      <c r="K11164" s="12"/>
      <c r="L11164" s="12"/>
      <c r="M11164" s="11"/>
      <c r="N11164" s="11"/>
      <c r="O11164" s="11"/>
      <c r="P11164" s="11"/>
    </row>
    <row r="11165" spans="8:16" x14ac:dyDescent="0.25">
      <c r="H11165" s="12"/>
      <c r="I11165" s="12"/>
      <c r="J11165" s="12"/>
      <c r="K11165" s="12"/>
      <c r="L11165" s="12"/>
      <c r="M11165" s="11"/>
      <c r="N11165" s="11"/>
      <c r="O11165" s="11"/>
      <c r="P11165" s="11"/>
    </row>
    <row r="11166" spans="8:16" x14ac:dyDescent="0.25">
      <c r="H11166" s="12"/>
      <c r="I11166" s="12"/>
      <c r="J11166" s="12"/>
      <c r="K11166" s="12"/>
      <c r="L11166" s="12"/>
      <c r="M11166" s="11"/>
      <c r="N11166" s="11"/>
      <c r="O11166" s="11"/>
      <c r="P11166" s="11"/>
    </row>
    <row r="11167" spans="8:16" x14ac:dyDescent="0.25">
      <c r="H11167" s="12"/>
      <c r="I11167" s="12"/>
      <c r="J11167" s="12"/>
      <c r="K11167" s="12"/>
      <c r="L11167" s="12"/>
      <c r="M11167" s="11"/>
      <c r="N11167" s="11"/>
      <c r="O11167" s="11"/>
      <c r="P11167" s="11"/>
    </row>
    <row r="11168" spans="8:16" x14ac:dyDescent="0.25">
      <c r="H11168" s="12"/>
      <c r="I11168" s="12"/>
      <c r="J11168" s="12"/>
      <c r="K11168" s="12"/>
      <c r="L11168" s="12"/>
      <c r="M11168" s="11"/>
      <c r="N11168" s="11"/>
      <c r="O11168" s="11"/>
      <c r="P11168" s="11"/>
    </row>
    <row r="11169" spans="8:16" x14ac:dyDescent="0.25">
      <c r="H11169" s="12"/>
      <c r="I11169" s="12"/>
      <c r="J11169" s="12"/>
      <c r="K11169" s="12"/>
      <c r="L11169" s="12"/>
      <c r="M11169" s="11"/>
      <c r="N11169" s="11"/>
      <c r="O11169" s="11"/>
      <c r="P11169" s="11"/>
    </row>
    <row r="11170" spans="8:16" x14ac:dyDescent="0.25">
      <c r="H11170" s="12"/>
      <c r="I11170" s="12"/>
      <c r="J11170" s="12"/>
      <c r="K11170" s="12"/>
      <c r="L11170" s="12"/>
      <c r="M11170" s="11"/>
      <c r="N11170" s="11"/>
      <c r="O11170" s="11"/>
      <c r="P11170" s="11"/>
    </row>
    <row r="11171" spans="8:16" x14ac:dyDescent="0.25">
      <c r="H11171" s="12"/>
      <c r="I11171" s="12"/>
      <c r="J11171" s="12"/>
      <c r="K11171" s="12"/>
      <c r="L11171" s="12"/>
      <c r="M11171" s="11"/>
      <c r="N11171" s="11"/>
      <c r="O11171" s="11"/>
      <c r="P11171" s="11"/>
    </row>
    <row r="11172" spans="8:16" x14ac:dyDescent="0.25">
      <c r="H11172" s="12"/>
      <c r="I11172" s="12"/>
      <c r="J11172" s="12"/>
      <c r="K11172" s="12"/>
      <c r="L11172" s="12"/>
      <c r="M11172" s="11"/>
      <c r="N11172" s="11"/>
      <c r="O11172" s="11"/>
      <c r="P11172" s="11"/>
    </row>
    <row r="11173" spans="8:16" x14ac:dyDescent="0.25">
      <c r="H11173" s="12"/>
      <c r="I11173" s="12"/>
      <c r="J11173" s="12"/>
      <c r="K11173" s="12"/>
      <c r="L11173" s="12"/>
      <c r="M11173" s="11"/>
      <c r="N11173" s="11"/>
      <c r="O11173" s="11"/>
      <c r="P11173" s="11"/>
    </row>
    <row r="11174" spans="8:16" x14ac:dyDescent="0.25">
      <c r="H11174" s="12"/>
      <c r="I11174" s="12"/>
      <c r="J11174" s="12"/>
      <c r="K11174" s="12"/>
      <c r="L11174" s="12"/>
      <c r="M11174" s="11"/>
      <c r="N11174" s="11"/>
      <c r="O11174" s="11"/>
      <c r="P11174" s="11"/>
    </row>
    <row r="11175" spans="8:16" x14ac:dyDescent="0.25">
      <c r="H11175" s="12"/>
      <c r="I11175" s="12"/>
      <c r="J11175" s="12"/>
      <c r="K11175" s="12"/>
      <c r="L11175" s="12"/>
      <c r="M11175" s="11"/>
      <c r="N11175" s="11"/>
      <c r="O11175" s="11"/>
      <c r="P11175" s="11"/>
    </row>
    <row r="11176" spans="8:16" x14ac:dyDescent="0.25">
      <c r="H11176" s="12"/>
      <c r="I11176" s="12"/>
      <c r="J11176" s="12"/>
      <c r="K11176" s="12"/>
      <c r="L11176" s="12"/>
      <c r="M11176" s="11"/>
      <c r="N11176" s="11"/>
      <c r="O11176" s="11"/>
      <c r="P11176" s="11"/>
    </row>
    <row r="11177" spans="8:16" x14ac:dyDescent="0.25">
      <c r="H11177" s="12"/>
      <c r="I11177" s="12"/>
      <c r="J11177" s="12"/>
      <c r="K11177" s="12"/>
      <c r="L11177" s="12"/>
      <c r="M11177" s="11"/>
      <c r="N11177" s="11"/>
      <c r="O11177" s="11"/>
      <c r="P11177" s="11"/>
    </row>
    <row r="11178" spans="8:16" x14ac:dyDescent="0.25">
      <c r="H11178" s="12"/>
      <c r="I11178" s="12"/>
      <c r="J11178" s="12"/>
      <c r="K11178" s="12"/>
      <c r="L11178" s="12"/>
      <c r="M11178" s="11"/>
      <c r="N11178" s="11"/>
      <c r="O11178" s="11"/>
      <c r="P11178" s="11"/>
    </row>
    <row r="11179" spans="8:16" x14ac:dyDescent="0.25">
      <c r="H11179" s="12"/>
      <c r="I11179" s="12"/>
      <c r="J11179" s="12"/>
      <c r="K11179" s="12"/>
      <c r="L11179" s="12"/>
      <c r="M11179" s="11"/>
      <c r="N11179" s="11"/>
      <c r="O11179" s="11"/>
      <c r="P11179" s="11"/>
    </row>
    <row r="11180" spans="8:16" x14ac:dyDescent="0.25">
      <c r="H11180" s="12"/>
      <c r="I11180" s="12"/>
      <c r="J11180" s="12"/>
      <c r="K11180" s="12"/>
      <c r="L11180" s="12"/>
      <c r="M11180" s="11"/>
      <c r="N11180" s="11"/>
      <c r="O11180" s="11"/>
      <c r="P11180" s="11"/>
    </row>
    <row r="11181" spans="8:16" x14ac:dyDescent="0.25">
      <c r="H11181" s="12"/>
      <c r="I11181" s="12"/>
      <c r="J11181" s="12"/>
      <c r="K11181" s="12"/>
      <c r="L11181" s="12"/>
      <c r="M11181" s="11"/>
      <c r="N11181" s="11"/>
      <c r="O11181" s="11"/>
      <c r="P11181" s="11"/>
    </row>
    <row r="11182" spans="8:16" x14ac:dyDescent="0.25">
      <c r="H11182" s="12"/>
      <c r="I11182" s="12"/>
      <c r="J11182" s="12"/>
      <c r="K11182" s="12"/>
      <c r="L11182" s="12"/>
      <c r="M11182" s="11"/>
      <c r="N11182" s="11"/>
      <c r="O11182" s="11"/>
      <c r="P11182" s="11"/>
    </row>
    <row r="11183" spans="8:16" x14ac:dyDescent="0.25">
      <c r="H11183" s="12"/>
      <c r="I11183" s="12"/>
      <c r="J11183" s="12"/>
      <c r="K11183" s="12"/>
      <c r="L11183" s="12"/>
      <c r="M11183" s="11"/>
      <c r="N11183" s="11"/>
      <c r="O11183" s="11"/>
      <c r="P11183" s="11"/>
    </row>
    <row r="11184" spans="8:16" x14ac:dyDescent="0.25">
      <c r="H11184" s="12"/>
      <c r="I11184" s="12"/>
      <c r="J11184" s="12"/>
      <c r="K11184" s="12"/>
      <c r="L11184" s="12"/>
      <c r="M11184" s="11"/>
      <c r="N11184" s="11"/>
      <c r="O11184" s="11"/>
      <c r="P11184" s="11"/>
    </row>
    <row r="11185" spans="8:16" x14ac:dyDescent="0.25">
      <c r="H11185" s="12"/>
      <c r="I11185" s="12"/>
      <c r="J11185" s="12"/>
      <c r="K11185" s="12"/>
      <c r="L11185" s="12"/>
      <c r="M11185" s="11"/>
      <c r="N11185" s="11"/>
      <c r="O11185" s="11"/>
      <c r="P11185" s="11"/>
    </row>
    <row r="11186" spans="8:16" x14ac:dyDescent="0.25">
      <c r="H11186" s="12"/>
      <c r="I11186" s="12"/>
      <c r="J11186" s="12"/>
      <c r="K11186" s="12"/>
      <c r="L11186" s="12"/>
      <c r="M11186" s="11"/>
      <c r="N11186" s="11"/>
      <c r="O11186" s="11"/>
      <c r="P11186" s="11"/>
    </row>
    <row r="11187" spans="8:16" x14ac:dyDescent="0.25">
      <c r="H11187" s="12"/>
      <c r="I11187" s="12"/>
      <c r="J11187" s="12"/>
      <c r="K11187" s="12"/>
      <c r="L11187" s="12"/>
      <c r="M11187" s="11"/>
      <c r="N11187" s="11"/>
      <c r="O11187" s="11"/>
      <c r="P11187" s="11"/>
    </row>
    <row r="11188" spans="8:16" x14ac:dyDescent="0.25">
      <c r="H11188" s="12"/>
      <c r="I11188" s="12"/>
      <c r="J11188" s="12"/>
      <c r="K11188" s="12"/>
      <c r="L11188" s="12"/>
      <c r="M11188" s="11"/>
      <c r="N11188" s="11"/>
      <c r="O11188" s="11"/>
      <c r="P11188" s="11"/>
    </row>
    <row r="11189" spans="8:16" x14ac:dyDescent="0.25">
      <c r="H11189" s="12"/>
      <c r="I11189" s="12"/>
      <c r="J11189" s="12"/>
      <c r="K11189" s="12"/>
      <c r="L11189" s="12"/>
      <c r="M11189" s="11"/>
      <c r="N11189" s="11"/>
      <c r="O11189" s="11"/>
      <c r="P11189" s="11"/>
    </row>
    <row r="11190" spans="8:16" x14ac:dyDescent="0.25">
      <c r="H11190" s="12"/>
      <c r="I11190" s="12"/>
      <c r="J11190" s="12"/>
      <c r="K11190" s="12"/>
      <c r="L11190" s="12"/>
      <c r="M11190" s="11"/>
      <c r="N11190" s="11"/>
      <c r="O11190" s="11"/>
      <c r="P11190" s="11"/>
    </row>
    <row r="11191" spans="8:16" x14ac:dyDescent="0.25">
      <c r="H11191" s="12"/>
      <c r="I11191" s="12"/>
      <c r="J11191" s="12"/>
      <c r="K11191" s="12"/>
      <c r="L11191" s="12"/>
      <c r="M11191" s="11"/>
      <c r="N11191" s="11"/>
      <c r="O11191" s="11"/>
      <c r="P11191" s="11"/>
    </row>
    <row r="11192" spans="8:16" x14ac:dyDescent="0.25">
      <c r="H11192" s="12"/>
      <c r="I11192" s="12"/>
      <c r="J11192" s="12"/>
      <c r="K11192" s="12"/>
      <c r="L11192" s="12"/>
      <c r="M11192" s="11"/>
      <c r="N11192" s="11"/>
      <c r="O11192" s="11"/>
      <c r="P11192" s="11"/>
    </row>
    <row r="11193" spans="8:16" x14ac:dyDescent="0.25">
      <c r="H11193" s="12"/>
      <c r="I11193" s="12"/>
      <c r="J11193" s="12"/>
      <c r="K11193" s="12"/>
      <c r="L11193" s="12"/>
      <c r="M11193" s="11"/>
      <c r="N11193" s="11"/>
      <c r="O11193" s="11"/>
      <c r="P11193" s="11"/>
    </row>
    <row r="11194" spans="8:16" x14ac:dyDescent="0.25">
      <c r="H11194" s="12"/>
      <c r="I11194" s="12"/>
      <c r="J11194" s="12"/>
      <c r="K11194" s="12"/>
      <c r="L11194" s="12"/>
      <c r="M11194" s="11"/>
      <c r="N11194" s="11"/>
      <c r="O11194" s="11"/>
      <c r="P11194" s="11"/>
    </row>
    <row r="11195" spans="8:16" x14ac:dyDescent="0.25">
      <c r="H11195" s="12"/>
      <c r="I11195" s="12"/>
      <c r="J11195" s="12"/>
      <c r="K11195" s="12"/>
      <c r="L11195" s="12"/>
      <c r="M11195" s="11"/>
      <c r="N11195" s="11"/>
      <c r="O11195" s="11"/>
      <c r="P11195" s="11"/>
    </row>
    <row r="11196" spans="8:16" x14ac:dyDescent="0.25">
      <c r="H11196" s="12"/>
      <c r="I11196" s="12"/>
      <c r="J11196" s="12"/>
      <c r="K11196" s="12"/>
      <c r="L11196" s="12"/>
      <c r="M11196" s="11"/>
      <c r="N11196" s="11"/>
      <c r="O11196" s="11"/>
      <c r="P11196" s="11"/>
    </row>
    <row r="11197" spans="8:16" x14ac:dyDescent="0.25">
      <c r="H11197" s="12"/>
      <c r="I11197" s="12"/>
      <c r="J11197" s="12"/>
      <c r="K11197" s="12"/>
      <c r="L11197" s="12"/>
      <c r="M11197" s="11"/>
      <c r="N11197" s="11"/>
      <c r="O11197" s="11"/>
      <c r="P11197" s="11"/>
    </row>
    <row r="11198" spans="8:16" x14ac:dyDescent="0.25">
      <c r="H11198" s="12"/>
      <c r="I11198" s="12"/>
      <c r="J11198" s="12"/>
      <c r="K11198" s="12"/>
      <c r="L11198" s="12"/>
      <c r="M11198" s="11"/>
      <c r="N11198" s="11"/>
      <c r="O11198" s="11"/>
      <c r="P11198" s="11"/>
    </row>
    <row r="11199" spans="8:16" x14ac:dyDescent="0.25">
      <c r="H11199" s="12"/>
      <c r="I11199" s="12"/>
      <c r="J11199" s="12"/>
      <c r="K11199" s="12"/>
      <c r="L11199" s="12"/>
      <c r="M11199" s="11"/>
      <c r="N11199" s="11"/>
      <c r="O11199" s="11"/>
      <c r="P11199" s="11"/>
    </row>
    <row r="11200" spans="8:16" x14ac:dyDescent="0.25">
      <c r="H11200" s="12"/>
      <c r="I11200" s="12"/>
      <c r="J11200" s="12"/>
      <c r="K11200" s="12"/>
      <c r="L11200" s="12"/>
      <c r="M11200" s="11"/>
      <c r="N11200" s="11"/>
      <c r="O11200" s="11"/>
      <c r="P11200" s="11"/>
    </row>
    <row r="11201" spans="8:16" x14ac:dyDescent="0.25">
      <c r="H11201" s="12"/>
      <c r="I11201" s="12"/>
      <c r="J11201" s="12"/>
      <c r="K11201" s="12"/>
      <c r="L11201" s="12"/>
      <c r="M11201" s="11"/>
      <c r="N11201" s="11"/>
      <c r="O11201" s="11"/>
      <c r="P11201" s="11"/>
    </row>
    <row r="11202" spans="8:16" x14ac:dyDescent="0.25">
      <c r="H11202" s="12"/>
      <c r="I11202" s="12"/>
      <c r="J11202" s="12"/>
      <c r="K11202" s="12"/>
      <c r="L11202" s="12"/>
      <c r="M11202" s="11"/>
      <c r="N11202" s="11"/>
      <c r="O11202" s="11"/>
      <c r="P11202" s="11"/>
    </row>
    <row r="11203" spans="8:16" x14ac:dyDescent="0.25">
      <c r="H11203" s="12"/>
      <c r="I11203" s="12"/>
      <c r="J11203" s="12"/>
      <c r="K11203" s="12"/>
      <c r="L11203" s="12"/>
      <c r="M11203" s="11"/>
      <c r="N11203" s="11"/>
      <c r="O11203" s="11"/>
      <c r="P11203" s="11"/>
    </row>
    <row r="11204" spans="8:16" x14ac:dyDescent="0.25">
      <c r="H11204" s="12"/>
      <c r="I11204" s="12"/>
      <c r="J11204" s="12"/>
      <c r="K11204" s="12"/>
      <c r="L11204" s="12"/>
      <c r="M11204" s="11"/>
      <c r="N11204" s="11"/>
      <c r="O11204" s="11"/>
      <c r="P11204" s="11"/>
    </row>
    <row r="11205" spans="8:16" x14ac:dyDescent="0.25">
      <c r="H11205" s="12"/>
      <c r="I11205" s="12"/>
      <c r="J11205" s="12"/>
      <c r="K11205" s="12"/>
      <c r="L11205" s="12"/>
      <c r="M11205" s="11"/>
      <c r="N11205" s="11"/>
      <c r="O11205" s="11"/>
      <c r="P11205" s="11"/>
    </row>
    <row r="11206" spans="8:16" x14ac:dyDescent="0.25">
      <c r="H11206" s="12"/>
      <c r="I11206" s="12"/>
      <c r="J11206" s="12"/>
      <c r="K11206" s="12"/>
      <c r="L11206" s="12"/>
      <c r="M11206" s="11"/>
      <c r="N11206" s="11"/>
      <c r="O11206" s="11"/>
      <c r="P11206" s="11"/>
    </row>
    <row r="11207" spans="8:16" x14ac:dyDescent="0.25">
      <c r="H11207" s="12"/>
      <c r="I11207" s="12"/>
      <c r="J11207" s="12"/>
      <c r="K11207" s="12"/>
      <c r="L11207" s="12"/>
      <c r="M11207" s="11"/>
      <c r="N11207" s="11"/>
      <c r="O11207" s="11"/>
      <c r="P11207" s="11"/>
    </row>
    <row r="11208" spans="8:16" x14ac:dyDescent="0.25">
      <c r="H11208" s="12"/>
      <c r="I11208" s="12"/>
      <c r="J11208" s="12"/>
      <c r="K11208" s="12"/>
      <c r="L11208" s="12"/>
      <c r="M11208" s="11"/>
      <c r="N11208" s="11"/>
      <c r="O11208" s="11"/>
      <c r="P11208" s="11"/>
    </row>
    <row r="11209" spans="8:16" x14ac:dyDescent="0.25">
      <c r="H11209" s="12"/>
      <c r="I11209" s="12"/>
      <c r="J11209" s="12"/>
      <c r="K11209" s="12"/>
      <c r="L11209" s="12"/>
      <c r="M11209" s="11"/>
      <c r="N11209" s="11"/>
      <c r="O11209" s="11"/>
      <c r="P11209" s="11"/>
    </row>
    <row r="11210" spans="8:16" x14ac:dyDescent="0.25">
      <c r="H11210" s="12"/>
      <c r="I11210" s="12"/>
      <c r="J11210" s="12"/>
      <c r="K11210" s="12"/>
      <c r="L11210" s="12"/>
      <c r="M11210" s="11"/>
      <c r="N11210" s="11"/>
      <c r="O11210" s="11"/>
      <c r="P11210" s="11"/>
    </row>
    <row r="11211" spans="8:16" x14ac:dyDescent="0.25">
      <c r="H11211" s="12"/>
      <c r="I11211" s="12"/>
      <c r="J11211" s="12"/>
      <c r="K11211" s="12"/>
      <c r="L11211" s="12"/>
      <c r="M11211" s="11"/>
      <c r="N11211" s="11"/>
      <c r="O11211" s="11"/>
      <c r="P11211" s="11"/>
    </row>
    <row r="11212" spans="8:16" x14ac:dyDescent="0.25">
      <c r="H11212" s="12"/>
      <c r="I11212" s="12"/>
      <c r="J11212" s="12"/>
      <c r="K11212" s="12"/>
      <c r="L11212" s="12"/>
      <c r="M11212" s="11"/>
      <c r="N11212" s="11"/>
      <c r="O11212" s="11"/>
      <c r="P11212" s="11"/>
    </row>
    <row r="11213" spans="8:16" x14ac:dyDescent="0.25">
      <c r="H11213" s="12"/>
      <c r="I11213" s="12"/>
      <c r="J11213" s="12"/>
      <c r="K11213" s="12"/>
      <c r="L11213" s="12"/>
      <c r="M11213" s="11"/>
      <c r="N11213" s="11"/>
      <c r="O11213" s="11"/>
      <c r="P11213" s="11"/>
    </row>
    <row r="11214" spans="8:16" x14ac:dyDescent="0.25">
      <c r="H11214" s="12"/>
      <c r="I11214" s="12"/>
      <c r="J11214" s="12"/>
      <c r="K11214" s="12"/>
      <c r="L11214" s="12"/>
      <c r="M11214" s="11"/>
      <c r="N11214" s="11"/>
      <c r="O11214" s="11"/>
      <c r="P11214" s="11"/>
    </row>
    <row r="11215" spans="8:16" x14ac:dyDescent="0.25">
      <c r="H11215" s="12"/>
      <c r="I11215" s="12"/>
      <c r="J11215" s="12"/>
      <c r="K11215" s="12"/>
      <c r="L11215" s="12"/>
      <c r="M11215" s="11"/>
      <c r="N11215" s="11"/>
      <c r="O11215" s="11"/>
      <c r="P11215" s="11"/>
    </row>
    <row r="11216" spans="8:16" x14ac:dyDescent="0.25">
      <c r="H11216" s="12"/>
      <c r="I11216" s="12"/>
      <c r="J11216" s="12"/>
      <c r="K11216" s="12"/>
      <c r="L11216" s="12"/>
      <c r="M11216" s="11"/>
      <c r="N11216" s="11"/>
      <c r="O11216" s="11"/>
      <c r="P11216" s="11"/>
    </row>
    <row r="11217" spans="8:16" x14ac:dyDescent="0.25">
      <c r="H11217" s="12"/>
      <c r="I11217" s="12"/>
      <c r="J11217" s="12"/>
      <c r="K11217" s="12"/>
      <c r="L11217" s="12"/>
      <c r="M11217" s="11"/>
      <c r="N11217" s="11"/>
      <c r="O11217" s="11"/>
      <c r="P11217" s="11"/>
    </row>
    <row r="11218" spans="8:16" x14ac:dyDescent="0.25">
      <c r="H11218" s="12"/>
      <c r="I11218" s="12"/>
      <c r="J11218" s="12"/>
      <c r="K11218" s="12"/>
      <c r="L11218" s="12"/>
      <c r="M11218" s="11"/>
      <c r="N11218" s="11"/>
      <c r="O11218" s="11"/>
      <c r="P11218" s="11"/>
    </row>
    <row r="11219" spans="8:16" x14ac:dyDescent="0.25">
      <c r="H11219" s="12"/>
      <c r="I11219" s="12"/>
      <c r="J11219" s="12"/>
      <c r="K11219" s="12"/>
      <c r="L11219" s="12"/>
      <c r="M11219" s="11"/>
      <c r="N11219" s="11"/>
      <c r="O11219" s="11"/>
      <c r="P11219" s="11"/>
    </row>
    <row r="11220" spans="8:16" x14ac:dyDescent="0.25">
      <c r="H11220" s="12"/>
      <c r="I11220" s="12"/>
      <c r="J11220" s="12"/>
      <c r="K11220" s="12"/>
      <c r="L11220" s="12"/>
      <c r="M11220" s="11"/>
      <c r="N11220" s="11"/>
      <c r="O11220" s="11"/>
      <c r="P11220" s="11"/>
    </row>
    <row r="11221" spans="8:16" x14ac:dyDescent="0.25">
      <c r="H11221" s="12"/>
      <c r="I11221" s="12"/>
      <c r="J11221" s="12"/>
      <c r="K11221" s="12"/>
      <c r="L11221" s="12"/>
      <c r="M11221" s="11"/>
      <c r="N11221" s="11"/>
      <c r="O11221" s="11"/>
      <c r="P11221" s="11"/>
    </row>
    <row r="11222" spans="8:16" x14ac:dyDescent="0.25">
      <c r="H11222" s="12"/>
      <c r="I11222" s="12"/>
      <c r="J11222" s="12"/>
      <c r="K11222" s="12"/>
      <c r="L11222" s="12"/>
      <c r="M11222" s="11"/>
      <c r="N11222" s="11"/>
      <c r="O11222" s="11"/>
      <c r="P11222" s="11"/>
    </row>
    <row r="11223" spans="8:16" x14ac:dyDescent="0.25">
      <c r="H11223" s="12"/>
      <c r="I11223" s="12"/>
      <c r="J11223" s="12"/>
      <c r="K11223" s="12"/>
      <c r="L11223" s="12"/>
      <c r="M11223" s="11"/>
      <c r="N11223" s="11"/>
      <c r="O11223" s="11"/>
      <c r="P11223" s="11"/>
    </row>
    <row r="11224" spans="8:16" x14ac:dyDescent="0.25">
      <c r="H11224" s="12"/>
      <c r="I11224" s="12"/>
      <c r="J11224" s="12"/>
      <c r="K11224" s="12"/>
      <c r="L11224" s="12"/>
      <c r="M11224" s="11"/>
      <c r="N11224" s="11"/>
      <c r="O11224" s="11"/>
      <c r="P11224" s="11"/>
    </row>
    <row r="11225" spans="8:16" x14ac:dyDescent="0.25">
      <c r="H11225" s="12"/>
      <c r="I11225" s="12"/>
      <c r="J11225" s="12"/>
      <c r="K11225" s="12"/>
      <c r="L11225" s="12"/>
      <c r="M11225" s="11"/>
      <c r="N11225" s="11"/>
      <c r="O11225" s="11"/>
      <c r="P11225" s="11"/>
    </row>
    <row r="11226" spans="8:16" x14ac:dyDescent="0.25">
      <c r="H11226" s="12"/>
      <c r="I11226" s="12"/>
      <c r="J11226" s="12"/>
      <c r="K11226" s="12"/>
      <c r="L11226" s="12"/>
      <c r="M11226" s="11"/>
      <c r="N11226" s="11"/>
      <c r="O11226" s="11"/>
      <c r="P11226" s="11"/>
    </row>
    <row r="11227" spans="8:16" x14ac:dyDescent="0.25">
      <c r="H11227" s="12"/>
      <c r="I11227" s="12"/>
      <c r="J11227" s="12"/>
      <c r="K11227" s="12"/>
      <c r="L11227" s="12"/>
      <c r="M11227" s="11"/>
      <c r="N11227" s="11"/>
      <c r="O11227" s="11"/>
      <c r="P11227" s="11"/>
    </row>
    <row r="11228" spans="8:16" x14ac:dyDescent="0.25">
      <c r="H11228" s="12"/>
      <c r="I11228" s="12"/>
      <c r="J11228" s="12"/>
      <c r="K11228" s="12"/>
      <c r="L11228" s="12"/>
      <c r="M11228" s="11"/>
      <c r="N11228" s="11"/>
      <c r="O11228" s="11"/>
      <c r="P11228" s="11"/>
    </row>
    <row r="11229" spans="8:16" x14ac:dyDescent="0.25">
      <c r="H11229" s="12"/>
      <c r="I11229" s="12"/>
      <c r="J11229" s="12"/>
      <c r="K11229" s="12"/>
      <c r="L11229" s="12"/>
      <c r="M11229" s="11"/>
      <c r="N11229" s="11"/>
      <c r="O11229" s="11"/>
      <c r="P11229" s="11"/>
    </row>
    <row r="11230" spans="8:16" x14ac:dyDescent="0.25">
      <c r="H11230" s="12"/>
      <c r="I11230" s="12"/>
      <c r="J11230" s="12"/>
      <c r="K11230" s="12"/>
      <c r="L11230" s="12"/>
      <c r="M11230" s="11"/>
      <c r="N11230" s="11"/>
      <c r="O11230" s="11"/>
      <c r="P11230" s="11"/>
    </row>
    <row r="11231" spans="8:16" x14ac:dyDescent="0.25">
      <c r="H11231" s="12"/>
      <c r="I11231" s="12"/>
      <c r="J11231" s="12"/>
      <c r="K11231" s="12"/>
      <c r="L11231" s="12"/>
      <c r="M11231" s="11"/>
      <c r="N11231" s="11"/>
      <c r="O11231" s="11"/>
      <c r="P11231" s="11"/>
    </row>
    <row r="11232" spans="8:16" x14ac:dyDescent="0.25">
      <c r="H11232" s="12"/>
      <c r="I11232" s="12"/>
      <c r="J11232" s="12"/>
      <c r="K11232" s="12"/>
      <c r="L11232" s="12"/>
      <c r="M11232" s="11"/>
      <c r="N11232" s="11"/>
      <c r="O11232" s="11"/>
      <c r="P11232" s="11"/>
    </row>
    <row r="11233" spans="8:16" x14ac:dyDescent="0.25">
      <c r="H11233" s="12"/>
      <c r="I11233" s="12"/>
      <c r="J11233" s="12"/>
      <c r="K11233" s="12"/>
      <c r="L11233" s="12"/>
      <c r="M11233" s="11"/>
      <c r="N11233" s="11"/>
      <c r="O11233" s="11"/>
      <c r="P11233" s="11"/>
    </row>
    <row r="11234" spans="8:16" x14ac:dyDescent="0.25">
      <c r="H11234" s="12"/>
      <c r="I11234" s="12"/>
      <c r="J11234" s="12"/>
      <c r="K11234" s="12"/>
      <c r="L11234" s="12"/>
      <c r="M11234" s="11"/>
      <c r="N11234" s="11"/>
      <c r="O11234" s="11"/>
      <c r="P11234" s="11"/>
    </row>
    <row r="11235" spans="8:16" x14ac:dyDescent="0.25">
      <c r="H11235" s="12"/>
      <c r="I11235" s="12"/>
      <c r="J11235" s="12"/>
      <c r="K11235" s="12"/>
      <c r="L11235" s="12"/>
      <c r="M11235" s="11"/>
      <c r="N11235" s="11"/>
      <c r="O11235" s="11"/>
      <c r="P11235" s="11"/>
    </row>
    <row r="11236" spans="8:16" x14ac:dyDescent="0.25">
      <c r="H11236" s="12"/>
      <c r="I11236" s="12"/>
      <c r="J11236" s="12"/>
      <c r="K11236" s="12"/>
      <c r="L11236" s="12"/>
      <c r="M11236" s="11"/>
      <c r="N11236" s="11"/>
      <c r="O11236" s="11"/>
      <c r="P11236" s="11"/>
    </row>
    <row r="11237" spans="8:16" x14ac:dyDescent="0.25">
      <c r="H11237" s="12"/>
      <c r="I11237" s="12"/>
      <c r="J11237" s="12"/>
      <c r="K11237" s="12"/>
      <c r="L11237" s="12"/>
      <c r="M11237" s="11"/>
      <c r="N11237" s="11"/>
      <c r="O11237" s="11"/>
      <c r="P11237" s="11"/>
    </row>
    <row r="11238" spans="8:16" x14ac:dyDescent="0.25">
      <c r="H11238" s="12"/>
      <c r="I11238" s="12"/>
      <c r="J11238" s="12"/>
      <c r="K11238" s="12"/>
      <c r="L11238" s="12"/>
      <c r="M11238" s="11"/>
      <c r="N11238" s="11"/>
      <c r="O11238" s="11"/>
      <c r="P11238" s="11"/>
    </row>
    <row r="11239" spans="8:16" x14ac:dyDescent="0.25">
      <c r="H11239" s="12"/>
      <c r="I11239" s="12"/>
      <c r="J11239" s="12"/>
      <c r="K11239" s="12"/>
      <c r="L11239" s="12"/>
      <c r="M11239" s="11"/>
      <c r="N11239" s="11"/>
      <c r="O11239" s="11"/>
      <c r="P11239" s="11"/>
    </row>
    <row r="11240" spans="8:16" x14ac:dyDescent="0.25">
      <c r="H11240" s="12"/>
      <c r="I11240" s="12"/>
      <c r="J11240" s="12"/>
      <c r="K11240" s="12"/>
      <c r="L11240" s="12"/>
      <c r="M11240" s="11"/>
      <c r="N11240" s="11"/>
      <c r="O11240" s="11"/>
      <c r="P11240" s="11"/>
    </row>
    <row r="11241" spans="8:16" x14ac:dyDescent="0.25">
      <c r="H11241" s="12"/>
      <c r="I11241" s="12"/>
      <c r="J11241" s="12"/>
      <c r="K11241" s="12"/>
      <c r="L11241" s="12"/>
      <c r="M11241" s="11"/>
      <c r="N11241" s="11"/>
      <c r="O11241" s="11"/>
      <c r="P11241" s="11"/>
    </row>
    <row r="11242" spans="8:16" x14ac:dyDescent="0.25">
      <c r="H11242" s="12"/>
      <c r="I11242" s="12"/>
      <c r="J11242" s="12"/>
      <c r="K11242" s="12"/>
      <c r="L11242" s="12"/>
      <c r="M11242" s="11"/>
      <c r="N11242" s="11"/>
      <c r="O11242" s="11"/>
      <c r="P11242" s="11"/>
    </row>
    <row r="11243" spans="8:16" x14ac:dyDescent="0.25">
      <c r="H11243" s="12"/>
      <c r="I11243" s="12"/>
      <c r="J11243" s="12"/>
      <c r="K11243" s="12"/>
      <c r="L11243" s="12"/>
      <c r="M11243" s="11"/>
      <c r="N11243" s="11"/>
      <c r="O11243" s="11"/>
      <c r="P11243" s="11"/>
    </row>
    <row r="11244" spans="8:16" x14ac:dyDescent="0.25">
      <c r="H11244" s="12"/>
      <c r="I11244" s="12"/>
      <c r="J11244" s="12"/>
      <c r="K11244" s="12"/>
      <c r="L11244" s="12"/>
      <c r="M11244" s="11"/>
      <c r="N11244" s="11"/>
      <c r="O11244" s="11"/>
      <c r="P11244" s="11"/>
    </row>
    <row r="11245" spans="8:16" x14ac:dyDescent="0.25">
      <c r="H11245" s="12"/>
      <c r="I11245" s="12"/>
      <c r="J11245" s="12"/>
      <c r="K11245" s="12"/>
      <c r="L11245" s="12"/>
      <c r="M11245" s="11"/>
      <c r="N11245" s="11"/>
      <c r="O11245" s="11"/>
      <c r="P11245" s="11"/>
    </row>
    <row r="11246" spans="8:16" x14ac:dyDescent="0.25">
      <c r="H11246" s="12"/>
      <c r="I11246" s="12"/>
      <c r="J11246" s="12"/>
      <c r="K11246" s="12"/>
      <c r="L11246" s="12"/>
      <c r="M11246" s="11"/>
      <c r="N11246" s="11"/>
      <c r="O11246" s="11"/>
      <c r="P11246" s="11"/>
    </row>
    <row r="11247" spans="8:16" x14ac:dyDescent="0.25">
      <c r="H11247" s="12"/>
      <c r="I11247" s="12"/>
      <c r="J11247" s="12"/>
      <c r="K11247" s="12"/>
      <c r="L11247" s="12"/>
      <c r="M11247" s="11"/>
      <c r="N11247" s="11"/>
      <c r="O11247" s="11"/>
      <c r="P11247" s="11"/>
    </row>
    <row r="11248" spans="8:16" x14ac:dyDescent="0.25">
      <c r="H11248" s="12"/>
      <c r="I11248" s="12"/>
      <c r="J11248" s="12"/>
      <c r="K11248" s="12"/>
      <c r="L11248" s="12"/>
      <c r="M11248" s="11"/>
      <c r="N11248" s="11"/>
      <c r="O11248" s="11"/>
      <c r="P11248" s="11"/>
    </row>
    <row r="11249" spans="8:16" x14ac:dyDescent="0.25">
      <c r="H11249" s="12"/>
      <c r="I11249" s="12"/>
      <c r="J11249" s="12"/>
      <c r="K11249" s="12"/>
      <c r="L11249" s="12"/>
      <c r="M11249" s="11"/>
      <c r="N11249" s="11"/>
      <c r="O11249" s="11"/>
      <c r="P11249" s="11"/>
    </row>
    <row r="11250" spans="8:16" x14ac:dyDescent="0.25">
      <c r="H11250" s="12"/>
      <c r="I11250" s="12"/>
      <c r="J11250" s="12"/>
      <c r="K11250" s="12"/>
      <c r="L11250" s="12"/>
      <c r="M11250" s="11"/>
      <c r="N11250" s="11"/>
      <c r="O11250" s="11"/>
      <c r="P11250" s="11"/>
    </row>
    <row r="11251" spans="8:16" x14ac:dyDescent="0.25">
      <c r="H11251" s="12"/>
      <c r="I11251" s="12"/>
      <c r="J11251" s="12"/>
      <c r="K11251" s="12"/>
      <c r="L11251" s="12"/>
      <c r="M11251" s="11"/>
      <c r="N11251" s="11"/>
      <c r="O11251" s="11"/>
      <c r="P11251" s="11"/>
    </row>
    <row r="11252" spans="8:16" x14ac:dyDescent="0.25">
      <c r="H11252" s="12"/>
      <c r="I11252" s="12"/>
      <c r="J11252" s="12"/>
      <c r="K11252" s="12"/>
      <c r="L11252" s="12"/>
      <c r="M11252" s="11"/>
      <c r="N11252" s="11"/>
      <c r="O11252" s="11"/>
      <c r="P11252" s="11"/>
    </row>
    <row r="11253" spans="8:16" x14ac:dyDescent="0.25">
      <c r="H11253" s="12"/>
      <c r="I11253" s="12"/>
      <c r="J11253" s="12"/>
      <c r="K11253" s="12"/>
      <c r="L11253" s="12"/>
      <c r="M11253" s="11"/>
      <c r="N11253" s="11"/>
      <c r="O11253" s="11"/>
      <c r="P11253" s="11"/>
    </row>
    <row r="11254" spans="8:16" x14ac:dyDescent="0.25">
      <c r="H11254" s="12"/>
      <c r="I11254" s="12"/>
      <c r="J11254" s="12"/>
      <c r="K11254" s="12"/>
      <c r="L11254" s="12"/>
      <c r="M11254" s="11"/>
      <c r="N11254" s="11"/>
      <c r="O11254" s="11"/>
      <c r="P11254" s="11"/>
    </row>
    <row r="11255" spans="8:16" x14ac:dyDescent="0.25">
      <c r="H11255" s="12"/>
      <c r="I11255" s="12"/>
      <c r="J11255" s="12"/>
      <c r="K11255" s="12"/>
      <c r="L11255" s="12"/>
      <c r="M11255" s="11"/>
      <c r="N11255" s="11"/>
      <c r="O11255" s="11"/>
      <c r="P11255" s="11"/>
    </row>
    <row r="11256" spans="8:16" x14ac:dyDescent="0.25">
      <c r="H11256" s="12"/>
      <c r="I11256" s="12"/>
      <c r="J11256" s="12"/>
      <c r="K11256" s="12"/>
      <c r="L11256" s="12"/>
      <c r="M11256" s="11"/>
      <c r="N11256" s="11"/>
      <c r="O11256" s="11"/>
      <c r="P11256" s="11"/>
    </row>
    <row r="11257" spans="8:16" x14ac:dyDescent="0.25">
      <c r="H11257" s="12"/>
      <c r="I11257" s="12"/>
      <c r="J11257" s="12"/>
      <c r="K11257" s="12"/>
      <c r="L11257" s="12"/>
      <c r="M11257" s="11"/>
      <c r="N11257" s="11"/>
      <c r="O11257" s="11"/>
      <c r="P11257" s="11"/>
    </row>
    <row r="11258" spans="8:16" x14ac:dyDescent="0.25">
      <c r="H11258" s="12"/>
      <c r="I11258" s="12"/>
      <c r="J11258" s="12"/>
      <c r="K11258" s="12"/>
      <c r="L11258" s="12"/>
      <c r="M11258" s="11"/>
      <c r="N11258" s="11"/>
      <c r="O11258" s="11"/>
      <c r="P11258" s="11"/>
    </row>
    <row r="11259" spans="8:16" x14ac:dyDescent="0.25">
      <c r="H11259" s="12"/>
      <c r="I11259" s="12"/>
      <c r="J11259" s="12"/>
      <c r="K11259" s="12"/>
      <c r="L11259" s="12"/>
      <c r="M11259" s="11"/>
      <c r="N11259" s="11"/>
      <c r="O11259" s="11"/>
      <c r="P11259" s="11"/>
    </row>
    <row r="11260" spans="8:16" x14ac:dyDescent="0.25">
      <c r="H11260" s="12"/>
      <c r="I11260" s="12"/>
      <c r="J11260" s="12"/>
      <c r="K11260" s="12"/>
      <c r="L11260" s="12"/>
      <c r="M11260" s="11"/>
      <c r="N11260" s="11"/>
      <c r="O11260" s="11"/>
      <c r="P11260" s="11"/>
    </row>
    <row r="11261" spans="8:16" x14ac:dyDescent="0.25">
      <c r="H11261" s="12"/>
      <c r="I11261" s="12"/>
      <c r="J11261" s="12"/>
      <c r="K11261" s="12"/>
      <c r="L11261" s="12"/>
      <c r="M11261" s="11"/>
      <c r="N11261" s="11"/>
      <c r="O11261" s="11"/>
      <c r="P11261" s="11"/>
    </row>
    <row r="11262" spans="8:16" x14ac:dyDescent="0.25">
      <c r="H11262" s="12"/>
      <c r="I11262" s="12"/>
      <c r="J11262" s="12"/>
      <c r="K11262" s="12"/>
      <c r="L11262" s="12"/>
      <c r="M11262" s="11"/>
      <c r="N11262" s="11"/>
      <c r="O11262" s="11"/>
      <c r="P11262" s="11"/>
    </row>
    <row r="11263" spans="8:16" x14ac:dyDescent="0.25">
      <c r="H11263" s="12"/>
      <c r="I11263" s="12"/>
      <c r="J11263" s="12"/>
      <c r="K11263" s="12"/>
      <c r="L11263" s="12"/>
      <c r="M11263" s="11"/>
      <c r="N11263" s="11"/>
      <c r="O11263" s="11"/>
      <c r="P11263" s="11"/>
    </row>
    <row r="11264" spans="8:16" x14ac:dyDescent="0.25">
      <c r="H11264" s="12"/>
      <c r="I11264" s="12"/>
      <c r="J11264" s="12"/>
      <c r="K11264" s="12"/>
      <c r="L11264" s="12"/>
      <c r="M11264" s="11"/>
      <c r="N11264" s="11"/>
      <c r="O11264" s="11"/>
      <c r="P11264" s="11"/>
    </row>
    <row r="11265" spans="8:16" x14ac:dyDescent="0.25">
      <c r="H11265" s="12"/>
      <c r="I11265" s="12"/>
      <c r="J11265" s="12"/>
      <c r="K11265" s="12"/>
      <c r="L11265" s="12"/>
      <c r="M11265" s="11"/>
      <c r="N11265" s="11"/>
      <c r="O11265" s="11"/>
      <c r="P11265" s="11"/>
    </row>
    <row r="11266" spans="8:16" x14ac:dyDescent="0.25">
      <c r="H11266" s="12"/>
      <c r="I11266" s="12"/>
      <c r="J11266" s="12"/>
      <c r="K11266" s="12"/>
      <c r="L11266" s="12"/>
      <c r="M11266" s="11"/>
      <c r="N11266" s="11"/>
      <c r="O11266" s="11"/>
      <c r="P11266" s="11"/>
    </row>
    <row r="11267" spans="8:16" x14ac:dyDescent="0.25">
      <c r="H11267" s="12"/>
      <c r="I11267" s="12"/>
      <c r="J11267" s="12"/>
      <c r="K11267" s="12"/>
      <c r="L11267" s="12"/>
      <c r="M11267" s="11"/>
      <c r="N11267" s="11"/>
      <c r="O11267" s="11"/>
      <c r="P11267" s="11"/>
    </row>
    <row r="11268" spans="8:16" x14ac:dyDescent="0.25">
      <c r="H11268" s="12"/>
      <c r="I11268" s="12"/>
      <c r="J11268" s="12"/>
      <c r="K11268" s="12"/>
      <c r="L11268" s="12"/>
      <c r="M11268" s="11"/>
      <c r="N11268" s="11"/>
      <c r="O11268" s="11"/>
      <c r="P11268" s="11"/>
    </row>
    <row r="11269" spans="8:16" x14ac:dyDescent="0.25">
      <c r="H11269" s="12"/>
      <c r="I11269" s="12"/>
      <c r="J11269" s="12"/>
      <c r="K11269" s="12"/>
      <c r="L11269" s="12"/>
      <c r="M11269" s="11"/>
      <c r="N11269" s="11"/>
      <c r="O11269" s="11"/>
      <c r="P11269" s="11"/>
    </row>
    <row r="11270" spans="8:16" x14ac:dyDescent="0.25">
      <c r="H11270" s="12"/>
      <c r="I11270" s="12"/>
      <c r="J11270" s="12"/>
      <c r="K11270" s="12"/>
      <c r="L11270" s="12"/>
      <c r="M11270" s="11"/>
      <c r="N11270" s="11"/>
      <c r="O11270" s="11"/>
      <c r="P11270" s="11"/>
    </row>
    <row r="11271" spans="8:16" x14ac:dyDescent="0.25">
      <c r="H11271" s="12"/>
      <c r="I11271" s="12"/>
      <c r="J11271" s="12"/>
      <c r="K11271" s="12"/>
      <c r="L11271" s="12"/>
      <c r="M11271" s="11"/>
      <c r="N11271" s="11"/>
      <c r="O11271" s="11"/>
      <c r="P11271" s="11"/>
    </row>
    <row r="11272" spans="8:16" x14ac:dyDescent="0.25">
      <c r="H11272" s="12"/>
      <c r="I11272" s="12"/>
      <c r="J11272" s="12"/>
      <c r="K11272" s="12"/>
      <c r="L11272" s="12"/>
      <c r="M11272" s="11"/>
      <c r="N11272" s="11"/>
      <c r="O11272" s="11"/>
      <c r="P11272" s="11"/>
    </row>
    <row r="11273" spans="8:16" x14ac:dyDescent="0.25">
      <c r="H11273" s="12"/>
      <c r="I11273" s="12"/>
      <c r="J11273" s="12"/>
      <c r="K11273" s="12"/>
      <c r="L11273" s="12"/>
      <c r="M11273" s="11"/>
      <c r="N11273" s="11"/>
      <c r="O11273" s="11"/>
      <c r="P11273" s="11"/>
    </row>
    <row r="11274" spans="8:16" x14ac:dyDescent="0.25">
      <c r="H11274" s="12"/>
      <c r="I11274" s="12"/>
      <c r="J11274" s="12"/>
      <c r="K11274" s="12"/>
      <c r="L11274" s="12"/>
      <c r="M11274" s="11"/>
      <c r="N11274" s="11"/>
      <c r="O11274" s="11"/>
      <c r="P11274" s="11"/>
    </row>
    <row r="11275" spans="8:16" x14ac:dyDescent="0.25">
      <c r="H11275" s="12"/>
      <c r="I11275" s="12"/>
      <c r="J11275" s="12"/>
      <c r="K11275" s="12"/>
      <c r="L11275" s="12"/>
      <c r="M11275" s="11"/>
      <c r="N11275" s="11"/>
      <c r="O11275" s="11"/>
      <c r="P11275" s="11"/>
    </row>
    <row r="11276" spans="8:16" x14ac:dyDescent="0.25">
      <c r="H11276" s="12"/>
      <c r="I11276" s="12"/>
      <c r="J11276" s="12"/>
      <c r="K11276" s="12"/>
      <c r="L11276" s="12"/>
      <c r="M11276" s="11"/>
      <c r="N11276" s="11"/>
      <c r="O11276" s="11"/>
      <c r="P11276" s="11"/>
    </row>
    <row r="11277" spans="8:16" x14ac:dyDescent="0.25">
      <c r="H11277" s="12"/>
      <c r="I11277" s="12"/>
      <c r="J11277" s="12"/>
      <c r="K11277" s="12"/>
      <c r="L11277" s="12"/>
      <c r="M11277" s="11"/>
      <c r="N11277" s="11"/>
      <c r="O11277" s="11"/>
      <c r="P11277" s="11"/>
    </row>
    <row r="11278" spans="8:16" x14ac:dyDescent="0.25">
      <c r="H11278" s="12"/>
      <c r="I11278" s="12"/>
      <c r="J11278" s="12"/>
      <c r="K11278" s="12"/>
      <c r="L11278" s="12"/>
      <c r="M11278" s="11"/>
      <c r="N11278" s="11"/>
      <c r="O11278" s="11"/>
      <c r="P11278" s="11"/>
    </row>
    <row r="11279" spans="8:16" x14ac:dyDescent="0.25">
      <c r="H11279" s="12"/>
      <c r="I11279" s="12"/>
      <c r="J11279" s="12"/>
      <c r="K11279" s="12"/>
      <c r="L11279" s="12"/>
      <c r="M11279" s="11"/>
      <c r="N11279" s="11"/>
      <c r="O11279" s="11"/>
      <c r="P11279" s="11"/>
    </row>
    <row r="11280" spans="8:16" x14ac:dyDescent="0.25">
      <c r="H11280" s="12"/>
      <c r="I11280" s="12"/>
      <c r="J11280" s="12"/>
      <c r="K11280" s="12"/>
      <c r="L11280" s="12"/>
      <c r="M11280" s="11"/>
      <c r="N11280" s="11"/>
      <c r="O11280" s="11"/>
      <c r="P11280" s="11"/>
    </row>
    <row r="11281" spans="8:16" x14ac:dyDescent="0.25">
      <c r="H11281" s="12"/>
      <c r="I11281" s="12"/>
      <c r="J11281" s="12"/>
      <c r="K11281" s="12"/>
      <c r="L11281" s="12"/>
      <c r="M11281" s="11"/>
      <c r="N11281" s="11"/>
      <c r="O11281" s="11"/>
      <c r="P11281" s="11"/>
    </row>
    <row r="11282" spans="8:16" x14ac:dyDescent="0.25">
      <c r="H11282" s="12"/>
      <c r="I11282" s="12"/>
      <c r="J11282" s="12"/>
      <c r="K11282" s="12"/>
      <c r="L11282" s="12"/>
      <c r="M11282" s="11"/>
      <c r="N11282" s="11"/>
      <c r="O11282" s="11"/>
      <c r="P11282" s="11"/>
    </row>
    <row r="11283" spans="8:16" x14ac:dyDescent="0.25">
      <c r="H11283" s="12"/>
      <c r="I11283" s="12"/>
      <c r="J11283" s="12"/>
      <c r="K11283" s="12"/>
      <c r="L11283" s="12"/>
      <c r="M11283" s="11"/>
      <c r="N11283" s="11"/>
      <c r="O11283" s="11"/>
      <c r="P11283" s="11"/>
    </row>
    <row r="11284" spans="8:16" x14ac:dyDescent="0.25">
      <c r="H11284" s="12"/>
      <c r="I11284" s="12"/>
      <c r="J11284" s="12"/>
      <c r="K11284" s="12"/>
      <c r="L11284" s="12"/>
      <c r="M11284" s="11"/>
      <c r="N11284" s="11"/>
      <c r="O11284" s="11"/>
      <c r="P11284" s="11"/>
    </row>
    <row r="11285" spans="8:16" x14ac:dyDescent="0.25">
      <c r="H11285" s="12"/>
      <c r="I11285" s="12"/>
      <c r="J11285" s="12"/>
      <c r="K11285" s="12"/>
      <c r="L11285" s="12"/>
      <c r="M11285" s="11"/>
      <c r="N11285" s="11"/>
      <c r="O11285" s="11"/>
      <c r="P11285" s="11"/>
    </row>
    <row r="11286" spans="8:16" x14ac:dyDescent="0.25">
      <c r="H11286" s="12"/>
      <c r="I11286" s="12"/>
      <c r="J11286" s="12"/>
      <c r="K11286" s="12"/>
      <c r="L11286" s="12"/>
      <c r="M11286" s="11"/>
      <c r="N11286" s="11"/>
      <c r="O11286" s="11"/>
      <c r="P11286" s="11"/>
    </row>
    <row r="11287" spans="8:16" x14ac:dyDescent="0.25">
      <c r="H11287" s="12"/>
      <c r="I11287" s="12"/>
      <c r="J11287" s="12"/>
      <c r="K11287" s="12"/>
      <c r="L11287" s="12"/>
      <c r="M11287" s="11"/>
      <c r="N11287" s="11"/>
      <c r="O11287" s="11"/>
      <c r="P11287" s="11"/>
    </row>
    <row r="11288" spans="8:16" x14ac:dyDescent="0.25">
      <c r="H11288" s="12"/>
      <c r="I11288" s="12"/>
      <c r="J11288" s="12"/>
      <c r="K11288" s="12"/>
      <c r="L11288" s="12"/>
      <c r="M11288" s="11"/>
      <c r="N11288" s="11"/>
      <c r="O11288" s="11"/>
      <c r="P11288" s="11"/>
    </row>
    <row r="11289" spans="8:16" x14ac:dyDescent="0.25">
      <c r="H11289" s="12"/>
      <c r="I11289" s="12"/>
      <c r="J11289" s="12"/>
      <c r="K11289" s="12"/>
      <c r="L11289" s="12"/>
      <c r="M11289" s="11"/>
      <c r="N11289" s="11"/>
      <c r="O11289" s="11"/>
      <c r="P11289" s="11"/>
    </row>
    <row r="11290" spans="8:16" x14ac:dyDescent="0.25">
      <c r="H11290" s="12"/>
      <c r="I11290" s="12"/>
      <c r="J11290" s="12"/>
      <c r="K11290" s="12"/>
      <c r="L11290" s="12"/>
      <c r="M11290" s="11"/>
      <c r="N11290" s="11"/>
      <c r="O11290" s="11"/>
      <c r="P11290" s="11"/>
    </row>
    <row r="11291" spans="8:16" x14ac:dyDescent="0.25">
      <c r="H11291" s="12"/>
      <c r="I11291" s="12"/>
      <c r="J11291" s="12"/>
      <c r="K11291" s="12"/>
      <c r="L11291" s="12"/>
      <c r="M11291" s="11"/>
      <c r="N11291" s="11"/>
      <c r="O11291" s="11"/>
      <c r="P11291" s="11"/>
    </row>
    <row r="11292" spans="8:16" x14ac:dyDescent="0.25">
      <c r="H11292" s="12"/>
      <c r="I11292" s="12"/>
      <c r="J11292" s="12"/>
      <c r="K11292" s="12"/>
      <c r="L11292" s="12"/>
      <c r="M11292" s="11"/>
      <c r="N11292" s="11"/>
      <c r="O11292" s="11"/>
      <c r="P11292" s="11"/>
    </row>
    <row r="11293" spans="8:16" x14ac:dyDescent="0.25">
      <c r="H11293" s="12"/>
      <c r="I11293" s="12"/>
      <c r="J11293" s="12"/>
      <c r="K11293" s="12"/>
      <c r="L11293" s="12"/>
      <c r="M11293" s="11"/>
      <c r="N11293" s="11"/>
      <c r="O11293" s="11"/>
      <c r="P11293" s="11"/>
    </row>
    <row r="11294" spans="8:16" x14ac:dyDescent="0.25">
      <c r="H11294" s="12"/>
      <c r="I11294" s="12"/>
      <c r="J11294" s="12"/>
      <c r="K11294" s="12"/>
      <c r="L11294" s="12"/>
      <c r="M11294" s="11"/>
      <c r="N11294" s="11"/>
      <c r="O11294" s="11"/>
      <c r="P11294" s="11"/>
    </row>
    <row r="11295" spans="8:16" x14ac:dyDescent="0.25">
      <c r="H11295" s="12"/>
      <c r="I11295" s="12"/>
      <c r="J11295" s="12"/>
      <c r="K11295" s="12"/>
      <c r="L11295" s="12"/>
      <c r="M11295" s="11"/>
      <c r="N11295" s="11"/>
      <c r="O11295" s="11"/>
      <c r="P11295" s="11"/>
    </row>
    <row r="11296" spans="8:16" x14ac:dyDescent="0.25">
      <c r="H11296" s="12"/>
      <c r="I11296" s="12"/>
      <c r="J11296" s="12"/>
      <c r="K11296" s="12"/>
      <c r="L11296" s="12"/>
      <c r="M11296" s="11"/>
      <c r="N11296" s="11"/>
      <c r="O11296" s="11"/>
      <c r="P11296" s="11"/>
    </row>
    <row r="11297" spans="8:16" x14ac:dyDescent="0.25">
      <c r="H11297" s="12"/>
      <c r="I11297" s="12"/>
      <c r="J11297" s="12"/>
      <c r="K11297" s="12"/>
      <c r="L11297" s="12"/>
      <c r="M11297" s="11"/>
      <c r="N11297" s="11"/>
      <c r="O11297" s="11"/>
      <c r="P11297" s="11"/>
    </row>
    <row r="11298" spans="8:16" x14ac:dyDescent="0.25">
      <c r="H11298" s="12"/>
      <c r="I11298" s="12"/>
      <c r="J11298" s="12"/>
      <c r="K11298" s="12"/>
      <c r="L11298" s="12"/>
      <c r="M11298" s="11"/>
      <c r="N11298" s="11"/>
      <c r="O11298" s="11"/>
      <c r="P11298" s="11"/>
    </row>
    <row r="11299" spans="8:16" x14ac:dyDescent="0.25">
      <c r="H11299" s="12"/>
      <c r="I11299" s="12"/>
      <c r="J11299" s="12"/>
      <c r="K11299" s="12"/>
      <c r="L11299" s="12"/>
      <c r="M11299" s="11"/>
      <c r="N11299" s="11"/>
      <c r="O11299" s="11"/>
      <c r="P11299" s="11"/>
    </row>
    <row r="11300" spans="8:16" x14ac:dyDescent="0.25">
      <c r="H11300" s="12"/>
      <c r="I11300" s="12"/>
      <c r="J11300" s="12"/>
      <c r="K11300" s="12"/>
      <c r="L11300" s="12"/>
      <c r="M11300" s="11"/>
      <c r="N11300" s="11"/>
      <c r="O11300" s="11"/>
      <c r="P11300" s="11"/>
    </row>
    <row r="11301" spans="8:16" x14ac:dyDescent="0.25">
      <c r="H11301" s="12"/>
      <c r="I11301" s="12"/>
      <c r="J11301" s="12"/>
      <c r="K11301" s="12"/>
      <c r="L11301" s="12"/>
      <c r="M11301" s="11"/>
      <c r="N11301" s="11"/>
      <c r="O11301" s="11"/>
      <c r="P11301" s="11"/>
    </row>
    <row r="11302" spans="8:16" x14ac:dyDescent="0.25">
      <c r="H11302" s="12"/>
      <c r="I11302" s="12"/>
      <c r="J11302" s="12"/>
      <c r="K11302" s="12"/>
      <c r="L11302" s="12"/>
      <c r="M11302" s="11"/>
      <c r="N11302" s="11"/>
      <c r="O11302" s="11"/>
      <c r="P11302" s="11"/>
    </row>
    <row r="11303" spans="8:16" x14ac:dyDescent="0.25">
      <c r="H11303" s="12"/>
      <c r="I11303" s="12"/>
      <c r="J11303" s="12"/>
      <c r="K11303" s="12"/>
      <c r="L11303" s="12"/>
      <c r="M11303" s="11"/>
      <c r="N11303" s="11"/>
      <c r="O11303" s="11"/>
      <c r="P11303" s="11"/>
    </row>
    <row r="11304" spans="8:16" x14ac:dyDescent="0.25">
      <c r="H11304" s="12"/>
      <c r="I11304" s="12"/>
      <c r="J11304" s="12"/>
      <c r="K11304" s="12"/>
      <c r="L11304" s="12"/>
      <c r="M11304" s="11"/>
      <c r="N11304" s="11"/>
      <c r="O11304" s="11"/>
      <c r="P11304" s="11"/>
    </row>
    <row r="11305" spans="8:16" x14ac:dyDescent="0.25">
      <c r="H11305" s="12"/>
      <c r="I11305" s="12"/>
      <c r="J11305" s="12"/>
      <c r="K11305" s="12"/>
      <c r="L11305" s="12"/>
      <c r="M11305" s="11"/>
      <c r="N11305" s="11"/>
      <c r="O11305" s="11"/>
      <c r="P11305" s="11"/>
    </row>
    <row r="11306" spans="8:16" x14ac:dyDescent="0.25">
      <c r="H11306" s="12"/>
      <c r="I11306" s="12"/>
      <c r="J11306" s="12"/>
      <c r="K11306" s="12"/>
      <c r="L11306" s="12"/>
      <c r="M11306" s="11"/>
      <c r="N11306" s="11"/>
      <c r="O11306" s="11"/>
      <c r="P11306" s="11"/>
    </row>
    <row r="11307" spans="8:16" x14ac:dyDescent="0.25">
      <c r="H11307" s="12"/>
      <c r="I11307" s="12"/>
      <c r="J11307" s="12"/>
      <c r="K11307" s="12"/>
      <c r="L11307" s="12"/>
      <c r="M11307" s="11"/>
      <c r="N11307" s="11"/>
      <c r="O11307" s="11"/>
      <c r="P11307" s="11"/>
    </row>
    <row r="11308" spans="8:16" x14ac:dyDescent="0.25">
      <c r="H11308" s="12"/>
      <c r="I11308" s="12"/>
      <c r="J11308" s="12"/>
      <c r="K11308" s="12"/>
      <c r="L11308" s="12"/>
      <c r="M11308" s="11"/>
      <c r="N11308" s="11"/>
      <c r="O11308" s="11"/>
      <c r="P11308" s="11"/>
    </row>
    <row r="11309" spans="8:16" x14ac:dyDescent="0.25">
      <c r="H11309" s="12"/>
      <c r="I11309" s="12"/>
      <c r="J11309" s="12"/>
      <c r="K11309" s="12"/>
      <c r="L11309" s="12"/>
      <c r="M11309" s="11"/>
      <c r="N11309" s="11"/>
      <c r="O11309" s="11"/>
      <c r="P11309" s="11"/>
    </row>
    <row r="11310" spans="8:16" x14ac:dyDescent="0.25">
      <c r="H11310" s="12"/>
      <c r="I11310" s="12"/>
      <c r="J11310" s="12"/>
      <c r="K11310" s="12"/>
      <c r="L11310" s="12"/>
      <c r="M11310" s="11"/>
      <c r="N11310" s="11"/>
      <c r="O11310" s="11"/>
      <c r="P11310" s="11"/>
    </row>
    <row r="11311" spans="8:16" x14ac:dyDescent="0.25">
      <c r="H11311" s="12"/>
      <c r="I11311" s="12"/>
      <c r="J11311" s="12"/>
      <c r="K11311" s="12"/>
      <c r="L11311" s="12"/>
      <c r="M11311" s="11"/>
      <c r="N11311" s="11"/>
      <c r="O11311" s="11"/>
      <c r="P11311" s="11"/>
    </row>
    <row r="11312" spans="8:16" x14ac:dyDescent="0.25">
      <c r="H11312" s="12"/>
      <c r="I11312" s="12"/>
      <c r="J11312" s="12"/>
      <c r="K11312" s="12"/>
      <c r="L11312" s="12"/>
      <c r="M11312" s="11"/>
      <c r="N11312" s="11"/>
      <c r="O11312" s="11"/>
      <c r="P11312" s="11"/>
    </row>
    <row r="11313" spans="8:16" x14ac:dyDescent="0.25">
      <c r="H11313" s="12"/>
      <c r="I11313" s="12"/>
      <c r="J11313" s="12"/>
      <c r="K11313" s="12"/>
      <c r="L11313" s="12"/>
      <c r="M11313" s="11"/>
      <c r="N11313" s="11"/>
      <c r="O11313" s="11"/>
      <c r="P11313" s="11"/>
    </row>
    <row r="11314" spans="8:16" x14ac:dyDescent="0.25">
      <c r="H11314" s="12"/>
      <c r="I11314" s="12"/>
      <c r="J11314" s="12"/>
      <c r="K11314" s="12"/>
      <c r="L11314" s="12"/>
      <c r="M11314" s="11"/>
      <c r="N11314" s="11"/>
      <c r="O11314" s="11"/>
      <c r="P11314" s="11"/>
    </row>
    <row r="11315" spans="8:16" x14ac:dyDescent="0.25">
      <c r="H11315" s="12"/>
      <c r="I11315" s="12"/>
      <c r="J11315" s="12"/>
      <c r="K11315" s="12"/>
      <c r="L11315" s="12"/>
      <c r="M11315" s="11"/>
      <c r="N11315" s="11"/>
      <c r="O11315" s="11"/>
      <c r="P11315" s="11"/>
    </row>
    <row r="11316" spans="8:16" x14ac:dyDescent="0.25">
      <c r="H11316" s="12"/>
      <c r="I11316" s="12"/>
      <c r="J11316" s="12"/>
      <c r="K11316" s="12"/>
      <c r="L11316" s="12"/>
      <c r="M11316" s="11"/>
      <c r="N11316" s="11"/>
      <c r="O11316" s="11"/>
      <c r="P11316" s="11"/>
    </row>
    <row r="11317" spans="8:16" x14ac:dyDescent="0.25">
      <c r="H11317" s="12"/>
      <c r="I11317" s="12"/>
      <c r="J11317" s="12"/>
      <c r="K11317" s="12"/>
      <c r="L11317" s="12"/>
      <c r="M11317" s="11"/>
      <c r="N11317" s="11"/>
      <c r="O11317" s="11"/>
      <c r="P11317" s="11"/>
    </row>
    <row r="11318" spans="8:16" x14ac:dyDescent="0.25">
      <c r="H11318" s="12"/>
      <c r="I11318" s="12"/>
      <c r="J11318" s="12"/>
      <c r="K11318" s="12"/>
      <c r="L11318" s="12"/>
      <c r="M11318" s="11"/>
      <c r="N11318" s="11"/>
      <c r="O11318" s="11"/>
      <c r="P11318" s="11"/>
    </row>
    <row r="11319" spans="8:16" x14ac:dyDescent="0.25">
      <c r="H11319" s="12"/>
      <c r="I11319" s="12"/>
      <c r="J11319" s="12"/>
      <c r="K11319" s="12"/>
      <c r="L11319" s="12"/>
      <c r="M11319" s="11"/>
      <c r="N11319" s="11"/>
      <c r="O11319" s="11"/>
      <c r="P11319" s="11"/>
    </row>
    <row r="11320" spans="8:16" x14ac:dyDescent="0.25">
      <c r="H11320" s="12"/>
      <c r="I11320" s="12"/>
      <c r="J11320" s="12"/>
      <c r="K11320" s="12"/>
      <c r="L11320" s="12"/>
      <c r="M11320" s="11"/>
      <c r="N11320" s="11"/>
      <c r="O11320" s="11"/>
      <c r="P11320" s="11"/>
    </row>
    <row r="11321" spans="8:16" x14ac:dyDescent="0.25">
      <c r="H11321" s="12"/>
      <c r="I11321" s="12"/>
      <c r="J11321" s="12"/>
      <c r="K11321" s="12"/>
      <c r="L11321" s="12"/>
      <c r="M11321" s="11"/>
      <c r="N11321" s="11"/>
      <c r="O11321" s="11"/>
      <c r="P11321" s="11"/>
    </row>
    <row r="11322" spans="8:16" x14ac:dyDescent="0.25">
      <c r="H11322" s="12"/>
      <c r="I11322" s="12"/>
      <c r="J11322" s="12"/>
      <c r="K11322" s="12"/>
      <c r="L11322" s="12"/>
      <c r="M11322" s="11"/>
      <c r="N11322" s="11"/>
      <c r="O11322" s="11"/>
      <c r="P11322" s="11"/>
    </row>
    <row r="11323" spans="8:16" x14ac:dyDescent="0.25">
      <c r="H11323" s="12"/>
      <c r="I11323" s="12"/>
      <c r="J11323" s="12"/>
      <c r="K11323" s="12"/>
      <c r="L11323" s="12"/>
      <c r="M11323" s="11"/>
      <c r="N11323" s="11"/>
      <c r="O11323" s="11"/>
      <c r="P11323" s="11"/>
    </row>
    <row r="11324" spans="8:16" x14ac:dyDescent="0.25">
      <c r="H11324" s="12"/>
      <c r="I11324" s="12"/>
      <c r="J11324" s="12"/>
      <c r="K11324" s="12"/>
      <c r="L11324" s="12"/>
      <c r="M11324" s="11"/>
      <c r="N11324" s="11"/>
      <c r="O11324" s="11"/>
      <c r="P11324" s="11"/>
    </row>
    <row r="11325" spans="8:16" x14ac:dyDescent="0.25">
      <c r="H11325" s="12"/>
      <c r="I11325" s="12"/>
      <c r="J11325" s="12"/>
      <c r="K11325" s="12"/>
      <c r="L11325" s="12"/>
      <c r="M11325" s="11"/>
      <c r="N11325" s="11"/>
      <c r="O11325" s="11"/>
      <c r="P11325" s="11"/>
    </row>
    <row r="11326" spans="8:16" x14ac:dyDescent="0.25">
      <c r="H11326" s="12"/>
      <c r="I11326" s="12"/>
      <c r="J11326" s="12"/>
      <c r="K11326" s="12"/>
      <c r="L11326" s="12"/>
      <c r="M11326" s="11"/>
      <c r="N11326" s="11"/>
      <c r="O11326" s="11"/>
      <c r="P11326" s="11"/>
    </row>
    <row r="11327" spans="8:16" x14ac:dyDescent="0.25">
      <c r="H11327" s="12"/>
      <c r="I11327" s="12"/>
      <c r="J11327" s="12"/>
      <c r="K11327" s="12"/>
      <c r="L11327" s="12"/>
      <c r="M11327" s="11"/>
      <c r="N11327" s="11"/>
      <c r="O11327" s="11"/>
      <c r="P11327" s="11"/>
    </row>
    <row r="11328" spans="8:16" x14ac:dyDescent="0.25">
      <c r="H11328" s="12"/>
      <c r="I11328" s="12"/>
      <c r="J11328" s="12"/>
      <c r="K11328" s="12"/>
      <c r="L11328" s="12"/>
      <c r="M11328" s="11"/>
      <c r="N11328" s="11"/>
      <c r="O11328" s="11"/>
      <c r="P11328" s="11"/>
    </row>
    <row r="11329" spans="8:16" x14ac:dyDescent="0.25">
      <c r="H11329" s="12"/>
      <c r="I11329" s="12"/>
      <c r="J11329" s="12"/>
      <c r="K11329" s="12"/>
      <c r="L11329" s="12"/>
      <c r="M11329" s="11"/>
      <c r="N11329" s="11"/>
      <c r="O11329" s="11"/>
      <c r="P11329" s="11"/>
    </row>
    <row r="11330" spans="8:16" x14ac:dyDescent="0.25">
      <c r="H11330" s="12"/>
      <c r="I11330" s="12"/>
      <c r="J11330" s="12"/>
      <c r="K11330" s="12"/>
      <c r="L11330" s="12"/>
      <c r="M11330" s="11"/>
      <c r="N11330" s="11"/>
      <c r="O11330" s="11"/>
      <c r="P11330" s="11"/>
    </row>
    <row r="11331" spans="8:16" x14ac:dyDescent="0.25">
      <c r="H11331" s="12"/>
      <c r="I11331" s="12"/>
      <c r="J11331" s="12"/>
      <c r="K11331" s="12"/>
      <c r="L11331" s="12"/>
      <c r="M11331" s="11"/>
      <c r="N11331" s="11"/>
      <c r="O11331" s="11"/>
      <c r="P11331" s="11"/>
    </row>
    <row r="11332" spans="8:16" x14ac:dyDescent="0.25">
      <c r="H11332" s="12"/>
      <c r="I11332" s="12"/>
      <c r="J11332" s="12"/>
      <c r="K11332" s="12"/>
      <c r="L11332" s="12"/>
      <c r="M11332" s="11"/>
      <c r="N11332" s="11"/>
      <c r="O11332" s="11"/>
      <c r="P11332" s="11"/>
    </row>
    <row r="11333" spans="8:16" x14ac:dyDescent="0.25">
      <c r="H11333" s="12"/>
      <c r="I11333" s="12"/>
      <c r="J11333" s="12"/>
      <c r="K11333" s="12"/>
      <c r="L11333" s="12"/>
      <c r="M11333" s="11"/>
      <c r="N11333" s="11"/>
      <c r="O11333" s="11"/>
      <c r="P11333" s="11"/>
    </row>
    <row r="11334" spans="8:16" x14ac:dyDescent="0.25">
      <c r="H11334" s="12"/>
      <c r="I11334" s="12"/>
      <c r="J11334" s="12"/>
      <c r="K11334" s="12"/>
      <c r="L11334" s="12"/>
      <c r="M11334" s="11"/>
      <c r="N11334" s="11"/>
      <c r="O11334" s="11"/>
      <c r="P11334" s="11"/>
    </row>
    <row r="11335" spans="8:16" x14ac:dyDescent="0.25">
      <c r="H11335" s="12"/>
      <c r="I11335" s="12"/>
      <c r="J11335" s="12"/>
      <c r="K11335" s="12"/>
      <c r="L11335" s="12"/>
      <c r="M11335" s="11"/>
      <c r="N11335" s="11"/>
      <c r="O11335" s="11"/>
      <c r="P11335" s="11"/>
    </row>
    <row r="11336" spans="8:16" x14ac:dyDescent="0.25">
      <c r="H11336" s="12"/>
      <c r="I11336" s="12"/>
      <c r="J11336" s="12"/>
      <c r="K11336" s="12"/>
      <c r="L11336" s="12"/>
      <c r="M11336" s="11"/>
      <c r="N11336" s="11"/>
      <c r="O11336" s="11"/>
      <c r="P11336" s="11"/>
    </row>
    <row r="11337" spans="8:16" x14ac:dyDescent="0.25">
      <c r="H11337" s="12"/>
      <c r="I11337" s="12"/>
      <c r="J11337" s="12"/>
      <c r="K11337" s="12"/>
      <c r="L11337" s="12"/>
      <c r="M11337" s="11"/>
      <c r="N11337" s="11"/>
      <c r="O11337" s="11"/>
      <c r="P11337" s="11"/>
    </row>
    <row r="11338" spans="8:16" x14ac:dyDescent="0.25">
      <c r="H11338" s="12"/>
      <c r="I11338" s="12"/>
      <c r="J11338" s="12"/>
      <c r="K11338" s="12"/>
      <c r="L11338" s="12"/>
      <c r="M11338" s="11"/>
      <c r="N11338" s="11"/>
      <c r="O11338" s="11"/>
      <c r="P11338" s="11"/>
    </row>
    <row r="11339" spans="8:16" x14ac:dyDescent="0.25">
      <c r="H11339" s="12"/>
      <c r="I11339" s="12"/>
      <c r="J11339" s="12"/>
      <c r="K11339" s="12"/>
      <c r="L11339" s="12"/>
      <c r="M11339" s="11"/>
      <c r="N11339" s="11"/>
      <c r="O11339" s="11"/>
      <c r="P11339" s="11"/>
    </row>
    <row r="11340" spans="8:16" x14ac:dyDescent="0.25">
      <c r="H11340" s="12"/>
      <c r="I11340" s="12"/>
      <c r="J11340" s="12"/>
      <c r="K11340" s="12"/>
      <c r="L11340" s="12"/>
      <c r="M11340" s="11"/>
      <c r="N11340" s="11"/>
      <c r="O11340" s="11"/>
      <c r="P11340" s="11"/>
    </row>
    <row r="11341" spans="8:16" x14ac:dyDescent="0.25">
      <c r="H11341" s="12"/>
      <c r="I11341" s="12"/>
      <c r="J11341" s="12"/>
      <c r="K11341" s="12"/>
      <c r="L11341" s="12"/>
      <c r="M11341" s="11"/>
      <c r="N11341" s="11"/>
      <c r="O11341" s="11"/>
      <c r="P11341" s="11"/>
    </row>
    <row r="11342" spans="8:16" x14ac:dyDescent="0.25">
      <c r="H11342" s="12"/>
      <c r="I11342" s="12"/>
      <c r="J11342" s="12"/>
      <c r="K11342" s="12"/>
      <c r="L11342" s="12"/>
      <c r="M11342" s="11"/>
      <c r="N11342" s="11"/>
      <c r="O11342" s="11"/>
      <c r="P11342" s="11"/>
    </row>
    <row r="11343" spans="8:16" x14ac:dyDescent="0.25">
      <c r="H11343" s="12"/>
      <c r="I11343" s="12"/>
      <c r="J11343" s="12"/>
      <c r="K11343" s="12"/>
      <c r="L11343" s="12"/>
      <c r="M11343" s="11"/>
      <c r="N11343" s="11"/>
      <c r="O11343" s="11"/>
      <c r="P11343" s="11"/>
    </row>
    <row r="11344" spans="8:16" x14ac:dyDescent="0.25">
      <c r="H11344" s="12"/>
      <c r="I11344" s="12"/>
      <c r="J11344" s="12"/>
      <c r="K11344" s="12"/>
      <c r="L11344" s="12"/>
      <c r="M11344" s="11"/>
      <c r="N11344" s="11"/>
      <c r="O11344" s="11"/>
      <c r="P11344" s="11"/>
    </row>
    <row r="11345" spans="8:16" x14ac:dyDescent="0.25">
      <c r="H11345" s="12"/>
      <c r="I11345" s="12"/>
      <c r="J11345" s="12"/>
      <c r="K11345" s="12"/>
      <c r="L11345" s="12"/>
      <c r="M11345" s="11"/>
      <c r="N11345" s="11"/>
      <c r="O11345" s="11"/>
      <c r="P11345" s="11"/>
    </row>
    <row r="11346" spans="8:16" x14ac:dyDescent="0.25">
      <c r="H11346" s="12"/>
      <c r="I11346" s="12"/>
      <c r="J11346" s="12"/>
      <c r="K11346" s="12"/>
      <c r="L11346" s="12"/>
      <c r="M11346" s="11"/>
      <c r="N11346" s="11"/>
      <c r="O11346" s="11"/>
      <c r="P11346" s="11"/>
    </row>
    <row r="11347" spans="8:16" x14ac:dyDescent="0.25">
      <c r="H11347" s="12"/>
      <c r="I11347" s="12"/>
      <c r="J11347" s="12"/>
      <c r="K11347" s="12"/>
      <c r="L11347" s="12"/>
      <c r="M11347" s="11"/>
      <c r="N11347" s="11"/>
      <c r="O11347" s="11"/>
      <c r="P11347" s="11"/>
    </row>
    <row r="11348" spans="8:16" x14ac:dyDescent="0.25">
      <c r="H11348" s="12"/>
      <c r="I11348" s="12"/>
      <c r="J11348" s="12"/>
      <c r="K11348" s="12"/>
      <c r="L11348" s="12"/>
      <c r="M11348" s="11"/>
      <c r="N11348" s="11"/>
      <c r="O11348" s="11"/>
      <c r="P11348" s="11"/>
    </row>
    <row r="11349" spans="8:16" x14ac:dyDescent="0.25">
      <c r="H11349" s="12"/>
      <c r="I11349" s="12"/>
      <c r="J11349" s="12"/>
      <c r="K11349" s="12"/>
      <c r="L11349" s="12"/>
      <c r="M11349" s="11"/>
      <c r="N11349" s="11"/>
      <c r="O11349" s="11"/>
      <c r="P11349" s="11"/>
    </row>
    <row r="11350" spans="8:16" x14ac:dyDescent="0.25">
      <c r="H11350" s="12"/>
      <c r="I11350" s="12"/>
      <c r="J11350" s="12"/>
      <c r="K11350" s="12"/>
      <c r="L11350" s="12"/>
      <c r="M11350" s="11"/>
      <c r="N11350" s="11"/>
      <c r="O11350" s="11"/>
      <c r="P11350" s="11"/>
    </row>
    <row r="11351" spans="8:16" x14ac:dyDescent="0.25">
      <c r="H11351" s="12"/>
      <c r="I11351" s="12"/>
      <c r="J11351" s="12"/>
      <c r="K11351" s="12"/>
      <c r="L11351" s="12"/>
      <c r="M11351" s="11"/>
      <c r="N11351" s="11"/>
      <c r="O11351" s="11"/>
      <c r="P11351" s="11"/>
    </row>
    <row r="11352" spans="8:16" x14ac:dyDescent="0.25">
      <c r="H11352" s="12"/>
      <c r="I11352" s="12"/>
      <c r="J11352" s="12"/>
      <c r="K11352" s="12"/>
      <c r="L11352" s="12"/>
      <c r="M11352" s="11"/>
      <c r="N11352" s="11"/>
      <c r="O11352" s="11"/>
      <c r="P11352" s="11"/>
    </row>
    <row r="11353" spans="8:16" x14ac:dyDescent="0.25">
      <c r="H11353" s="12"/>
      <c r="I11353" s="12"/>
      <c r="J11353" s="12"/>
      <c r="K11353" s="12"/>
      <c r="L11353" s="12"/>
      <c r="M11353" s="11"/>
      <c r="N11353" s="11"/>
      <c r="O11353" s="11"/>
      <c r="P11353" s="11"/>
    </row>
    <row r="11354" spans="8:16" x14ac:dyDescent="0.25">
      <c r="H11354" s="12"/>
      <c r="I11354" s="12"/>
      <c r="J11354" s="12"/>
      <c r="K11354" s="12"/>
      <c r="L11354" s="12"/>
      <c r="M11354" s="11"/>
      <c r="N11354" s="11"/>
      <c r="O11354" s="11"/>
      <c r="P11354" s="11"/>
    </row>
    <row r="11355" spans="8:16" x14ac:dyDescent="0.25">
      <c r="H11355" s="12"/>
      <c r="I11355" s="12"/>
      <c r="J11355" s="12"/>
      <c r="K11355" s="12"/>
      <c r="L11355" s="12"/>
      <c r="M11355" s="11"/>
      <c r="N11355" s="11"/>
      <c r="O11355" s="11"/>
      <c r="P11355" s="11"/>
    </row>
    <row r="11356" spans="8:16" x14ac:dyDescent="0.25">
      <c r="H11356" s="12"/>
      <c r="I11356" s="12"/>
      <c r="J11356" s="12"/>
      <c r="K11356" s="12"/>
      <c r="L11356" s="12"/>
      <c r="M11356" s="11"/>
      <c r="N11356" s="11"/>
      <c r="O11356" s="11"/>
      <c r="P11356" s="11"/>
    </row>
    <row r="11357" spans="8:16" x14ac:dyDescent="0.25">
      <c r="H11357" s="12"/>
      <c r="I11357" s="12"/>
      <c r="J11357" s="12"/>
      <c r="K11357" s="12"/>
      <c r="L11357" s="12"/>
      <c r="M11357" s="11"/>
      <c r="N11357" s="11"/>
      <c r="O11357" s="11"/>
      <c r="P11357" s="11"/>
    </row>
    <row r="11358" spans="8:16" x14ac:dyDescent="0.25">
      <c r="H11358" s="12"/>
      <c r="I11358" s="12"/>
      <c r="J11358" s="12"/>
      <c r="K11358" s="12"/>
      <c r="L11358" s="12"/>
      <c r="M11358" s="11"/>
      <c r="N11358" s="11"/>
      <c r="O11358" s="11"/>
      <c r="P11358" s="11"/>
    </row>
    <row r="11359" spans="8:16" x14ac:dyDescent="0.25">
      <c r="H11359" s="12"/>
      <c r="I11359" s="12"/>
      <c r="J11359" s="12"/>
      <c r="K11359" s="12"/>
      <c r="L11359" s="12"/>
      <c r="M11359" s="11"/>
      <c r="N11359" s="11"/>
      <c r="O11359" s="11"/>
      <c r="P11359" s="11"/>
    </row>
    <row r="11360" spans="8:16" x14ac:dyDescent="0.25">
      <c r="H11360" s="12"/>
      <c r="I11360" s="12"/>
      <c r="J11360" s="12"/>
      <c r="K11360" s="12"/>
      <c r="L11360" s="12"/>
      <c r="M11360" s="11"/>
      <c r="N11360" s="11"/>
      <c r="O11360" s="11"/>
      <c r="P11360" s="11"/>
    </row>
    <row r="11361" spans="8:16" x14ac:dyDescent="0.25">
      <c r="H11361" s="12"/>
      <c r="I11361" s="12"/>
      <c r="J11361" s="12"/>
      <c r="K11361" s="12"/>
      <c r="L11361" s="12"/>
      <c r="M11361" s="11"/>
      <c r="N11361" s="11"/>
      <c r="O11361" s="11"/>
      <c r="P11361" s="11"/>
    </row>
    <row r="11362" spans="8:16" x14ac:dyDescent="0.25">
      <c r="H11362" s="12"/>
      <c r="I11362" s="12"/>
      <c r="J11362" s="12"/>
      <c r="K11362" s="12"/>
      <c r="L11362" s="12"/>
      <c r="M11362" s="11"/>
      <c r="N11362" s="11"/>
      <c r="O11362" s="11"/>
      <c r="P11362" s="11"/>
    </row>
    <row r="11363" spans="8:16" x14ac:dyDescent="0.25">
      <c r="H11363" s="12"/>
      <c r="I11363" s="12"/>
      <c r="J11363" s="12"/>
      <c r="K11363" s="12"/>
      <c r="L11363" s="12"/>
      <c r="M11363" s="11"/>
      <c r="N11363" s="11"/>
      <c r="O11363" s="11"/>
      <c r="P11363" s="11"/>
    </row>
    <row r="11364" spans="8:16" x14ac:dyDescent="0.25">
      <c r="H11364" s="12"/>
      <c r="I11364" s="12"/>
      <c r="J11364" s="12"/>
      <c r="K11364" s="12"/>
      <c r="L11364" s="12"/>
      <c r="M11364" s="11"/>
      <c r="N11364" s="11"/>
      <c r="O11364" s="11"/>
      <c r="P11364" s="11"/>
    </row>
    <row r="11365" spans="8:16" x14ac:dyDescent="0.25">
      <c r="H11365" s="12"/>
      <c r="I11365" s="12"/>
      <c r="J11365" s="12"/>
      <c r="K11365" s="12"/>
      <c r="L11365" s="12"/>
      <c r="M11365" s="11"/>
      <c r="N11365" s="11"/>
      <c r="O11365" s="11"/>
      <c r="P11365" s="11"/>
    </row>
    <row r="11366" spans="8:16" x14ac:dyDescent="0.25">
      <c r="H11366" s="12"/>
      <c r="I11366" s="12"/>
      <c r="J11366" s="12"/>
      <c r="K11366" s="12"/>
      <c r="L11366" s="12"/>
      <c r="M11366" s="11"/>
      <c r="N11366" s="11"/>
      <c r="O11366" s="11"/>
      <c r="P11366" s="11"/>
    </row>
    <row r="11367" spans="8:16" x14ac:dyDescent="0.25">
      <c r="H11367" s="12"/>
      <c r="I11367" s="12"/>
      <c r="J11367" s="12"/>
      <c r="K11367" s="12"/>
      <c r="L11367" s="12"/>
      <c r="M11367" s="11"/>
      <c r="N11367" s="11"/>
      <c r="O11367" s="11"/>
      <c r="P11367" s="11"/>
    </row>
    <row r="11368" spans="8:16" x14ac:dyDescent="0.25">
      <c r="H11368" s="12"/>
      <c r="I11368" s="12"/>
      <c r="J11368" s="12"/>
      <c r="K11368" s="12"/>
      <c r="L11368" s="12"/>
      <c r="M11368" s="11"/>
      <c r="N11368" s="11"/>
      <c r="O11368" s="11"/>
      <c r="P11368" s="11"/>
    </row>
    <row r="11369" spans="8:16" x14ac:dyDescent="0.25">
      <c r="H11369" s="12"/>
      <c r="I11369" s="12"/>
      <c r="J11369" s="12"/>
      <c r="K11369" s="12"/>
      <c r="L11369" s="12"/>
      <c r="M11369" s="11"/>
      <c r="N11369" s="11"/>
      <c r="O11369" s="11"/>
      <c r="P11369" s="11"/>
    </row>
    <row r="11370" spans="8:16" x14ac:dyDescent="0.25">
      <c r="H11370" s="12"/>
      <c r="I11370" s="12"/>
      <c r="J11370" s="12"/>
      <c r="K11370" s="12"/>
      <c r="L11370" s="12"/>
      <c r="M11370" s="11"/>
      <c r="N11370" s="11"/>
      <c r="O11370" s="11"/>
      <c r="P11370" s="11"/>
    </row>
    <row r="11371" spans="8:16" x14ac:dyDescent="0.25">
      <c r="H11371" s="12"/>
      <c r="I11371" s="12"/>
      <c r="J11371" s="12"/>
      <c r="K11371" s="12"/>
      <c r="L11371" s="12"/>
      <c r="M11371" s="11"/>
      <c r="N11371" s="11"/>
      <c r="O11371" s="11"/>
      <c r="P11371" s="11"/>
    </row>
    <row r="11372" spans="8:16" x14ac:dyDescent="0.25">
      <c r="H11372" s="12"/>
      <c r="I11372" s="12"/>
      <c r="J11372" s="12"/>
      <c r="K11372" s="12"/>
      <c r="L11372" s="12"/>
      <c r="M11372" s="11"/>
      <c r="N11372" s="11"/>
      <c r="O11372" s="11"/>
      <c r="P11372" s="11"/>
    </row>
    <row r="11373" spans="8:16" x14ac:dyDescent="0.25">
      <c r="H11373" s="12"/>
      <c r="I11373" s="12"/>
      <c r="J11373" s="12"/>
      <c r="K11373" s="12"/>
      <c r="L11373" s="12"/>
      <c r="M11373" s="11"/>
      <c r="N11373" s="11"/>
      <c r="O11373" s="11"/>
      <c r="P11373" s="11"/>
    </row>
    <row r="11374" spans="8:16" x14ac:dyDescent="0.25">
      <c r="H11374" s="12"/>
      <c r="I11374" s="12"/>
      <c r="J11374" s="12"/>
      <c r="K11374" s="12"/>
      <c r="L11374" s="12"/>
      <c r="M11374" s="11"/>
      <c r="N11374" s="11"/>
      <c r="O11374" s="11"/>
      <c r="P11374" s="11"/>
    </row>
    <row r="11375" spans="8:16" x14ac:dyDescent="0.25">
      <c r="H11375" s="12"/>
      <c r="I11375" s="12"/>
      <c r="J11375" s="12"/>
      <c r="K11375" s="12"/>
      <c r="L11375" s="12"/>
      <c r="M11375" s="11"/>
      <c r="N11375" s="11"/>
      <c r="O11375" s="11"/>
      <c r="P11375" s="11"/>
    </row>
    <row r="11376" spans="8:16" x14ac:dyDescent="0.25">
      <c r="H11376" s="12"/>
      <c r="I11376" s="12"/>
      <c r="J11376" s="12"/>
      <c r="K11376" s="12"/>
      <c r="L11376" s="12"/>
      <c r="M11376" s="11"/>
      <c r="N11376" s="11"/>
      <c r="O11376" s="11"/>
      <c r="P11376" s="11"/>
    </row>
    <row r="11377" spans="8:16" x14ac:dyDescent="0.25">
      <c r="H11377" s="12"/>
      <c r="I11377" s="12"/>
      <c r="J11377" s="12"/>
      <c r="K11377" s="12"/>
      <c r="L11377" s="12"/>
      <c r="M11377" s="11"/>
      <c r="N11377" s="11"/>
      <c r="O11377" s="11"/>
      <c r="P11377" s="11"/>
    </row>
    <row r="11378" spans="8:16" x14ac:dyDescent="0.25">
      <c r="H11378" s="12"/>
      <c r="I11378" s="12"/>
      <c r="J11378" s="12"/>
      <c r="K11378" s="12"/>
      <c r="L11378" s="12"/>
      <c r="M11378" s="11"/>
      <c r="N11378" s="11"/>
      <c r="O11378" s="11"/>
      <c r="P11378" s="11"/>
    </row>
    <row r="11379" spans="8:16" x14ac:dyDescent="0.25">
      <c r="H11379" s="12"/>
      <c r="I11379" s="12"/>
      <c r="J11379" s="12"/>
      <c r="K11379" s="12"/>
      <c r="L11379" s="12"/>
      <c r="M11379" s="11"/>
      <c r="N11379" s="11"/>
      <c r="O11379" s="11"/>
      <c r="P11379" s="11"/>
    </row>
    <row r="11380" spans="8:16" x14ac:dyDescent="0.25">
      <c r="H11380" s="12"/>
      <c r="I11380" s="12"/>
      <c r="J11380" s="12"/>
      <c r="K11380" s="12"/>
      <c r="L11380" s="12"/>
      <c r="M11380" s="11"/>
      <c r="N11380" s="11"/>
      <c r="O11380" s="11"/>
      <c r="P11380" s="11"/>
    </row>
    <row r="11381" spans="8:16" x14ac:dyDescent="0.25">
      <c r="H11381" s="12"/>
      <c r="I11381" s="12"/>
      <c r="J11381" s="12"/>
      <c r="K11381" s="12"/>
      <c r="L11381" s="12"/>
      <c r="M11381" s="11"/>
      <c r="N11381" s="11"/>
      <c r="O11381" s="11"/>
      <c r="P11381" s="11"/>
    </row>
    <row r="11382" spans="8:16" x14ac:dyDescent="0.25">
      <c r="H11382" s="12"/>
      <c r="I11382" s="12"/>
      <c r="J11382" s="12"/>
      <c r="K11382" s="12"/>
      <c r="L11382" s="12"/>
      <c r="M11382" s="11"/>
      <c r="N11382" s="11"/>
      <c r="O11382" s="11"/>
      <c r="P11382" s="11"/>
    </row>
    <row r="11383" spans="8:16" x14ac:dyDescent="0.25">
      <c r="H11383" s="12"/>
      <c r="I11383" s="12"/>
      <c r="J11383" s="12"/>
      <c r="K11383" s="12"/>
      <c r="L11383" s="12"/>
      <c r="M11383" s="11"/>
      <c r="N11383" s="11"/>
      <c r="O11383" s="11"/>
      <c r="P11383" s="11"/>
    </row>
    <row r="11384" spans="8:16" x14ac:dyDescent="0.25">
      <c r="H11384" s="12"/>
      <c r="I11384" s="12"/>
      <c r="J11384" s="12"/>
      <c r="K11384" s="12"/>
      <c r="L11384" s="12"/>
      <c r="M11384" s="11"/>
      <c r="N11384" s="11"/>
      <c r="O11384" s="11"/>
      <c r="P11384" s="11"/>
    </row>
    <row r="11385" spans="8:16" x14ac:dyDescent="0.25">
      <c r="H11385" s="12"/>
      <c r="I11385" s="12"/>
      <c r="J11385" s="12"/>
      <c r="K11385" s="12"/>
      <c r="L11385" s="12"/>
      <c r="M11385" s="11"/>
      <c r="N11385" s="11"/>
      <c r="O11385" s="11"/>
      <c r="P11385" s="11"/>
    </row>
    <row r="11386" spans="8:16" x14ac:dyDescent="0.25">
      <c r="H11386" s="12"/>
      <c r="I11386" s="12"/>
      <c r="J11386" s="12"/>
      <c r="K11386" s="12"/>
      <c r="L11386" s="12"/>
      <c r="M11386" s="11"/>
      <c r="N11386" s="11"/>
      <c r="O11386" s="11"/>
      <c r="P11386" s="11"/>
    </row>
    <row r="11387" spans="8:16" x14ac:dyDescent="0.25">
      <c r="H11387" s="12"/>
      <c r="I11387" s="12"/>
      <c r="J11387" s="12"/>
      <c r="K11387" s="12"/>
      <c r="L11387" s="12"/>
      <c r="M11387" s="11"/>
      <c r="N11387" s="11"/>
      <c r="O11387" s="11"/>
      <c r="P11387" s="11"/>
    </row>
    <row r="11388" spans="8:16" x14ac:dyDescent="0.25">
      <c r="H11388" s="12"/>
      <c r="I11388" s="12"/>
      <c r="J11388" s="12"/>
      <c r="K11388" s="12"/>
      <c r="L11388" s="12"/>
      <c r="M11388" s="11"/>
      <c r="N11388" s="11"/>
      <c r="O11388" s="11"/>
      <c r="P11388" s="11"/>
    </row>
    <row r="11389" spans="8:16" x14ac:dyDescent="0.25">
      <c r="H11389" s="12"/>
      <c r="I11389" s="12"/>
      <c r="J11389" s="12"/>
      <c r="K11389" s="12"/>
      <c r="L11389" s="12"/>
      <c r="M11389" s="11"/>
      <c r="N11389" s="11"/>
      <c r="O11389" s="11"/>
      <c r="P11389" s="11"/>
    </row>
    <row r="11390" spans="8:16" x14ac:dyDescent="0.25">
      <c r="H11390" s="12"/>
      <c r="I11390" s="12"/>
      <c r="J11390" s="12"/>
      <c r="K11390" s="12"/>
      <c r="L11390" s="12"/>
      <c r="M11390" s="11"/>
      <c r="N11390" s="11"/>
      <c r="O11390" s="11"/>
      <c r="P11390" s="11"/>
    </row>
    <row r="11391" spans="8:16" x14ac:dyDescent="0.25">
      <c r="H11391" s="12"/>
      <c r="I11391" s="12"/>
      <c r="J11391" s="12"/>
      <c r="K11391" s="12"/>
      <c r="L11391" s="12"/>
      <c r="M11391" s="11"/>
      <c r="N11391" s="11"/>
      <c r="O11391" s="11"/>
      <c r="P11391" s="11"/>
    </row>
    <row r="11392" spans="8:16" x14ac:dyDescent="0.25">
      <c r="H11392" s="12"/>
      <c r="I11392" s="12"/>
      <c r="J11392" s="12"/>
      <c r="K11392" s="12"/>
      <c r="L11392" s="12"/>
      <c r="M11392" s="11"/>
      <c r="N11392" s="11"/>
      <c r="O11392" s="11"/>
      <c r="P11392" s="11"/>
    </row>
    <row r="11393" spans="8:16" x14ac:dyDescent="0.25">
      <c r="H11393" s="12"/>
      <c r="I11393" s="12"/>
      <c r="J11393" s="12"/>
      <c r="K11393" s="12"/>
      <c r="L11393" s="12"/>
      <c r="M11393" s="11"/>
      <c r="N11393" s="11"/>
      <c r="O11393" s="11"/>
      <c r="P11393" s="11"/>
    </row>
    <row r="11394" spans="8:16" x14ac:dyDescent="0.25">
      <c r="H11394" s="12"/>
      <c r="I11394" s="12"/>
      <c r="J11394" s="12"/>
      <c r="K11394" s="12"/>
      <c r="L11394" s="12"/>
      <c r="M11394" s="11"/>
      <c r="N11394" s="11"/>
      <c r="O11394" s="11"/>
      <c r="P11394" s="11"/>
    </row>
    <row r="11395" spans="8:16" x14ac:dyDescent="0.25">
      <c r="H11395" s="12"/>
      <c r="I11395" s="12"/>
      <c r="J11395" s="12"/>
      <c r="K11395" s="12"/>
      <c r="L11395" s="12"/>
      <c r="M11395" s="11"/>
      <c r="N11395" s="11"/>
      <c r="O11395" s="11"/>
      <c r="P11395" s="11"/>
    </row>
    <row r="11396" spans="8:16" x14ac:dyDescent="0.25">
      <c r="H11396" s="12"/>
      <c r="I11396" s="12"/>
      <c r="J11396" s="12"/>
      <c r="K11396" s="12"/>
      <c r="L11396" s="12"/>
      <c r="M11396" s="11"/>
      <c r="N11396" s="11"/>
      <c r="O11396" s="11"/>
      <c r="P11396" s="11"/>
    </row>
    <row r="11397" spans="8:16" x14ac:dyDescent="0.25">
      <c r="H11397" s="12"/>
      <c r="I11397" s="12"/>
      <c r="J11397" s="12"/>
      <c r="K11397" s="12"/>
      <c r="L11397" s="12"/>
      <c r="M11397" s="11"/>
      <c r="N11397" s="11"/>
      <c r="O11397" s="11"/>
      <c r="P11397" s="11"/>
    </row>
    <row r="11398" spans="8:16" x14ac:dyDescent="0.25">
      <c r="H11398" s="12"/>
      <c r="I11398" s="12"/>
      <c r="J11398" s="12"/>
      <c r="K11398" s="12"/>
      <c r="L11398" s="12"/>
      <c r="M11398" s="11"/>
      <c r="N11398" s="11"/>
      <c r="O11398" s="11"/>
      <c r="P11398" s="11"/>
    </row>
    <row r="11399" spans="8:16" x14ac:dyDescent="0.25">
      <c r="H11399" s="12"/>
      <c r="I11399" s="12"/>
      <c r="J11399" s="12"/>
      <c r="K11399" s="12"/>
      <c r="L11399" s="12"/>
      <c r="M11399" s="11"/>
      <c r="N11399" s="11"/>
      <c r="O11399" s="11"/>
      <c r="P11399" s="11"/>
    </row>
    <row r="11400" spans="8:16" x14ac:dyDescent="0.25">
      <c r="H11400" s="12"/>
      <c r="I11400" s="12"/>
      <c r="J11400" s="12"/>
      <c r="K11400" s="12"/>
      <c r="L11400" s="12"/>
      <c r="M11400" s="11"/>
      <c r="N11400" s="11"/>
      <c r="O11400" s="11"/>
      <c r="P11400" s="11"/>
    </row>
    <row r="11401" spans="8:16" x14ac:dyDescent="0.25">
      <c r="H11401" s="12"/>
      <c r="I11401" s="12"/>
      <c r="J11401" s="12"/>
      <c r="K11401" s="12"/>
      <c r="L11401" s="12"/>
      <c r="M11401" s="11"/>
      <c r="N11401" s="11"/>
      <c r="O11401" s="11"/>
      <c r="P11401" s="11"/>
    </row>
    <row r="11402" spans="8:16" x14ac:dyDescent="0.25">
      <c r="H11402" s="12"/>
      <c r="I11402" s="12"/>
      <c r="J11402" s="12"/>
      <c r="K11402" s="12"/>
      <c r="L11402" s="12"/>
      <c r="M11402" s="11"/>
      <c r="N11402" s="11"/>
      <c r="O11402" s="11"/>
      <c r="P11402" s="11"/>
    </row>
    <row r="11403" spans="8:16" x14ac:dyDescent="0.25">
      <c r="H11403" s="12"/>
      <c r="I11403" s="12"/>
      <c r="J11403" s="12"/>
      <c r="K11403" s="12"/>
      <c r="L11403" s="12"/>
      <c r="M11403" s="11"/>
      <c r="N11403" s="11"/>
      <c r="O11403" s="11"/>
      <c r="P11403" s="11"/>
    </row>
    <row r="11404" spans="8:16" x14ac:dyDescent="0.25">
      <c r="H11404" s="12"/>
      <c r="I11404" s="12"/>
      <c r="J11404" s="12"/>
      <c r="K11404" s="12"/>
      <c r="L11404" s="12"/>
      <c r="M11404" s="11"/>
      <c r="N11404" s="11"/>
      <c r="O11404" s="11"/>
      <c r="P11404" s="11"/>
    </row>
    <row r="11405" spans="8:16" x14ac:dyDescent="0.25">
      <c r="H11405" s="12"/>
      <c r="I11405" s="12"/>
      <c r="J11405" s="12"/>
      <c r="K11405" s="12"/>
      <c r="L11405" s="12"/>
      <c r="M11405" s="11"/>
      <c r="N11405" s="11"/>
      <c r="O11405" s="11"/>
      <c r="P11405" s="11"/>
    </row>
    <row r="11406" spans="8:16" x14ac:dyDescent="0.25">
      <c r="H11406" s="12"/>
      <c r="I11406" s="12"/>
      <c r="J11406" s="12"/>
      <c r="K11406" s="12"/>
      <c r="L11406" s="12"/>
      <c r="M11406" s="11"/>
      <c r="N11406" s="11"/>
      <c r="O11406" s="11"/>
      <c r="P11406" s="11"/>
    </row>
    <row r="11407" spans="8:16" x14ac:dyDescent="0.25">
      <c r="H11407" s="12"/>
      <c r="I11407" s="12"/>
      <c r="J11407" s="12"/>
      <c r="K11407" s="12"/>
      <c r="L11407" s="12"/>
      <c r="M11407" s="11"/>
      <c r="N11407" s="11"/>
      <c r="O11407" s="11"/>
      <c r="P11407" s="11"/>
    </row>
    <row r="11408" spans="8:16" x14ac:dyDescent="0.25">
      <c r="H11408" s="12"/>
      <c r="I11408" s="12"/>
      <c r="J11408" s="12"/>
      <c r="K11408" s="12"/>
      <c r="L11408" s="12"/>
      <c r="M11408" s="11"/>
      <c r="N11408" s="11"/>
      <c r="O11408" s="11"/>
      <c r="P11408" s="11"/>
    </row>
    <row r="11409" spans="8:16" x14ac:dyDescent="0.25">
      <c r="H11409" s="12"/>
      <c r="I11409" s="12"/>
      <c r="J11409" s="12"/>
      <c r="K11409" s="12"/>
      <c r="L11409" s="12"/>
      <c r="M11409" s="11"/>
      <c r="N11409" s="11"/>
      <c r="O11409" s="11"/>
      <c r="P11409" s="11"/>
    </row>
    <row r="11410" spans="8:16" x14ac:dyDescent="0.25">
      <c r="H11410" s="12"/>
      <c r="I11410" s="12"/>
      <c r="J11410" s="12"/>
      <c r="K11410" s="12"/>
      <c r="L11410" s="12"/>
      <c r="M11410" s="11"/>
      <c r="N11410" s="11"/>
      <c r="O11410" s="11"/>
      <c r="P11410" s="11"/>
    </row>
    <row r="11411" spans="8:16" x14ac:dyDescent="0.25">
      <c r="H11411" s="12"/>
      <c r="I11411" s="12"/>
      <c r="J11411" s="12"/>
      <c r="K11411" s="12"/>
      <c r="L11411" s="12"/>
      <c r="M11411" s="11"/>
      <c r="N11411" s="11"/>
      <c r="O11411" s="11"/>
      <c r="P11411" s="11"/>
    </row>
    <row r="11412" spans="8:16" x14ac:dyDescent="0.25">
      <c r="H11412" s="12"/>
      <c r="I11412" s="12"/>
      <c r="J11412" s="12"/>
      <c r="K11412" s="12"/>
      <c r="L11412" s="12"/>
      <c r="M11412" s="11"/>
      <c r="N11412" s="11"/>
      <c r="O11412" s="11"/>
      <c r="P11412" s="11"/>
    </row>
    <row r="11413" spans="8:16" x14ac:dyDescent="0.25">
      <c r="H11413" s="12"/>
      <c r="I11413" s="12"/>
      <c r="J11413" s="12"/>
      <c r="K11413" s="12"/>
      <c r="L11413" s="12"/>
      <c r="M11413" s="11"/>
      <c r="N11413" s="11"/>
      <c r="O11413" s="11"/>
      <c r="P11413" s="11"/>
    </row>
    <row r="11414" spans="8:16" x14ac:dyDescent="0.25">
      <c r="H11414" s="12"/>
      <c r="I11414" s="12"/>
      <c r="J11414" s="12"/>
      <c r="K11414" s="12"/>
      <c r="L11414" s="12"/>
      <c r="M11414" s="11"/>
      <c r="N11414" s="11"/>
      <c r="O11414" s="11"/>
      <c r="P11414" s="11"/>
    </row>
    <row r="11415" spans="8:16" x14ac:dyDescent="0.25">
      <c r="H11415" s="12"/>
      <c r="I11415" s="12"/>
      <c r="J11415" s="12"/>
      <c r="K11415" s="12"/>
      <c r="L11415" s="12"/>
      <c r="M11415" s="11"/>
      <c r="N11415" s="11"/>
      <c r="O11415" s="11"/>
      <c r="P11415" s="11"/>
    </row>
    <row r="11416" spans="8:16" x14ac:dyDescent="0.25">
      <c r="H11416" s="12"/>
      <c r="I11416" s="12"/>
      <c r="J11416" s="12"/>
      <c r="K11416" s="12"/>
      <c r="L11416" s="12"/>
      <c r="M11416" s="11"/>
      <c r="N11416" s="11"/>
      <c r="O11416" s="11"/>
      <c r="P11416" s="11"/>
    </row>
    <row r="11417" spans="8:16" x14ac:dyDescent="0.25">
      <c r="H11417" s="12"/>
      <c r="I11417" s="12"/>
      <c r="J11417" s="12"/>
      <c r="K11417" s="12"/>
      <c r="L11417" s="12"/>
      <c r="M11417" s="11"/>
      <c r="N11417" s="11"/>
      <c r="O11417" s="11"/>
      <c r="P11417" s="11"/>
    </row>
    <row r="11418" spans="8:16" x14ac:dyDescent="0.25">
      <c r="H11418" s="12"/>
      <c r="I11418" s="12"/>
      <c r="J11418" s="12"/>
      <c r="K11418" s="12"/>
      <c r="L11418" s="12"/>
      <c r="M11418" s="11"/>
      <c r="N11418" s="11"/>
      <c r="O11418" s="11"/>
      <c r="P11418" s="11"/>
    </row>
    <row r="11419" spans="8:16" x14ac:dyDescent="0.25">
      <c r="H11419" s="12"/>
      <c r="I11419" s="12"/>
      <c r="J11419" s="12"/>
      <c r="K11419" s="12"/>
      <c r="L11419" s="12"/>
      <c r="M11419" s="11"/>
      <c r="N11419" s="11"/>
      <c r="O11419" s="11"/>
      <c r="P11419" s="11"/>
    </row>
    <row r="11420" spans="8:16" x14ac:dyDescent="0.25">
      <c r="H11420" s="12"/>
      <c r="I11420" s="12"/>
      <c r="J11420" s="12"/>
      <c r="K11420" s="12"/>
      <c r="L11420" s="12"/>
      <c r="M11420" s="11"/>
      <c r="N11420" s="11"/>
      <c r="O11420" s="11"/>
      <c r="P11420" s="11"/>
    </row>
    <row r="11421" spans="8:16" x14ac:dyDescent="0.25">
      <c r="H11421" s="12"/>
      <c r="I11421" s="12"/>
      <c r="J11421" s="12"/>
      <c r="K11421" s="12"/>
      <c r="L11421" s="12"/>
      <c r="M11421" s="11"/>
      <c r="N11421" s="11"/>
      <c r="O11421" s="11"/>
      <c r="P11421" s="11"/>
    </row>
    <row r="11422" spans="8:16" x14ac:dyDescent="0.25">
      <c r="H11422" s="12"/>
      <c r="I11422" s="12"/>
      <c r="J11422" s="12"/>
      <c r="K11422" s="12"/>
      <c r="L11422" s="12"/>
      <c r="M11422" s="11"/>
      <c r="N11422" s="11"/>
      <c r="O11422" s="11"/>
      <c r="P11422" s="11"/>
    </row>
    <row r="11423" spans="8:16" x14ac:dyDescent="0.25">
      <c r="H11423" s="12"/>
      <c r="I11423" s="12"/>
      <c r="J11423" s="12"/>
      <c r="K11423" s="12"/>
      <c r="L11423" s="12"/>
      <c r="M11423" s="11"/>
      <c r="N11423" s="11"/>
      <c r="O11423" s="11"/>
      <c r="P11423" s="11"/>
    </row>
    <row r="11424" spans="8:16" x14ac:dyDescent="0.25">
      <c r="H11424" s="12"/>
      <c r="I11424" s="12"/>
      <c r="J11424" s="12"/>
      <c r="K11424" s="12"/>
      <c r="L11424" s="12"/>
      <c r="M11424" s="11"/>
      <c r="N11424" s="11"/>
      <c r="O11424" s="11"/>
      <c r="P11424" s="11"/>
    </row>
    <row r="11425" spans="8:16" x14ac:dyDescent="0.25">
      <c r="H11425" s="12"/>
      <c r="I11425" s="12"/>
      <c r="J11425" s="12"/>
      <c r="K11425" s="12"/>
      <c r="L11425" s="12"/>
      <c r="M11425" s="11"/>
      <c r="N11425" s="11"/>
      <c r="O11425" s="11"/>
      <c r="P11425" s="11"/>
    </row>
    <row r="11426" spans="8:16" x14ac:dyDescent="0.25">
      <c r="H11426" s="12"/>
      <c r="I11426" s="12"/>
      <c r="J11426" s="12"/>
      <c r="K11426" s="12"/>
      <c r="L11426" s="12"/>
      <c r="M11426" s="11"/>
      <c r="N11426" s="11"/>
      <c r="O11426" s="11"/>
      <c r="P11426" s="11"/>
    </row>
    <row r="11427" spans="8:16" x14ac:dyDescent="0.25">
      <c r="H11427" s="12"/>
      <c r="I11427" s="12"/>
      <c r="J11427" s="12"/>
      <c r="K11427" s="12"/>
      <c r="L11427" s="12"/>
      <c r="M11427" s="11"/>
      <c r="N11427" s="11"/>
      <c r="O11427" s="11"/>
      <c r="P11427" s="11"/>
    </row>
    <row r="11428" spans="8:16" x14ac:dyDescent="0.25">
      <c r="H11428" s="12"/>
      <c r="I11428" s="12"/>
      <c r="J11428" s="12"/>
      <c r="K11428" s="12"/>
      <c r="L11428" s="12"/>
      <c r="M11428" s="11"/>
      <c r="N11428" s="11"/>
      <c r="O11428" s="11"/>
      <c r="P11428" s="11"/>
    </row>
    <row r="11429" spans="8:16" x14ac:dyDescent="0.25">
      <c r="H11429" s="12"/>
      <c r="I11429" s="12"/>
      <c r="J11429" s="12"/>
      <c r="K11429" s="12"/>
      <c r="L11429" s="12"/>
      <c r="M11429" s="11"/>
      <c r="N11429" s="11"/>
      <c r="O11429" s="11"/>
      <c r="P11429" s="11"/>
    </row>
    <row r="11430" spans="8:16" x14ac:dyDescent="0.25">
      <c r="H11430" s="12"/>
      <c r="I11430" s="12"/>
      <c r="J11430" s="12"/>
      <c r="K11430" s="12"/>
      <c r="L11430" s="12"/>
      <c r="M11430" s="11"/>
      <c r="N11430" s="11"/>
      <c r="O11430" s="11"/>
      <c r="P11430" s="11"/>
    </row>
    <row r="11431" spans="8:16" x14ac:dyDescent="0.25">
      <c r="H11431" s="12"/>
      <c r="I11431" s="12"/>
      <c r="J11431" s="12"/>
      <c r="K11431" s="12"/>
      <c r="L11431" s="12"/>
      <c r="M11431" s="11"/>
      <c r="N11431" s="11"/>
      <c r="O11431" s="11"/>
      <c r="P11431" s="11"/>
    </row>
    <row r="11432" spans="8:16" x14ac:dyDescent="0.25">
      <c r="H11432" s="12"/>
      <c r="I11432" s="12"/>
      <c r="J11432" s="12"/>
      <c r="K11432" s="12"/>
      <c r="L11432" s="12"/>
      <c r="M11432" s="11"/>
      <c r="N11432" s="11"/>
      <c r="O11432" s="11"/>
      <c r="P11432" s="11"/>
    </row>
    <row r="11433" spans="8:16" x14ac:dyDescent="0.25">
      <c r="H11433" s="12"/>
      <c r="I11433" s="12"/>
      <c r="J11433" s="12"/>
      <c r="K11433" s="12"/>
      <c r="L11433" s="12"/>
      <c r="M11433" s="11"/>
      <c r="N11433" s="11"/>
      <c r="O11433" s="11"/>
      <c r="P11433" s="11"/>
    </row>
    <row r="11434" spans="8:16" x14ac:dyDescent="0.25">
      <c r="H11434" s="12"/>
      <c r="I11434" s="12"/>
      <c r="J11434" s="12"/>
      <c r="K11434" s="12"/>
      <c r="L11434" s="12"/>
      <c r="M11434" s="11"/>
      <c r="N11434" s="11"/>
      <c r="O11434" s="11"/>
      <c r="P11434" s="11"/>
    </row>
    <row r="11435" spans="8:16" x14ac:dyDescent="0.25">
      <c r="H11435" s="12"/>
      <c r="I11435" s="12"/>
      <c r="J11435" s="12"/>
      <c r="K11435" s="12"/>
      <c r="L11435" s="12"/>
      <c r="M11435" s="11"/>
      <c r="N11435" s="11"/>
      <c r="O11435" s="11"/>
      <c r="P11435" s="11"/>
    </row>
    <row r="11436" spans="8:16" x14ac:dyDescent="0.25">
      <c r="H11436" s="12"/>
      <c r="I11436" s="12"/>
      <c r="J11436" s="12"/>
      <c r="K11436" s="12"/>
      <c r="L11436" s="12"/>
      <c r="M11436" s="11"/>
      <c r="N11436" s="11"/>
      <c r="O11436" s="11"/>
      <c r="P11436" s="11"/>
    </row>
    <row r="11437" spans="8:16" x14ac:dyDescent="0.25">
      <c r="H11437" s="12"/>
      <c r="I11437" s="12"/>
      <c r="J11437" s="12"/>
      <c r="K11437" s="12"/>
      <c r="L11437" s="12"/>
      <c r="M11437" s="11"/>
      <c r="N11437" s="11"/>
      <c r="O11437" s="11"/>
      <c r="P11437" s="11"/>
    </row>
    <row r="11438" spans="8:16" x14ac:dyDescent="0.25">
      <c r="H11438" s="12"/>
      <c r="I11438" s="12"/>
      <c r="J11438" s="12"/>
      <c r="K11438" s="12"/>
      <c r="L11438" s="12"/>
      <c r="M11438" s="11"/>
      <c r="N11438" s="11"/>
      <c r="O11438" s="11"/>
      <c r="P11438" s="11"/>
    </row>
    <row r="11439" spans="8:16" x14ac:dyDescent="0.25">
      <c r="H11439" s="12"/>
      <c r="I11439" s="12"/>
      <c r="J11439" s="12"/>
      <c r="K11439" s="12"/>
      <c r="L11439" s="12"/>
      <c r="M11439" s="11"/>
      <c r="N11439" s="11"/>
      <c r="O11439" s="11"/>
      <c r="P11439" s="11"/>
    </row>
    <row r="11440" spans="8:16" x14ac:dyDescent="0.25">
      <c r="H11440" s="12"/>
      <c r="I11440" s="12"/>
      <c r="J11440" s="12"/>
      <c r="K11440" s="12"/>
      <c r="L11440" s="12"/>
      <c r="M11440" s="11"/>
      <c r="N11440" s="11"/>
      <c r="O11440" s="11"/>
      <c r="P11440" s="11"/>
    </row>
    <row r="11441" spans="8:16" x14ac:dyDescent="0.25">
      <c r="H11441" s="12"/>
      <c r="I11441" s="12"/>
      <c r="J11441" s="12"/>
      <c r="K11441" s="12"/>
      <c r="L11441" s="12"/>
      <c r="M11441" s="11"/>
      <c r="N11441" s="11"/>
      <c r="O11441" s="11"/>
      <c r="P11441" s="11"/>
    </row>
    <row r="11442" spans="8:16" x14ac:dyDescent="0.25">
      <c r="H11442" s="12"/>
      <c r="I11442" s="12"/>
      <c r="J11442" s="12"/>
      <c r="K11442" s="12"/>
      <c r="L11442" s="12"/>
      <c r="M11442" s="11"/>
      <c r="N11442" s="11"/>
      <c r="O11442" s="11"/>
      <c r="P11442" s="11"/>
    </row>
    <row r="11443" spans="8:16" x14ac:dyDescent="0.25">
      <c r="H11443" s="12"/>
      <c r="I11443" s="12"/>
      <c r="J11443" s="12"/>
      <c r="K11443" s="12"/>
      <c r="L11443" s="12"/>
      <c r="M11443" s="11"/>
      <c r="N11443" s="11"/>
      <c r="O11443" s="11"/>
      <c r="P11443" s="11"/>
    </row>
    <row r="11444" spans="8:16" x14ac:dyDescent="0.25">
      <c r="H11444" s="12"/>
      <c r="I11444" s="12"/>
      <c r="J11444" s="12"/>
      <c r="K11444" s="12"/>
      <c r="L11444" s="12"/>
      <c r="M11444" s="11"/>
      <c r="N11444" s="11"/>
      <c r="O11444" s="11"/>
      <c r="P11444" s="11"/>
    </row>
    <row r="11445" spans="8:16" x14ac:dyDescent="0.25">
      <c r="H11445" s="12"/>
      <c r="I11445" s="12"/>
      <c r="J11445" s="12"/>
      <c r="K11445" s="12"/>
      <c r="L11445" s="12"/>
      <c r="M11445" s="11"/>
      <c r="N11445" s="11"/>
      <c r="O11445" s="11"/>
      <c r="P11445" s="11"/>
    </row>
    <row r="11446" spans="8:16" x14ac:dyDescent="0.25">
      <c r="H11446" s="12"/>
      <c r="I11446" s="12"/>
      <c r="J11446" s="12"/>
      <c r="K11446" s="12"/>
      <c r="L11446" s="12"/>
      <c r="M11446" s="11"/>
      <c r="N11446" s="11"/>
      <c r="O11446" s="11"/>
      <c r="P11446" s="11"/>
    </row>
    <row r="11447" spans="8:16" x14ac:dyDescent="0.25">
      <c r="H11447" s="12"/>
      <c r="I11447" s="12"/>
      <c r="J11447" s="12"/>
      <c r="K11447" s="12"/>
      <c r="L11447" s="12"/>
      <c r="M11447" s="11"/>
      <c r="N11447" s="11"/>
      <c r="O11447" s="11"/>
      <c r="P11447" s="11"/>
    </row>
    <row r="11448" spans="8:16" x14ac:dyDescent="0.25">
      <c r="H11448" s="12"/>
      <c r="I11448" s="12"/>
      <c r="J11448" s="12"/>
      <c r="K11448" s="12"/>
      <c r="L11448" s="12"/>
      <c r="M11448" s="11"/>
      <c r="N11448" s="11"/>
      <c r="O11448" s="11"/>
      <c r="P11448" s="11"/>
    </row>
    <row r="11449" spans="8:16" x14ac:dyDescent="0.25">
      <c r="H11449" s="12"/>
      <c r="I11449" s="12"/>
      <c r="J11449" s="12"/>
      <c r="K11449" s="12"/>
      <c r="L11449" s="12"/>
      <c r="M11449" s="11"/>
      <c r="N11449" s="11"/>
      <c r="O11449" s="11"/>
      <c r="P11449" s="11"/>
    </row>
    <row r="11450" spans="8:16" x14ac:dyDescent="0.25">
      <c r="H11450" s="12"/>
      <c r="I11450" s="12"/>
      <c r="J11450" s="12"/>
      <c r="K11450" s="12"/>
      <c r="L11450" s="12"/>
      <c r="M11450" s="11"/>
      <c r="N11450" s="11"/>
      <c r="O11450" s="11"/>
      <c r="P11450" s="11"/>
    </row>
    <row r="11451" spans="8:16" x14ac:dyDescent="0.25">
      <c r="H11451" s="12"/>
      <c r="I11451" s="12"/>
      <c r="J11451" s="12"/>
      <c r="K11451" s="12"/>
      <c r="L11451" s="12"/>
      <c r="M11451" s="11"/>
      <c r="N11451" s="11"/>
      <c r="O11451" s="11"/>
      <c r="P11451" s="11"/>
    </row>
    <row r="11452" spans="8:16" x14ac:dyDescent="0.25">
      <c r="H11452" s="12"/>
      <c r="I11452" s="12"/>
      <c r="J11452" s="12"/>
      <c r="K11452" s="12"/>
      <c r="L11452" s="12"/>
      <c r="M11452" s="11"/>
      <c r="N11452" s="11"/>
      <c r="O11452" s="11"/>
      <c r="P11452" s="11"/>
    </row>
    <row r="11453" spans="8:16" x14ac:dyDescent="0.25">
      <c r="H11453" s="12"/>
      <c r="I11453" s="12"/>
      <c r="J11453" s="12"/>
      <c r="K11453" s="12"/>
      <c r="L11453" s="12"/>
      <c r="M11453" s="11"/>
      <c r="N11453" s="11"/>
      <c r="O11453" s="11"/>
      <c r="P11453" s="11"/>
    </row>
    <row r="11454" spans="8:16" x14ac:dyDescent="0.25">
      <c r="H11454" s="12"/>
      <c r="I11454" s="12"/>
      <c r="J11454" s="12"/>
      <c r="K11454" s="12"/>
      <c r="L11454" s="12"/>
      <c r="M11454" s="11"/>
      <c r="N11454" s="11"/>
      <c r="O11454" s="11"/>
      <c r="P11454" s="11"/>
    </row>
    <row r="11455" spans="8:16" x14ac:dyDescent="0.25">
      <c r="H11455" s="12"/>
      <c r="I11455" s="12"/>
      <c r="J11455" s="12"/>
      <c r="K11455" s="12"/>
      <c r="L11455" s="12"/>
      <c r="M11455" s="11"/>
      <c r="N11455" s="11"/>
      <c r="O11455" s="11"/>
      <c r="P11455" s="11"/>
    </row>
    <row r="11456" spans="8:16" x14ac:dyDescent="0.25">
      <c r="H11456" s="12"/>
      <c r="I11456" s="12"/>
      <c r="J11456" s="12"/>
      <c r="K11456" s="12"/>
      <c r="L11456" s="12"/>
      <c r="M11456" s="11"/>
      <c r="N11456" s="11"/>
      <c r="O11456" s="11"/>
      <c r="P11456" s="11"/>
    </row>
    <row r="11457" spans="8:16" x14ac:dyDescent="0.25">
      <c r="H11457" s="12"/>
      <c r="I11457" s="12"/>
      <c r="J11457" s="12"/>
      <c r="K11457" s="12"/>
      <c r="L11457" s="12"/>
      <c r="M11457" s="11"/>
      <c r="N11457" s="11"/>
      <c r="O11457" s="11"/>
      <c r="P11457" s="11"/>
    </row>
    <row r="11458" spans="8:16" x14ac:dyDescent="0.25">
      <c r="H11458" s="12"/>
      <c r="I11458" s="12"/>
      <c r="J11458" s="12"/>
      <c r="K11458" s="12"/>
      <c r="L11458" s="12"/>
      <c r="M11458" s="11"/>
      <c r="N11458" s="11"/>
      <c r="O11458" s="11"/>
      <c r="P11458" s="11"/>
    </row>
    <row r="11459" spans="8:16" x14ac:dyDescent="0.25">
      <c r="H11459" s="12"/>
      <c r="I11459" s="12"/>
      <c r="J11459" s="12"/>
      <c r="K11459" s="12"/>
      <c r="L11459" s="12"/>
      <c r="M11459" s="11"/>
      <c r="N11459" s="11"/>
      <c r="O11459" s="11"/>
      <c r="P11459" s="11"/>
    </row>
    <row r="11460" spans="8:16" x14ac:dyDescent="0.25">
      <c r="H11460" s="12"/>
      <c r="I11460" s="12"/>
      <c r="J11460" s="12"/>
      <c r="K11460" s="12"/>
      <c r="L11460" s="12"/>
      <c r="M11460" s="11"/>
      <c r="N11460" s="11"/>
      <c r="O11460" s="11"/>
      <c r="P11460" s="11"/>
    </row>
    <row r="11461" spans="8:16" x14ac:dyDescent="0.25">
      <c r="H11461" s="12"/>
      <c r="I11461" s="12"/>
      <c r="J11461" s="12"/>
      <c r="K11461" s="12"/>
      <c r="L11461" s="12"/>
      <c r="M11461" s="11"/>
      <c r="N11461" s="11"/>
      <c r="O11461" s="11"/>
      <c r="P11461" s="11"/>
    </row>
    <row r="11462" spans="8:16" x14ac:dyDescent="0.25">
      <c r="H11462" s="12"/>
      <c r="I11462" s="12"/>
      <c r="J11462" s="12"/>
      <c r="K11462" s="12"/>
      <c r="L11462" s="12"/>
      <c r="M11462" s="11"/>
      <c r="N11462" s="11"/>
      <c r="O11462" s="11"/>
      <c r="P11462" s="11"/>
    </row>
    <row r="11463" spans="8:16" x14ac:dyDescent="0.25">
      <c r="H11463" s="12"/>
      <c r="I11463" s="12"/>
      <c r="J11463" s="12"/>
      <c r="K11463" s="12"/>
      <c r="L11463" s="12"/>
      <c r="M11463" s="11"/>
      <c r="N11463" s="11"/>
      <c r="O11463" s="11"/>
      <c r="P11463" s="11"/>
    </row>
    <row r="11464" spans="8:16" x14ac:dyDescent="0.25">
      <c r="H11464" s="12"/>
      <c r="I11464" s="12"/>
      <c r="J11464" s="12"/>
      <c r="K11464" s="12"/>
      <c r="L11464" s="12"/>
      <c r="M11464" s="11"/>
      <c r="N11464" s="11"/>
      <c r="O11464" s="11"/>
      <c r="P11464" s="11"/>
    </row>
    <row r="11465" spans="8:16" x14ac:dyDescent="0.25">
      <c r="H11465" s="12"/>
      <c r="I11465" s="12"/>
      <c r="J11465" s="12"/>
      <c r="K11465" s="12"/>
      <c r="L11465" s="12"/>
      <c r="M11465" s="11"/>
      <c r="N11465" s="11"/>
      <c r="O11465" s="11"/>
      <c r="P11465" s="11"/>
    </row>
    <row r="11466" spans="8:16" x14ac:dyDescent="0.25">
      <c r="H11466" s="12"/>
      <c r="I11466" s="12"/>
      <c r="J11466" s="12"/>
      <c r="K11466" s="12"/>
      <c r="L11466" s="12"/>
      <c r="M11466" s="11"/>
      <c r="N11466" s="11"/>
      <c r="O11466" s="11"/>
      <c r="P11466" s="11"/>
    </row>
    <row r="11467" spans="8:16" x14ac:dyDescent="0.25">
      <c r="H11467" s="12"/>
      <c r="I11467" s="12"/>
      <c r="J11467" s="12"/>
      <c r="K11467" s="12"/>
      <c r="L11467" s="12"/>
      <c r="M11467" s="11"/>
      <c r="N11467" s="11"/>
      <c r="O11467" s="11"/>
      <c r="P11467" s="11"/>
    </row>
    <row r="11468" spans="8:16" x14ac:dyDescent="0.25">
      <c r="H11468" s="12"/>
      <c r="I11468" s="12"/>
      <c r="J11468" s="12"/>
      <c r="K11468" s="12"/>
      <c r="L11468" s="12"/>
      <c r="M11468" s="11"/>
      <c r="N11468" s="11"/>
      <c r="O11468" s="11"/>
      <c r="P11468" s="11"/>
    </row>
    <row r="11469" spans="8:16" x14ac:dyDescent="0.25">
      <c r="H11469" s="12"/>
      <c r="I11469" s="12"/>
      <c r="J11469" s="12"/>
      <c r="K11469" s="12"/>
      <c r="L11469" s="12"/>
      <c r="M11469" s="11"/>
      <c r="N11469" s="11"/>
      <c r="O11469" s="11"/>
      <c r="P11469" s="11"/>
    </row>
    <row r="11470" spans="8:16" x14ac:dyDescent="0.25">
      <c r="H11470" s="12"/>
      <c r="I11470" s="12"/>
      <c r="J11470" s="12"/>
      <c r="K11470" s="12"/>
      <c r="L11470" s="12"/>
      <c r="M11470" s="11"/>
      <c r="N11470" s="11"/>
      <c r="O11470" s="11"/>
      <c r="P11470" s="11"/>
    </row>
    <row r="11471" spans="8:16" x14ac:dyDescent="0.25">
      <c r="H11471" s="12"/>
      <c r="I11471" s="12"/>
      <c r="J11471" s="12"/>
      <c r="K11471" s="12"/>
      <c r="L11471" s="12"/>
      <c r="M11471" s="11"/>
      <c r="N11471" s="11"/>
      <c r="O11471" s="11"/>
      <c r="P11471" s="11"/>
    </row>
    <row r="11472" spans="8:16" x14ac:dyDescent="0.25">
      <c r="H11472" s="12"/>
      <c r="I11472" s="12"/>
      <c r="J11472" s="12"/>
      <c r="K11472" s="12"/>
      <c r="L11472" s="12"/>
      <c r="M11472" s="11"/>
      <c r="N11472" s="11"/>
      <c r="O11472" s="11"/>
      <c r="P11472" s="11"/>
    </row>
    <row r="11473" spans="8:16" x14ac:dyDescent="0.25">
      <c r="H11473" s="12"/>
      <c r="I11473" s="12"/>
      <c r="J11473" s="12"/>
      <c r="K11473" s="12"/>
      <c r="L11473" s="12"/>
      <c r="M11473" s="11"/>
      <c r="N11473" s="11"/>
      <c r="O11473" s="11"/>
      <c r="P11473" s="11"/>
    </row>
    <row r="11474" spans="8:16" x14ac:dyDescent="0.25">
      <c r="H11474" s="12"/>
      <c r="I11474" s="12"/>
      <c r="J11474" s="12"/>
      <c r="K11474" s="12"/>
      <c r="L11474" s="12"/>
      <c r="M11474" s="11"/>
      <c r="N11474" s="11"/>
      <c r="O11474" s="11"/>
      <c r="P11474" s="11"/>
    </row>
    <row r="11475" spans="8:16" x14ac:dyDescent="0.25">
      <c r="H11475" s="12"/>
      <c r="I11475" s="12"/>
      <c r="J11475" s="12"/>
      <c r="K11475" s="12"/>
      <c r="L11475" s="12"/>
      <c r="M11475" s="11"/>
      <c r="N11475" s="11"/>
      <c r="O11475" s="11"/>
      <c r="P11475" s="11"/>
    </row>
    <row r="11476" spans="8:16" x14ac:dyDescent="0.25">
      <c r="H11476" s="12"/>
      <c r="I11476" s="12"/>
      <c r="J11476" s="12"/>
      <c r="K11476" s="12"/>
      <c r="L11476" s="12"/>
      <c r="M11476" s="11"/>
      <c r="N11476" s="11"/>
      <c r="O11476" s="11"/>
      <c r="P11476" s="11"/>
    </row>
    <row r="11477" spans="8:16" x14ac:dyDescent="0.25">
      <c r="H11477" s="12"/>
      <c r="I11477" s="12"/>
      <c r="J11477" s="12"/>
      <c r="K11477" s="12"/>
      <c r="L11477" s="12"/>
      <c r="M11477" s="11"/>
      <c r="N11477" s="11"/>
      <c r="O11477" s="11"/>
      <c r="P11477" s="11"/>
    </row>
    <row r="11478" spans="8:16" x14ac:dyDescent="0.25">
      <c r="H11478" s="12"/>
      <c r="I11478" s="12"/>
      <c r="J11478" s="12"/>
      <c r="K11478" s="12"/>
      <c r="L11478" s="12"/>
      <c r="M11478" s="11"/>
      <c r="N11478" s="11"/>
      <c r="O11478" s="11"/>
      <c r="P11478" s="11"/>
    </row>
    <row r="11479" spans="8:16" x14ac:dyDescent="0.25">
      <c r="H11479" s="12"/>
      <c r="I11479" s="12"/>
      <c r="J11479" s="12"/>
      <c r="K11479" s="12"/>
      <c r="L11479" s="12"/>
      <c r="M11479" s="11"/>
      <c r="N11479" s="11"/>
      <c r="O11479" s="11"/>
      <c r="P11479" s="11"/>
    </row>
    <row r="11480" spans="8:16" x14ac:dyDescent="0.25">
      <c r="H11480" s="12"/>
      <c r="I11480" s="12"/>
      <c r="J11480" s="12"/>
      <c r="K11480" s="12"/>
      <c r="L11480" s="12"/>
      <c r="M11480" s="11"/>
      <c r="N11480" s="11"/>
      <c r="O11480" s="11"/>
      <c r="P11480" s="11"/>
    </row>
    <row r="11481" spans="8:16" x14ac:dyDescent="0.25">
      <c r="H11481" s="12"/>
      <c r="I11481" s="12"/>
      <c r="J11481" s="12"/>
      <c r="K11481" s="12"/>
      <c r="L11481" s="12"/>
      <c r="M11481" s="11"/>
      <c r="N11481" s="11"/>
      <c r="O11481" s="11"/>
      <c r="P11481" s="11"/>
    </row>
    <row r="11482" spans="8:16" x14ac:dyDescent="0.25">
      <c r="H11482" s="12"/>
      <c r="I11482" s="12"/>
      <c r="J11482" s="12"/>
      <c r="K11482" s="12"/>
      <c r="L11482" s="12"/>
      <c r="M11482" s="11"/>
      <c r="N11482" s="11"/>
      <c r="O11482" s="11"/>
      <c r="P11482" s="11"/>
    </row>
    <row r="11483" spans="8:16" x14ac:dyDescent="0.25">
      <c r="H11483" s="12"/>
      <c r="I11483" s="12"/>
      <c r="J11483" s="12"/>
      <c r="K11483" s="12"/>
      <c r="L11483" s="12"/>
      <c r="M11483" s="11"/>
      <c r="N11483" s="11"/>
      <c r="O11483" s="11"/>
      <c r="P11483" s="11"/>
    </row>
    <row r="11484" spans="8:16" x14ac:dyDescent="0.25">
      <c r="H11484" s="12"/>
      <c r="I11484" s="12"/>
      <c r="J11484" s="12"/>
      <c r="K11484" s="12"/>
      <c r="L11484" s="12"/>
      <c r="M11484" s="11"/>
      <c r="N11484" s="11"/>
      <c r="O11484" s="11"/>
      <c r="P11484" s="11"/>
    </row>
    <row r="11485" spans="8:16" x14ac:dyDescent="0.25">
      <c r="H11485" s="12"/>
      <c r="I11485" s="12"/>
      <c r="J11485" s="12"/>
      <c r="K11485" s="12"/>
      <c r="L11485" s="12"/>
      <c r="M11485" s="11"/>
      <c r="N11485" s="11"/>
      <c r="O11485" s="11"/>
      <c r="P11485" s="11"/>
    </row>
    <row r="11486" spans="8:16" x14ac:dyDescent="0.25">
      <c r="H11486" s="12"/>
      <c r="I11486" s="12"/>
      <c r="J11486" s="12"/>
      <c r="K11486" s="12"/>
      <c r="L11486" s="12"/>
      <c r="M11486" s="11"/>
      <c r="N11486" s="11"/>
      <c r="O11486" s="11"/>
      <c r="P11486" s="11"/>
    </row>
    <row r="11487" spans="8:16" x14ac:dyDescent="0.25">
      <c r="H11487" s="12"/>
      <c r="I11487" s="12"/>
      <c r="J11487" s="12"/>
      <c r="K11487" s="12"/>
      <c r="L11487" s="12"/>
      <c r="M11487" s="11"/>
      <c r="N11487" s="11"/>
      <c r="O11487" s="11"/>
      <c r="P11487" s="11"/>
    </row>
    <row r="11488" spans="8:16" x14ac:dyDescent="0.25">
      <c r="H11488" s="12"/>
      <c r="I11488" s="12"/>
      <c r="J11488" s="12"/>
      <c r="K11488" s="12"/>
      <c r="L11488" s="12"/>
      <c r="M11488" s="11"/>
      <c r="N11488" s="11"/>
      <c r="O11488" s="11"/>
      <c r="P11488" s="11"/>
    </row>
    <row r="11489" spans="8:16" x14ac:dyDescent="0.25">
      <c r="H11489" s="12"/>
      <c r="I11489" s="12"/>
      <c r="J11489" s="12"/>
      <c r="K11489" s="12"/>
      <c r="L11489" s="12"/>
      <c r="M11489" s="11"/>
      <c r="N11489" s="11"/>
      <c r="O11489" s="11"/>
      <c r="P11489" s="11"/>
    </row>
    <row r="11490" spans="8:16" x14ac:dyDescent="0.25">
      <c r="H11490" s="12"/>
      <c r="I11490" s="12"/>
      <c r="J11490" s="12"/>
      <c r="K11490" s="12"/>
      <c r="L11490" s="12"/>
      <c r="M11490" s="11"/>
      <c r="N11490" s="11"/>
      <c r="O11490" s="11"/>
      <c r="P11490" s="11"/>
    </row>
    <row r="11491" spans="8:16" x14ac:dyDescent="0.25">
      <c r="H11491" s="12"/>
      <c r="I11491" s="12"/>
      <c r="J11491" s="12"/>
      <c r="K11491" s="12"/>
      <c r="L11491" s="12"/>
      <c r="M11491" s="11"/>
      <c r="N11491" s="11"/>
      <c r="O11491" s="11"/>
      <c r="P11491" s="11"/>
    </row>
    <row r="11492" spans="8:16" x14ac:dyDescent="0.25">
      <c r="H11492" s="12"/>
      <c r="I11492" s="12"/>
      <c r="J11492" s="12"/>
      <c r="K11492" s="12"/>
      <c r="L11492" s="12"/>
      <c r="M11492" s="11"/>
      <c r="N11492" s="11"/>
      <c r="O11492" s="11"/>
      <c r="P11492" s="11"/>
    </row>
    <row r="11493" spans="8:16" x14ac:dyDescent="0.25">
      <c r="H11493" s="12"/>
      <c r="I11493" s="12"/>
      <c r="J11493" s="12"/>
      <c r="K11493" s="12"/>
      <c r="L11493" s="12"/>
      <c r="M11493" s="11"/>
      <c r="N11493" s="11"/>
      <c r="O11493" s="11"/>
      <c r="P11493" s="11"/>
    </row>
    <row r="11494" spans="8:16" x14ac:dyDescent="0.25">
      <c r="H11494" s="12"/>
      <c r="I11494" s="12"/>
      <c r="J11494" s="12"/>
      <c r="K11494" s="12"/>
      <c r="L11494" s="12"/>
      <c r="M11494" s="11"/>
      <c r="N11494" s="11"/>
      <c r="O11494" s="11"/>
      <c r="P11494" s="11"/>
    </row>
    <row r="11495" spans="8:16" x14ac:dyDescent="0.25">
      <c r="H11495" s="12"/>
      <c r="I11495" s="12"/>
      <c r="J11495" s="12"/>
      <c r="K11495" s="12"/>
      <c r="L11495" s="12"/>
      <c r="M11495" s="11"/>
      <c r="N11495" s="11"/>
      <c r="O11495" s="11"/>
      <c r="P11495" s="11"/>
    </row>
    <row r="11496" spans="8:16" x14ac:dyDescent="0.25">
      <c r="H11496" s="12"/>
      <c r="I11496" s="12"/>
      <c r="J11496" s="12"/>
      <c r="K11496" s="12"/>
      <c r="L11496" s="12"/>
      <c r="M11496" s="11"/>
      <c r="N11496" s="11"/>
      <c r="O11496" s="11"/>
      <c r="P11496" s="11"/>
    </row>
    <row r="11497" spans="8:16" x14ac:dyDescent="0.25">
      <c r="H11497" s="12"/>
      <c r="I11497" s="12"/>
      <c r="J11497" s="12"/>
      <c r="K11497" s="12"/>
      <c r="L11497" s="12"/>
      <c r="M11497" s="11"/>
      <c r="N11497" s="11"/>
      <c r="O11497" s="11"/>
      <c r="P11497" s="11"/>
    </row>
    <row r="11498" spans="8:16" x14ac:dyDescent="0.25">
      <c r="H11498" s="12"/>
      <c r="I11498" s="12"/>
      <c r="J11498" s="12"/>
      <c r="K11498" s="12"/>
      <c r="L11498" s="12"/>
      <c r="M11498" s="11"/>
      <c r="N11498" s="11"/>
      <c r="O11498" s="11"/>
      <c r="P11498" s="11"/>
    </row>
    <row r="11499" spans="8:16" x14ac:dyDescent="0.25">
      <c r="H11499" s="12"/>
      <c r="I11499" s="12"/>
      <c r="J11499" s="12"/>
      <c r="K11499" s="12"/>
      <c r="L11499" s="12"/>
      <c r="M11499" s="11"/>
      <c r="N11499" s="11"/>
      <c r="O11499" s="11"/>
      <c r="P11499" s="11"/>
    </row>
    <row r="11500" spans="8:16" x14ac:dyDescent="0.25">
      <c r="H11500" s="12"/>
      <c r="I11500" s="12"/>
      <c r="J11500" s="12"/>
      <c r="K11500" s="12"/>
      <c r="L11500" s="12"/>
      <c r="M11500" s="11"/>
      <c r="N11500" s="11"/>
      <c r="O11500" s="11"/>
      <c r="P11500" s="11"/>
    </row>
    <row r="11501" spans="8:16" x14ac:dyDescent="0.25">
      <c r="H11501" s="12"/>
      <c r="I11501" s="12"/>
      <c r="J11501" s="12"/>
      <c r="K11501" s="12"/>
      <c r="L11501" s="12"/>
      <c r="M11501" s="11"/>
      <c r="N11501" s="11"/>
      <c r="O11501" s="11"/>
      <c r="P11501" s="11"/>
    </row>
    <row r="11502" spans="8:16" x14ac:dyDescent="0.25">
      <c r="H11502" s="12"/>
      <c r="I11502" s="12"/>
      <c r="J11502" s="12"/>
      <c r="K11502" s="12"/>
      <c r="L11502" s="12"/>
      <c r="M11502" s="11"/>
      <c r="N11502" s="11"/>
      <c r="O11502" s="11"/>
      <c r="P11502" s="11"/>
    </row>
    <row r="11503" spans="8:16" x14ac:dyDescent="0.25">
      <c r="H11503" s="12"/>
      <c r="I11503" s="12"/>
      <c r="J11503" s="12"/>
      <c r="K11503" s="12"/>
      <c r="L11503" s="12"/>
      <c r="M11503" s="11"/>
      <c r="N11503" s="11"/>
      <c r="O11503" s="11"/>
      <c r="P11503" s="11"/>
    </row>
    <row r="11504" spans="8:16" x14ac:dyDescent="0.25">
      <c r="H11504" s="12"/>
      <c r="I11504" s="12"/>
      <c r="J11504" s="12"/>
      <c r="K11504" s="12"/>
      <c r="L11504" s="12"/>
      <c r="M11504" s="11"/>
      <c r="N11504" s="11"/>
      <c r="O11504" s="11"/>
      <c r="P11504" s="11"/>
    </row>
    <row r="11505" spans="8:16" x14ac:dyDescent="0.25">
      <c r="H11505" s="12"/>
      <c r="I11505" s="12"/>
      <c r="J11505" s="12"/>
      <c r="K11505" s="12"/>
      <c r="L11505" s="12"/>
      <c r="M11505" s="11"/>
      <c r="N11505" s="11"/>
      <c r="O11505" s="11"/>
      <c r="P11505" s="11"/>
    </row>
    <row r="11506" spans="8:16" x14ac:dyDescent="0.25">
      <c r="H11506" s="12"/>
      <c r="I11506" s="12"/>
      <c r="J11506" s="12"/>
      <c r="K11506" s="12"/>
      <c r="L11506" s="12"/>
      <c r="M11506" s="11"/>
      <c r="N11506" s="11"/>
      <c r="O11506" s="11"/>
      <c r="P11506" s="11"/>
    </row>
    <row r="11507" spans="8:16" x14ac:dyDescent="0.25">
      <c r="H11507" s="12"/>
      <c r="I11507" s="12"/>
      <c r="J11507" s="12"/>
      <c r="K11507" s="12"/>
      <c r="L11507" s="12"/>
      <c r="M11507" s="11"/>
      <c r="N11507" s="11"/>
      <c r="O11507" s="11"/>
      <c r="P11507" s="11"/>
    </row>
    <row r="11508" spans="8:16" x14ac:dyDescent="0.25">
      <c r="H11508" s="12"/>
      <c r="I11508" s="12"/>
      <c r="J11508" s="12"/>
      <c r="K11508" s="12"/>
      <c r="L11508" s="12"/>
      <c r="M11508" s="11"/>
      <c r="N11508" s="11"/>
      <c r="O11508" s="11"/>
      <c r="P11508" s="11"/>
    </row>
    <row r="11509" spans="8:16" x14ac:dyDescent="0.25">
      <c r="H11509" s="12"/>
      <c r="I11509" s="12"/>
      <c r="J11509" s="12"/>
      <c r="K11509" s="12"/>
      <c r="L11509" s="12"/>
      <c r="M11509" s="11"/>
      <c r="N11509" s="11"/>
      <c r="O11509" s="11"/>
      <c r="P11509" s="11"/>
    </row>
    <row r="11510" spans="8:16" x14ac:dyDescent="0.25">
      <c r="H11510" s="12"/>
      <c r="I11510" s="12"/>
      <c r="J11510" s="12"/>
      <c r="K11510" s="12"/>
      <c r="L11510" s="12"/>
      <c r="M11510" s="11"/>
      <c r="N11510" s="11"/>
      <c r="O11510" s="11"/>
      <c r="P11510" s="11"/>
    </row>
    <row r="11511" spans="8:16" x14ac:dyDescent="0.25">
      <c r="H11511" s="12"/>
      <c r="I11511" s="12"/>
      <c r="J11511" s="12"/>
      <c r="K11511" s="12"/>
      <c r="L11511" s="12"/>
      <c r="M11511" s="11"/>
      <c r="N11511" s="11"/>
      <c r="O11511" s="11"/>
      <c r="P11511" s="11"/>
    </row>
    <row r="11512" spans="8:16" x14ac:dyDescent="0.25">
      <c r="H11512" s="12"/>
      <c r="I11512" s="12"/>
      <c r="J11512" s="12"/>
      <c r="K11512" s="12"/>
      <c r="L11512" s="12"/>
      <c r="M11512" s="11"/>
      <c r="N11512" s="11"/>
      <c r="O11512" s="11"/>
      <c r="P11512" s="11"/>
    </row>
    <row r="11513" spans="8:16" x14ac:dyDescent="0.25">
      <c r="H11513" s="12"/>
      <c r="I11513" s="12"/>
      <c r="J11513" s="12"/>
      <c r="K11513" s="12"/>
      <c r="L11513" s="12"/>
      <c r="M11513" s="11"/>
      <c r="N11513" s="11"/>
      <c r="O11513" s="11"/>
      <c r="P11513" s="11"/>
    </row>
    <row r="11514" spans="8:16" x14ac:dyDescent="0.25">
      <c r="H11514" s="12"/>
      <c r="I11514" s="12"/>
      <c r="J11514" s="12"/>
      <c r="K11514" s="12"/>
      <c r="L11514" s="12"/>
      <c r="M11514" s="11"/>
      <c r="N11514" s="11"/>
      <c r="O11514" s="11"/>
      <c r="P11514" s="11"/>
    </row>
    <row r="11515" spans="8:16" x14ac:dyDescent="0.25">
      <c r="H11515" s="12"/>
      <c r="I11515" s="12"/>
      <c r="J11515" s="12"/>
      <c r="K11515" s="12"/>
      <c r="L11515" s="12"/>
      <c r="M11515" s="11"/>
      <c r="N11515" s="11"/>
      <c r="O11515" s="11"/>
      <c r="P11515" s="11"/>
    </row>
    <row r="11516" spans="8:16" x14ac:dyDescent="0.25">
      <c r="H11516" s="12"/>
      <c r="I11516" s="12"/>
      <c r="J11516" s="12"/>
      <c r="K11516" s="12"/>
      <c r="L11516" s="12"/>
      <c r="M11516" s="11"/>
      <c r="N11516" s="11"/>
      <c r="O11516" s="11"/>
      <c r="P11516" s="11"/>
    </row>
    <row r="11517" spans="8:16" x14ac:dyDescent="0.25">
      <c r="H11517" s="12"/>
      <c r="I11517" s="12"/>
      <c r="J11517" s="12"/>
      <c r="K11517" s="12"/>
      <c r="L11517" s="12"/>
      <c r="M11517" s="11"/>
      <c r="N11517" s="11"/>
      <c r="O11517" s="11"/>
      <c r="P11517" s="11"/>
    </row>
    <row r="11518" spans="8:16" x14ac:dyDescent="0.25">
      <c r="H11518" s="12"/>
      <c r="I11518" s="12"/>
      <c r="J11518" s="12"/>
      <c r="K11518" s="12"/>
      <c r="L11518" s="12"/>
      <c r="M11518" s="11"/>
      <c r="N11518" s="11"/>
      <c r="O11518" s="11"/>
      <c r="P11518" s="11"/>
    </row>
    <row r="11519" spans="8:16" x14ac:dyDescent="0.25">
      <c r="H11519" s="12"/>
      <c r="I11519" s="12"/>
      <c r="J11519" s="12"/>
      <c r="K11519" s="12"/>
      <c r="L11519" s="12"/>
      <c r="M11519" s="11"/>
      <c r="N11519" s="11"/>
      <c r="O11519" s="11"/>
      <c r="P11519" s="11"/>
    </row>
    <row r="11520" spans="8:16" x14ac:dyDescent="0.25">
      <c r="H11520" s="12"/>
      <c r="I11520" s="12"/>
      <c r="J11520" s="12"/>
      <c r="K11520" s="12"/>
      <c r="L11520" s="12"/>
      <c r="M11520" s="11"/>
      <c r="N11520" s="11"/>
      <c r="O11520" s="11"/>
      <c r="P11520" s="11"/>
    </row>
    <row r="11521" spans="8:16" x14ac:dyDescent="0.25">
      <c r="H11521" s="12"/>
      <c r="I11521" s="12"/>
      <c r="J11521" s="12"/>
      <c r="K11521" s="12"/>
      <c r="L11521" s="12"/>
      <c r="M11521" s="11"/>
      <c r="N11521" s="11"/>
      <c r="O11521" s="11"/>
      <c r="P11521" s="11"/>
    </row>
    <row r="11522" spans="8:16" x14ac:dyDescent="0.25">
      <c r="H11522" s="12"/>
      <c r="I11522" s="12"/>
      <c r="J11522" s="12"/>
      <c r="K11522" s="12"/>
      <c r="L11522" s="12"/>
      <c r="M11522" s="11"/>
      <c r="N11522" s="11"/>
      <c r="O11522" s="11"/>
      <c r="P11522" s="11"/>
    </row>
    <row r="11523" spans="8:16" x14ac:dyDescent="0.25">
      <c r="H11523" s="12"/>
      <c r="I11523" s="12"/>
      <c r="J11523" s="12"/>
      <c r="K11523" s="12"/>
      <c r="L11523" s="12"/>
      <c r="M11523" s="11"/>
      <c r="N11523" s="11"/>
      <c r="O11523" s="11"/>
      <c r="P11523" s="11"/>
    </row>
    <row r="11524" spans="8:16" x14ac:dyDescent="0.25">
      <c r="H11524" s="12"/>
      <c r="I11524" s="12"/>
      <c r="J11524" s="12"/>
      <c r="K11524" s="12"/>
      <c r="L11524" s="12"/>
      <c r="M11524" s="11"/>
      <c r="N11524" s="11"/>
      <c r="O11524" s="11"/>
      <c r="P11524" s="11"/>
    </row>
    <row r="11525" spans="8:16" x14ac:dyDescent="0.25">
      <c r="H11525" s="12"/>
      <c r="I11525" s="12"/>
      <c r="J11525" s="12"/>
      <c r="K11525" s="12"/>
      <c r="L11525" s="12"/>
      <c r="M11525" s="11"/>
      <c r="N11525" s="11"/>
      <c r="O11525" s="11"/>
      <c r="P11525" s="11"/>
    </row>
    <row r="11526" spans="8:16" x14ac:dyDescent="0.25">
      <c r="H11526" s="12"/>
      <c r="I11526" s="12"/>
      <c r="J11526" s="12"/>
      <c r="K11526" s="12"/>
      <c r="L11526" s="12"/>
      <c r="M11526" s="11"/>
      <c r="N11526" s="11"/>
      <c r="O11526" s="11"/>
      <c r="P11526" s="11"/>
    </row>
    <row r="11527" spans="8:16" x14ac:dyDescent="0.25">
      <c r="H11527" s="12"/>
      <c r="I11527" s="12"/>
      <c r="J11527" s="12"/>
      <c r="K11527" s="12"/>
      <c r="L11527" s="12"/>
      <c r="M11527" s="11"/>
      <c r="N11527" s="11"/>
      <c r="O11527" s="11"/>
      <c r="P11527" s="11"/>
    </row>
    <row r="11528" spans="8:16" x14ac:dyDescent="0.25">
      <c r="H11528" s="12"/>
      <c r="I11528" s="12"/>
      <c r="J11528" s="12"/>
      <c r="K11528" s="12"/>
      <c r="L11528" s="12"/>
      <c r="M11528" s="11"/>
      <c r="N11528" s="11"/>
      <c r="O11528" s="11"/>
      <c r="P11528" s="11"/>
    </row>
    <row r="11529" spans="8:16" x14ac:dyDescent="0.25">
      <c r="H11529" s="12"/>
      <c r="I11529" s="12"/>
      <c r="J11529" s="12"/>
      <c r="K11529" s="12"/>
      <c r="L11529" s="12"/>
      <c r="M11529" s="11"/>
      <c r="N11529" s="11"/>
      <c r="O11529" s="11"/>
      <c r="P11529" s="11"/>
    </row>
    <row r="11530" spans="8:16" x14ac:dyDescent="0.25">
      <c r="H11530" s="12"/>
      <c r="I11530" s="12"/>
      <c r="J11530" s="12"/>
      <c r="K11530" s="12"/>
      <c r="L11530" s="12"/>
      <c r="M11530" s="11"/>
      <c r="N11530" s="11"/>
      <c r="O11530" s="11"/>
      <c r="P11530" s="11"/>
    </row>
    <row r="11531" spans="8:16" x14ac:dyDescent="0.25">
      <c r="H11531" s="12"/>
      <c r="I11531" s="12"/>
      <c r="J11531" s="12"/>
      <c r="K11531" s="12"/>
      <c r="L11531" s="12"/>
      <c r="M11531" s="11"/>
      <c r="N11531" s="11"/>
      <c r="O11531" s="11"/>
      <c r="P11531" s="11"/>
    </row>
    <row r="11532" spans="8:16" x14ac:dyDescent="0.25">
      <c r="H11532" s="12"/>
      <c r="I11532" s="12"/>
      <c r="J11532" s="12"/>
      <c r="K11532" s="12"/>
      <c r="L11532" s="12"/>
      <c r="M11532" s="11"/>
      <c r="N11532" s="11"/>
      <c r="O11532" s="11"/>
      <c r="P11532" s="11"/>
    </row>
    <row r="11533" spans="8:16" x14ac:dyDescent="0.25">
      <c r="H11533" s="12"/>
      <c r="I11533" s="12"/>
      <c r="J11533" s="12"/>
      <c r="K11533" s="12"/>
      <c r="L11533" s="12"/>
      <c r="M11533" s="11"/>
      <c r="N11533" s="11"/>
      <c r="O11533" s="11"/>
      <c r="P11533" s="11"/>
    </row>
    <row r="11534" spans="8:16" x14ac:dyDescent="0.25">
      <c r="H11534" s="12"/>
      <c r="I11534" s="12"/>
      <c r="J11534" s="12"/>
      <c r="K11534" s="12"/>
      <c r="L11534" s="12"/>
      <c r="M11534" s="11"/>
      <c r="N11534" s="11"/>
      <c r="O11534" s="11"/>
      <c r="P11534" s="11"/>
    </row>
    <row r="11535" spans="8:16" x14ac:dyDescent="0.25">
      <c r="H11535" s="12"/>
      <c r="I11535" s="12"/>
      <c r="J11535" s="12"/>
      <c r="K11535" s="12"/>
      <c r="L11535" s="12"/>
      <c r="M11535" s="11"/>
      <c r="N11535" s="11"/>
      <c r="O11535" s="11"/>
      <c r="P11535" s="11"/>
    </row>
    <row r="11536" spans="8:16" x14ac:dyDescent="0.25">
      <c r="H11536" s="12"/>
      <c r="I11536" s="12"/>
      <c r="J11536" s="12"/>
      <c r="K11536" s="12"/>
      <c r="L11536" s="12"/>
      <c r="M11536" s="11"/>
      <c r="N11536" s="11"/>
      <c r="O11536" s="11"/>
      <c r="P11536" s="11"/>
    </row>
    <row r="11537" spans="8:16" x14ac:dyDescent="0.25">
      <c r="H11537" s="12"/>
      <c r="I11537" s="12"/>
      <c r="J11537" s="12"/>
      <c r="K11537" s="12"/>
      <c r="L11537" s="12"/>
      <c r="M11537" s="11"/>
      <c r="N11537" s="11"/>
      <c r="O11537" s="11"/>
      <c r="P11537" s="11"/>
    </row>
    <row r="11538" spans="8:16" x14ac:dyDescent="0.25">
      <c r="H11538" s="12"/>
      <c r="I11538" s="12"/>
      <c r="J11538" s="12"/>
      <c r="K11538" s="12"/>
      <c r="L11538" s="12"/>
      <c r="M11538" s="11"/>
      <c r="N11538" s="11"/>
      <c r="O11538" s="11"/>
      <c r="P11538" s="11"/>
    </row>
    <row r="11539" spans="8:16" x14ac:dyDescent="0.25">
      <c r="H11539" s="12"/>
      <c r="I11539" s="12"/>
      <c r="J11539" s="12"/>
      <c r="K11539" s="12"/>
      <c r="L11539" s="12"/>
      <c r="M11539" s="11"/>
      <c r="N11539" s="11"/>
      <c r="O11539" s="11"/>
      <c r="P11539" s="11"/>
    </row>
    <row r="11540" spans="8:16" x14ac:dyDescent="0.25">
      <c r="H11540" s="12"/>
      <c r="I11540" s="12"/>
      <c r="J11540" s="12"/>
      <c r="K11540" s="12"/>
      <c r="L11540" s="12"/>
      <c r="M11540" s="11"/>
      <c r="N11540" s="11"/>
      <c r="O11540" s="11"/>
      <c r="P11540" s="11"/>
    </row>
    <row r="11541" spans="8:16" x14ac:dyDescent="0.25">
      <c r="H11541" s="12"/>
      <c r="I11541" s="12"/>
      <c r="J11541" s="12"/>
      <c r="K11541" s="12"/>
      <c r="L11541" s="12"/>
      <c r="M11541" s="11"/>
      <c r="N11541" s="11"/>
      <c r="O11541" s="11"/>
      <c r="P11541" s="11"/>
    </row>
    <row r="11542" spans="8:16" x14ac:dyDescent="0.25">
      <c r="H11542" s="12"/>
      <c r="I11542" s="12"/>
      <c r="J11542" s="12"/>
      <c r="K11542" s="12"/>
      <c r="L11542" s="12"/>
      <c r="M11542" s="11"/>
      <c r="N11542" s="11"/>
      <c r="O11542" s="11"/>
      <c r="P11542" s="11"/>
    </row>
    <row r="11543" spans="8:16" x14ac:dyDescent="0.25">
      <c r="H11543" s="12"/>
      <c r="I11543" s="12"/>
      <c r="J11543" s="12"/>
      <c r="K11543" s="12"/>
      <c r="L11543" s="12"/>
      <c r="M11543" s="11"/>
      <c r="N11543" s="11"/>
      <c r="O11543" s="11"/>
      <c r="P11543" s="11"/>
    </row>
    <row r="11544" spans="8:16" x14ac:dyDescent="0.25">
      <c r="H11544" s="12"/>
      <c r="I11544" s="12"/>
      <c r="J11544" s="12"/>
      <c r="K11544" s="12"/>
      <c r="L11544" s="12"/>
      <c r="M11544" s="11"/>
      <c r="N11544" s="11"/>
      <c r="O11544" s="11"/>
      <c r="P11544" s="11"/>
    </row>
    <row r="11545" spans="8:16" x14ac:dyDescent="0.25">
      <c r="H11545" s="12"/>
      <c r="I11545" s="12"/>
      <c r="J11545" s="12"/>
      <c r="K11545" s="12"/>
      <c r="L11545" s="12"/>
      <c r="M11545" s="11"/>
      <c r="N11545" s="11"/>
      <c r="O11545" s="11"/>
      <c r="P11545" s="11"/>
    </row>
    <row r="11546" spans="8:16" x14ac:dyDescent="0.25">
      <c r="H11546" s="12"/>
      <c r="I11546" s="12"/>
      <c r="J11546" s="12"/>
      <c r="K11546" s="12"/>
      <c r="L11546" s="12"/>
      <c r="M11546" s="11"/>
      <c r="N11546" s="11"/>
      <c r="O11546" s="11"/>
      <c r="P11546" s="11"/>
    </row>
    <row r="11547" spans="8:16" x14ac:dyDescent="0.25">
      <c r="H11547" s="12"/>
      <c r="I11547" s="12"/>
      <c r="J11547" s="12"/>
      <c r="K11547" s="12"/>
      <c r="L11547" s="12"/>
      <c r="M11547" s="11"/>
      <c r="N11547" s="11"/>
      <c r="O11547" s="11"/>
      <c r="P11547" s="11"/>
    </row>
    <row r="11548" spans="8:16" x14ac:dyDescent="0.25">
      <c r="H11548" s="12"/>
      <c r="I11548" s="12"/>
      <c r="J11548" s="12"/>
      <c r="K11548" s="12"/>
      <c r="L11548" s="12"/>
      <c r="M11548" s="11"/>
      <c r="N11548" s="11"/>
      <c r="O11548" s="11"/>
      <c r="P11548" s="11"/>
    </row>
    <row r="11549" spans="8:16" x14ac:dyDescent="0.25">
      <c r="H11549" s="12"/>
      <c r="I11549" s="12"/>
      <c r="J11549" s="12"/>
      <c r="K11549" s="12"/>
      <c r="L11549" s="12"/>
      <c r="M11549" s="11"/>
      <c r="N11549" s="11"/>
      <c r="O11549" s="11"/>
      <c r="P11549" s="11"/>
    </row>
    <row r="11550" spans="8:16" x14ac:dyDescent="0.25">
      <c r="H11550" s="12"/>
      <c r="I11550" s="12"/>
      <c r="J11550" s="12"/>
      <c r="K11550" s="12"/>
      <c r="L11550" s="12"/>
      <c r="M11550" s="11"/>
      <c r="N11550" s="11"/>
      <c r="O11550" s="11"/>
      <c r="P11550" s="11"/>
    </row>
    <row r="11551" spans="8:16" x14ac:dyDescent="0.25">
      <c r="H11551" s="12"/>
      <c r="I11551" s="12"/>
      <c r="J11551" s="12"/>
      <c r="K11551" s="12"/>
      <c r="L11551" s="12"/>
      <c r="M11551" s="11"/>
      <c r="N11551" s="11"/>
      <c r="O11551" s="11"/>
      <c r="P11551" s="11"/>
    </row>
    <row r="11552" spans="8:16" x14ac:dyDescent="0.25">
      <c r="H11552" s="12"/>
      <c r="I11552" s="12"/>
      <c r="J11552" s="12"/>
      <c r="K11552" s="12"/>
      <c r="L11552" s="12"/>
      <c r="M11552" s="11"/>
      <c r="N11552" s="11"/>
      <c r="O11552" s="11"/>
      <c r="P11552" s="11"/>
    </row>
    <row r="11553" spans="8:16" x14ac:dyDescent="0.25">
      <c r="H11553" s="12"/>
      <c r="I11553" s="12"/>
      <c r="J11553" s="12"/>
      <c r="K11553" s="12"/>
      <c r="L11553" s="12"/>
      <c r="M11553" s="11"/>
      <c r="N11553" s="11"/>
      <c r="O11553" s="11"/>
      <c r="P11553" s="11"/>
    </row>
    <row r="11554" spans="8:16" x14ac:dyDescent="0.25">
      <c r="H11554" s="12"/>
      <c r="I11554" s="12"/>
      <c r="J11554" s="12"/>
      <c r="K11554" s="12"/>
      <c r="L11554" s="12"/>
      <c r="M11554" s="11"/>
      <c r="N11554" s="11"/>
      <c r="O11554" s="11"/>
      <c r="P11554" s="11"/>
    </row>
    <row r="11555" spans="8:16" x14ac:dyDescent="0.25">
      <c r="H11555" s="12"/>
      <c r="I11555" s="12"/>
      <c r="J11555" s="12"/>
      <c r="K11555" s="12"/>
      <c r="L11555" s="12"/>
      <c r="M11555" s="11"/>
      <c r="N11555" s="11"/>
      <c r="O11555" s="11"/>
      <c r="P11555" s="11"/>
    </row>
    <row r="11556" spans="8:16" x14ac:dyDescent="0.25">
      <c r="H11556" s="12"/>
      <c r="I11556" s="12"/>
      <c r="J11556" s="12"/>
      <c r="K11556" s="12"/>
      <c r="L11556" s="12"/>
      <c r="M11556" s="11"/>
      <c r="N11556" s="11"/>
      <c r="O11556" s="11"/>
      <c r="P11556" s="11"/>
    </row>
    <row r="11557" spans="8:16" x14ac:dyDescent="0.25">
      <c r="H11557" s="12"/>
      <c r="I11557" s="12"/>
      <c r="J11557" s="12"/>
      <c r="K11557" s="12"/>
      <c r="L11557" s="12"/>
      <c r="M11557" s="11"/>
      <c r="N11557" s="11"/>
      <c r="O11557" s="11"/>
      <c r="P11557" s="11"/>
    </row>
    <row r="11558" spans="8:16" x14ac:dyDescent="0.25">
      <c r="H11558" s="12"/>
      <c r="I11558" s="12"/>
      <c r="J11558" s="12"/>
      <c r="K11558" s="12"/>
      <c r="L11558" s="12"/>
      <c r="M11558" s="11"/>
      <c r="N11558" s="11"/>
      <c r="O11558" s="11"/>
      <c r="P11558" s="11"/>
    </row>
    <row r="11559" spans="8:16" x14ac:dyDescent="0.25">
      <c r="H11559" s="12"/>
      <c r="I11559" s="12"/>
      <c r="J11559" s="12"/>
      <c r="K11559" s="12"/>
      <c r="L11559" s="12"/>
      <c r="M11559" s="11"/>
      <c r="N11559" s="11"/>
      <c r="O11559" s="11"/>
      <c r="P11559" s="11"/>
    </row>
    <row r="11560" spans="8:16" x14ac:dyDescent="0.25">
      <c r="H11560" s="12"/>
      <c r="I11560" s="12"/>
      <c r="J11560" s="12"/>
      <c r="K11560" s="12"/>
      <c r="L11560" s="12"/>
      <c r="M11560" s="11"/>
      <c r="N11560" s="11"/>
      <c r="O11560" s="11"/>
      <c r="P11560" s="11"/>
    </row>
    <row r="11561" spans="8:16" x14ac:dyDescent="0.25">
      <c r="H11561" s="12"/>
      <c r="I11561" s="12"/>
      <c r="J11561" s="12"/>
      <c r="K11561" s="12"/>
      <c r="L11561" s="12"/>
      <c r="M11561" s="11"/>
      <c r="N11561" s="11"/>
      <c r="O11561" s="11"/>
      <c r="P11561" s="11"/>
    </row>
    <row r="11562" spans="8:16" x14ac:dyDescent="0.25">
      <c r="H11562" s="12"/>
      <c r="I11562" s="12"/>
      <c r="J11562" s="12"/>
      <c r="K11562" s="12"/>
      <c r="L11562" s="12"/>
      <c r="M11562" s="11"/>
      <c r="N11562" s="11"/>
      <c r="O11562" s="11"/>
      <c r="P11562" s="11"/>
    </row>
    <row r="11563" spans="8:16" x14ac:dyDescent="0.25">
      <c r="H11563" s="12"/>
      <c r="I11563" s="12"/>
      <c r="J11563" s="12"/>
      <c r="K11563" s="12"/>
      <c r="L11563" s="12"/>
      <c r="M11563" s="11"/>
      <c r="N11563" s="11"/>
      <c r="O11563" s="11"/>
      <c r="P11563" s="11"/>
    </row>
    <row r="11564" spans="8:16" x14ac:dyDescent="0.25">
      <c r="H11564" s="12"/>
      <c r="I11564" s="12"/>
      <c r="J11564" s="12"/>
      <c r="K11564" s="12"/>
      <c r="L11564" s="12"/>
      <c r="M11564" s="11"/>
      <c r="N11564" s="11"/>
      <c r="O11564" s="11"/>
      <c r="P11564" s="11"/>
    </row>
    <row r="11565" spans="8:16" x14ac:dyDescent="0.25">
      <c r="H11565" s="12"/>
      <c r="I11565" s="12"/>
      <c r="J11565" s="12"/>
      <c r="K11565" s="12"/>
      <c r="L11565" s="12"/>
      <c r="M11565" s="11"/>
      <c r="N11565" s="11"/>
      <c r="O11565" s="11"/>
      <c r="P11565" s="11"/>
    </row>
    <row r="11566" spans="8:16" x14ac:dyDescent="0.25">
      <c r="H11566" s="12"/>
      <c r="I11566" s="12"/>
      <c r="J11566" s="12"/>
      <c r="K11566" s="12"/>
      <c r="L11566" s="12"/>
      <c r="M11566" s="11"/>
      <c r="N11566" s="11"/>
      <c r="O11566" s="11"/>
      <c r="P11566" s="11"/>
    </row>
    <row r="11567" spans="8:16" x14ac:dyDescent="0.25">
      <c r="H11567" s="12"/>
      <c r="I11567" s="12"/>
      <c r="J11567" s="12"/>
      <c r="K11567" s="12"/>
      <c r="L11567" s="12"/>
      <c r="M11567" s="11"/>
      <c r="N11567" s="11"/>
      <c r="O11567" s="11"/>
      <c r="P11567" s="11"/>
    </row>
    <row r="11568" spans="8:16" x14ac:dyDescent="0.25">
      <c r="H11568" s="12"/>
      <c r="I11568" s="12"/>
      <c r="J11568" s="12"/>
      <c r="K11568" s="12"/>
      <c r="L11568" s="12"/>
      <c r="M11568" s="11"/>
      <c r="N11568" s="11"/>
      <c r="O11568" s="11"/>
      <c r="P11568" s="11"/>
    </row>
    <row r="11569" spans="8:16" x14ac:dyDescent="0.25">
      <c r="H11569" s="12"/>
      <c r="I11569" s="12"/>
      <c r="J11569" s="12"/>
      <c r="K11569" s="12"/>
      <c r="L11569" s="12"/>
      <c r="M11569" s="11"/>
      <c r="N11569" s="11"/>
      <c r="O11569" s="11"/>
      <c r="P11569" s="11"/>
    </row>
    <row r="11570" spans="8:16" x14ac:dyDescent="0.25">
      <c r="H11570" s="12"/>
      <c r="I11570" s="12"/>
      <c r="J11570" s="12"/>
      <c r="K11570" s="12"/>
      <c r="L11570" s="12"/>
      <c r="M11570" s="11"/>
      <c r="N11570" s="11"/>
      <c r="O11570" s="11"/>
      <c r="P11570" s="11"/>
    </row>
    <row r="11571" spans="8:16" x14ac:dyDescent="0.25">
      <c r="H11571" s="12"/>
      <c r="I11571" s="12"/>
      <c r="J11571" s="12"/>
      <c r="K11571" s="12"/>
      <c r="L11571" s="12"/>
      <c r="M11571" s="11"/>
      <c r="N11571" s="11"/>
      <c r="O11571" s="11"/>
      <c r="P11571" s="11"/>
    </row>
    <row r="11572" spans="8:16" x14ac:dyDescent="0.25">
      <c r="H11572" s="12"/>
      <c r="I11572" s="12"/>
      <c r="J11572" s="12"/>
      <c r="K11572" s="12"/>
      <c r="L11572" s="12"/>
      <c r="M11572" s="11"/>
      <c r="N11572" s="11"/>
      <c r="O11572" s="11"/>
      <c r="P11572" s="11"/>
    </row>
    <row r="11573" spans="8:16" x14ac:dyDescent="0.25">
      <c r="H11573" s="12"/>
      <c r="I11573" s="12"/>
      <c r="J11573" s="12"/>
      <c r="K11573" s="12"/>
      <c r="L11573" s="12"/>
      <c r="M11573" s="11"/>
      <c r="N11573" s="11"/>
      <c r="O11573" s="11"/>
      <c r="P11573" s="11"/>
    </row>
    <row r="11574" spans="8:16" x14ac:dyDescent="0.25">
      <c r="H11574" s="12"/>
      <c r="I11574" s="12"/>
      <c r="J11574" s="12"/>
      <c r="K11574" s="12"/>
      <c r="L11574" s="12"/>
      <c r="M11574" s="11"/>
      <c r="N11574" s="11"/>
      <c r="O11574" s="11"/>
      <c r="P11574" s="11"/>
    </row>
    <row r="11575" spans="8:16" x14ac:dyDescent="0.25">
      <c r="H11575" s="12"/>
      <c r="I11575" s="12"/>
      <c r="J11575" s="12"/>
      <c r="K11575" s="12"/>
      <c r="L11575" s="12"/>
      <c r="M11575" s="11"/>
      <c r="N11575" s="11"/>
      <c r="O11575" s="11"/>
      <c r="P11575" s="11"/>
    </row>
    <row r="11576" spans="8:16" x14ac:dyDescent="0.25">
      <c r="H11576" s="12"/>
      <c r="I11576" s="12"/>
      <c r="J11576" s="12"/>
      <c r="K11576" s="12"/>
      <c r="L11576" s="12"/>
      <c r="M11576" s="11"/>
      <c r="N11576" s="11"/>
      <c r="O11576" s="11"/>
      <c r="P11576" s="11"/>
    </row>
    <row r="11577" spans="8:16" x14ac:dyDescent="0.25">
      <c r="H11577" s="12"/>
      <c r="I11577" s="12"/>
      <c r="J11577" s="12"/>
      <c r="K11577" s="12"/>
      <c r="L11577" s="12"/>
      <c r="M11577" s="11"/>
      <c r="N11577" s="11"/>
      <c r="O11577" s="11"/>
      <c r="P11577" s="11"/>
    </row>
    <row r="11578" spans="8:16" x14ac:dyDescent="0.25">
      <c r="H11578" s="12"/>
      <c r="I11578" s="12"/>
      <c r="J11578" s="12"/>
      <c r="K11578" s="12"/>
      <c r="L11578" s="12"/>
      <c r="M11578" s="11"/>
      <c r="N11578" s="11"/>
      <c r="O11578" s="11"/>
      <c r="P11578" s="11"/>
    </row>
    <row r="11579" spans="8:16" x14ac:dyDescent="0.25">
      <c r="H11579" s="12"/>
      <c r="I11579" s="12"/>
      <c r="J11579" s="12"/>
      <c r="K11579" s="12"/>
      <c r="L11579" s="12"/>
      <c r="M11579" s="11"/>
      <c r="N11579" s="11"/>
      <c r="O11579" s="11"/>
      <c r="P11579" s="11"/>
    </row>
    <row r="11580" spans="8:16" x14ac:dyDescent="0.25">
      <c r="H11580" s="12"/>
      <c r="I11580" s="12"/>
      <c r="J11580" s="12"/>
      <c r="K11580" s="12"/>
      <c r="L11580" s="12"/>
      <c r="M11580" s="11"/>
      <c r="N11580" s="11"/>
      <c r="O11580" s="11"/>
      <c r="P11580" s="11"/>
    </row>
    <row r="11581" spans="8:16" x14ac:dyDescent="0.25">
      <c r="H11581" s="12"/>
      <c r="I11581" s="12"/>
      <c r="J11581" s="12"/>
      <c r="K11581" s="12"/>
      <c r="L11581" s="12"/>
      <c r="M11581" s="11"/>
      <c r="N11581" s="11"/>
      <c r="O11581" s="11"/>
      <c r="P11581" s="11"/>
    </row>
    <row r="11582" spans="8:16" x14ac:dyDescent="0.25">
      <c r="H11582" s="12"/>
      <c r="I11582" s="12"/>
      <c r="J11582" s="12"/>
      <c r="K11582" s="12"/>
      <c r="L11582" s="12"/>
      <c r="M11582" s="11"/>
      <c r="N11582" s="11"/>
      <c r="O11582" s="11"/>
      <c r="P11582" s="11"/>
    </row>
    <row r="11583" spans="8:16" x14ac:dyDescent="0.25">
      <c r="H11583" s="12"/>
      <c r="I11583" s="12"/>
      <c r="J11583" s="12"/>
      <c r="K11583" s="12"/>
      <c r="L11583" s="12"/>
      <c r="M11583" s="11"/>
      <c r="N11583" s="11"/>
      <c r="O11583" s="11"/>
      <c r="P11583" s="11"/>
    </row>
    <row r="11584" spans="8:16" x14ac:dyDescent="0.25">
      <c r="H11584" s="12"/>
      <c r="I11584" s="12"/>
      <c r="J11584" s="12"/>
      <c r="K11584" s="12"/>
      <c r="L11584" s="12"/>
      <c r="M11584" s="11"/>
      <c r="N11584" s="11"/>
      <c r="O11584" s="11"/>
      <c r="P11584" s="11"/>
    </row>
    <row r="11585" spans="8:16" x14ac:dyDescent="0.25">
      <c r="H11585" s="12"/>
      <c r="I11585" s="12"/>
      <c r="J11585" s="12"/>
      <c r="K11585" s="12"/>
      <c r="L11585" s="12"/>
      <c r="M11585" s="11"/>
      <c r="N11585" s="11"/>
      <c r="O11585" s="11"/>
      <c r="P11585" s="11"/>
    </row>
    <row r="11586" spans="8:16" x14ac:dyDescent="0.25">
      <c r="H11586" s="12"/>
      <c r="I11586" s="12"/>
      <c r="J11586" s="12"/>
      <c r="K11586" s="12"/>
      <c r="L11586" s="12"/>
      <c r="M11586" s="11"/>
      <c r="N11586" s="11"/>
      <c r="O11586" s="11"/>
      <c r="P11586" s="11"/>
    </row>
    <row r="11587" spans="8:16" x14ac:dyDescent="0.25">
      <c r="H11587" s="12"/>
      <c r="I11587" s="12"/>
      <c r="J11587" s="12"/>
      <c r="K11587" s="12"/>
      <c r="L11587" s="12"/>
      <c r="M11587" s="11"/>
      <c r="N11587" s="11"/>
      <c r="O11587" s="11"/>
      <c r="P11587" s="11"/>
    </row>
    <row r="11588" spans="8:16" x14ac:dyDescent="0.25">
      <c r="H11588" s="12"/>
      <c r="I11588" s="12"/>
      <c r="J11588" s="12"/>
      <c r="K11588" s="12"/>
      <c r="L11588" s="12"/>
      <c r="M11588" s="11"/>
      <c r="N11588" s="11"/>
      <c r="O11588" s="11"/>
      <c r="P11588" s="11"/>
    </row>
    <row r="11589" spans="8:16" x14ac:dyDescent="0.25">
      <c r="H11589" s="12"/>
      <c r="I11589" s="12"/>
      <c r="J11589" s="12"/>
      <c r="K11589" s="12"/>
      <c r="L11589" s="12"/>
      <c r="M11589" s="11"/>
      <c r="N11589" s="11"/>
      <c r="O11589" s="11"/>
      <c r="P11589" s="11"/>
    </row>
    <row r="11590" spans="8:16" x14ac:dyDescent="0.25">
      <c r="H11590" s="12"/>
      <c r="I11590" s="12"/>
      <c r="J11590" s="12"/>
      <c r="K11590" s="12"/>
      <c r="L11590" s="12"/>
      <c r="M11590" s="11"/>
      <c r="N11590" s="11"/>
      <c r="O11590" s="11"/>
      <c r="P11590" s="11"/>
    </row>
    <row r="11591" spans="8:16" x14ac:dyDescent="0.25">
      <c r="H11591" s="12"/>
      <c r="I11591" s="12"/>
      <c r="J11591" s="12"/>
      <c r="K11591" s="12"/>
      <c r="L11591" s="12"/>
      <c r="M11591" s="11"/>
      <c r="N11591" s="11"/>
      <c r="O11591" s="11"/>
      <c r="P11591" s="11"/>
    </row>
    <row r="11592" spans="8:16" x14ac:dyDescent="0.25">
      <c r="H11592" s="12"/>
      <c r="I11592" s="12"/>
      <c r="J11592" s="12"/>
      <c r="K11592" s="12"/>
      <c r="L11592" s="12"/>
      <c r="M11592" s="11"/>
      <c r="N11592" s="11"/>
      <c r="O11592" s="11"/>
      <c r="P11592" s="11"/>
    </row>
    <row r="11593" spans="8:16" x14ac:dyDescent="0.25">
      <c r="H11593" s="12"/>
      <c r="I11593" s="12"/>
      <c r="J11593" s="12"/>
      <c r="K11593" s="12"/>
      <c r="L11593" s="12"/>
      <c r="M11593" s="11"/>
      <c r="N11593" s="11"/>
      <c r="O11593" s="11"/>
      <c r="P11593" s="11"/>
    </row>
    <row r="11594" spans="8:16" x14ac:dyDescent="0.25">
      <c r="H11594" s="12"/>
      <c r="I11594" s="12"/>
      <c r="J11594" s="12"/>
      <c r="K11594" s="12"/>
      <c r="L11594" s="12"/>
      <c r="M11594" s="11"/>
      <c r="N11594" s="11"/>
      <c r="O11594" s="11"/>
      <c r="P11594" s="11"/>
    </row>
    <row r="11595" spans="8:16" x14ac:dyDescent="0.25">
      <c r="H11595" s="12"/>
      <c r="I11595" s="12"/>
      <c r="J11595" s="12"/>
      <c r="K11595" s="12"/>
      <c r="L11595" s="12"/>
      <c r="M11595" s="11"/>
      <c r="N11595" s="11"/>
      <c r="O11595" s="11"/>
      <c r="P11595" s="11"/>
    </row>
    <row r="11596" spans="8:16" x14ac:dyDescent="0.25">
      <c r="H11596" s="12"/>
      <c r="I11596" s="12"/>
      <c r="J11596" s="12"/>
      <c r="K11596" s="12"/>
      <c r="L11596" s="12"/>
      <c r="M11596" s="11"/>
      <c r="N11596" s="11"/>
      <c r="O11596" s="11"/>
      <c r="P11596" s="11"/>
    </row>
    <row r="11597" spans="8:16" x14ac:dyDescent="0.25">
      <c r="H11597" s="12"/>
      <c r="I11597" s="12"/>
      <c r="J11597" s="12"/>
      <c r="K11597" s="12"/>
      <c r="L11597" s="12"/>
      <c r="M11597" s="11"/>
      <c r="N11597" s="11"/>
      <c r="O11597" s="11"/>
      <c r="P11597" s="11"/>
    </row>
    <row r="11598" spans="8:16" x14ac:dyDescent="0.25">
      <c r="H11598" s="12"/>
      <c r="I11598" s="12"/>
      <c r="J11598" s="12"/>
      <c r="K11598" s="12"/>
      <c r="L11598" s="12"/>
      <c r="M11598" s="11"/>
      <c r="N11598" s="11"/>
      <c r="O11598" s="11"/>
      <c r="P11598" s="11"/>
    </row>
    <row r="11599" spans="8:16" x14ac:dyDescent="0.25">
      <c r="H11599" s="12"/>
      <c r="I11599" s="12"/>
      <c r="J11599" s="12"/>
      <c r="K11599" s="12"/>
      <c r="L11599" s="12"/>
      <c r="M11599" s="11"/>
      <c r="N11599" s="11"/>
      <c r="O11599" s="11"/>
      <c r="P11599" s="11"/>
    </row>
    <row r="11600" spans="8:16" x14ac:dyDescent="0.25">
      <c r="H11600" s="12"/>
      <c r="I11600" s="12"/>
      <c r="J11600" s="12"/>
      <c r="K11600" s="12"/>
      <c r="L11600" s="12"/>
      <c r="M11600" s="11"/>
      <c r="N11600" s="11"/>
      <c r="O11600" s="11"/>
      <c r="P11600" s="11"/>
    </row>
    <row r="11601" spans="8:16" x14ac:dyDescent="0.25">
      <c r="H11601" s="12"/>
      <c r="I11601" s="12"/>
      <c r="J11601" s="12"/>
      <c r="K11601" s="12"/>
      <c r="L11601" s="12"/>
      <c r="M11601" s="11"/>
      <c r="N11601" s="11"/>
      <c r="O11601" s="11"/>
      <c r="P11601" s="11"/>
    </row>
    <row r="11602" spans="8:16" x14ac:dyDescent="0.25">
      <c r="H11602" s="12"/>
      <c r="I11602" s="12"/>
      <c r="J11602" s="12"/>
      <c r="K11602" s="12"/>
      <c r="L11602" s="12"/>
      <c r="M11602" s="11"/>
      <c r="N11602" s="11"/>
      <c r="O11602" s="11"/>
      <c r="P11602" s="11"/>
    </row>
    <row r="11603" spans="8:16" x14ac:dyDescent="0.25">
      <c r="H11603" s="12"/>
      <c r="I11603" s="12"/>
      <c r="J11603" s="12"/>
      <c r="K11603" s="12"/>
      <c r="L11603" s="12"/>
      <c r="M11603" s="11"/>
      <c r="N11603" s="11"/>
      <c r="O11603" s="11"/>
      <c r="P11603" s="11"/>
    </row>
    <row r="11604" spans="8:16" x14ac:dyDescent="0.25">
      <c r="H11604" s="12"/>
      <c r="I11604" s="12"/>
      <c r="J11604" s="12"/>
      <c r="K11604" s="12"/>
      <c r="L11604" s="12"/>
      <c r="M11604" s="11"/>
      <c r="N11604" s="11"/>
      <c r="O11604" s="11"/>
      <c r="P11604" s="11"/>
    </row>
    <row r="11605" spans="8:16" x14ac:dyDescent="0.25">
      <c r="H11605" s="12"/>
      <c r="I11605" s="12"/>
      <c r="J11605" s="12"/>
      <c r="K11605" s="12"/>
      <c r="L11605" s="12"/>
      <c r="M11605" s="11"/>
      <c r="N11605" s="11"/>
      <c r="O11605" s="11"/>
      <c r="P11605" s="11"/>
    </row>
    <row r="11606" spans="8:16" x14ac:dyDescent="0.25">
      <c r="H11606" s="12"/>
      <c r="I11606" s="12"/>
      <c r="J11606" s="12"/>
      <c r="K11606" s="12"/>
      <c r="L11606" s="12"/>
      <c r="M11606" s="11"/>
      <c r="N11606" s="11"/>
      <c r="O11606" s="11"/>
      <c r="P11606" s="11"/>
    </row>
    <row r="11607" spans="8:16" x14ac:dyDescent="0.25">
      <c r="H11607" s="12"/>
      <c r="I11607" s="12"/>
      <c r="J11607" s="12"/>
      <c r="K11607" s="12"/>
      <c r="L11607" s="12"/>
      <c r="M11607" s="11"/>
      <c r="N11607" s="11"/>
      <c r="O11607" s="11"/>
      <c r="P11607" s="11"/>
    </row>
    <row r="11608" spans="8:16" x14ac:dyDescent="0.25">
      <c r="H11608" s="12"/>
      <c r="I11608" s="12"/>
      <c r="J11608" s="12"/>
      <c r="K11608" s="12"/>
      <c r="L11608" s="12"/>
      <c r="M11608" s="11"/>
      <c r="N11608" s="11"/>
      <c r="O11608" s="11"/>
      <c r="P11608" s="11"/>
    </row>
    <row r="11609" spans="8:16" x14ac:dyDescent="0.25">
      <c r="H11609" s="12"/>
      <c r="I11609" s="12"/>
      <c r="J11609" s="12"/>
      <c r="K11609" s="12"/>
      <c r="L11609" s="12"/>
      <c r="M11609" s="11"/>
      <c r="N11609" s="11"/>
      <c r="O11609" s="11"/>
      <c r="P11609" s="11"/>
    </row>
    <row r="11610" spans="8:16" x14ac:dyDescent="0.25">
      <c r="H11610" s="12"/>
      <c r="I11610" s="12"/>
      <c r="J11610" s="12"/>
      <c r="K11610" s="12"/>
      <c r="L11610" s="12"/>
      <c r="M11610" s="11"/>
      <c r="N11610" s="11"/>
      <c r="O11610" s="11"/>
      <c r="P11610" s="11"/>
    </row>
    <row r="11611" spans="8:16" x14ac:dyDescent="0.25">
      <c r="H11611" s="12"/>
      <c r="I11611" s="12"/>
      <c r="J11611" s="12"/>
      <c r="K11611" s="12"/>
      <c r="L11611" s="12"/>
      <c r="M11611" s="11"/>
      <c r="N11611" s="11"/>
      <c r="O11611" s="11"/>
      <c r="P11611" s="11"/>
    </row>
    <row r="11612" spans="8:16" x14ac:dyDescent="0.25">
      <c r="H11612" s="12"/>
      <c r="I11612" s="12"/>
      <c r="J11612" s="12"/>
      <c r="K11612" s="12"/>
      <c r="L11612" s="12"/>
      <c r="M11612" s="11"/>
      <c r="N11612" s="11"/>
      <c r="O11612" s="11"/>
      <c r="P11612" s="11"/>
    </row>
    <row r="11613" spans="8:16" x14ac:dyDescent="0.25">
      <c r="H11613" s="12"/>
      <c r="I11613" s="12"/>
      <c r="J11613" s="12"/>
      <c r="K11613" s="12"/>
      <c r="L11613" s="12"/>
      <c r="M11613" s="11"/>
      <c r="N11613" s="11"/>
      <c r="O11613" s="11"/>
      <c r="P11613" s="11"/>
    </row>
    <row r="11614" spans="8:16" x14ac:dyDescent="0.25">
      <c r="H11614" s="12"/>
      <c r="I11614" s="12"/>
      <c r="J11614" s="12"/>
      <c r="K11614" s="12"/>
      <c r="L11614" s="12"/>
      <c r="M11614" s="11"/>
      <c r="N11614" s="11"/>
      <c r="O11614" s="11"/>
      <c r="P11614" s="11"/>
    </row>
    <row r="11615" spans="8:16" x14ac:dyDescent="0.25">
      <c r="H11615" s="12"/>
      <c r="I11615" s="12"/>
      <c r="J11615" s="12"/>
      <c r="K11615" s="12"/>
      <c r="L11615" s="12"/>
      <c r="M11615" s="11"/>
      <c r="N11615" s="11"/>
      <c r="O11615" s="11"/>
      <c r="P11615" s="11"/>
    </row>
    <row r="11616" spans="8:16" x14ac:dyDescent="0.25">
      <c r="H11616" s="12"/>
      <c r="I11616" s="12"/>
      <c r="J11616" s="12"/>
      <c r="K11616" s="12"/>
      <c r="L11616" s="12"/>
      <c r="M11616" s="11"/>
      <c r="N11616" s="11"/>
      <c r="O11616" s="11"/>
      <c r="P11616" s="11"/>
    </row>
    <row r="11617" spans="8:16" x14ac:dyDescent="0.25">
      <c r="H11617" s="12"/>
      <c r="I11617" s="12"/>
      <c r="J11617" s="12"/>
      <c r="K11617" s="12"/>
      <c r="L11617" s="12"/>
      <c r="M11617" s="11"/>
      <c r="N11617" s="11"/>
      <c r="O11617" s="11"/>
      <c r="P11617" s="11"/>
    </row>
    <row r="11618" spans="8:16" x14ac:dyDescent="0.25">
      <c r="H11618" s="12"/>
      <c r="I11618" s="12"/>
      <c r="J11618" s="12"/>
      <c r="K11618" s="12"/>
      <c r="L11618" s="12"/>
      <c r="M11618" s="11"/>
      <c r="N11618" s="11"/>
      <c r="O11618" s="11"/>
      <c r="P11618" s="11"/>
    </row>
    <row r="11619" spans="8:16" x14ac:dyDescent="0.25">
      <c r="H11619" s="12"/>
      <c r="I11619" s="12"/>
      <c r="J11619" s="12"/>
      <c r="K11619" s="12"/>
      <c r="L11619" s="12"/>
      <c r="M11619" s="11"/>
      <c r="N11619" s="11"/>
      <c r="O11619" s="11"/>
      <c r="P11619" s="11"/>
    </row>
    <row r="11620" spans="8:16" x14ac:dyDescent="0.25">
      <c r="H11620" s="12"/>
      <c r="I11620" s="12"/>
      <c r="J11620" s="12"/>
      <c r="K11620" s="12"/>
      <c r="L11620" s="12"/>
      <c r="M11620" s="11"/>
      <c r="N11620" s="11"/>
      <c r="O11620" s="11"/>
      <c r="P11620" s="11"/>
    </row>
    <row r="11621" spans="8:16" x14ac:dyDescent="0.25">
      <c r="H11621" s="12"/>
      <c r="I11621" s="12"/>
      <c r="J11621" s="12"/>
      <c r="K11621" s="12"/>
      <c r="L11621" s="12"/>
      <c r="M11621" s="11"/>
      <c r="N11621" s="11"/>
      <c r="O11621" s="11"/>
      <c r="P11621" s="11"/>
    </row>
    <row r="11622" spans="8:16" x14ac:dyDescent="0.25">
      <c r="H11622" s="12"/>
      <c r="I11622" s="12"/>
      <c r="J11622" s="12"/>
      <c r="K11622" s="12"/>
      <c r="L11622" s="12"/>
      <c r="M11622" s="11"/>
      <c r="N11622" s="11"/>
      <c r="O11622" s="11"/>
      <c r="P11622" s="11"/>
    </row>
    <row r="11623" spans="8:16" x14ac:dyDescent="0.25">
      <c r="H11623" s="12"/>
      <c r="I11623" s="12"/>
      <c r="J11623" s="12"/>
      <c r="K11623" s="12"/>
      <c r="L11623" s="12"/>
      <c r="M11623" s="11"/>
      <c r="N11623" s="11"/>
      <c r="O11623" s="11"/>
      <c r="P11623" s="11"/>
    </row>
    <row r="11624" spans="8:16" x14ac:dyDescent="0.25">
      <c r="H11624" s="12"/>
      <c r="I11624" s="12"/>
      <c r="J11624" s="12"/>
      <c r="K11624" s="12"/>
      <c r="L11624" s="12"/>
      <c r="M11624" s="11"/>
      <c r="N11624" s="11"/>
      <c r="O11624" s="11"/>
      <c r="P11624" s="11"/>
    </row>
    <row r="11625" spans="8:16" x14ac:dyDescent="0.25">
      <c r="H11625" s="12"/>
      <c r="I11625" s="12"/>
      <c r="J11625" s="12"/>
      <c r="K11625" s="12"/>
      <c r="L11625" s="12"/>
      <c r="M11625" s="11"/>
      <c r="N11625" s="11"/>
      <c r="O11625" s="11"/>
      <c r="P11625" s="11"/>
    </row>
    <row r="11626" spans="8:16" x14ac:dyDescent="0.25">
      <c r="H11626" s="12"/>
      <c r="I11626" s="12"/>
      <c r="J11626" s="12"/>
      <c r="K11626" s="12"/>
      <c r="L11626" s="12"/>
      <c r="M11626" s="11"/>
      <c r="N11626" s="11"/>
      <c r="O11626" s="11"/>
      <c r="P11626" s="11"/>
    </row>
    <row r="11627" spans="8:16" x14ac:dyDescent="0.25">
      <c r="H11627" s="12"/>
      <c r="I11627" s="12"/>
      <c r="J11627" s="12"/>
      <c r="K11627" s="12"/>
      <c r="L11627" s="12"/>
      <c r="M11627" s="11"/>
      <c r="N11627" s="11"/>
      <c r="O11627" s="11"/>
      <c r="P11627" s="11"/>
    </row>
    <row r="11628" spans="8:16" x14ac:dyDescent="0.25">
      <c r="H11628" s="12"/>
      <c r="I11628" s="12"/>
      <c r="J11628" s="12"/>
      <c r="K11628" s="12"/>
      <c r="L11628" s="12"/>
      <c r="M11628" s="11"/>
      <c r="N11628" s="11"/>
      <c r="O11628" s="11"/>
      <c r="P11628" s="11"/>
    </row>
    <row r="11629" spans="8:16" x14ac:dyDescent="0.25">
      <c r="H11629" s="12"/>
      <c r="I11629" s="12"/>
      <c r="J11629" s="12"/>
      <c r="K11629" s="12"/>
      <c r="L11629" s="12"/>
      <c r="M11629" s="11"/>
      <c r="N11629" s="11"/>
      <c r="O11629" s="11"/>
      <c r="P11629" s="11"/>
    </row>
    <row r="11630" spans="8:16" x14ac:dyDescent="0.25">
      <c r="H11630" s="12"/>
      <c r="I11630" s="12"/>
      <c r="J11630" s="12"/>
      <c r="K11630" s="12"/>
      <c r="L11630" s="12"/>
      <c r="M11630" s="11"/>
      <c r="N11630" s="11"/>
      <c r="O11630" s="11"/>
      <c r="P11630" s="11"/>
    </row>
    <row r="11631" spans="8:16" x14ac:dyDescent="0.25">
      <c r="H11631" s="12"/>
      <c r="I11631" s="12"/>
      <c r="J11631" s="12"/>
      <c r="K11631" s="12"/>
      <c r="L11631" s="12"/>
      <c r="M11631" s="11"/>
      <c r="N11631" s="11"/>
      <c r="O11631" s="11"/>
      <c r="P11631" s="11"/>
    </row>
    <row r="11632" spans="8:16" x14ac:dyDescent="0.25">
      <c r="H11632" s="12"/>
      <c r="I11632" s="12"/>
      <c r="J11632" s="12"/>
      <c r="K11632" s="12"/>
      <c r="L11632" s="12"/>
      <c r="M11632" s="11"/>
      <c r="N11632" s="11"/>
      <c r="O11632" s="11"/>
      <c r="P11632" s="11"/>
    </row>
    <row r="11633" spans="8:16" x14ac:dyDescent="0.25">
      <c r="H11633" s="12"/>
      <c r="I11633" s="12"/>
      <c r="J11633" s="12"/>
      <c r="K11633" s="12"/>
      <c r="L11633" s="12"/>
      <c r="M11633" s="11"/>
      <c r="N11633" s="11"/>
      <c r="O11633" s="11"/>
      <c r="P11633" s="11"/>
    </row>
    <row r="11634" spans="8:16" x14ac:dyDescent="0.25">
      <c r="H11634" s="12"/>
      <c r="I11634" s="12"/>
      <c r="J11634" s="12"/>
      <c r="K11634" s="12"/>
      <c r="L11634" s="12"/>
      <c r="M11634" s="11"/>
      <c r="N11634" s="11"/>
      <c r="O11634" s="11"/>
      <c r="P11634" s="11"/>
    </row>
    <row r="11635" spans="8:16" x14ac:dyDescent="0.25">
      <c r="H11635" s="12"/>
      <c r="I11635" s="12"/>
      <c r="J11635" s="12"/>
      <c r="K11635" s="12"/>
      <c r="L11635" s="12"/>
      <c r="M11635" s="11"/>
      <c r="N11635" s="11"/>
      <c r="O11635" s="11"/>
      <c r="P11635" s="11"/>
    </row>
    <row r="11636" spans="8:16" x14ac:dyDescent="0.25">
      <c r="H11636" s="12"/>
      <c r="I11636" s="12"/>
      <c r="J11636" s="12"/>
      <c r="K11636" s="12"/>
      <c r="L11636" s="12"/>
      <c r="M11636" s="11"/>
      <c r="N11636" s="11"/>
      <c r="O11636" s="11"/>
      <c r="P11636" s="11"/>
    </row>
    <row r="11637" spans="8:16" x14ac:dyDescent="0.25">
      <c r="H11637" s="12"/>
      <c r="I11637" s="12"/>
      <c r="J11637" s="12"/>
      <c r="K11637" s="12"/>
      <c r="L11637" s="12"/>
      <c r="M11637" s="11"/>
      <c r="N11637" s="11"/>
      <c r="O11637" s="11"/>
      <c r="P11637" s="11"/>
    </row>
    <row r="11638" spans="8:16" x14ac:dyDescent="0.25">
      <c r="H11638" s="12"/>
      <c r="I11638" s="12"/>
      <c r="J11638" s="12"/>
      <c r="K11638" s="12"/>
      <c r="L11638" s="12"/>
      <c r="M11638" s="11"/>
      <c r="N11638" s="11"/>
      <c r="O11638" s="11"/>
      <c r="P11638" s="11"/>
    </row>
    <row r="11639" spans="8:16" x14ac:dyDescent="0.25">
      <c r="H11639" s="12"/>
      <c r="I11639" s="12"/>
      <c r="J11639" s="12"/>
      <c r="K11639" s="12"/>
      <c r="L11639" s="12"/>
      <c r="M11639" s="11"/>
      <c r="N11639" s="11"/>
      <c r="O11639" s="11"/>
      <c r="P11639" s="11"/>
    </row>
    <row r="11640" spans="8:16" x14ac:dyDescent="0.25">
      <c r="H11640" s="12"/>
      <c r="I11640" s="12"/>
      <c r="J11640" s="12"/>
      <c r="K11640" s="12"/>
      <c r="L11640" s="12"/>
      <c r="M11640" s="11"/>
      <c r="N11640" s="11"/>
      <c r="O11640" s="11"/>
      <c r="P11640" s="11"/>
    </row>
    <row r="11641" spans="8:16" x14ac:dyDescent="0.25">
      <c r="H11641" s="12"/>
      <c r="I11641" s="12"/>
      <c r="J11641" s="12"/>
      <c r="K11641" s="12"/>
      <c r="L11641" s="12"/>
      <c r="M11641" s="11"/>
      <c r="N11641" s="11"/>
      <c r="O11641" s="11"/>
      <c r="P11641" s="11"/>
    </row>
    <row r="11642" spans="8:16" x14ac:dyDescent="0.25">
      <c r="H11642" s="12"/>
      <c r="I11642" s="12"/>
      <c r="J11642" s="12"/>
      <c r="K11642" s="12"/>
      <c r="L11642" s="12"/>
      <c r="M11642" s="11"/>
      <c r="N11642" s="11"/>
      <c r="O11642" s="11"/>
      <c r="P11642" s="11"/>
    </row>
    <row r="11643" spans="8:16" x14ac:dyDescent="0.25">
      <c r="H11643" s="12"/>
      <c r="I11643" s="12"/>
      <c r="J11643" s="12"/>
      <c r="K11643" s="12"/>
      <c r="L11643" s="12"/>
      <c r="M11643" s="11"/>
      <c r="N11643" s="11"/>
      <c r="O11643" s="11"/>
      <c r="P11643" s="11"/>
    </row>
    <row r="11644" spans="8:16" x14ac:dyDescent="0.25">
      <c r="H11644" s="12"/>
      <c r="I11644" s="12"/>
      <c r="J11644" s="12"/>
      <c r="K11644" s="12"/>
      <c r="L11644" s="12"/>
      <c r="M11644" s="11"/>
      <c r="N11644" s="11"/>
      <c r="O11644" s="11"/>
      <c r="P11644" s="11"/>
    </row>
    <row r="11645" spans="8:16" x14ac:dyDescent="0.25">
      <c r="H11645" s="12"/>
      <c r="I11645" s="12"/>
      <c r="J11645" s="12"/>
      <c r="K11645" s="12"/>
      <c r="L11645" s="12"/>
      <c r="M11645" s="11"/>
      <c r="N11645" s="11"/>
      <c r="O11645" s="11"/>
      <c r="P11645" s="11"/>
    </row>
    <row r="11646" spans="8:16" x14ac:dyDescent="0.25">
      <c r="H11646" s="12"/>
      <c r="I11646" s="12"/>
      <c r="J11646" s="12"/>
      <c r="K11646" s="12"/>
      <c r="L11646" s="12"/>
      <c r="M11646" s="11"/>
      <c r="N11646" s="11"/>
      <c r="O11646" s="11"/>
      <c r="P11646" s="11"/>
    </row>
    <row r="11647" spans="8:16" x14ac:dyDescent="0.25">
      <c r="H11647" s="12"/>
      <c r="I11647" s="12"/>
      <c r="J11647" s="12"/>
      <c r="K11647" s="12"/>
      <c r="L11647" s="12"/>
      <c r="M11647" s="11"/>
      <c r="N11647" s="11"/>
      <c r="O11647" s="11"/>
      <c r="P11647" s="11"/>
    </row>
    <row r="11648" spans="8:16" x14ac:dyDescent="0.25">
      <c r="H11648" s="12"/>
      <c r="I11648" s="12"/>
      <c r="J11648" s="12"/>
      <c r="K11648" s="12"/>
      <c r="L11648" s="12"/>
      <c r="M11648" s="11"/>
      <c r="N11648" s="11"/>
      <c r="O11648" s="11"/>
      <c r="P11648" s="11"/>
    </row>
    <row r="11649" spans="8:16" x14ac:dyDescent="0.25">
      <c r="H11649" s="12"/>
      <c r="I11649" s="12"/>
      <c r="J11649" s="12"/>
      <c r="K11649" s="12"/>
      <c r="L11649" s="12"/>
      <c r="M11649" s="11"/>
      <c r="N11649" s="11"/>
      <c r="O11649" s="11"/>
      <c r="P11649" s="11"/>
    </row>
    <row r="11650" spans="8:16" x14ac:dyDescent="0.25">
      <c r="H11650" s="12"/>
      <c r="I11650" s="12"/>
      <c r="J11650" s="12"/>
      <c r="K11650" s="12"/>
      <c r="L11650" s="12"/>
      <c r="M11650" s="11"/>
      <c r="N11650" s="11"/>
      <c r="O11650" s="11"/>
      <c r="P11650" s="11"/>
    </row>
    <row r="11651" spans="8:16" x14ac:dyDescent="0.25">
      <c r="H11651" s="12"/>
      <c r="I11651" s="12"/>
      <c r="J11651" s="12"/>
      <c r="K11651" s="12"/>
      <c r="L11651" s="12"/>
      <c r="M11651" s="11"/>
      <c r="N11651" s="11"/>
      <c r="O11651" s="11"/>
      <c r="P11651" s="11"/>
    </row>
    <row r="11652" spans="8:16" x14ac:dyDescent="0.25">
      <c r="H11652" s="12"/>
      <c r="I11652" s="12"/>
      <c r="J11652" s="12"/>
      <c r="K11652" s="12"/>
      <c r="L11652" s="12"/>
      <c r="M11652" s="11"/>
      <c r="N11652" s="11"/>
      <c r="O11652" s="11"/>
      <c r="P11652" s="11"/>
    </row>
    <row r="11653" spans="8:16" x14ac:dyDescent="0.25">
      <c r="H11653" s="12"/>
      <c r="I11653" s="12"/>
      <c r="J11653" s="12"/>
      <c r="K11653" s="12"/>
      <c r="L11653" s="12"/>
      <c r="M11653" s="11"/>
      <c r="N11653" s="11"/>
      <c r="O11653" s="11"/>
      <c r="P11653" s="11"/>
    </row>
    <row r="11654" spans="8:16" x14ac:dyDescent="0.25">
      <c r="H11654" s="12"/>
      <c r="I11654" s="12"/>
      <c r="J11654" s="12"/>
      <c r="K11654" s="12"/>
      <c r="L11654" s="12"/>
      <c r="M11654" s="11"/>
      <c r="N11654" s="11"/>
      <c r="O11654" s="11"/>
      <c r="P11654" s="11"/>
    </row>
    <row r="11655" spans="8:16" x14ac:dyDescent="0.25">
      <c r="H11655" s="12"/>
      <c r="I11655" s="12"/>
      <c r="J11655" s="12"/>
      <c r="K11655" s="12"/>
      <c r="L11655" s="12"/>
      <c r="M11655" s="11"/>
      <c r="N11655" s="11"/>
      <c r="O11655" s="11"/>
      <c r="P11655" s="11"/>
    </row>
    <row r="11656" spans="8:16" x14ac:dyDescent="0.25">
      <c r="H11656" s="12"/>
      <c r="I11656" s="12"/>
      <c r="J11656" s="12"/>
      <c r="K11656" s="12"/>
      <c r="L11656" s="12"/>
      <c r="M11656" s="11"/>
      <c r="N11656" s="11"/>
      <c r="O11656" s="11"/>
      <c r="P11656" s="11"/>
    </row>
    <row r="11657" spans="8:16" x14ac:dyDescent="0.25">
      <c r="H11657" s="12"/>
      <c r="I11657" s="12"/>
      <c r="J11657" s="12"/>
      <c r="K11657" s="12"/>
      <c r="L11657" s="12"/>
      <c r="M11657" s="11"/>
      <c r="N11657" s="11"/>
      <c r="O11657" s="11"/>
      <c r="P11657" s="11"/>
    </row>
    <row r="11658" spans="8:16" x14ac:dyDescent="0.25">
      <c r="H11658" s="12"/>
      <c r="I11658" s="12"/>
      <c r="J11658" s="12"/>
      <c r="K11658" s="12"/>
      <c r="L11658" s="12"/>
      <c r="M11658" s="11"/>
      <c r="N11658" s="11"/>
      <c r="O11658" s="11"/>
      <c r="P11658" s="11"/>
    </row>
    <row r="11659" spans="8:16" x14ac:dyDescent="0.25">
      <c r="H11659" s="12"/>
      <c r="I11659" s="12"/>
      <c r="J11659" s="12"/>
      <c r="K11659" s="12"/>
      <c r="L11659" s="12"/>
      <c r="M11659" s="11"/>
      <c r="N11659" s="11"/>
      <c r="O11659" s="11"/>
      <c r="P11659" s="11"/>
    </row>
    <row r="11660" spans="8:16" x14ac:dyDescent="0.25">
      <c r="H11660" s="12"/>
      <c r="I11660" s="12"/>
      <c r="J11660" s="12"/>
      <c r="K11660" s="12"/>
      <c r="L11660" s="12"/>
      <c r="M11660" s="11"/>
      <c r="N11660" s="11"/>
      <c r="O11660" s="11"/>
      <c r="P11660" s="11"/>
    </row>
    <row r="11661" spans="8:16" x14ac:dyDescent="0.25">
      <c r="H11661" s="12"/>
      <c r="I11661" s="12"/>
      <c r="J11661" s="12"/>
      <c r="K11661" s="12"/>
      <c r="L11661" s="12"/>
      <c r="M11661" s="11"/>
      <c r="N11661" s="11"/>
      <c r="O11661" s="11"/>
      <c r="P11661" s="11"/>
    </row>
    <row r="11662" spans="8:16" x14ac:dyDescent="0.25">
      <c r="H11662" s="12"/>
      <c r="I11662" s="12"/>
      <c r="J11662" s="12"/>
      <c r="K11662" s="12"/>
      <c r="L11662" s="12"/>
      <c r="M11662" s="11"/>
      <c r="N11662" s="11"/>
      <c r="O11662" s="11"/>
      <c r="P11662" s="11"/>
    </row>
    <row r="11663" spans="8:16" x14ac:dyDescent="0.25">
      <c r="H11663" s="12"/>
      <c r="I11663" s="12"/>
      <c r="J11663" s="12"/>
      <c r="K11663" s="12"/>
      <c r="L11663" s="12"/>
      <c r="M11663" s="11"/>
      <c r="N11663" s="11"/>
      <c r="O11663" s="11"/>
      <c r="P11663" s="11"/>
    </row>
    <row r="11664" spans="8:16" x14ac:dyDescent="0.25">
      <c r="H11664" s="12"/>
      <c r="I11664" s="12"/>
      <c r="J11664" s="12"/>
      <c r="K11664" s="12"/>
      <c r="L11664" s="12"/>
      <c r="M11664" s="11"/>
      <c r="N11664" s="11"/>
      <c r="O11664" s="11"/>
      <c r="P11664" s="11"/>
    </row>
    <row r="11665" spans="8:16" x14ac:dyDescent="0.25">
      <c r="H11665" s="12"/>
      <c r="I11665" s="12"/>
      <c r="J11665" s="12"/>
      <c r="K11665" s="12"/>
      <c r="L11665" s="12"/>
      <c r="M11665" s="11"/>
      <c r="N11665" s="11"/>
      <c r="O11665" s="11"/>
      <c r="P11665" s="11"/>
    </row>
    <row r="11666" spans="8:16" x14ac:dyDescent="0.25">
      <c r="H11666" s="12"/>
      <c r="I11666" s="12"/>
      <c r="J11666" s="12"/>
      <c r="K11666" s="12"/>
      <c r="L11666" s="12"/>
      <c r="M11666" s="11"/>
      <c r="N11666" s="11"/>
      <c r="O11666" s="11"/>
      <c r="P11666" s="11"/>
    </row>
    <row r="11667" spans="8:16" x14ac:dyDescent="0.25">
      <c r="H11667" s="12"/>
      <c r="I11667" s="12"/>
      <c r="J11667" s="12"/>
      <c r="K11667" s="12"/>
      <c r="L11667" s="12"/>
      <c r="M11667" s="11"/>
      <c r="N11667" s="11"/>
      <c r="O11667" s="11"/>
      <c r="P11667" s="11"/>
    </row>
    <row r="11668" spans="8:16" x14ac:dyDescent="0.25">
      <c r="H11668" s="12"/>
      <c r="I11668" s="12"/>
      <c r="J11668" s="12"/>
      <c r="K11668" s="12"/>
      <c r="L11668" s="12"/>
      <c r="M11668" s="11"/>
      <c r="N11668" s="11"/>
      <c r="O11668" s="11"/>
      <c r="P11668" s="11"/>
    </row>
    <row r="11669" spans="8:16" x14ac:dyDescent="0.25">
      <c r="H11669" s="12"/>
      <c r="I11669" s="12"/>
      <c r="J11669" s="12"/>
      <c r="K11669" s="12"/>
      <c r="L11669" s="12"/>
      <c r="M11669" s="11"/>
      <c r="N11669" s="11"/>
      <c r="O11669" s="11"/>
      <c r="P11669" s="11"/>
    </row>
    <row r="11670" spans="8:16" x14ac:dyDescent="0.25">
      <c r="H11670" s="12"/>
      <c r="I11670" s="12"/>
      <c r="J11670" s="12"/>
      <c r="K11670" s="12"/>
      <c r="L11670" s="12"/>
      <c r="M11670" s="11"/>
      <c r="N11670" s="11"/>
      <c r="O11670" s="11"/>
      <c r="P11670" s="11"/>
    </row>
    <row r="11671" spans="8:16" x14ac:dyDescent="0.25">
      <c r="H11671" s="12"/>
      <c r="I11671" s="12"/>
      <c r="J11671" s="12"/>
      <c r="K11671" s="12"/>
      <c r="L11671" s="12"/>
      <c r="M11671" s="11"/>
      <c r="N11671" s="11"/>
      <c r="O11671" s="11"/>
      <c r="P11671" s="11"/>
    </row>
    <row r="11672" spans="8:16" x14ac:dyDescent="0.25">
      <c r="H11672" s="12"/>
      <c r="I11672" s="12"/>
      <c r="J11672" s="12"/>
      <c r="K11672" s="12"/>
      <c r="L11672" s="12"/>
      <c r="M11672" s="11"/>
      <c r="N11672" s="11"/>
      <c r="O11672" s="11"/>
      <c r="P11672" s="11"/>
    </row>
    <row r="11673" spans="8:16" x14ac:dyDescent="0.25">
      <c r="H11673" s="12"/>
      <c r="I11673" s="12"/>
      <c r="J11673" s="12"/>
      <c r="K11673" s="12"/>
      <c r="L11673" s="12"/>
      <c r="M11673" s="11"/>
      <c r="N11673" s="11"/>
      <c r="O11673" s="11"/>
      <c r="P11673" s="11"/>
    </row>
    <row r="11674" spans="8:16" x14ac:dyDescent="0.25">
      <c r="H11674" s="12"/>
      <c r="I11674" s="12"/>
      <c r="J11674" s="12"/>
      <c r="K11674" s="12"/>
      <c r="L11674" s="12"/>
      <c r="M11674" s="11"/>
      <c r="N11674" s="11"/>
      <c r="O11674" s="11"/>
      <c r="P11674" s="11"/>
    </row>
    <row r="11675" spans="8:16" x14ac:dyDescent="0.25">
      <c r="H11675" s="12"/>
      <c r="I11675" s="12"/>
      <c r="J11675" s="12"/>
      <c r="K11675" s="12"/>
      <c r="L11675" s="12"/>
      <c r="M11675" s="11"/>
      <c r="N11675" s="11"/>
      <c r="O11675" s="11"/>
      <c r="P11675" s="11"/>
    </row>
    <row r="11676" spans="8:16" x14ac:dyDescent="0.25">
      <c r="H11676" s="12"/>
      <c r="I11676" s="12"/>
      <c r="J11676" s="12"/>
      <c r="K11676" s="12"/>
      <c r="L11676" s="12"/>
      <c r="M11676" s="11"/>
      <c r="N11676" s="11"/>
      <c r="O11676" s="11"/>
      <c r="P11676" s="11"/>
    </row>
    <row r="11677" spans="8:16" x14ac:dyDescent="0.25">
      <c r="H11677" s="12"/>
      <c r="I11677" s="12"/>
      <c r="J11677" s="12"/>
      <c r="K11677" s="12"/>
      <c r="L11677" s="12"/>
      <c r="M11677" s="11"/>
      <c r="N11677" s="11"/>
      <c r="O11677" s="11"/>
      <c r="P11677" s="11"/>
    </row>
    <row r="11678" spans="8:16" x14ac:dyDescent="0.25">
      <c r="H11678" s="12"/>
      <c r="I11678" s="12"/>
      <c r="J11678" s="12"/>
      <c r="K11678" s="12"/>
      <c r="L11678" s="12"/>
      <c r="M11678" s="11"/>
      <c r="N11678" s="11"/>
      <c r="O11678" s="11"/>
      <c r="P11678" s="11"/>
    </row>
    <row r="11679" spans="8:16" x14ac:dyDescent="0.25">
      <c r="H11679" s="12"/>
      <c r="I11679" s="12"/>
      <c r="J11679" s="12"/>
      <c r="K11679" s="12"/>
      <c r="L11679" s="12"/>
      <c r="M11679" s="11"/>
      <c r="N11679" s="11"/>
      <c r="O11679" s="11"/>
      <c r="P11679" s="11"/>
    </row>
    <row r="11680" spans="8:16" x14ac:dyDescent="0.25">
      <c r="H11680" s="12"/>
      <c r="I11680" s="12"/>
      <c r="J11680" s="12"/>
      <c r="K11680" s="12"/>
      <c r="L11680" s="12"/>
      <c r="M11680" s="11"/>
      <c r="N11680" s="11"/>
      <c r="O11680" s="11"/>
      <c r="P11680" s="11"/>
    </row>
    <row r="11681" spans="8:16" x14ac:dyDescent="0.25">
      <c r="H11681" s="12"/>
      <c r="I11681" s="12"/>
      <c r="J11681" s="12"/>
      <c r="K11681" s="12"/>
      <c r="L11681" s="12"/>
      <c r="M11681" s="11"/>
      <c r="N11681" s="11"/>
      <c r="O11681" s="11"/>
      <c r="P11681" s="11"/>
    </row>
    <row r="11682" spans="8:16" x14ac:dyDescent="0.25">
      <c r="H11682" s="12"/>
      <c r="I11682" s="12"/>
      <c r="J11682" s="12"/>
      <c r="K11682" s="12"/>
      <c r="L11682" s="12"/>
      <c r="M11682" s="11"/>
      <c r="N11682" s="11"/>
      <c r="O11682" s="11"/>
      <c r="P11682" s="11"/>
    </row>
    <row r="11683" spans="8:16" x14ac:dyDescent="0.25">
      <c r="H11683" s="12"/>
      <c r="I11683" s="12"/>
      <c r="J11683" s="12"/>
      <c r="K11683" s="12"/>
      <c r="L11683" s="12"/>
      <c r="M11683" s="11"/>
      <c r="N11683" s="11"/>
      <c r="O11683" s="11"/>
      <c r="P11683" s="11"/>
    </row>
    <row r="11684" spans="8:16" x14ac:dyDescent="0.25">
      <c r="H11684" s="12"/>
      <c r="I11684" s="12"/>
      <c r="J11684" s="12"/>
      <c r="K11684" s="12"/>
      <c r="L11684" s="12"/>
      <c r="M11684" s="11"/>
      <c r="N11684" s="11"/>
      <c r="O11684" s="11"/>
      <c r="P11684" s="11"/>
    </row>
    <row r="11685" spans="8:16" x14ac:dyDescent="0.25">
      <c r="H11685" s="12"/>
      <c r="I11685" s="12"/>
      <c r="J11685" s="12"/>
      <c r="K11685" s="12"/>
      <c r="L11685" s="12"/>
      <c r="M11685" s="11"/>
      <c r="N11685" s="11"/>
      <c r="O11685" s="11"/>
      <c r="P11685" s="11"/>
    </row>
    <row r="11686" spans="8:16" x14ac:dyDescent="0.25">
      <c r="H11686" s="12"/>
      <c r="I11686" s="12"/>
      <c r="J11686" s="12"/>
      <c r="K11686" s="12"/>
      <c r="L11686" s="12"/>
      <c r="M11686" s="11"/>
      <c r="N11686" s="11"/>
      <c r="O11686" s="11"/>
      <c r="P11686" s="11"/>
    </row>
    <row r="11687" spans="8:16" x14ac:dyDescent="0.25">
      <c r="H11687" s="12"/>
      <c r="I11687" s="12"/>
      <c r="J11687" s="12"/>
      <c r="K11687" s="12"/>
      <c r="L11687" s="12"/>
      <c r="M11687" s="11"/>
      <c r="N11687" s="11"/>
      <c r="O11687" s="11"/>
      <c r="P11687" s="11"/>
    </row>
    <row r="11688" spans="8:16" x14ac:dyDescent="0.25">
      <c r="H11688" s="12"/>
      <c r="I11688" s="12"/>
      <c r="J11688" s="12"/>
      <c r="K11688" s="12"/>
      <c r="L11688" s="12"/>
      <c r="M11688" s="11"/>
      <c r="N11688" s="11"/>
      <c r="O11688" s="11"/>
      <c r="P11688" s="11"/>
    </row>
    <row r="11689" spans="8:16" x14ac:dyDescent="0.25">
      <c r="H11689" s="12"/>
      <c r="I11689" s="12"/>
      <c r="J11689" s="12"/>
      <c r="K11689" s="12"/>
      <c r="L11689" s="12"/>
      <c r="M11689" s="11"/>
      <c r="N11689" s="11"/>
      <c r="O11689" s="11"/>
      <c r="P11689" s="11"/>
    </row>
    <row r="11690" spans="8:16" x14ac:dyDescent="0.25">
      <c r="H11690" s="12"/>
      <c r="I11690" s="12"/>
      <c r="J11690" s="12"/>
      <c r="K11690" s="12"/>
      <c r="L11690" s="12"/>
      <c r="M11690" s="11"/>
      <c r="N11690" s="11"/>
      <c r="O11690" s="11"/>
      <c r="P11690" s="11"/>
    </row>
    <row r="11691" spans="8:16" x14ac:dyDescent="0.25">
      <c r="H11691" s="12"/>
      <c r="I11691" s="12"/>
      <c r="J11691" s="12"/>
      <c r="K11691" s="12"/>
      <c r="L11691" s="12"/>
      <c r="M11691" s="11"/>
      <c r="N11691" s="11"/>
      <c r="O11691" s="11"/>
      <c r="P11691" s="11"/>
    </row>
    <row r="11692" spans="8:16" x14ac:dyDescent="0.25">
      <c r="H11692" s="12"/>
      <c r="I11692" s="12"/>
      <c r="J11692" s="12"/>
      <c r="K11692" s="12"/>
      <c r="L11692" s="12"/>
      <c r="M11692" s="11"/>
      <c r="N11692" s="11"/>
      <c r="O11692" s="11"/>
      <c r="P11692" s="11"/>
    </row>
    <row r="11693" spans="8:16" x14ac:dyDescent="0.25">
      <c r="H11693" s="12"/>
      <c r="I11693" s="12"/>
      <c r="J11693" s="12"/>
      <c r="K11693" s="12"/>
      <c r="L11693" s="12"/>
      <c r="M11693" s="11"/>
      <c r="N11693" s="11"/>
      <c r="O11693" s="11"/>
      <c r="P11693" s="11"/>
    </row>
    <row r="11694" spans="8:16" x14ac:dyDescent="0.25">
      <c r="H11694" s="12"/>
      <c r="I11694" s="12"/>
      <c r="J11694" s="12"/>
      <c r="K11694" s="12"/>
      <c r="L11694" s="12"/>
      <c r="M11694" s="11"/>
      <c r="N11694" s="11"/>
      <c r="O11694" s="11"/>
      <c r="P11694" s="11"/>
    </row>
    <row r="11695" spans="8:16" x14ac:dyDescent="0.25">
      <c r="H11695" s="12"/>
      <c r="I11695" s="12"/>
      <c r="J11695" s="12"/>
      <c r="K11695" s="12"/>
      <c r="L11695" s="12"/>
      <c r="M11695" s="11"/>
      <c r="N11695" s="11"/>
      <c r="O11695" s="11"/>
      <c r="P11695" s="11"/>
    </row>
    <row r="11696" spans="8:16" x14ac:dyDescent="0.25">
      <c r="H11696" s="12"/>
      <c r="I11696" s="12"/>
      <c r="J11696" s="12"/>
      <c r="K11696" s="12"/>
      <c r="L11696" s="12"/>
      <c r="M11696" s="11"/>
      <c r="N11696" s="11"/>
      <c r="O11696" s="11"/>
      <c r="P11696" s="11"/>
    </row>
    <row r="11697" spans="8:16" x14ac:dyDescent="0.25">
      <c r="H11697" s="12"/>
      <c r="I11697" s="12"/>
      <c r="J11697" s="12"/>
      <c r="K11697" s="12"/>
      <c r="L11697" s="12"/>
      <c r="M11697" s="11"/>
      <c r="N11697" s="11"/>
      <c r="O11697" s="11"/>
      <c r="P11697" s="11"/>
    </row>
    <row r="11698" spans="8:16" x14ac:dyDescent="0.25">
      <c r="H11698" s="12"/>
      <c r="I11698" s="12"/>
      <c r="J11698" s="12"/>
      <c r="K11698" s="12"/>
      <c r="L11698" s="12"/>
      <c r="M11698" s="11"/>
      <c r="N11698" s="11"/>
      <c r="O11698" s="11"/>
      <c r="P11698" s="11"/>
    </row>
    <row r="11699" spans="8:16" x14ac:dyDescent="0.25">
      <c r="H11699" s="12"/>
      <c r="I11699" s="12"/>
      <c r="J11699" s="12"/>
      <c r="K11699" s="12"/>
      <c r="L11699" s="12"/>
      <c r="M11699" s="11"/>
      <c r="N11699" s="11"/>
      <c r="O11699" s="11"/>
      <c r="P11699" s="11"/>
    </row>
    <row r="11700" spans="8:16" x14ac:dyDescent="0.25">
      <c r="H11700" s="12"/>
      <c r="I11700" s="12"/>
      <c r="J11700" s="12"/>
      <c r="K11700" s="12"/>
      <c r="L11700" s="12"/>
      <c r="M11700" s="11"/>
      <c r="N11700" s="11"/>
      <c r="O11700" s="11"/>
      <c r="P11700" s="11"/>
    </row>
    <row r="11701" spans="8:16" x14ac:dyDescent="0.25">
      <c r="H11701" s="12"/>
      <c r="I11701" s="12"/>
      <c r="J11701" s="12"/>
      <c r="K11701" s="12"/>
      <c r="L11701" s="12"/>
      <c r="M11701" s="11"/>
      <c r="N11701" s="11"/>
      <c r="O11701" s="11"/>
      <c r="P11701" s="11"/>
    </row>
    <row r="11702" spans="8:16" x14ac:dyDescent="0.25">
      <c r="H11702" s="12"/>
      <c r="I11702" s="12"/>
      <c r="J11702" s="12"/>
      <c r="K11702" s="12"/>
      <c r="L11702" s="12"/>
      <c r="M11702" s="11"/>
      <c r="N11702" s="11"/>
      <c r="O11702" s="11"/>
      <c r="P11702" s="11"/>
    </row>
    <row r="11703" spans="8:16" x14ac:dyDescent="0.25">
      <c r="H11703" s="12"/>
      <c r="I11703" s="12"/>
      <c r="J11703" s="12"/>
      <c r="K11703" s="12"/>
      <c r="L11703" s="12"/>
      <c r="M11703" s="11"/>
      <c r="N11703" s="11"/>
      <c r="O11703" s="11"/>
      <c r="P11703" s="11"/>
    </row>
    <row r="11704" spans="8:16" x14ac:dyDescent="0.25">
      <c r="H11704" s="12"/>
      <c r="I11704" s="12"/>
      <c r="J11704" s="12"/>
      <c r="K11704" s="12"/>
      <c r="L11704" s="12"/>
      <c r="M11704" s="11"/>
      <c r="N11704" s="11"/>
      <c r="O11704" s="11"/>
      <c r="P11704" s="11"/>
    </row>
    <row r="11705" spans="8:16" x14ac:dyDescent="0.25">
      <c r="H11705" s="12"/>
      <c r="I11705" s="12"/>
      <c r="J11705" s="12"/>
      <c r="K11705" s="12"/>
      <c r="L11705" s="12"/>
      <c r="M11705" s="11"/>
      <c r="N11705" s="11"/>
      <c r="O11705" s="11"/>
      <c r="P11705" s="11"/>
    </row>
    <row r="11706" spans="8:16" x14ac:dyDescent="0.25">
      <c r="H11706" s="12"/>
      <c r="I11706" s="12"/>
      <c r="J11706" s="12"/>
      <c r="K11706" s="12"/>
      <c r="L11706" s="12"/>
      <c r="M11706" s="11"/>
      <c r="N11706" s="11"/>
      <c r="O11706" s="11"/>
      <c r="P11706" s="11"/>
    </row>
    <row r="11707" spans="8:16" x14ac:dyDescent="0.25">
      <c r="H11707" s="12"/>
      <c r="I11707" s="12"/>
      <c r="J11707" s="12"/>
      <c r="K11707" s="12"/>
      <c r="L11707" s="12"/>
      <c r="M11707" s="11"/>
      <c r="N11707" s="11"/>
      <c r="O11707" s="11"/>
      <c r="P11707" s="11"/>
    </row>
    <row r="11708" spans="8:16" x14ac:dyDescent="0.25">
      <c r="H11708" s="12"/>
      <c r="I11708" s="12"/>
      <c r="J11708" s="12"/>
      <c r="K11708" s="12"/>
      <c r="L11708" s="12"/>
      <c r="M11708" s="11"/>
      <c r="N11708" s="11"/>
      <c r="O11708" s="11"/>
      <c r="P11708" s="11"/>
    </row>
    <row r="11709" spans="8:16" x14ac:dyDescent="0.25">
      <c r="H11709" s="12"/>
      <c r="I11709" s="12"/>
      <c r="J11709" s="12"/>
      <c r="K11709" s="12"/>
      <c r="L11709" s="12"/>
      <c r="M11709" s="11"/>
      <c r="N11709" s="11"/>
      <c r="O11709" s="11"/>
      <c r="P11709" s="11"/>
    </row>
    <row r="11710" spans="8:16" x14ac:dyDescent="0.25">
      <c r="H11710" s="12"/>
      <c r="I11710" s="12"/>
      <c r="J11710" s="12"/>
      <c r="K11710" s="12"/>
      <c r="L11710" s="12"/>
      <c r="M11710" s="11"/>
      <c r="N11710" s="11"/>
      <c r="O11710" s="11"/>
      <c r="P11710" s="11"/>
    </row>
    <row r="11711" spans="8:16" x14ac:dyDescent="0.25">
      <c r="H11711" s="12"/>
      <c r="I11711" s="12"/>
      <c r="J11711" s="12"/>
      <c r="K11711" s="12"/>
      <c r="L11711" s="12"/>
      <c r="M11711" s="11"/>
      <c r="N11711" s="11"/>
      <c r="O11711" s="11"/>
      <c r="P11711" s="11"/>
    </row>
    <row r="11712" spans="8:16" x14ac:dyDescent="0.25">
      <c r="H11712" s="12"/>
      <c r="I11712" s="12"/>
      <c r="J11712" s="12"/>
      <c r="K11712" s="12"/>
      <c r="L11712" s="12"/>
      <c r="M11712" s="11"/>
      <c r="N11712" s="11"/>
      <c r="O11712" s="11"/>
      <c r="P11712" s="11"/>
    </row>
    <row r="11713" spans="8:16" x14ac:dyDescent="0.25">
      <c r="H11713" s="12"/>
      <c r="I11713" s="12"/>
      <c r="J11713" s="12"/>
      <c r="K11713" s="12"/>
      <c r="L11713" s="12"/>
      <c r="M11713" s="11"/>
      <c r="N11713" s="11"/>
      <c r="O11713" s="11"/>
      <c r="P11713" s="11"/>
    </row>
    <row r="11714" spans="8:16" x14ac:dyDescent="0.25">
      <c r="H11714" s="12"/>
      <c r="I11714" s="12"/>
      <c r="J11714" s="12"/>
      <c r="K11714" s="12"/>
      <c r="L11714" s="12"/>
      <c r="M11714" s="11"/>
      <c r="N11714" s="11"/>
      <c r="O11714" s="11"/>
      <c r="P11714" s="11"/>
    </row>
    <row r="11715" spans="8:16" x14ac:dyDescent="0.25">
      <c r="H11715" s="12"/>
      <c r="I11715" s="12"/>
      <c r="J11715" s="12"/>
      <c r="K11715" s="12"/>
      <c r="L11715" s="12"/>
      <c r="M11715" s="11"/>
      <c r="N11715" s="11"/>
      <c r="O11715" s="11"/>
      <c r="P11715" s="11"/>
    </row>
    <row r="11716" spans="8:16" x14ac:dyDescent="0.25">
      <c r="H11716" s="12"/>
      <c r="I11716" s="12"/>
      <c r="J11716" s="12"/>
      <c r="K11716" s="12"/>
      <c r="L11716" s="12"/>
      <c r="M11716" s="11"/>
      <c r="N11716" s="11"/>
      <c r="O11716" s="11"/>
      <c r="P11716" s="11"/>
    </row>
    <row r="11717" spans="8:16" x14ac:dyDescent="0.25">
      <c r="H11717" s="12"/>
      <c r="I11717" s="12"/>
      <c r="J11717" s="12"/>
      <c r="K11717" s="12"/>
      <c r="L11717" s="12"/>
      <c r="M11717" s="11"/>
      <c r="N11717" s="11"/>
      <c r="O11717" s="11"/>
      <c r="P11717" s="11"/>
    </row>
    <row r="11718" spans="8:16" x14ac:dyDescent="0.25">
      <c r="H11718" s="12"/>
      <c r="I11718" s="12"/>
      <c r="J11718" s="12"/>
      <c r="K11718" s="12"/>
      <c r="L11718" s="12"/>
      <c r="M11718" s="11"/>
      <c r="N11718" s="11"/>
      <c r="O11718" s="11"/>
      <c r="P11718" s="11"/>
    </row>
    <row r="11719" spans="8:16" x14ac:dyDescent="0.25">
      <c r="H11719" s="12"/>
      <c r="I11719" s="12"/>
      <c r="J11719" s="12"/>
      <c r="K11719" s="12"/>
      <c r="L11719" s="12"/>
      <c r="M11719" s="11"/>
      <c r="N11719" s="11"/>
      <c r="O11719" s="11"/>
      <c r="P11719" s="11"/>
    </row>
    <row r="11720" spans="8:16" x14ac:dyDescent="0.25">
      <c r="H11720" s="12"/>
      <c r="I11720" s="12"/>
      <c r="J11720" s="12"/>
      <c r="K11720" s="12"/>
      <c r="L11720" s="12"/>
      <c r="M11720" s="11"/>
      <c r="N11720" s="11"/>
      <c r="O11720" s="11"/>
      <c r="P11720" s="11"/>
    </row>
    <row r="11721" spans="8:16" x14ac:dyDescent="0.25">
      <c r="H11721" s="12"/>
      <c r="I11721" s="12"/>
      <c r="J11721" s="12"/>
      <c r="K11721" s="12"/>
      <c r="L11721" s="12"/>
      <c r="M11721" s="11"/>
      <c r="N11721" s="11"/>
      <c r="O11721" s="11"/>
      <c r="P11721" s="11"/>
    </row>
    <row r="11722" spans="8:16" x14ac:dyDescent="0.25">
      <c r="H11722" s="12"/>
      <c r="I11722" s="12"/>
      <c r="J11722" s="12"/>
      <c r="K11722" s="12"/>
      <c r="L11722" s="12"/>
      <c r="M11722" s="11"/>
      <c r="N11722" s="11"/>
      <c r="O11722" s="11"/>
      <c r="P11722" s="11"/>
    </row>
    <row r="11723" spans="8:16" x14ac:dyDescent="0.25">
      <c r="H11723" s="12"/>
      <c r="I11723" s="12"/>
      <c r="J11723" s="12"/>
      <c r="K11723" s="12"/>
      <c r="L11723" s="12"/>
      <c r="M11723" s="11"/>
      <c r="N11723" s="11"/>
      <c r="O11723" s="11"/>
      <c r="P11723" s="11"/>
    </row>
    <row r="11724" spans="8:16" x14ac:dyDescent="0.25">
      <c r="H11724" s="12"/>
      <c r="I11724" s="12"/>
      <c r="J11724" s="12"/>
      <c r="K11724" s="12"/>
      <c r="L11724" s="12"/>
      <c r="M11724" s="11"/>
      <c r="N11724" s="11"/>
      <c r="O11724" s="11"/>
      <c r="P11724" s="11"/>
    </row>
    <row r="11725" spans="8:16" x14ac:dyDescent="0.25">
      <c r="H11725" s="12"/>
      <c r="I11725" s="12"/>
      <c r="J11725" s="12"/>
      <c r="K11725" s="12"/>
      <c r="L11725" s="12"/>
      <c r="M11725" s="11"/>
      <c r="N11725" s="11"/>
      <c r="O11725" s="11"/>
      <c r="P11725" s="11"/>
    </row>
    <row r="11726" spans="8:16" x14ac:dyDescent="0.25">
      <c r="H11726" s="12"/>
      <c r="I11726" s="12"/>
      <c r="J11726" s="12"/>
      <c r="K11726" s="12"/>
      <c r="L11726" s="12"/>
      <c r="M11726" s="11"/>
      <c r="N11726" s="11"/>
      <c r="O11726" s="11"/>
      <c r="P11726" s="11"/>
    </row>
    <row r="11727" spans="8:16" x14ac:dyDescent="0.25">
      <c r="H11727" s="12"/>
      <c r="I11727" s="12"/>
      <c r="J11727" s="12"/>
      <c r="K11727" s="12"/>
      <c r="L11727" s="12"/>
      <c r="M11727" s="11"/>
      <c r="N11727" s="11"/>
      <c r="O11727" s="11"/>
      <c r="P11727" s="11"/>
    </row>
    <row r="11728" spans="8:16" x14ac:dyDescent="0.25">
      <c r="H11728" s="12"/>
      <c r="I11728" s="12"/>
      <c r="J11728" s="12"/>
      <c r="K11728" s="12"/>
      <c r="L11728" s="12"/>
      <c r="M11728" s="11"/>
      <c r="N11728" s="11"/>
      <c r="O11728" s="11"/>
      <c r="P11728" s="11"/>
    </row>
    <row r="11729" spans="8:16" x14ac:dyDescent="0.25">
      <c r="H11729" s="12"/>
      <c r="I11729" s="12"/>
      <c r="J11729" s="12"/>
      <c r="K11729" s="12"/>
      <c r="L11729" s="12"/>
      <c r="M11729" s="11"/>
      <c r="N11729" s="11"/>
      <c r="O11729" s="11"/>
      <c r="P11729" s="11"/>
    </row>
    <row r="11730" spans="8:16" x14ac:dyDescent="0.25">
      <c r="H11730" s="12"/>
      <c r="I11730" s="12"/>
      <c r="J11730" s="12"/>
      <c r="K11730" s="12"/>
      <c r="L11730" s="12"/>
      <c r="M11730" s="11"/>
      <c r="N11730" s="11"/>
      <c r="O11730" s="11"/>
      <c r="P11730" s="11"/>
    </row>
    <row r="11731" spans="8:16" x14ac:dyDescent="0.25">
      <c r="H11731" s="12"/>
      <c r="I11731" s="12"/>
      <c r="J11731" s="12"/>
      <c r="K11731" s="12"/>
      <c r="L11731" s="12"/>
      <c r="M11731" s="11"/>
      <c r="N11731" s="11"/>
      <c r="O11731" s="11"/>
      <c r="P11731" s="11"/>
    </row>
    <row r="11732" spans="8:16" x14ac:dyDescent="0.25">
      <c r="H11732" s="12"/>
      <c r="I11732" s="12"/>
      <c r="J11732" s="12"/>
      <c r="K11732" s="12"/>
      <c r="L11732" s="12"/>
      <c r="M11732" s="11"/>
      <c r="N11732" s="11"/>
      <c r="O11732" s="11"/>
      <c r="P11732" s="11"/>
    </row>
    <row r="11733" spans="8:16" x14ac:dyDescent="0.25">
      <c r="H11733" s="12"/>
      <c r="I11733" s="12"/>
      <c r="J11733" s="12"/>
      <c r="K11733" s="12"/>
      <c r="L11733" s="12"/>
      <c r="M11733" s="11"/>
      <c r="N11733" s="11"/>
      <c r="O11733" s="11"/>
      <c r="P11733" s="11"/>
    </row>
    <row r="11734" spans="8:16" x14ac:dyDescent="0.25">
      <c r="H11734" s="12"/>
      <c r="I11734" s="12"/>
      <c r="J11734" s="12"/>
      <c r="K11734" s="12"/>
      <c r="L11734" s="12"/>
      <c r="M11734" s="11"/>
      <c r="N11734" s="11"/>
      <c r="O11734" s="11"/>
      <c r="P11734" s="11"/>
    </row>
    <row r="11735" spans="8:16" x14ac:dyDescent="0.25">
      <c r="H11735" s="12"/>
      <c r="I11735" s="12"/>
      <c r="J11735" s="12"/>
      <c r="K11735" s="12"/>
      <c r="L11735" s="12"/>
      <c r="M11735" s="11"/>
      <c r="N11735" s="11"/>
      <c r="O11735" s="11"/>
      <c r="P11735" s="11"/>
    </row>
    <row r="11736" spans="8:16" x14ac:dyDescent="0.25">
      <c r="H11736" s="12"/>
      <c r="I11736" s="12"/>
      <c r="J11736" s="12"/>
      <c r="K11736" s="12"/>
      <c r="L11736" s="12"/>
      <c r="M11736" s="11"/>
      <c r="N11736" s="11"/>
      <c r="O11736" s="11"/>
      <c r="P11736" s="11"/>
    </row>
    <row r="11737" spans="8:16" x14ac:dyDescent="0.25">
      <c r="H11737" s="12"/>
      <c r="I11737" s="12"/>
      <c r="J11737" s="12"/>
      <c r="K11737" s="12"/>
      <c r="L11737" s="12"/>
      <c r="M11737" s="11"/>
      <c r="N11737" s="11"/>
      <c r="O11737" s="11"/>
      <c r="P11737" s="11"/>
    </row>
    <row r="11738" spans="8:16" x14ac:dyDescent="0.25">
      <c r="H11738" s="12"/>
      <c r="I11738" s="12"/>
      <c r="J11738" s="12"/>
      <c r="K11738" s="12"/>
      <c r="L11738" s="12"/>
      <c r="M11738" s="11"/>
      <c r="N11738" s="11"/>
      <c r="O11738" s="11"/>
      <c r="P11738" s="11"/>
    </row>
    <row r="11739" spans="8:16" x14ac:dyDescent="0.25">
      <c r="H11739" s="12"/>
      <c r="I11739" s="12"/>
      <c r="J11739" s="12"/>
      <c r="K11739" s="12"/>
      <c r="L11739" s="12"/>
      <c r="M11739" s="11"/>
      <c r="N11739" s="11"/>
      <c r="O11739" s="11"/>
      <c r="P11739" s="11"/>
    </row>
    <row r="11740" spans="8:16" x14ac:dyDescent="0.25">
      <c r="H11740" s="12"/>
      <c r="I11740" s="12"/>
      <c r="J11740" s="12"/>
      <c r="K11740" s="12"/>
      <c r="L11740" s="12"/>
      <c r="M11740" s="11"/>
      <c r="N11740" s="11"/>
      <c r="O11740" s="11"/>
      <c r="P11740" s="11"/>
    </row>
    <row r="11741" spans="8:16" x14ac:dyDescent="0.25">
      <c r="H11741" s="12"/>
      <c r="I11741" s="12"/>
      <c r="J11741" s="12"/>
      <c r="K11741" s="12"/>
      <c r="L11741" s="12"/>
      <c r="M11741" s="11"/>
      <c r="N11741" s="11"/>
      <c r="O11741" s="11"/>
      <c r="P11741" s="11"/>
    </row>
    <row r="11742" spans="8:16" x14ac:dyDescent="0.25">
      <c r="H11742" s="12"/>
      <c r="I11742" s="12"/>
      <c r="J11742" s="12"/>
      <c r="K11742" s="12"/>
      <c r="L11742" s="12"/>
      <c r="M11742" s="11"/>
      <c r="N11742" s="11"/>
      <c r="O11742" s="11"/>
      <c r="P11742" s="11"/>
    </row>
    <row r="11743" spans="8:16" x14ac:dyDescent="0.25">
      <c r="H11743" s="12"/>
      <c r="I11743" s="12"/>
      <c r="J11743" s="12"/>
      <c r="K11743" s="12"/>
      <c r="L11743" s="12"/>
      <c r="M11743" s="11"/>
      <c r="N11743" s="11"/>
      <c r="O11743" s="11"/>
      <c r="P11743" s="11"/>
    </row>
    <row r="11744" spans="8:16" x14ac:dyDescent="0.25">
      <c r="H11744" s="12"/>
      <c r="I11744" s="12"/>
      <c r="J11744" s="12"/>
      <c r="K11744" s="12"/>
      <c r="L11744" s="12"/>
      <c r="M11744" s="11"/>
      <c r="N11744" s="11"/>
      <c r="O11744" s="11"/>
      <c r="P11744" s="11"/>
    </row>
    <row r="11745" spans="8:16" x14ac:dyDescent="0.25">
      <c r="H11745" s="12"/>
      <c r="I11745" s="12"/>
      <c r="J11745" s="12"/>
      <c r="K11745" s="12"/>
      <c r="L11745" s="12"/>
      <c r="M11745" s="11"/>
      <c r="N11745" s="11"/>
      <c r="O11745" s="11"/>
      <c r="P11745" s="11"/>
    </row>
    <row r="11746" spans="8:16" x14ac:dyDescent="0.25">
      <c r="H11746" s="12"/>
      <c r="I11746" s="12"/>
      <c r="J11746" s="12"/>
      <c r="K11746" s="12"/>
      <c r="L11746" s="12"/>
      <c r="M11746" s="11"/>
      <c r="N11746" s="11"/>
      <c r="O11746" s="11"/>
      <c r="P11746" s="11"/>
    </row>
    <row r="11747" spans="8:16" x14ac:dyDescent="0.25">
      <c r="H11747" s="12"/>
      <c r="I11747" s="12"/>
      <c r="J11747" s="12"/>
      <c r="K11747" s="12"/>
      <c r="L11747" s="12"/>
      <c r="M11747" s="11"/>
      <c r="N11747" s="11"/>
      <c r="O11747" s="11"/>
      <c r="P11747" s="11"/>
    </row>
    <row r="11748" spans="8:16" x14ac:dyDescent="0.25">
      <c r="H11748" s="12"/>
      <c r="I11748" s="12"/>
      <c r="J11748" s="12"/>
      <c r="K11748" s="12"/>
      <c r="L11748" s="12"/>
      <c r="M11748" s="11"/>
      <c r="N11748" s="11"/>
      <c r="O11748" s="11"/>
      <c r="P11748" s="11"/>
    </row>
    <row r="11749" spans="8:16" x14ac:dyDescent="0.25">
      <c r="H11749" s="12"/>
      <c r="I11749" s="12"/>
      <c r="J11749" s="12"/>
      <c r="K11749" s="12"/>
      <c r="L11749" s="12"/>
      <c r="M11749" s="11"/>
      <c r="N11749" s="11"/>
      <c r="O11749" s="11"/>
      <c r="P11749" s="11"/>
    </row>
    <row r="11750" spans="8:16" x14ac:dyDescent="0.25">
      <c r="H11750" s="12"/>
      <c r="I11750" s="12"/>
      <c r="J11750" s="12"/>
      <c r="K11750" s="12"/>
      <c r="L11750" s="12"/>
      <c r="M11750" s="11"/>
      <c r="N11750" s="11"/>
      <c r="O11750" s="11"/>
      <c r="P11750" s="11"/>
    </row>
    <row r="11751" spans="8:16" x14ac:dyDescent="0.25">
      <c r="H11751" s="12"/>
      <c r="I11751" s="12"/>
      <c r="J11751" s="12"/>
      <c r="K11751" s="12"/>
      <c r="L11751" s="12"/>
      <c r="M11751" s="11"/>
      <c r="N11751" s="11"/>
      <c r="O11751" s="11"/>
      <c r="P11751" s="11"/>
    </row>
    <row r="11752" spans="8:16" x14ac:dyDescent="0.25">
      <c r="H11752" s="12"/>
      <c r="I11752" s="12"/>
      <c r="J11752" s="12"/>
      <c r="K11752" s="12"/>
      <c r="L11752" s="12"/>
      <c r="M11752" s="11"/>
      <c r="N11752" s="11"/>
      <c r="O11752" s="11"/>
      <c r="P11752" s="11"/>
    </row>
    <row r="11753" spans="8:16" x14ac:dyDescent="0.25">
      <c r="H11753" s="12"/>
      <c r="I11753" s="12"/>
      <c r="J11753" s="12"/>
      <c r="K11753" s="12"/>
      <c r="L11753" s="12"/>
      <c r="M11753" s="11"/>
      <c r="N11753" s="11"/>
      <c r="O11753" s="11"/>
      <c r="P11753" s="11"/>
    </row>
    <row r="11754" spans="8:16" x14ac:dyDescent="0.25">
      <c r="H11754" s="12"/>
      <c r="I11754" s="12"/>
      <c r="J11754" s="12"/>
      <c r="K11754" s="12"/>
      <c r="L11754" s="12"/>
      <c r="M11754" s="11"/>
      <c r="N11754" s="11"/>
      <c r="O11754" s="11"/>
      <c r="P11754" s="11"/>
    </row>
    <row r="11755" spans="8:16" x14ac:dyDescent="0.25">
      <c r="H11755" s="12"/>
      <c r="I11755" s="12"/>
      <c r="J11755" s="12"/>
      <c r="K11755" s="12"/>
      <c r="L11755" s="12"/>
      <c r="M11755" s="11"/>
      <c r="N11755" s="11"/>
      <c r="O11755" s="11"/>
      <c r="P11755" s="11"/>
    </row>
    <row r="11756" spans="8:16" x14ac:dyDescent="0.25">
      <c r="H11756" s="12"/>
      <c r="I11756" s="12"/>
      <c r="J11756" s="12"/>
      <c r="K11756" s="12"/>
      <c r="L11756" s="12"/>
      <c r="M11756" s="11"/>
      <c r="N11756" s="11"/>
      <c r="O11756" s="11"/>
      <c r="P11756" s="11"/>
    </row>
    <row r="11757" spans="8:16" x14ac:dyDescent="0.25">
      <c r="H11757" s="12"/>
      <c r="I11757" s="12"/>
      <c r="J11757" s="12"/>
      <c r="K11757" s="12"/>
      <c r="L11757" s="12"/>
      <c r="M11757" s="11"/>
      <c r="N11757" s="11"/>
      <c r="O11757" s="11"/>
      <c r="P11757" s="11"/>
    </row>
    <row r="11758" spans="8:16" x14ac:dyDescent="0.25">
      <c r="H11758" s="12"/>
      <c r="I11758" s="12"/>
      <c r="J11758" s="12"/>
      <c r="K11758" s="12"/>
      <c r="L11758" s="12"/>
      <c r="M11758" s="11"/>
      <c r="N11758" s="11"/>
      <c r="O11758" s="11"/>
      <c r="P11758" s="11"/>
    </row>
    <row r="11759" spans="8:16" x14ac:dyDescent="0.25">
      <c r="H11759" s="12"/>
      <c r="I11759" s="12"/>
      <c r="J11759" s="12"/>
      <c r="K11759" s="12"/>
      <c r="L11759" s="12"/>
      <c r="M11759" s="11"/>
      <c r="N11759" s="11"/>
      <c r="O11759" s="11"/>
      <c r="P11759" s="11"/>
    </row>
    <row r="11760" spans="8:16" x14ac:dyDescent="0.25">
      <c r="H11760" s="12"/>
      <c r="I11760" s="12"/>
      <c r="J11760" s="12"/>
      <c r="K11760" s="12"/>
      <c r="L11760" s="12"/>
      <c r="M11760" s="11"/>
      <c r="N11760" s="11"/>
      <c r="O11760" s="11"/>
      <c r="P11760" s="11"/>
    </row>
    <row r="11761" spans="8:16" x14ac:dyDescent="0.25">
      <c r="H11761" s="12"/>
      <c r="I11761" s="12"/>
      <c r="J11761" s="12"/>
      <c r="K11761" s="12"/>
      <c r="L11761" s="12"/>
      <c r="M11761" s="11"/>
      <c r="N11761" s="11"/>
      <c r="O11761" s="11"/>
      <c r="P11761" s="11"/>
    </row>
    <row r="11762" spans="8:16" x14ac:dyDescent="0.25">
      <c r="H11762" s="12"/>
      <c r="I11762" s="12"/>
      <c r="J11762" s="12"/>
      <c r="K11762" s="12"/>
      <c r="L11762" s="12"/>
      <c r="M11762" s="11"/>
      <c r="N11762" s="11"/>
      <c r="O11762" s="11"/>
      <c r="P11762" s="11"/>
    </row>
    <row r="11763" spans="8:16" x14ac:dyDescent="0.25">
      <c r="H11763" s="12"/>
      <c r="I11763" s="12"/>
      <c r="J11763" s="12"/>
      <c r="K11763" s="12"/>
      <c r="L11763" s="12"/>
      <c r="M11763" s="11"/>
      <c r="N11763" s="11"/>
      <c r="O11763" s="11"/>
      <c r="P11763" s="11"/>
    </row>
    <row r="11764" spans="8:16" x14ac:dyDescent="0.25">
      <c r="H11764" s="12"/>
      <c r="I11764" s="12"/>
      <c r="J11764" s="12"/>
      <c r="K11764" s="12"/>
      <c r="L11764" s="12"/>
      <c r="M11764" s="11"/>
      <c r="N11764" s="11"/>
      <c r="O11764" s="11"/>
      <c r="P11764" s="11"/>
    </row>
    <row r="11765" spans="8:16" x14ac:dyDescent="0.25">
      <c r="H11765" s="12"/>
      <c r="I11765" s="12"/>
      <c r="J11765" s="12"/>
      <c r="K11765" s="12"/>
      <c r="L11765" s="12"/>
      <c r="M11765" s="11"/>
      <c r="N11765" s="11"/>
      <c r="O11765" s="11"/>
      <c r="P11765" s="11"/>
    </row>
    <row r="11766" spans="8:16" x14ac:dyDescent="0.25">
      <c r="H11766" s="12"/>
      <c r="I11766" s="12"/>
      <c r="J11766" s="12"/>
      <c r="K11766" s="12"/>
      <c r="L11766" s="12"/>
      <c r="M11766" s="11"/>
      <c r="N11766" s="11"/>
      <c r="O11766" s="11"/>
      <c r="P11766" s="11"/>
    </row>
    <row r="11767" spans="8:16" x14ac:dyDescent="0.25">
      <c r="H11767" s="12"/>
      <c r="I11767" s="12"/>
      <c r="J11767" s="12"/>
      <c r="K11767" s="12"/>
      <c r="L11767" s="12"/>
      <c r="M11767" s="11"/>
      <c r="N11767" s="11"/>
      <c r="O11767" s="11"/>
      <c r="P11767" s="11"/>
    </row>
    <row r="11768" spans="8:16" x14ac:dyDescent="0.25">
      <c r="H11768" s="12"/>
      <c r="I11768" s="12"/>
      <c r="J11768" s="12"/>
      <c r="K11768" s="12"/>
      <c r="L11768" s="12"/>
      <c r="M11768" s="11"/>
      <c r="N11768" s="11"/>
      <c r="O11768" s="11"/>
      <c r="P11768" s="11"/>
    </row>
    <row r="11769" spans="8:16" x14ac:dyDescent="0.25">
      <c r="H11769" s="12"/>
      <c r="I11769" s="12"/>
      <c r="J11769" s="12"/>
      <c r="K11769" s="12"/>
      <c r="L11769" s="12"/>
      <c r="M11769" s="11"/>
      <c r="N11769" s="11"/>
      <c r="O11769" s="11"/>
      <c r="P11769" s="11"/>
    </row>
    <row r="11770" spans="8:16" x14ac:dyDescent="0.25">
      <c r="H11770" s="12"/>
      <c r="I11770" s="12"/>
      <c r="J11770" s="12"/>
      <c r="K11770" s="12"/>
      <c r="L11770" s="12"/>
      <c r="M11770" s="11"/>
      <c r="N11770" s="11"/>
      <c r="O11770" s="11"/>
      <c r="P11770" s="11"/>
    </row>
    <row r="11771" spans="8:16" x14ac:dyDescent="0.25">
      <c r="H11771" s="12"/>
      <c r="I11771" s="12"/>
      <c r="J11771" s="12"/>
      <c r="K11771" s="12"/>
      <c r="L11771" s="12"/>
      <c r="M11771" s="11"/>
      <c r="N11771" s="11"/>
      <c r="O11771" s="11"/>
      <c r="P11771" s="11"/>
    </row>
    <row r="11772" spans="8:16" x14ac:dyDescent="0.25">
      <c r="H11772" s="12"/>
      <c r="I11772" s="12"/>
      <c r="J11772" s="12"/>
      <c r="K11772" s="12"/>
      <c r="L11772" s="12"/>
      <c r="M11772" s="11"/>
      <c r="N11772" s="11"/>
      <c r="O11772" s="11"/>
      <c r="P11772" s="11"/>
    </row>
    <row r="11773" spans="8:16" x14ac:dyDescent="0.25">
      <c r="H11773" s="12"/>
      <c r="I11773" s="12"/>
      <c r="J11773" s="12"/>
      <c r="K11773" s="12"/>
      <c r="L11773" s="12"/>
      <c r="M11773" s="11"/>
      <c r="N11773" s="11"/>
      <c r="O11773" s="11"/>
      <c r="P11773" s="11"/>
    </row>
    <row r="11774" spans="8:16" x14ac:dyDescent="0.25">
      <c r="H11774" s="12"/>
      <c r="I11774" s="12"/>
      <c r="J11774" s="12"/>
      <c r="K11774" s="12"/>
      <c r="L11774" s="12"/>
      <c r="M11774" s="11"/>
      <c r="N11774" s="11"/>
      <c r="O11774" s="11"/>
      <c r="P11774" s="11"/>
    </row>
    <row r="11775" spans="8:16" x14ac:dyDescent="0.25">
      <c r="H11775" s="12"/>
      <c r="I11775" s="12"/>
      <c r="J11775" s="12"/>
      <c r="K11775" s="12"/>
      <c r="L11775" s="12"/>
      <c r="M11775" s="11"/>
      <c r="N11775" s="11"/>
      <c r="O11775" s="11"/>
      <c r="P11775" s="11"/>
    </row>
    <row r="11776" spans="8:16" x14ac:dyDescent="0.25">
      <c r="H11776" s="12"/>
      <c r="I11776" s="12"/>
      <c r="J11776" s="12"/>
      <c r="K11776" s="12"/>
      <c r="L11776" s="12"/>
      <c r="M11776" s="11"/>
      <c r="N11776" s="11"/>
      <c r="O11776" s="11"/>
      <c r="P11776" s="11"/>
    </row>
    <row r="11777" spans="8:16" x14ac:dyDescent="0.25">
      <c r="H11777" s="12"/>
      <c r="I11777" s="12"/>
      <c r="J11777" s="12"/>
      <c r="K11777" s="12"/>
      <c r="L11777" s="12"/>
      <c r="M11777" s="11"/>
      <c r="N11777" s="11"/>
      <c r="O11777" s="11"/>
      <c r="P11777" s="11"/>
    </row>
    <row r="11778" spans="8:16" x14ac:dyDescent="0.25">
      <c r="H11778" s="12"/>
      <c r="I11778" s="12"/>
      <c r="J11778" s="12"/>
      <c r="K11778" s="12"/>
      <c r="L11778" s="12"/>
      <c r="M11778" s="11"/>
      <c r="N11778" s="11"/>
      <c r="O11778" s="11"/>
      <c r="P11778" s="11"/>
    </row>
    <row r="11779" spans="8:16" x14ac:dyDescent="0.25">
      <c r="H11779" s="12"/>
      <c r="I11779" s="12"/>
      <c r="J11779" s="12"/>
      <c r="K11779" s="12"/>
      <c r="L11779" s="12"/>
      <c r="M11779" s="11"/>
      <c r="N11779" s="11"/>
      <c r="O11779" s="11"/>
      <c r="P11779" s="11"/>
    </row>
    <row r="11780" spans="8:16" x14ac:dyDescent="0.25">
      <c r="H11780" s="12"/>
      <c r="I11780" s="12"/>
      <c r="J11780" s="12"/>
      <c r="K11780" s="12"/>
      <c r="L11780" s="12"/>
      <c r="M11780" s="11"/>
      <c r="N11780" s="11"/>
      <c r="O11780" s="11"/>
      <c r="P11780" s="11"/>
    </row>
    <row r="11781" spans="8:16" x14ac:dyDescent="0.25">
      <c r="H11781" s="12"/>
      <c r="I11781" s="12"/>
      <c r="J11781" s="12"/>
      <c r="K11781" s="12"/>
      <c r="L11781" s="12"/>
      <c r="M11781" s="11"/>
      <c r="N11781" s="11"/>
      <c r="O11781" s="11"/>
      <c r="P11781" s="11"/>
    </row>
    <row r="11782" spans="8:16" x14ac:dyDescent="0.25">
      <c r="H11782" s="12"/>
      <c r="I11782" s="12"/>
      <c r="J11782" s="12"/>
      <c r="K11782" s="12"/>
      <c r="L11782" s="12"/>
      <c r="M11782" s="11"/>
      <c r="N11782" s="11"/>
      <c r="O11782" s="11"/>
      <c r="P11782" s="11"/>
    </row>
    <row r="11783" spans="8:16" x14ac:dyDescent="0.25">
      <c r="H11783" s="12"/>
      <c r="I11783" s="12"/>
      <c r="J11783" s="12"/>
      <c r="K11783" s="12"/>
      <c r="L11783" s="12"/>
      <c r="M11783" s="11"/>
      <c r="N11783" s="11"/>
      <c r="O11783" s="11"/>
      <c r="P11783" s="11"/>
    </row>
    <row r="11784" spans="8:16" x14ac:dyDescent="0.25">
      <c r="H11784" s="12"/>
      <c r="I11784" s="12"/>
      <c r="J11784" s="12"/>
      <c r="K11784" s="12"/>
      <c r="L11784" s="12"/>
      <c r="M11784" s="11"/>
      <c r="N11784" s="11"/>
      <c r="O11784" s="11"/>
      <c r="P11784" s="11"/>
    </row>
    <row r="11785" spans="8:16" x14ac:dyDescent="0.25">
      <c r="H11785" s="12"/>
      <c r="I11785" s="12"/>
      <c r="J11785" s="12"/>
      <c r="K11785" s="12"/>
      <c r="L11785" s="12"/>
      <c r="M11785" s="11"/>
      <c r="N11785" s="11"/>
      <c r="O11785" s="11"/>
      <c r="P11785" s="11"/>
    </row>
    <row r="11786" spans="8:16" x14ac:dyDescent="0.25">
      <c r="H11786" s="12"/>
      <c r="I11786" s="12"/>
      <c r="J11786" s="12"/>
      <c r="K11786" s="12"/>
      <c r="L11786" s="12"/>
      <c r="M11786" s="11"/>
      <c r="N11786" s="11"/>
      <c r="O11786" s="11"/>
      <c r="P11786" s="11"/>
    </row>
    <row r="11787" spans="8:16" x14ac:dyDescent="0.25">
      <c r="H11787" s="12"/>
      <c r="I11787" s="12"/>
      <c r="J11787" s="12"/>
      <c r="K11787" s="12"/>
      <c r="L11787" s="12"/>
      <c r="M11787" s="11"/>
      <c r="N11787" s="11"/>
      <c r="O11787" s="11"/>
      <c r="P11787" s="11"/>
    </row>
    <row r="11788" spans="8:16" x14ac:dyDescent="0.25">
      <c r="H11788" s="12"/>
      <c r="I11788" s="12"/>
      <c r="J11788" s="12"/>
      <c r="K11788" s="12"/>
      <c r="L11788" s="12"/>
      <c r="M11788" s="11"/>
      <c r="N11788" s="11"/>
      <c r="O11788" s="11"/>
      <c r="P11788" s="11"/>
    </row>
    <row r="11789" spans="8:16" x14ac:dyDescent="0.25">
      <c r="H11789" s="12"/>
      <c r="I11789" s="12"/>
      <c r="J11789" s="12"/>
      <c r="K11789" s="12"/>
      <c r="L11789" s="12"/>
      <c r="M11789" s="11"/>
      <c r="N11789" s="11"/>
      <c r="O11789" s="11"/>
      <c r="P11789" s="11"/>
    </row>
    <row r="11790" spans="8:16" x14ac:dyDescent="0.25">
      <c r="H11790" s="12"/>
      <c r="I11790" s="12"/>
      <c r="J11790" s="12"/>
      <c r="K11790" s="12"/>
      <c r="L11790" s="12"/>
      <c r="M11790" s="11"/>
      <c r="N11790" s="11"/>
      <c r="O11790" s="11"/>
      <c r="P11790" s="11"/>
    </row>
    <row r="11791" spans="8:16" x14ac:dyDescent="0.25">
      <c r="H11791" s="12"/>
      <c r="I11791" s="12"/>
      <c r="J11791" s="12"/>
      <c r="K11791" s="12"/>
      <c r="L11791" s="12"/>
      <c r="M11791" s="11"/>
      <c r="N11791" s="11"/>
      <c r="O11791" s="11"/>
      <c r="P11791" s="11"/>
    </row>
    <row r="11792" spans="8:16" x14ac:dyDescent="0.25">
      <c r="H11792" s="12"/>
      <c r="I11792" s="12"/>
      <c r="J11792" s="12"/>
      <c r="K11792" s="12"/>
      <c r="L11792" s="12"/>
      <c r="M11792" s="11"/>
      <c r="N11792" s="11"/>
      <c r="O11792" s="11"/>
      <c r="P11792" s="11"/>
    </row>
    <row r="11793" spans="8:16" x14ac:dyDescent="0.25">
      <c r="H11793" s="12"/>
      <c r="I11793" s="12"/>
      <c r="J11793" s="12"/>
      <c r="K11793" s="12"/>
      <c r="L11793" s="12"/>
      <c r="M11793" s="11"/>
      <c r="N11793" s="11"/>
      <c r="O11793" s="11"/>
      <c r="P11793" s="11"/>
    </row>
    <row r="11794" spans="8:16" x14ac:dyDescent="0.25">
      <c r="H11794" s="12"/>
      <c r="I11794" s="12"/>
      <c r="J11794" s="12"/>
      <c r="K11794" s="12"/>
      <c r="L11794" s="12"/>
      <c r="M11794" s="11"/>
      <c r="N11794" s="11"/>
      <c r="O11794" s="11"/>
      <c r="P11794" s="11"/>
    </row>
    <row r="11795" spans="8:16" x14ac:dyDescent="0.25">
      <c r="H11795" s="12"/>
      <c r="I11795" s="12"/>
      <c r="J11795" s="12"/>
      <c r="K11795" s="12"/>
      <c r="L11795" s="12"/>
      <c r="M11795" s="11"/>
      <c r="N11795" s="11"/>
      <c r="O11795" s="11"/>
      <c r="P11795" s="11"/>
    </row>
    <row r="11796" spans="8:16" x14ac:dyDescent="0.25">
      <c r="H11796" s="12"/>
      <c r="I11796" s="12"/>
      <c r="J11796" s="12"/>
      <c r="K11796" s="12"/>
      <c r="L11796" s="12"/>
      <c r="M11796" s="11"/>
      <c r="N11796" s="11"/>
      <c r="O11796" s="11"/>
      <c r="P11796" s="11"/>
    </row>
    <row r="11797" spans="8:16" x14ac:dyDescent="0.25">
      <c r="H11797" s="12"/>
      <c r="I11797" s="12"/>
      <c r="J11797" s="12"/>
      <c r="K11797" s="12"/>
      <c r="L11797" s="12"/>
      <c r="M11797" s="11"/>
      <c r="N11797" s="11"/>
      <c r="O11797" s="11"/>
      <c r="P11797" s="11"/>
    </row>
    <row r="11798" spans="8:16" x14ac:dyDescent="0.25">
      <c r="H11798" s="12"/>
      <c r="I11798" s="12"/>
      <c r="J11798" s="12"/>
      <c r="K11798" s="12"/>
      <c r="L11798" s="12"/>
      <c r="M11798" s="11"/>
      <c r="N11798" s="11"/>
      <c r="O11798" s="11"/>
      <c r="P11798" s="11"/>
    </row>
    <row r="11799" spans="8:16" x14ac:dyDescent="0.25">
      <c r="H11799" s="12"/>
      <c r="I11799" s="12"/>
      <c r="J11799" s="12"/>
      <c r="K11799" s="12"/>
      <c r="L11799" s="12"/>
      <c r="M11799" s="11"/>
      <c r="N11799" s="11"/>
      <c r="O11799" s="11"/>
      <c r="P11799" s="11"/>
    </row>
    <row r="11800" spans="8:16" x14ac:dyDescent="0.25">
      <c r="H11800" s="12"/>
      <c r="I11800" s="12"/>
      <c r="J11800" s="12"/>
      <c r="K11800" s="12"/>
      <c r="L11800" s="12"/>
      <c r="M11800" s="11"/>
      <c r="N11800" s="11"/>
      <c r="O11800" s="11"/>
      <c r="P11800" s="11"/>
    </row>
    <row r="11801" spans="8:16" x14ac:dyDescent="0.25">
      <c r="H11801" s="12"/>
      <c r="I11801" s="12"/>
      <c r="J11801" s="12"/>
      <c r="K11801" s="12"/>
      <c r="L11801" s="12"/>
      <c r="M11801" s="11"/>
      <c r="N11801" s="11"/>
      <c r="O11801" s="11"/>
      <c r="P11801" s="11"/>
    </row>
    <row r="11802" spans="8:16" x14ac:dyDescent="0.25">
      <c r="H11802" s="12"/>
      <c r="I11802" s="12"/>
      <c r="J11802" s="12"/>
      <c r="K11802" s="12"/>
      <c r="L11802" s="12"/>
      <c r="M11802" s="11"/>
      <c r="N11802" s="11"/>
      <c r="O11802" s="11"/>
      <c r="P11802" s="11"/>
    </row>
    <row r="11803" spans="8:16" x14ac:dyDescent="0.25">
      <c r="H11803" s="12"/>
      <c r="I11803" s="12"/>
      <c r="J11803" s="12"/>
      <c r="K11803" s="12"/>
      <c r="L11803" s="12"/>
      <c r="M11803" s="11"/>
      <c r="N11803" s="11"/>
      <c r="O11803" s="11"/>
      <c r="P11803" s="11"/>
    </row>
    <row r="11804" spans="8:16" x14ac:dyDescent="0.25">
      <c r="H11804" s="12"/>
      <c r="I11804" s="12"/>
      <c r="J11804" s="12"/>
      <c r="K11804" s="12"/>
      <c r="L11804" s="12"/>
      <c r="M11804" s="11"/>
      <c r="N11804" s="11"/>
      <c r="O11804" s="11"/>
      <c r="P11804" s="11"/>
    </row>
    <row r="11805" spans="8:16" x14ac:dyDescent="0.25">
      <c r="H11805" s="12"/>
      <c r="I11805" s="12"/>
      <c r="J11805" s="12"/>
      <c r="K11805" s="12"/>
      <c r="L11805" s="12"/>
      <c r="M11805" s="11"/>
      <c r="N11805" s="11"/>
      <c r="O11805" s="11"/>
      <c r="P11805" s="11"/>
    </row>
    <row r="11806" spans="8:16" x14ac:dyDescent="0.25">
      <c r="H11806" s="12"/>
      <c r="I11806" s="12"/>
      <c r="J11806" s="12"/>
      <c r="K11806" s="12"/>
      <c r="L11806" s="12"/>
      <c r="M11806" s="11"/>
      <c r="N11806" s="11"/>
      <c r="O11806" s="11"/>
      <c r="P11806" s="11"/>
    </row>
    <row r="11807" spans="8:16" x14ac:dyDescent="0.25">
      <c r="H11807" s="12"/>
      <c r="I11807" s="12"/>
      <c r="J11807" s="12"/>
      <c r="K11807" s="12"/>
      <c r="L11807" s="12"/>
      <c r="M11807" s="11"/>
      <c r="N11807" s="11"/>
      <c r="O11807" s="11"/>
      <c r="P11807" s="11"/>
    </row>
    <row r="11808" spans="8:16" x14ac:dyDescent="0.25">
      <c r="H11808" s="12"/>
      <c r="I11808" s="12"/>
      <c r="J11808" s="12"/>
      <c r="K11808" s="12"/>
      <c r="L11808" s="12"/>
      <c r="M11808" s="11"/>
      <c r="N11808" s="11"/>
      <c r="O11808" s="11"/>
      <c r="P11808" s="11"/>
    </row>
    <row r="11809" spans="8:16" x14ac:dyDescent="0.25">
      <c r="H11809" s="12"/>
      <c r="I11809" s="12"/>
      <c r="J11809" s="12"/>
      <c r="K11809" s="12"/>
      <c r="L11809" s="12"/>
      <c r="M11809" s="11"/>
      <c r="N11809" s="11"/>
      <c r="O11809" s="11"/>
      <c r="P11809" s="11"/>
    </row>
    <row r="11810" spans="8:16" x14ac:dyDescent="0.25">
      <c r="H11810" s="12"/>
      <c r="I11810" s="12"/>
      <c r="J11810" s="12"/>
      <c r="K11810" s="12"/>
      <c r="L11810" s="12"/>
      <c r="M11810" s="11"/>
      <c r="N11810" s="11"/>
      <c r="O11810" s="11"/>
      <c r="P11810" s="11"/>
    </row>
    <row r="11811" spans="8:16" x14ac:dyDescent="0.25">
      <c r="H11811" s="12"/>
      <c r="I11811" s="12"/>
      <c r="J11811" s="12"/>
      <c r="K11811" s="12"/>
      <c r="L11811" s="12"/>
      <c r="M11811" s="11"/>
      <c r="N11811" s="11"/>
      <c r="O11811" s="11"/>
      <c r="P11811" s="11"/>
    </row>
    <row r="11812" spans="8:16" x14ac:dyDescent="0.25">
      <c r="H11812" s="12"/>
      <c r="I11812" s="12"/>
      <c r="J11812" s="12"/>
      <c r="K11812" s="12"/>
      <c r="L11812" s="12"/>
      <c r="M11812" s="11"/>
      <c r="N11812" s="11"/>
      <c r="O11812" s="11"/>
      <c r="P11812" s="11"/>
    </row>
    <row r="11813" spans="8:16" x14ac:dyDescent="0.25">
      <c r="H11813" s="12"/>
      <c r="I11813" s="12"/>
      <c r="J11813" s="12"/>
      <c r="K11813" s="12"/>
      <c r="L11813" s="12"/>
      <c r="M11813" s="11"/>
      <c r="N11813" s="11"/>
      <c r="O11813" s="11"/>
      <c r="P11813" s="11"/>
    </row>
    <row r="11814" spans="8:16" x14ac:dyDescent="0.25">
      <c r="H11814" s="12"/>
      <c r="I11814" s="12"/>
      <c r="J11814" s="12"/>
      <c r="K11814" s="12"/>
      <c r="L11814" s="12"/>
      <c r="M11814" s="11"/>
      <c r="N11814" s="11"/>
      <c r="O11814" s="11"/>
      <c r="P11814" s="11"/>
    </row>
    <row r="11815" spans="8:16" x14ac:dyDescent="0.25">
      <c r="H11815" s="12"/>
      <c r="I11815" s="12"/>
      <c r="J11815" s="12"/>
      <c r="K11815" s="12"/>
      <c r="L11815" s="12"/>
      <c r="M11815" s="11"/>
      <c r="N11815" s="11"/>
      <c r="O11815" s="11"/>
      <c r="P11815" s="11"/>
    </row>
    <row r="11816" spans="8:16" x14ac:dyDescent="0.25">
      <c r="H11816" s="12"/>
      <c r="I11816" s="12"/>
      <c r="J11816" s="12"/>
      <c r="K11816" s="12"/>
      <c r="L11816" s="12"/>
      <c r="M11816" s="11"/>
      <c r="N11816" s="11"/>
      <c r="O11816" s="11"/>
      <c r="P11816" s="11"/>
    </row>
    <row r="11817" spans="8:16" x14ac:dyDescent="0.25">
      <c r="H11817" s="12"/>
      <c r="I11817" s="12"/>
      <c r="J11817" s="12"/>
      <c r="K11817" s="12"/>
      <c r="L11817" s="12"/>
      <c r="M11817" s="11"/>
      <c r="N11817" s="11"/>
      <c r="O11817" s="11"/>
      <c r="P11817" s="11"/>
    </row>
    <row r="11818" spans="8:16" x14ac:dyDescent="0.25">
      <c r="H11818" s="12"/>
      <c r="I11818" s="12"/>
      <c r="J11818" s="12"/>
      <c r="K11818" s="12"/>
      <c r="L11818" s="12"/>
      <c r="M11818" s="11"/>
      <c r="N11818" s="11"/>
      <c r="O11818" s="11"/>
      <c r="P11818" s="11"/>
    </row>
    <row r="11819" spans="8:16" x14ac:dyDescent="0.25">
      <c r="H11819" s="12"/>
      <c r="I11819" s="12"/>
      <c r="J11819" s="12"/>
      <c r="K11819" s="12"/>
      <c r="L11819" s="12"/>
      <c r="M11819" s="11"/>
      <c r="N11819" s="11"/>
      <c r="O11819" s="11"/>
      <c r="P11819" s="11"/>
    </row>
    <row r="11820" spans="8:16" x14ac:dyDescent="0.25">
      <c r="H11820" s="12"/>
      <c r="I11820" s="12"/>
      <c r="J11820" s="12"/>
      <c r="K11820" s="12"/>
      <c r="L11820" s="12"/>
      <c r="M11820" s="11"/>
      <c r="N11820" s="11"/>
      <c r="O11820" s="11"/>
      <c r="P11820" s="11"/>
    </row>
    <row r="11821" spans="8:16" x14ac:dyDescent="0.25">
      <c r="H11821" s="12"/>
      <c r="I11821" s="12"/>
      <c r="J11821" s="12"/>
      <c r="K11821" s="12"/>
      <c r="L11821" s="12"/>
      <c r="M11821" s="11"/>
      <c r="N11821" s="11"/>
      <c r="O11821" s="11"/>
      <c r="P11821" s="11"/>
    </row>
    <row r="11822" spans="8:16" x14ac:dyDescent="0.25">
      <c r="H11822" s="12"/>
      <c r="I11822" s="12"/>
      <c r="J11822" s="12"/>
      <c r="K11822" s="12"/>
      <c r="L11822" s="12"/>
      <c r="M11822" s="11"/>
      <c r="N11822" s="11"/>
      <c r="O11822" s="11"/>
      <c r="P11822" s="11"/>
    </row>
    <row r="11823" spans="8:16" x14ac:dyDescent="0.25">
      <c r="H11823" s="12"/>
      <c r="I11823" s="12"/>
      <c r="J11823" s="12"/>
      <c r="K11823" s="12"/>
      <c r="L11823" s="12"/>
      <c r="M11823" s="11"/>
      <c r="N11823" s="11"/>
      <c r="O11823" s="11"/>
      <c r="P11823" s="11"/>
    </row>
    <row r="11824" spans="8:16" x14ac:dyDescent="0.25">
      <c r="H11824" s="12"/>
      <c r="I11824" s="12"/>
      <c r="J11824" s="12"/>
      <c r="K11824" s="12"/>
      <c r="L11824" s="12"/>
      <c r="M11824" s="11"/>
      <c r="N11824" s="11"/>
      <c r="O11824" s="11"/>
      <c r="P11824" s="11"/>
    </row>
    <row r="11825" spans="8:16" x14ac:dyDescent="0.25">
      <c r="H11825" s="12"/>
      <c r="I11825" s="12"/>
      <c r="J11825" s="12"/>
      <c r="K11825" s="12"/>
      <c r="L11825" s="12"/>
      <c r="M11825" s="11"/>
      <c r="N11825" s="11"/>
      <c r="O11825" s="11"/>
      <c r="P11825" s="11"/>
    </row>
    <row r="11826" spans="8:16" x14ac:dyDescent="0.25">
      <c r="H11826" s="12"/>
      <c r="I11826" s="12"/>
      <c r="J11826" s="12"/>
      <c r="K11826" s="12"/>
      <c r="L11826" s="12"/>
      <c r="M11826" s="11"/>
      <c r="N11826" s="11"/>
      <c r="O11826" s="11"/>
      <c r="P11826" s="11"/>
    </row>
    <row r="11827" spans="8:16" x14ac:dyDescent="0.25">
      <c r="H11827" s="12"/>
      <c r="I11827" s="12"/>
      <c r="J11827" s="12"/>
      <c r="K11827" s="12"/>
      <c r="L11827" s="12"/>
      <c r="M11827" s="11"/>
      <c r="N11827" s="11"/>
      <c r="O11827" s="11"/>
      <c r="P11827" s="11"/>
    </row>
    <row r="11828" spans="8:16" x14ac:dyDescent="0.25">
      <c r="H11828" s="12"/>
      <c r="I11828" s="12"/>
      <c r="J11828" s="12"/>
      <c r="K11828" s="12"/>
      <c r="L11828" s="12"/>
      <c r="M11828" s="11"/>
      <c r="N11828" s="11"/>
      <c r="O11828" s="11"/>
      <c r="P11828" s="11"/>
    </row>
    <row r="11829" spans="8:16" x14ac:dyDescent="0.25">
      <c r="H11829" s="12"/>
      <c r="I11829" s="12"/>
      <c r="J11829" s="12"/>
      <c r="K11829" s="12"/>
      <c r="L11829" s="12"/>
      <c r="M11829" s="11"/>
      <c r="N11829" s="11"/>
      <c r="O11829" s="11"/>
      <c r="P11829" s="11"/>
    </row>
    <row r="11830" spans="8:16" x14ac:dyDescent="0.25">
      <c r="H11830" s="12"/>
      <c r="I11830" s="12"/>
      <c r="J11830" s="12"/>
      <c r="K11830" s="12"/>
      <c r="L11830" s="12"/>
      <c r="M11830" s="11"/>
      <c r="N11830" s="11"/>
      <c r="O11830" s="11"/>
      <c r="P11830" s="11"/>
    </row>
    <row r="11831" spans="8:16" x14ac:dyDescent="0.25">
      <c r="H11831" s="12"/>
      <c r="I11831" s="12"/>
      <c r="J11831" s="12"/>
      <c r="K11831" s="12"/>
      <c r="L11831" s="12"/>
      <c r="M11831" s="11"/>
      <c r="N11831" s="11"/>
      <c r="O11831" s="11"/>
      <c r="P11831" s="11"/>
    </row>
    <row r="11832" spans="8:16" x14ac:dyDescent="0.25">
      <c r="H11832" s="12"/>
      <c r="I11832" s="12"/>
      <c r="J11832" s="12"/>
      <c r="K11832" s="12"/>
      <c r="L11832" s="12"/>
      <c r="M11832" s="11"/>
      <c r="N11832" s="11"/>
      <c r="O11832" s="11"/>
      <c r="P11832" s="11"/>
    </row>
    <row r="11833" spans="8:16" x14ac:dyDescent="0.25">
      <c r="H11833" s="12"/>
      <c r="I11833" s="12"/>
      <c r="J11833" s="12"/>
      <c r="K11833" s="12"/>
      <c r="L11833" s="12"/>
      <c r="M11833" s="11"/>
      <c r="N11833" s="11"/>
      <c r="O11833" s="11"/>
      <c r="P11833" s="11"/>
    </row>
    <row r="11834" spans="8:16" x14ac:dyDescent="0.25">
      <c r="H11834" s="12"/>
      <c r="I11834" s="12"/>
      <c r="J11834" s="12"/>
      <c r="K11834" s="12"/>
      <c r="L11834" s="12"/>
      <c r="M11834" s="11"/>
      <c r="N11834" s="11"/>
      <c r="O11834" s="11"/>
      <c r="P11834" s="11"/>
    </row>
    <row r="11835" spans="8:16" x14ac:dyDescent="0.25">
      <c r="H11835" s="12"/>
      <c r="I11835" s="12"/>
      <c r="J11835" s="12"/>
      <c r="K11835" s="12"/>
      <c r="L11835" s="12"/>
      <c r="M11835" s="11"/>
      <c r="N11835" s="11"/>
      <c r="O11835" s="11"/>
      <c r="P11835" s="11"/>
    </row>
    <row r="11836" spans="8:16" x14ac:dyDescent="0.25">
      <c r="H11836" s="12"/>
      <c r="I11836" s="12"/>
      <c r="J11836" s="12"/>
      <c r="K11836" s="12"/>
      <c r="L11836" s="12"/>
      <c r="M11836" s="11"/>
      <c r="N11836" s="11"/>
      <c r="O11836" s="11"/>
      <c r="P11836" s="11"/>
    </row>
    <row r="11837" spans="8:16" x14ac:dyDescent="0.25">
      <c r="H11837" s="12"/>
      <c r="I11837" s="12"/>
      <c r="J11837" s="12"/>
      <c r="K11837" s="12"/>
      <c r="L11837" s="12"/>
      <c r="M11837" s="11"/>
      <c r="N11837" s="11"/>
      <c r="O11837" s="11"/>
      <c r="P11837" s="11"/>
    </row>
    <row r="11838" spans="8:16" x14ac:dyDescent="0.25">
      <c r="H11838" s="12"/>
      <c r="I11838" s="12"/>
      <c r="J11838" s="12"/>
      <c r="K11838" s="12"/>
      <c r="L11838" s="12"/>
      <c r="M11838" s="11"/>
      <c r="N11838" s="11"/>
      <c r="O11838" s="11"/>
      <c r="P11838" s="11"/>
    </row>
    <row r="11839" spans="8:16" x14ac:dyDescent="0.25">
      <c r="H11839" s="12"/>
      <c r="I11839" s="12"/>
      <c r="J11839" s="12"/>
      <c r="K11839" s="12"/>
      <c r="L11839" s="12"/>
      <c r="M11839" s="11"/>
      <c r="N11839" s="11"/>
      <c r="O11839" s="11"/>
      <c r="P11839" s="11"/>
    </row>
    <row r="11840" spans="8:16" x14ac:dyDescent="0.25">
      <c r="H11840" s="12"/>
      <c r="I11840" s="12"/>
      <c r="J11840" s="12"/>
      <c r="K11840" s="12"/>
      <c r="L11840" s="12"/>
      <c r="M11840" s="11"/>
      <c r="N11840" s="11"/>
      <c r="O11840" s="11"/>
      <c r="P11840" s="11"/>
    </row>
    <row r="11841" spans="8:16" x14ac:dyDescent="0.25">
      <c r="H11841" s="12"/>
      <c r="I11841" s="12"/>
      <c r="J11841" s="12"/>
      <c r="K11841" s="12"/>
      <c r="L11841" s="12"/>
      <c r="M11841" s="11"/>
      <c r="N11841" s="11"/>
      <c r="O11841" s="11"/>
      <c r="P11841" s="11"/>
    </row>
    <row r="11842" spans="8:16" x14ac:dyDescent="0.25">
      <c r="H11842" s="12"/>
      <c r="I11842" s="12"/>
      <c r="J11842" s="12"/>
      <c r="K11842" s="12"/>
      <c r="L11842" s="12"/>
      <c r="M11842" s="11"/>
      <c r="N11842" s="11"/>
      <c r="O11842" s="11"/>
      <c r="P11842" s="11"/>
    </row>
    <row r="11843" spans="8:16" x14ac:dyDescent="0.25">
      <c r="H11843" s="12"/>
      <c r="I11843" s="12"/>
      <c r="J11843" s="12"/>
      <c r="K11843" s="12"/>
      <c r="L11843" s="12"/>
      <c r="M11843" s="11"/>
      <c r="N11843" s="11"/>
      <c r="O11843" s="11"/>
      <c r="P11843" s="11"/>
    </row>
    <row r="11844" spans="8:16" x14ac:dyDescent="0.25">
      <c r="H11844" s="12"/>
      <c r="I11844" s="12"/>
      <c r="J11844" s="12"/>
      <c r="K11844" s="12"/>
      <c r="L11844" s="12"/>
      <c r="M11844" s="11"/>
      <c r="N11844" s="11"/>
      <c r="O11844" s="11"/>
      <c r="P11844" s="11"/>
    </row>
    <row r="11845" spans="8:16" x14ac:dyDescent="0.25">
      <c r="H11845" s="12"/>
      <c r="I11845" s="12"/>
      <c r="J11845" s="12"/>
      <c r="K11845" s="12"/>
      <c r="L11845" s="12"/>
      <c r="M11845" s="11"/>
      <c r="N11845" s="11"/>
      <c r="O11845" s="11"/>
      <c r="P11845" s="11"/>
    </row>
    <row r="11846" spans="8:16" x14ac:dyDescent="0.25">
      <c r="H11846" s="12"/>
      <c r="I11846" s="12"/>
      <c r="J11846" s="12"/>
      <c r="K11846" s="12"/>
      <c r="L11846" s="12"/>
      <c r="M11846" s="11"/>
      <c r="N11846" s="11"/>
      <c r="O11846" s="11"/>
      <c r="P11846" s="11"/>
    </row>
    <row r="11847" spans="8:16" x14ac:dyDescent="0.25">
      <c r="H11847" s="12"/>
      <c r="I11847" s="12"/>
      <c r="J11847" s="12"/>
      <c r="K11847" s="12"/>
      <c r="L11847" s="12"/>
      <c r="M11847" s="11"/>
      <c r="N11847" s="11"/>
      <c r="O11847" s="11"/>
      <c r="P11847" s="11"/>
    </row>
    <row r="11848" spans="8:16" x14ac:dyDescent="0.25">
      <c r="H11848" s="12"/>
      <c r="I11848" s="12"/>
      <c r="J11848" s="12"/>
      <c r="K11848" s="12"/>
      <c r="L11848" s="12"/>
      <c r="M11848" s="11"/>
      <c r="N11848" s="11"/>
      <c r="O11848" s="11"/>
      <c r="P11848" s="11"/>
    </row>
    <row r="11849" spans="8:16" x14ac:dyDescent="0.25">
      <c r="H11849" s="12"/>
      <c r="I11849" s="12"/>
      <c r="J11849" s="12"/>
      <c r="K11849" s="12"/>
      <c r="L11849" s="12"/>
      <c r="M11849" s="11"/>
      <c r="N11849" s="11"/>
      <c r="O11849" s="11"/>
      <c r="P11849" s="11"/>
    </row>
    <row r="11850" spans="8:16" x14ac:dyDescent="0.25">
      <c r="H11850" s="12"/>
      <c r="I11850" s="12"/>
      <c r="J11850" s="12"/>
      <c r="K11850" s="12"/>
      <c r="L11850" s="12"/>
      <c r="M11850" s="11"/>
      <c r="N11850" s="11"/>
      <c r="O11850" s="11"/>
      <c r="P11850" s="11"/>
    </row>
    <row r="11851" spans="8:16" x14ac:dyDescent="0.25">
      <c r="H11851" s="12"/>
      <c r="I11851" s="12"/>
      <c r="J11851" s="12"/>
      <c r="K11851" s="12"/>
      <c r="L11851" s="12"/>
      <c r="M11851" s="11"/>
      <c r="N11851" s="11"/>
      <c r="O11851" s="11"/>
      <c r="P11851" s="11"/>
    </row>
    <row r="11852" spans="8:16" x14ac:dyDescent="0.25">
      <c r="H11852" s="12"/>
      <c r="I11852" s="12"/>
      <c r="J11852" s="12"/>
      <c r="K11852" s="12"/>
      <c r="L11852" s="12"/>
      <c r="M11852" s="11"/>
      <c r="N11852" s="11"/>
      <c r="O11852" s="11"/>
      <c r="P11852" s="11"/>
    </row>
    <row r="11853" spans="8:16" x14ac:dyDescent="0.25">
      <c r="H11853" s="12"/>
      <c r="I11853" s="12"/>
      <c r="J11853" s="12"/>
      <c r="K11853" s="12"/>
      <c r="L11853" s="12"/>
      <c r="M11853" s="11"/>
      <c r="N11853" s="11"/>
      <c r="O11853" s="11"/>
      <c r="P11853" s="11"/>
    </row>
    <row r="11854" spans="8:16" x14ac:dyDescent="0.25">
      <c r="H11854" s="12"/>
      <c r="I11854" s="12"/>
      <c r="J11854" s="12"/>
      <c r="K11854" s="12"/>
      <c r="L11854" s="12"/>
      <c r="M11854" s="11"/>
      <c r="N11854" s="11"/>
      <c r="O11854" s="11"/>
      <c r="P11854" s="11"/>
    </row>
    <row r="11855" spans="8:16" x14ac:dyDescent="0.25">
      <c r="H11855" s="12"/>
      <c r="I11855" s="12"/>
      <c r="J11855" s="12"/>
      <c r="K11855" s="12"/>
      <c r="L11855" s="12"/>
      <c r="M11855" s="11"/>
      <c r="N11855" s="11"/>
      <c r="O11855" s="11"/>
      <c r="P11855" s="11"/>
    </row>
    <row r="11856" spans="8:16" x14ac:dyDescent="0.25">
      <c r="H11856" s="12"/>
      <c r="I11856" s="12"/>
      <c r="J11856" s="12"/>
      <c r="K11856" s="12"/>
      <c r="L11856" s="12"/>
      <c r="M11856" s="11"/>
      <c r="N11856" s="11"/>
      <c r="O11856" s="11"/>
      <c r="P11856" s="11"/>
    </row>
    <row r="11857" spans="8:16" x14ac:dyDescent="0.25">
      <c r="H11857" s="12"/>
      <c r="I11857" s="12"/>
      <c r="J11857" s="12"/>
      <c r="K11857" s="12"/>
      <c r="L11857" s="12"/>
      <c r="M11857" s="11"/>
      <c r="N11857" s="11"/>
      <c r="O11857" s="11"/>
      <c r="P11857" s="11"/>
    </row>
    <row r="11858" spans="8:16" x14ac:dyDescent="0.25">
      <c r="H11858" s="12"/>
      <c r="I11858" s="12"/>
      <c r="J11858" s="12"/>
      <c r="K11858" s="12"/>
      <c r="L11858" s="12"/>
      <c r="M11858" s="11"/>
      <c r="N11858" s="11"/>
      <c r="O11858" s="11"/>
      <c r="P11858" s="11"/>
    </row>
    <row r="11859" spans="8:16" x14ac:dyDescent="0.25">
      <c r="H11859" s="12"/>
      <c r="I11859" s="12"/>
      <c r="J11859" s="12"/>
      <c r="K11859" s="12"/>
      <c r="L11859" s="12"/>
      <c r="M11859" s="11"/>
      <c r="N11859" s="11"/>
      <c r="O11859" s="11"/>
      <c r="P11859" s="11"/>
    </row>
    <row r="11860" spans="8:16" x14ac:dyDescent="0.25">
      <c r="H11860" s="12"/>
      <c r="I11860" s="12"/>
      <c r="J11860" s="12"/>
      <c r="K11860" s="12"/>
      <c r="L11860" s="12"/>
      <c r="M11860" s="11"/>
      <c r="N11860" s="11"/>
      <c r="O11860" s="11"/>
      <c r="P11860" s="11"/>
    </row>
    <row r="11861" spans="8:16" x14ac:dyDescent="0.25">
      <c r="H11861" s="12"/>
      <c r="I11861" s="12"/>
      <c r="J11861" s="12"/>
      <c r="K11861" s="12"/>
      <c r="L11861" s="12"/>
      <c r="M11861" s="11"/>
      <c r="N11861" s="11"/>
      <c r="O11861" s="11"/>
      <c r="P11861" s="11"/>
    </row>
    <row r="11862" spans="8:16" x14ac:dyDescent="0.25">
      <c r="H11862" s="12"/>
      <c r="I11862" s="12"/>
      <c r="J11862" s="12"/>
      <c r="K11862" s="12"/>
      <c r="L11862" s="12"/>
      <c r="M11862" s="11"/>
      <c r="N11862" s="11"/>
      <c r="O11862" s="11"/>
      <c r="P11862" s="11"/>
    </row>
    <row r="11863" spans="8:16" x14ac:dyDescent="0.25">
      <c r="H11863" s="12"/>
      <c r="I11863" s="12"/>
      <c r="J11863" s="12"/>
      <c r="K11863" s="12"/>
      <c r="L11863" s="12"/>
      <c r="M11863" s="11"/>
      <c r="N11863" s="11"/>
      <c r="O11863" s="11"/>
      <c r="P11863" s="11"/>
    </row>
    <row r="11864" spans="8:16" x14ac:dyDescent="0.25">
      <c r="H11864" s="12"/>
      <c r="I11864" s="12"/>
      <c r="J11864" s="12"/>
      <c r="K11864" s="12"/>
      <c r="L11864" s="12"/>
      <c r="M11864" s="11"/>
      <c r="N11864" s="11"/>
      <c r="O11864" s="11"/>
      <c r="P11864" s="11"/>
    </row>
    <row r="11865" spans="8:16" x14ac:dyDescent="0.25">
      <c r="H11865" s="12"/>
      <c r="I11865" s="12"/>
      <c r="J11865" s="12"/>
      <c r="K11865" s="12"/>
      <c r="L11865" s="12"/>
      <c r="M11865" s="11"/>
      <c r="N11865" s="11"/>
      <c r="O11865" s="11"/>
      <c r="P11865" s="11"/>
    </row>
    <row r="11866" spans="8:16" x14ac:dyDescent="0.25">
      <c r="H11866" s="12"/>
      <c r="I11866" s="12"/>
      <c r="J11866" s="12"/>
      <c r="K11866" s="12"/>
      <c r="L11866" s="12"/>
      <c r="M11866" s="11"/>
      <c r="N11866" s="11"/>
      <c r="O11866" s="11"/>
      <c r="P11866" s="11"/>
    </row>
    <row r="11867" spans="8:16" x14ac:dyDescent="0.25">
      <c r="H11867" s="12"/>
      <c r="I11867" s="12"/>
      <c r="J11867" s="12"/>
      <c r="K11867" s="12"/>
      <c r="L11867" s="12"/>
      <c r="M11867" s="11"/>
      <c r="N11867" s="11"/>
      <c r="O11867" s="11"/>
      <c r="P11867" s="11"/>
    </row>
    <row r="11868" spans="8:16" x14ac:dyDescent="0.25">
      <c r="H11868" s="12"/>
      <c r="I11868" s="12"/>
      <c r="J11868" s="12"/>
      <c r="K11868" s="12"/>
      <c r="L11868" s="12"/>
      <c r="M11868" s="11"/>
      <c r="N11868" s="11"/>
      <c r="O11868" s="11"/>
      <c r="P11868" s="11"/>
    </row>
    <row r="11869" spans="8:16" x14ac:dyDescent="0.25">
      <c r="H11869" s="12"/>
      <c r="I11869" s="12"/>
      <c r="J11869" s="12"/>
      <c r="K11869" s="12"/>
      <c r="L11869" s="12"/>
      <c r="M11869" s="11"/>
      <c r="N11869" s="11"/>
      <c r="O11869" s="11"/>
      <c r="P11869" s="11"/>
    </row>
    <row r="11870" spans="8:16" x14ac:dyDescent="0.25">
      <c r="H11870" s="12"/>
      <c r="I11870" s="12"/>
      <c r="J11870" s="12"/>
      <c r="K11870" s="12"/>
      <c r="L11870" s="12"/>
      <c r="M11870" s="11"/>
      <c r="N11870" s="11"/>
      <c r="O11870" s="11"/>
      <c r="P11870" s="11"/>
    </row>
    <row r="11871" spans="8:16" x14ac:dyDescent="0.25">
      <c r="H11871" s="12"/>
      <c r="I11871" s="12"/>
      <c r="J11871" s="12"/>
      <c r="K11871" s="12"/>
      <c r="L11871" s="12"/>
      <c r="M11871" s="11"/>
      <c r="N11871" s="11"/>
      <c r="O11871" s="11"/>
      <c r="P11871" s="11"/>
    </row>
    <row r="11872" spans="8:16" x14ac:dyDescent="0.25">
      <c r="H11872" s="12"/>
      <c r="I11872" s="12"/>
      <c r="J11872" s="12"/>
      <c r="K11872" s="12"/>
      <c r="L11872" s="12"/>
      <c r="M11872" s="11"/>
      <c r="N11872" s="11"/>
      <c r="O11872" s="11"/>
      <c r="P11872" s="11"/>
    </row>
    <row r="11873" spans="8:16" x14ac:dyDescent="0.25">
      <c r="H11873" s="12"/>
      <c r="I11873" s="12"/>
      <c r="J11873" s="12"/>
      <c r="K11873" s="12"/>
      <c r="L11873" s="12"/>
      <c r="M11873" s="11"/>
      <c r="N11873" s="11"/>
      <c r="O11873" s="11"/>
      <c r="P11873" s="11"/>
    </row>
    <row r="11874" spans="8:16" x14ac:dyDescent="0.25">
      <c r="H11874" s="12"/>
      <c r="I11874" s="12"/>
      <c r="J11874" s="12"/>
      <c r="K11874" s="12"/>
      <c r="L11874" s="12"/>
      <c r="M11874" s="11"/>
      <c r="N11874" s="11"/>
      <c r="O11874" s="11"/>
      <c r="P11874" s="11"/>
    </row>
    <row r="11875" spans="8:16" x14ac:dyDescent="0.25">
      <c r="H11875" s="12"/>
      <c r="I11875" s="12"/>
      <c r="J11875" s="12"/>
      <c r="K11875" s="12"/>
      <c r="L11875" s="12"/>
      <c r="M11875" s="11"/>
      <c r="N11875" s="11"/>
      <c r="O11875" s="11"/>
      <c r="P11875" s="11"/>
    </row>
    <row r="11876" spans="8:16" x14ac:dyDescent="0.25">
      <c r="H11876" s="12"/>
      <c r="I11876" s="12"/>
      <c r="J11876" s="12"/>
      <c r="K11876" s="12"/>
      <c r="L11876" s="12"/>
      <c r="M11876" s="11"/>
      <c r="N11876" s="11"/>
      <c r="O11876" s="11"/>
      <c r="P11876" s="11"/>
    </row>
    <row r="11877" spans="8:16" x14ac:dyDescent="0.25">
      <c r="H11877" s="12"/>
      <c r="I11877" s="12"/>
      <c r="J11877" s="12"/>
      <c r="K11877" s="12"/>
      <c r="L11877" s="12"/>
      <c r="M11877" s="11"/>
      <c r="N11877" s="11"/>
      <c r="O11877" s="11"/>
      <c r="P11877" s="11"/>
    </row>
    <row r="11878" spans="8:16" x14ac:dyDescent="0.25">
      <c r="H11878" s="12"/>
      <c r="I11878" s="12"/>
      <c r="J11878" s="12"/>
      <c r="K11878" s="12"/>
      <c r="L11878" s="12"/>
      <c r="M11878" s="11"/>
      <c r="N11878" s="11"/>
      <c r="O11878" s="11"/>
      <c r="P11878" s="11"/>
    </row>
    <row r="11879" spans="8:16" x14ac:dyDescent="0.25">
      <c r="H11879" s="12"/>
      <c r="I11879" s="12"/>
      <c r="J11879" s="12"/>
      <c r="K11879" s="12"/>
      <c r="L11879" s="12"/>
      <c r="M11879" s="11"/>
      <c r="N11879" s="11"/>
      <c r="O11879" s="11"/>
      <c r="P11879" s="11"/>
    </row>
    <row r="11880" spans="8:16" x14ac:dyDescent="0.25">
      <c r="H11880" s="12"/>
      <c r="I11880" s="12"/>
      <c r="J11880" s="12"/>
      <c r="K11880" s="12"/>
      <c r="L11880" s="12"/>
      <c r="M11880" s="11"/>
      <c r="N11880" s="11"/>
      <c r="O11880" s="11"/>
      <c r="P11880" s="11"/>
    </row>
    <row r="11881" spans="8:16" x14ac:dyDescent="0.25">
      <c r="H11881" s="12"/>
      <c r="I11881" s="12"/>
      <c r="J11881" s="12"/>
      <c r="K11881" s="12"/>
      <c r="L11881" s="12"/>
      <c r="M11881" s="11"/>
      <c r="N11881" s="11"/>
      <c r="O11881" s="11"/>
      <c r="P11881" s="11"/>
    </row>
    <row r="11882" spans="8:16" x14ac:dyDescent="0.25">
      <c r="H11882" s="12"/>
      <c r="I11882" s="12"/>
      <c r="J11882" s="12"/>
      <c r="K11882" s="12"/>
      <c r="L11882" s="12"/>
      <c r="M11882" s="11"/>
      <c r="N11882" s="11"/>
      <c r="O11882" s="11"/>
      <c r="P11882" s="11"/>
    </row>
    <row r="11883" spans="8:16" x14ac:dyDescent="0.25">
      <c r="H11883" s="12"/>
      <c r="I11883" s="12"/>
      <c r="J11883" s="12"/>
      <c r="K11883" s="12"/>
      <c r="L11883" s="12"/>
      <c r="M11883" s="11"/>
      <c r="N11883" s="11"/>
      <c r="O11883" s="11"/>
      <c r="P11883" s="11"/>
    </row>
    <row r="11884" spans="8:16" x14ac:dyDescent="0.25">
      <c r="H11884" s="12"/>
      <c r="I11884" s="12"/>
      <c r="J11884" s="12"/>
      <c r="K11884" s="12"/>
      <c r="L11884" s="12"/>
      <c r="M11884" s="11"/>
      <c r="N11884" s="11"/>
      <c r="O11884" s="11"/>
      <c r="P11884" s="11"/>
    </row>
    <row r="11885" spans="8:16" x14ac:dyDescent="0.25">
      <c r="H11885" s="12"/>
      <c r="I11885" s="12"/>
      <c r="J11885" s="12"/>
      <c r="K11885" s="12"/>
      <c r="L11885" s="12"/>
      <c r="M11885" s="11"/>
      <c r="N11885" s="11"/>
      <c r="O11885" s="11"/>
      <c r="P11885" s="11"/>
    </row>
    <row r="11886" spans="8:16" x14ac:dyDescent="0.25">
      <c r="H11886" s="12"/>
      <c r="I11886" s="12"/>
      <c r="J11886" s="12"/>
      <c r="K11886" s="12"/>
      <c r="L11886" s="12"/>
      <c r="M11886" s="11"/>
      <c r="N11886" s="11"/>
      <c r="O11886" s="11"/>
      <c r="P11886" s="11"/>
    </row>
    <row r="11887" spans="8:16" x14ac:dyDescent="0.25">
      <c r="H11887" s="12"/>
      <c r="I11887" s="12"/>
      <c r="J11887" s="12"/>
      <c r="K11887" s="12"/>
      <c r="L11887" s="12"/>
      <c r="M11887" s="11"/>
      <c r="N11887" s="11"/>
      <c r="O11887" s="11"/>
      <c r="P11887" s="11"/>
    </row>
    <row r="11888" spans="8:16" x14ac:dyDescent="0.25">
      <c r="H11888" s="12"/>
      <c r="I11888" s="12"/>
      <c r="J11888" s="12"/>
      <c r="K11888" s="12"/>
      <c r="L11888" s="12"/>
      <c r="M11888" s="11"/>
      <c r="N11888" s="11"/>
      <c r="O11888" s="11"/>
      <c r="P11888" s="11"/>
    </row>
    <row r="11889" spans="8:16" x14ac:dyDescent="0.25">
      <c r="H11889" s="12"/>
      <c r="I11889" s="12"/>
      <c r="J11889" s="12"/>
      <c r="K11889" s="12"/>
      <c r="L11889" s="12"/>
      <c r="M11889" s="11"/>
      <c r="N11889" s="11"/>
      <c r="O11889" s="11"/>
      <c r="P11889" s="11"/>
    </row>
    <row r="11890" spans="8:16" x14ac:dyDescent="0.25">
      <c r="H11890" s="12"/>
      <c r="I11890" s="12"/>
      <c r="J11890" s="12"/>
      <c r="K11890" s="12"/>
      <c r="L11890" s="12"/>
      <c r="M11890" s="11"/>
      <c r="N11890" s="11"/>
      <c r="O11890" s="11"/>
      <c r="P11890" s="11"/>
    </row>
    <row r="11891" spans="8:16" x14ac:dyDescent="0.25">
      <c r="H11891" s="12"/>
      <c r="I11891" s="12"/>
      <c r="J11891" s="12"/>
      <c r="K11891" s="12"/>
      <c r="L11891" s="12"/>
      <c r="M11891" s="11"/>
      <c r="N11891" s="11"/>
      <c r="O11891" s="11"/>
      <c r="P11891" s="11"/>
    </row>
    <row r="11892" spans="8:16" x14ac:dyDescent="0.25">
      <c r="H11892" s="12"/>
      <c r="I11892" s="12"/>
      <c r="J11892" s="12"/>
      <c r="K11892" s="12"/>
      <c r="L11892" s="12"/>
      <c r="M11892" s="11"/>
      <c r="N11892" s="11"/>
      <c r="O11892" s="11"/>
      <c r="P11892" s="11"/>
    </row>
    <row r="11893" spans="8:16" x14ac:dyDescent="0.25">
      <c r="H11893" s="12"/>
      <c r="I11893" s="12"/>
      <c r="J11893" s="12"/>
      <c r="K11893" s="12"/>
      <c r="L11893" s="12"/>
      <c r="M11893" s="11"/>
      <c r="N11893" s="11"/>
      <c r="O11893" s="11"/>
      <c r="P11893" s="11"/>
    </row>
    <row r="11894" spans="8:16" x14ac:dyDescent="0.25">
      <c r="H11894" s="12"/>
      <c r="I11894" s="12"/>
      <c r="J11894" s="12"/>
      <c r="K11894" s="12"/>
      <c r="L11894" s="12"/>
      <c r="M11894" s="11"/>
      <c r="N11894" s="11"/>
      <c r="O11894" s="11"/>
      <c r="P11894" s="11"/>
    </row>
    <row r="11895" spans="8:16" x14ac:dyDescent="0.25">
      <c r="H11895" s="12"/>
      <c r="I11895" s="12"/>
      <c r="J11895" s="12"/>
      <c r="K11895" s="12"/>
      <c r="L11895" s="12"/>
      <c r="M11895" s="11"/>
      <c r="N11895" s="11"/>
      <c r="O11895" s="11"/>
      <c r="P11895" s="11"/>
    </row>
    <row r="11896" spans="8:16" x14ac:dyDescent="0.25">
      <c r="H11896" s="12"/>
      <c r="I11896" s="12"/>
      <c r="J11896" s="12"/>
      <c r="K11896" s="12"/>
      <c r="L11896" s="12"/>
      <c r="M11896" s="11"/>
      <c r="N11896" s="11"/>
      <c r="O11896" s="11"/>
      <c r="P11896" s="11"/>
    </row>
    <row r="11897" spans="8:16" x14ac:dyDescent="0.25">
      <c r="H11897" s="12"/>
      <c r="I11897" s="12"/>
      <c r="J11897" s="12"/>
      <c r="K11897" s="12"/>
      <c r="L11897" s="12"/>
      <c r="M11897" s="11"/>
      <c r="N11897" s="11"/>
      <c r="O11897" s="11"/>
      <c r="P11897" s="11"/>
    </row>
    <row r="11898" spans="8:16" x14ac:dyDescent="0.25">
      <c r="H11898" s="12"/>
      <c r="I11898" s="12"/>
      <c r="J11898" s="12"/>
      <c r="K11898" s="12"/>
      <c r="L11898" s="12"/>
      <c r="M11898" s="11"/>
      <c r="N11898" s="11"/>
      <c r="O11898" s="11"/>
      <c r="P11898" s="11"/>
    </row>
    <row r="11899" spans="8:16" x14ac:dyDescent="0.25">
      <c r="H11899" s="12"/>
      <c r="I11899" s="12"/>
      <c r="J11899" s="12"/>
      <c r="K11899" s="12"/>
      <c r="L11899" s="12"/>
      <c r="M11899" s="11"/>
      <c r="N11899" s="11"/>
      <c r="O11899" s="11"/>
      <c r="P11899" s="11"/>
    </row>
    <row r="11900" spans="8:16" x14ac:dyDescent="0.25">
      <c r="H11900" s="12"/>
      <c r="I11900" s="12"/>
      <c r="J11900" s="12"/>
      <c r="K11900" s="12"/>
      <c r="L11900" s="12"/>
      <c r="M11900" s="11"/>
      <c r="N11900" s="11"/>
      <c r="O11900" s="11"/>
      <c r="P11900" s="11"/>
    </row>
    <row r="11901" spans="8:16" x14ac:dyDescent="0.25">
      <c r="H11901" s="12"/>
      <c r="I11901" s="12"/>
      <c r="J11901" s="12"/>
      <c r="K11901" s="12"/>
      <c r="L11901" s="12"/>
      <c r="M11901" s="11"/>
      <c r="N11901" s="11"/>
      <c r="O11901" s="11"/>
      <c r="P11901" s="11"/>
    </row>
    <row r="11902" spans="8:16" x14ac:dyDescent="0.25">
      <c r="H11902" s="12"/>
      <c r="I11902" s="12"/>
      <c r="J11902" s="12"/>
      <c r="K11902" s="12"/>
      <c r="L11902" s="12"/>
      <c r="M11902" s="11"/>
      <c r="N11902" s="11"/>
      <c r="O11902" s="11"/>
      <c r="P11902" s="11"/>
    </row>
    <row r="11903" spans="8:16" x14ac:dyDescent="0.25">
      <c r="H11903" s="12"/>
      <c r="I11903" s="12"/>
      <c r="J11903" s="12"/>
      <c r="K11903" s="12"/>
      <c r="L11903" s="12"/>
      <c r="M11903" s="11"/>
      <c r="N11903" s="11"/>
      <c r="O11903" s="11"/>
      <c r="P11903" s="11"/>
    </row>
    <row r="11904" spans="8:16" x14ac:dyDescent="0.25">
      <c r="H11904" s="12"/>
      <c r="I11904" s="12"/>
      <c r="J11904" s="12"/>
      <c r="K11904" s="12"/>
      <c r="L11904" s="12"/>
      <c r="M11904" s="11"/>
      <c r="N11904" s="11"/>
      <c r="O11904" s="11"/>
      <c r="P11904" s="11"/>
    </row>
    <row r="11905" spans="8:16" x14ac:dyDescent="0.25">
      <c r="H11905" s="12"/>
      <c r="I11905" s="12"/>
      <c r="J11905" s="12"/>
      <c r="K11905" s="12"/>
      <c r="L11905" s="12"/>
      <c r="M11905" s="11"/>
      <c r="N11905" s="11"/>
      <c r="O11905" s="11"/>
      <c r="P11905" s="11"/>
    </row>
    <row r="11906" spans="8:16" x14ac:dyDescent="0.25">
      <c r="H11906" s="12"/>
      <c r="I11906" s="12"/>
      <c r="J11906" s="12"/>
      <c r="K11906" s="12"/>
      <c r="L11906" s="12"/>
      <c r="M11906" s="11"/>
      <c r="N11906" s="11"/>
      <c r="O11906" s="11"/>
      <c r="P11906" s="11"/>
    </row>
    <row r="11907" spans="8:16" x14ac:dyDescent="0.25">
      <c r="H11907" s="12"/>
      <c r="I11907" s="12"/>
      <c r="J11907" s="12"/>
      <c r="K11907" s="12"/>
      <c r="L11907" s="12"/>
      <c r="M11907" s="11"/>
      <c r="N11907" s="11"/>
      <c r="O11907" s="11"/>
      <c r="P11907" s="11"/>
    </row>
    <row r="11908" spans="8:16" x14ac:dyDescent="0.25">
      <c r="H11908" s="12"/>
      <c r="I11908" s="12"/>
      <c r="J11908" s="12"/>
      <c r="K11908" s="12"/>
      <c r="L11908" s="12"/>
      <c r="M11908" s="11"/>
      <c r="N11908" s="11"/>
      <c r="O11908" s="11"/>
      <c r="P11908" s="11"/>
    </row>
    <row r="11909" spans="8:16" x14ac:dyDescent="0.25">
      <c r="H11909" s="12"/>
      <c r="I11909" s="12"/>
      <c r="J11909" s="12"/>
      <c r="K11909" s="12"/>
      <c r="L11909" s="12"/>
      <c r="M11909" s="11"/>
      <c r="N11909" s="11"/>
      <c r="O11909" s="11"/>
      <c r="P11909" s="11"/>
    </row>
    <row r="11910" spans="8:16" x14ac:dyDescent="0.25">
      <c r="H11910" s="12"/>
      <c r="I11910" s="12"/>
      <c r="J11910" s="12"/>
      <c r="K11910" s="12"/>
      <c r="L11910" s="12"/>
      <c r="M11910" s="11"/>
      <c r="N11910" s="11"/>
      <c r="O11910" s="11"/>
      <c r="P11910" s="11"/>
    </row>
    <row r="11911" spans="8:16" x14ac:dyDescent="0.25">
      <c r="H11911" s="12"/>
      <c r="I11911" s="12"/>
      <c r="J11911" s="12"/>
      <c r="K11911" s="12"/>
      <c r="L11911" s="12"/>
      <c r="M11911" s="11"/>
      <c r="N11911" s="11"/>
      <c r="O11911" s="11"/>
      <c r="P11911" s="11"/>
    </row>
    <row r="11912" spans="8:16" x14ac:dyDescent="0.25">
      <c r="H11912" s="12"/>
      <c r="I11912" s="12"/>
      <c r="J11912" s="12"/>
      <c r="K11912" s="12"/>
      <c r="L11912" s="12"/>
      <c r="M11912" s="11"/>
      <c r="N11912" s="11"/>
      <c r="O11912" s="11"/>
      <c r="P11912" s="11"/>
    </row>
    <row r="11913" spans="8:16" x14ac:dyDescent="0.25">
      <c r="H11913" s="12"/>
      <c r="I11913" s="12"/>
      <c r="J11913" s="12"/>
      <c r="K11913" s="12"/>
      <c r="L11913" s="12"/>
      <c r="M11913" s="11"/>
      <c r="N11913" s="11"/>
      <c r="O11913" s="11"/>
      <c r="P11913" s="11"/>
    </row>
    <row r="11914" spans="8:16" x14ac:dyDescent="0.25">
      <c r="H11914" s="12"/>
      <c r="I11914" s="12"/>
      <c r="J11914" s="12"/>
      <c r="K11914" s="12"/>
      <c r="L11914" s="12"/>
      <c r="M11914" s="11"/>
      <c r="N11914" s="11"/>
      <c r="O11914" s="11"/>
      <c r="P11914" s="11"/>
    </row>
    <row r="11915" spans="8:16" x14ac:dyDescent="0.25">
      <c r="H11915" s="12"/>
      <c r="I11915" s="12"/>
      <c r="J11915" s="12"/>
      <c r="K11915" s="12"/>
      <c r="L11915" s="12"/>
      <c r="M11915" s="11"/>
      <c r="N11915" s="11"/>
      <c r="O11915" s="11"/>
      <c r="P11915" s="11"/>
    </row>
    <row r="11916" spans="8:16" x14ac:dyDescent="0.25">
      <c r="H11916" s="12"/>
      <c r="I11916" s="12"/>
      <c r="J11916" s="12"/>
      <c r="K11916" s="12"/>
      <c r="L11916" s="12"/>
      <c r="M11916" s="11"/>
      <c r="N11916" s="11"/>
      <c r="O11916" s="11"/>
      <c r="P11916" s="11"/>
    </row>
    <row r="11917" spans="8:16" x14ac:dyDescent="0.25">
      <c r="H11917" s="12"/>
      <c r="I11917" s="12"/>
      <c r="J11917" s="12"/>
      <c r="K11917" s="12"/>
      <c r="L11917" s="12"/>
      <c r="M11917" s="11"/>
      <c r="N11917" s="11"/>
      <c r="O11917" s="11"/>
      <c r="P11917" s="11"/>
    </row>
    <row r="11918" spans="8:16" x14ac:dyDescent="0.25">
      <c r="H11918" s="12"/>
      <c r="I11918" s="12"/>
      <c r="J11918" s="12"/>
      <c r="K11918" s="12"/>
      <c r="L11918" s="12"/>
      <c r="M11918" s="11"/>
      <c r="N11918" s="11"/>
      <c r="O11918" s="11"/>
      <c r="P11918" s="11"/>
    </row>
    <row r="11919" spans="8:16" x14ac:dyDescent="0.25">
      <c r="H11919" s="12"/>
      <c r="I11919" s="12"/>
      <c r="J11919" s="12"/>
      <c r="K11919" s="12"/>
      <c r="L11919" s="12"/>
      <c r="M11919" s="11"/>
      <c r="N11919" s="11"/>
      <c r="O11919" s="11"/>
      <c r="P11919" s="11"/>
    </row>
    <row r="11920" spans="8:16" x14ac:dyDescent="0.25">
      <c r="H11920" s="12"/>
      <c r="I11920" s="12"/>
      <c r="J11920" s="12"/>
      <c r="K11920" s="12"/>
      <c r="L11920" s="12"/>
      <c r="M11920" s="11"/>
      <c r="N11920" s="11"/>
      <c r="O11920" s="11"/>
      <c r="P11920" s="11"/>
    </row>
    <row r="11921" spans="8:16" x14ac:dyDescent="0.25">
      <c r="H11921" s="12"/>
      <c r="I11921" s="12"/>
      <c r="J11921" s="12"/>
      <c r="K11921" s="12"/>
      <c r="L11921" s="12"/>
      <c r="M11921" s="11"/>
      <c r="N11921" s="11"/>
      <c r="O11921" s="11"/>
      <c r="P11921" s="11"/>
    </row>
    <row r="11922" spans="8:16" x14ac:dyDescent="0.25">
      <c r="H11922" s="12"/>
      <c r="I11922" s="12"/>
      <c r="J11922" s="12"/>
      <c r="K11922" s="12"/>
      <c r="L11922" s="12"/>
      <c r="M11922" s="11"/>
      <c r="N11922" s="11"/>
      <c r="O11922" s="11"/>
      <c r="P11922" s="11"/>
    </row>
    <row r="11923" spans="8:16" x14ac:dyDescent="0.25">
      <c r="H11923" s="12"/>
      <c r="I11923" s="12"/>
      <c r="J11923" s="12"/>
      <c r="K11923" s="12"/>
      <c r="L11923" s="12"/>
      <c r="M11923" s="11"/>
      <c r="N11923" s="11"/>
      <c r="O11923" s="11"/>
      <c r="P11923" s="11"/>
    </row>
    <row r="11924" spans="8:16" x14ac:dyDescent="0.25">
      <c r="H11924" s="12"/>
      <c r="I11924" s="12"/>
      <c r="J11924" s="12"/>
      <c r="K11924" s="12"/>
      <c r="L11924" s="12"/>
      <c r="M11924" s="11"/>
      <c r="N11924" s="11"/>
      <c r="O11924" s="11"/>
      <c r="P11924" s="11"/>
    </row>
    <row r="11925" spans="8:16" x14ac:dyDescent="0.25">
      <c r="H11925" s="12"/>
      <c r="I11925" s="12"/>
      <c r="J11925" s="12"/>
      <c r="K11925" s="12"/>
      <c r="L11925" s="12"/>
      <c r="M11925" s="11"/>
      <c r="N11925" s="11"/>
      <c r="O11925" s="11"/>
      <c r="P11925" s="11"/>
    </row>
    <row r="11926" spans="8:16" x14ac:dyDescent="0.25">
      <c r="H11926" s="12"/>
      <c r="I11926" s="12"/>
      <c r="J11926" s="12"/>
      <c r="K11926" s="12"/>
      <c r="L11926" s="12"/>
      <c r="M11926" s="11"/>
      <c r="N11926" s="11"/>
      <c r="O11926" s="11"/>
      <c r="P11926" s="11"/>
    </row>
    <row r="11927" spans="8:16" x14ac:dyDescent="0.25">
      <c r="H11927" s="12"/>
      <c r="I11927" s="12"/>
      <c r="J11927" s="12"/>
      <c r="K11927" s="12"/>
      <c r="L11927" s="12"/>
      <c r="M11927" s="11"/>
      <c r="N11927" s="11"/>
      <c r="O11927" s="11"/>
      <c r="P11927" s="11"/>
    </row>
    <row r="11928" spans="8:16" x14ac:dyDescent="0.25">
      <c r="H11928" s="12"/>
      <c r="I11928" s="12"/>
      <c r="J11928" s="12"/>
      <c r="K11928" s="12"/>
      <c r="L11928" s="12"/>
      <c r="M11928" s="11"/>
      <c r="N11928" s="11"/>
      <c r="O11928" s="11"/>
      <c r="P11928" s="11"/>
    </row>
    <row r="11929" spans="8:16" x14ac:dyDescent="0.25">
      <c r="H11929" s="12"/>
      <c r="I11929" s="12"/>
      <c r="J11929" s="12"/>
      <c r="K11929" s="12"/>
      <c r="L11929" s="12"/>
      <c r="M11929" s="11"/>
      <c r="N11929" s="11"/>
      <c r="O11929" s="11"/>
      <c r="P11929" s="11"/>
    </row>
    <row r="11930" spans="8:16" x14ac:dyDescent="0.25">
      <c r="H11930" s="12"/>
      <c r="I11930" s="12"/>
      <c r="J11930" s="12"/>
      <c r="K11930" s="12"/>
      <c r="L11930" s="12"/>
      <c r="M11930" s="11"/>
      <c r="N11930" s="11"/>
      <c r="O11930" s="11"/>
      <c r="P11930" s="11"/>
    </row>
    <row r="11931" spans="8:16" x14ac:dyDescent="0.25">
      <c r="H11931" s="12"/>
      <c r="I11931" s="12"/>
      <c r="J11931" s="12"/>
      <c r="K11931" s="12"/>
      <c r="L11931" s="12"/>
      <c r="M11931" s="11"/>
      <c r="N11931" s="11"/>
      <c r="O11931" s="11"/>
      <c r="P11931" s="11"/>
    </row>
    <row r="11932" spans="8:16" x14ac:dyDescent="0.25">
      <c r="H11932" s="12"/>
      <c r="I11932" s="12"/>
      <c r="J11932" s="12"/>
      <c r="K11932" s="12"/>
      <c r="L11932" s="12"/>
      <c r="M11932" s="11"/>
      <c r="N11932" s="11"/>
      <c r="O11932" s="11"/>
      <c r="P11932" s="11"/>
    </row>
    <row r="11933" spans="8:16" x14ac:dyDescent="0.25">
      <c r="H11933" s="12"/>
      <c r="I11933" s="12"/>
      <c r="J11933" s="12"/>
      <c r="K11933" s="12"/>
      <c r="L11933" s="12"/>
      <c r="M11933" s="11"/>
      <c r="N11933" s="11"/>
      <c r="O11933" s="11"/>
      <c r="P11933" s="11"/>
    </row>
    <row r="11934" spans="8:16" x14ac:dyDescent="0.25">
      <c r="H11934" s="12"/>
      <c r="I11934" s="12"/>
      <c r="J11934" s="12"/>
      <c r="K11934" s="12"/>
      <c r="L11934" s="12"/>
      <c r="M11934" s="11"/>
      <c r="N11934" s="11"/>
      <c r="O11934" s="11"/>
      <c r="P11934" s="11"/>
    </row>
    <row r="11935" spans="8:16" x14ac:dyDescent="0.25">
      <c r="H11935" s="12"/>
      <c r="I11935" s="12"/>
      <c r="J11935" s="12"/>
      <c r="K11935" s="12"/>
      <c r="L11935" s="12"/>
      <c r="M11935" s="11"/>
      <c r="N11935" s="11"/>
      <c r="O11935" s="11"/>
      <c r="P11935" s="11"/>
    </row>
    <row r="11936" spans="8:16" x14ac:dyDescent="0.25">
      <c r="H11936" s="12"/>
      <c r="I11936" s="12"/>
      <c r="J11936" s="12"/>
      <c r="K11936" s="12"/>
      <c r="L11936" s="12"/>
      <c r="M11936" s="11"/>
      <c r="N11936" s="11"/>
      <c r="O11936" s="11"/>
      <c r="P11936" s="11"/>
    </row>
    <row r="11937" spans="8:16" x14ac:dyDescent="0.25">
      <c r="H11937" s="12"/>
      <c r="I11937" s="12"/>
      <c r="J11937" s="12"/>
      <c r="K11937" s="12"/>
      <c r="L11937" s="12"/>
      <c r="M11937" s="11"/>
      <c r="N11937" s="11"/>
      <c r="O11937" s="11"/>
      <c r="P11937" s="11"/>
    </row>
    <row r="11938" spans="8:16" x14ac:dyDescent="0.25">
      <c r="H11938" s="12"/>
      <c r="I11938" s="12"/>
      <c r="J11938" s="12"/>
      <c r="K11938" s="12"/>
      <c r="L11938" s="12"/>
      <c r="M11938" s="11"/>
      <c r="N11938" s="11"/>
      <c r="O11938" s="11"/>
      <c r="P11938" s="11"/>
    </row>
    <row r="11939" spans="8:16" x14ac:dyDescent="0.25">
      <c r="H11939" s="12"/>
      <c r="I11939" s="12"/>
      <c r="J11939" s="12"/>
      <c r="K11939" s="12"/>
      <c r="L11939" s="12"/>
      <c r="M11939" s="11"/>
      <c r="N11939" s="11"/>
      <c r="O11939" s="11"/>
      <c r="P11939" s="11"/>
    </row>
    <row r="11940" spans="8:16" x14ac:dyDescent="0.25">
      <c r="H11940" s="12"/>
      <c r="I11940" s="12"/>
      <c r="J11940" s="12"/>
      <c r="K11940" s="12"/>
      <c r="L11940" s="12"/>
      <c r="M11940" s="11"/>
      <c r="N11940" s="11"/>
      <c r="O11940" s="11"/>
      <c r="P11940" s="11"/>
    </row>
    <row r="11941" spans="8:16" x14ac:dyDescent="0.25">
      <c r="H11941" s="12"/>
      <c r="I11941" s="12"/>
      <c r="J11941" s="12"/>
      <c r="K11941" s="12"/>
      <c r="L11941" s="12"/>
      <c r="M11941" s="11"/>
      <c r="N11941" s="11"/>
      <c r="O11941" s="11"/>
      <c r="P11941" s="11"/>
    </row>
    <row r="11942" spans="8:16" x14ac:dyDescent="0.25">
      <c r="H11942" s="12"/>
      <c r="I11942" s="12"/>
      <c r="J11942" s="12"/>
      <c r="K11942" s="12"/>
      <c r="L11942" s="12"/>
      <c r="M11942" s="11"/>
      <c r="N11942" s="11"/>
      <c r="O11942" s="11"/>
      <c r="P11942" s="11"/>
    </row>
    <row r="11943" spans="8:16" x14ac:dyDescent="0.25">
      <c r="H11943" s="12"/>
      <c r="I11943" s="12"/>
      <c r="J11943" s="12"/>
      <c r="K11943" s="12"/>
      <c r="L11943" s="12"/>
      <c r="M11943" s="11"/>
      <c r="N11943" s="11"/>
      <c r="O11943" s="11"/>
      <c r="P11943" s="11"/>
    </row>
    <row r="11944" spans="8:16" x14ac:dyDescent="0.25">
      <c r="H11944" s="12"/>
      <c r="I11944" s="12"/>
      <c r="J11944" s="12"/>
      <c r="K11944" s="12"/>
      <c r="L11944" s="12"/>
      <c r="M11944" s="11"/>
      <c r="N11944" s="11"/>
      <c r="O11944" s="11"/>
      <c r="P11944" s="11"/>
    </row>
    <row r="11945" spans="8:16" x14ac:dyDescent="0.25">
      <c r="H11945" s="12"/>
      <c r="I11945" s="12"/>
      <c r="J11945" s="12"/>
      <c r="K11945" s="12"/>
      <c r="L11945" s="12"/>
      <c r="M11945" s="11"/>
      <c r="N11945" s="11"/>
      <c r="O11945" s="11"/>
      <c r="P11945" s="11"/>
    </row>
    <row r="11946" spans="8:16" x14ac:dyDescent="0.25">
      <c r="H11946" s="12"/>
      <c r="I11946" s="12"/>
      <c r="J11946" s="12"/>
      <c r="K11946" s="12"/>
      <c r="L11946" s="12"/>
      <c r="M11946" s="11"/>
      <c r="N11946" s="11"/>
      <c r="O11946" s="11"/>
      <c r="P11946" s="11"/>
    </row>
    <row r="11947" spans="8:16" x14ac:dyDescent="0.25">
      <c r="H11947" s="12"/>
      <c r="I11947" s="12"/>
      <c r="J11947" s="12"/>
      <c r="K11947" s="12"/>
      <c r="L11947" s="12"/>
      <c r="M11947" s="11"/>
      <c r="N11947" s="11"/>
      <c r="O11947" s="11"/>
      <c r="P11947" s="11"/>
    </row>
    <row r="11948" spans="8:16" x14ac:dyDescent="0.25">
      <c r="H11948" s="12"/>
      <c r="I11948" s="12"/>
      <c r="J11948" s="12"/>
      <c r="K11948" s="12"/>
      <c r="L11948" s="12"/>
      <c r="M11948" s="11"/>
      <c r="N11948" s="11"/>
      <c r="O11948" s="11"/>
      <c r="P11948" s="11"/>
    </row>
    <row r="11949" spans="8:16" x14ac:dyDescent="0.25">
      <c r="H11949" s="12"/>
      <c r="I11949" s="12"/>
      <c r="J11949" s="12"/>
      <c r="K11949" s="12"/>
      <c r="L11949" s="12"/>
      <c r="M11949" s="11"/>
      <c r="N11949" s="11"/>
      <c r="O11949" s="11"/>
      <c r="P11949" s="11"/>
    </row>
    <row r="11950" spans="8:16" x14ac:dyDescent="0.25">
      <c r="H11950" s="12"/>
      <c r="I11950" s="12"/>
      <c r="J11950" s="12"/>
      <c r="K11950" s="12"/>
      <c r="L11950" s="12"/>
      <c r="M11950" s="11"/>
      <c r="N11950" s="11"/>
      <c r="O11950" s="11"/>
      <c r="P11950" s="11"/>
    </row>
    <row r="11951" spans="8:16" x14ac:dyDescent="0.25">
      <c r="H11951" s="12"/>
      <c r="I11951" s="12"/>
      <c r="J11951" s="12"/>
      <c r="K11951" s="12"/>
      <c r="L11951" s="12"/>
      <c r="M11951" s="11"/>
      <c r="N11951" s="11"/>
      <c r="O11951" s="11"/>
      <c r="P11951" s="11"/>
    </row>
    <row r="11952" spans="8:16" x14ac:dyDescent="0.25">
      <c r="H11952" s="12"/>
      <c r="I11952" s="12"/>
      <c r="J11952" s="12"/>
      <c r="K11952" s="12"/>
      <c r="L11952" s="12"/>
      <c r="M11952" s="11"/>
      <c r="N11952" s="11"/>
      <c r="O11952" s="11"/>
      <c r="P11952" s="11"/>
    </row>
    <row r="11953" spans="8:16" x14ac:dyDescent="0.25">
      <c r="H11953" s="12"/>
      <c r="I11953" s="12"/>
      <c r="J11953" s="12"/>
      <c r="K11953" s="12"/>
      <c r="L11953" s="12"/>
      <c r="M11953" s="11"/>
      <c r="N11953" s="11"/>
      <c r="O11953" s="11"/>
      <c r="P11953" s="11"/>
    </row>
    <row r="11954" spans="8:16" x14ac:dyDescent="0.25">
      <c r="H11954" s="12"/>
      <c r="I11954" s="12"/>
      <c r="J11954" s="12"/>
      <c r="K11954" s="12"/>
      <c r="L11954" s="12"/>
      <c r="M11954" s="11"/>
      <c r="N11954" s="11"/>
      <c r="O11954" s="11"/>
      <c r="P11954" s="11"/>
    </row>
    <row r="11955" spans="8:16" x14ac:dyDescent="0.25">
      <c r="H11955" s="12"/>
      <c r="I11955" s="12"/>
      <c r="J11955" s="12"/>
      <c r="K11955" s="12"/>
      <c r="L11955" s="12"/>
      <c r="M11955" s="11"/>
      <c r="N11955" s="11"/>
      <c r="O11955" s="11"/>
      <c r="P11955" s="11"/>
    </row>
    <row r="11956" spans="8:16" x14ac:dyDescent="0.25">
      <c r="H11956" s="12"/>
      <c r="I11956" s="12"/>
      <c r="J11956" s="12"/>
      <c r="K11956" s="12"/>
      <c r="L11956" s="12"/>
      <c r="M11956" s="11"/>
      <c r="N11956" s="11"/>
      <c r="O11956" s="11"/>
      <c r="P11956" s="11"/>
    </row>
    <row r="11957" spans="8:16" x14ac:dyDescent="0.25">
      <c r="H11957" s="12"/>
      <c r="I11957" s="12"/>
      <c r="J11957" s="12"/>
      <c r="K11957" s="12"/>
      <c r="L11957" s="12"/>
      <c r="M11957" s="11"/>
      <c r="N11957" s="11"/>
      <c r="O11957" s="11"/>
      <c r="P11957" s="11"/>
    </row>
    <row r="11958" spans="8:16" x14ac:dyDescent="0.25">
      <c r="H11958" s="12"/>
      <c r="I11958" s="12"/>
      <c r="J11958" s="12"/>
      <c r="K11958" s="12"/>
      <c r="L11958" s="12"/>
      <c r="M11958" s="11"/>
      <c r="N11958" s="11"/>
      <c r="O11958" s="11"/>
      <c r="P11958" s="11"/>
    </row>
    <row r="11959" spans="8:16" x14ac:dyDescent="0.25">
      <c r="H11959" s="12"/>
      <c r="I11959" s="12"/>
      <c r="J11959" s="12"/>
      <c r="K11959" s="12"/>
      <c r="L11959" s="12"/>
      <c r="M11959" s="11"/>
      <c r="N11959" s="11"/>
      <c r="O11959" s="11"/>
      <c r="P11959" s="11"/>
    </row>
    <row r="11960" spans="8:16" x14ac:dyDescent="0.25">
      <c r="H11960" s="12"/>
      <c r="I11960" s="12"/>
      <c r="J11960" s="12"/>
      <c r="K11960" s="12"/>
      <c r="L11960" s="12"/>
      <c r="M11960" s="11"/>
      <c r="N11960" s="11"/>
      <c r="O11960" s="11"/>
      <c r="P11960" s="11"/>
    </row>
    <row r="11961" spans="8:16" x14ac:dyDescent="0.25">
      <c r="H11961" s="12"/>
      <c r="I11961" s="12"/>
      <c r="J11961" s="12"/>
      <c r="K11961" s="12"/>
      <c r="L11961" s="12"/>
      <c r="M11961" s="11"/>
      <c r="N11961" s="11"/>
      <c r="O11961" s="11"/>
      <c r="P11961" s="11"/>
    </row>
    <row r="11962" spans="8:16" x14ac:dyDescent="0.25">
      <c r="H11962" s="12"/>
      <c r="I11962" s="12"/>
      <c r="J11962" s="12"/>
      <c r="K11962" s="12"/>
      <c r="L11962" s="12"/>
      <c r="M11962" s="11"/>
      <c r="N11962" s="11"/>
      <c r="O11962" s="11"/>
      <c r="P11962" s="11"/>
    </row>
    <row r="11963" spans="8:16" x14ac:dyDescent="0.25">
      <c r="H11963" s="12"/>
      <c r="I11963" s="12"/>
      <c r="J11963" s="12"/>
      <c r="K11963" s="12"/>
      <c r="L11963" s="12"/>
      <c r="M11963" s="11"/>
      <c r="N11963" s="11"/>
      <c r="O11963" s="11"/>
      <c r="P11963" s="11"/>
    </row>
    <row r="11964" spans="8:16" x14ac:dyDescent="0.25">
      <c r="H11964" s="12"/>
      <c r="I11964" s="12"/>
      <c r="J11964" s="12"/>
      <c r="K11964" s="12"/>
      <c r="L11964" s="12"/>
      <c r="M11964" s="11"/>
      <c r="N11964" s="11"/>
      <c r="O11964" s="11"/>
      <c r="P11964" s="11"/>
    </row>
    <row r="11965" spans="8:16" x14ac:dyDescent="0.25">
      <c r="H11965" s="12"/>
      <c r="I11965" s="12"/>
      <c r="J11965" s="12"/>
      <c r="K11965" s="12"/>
      <c r="L11965" s="12"/>
      <c r="M11965" s="11"/>
      <c r="N11965" s="11"/>
      <c r="O11965" s="11"/>
      <c r="P11965" s="11"/>
    </row>
    <row r="11966" spans="8:16" x14ac:dyDescent="0.25">
      <c r="H11966" s="12"/>
      <c r="I11966" s="12"/>
      <c r="J11966" s="12"/>
      <c r="K11966" s="12"/>
      <c r="L11966" s="12"/>
      <c r="M11966" s="11"/>
      <c r="N11966" s="11"/>
      <c r="O11966" s="11"/>
      <c r="P11966" s="11"/>
    </row>
    <row r="11967" spans="8:16" x14ac:dyDescent="0.25">
      <c r="H11967" s="12"/>
      <c r="I11967" s="12"/>
      <c r="J11967" s="12"/>
      <c r="K11967" s="12"/>
      <c r="L11967" s="12"/>
      <c r="M11967" s="11"/>
      <c r="N11967" s="11"/>
      <c r="O11967" s="11"/>
      <c r="P11967" s="11"/>
    </row>
    <row r="11968" spans="8:16" x14ac:dyDescent="0.25">
      <c r="H11968" s="12"/>
      <c r="I11968" s="12"/>
      <c r="J11968" s="12"/>
      <c r="K11968" s="12"/>
      <c r="L11968" s="12"/>
      <c r="M11968" s="11"/>
      <c r="N11968" s="11"/>
      <c r="O11968" s="11"/>
      <c r="P11968" s="11"/>
    </row>
    <row r="11969" spans="8:16" x14ac:dyDescent="0.25">
      <c r="H11969" s="12"/>
      <c r="I11969" s="12"/>
      <c r="J11969" s="12"/>
      <c r="K11969" s="12"/>
      <c r="L11969" s="12"/>
      <c r="M11969" s="11"/>
      <c r="N11969" s="11"/>
      <c r="O11969" s="11"/>
      <c r="P11969" s="11"/>
    </row>
    <row r="11970" spans="8:16" x14ac:dyDescent="0.25">
      <c r="H11970" s="12"/>
      <c r="I11970" s="12"/>
      <c r="J11970" s="12"/>
      <c r="K11970" s="12"/>
      <c r="L11970" s="12"/>
      <c r="M11970" s="11"/>
      <c r="N11970" s="11"/>
      <c r="O11970" s="11"/>
      <c r="P11970" s="11"/>
    </row>
    <row r="11971" spans="8:16" x14ac:dyDescent="0.25">
      <c r="H11971" s="12"/>
      <c r="I11971" s="12"/>
      <c r="J11971" s="12"/>
      <c r="K11971" s="12"/>
      <c r="L11971" s="12"/>
      <c r="M11971" s="11"/>
      <c r="N11971" s="11"/>
      <c r="O11971" s="11"/>
      <c r="P11971" s="11"/>
    </row>
    <row r="11972" spans="8:16" x14ac:dyDescent="0.25">
      <c r="H11972" s="12"/>
      <c r="I11972" s="12"/>
      <c r="J11972" s="12"/>
      <c r="K11972" s="12"/>
      <c r="L11972" s="12"/>
      <c r="M11972" s="11"/>
      <c r="N11972" s="11"/>
      <c r="O11972" s="11"/>
      <c r="P11972" s="11"/>
    </row>
    <row r="11973" spans="8:16" x14ac:dyDescent="0.25">
      <c r="H11973" s="12"/>
      <c r="I11973" s="12"/>
      <c r="J11973" s="12"/>
      <c r="K11973" s="12"/>
      <c r="L11973" s="12"/>
      <c r="M11973" s="11"/>
      <c r="N11973" s="11"/>
      <c r="O11973" s="11"/>
      <c r="P11973" s="11"/>
    </row>
    <row r="11974" spans="8:16" x14ac:dyDescent="0.25">
      <c r="H11974" s="12"/>
      <c r="I11974" s="12"/>
      <c r="J11974" s="12"/>
      <c r="K11974" s="12"/>
      <c r="L11974" s="12"/>
      <c r="M11974" s="11"/>
      <c r="N11974" s="11"/>
      <c r="O11974" s="11"/>
      <c r="P11974" s="11"/>
    </row>
    <row r="11975" spans="8:16" x14ac:dyDescent="0.25">
      <c r="H11975" s="12"/>
      <c r="I11975" s="12"/>
      <c r="J11975" s="12"/>
      <c r="K11975" s="12"/>
      <c r="L11975" s="12"/>
      <c r="M11975" s="11"/>
      <c r="N11975" s="11"/>
      <c r="O11975" s="11"/>
      <c r="P11975" s="11"/>
    </row>
    <row r="11976" spans="8:16" x14ac:dyDescent="0.25">
      <c r="H11976" s="12"/>
      <c r="I11976" s="12"/>
      <c r="J11976" s="12"/>
      <c r="K11976" s="12"/>
      <c r="L11976" s="12"/>
      <c r="M11976" s="11"/>
      <c r="N11976" s="11"/>
      <c r="O11976" s="11"/>
      <c r="P11976" s="11"/>
    </row>
    <row r="11977" spans="8:16" x14ac:dyDescent="0.25">
      <c r="H11977" s="12"/>
      <c r="I11977" s="12"/>
      <c r="J11977" s="12"/>
      <c r="K11977" s="12"/>
      <c r="L11977" s="12"/>
      <c r="M11977" s="11"/>
      <c r="N11977" s="11"/>
      <c r="O11977" s="11"/>
      <c r="P11977" s="11"/>
    </row>
    <row r="11978" spans="8:16" x14ac:dyDescent="0.25">
      <c r="H11978" s="12"/>
      <c r="I11978" s="12"/>
      <c r="J11978" s="12"/>
      <c r="K11978" s="12"/>
      <c r="L11978" s="12"/>
      <c r="M11978" s="11"/>
      <c r="N11978" s="11"/>
      <c r="O11978" s="11"/>
      <c r="P11978" s="11"/>
    </row>
    <row r="11979" spans="8:16" x14ac:dyDescent="0.25">
      <c r="H11979" s="12"/>
      <c r="I11979" s="12"/>
      <c r="J11979" s="12"/>
      <c r="K11979" s="12"/>
      <c r="L11979" s="12"/>
      <c r="M11979" s="11"/>
      <c r="N11979" s="11"/>
      <c r="O11979" s="11"/>
      <c r="P11979" s="11"/>
    </row>
    <row r="11980" spans="8:16" x14ac:dyDescent="0.25">
      <c r="H11980" s="12"/>
      <c r="I11980" s="12"/>
      <c r="J11980" s="12"/>
      <c r="K11980" s="12"/>
      <c r="L11980" s="12"/>
      <c r="M11980" s="11"/>
      <c r="N11980" s="11"/>
      <c r="O11980" s="11"/>
      <c r="P11980" s="11"/>
    </row>
    <row r="11981" spans="8:16" x14ac:dyDescent="0.25">
      <c r="H11981" s="12"/>
      <c r="I11981" s="12"/>
      <c r="J11981" s="12"/>
      <c r="K11981" s="12"/>
      <c r="L11981" s="12"/>
      <c r="M11981" s="11"/>
      <c r="N11981" s="11"/>
      <c r="O11981" s="11"/>
      <c r="P11981" s="11"/>
    </row>
    <row r="11982" spans="8:16" x14ac:dyDescent="0.25">
      <c r="H11982" s="12"/>
      <c r="I11982" s="12"/>
      <c r="J11982" s="12"/>
      <c r="K11982" s="12"/>
      <c r="L11982" s="12"/>
      <c r="M11982" s="11"/>
      <c r="N11982" s="11"/>
      <c r="O11982" s="11"/>
      <c r="P11982" s="11"/>
    </row>
    <row r="11983" spans="8:16" x14ac:dyDescent="0.25">
      <c r="H11983" s="12"/>
      <c r="I11983" s="12"/>
      <c r="J11983" s="12"/>
      <c r="K11983" s="12"/>
      <c r="L11983" s="12"/>
      <c r="M11983" s="11"/>
      <c r="N11983" s="11"/>
      <c r="O11983" s="11"/>
      <c r="P11983" s="11"/>
    </row>
    <row r="11984" spans="8:16" x14ac:dyDescent="0.25">
      <c r="H11984" s="12"/>
      <c r="I11984" s="12"/>
      <c r="J11984" s="12"/>
      <c r="K11984" s="12"/>
      <c r="L11984" s="12"/>
      <c r="M11984" s="11"/>
      <c r="N11984" s="11"/>
      <c r="O11984" s="11"/>
      <c r="P11984" s="11"/>
    </row>
    <row r="11985" spans="8:16" x14ac:dyDescent="0.25">
      <c r="H11985" s="12"/>
      <c r="I11985" s="12"/>
      <c r="J11985" s="12"/>
      <c r="K11985" s="12"/>
      <c r="L11985" s="12"/>
      <c r="M11985" s="11"/>
      <c r="N11985" s="11"/>
      <c r="O11985" s="11"/>
      <c r="P11985" s="11"/>
    </row>
    <row r="11986" spans="8:16" x14ac:dyDescent="0.25">
      <c r="H11986" s="12"/>
      <c r="I11986" s="12"/>
      <c r="J11986" s="12"/>
      <c r="K11986" s="12"/>
      <c r="L11986" s="12"/>
      <c r="M11986" s="11"/>
      <c r="N11986" s="11"/>
      <c r="O11986" s="11"/>
      <c r="P11986" s="11"/>
    </row>
    <row r="11987" spans="8:16" x14ac:dyDescent="0.25">
      <c r="H11987" s="12"/>
      <c r="I11987" s="12"/>
      <c r="J11987" s="12"/>
      <c r="K11987" s="12"/>
      <c r="L11987" s="12"/>
      <c r="M11987" s="11"/>
      <c r="N11987" s="11"/>
      <c r="O11987" s="11"/>
      <c r="P11987" s="11"/>
    </row>
    <row r="11988" spans="8:16" x14ac:dyDescent="0.25">
      <c r="H11988" s="12"/>
      <c r="I11988" s="12"/>
      <c r="J11988" s="12"/>
      <c r="K11988" s="12"/>
      <c r="L11988" s="12"/>
      <c r="M11988" s="11"/>
      <c r="N11988" s="11"/>
      <c r="O11988" s="11"/>
      <c r="P11988" s="11"/>
    </row>
    <row r="11989" spans="8:16" x14ac:dyDescent="0.25">
      <c r="H11989" s="12"/>
      <c r="I11989" s="12"/>
      <c r="J11989" s="12"/>
      <c r="K11989" s="12"/>
      <c r="L11989" s="12"/>
      <c r="M11989" s="11"/>
      <c r="N11989" s="11"/>
      <c r="O11989" s="11"/>
      <c r="P11989" s="11"/>
    </row>
    <row r="11990" spans="8:16" x14ac:dyDescent="0.25">
      <c r="H11990" s="12"/>
      <c r="I11990" s="12"/>
      <c r="J11990" s="12"/>
      <c r="K11990" s="12"/>
      <c r="L11990" s="12"/>
      <c r="M11990" s="11"/>
      <c r="N11990" s="11"/>
      <c r="O11990" s="11"/>
      <c r="P11990" s="11"/>
    </row>
    <row r="11991" spans="8:16" x14ac:dyDescent="0.25">
      <c r="H11991" s="12"/>
      <c r="I11991" s="12"/>
      <c r="J11991" s="12"/>
      <c r="K11991" s="12"/>
      <c r="L11991" s="12"/>
      <c r="M11991" s="11"/>
      <c r="N11991" s="11"/>
      <c r="O11991" s="11"/>
      <c r="P11991" s="11"/>
    </row>
    <row r="11992" spans="8:16" x14ac:dyDescent="0.25">
      <c r="H11992" s="12"/>
      <c r="I11992" s="12"/>
      <c r="J11992" s="12"/>
      <c r="K11992" s="12"/>
      <c r="L11992" s="12"/>
      <c r="M11992" s="11"/>
      <c r="N11992" s="11"/>
      <c r="O11992" s="11"/>
      <c r="P11992" s="11"/>
    </row>
    <row r="11993" spans="8:16" x14ac:dyDescent="0.25">
      <c r="H11993" s="12"/>
      <c r="I11993" s="12"/>
      <c r="J11993" s="12"/>
      <c r="K11993" s="12"/>
      <c r="L11993" s="12"/>
      <c r="M11993" s="11"/>
      <c r="N11993" s="11"/>
      <c r="O11993" s="11"/>
      <c r="P11993" s="11"/>
    </row>
    <row r="11994" spans="8:16" x14ac:dyDescent="0.25">
      <c r="H11994" s="12"/>
      <c r="I11994" s="12"/>
      <c r="J11994" s="12"/>
      <c r="K11994" s="12"/>
      <c r="L11994" s="12"/>
      <c r="M11994" s="11"/>
      <c r="N11994" s="11"/>
      <c r="O11994" s="11"/>
      <c r="P11994" s="11"/>
    </row>
    <row r="11995" spans="8:16" x14ac:dyDescent="0.25">
      <c r="H11995" s="12"/>
      <c r="I11995" s="12"/>
      <c r="J11995" s="12"/>
      <c r="K11995" s="12"/>
      <c r="L11995" s="12"/>
      <c r="M11995" s="11"/>
      <c r="N11995" s="11"/>
      <c r="O11995" s="11"/>
      <c r="P11995" s="11"/>
    </row>
    <row r="11996" spans="8:16" x14ac:dyDescent="0.25">
      <c r="H11996" s="12"/>
      <c r="I11996" s="12"/>
      <c r="J11996" s="12"/>
      <c r="K11996" s="12"/>
      <c r="L11996" s="12"/>
      <c r="M11996" s="11"/>
      <c r="N11996" s="11"/>
      <c r="O11996" s="11"/>
      <c r="P11996" s="11"/>
    </row>
    <row r="11997" spans="8:16" x14ac:dyDescent="0.25">
      <c r="H11997" s="12"/>
      <c r="I11997" s="12"/>
      <c r="J11997" s="12"/>
      <c r="K11997" s="12"/>
      <c r="L11997" s="12"/>
      <c r="M11997" s="11"/>
      <c r="N11997" s="11"/>
      <c r="O11997" s="11"/>
      <c r="P11997" s="11"/>
    </row>
    <row r="11998" spans="8:16" x14ac:dyDescent="0.25">
      <c r="H11998" s="12"/>
      <c r="I11998" s="12"/>
      <c r="J11998" s="12"/>
      <c r="K11998" s="12"/>
      <c r="L11998" s="12"/>
      <c r="M11998" s="11"/>
      <c r="N11998" s="11"/>
      <c r="O11998" s="11"/>
      <c r="P11998" s="11"/>
    </row>
    <row r="11999" spans="8:16" x14ac:dyDescent="0.25">
      <c r="H11999" s="12"/>
      <c r="I11999" s="12"/>
      <c r="J11999" s="12"/>
      <c r="K11999" s="12"/>
      <c r="L11999" s="12"/>
      <c r="M11999" s="11"/>
      <c r="N11999" s="11"/>
      <c r="O11999" s="11"/>
      <c r="P11999" s="11"/>
    </row>
    <row r="12000" spans="8:16" x14ac:dyDescent="0.25">
      <c r="H12000" s="12"/>
      <c r="I12000" s="12"/>
      <c r="J12000" s="12"/>
      <c r="K12000" s="12"/>
      <c r="L12000" s="12"/>
      <c r="M12000" s="11"/>
      <c r="N12000" s="11"/>
      <c r="O12000" s="11"/>
      <c r="P12000" s="11"/>
    </row>
    <row r="12001" spans="8:16" x14ac:dyDescent="0.25">
      <c r="H12001" s="12"/>
      <c r="I12001" s="12"/>
      <c r="J12001" s="12"/>
      <c r="K12001" s="12"/>
      <c r="L12001" s="12"/>
      <c r="M12001" s="11"/>
      <c r="N12001" s="11"/>
      <c r="O12001" s="11"/>
      <c r="P12001" s="11"/>
    </row>
    <row r="12002" spans="8:16" x14ac:dyDescent="0.25">
      <c r="H12002" s="12"/>
      <c r="I12002" s="12"/>
      <c r="J12002" s="12"/>
      <c r="K12002" s="12"/>
      <c r="L12002" s="12"/>
      <c r="M12002" s="11"/>
      <c r="N12002" s="11"/>
      <c r="O12002" s="11"/>
      <c r="P12002" s="11"/>
    </row>
    <row r="12003" spans="8:16" x14ac:dyDescent="0.25">
      <c r="H12003" s="12"/>
      <c r="I12003" s="12"/>
      <c r="J12003" s="12"/>
      <c r="K12003" s="12"/>
      <c r="L12003" s="12"/>
      <c r="M12003" s="11"/>
      <c r="N12003" s="11"/>
      <c r="O12003" s="11"/>
      <c r="P12003" s="11"/>
    </row>
    <row r="12004" spans="8:16" x14ac:dyDescent="0.25">
      <c r="H12004" s="12"/>
      <c r="I12004" s="12"/>
      <c r="J12004" s="12"/>
      <c r="K12004" s="12"/>
      <c r="L12004" s="12"/>
      <c r="M12004" s="11"/>
      <c r="N12004" s="11"/>
      <c r="O12004" s="11"/>
      <c r="P12004" s="11"/>
    </row>
    <row r="12005" spans="8:16" x14ac:dyDescent="0.25">
      <c r="H12005" s="12"/>
      <c r="I12005" s="12"/>
      <c r="J12005" s="12"/>
      <c r="K12005" s="12"/>
      <c r="L12005" s="12"/>
      <c r="M12005" s="11"/>
      <c r="N12005" s="11"/>
      <c r="O12005" s="11"/>
      <c r="P12005" s="11"/>
    </row>
    <row r="12006" spans="8:16" x14ac:dyDescent="0.25">
      <c r="H12006" s="12"/>
      <c r="I12006" s="12"/>
      <c r="J12006" s="12"/>
      <c r="K12006" s="12"/>
      <c r="L12006" s="12"/>
      <c r="M12006" s="11"/>
      <c r="N12006" s="11"/>
      <c r="O12006" s="11"/>
      <c r="P12006" s="11"/>
    </row>
    <row r="12007" spans="8:16" x14ac:dyDescent="0.25">
      <c r="H12007" s="12"/>
      <c r="I12007" s="12"/>
      <c r="J12007" s="12"/>
      <c r="K12007" s="12"/>
      <c r="L12007" s="12"/>
      <c r="M12007" s="11"/>
      <c r="N12007" s="11"/>
      <c r="O12007" s="11"/>
      <c r="P12007" s="11"/>
    </row>
    <row r="12008" spans="8:16" x14ac:dyDescent="0.25">
      <c r="H12008" s="12"/>
      <c r="I12008" s="12"/>
      <c r="J12008" s="12"/>
      <c r="K12008" s="12"/>
      <c r="L12008" s="12"/>
      <c r="M12008" s="11"/>
      <c r="N12008" s="11"/>
      <c r="O12008" s="11"/>
      <c r="P12008" s="11"/>
    </row>
    <row r="12009" spans="8:16" x14ac:dyDescent="0.25">
      <c r="H12009" s="12"/>
      <c r="I12009" s="12"/>
      <c r="J12009" s="12"/>
      <c r="K12009" s="12"/>
      <c r="L12009" s="12"/>
      <c r="M12009" s="11"/>
      <c r="N12009" s="11"/>
      <c r="O12009" s="11"/>
      <c r="P12009" s="11"/>
    </row>
    <row r="12010" spans="8:16" x14ac:dyDescent="0.25">
      <c r="H12010" s="12"/>
      <c r="I12010" s="12"/>
      <c r="J12010" s="12"/>
      <c r="K12010" s="12"/>
      <c r="L12010" s="12"/>
      <c r="M12010" s="11"/>
      <c r="N12010" s="11"/>
      <c r="O12010" s="11"/>
      <c r="P12010" s="11"/>
    </row>
    <row r="12011" spans="8:16" x14ac:dyDescent="0.25">
      <c r="H12011" s="12"/>
      <c r="I12011" s="12"/>
      <c r="J12011" s="12"/>
      <c r="K12011" s="12"/>
      <c r="L12011" s="12"/>
      <c r="M12011" s="11"/>
      <c r="N12011" s="11"/>
      <c r="O12011" s="11"/>
      <c r="P12011" s="11"/>
    </row>
    <row r="12012" spans="8:16" x14ac:dyDescent="0.25">
      <c r="H12012" s="12"/>
      <c r="I12012" s="12"/>
      <c r="J12012" s="12"/>
      <c r="K12012" s="12"/>
      <c r="L12012" s="12"/>
      <c r="M12012" s="11"/>
      <c r="N12012" s="11"/>
      <c r="O12012" s="11"/>
      <c r="P12012" s="11"/>
    </row>
    <row r="12013" spans="8:16" x14ac:dyDescent="0.25">
      <c r="H12013" s="12"/>
      <c r="I12013" s="12"/>
      <c r="J12013" s="12"/>
      <c r="K12013" s="12"/>
      <c r="L12013" s="12"/>
      <c r="M12013" s="11"/>
      <c r="N12013" s="11"/>
      <c r="O12013" s="11"/>
      <c r="P12013" s="11"/>
    </row>
    <row r="12014" spans="8:16" x14ac:dyDescent="0.25">
      <c r="H12014" s="12"/>
      <c r="I12014" s="12"/>
      <c r="J12014" s="12"/>
      <c r="K12014" s="12"/>
      <c r="L12014" s="12"/>
      <c r="M12014" s="11"/>
      <c r="N12014" s="11"/>
      <c r="O12014" s="11"/>
      <c r="P12014" s="11"/>
    </row>
    <row r="12015" spans="8:16" x14ac:dyDescent="0.25">
      <c r="H12015" s="12"/>
      <c r="I12015" s="12"/>
      <c r="J12015" s="12"/>
      <c r="K12015" s="12"/>
      <c r="L12015" s="12"/>
      <c r="M12015" s="11"/>
      <c r="N12015" s="11"/>
      <c r="O12015" s="11"/>
      <c r="P12015" s="11"/>
    </row>
    <row r="12016" spans="8:16" x14ac:dyDescent="0.25">
      <c r="H12016" s="12"/>
      <c r="I12016" s="12"/>
      <c r="J12016" s="12"/>
      <c r="K12016" s="12"/>
      <c r="L12016" s="12"/>
      <c r="M12016" s="11"/>
      <c r="N12016" s="11"/>
      <c r="O12016" s="11"/>
      <c r="P12016" s="11"/>
    </row>
    <row r="12017" spans="8:16" x14ac:dyDescent="0.25">
      <c r="H12017" s="12"/>
      <c r="I12017" s="12"/>
      <c r="J12017" s="12"/>
      <c r="K12017" s="12"/>
      <c r="L12017" s="12"/>
      <c r="M12017" s="11"/>
      <c r="N12017" s="11"/>
      <c r="O12017" s="11"/>
      <c r="P12017" s="11"/>
    </row>
    <row r="12018" spans="8:16" x14ac:dyDescent="0.25">
      <c r="H12018" s="12"/>
      <c r="I12018" s="12"/>
      <c r="J12018" s="12"/>
      <c r="K12018" s="12"/>
      <c r="L12018" s="12"/>
      <c r="M12018" s="11"/>
      <c r="N12018" s="11"/>
      <c r="O12018" s="11"/>
      <c r="P12018" s="11"/>
    </row>
    <row r="12019" spans="8:16" x14ac:dyDescent="0.25">
      <c r="H12019" s="12"/>
      <c r="I12019" s="12"/>
      <c r="J12019" s="12"/>
      <c r="K12019" s="12"/>
      <c r="L12019" s="12"/>
      <c r="M12019" s="11"/>
      <c r="N12019" s="11"/>
      <c r="O12019" s="11"/>
      <c r="P12019" s="11"/>
    </row>
    <row r="12020" spans="8:16" x14ac:dyDescent="0.25">
      <c r="H12020" s="12"/>
      <c r="I12020" s="12"/>
      <c r="J12020" s="12"/>
      <c r="K12020" s="12"/>
      <c r="L12020" s="12"/>
      <c r="M12020" s="11"/>
      <c r="N12020" s="11"/>
      <c r="O12020" s="11"/>
      <c r="P12020" s="11"/>
    </row>
    <row r="12021" spans="8:16" x14ac:dyDescent="0.25">
      <c r="H12021" s="12"/>
      <c r="I12021" s="12"/>
      <c r="J12021" s="12"/>
      <c r="K12021" s="12"/>
      <c r="L12021" s="12"/>
      <c r="M12021" s="11"/>
      <c r="N12021" s="11"/>
      <c r="O12021" s="11"/>
      <c r="P12021" s="11"/>
    </row>
    <row r="12022" spans="8:16" x14ac:dyDescent="0.25">
      <c r="H12022" s="12"/>
      <c r="I12022" s="12"/>
      <c r="J12022" s="12"/>
      <c r="K12022" s="12"/>
      <c r="L12022" s="12"/>
      <c r="M12022" s="11"/>
      <c r="N12022" s="11"/>
      <c r="O12022" s="11"/>
      <c r="P12022" s="11"/>
    </row>
    <row r="12023" spans="8:16" x14ac:dyDescent="0.25">
      <c r="H12023" s="12"/>
      <c r="I12023" s="12"/>
      <c r="J12023" s="12"/>
      <c r="K12023" s="12"/>
      <c r="L12023" s="12"/>
      <c r="M12023" s="11"/>
      <c r="N12023" s="11"/>
      <c r="O12023" s="11"/>
      <c r="P12023" s="11"/>
    </row>
    <row r="12024" spans="8:16" x14ac:dyDescent="0.25">
      <c r="H12024" s="12"/>
      <c r="I12024" s="12"/>
      <c r="J12024" s="12"/>
      <c r="K12024" s="12"/>
      <c r="L12024" s="12"/>
      <c r="M12024" s="11"/>
      <c r="N12024" s="11"/>
      <c r="O12024" s="11"/>
      <c r="P12024" s="11"/>
    </row>
    <row r="12025" spans="8:16" x14ac:dyDescent="0.25">
      <c r="H12025" s="12"/>
      <c r="I12025" s="12"/>
      <c r="J12025" s="12"/>
      <c r="K12025" s="12"/>
      <c r="L12025" s="12"/>
      <c r="M12025" s="11"/>
      <c r="N12025" s="11"/>
      <c r="O12025" s="11"/>
      <c r="P12025" s="11"/>
    </row>
    <row r="12026" spans="8:16" x14ac:dyDescent="0.25">
      <c r="H12026" s="12"/>
      <c r="I12026" s="12"/>
      <c r="J12026" s="12"/>
      <c r="K12026" s="12"/>
      <c r="L12026" s="12"/>
      <c r="M12026" s="11"/>
      <c r="N12026" s="11"/>
      <c r="O12026" s="11"/>
      <c r="P12026" s="11"/>
    </row>
    <row r="12027" spans="8:16" x14ac:dyDescent="0.25">
      <c r="H12027" s="12"/>
      <c r="I12027" s="12"/>
      <c r="J12027" s="12"/>
      <c r="K12027" s="12"/>
      <c r="L12027" s="12"/>
      <c r="M12027" s="11"/>
      <c r="N12027" s="11"/>
      <c r="O12027" s="11"/>
      <c r="P12027" s="11"/>
    </row>
    <row r="12028" spans="8:16" x14ac:dyDescent="0.25">
      <c r="H12028" s="12"/>
      <c r="I12028" s="12"/>
      <c r="J12028" s="12"/>
      <c r="K12028" s="12"/>
      <c r="L12028" s="12"/>
      <c r="M12028" s="11"/>
      <c r="N12028" s="11"/>
      <c r="O12028" s="11"/>
      <c r="P12028" s="11"/>
    </row>
    <row r="12029" spans="8:16" x14ac:dyDescent="0.25">
      <c r="H12029" s="12"/>
      <c r="I12029" s="12"/>
      <c r="J12029" s="12"/>
      <c r="K12029" s="12"/>
      <c r="L12029" s="12"/>
      <c r="M12029" s="11"/>
      <c r="N12029" s="11"/>
      <c r="O12029" s="11"/>
      <c r="P12029" s="11"/>
    </row>
    <row r="12030" spans="8:16" x14ac:dyDescent="0.25">
      <c r="H12030" s="12"/>
      <c r="I12030" s="12"/>
      <c r="J12030" s="12"/>
      <c r="K12030" s="12"/>
      <c r="L12030" s="12"/>
      <c r="M12030" s="11"/>
      <c r="N12030" s="11"/>
      <c r="O12030" s="11"/>
      <c r="P12030" s="11"/>
    </row>
    <row r="12031" spans="8:16" x14ac:dyDescent="0.25">
      <c r="H12031" s="12"/>
      <c r="I12031" s="12"/>
      <c r="J12031" s="12"/>
      <c r="K12031" s="12"/>
      <c r="L12031" s="12"/>
      <c r="M12031" s="11"/>
      <c r="N12031" s="11"/>
      <c r="O12031" s="11"/>
      <c r="P12031" s="11"/>
    </row>
    <row r="12032" spans="8:16" x14ac:dyDescent="0.25">
      <c r="H12032" s="12"/>
      <c r="I12032" s="12"/>
      <c r="J12032" s="12"/>
      <c r="K12032" s="12"/>
      <c r="L12032" s="12"/>
      <c r="M12032" s="11"/>
      <c r="N12032" s="11"/>
      <c r="O12032" s="11"/>
      <c r="P12032" s="11"/>
    </row>
    <row r="12033" spans="8:16" x14ac:dyDescent="0.25">
      <c r="H12033" s="12"/>
      <c r="I12033" s="12"/>
      <c r="J12033" s="12"/>
      <c r="K12033" s="12"/>
      <c r="L12033" s="12"/>
      <c r="M12033" s="11"/>
      <c r="N12033" s="11"/>
      <c r="O12033" s="11"/>
      <c r="P12033" s="11"/>
    </row>
    <row r="12034" spans="8:16" x14ac:dyDescent="0.25">
      <c r="H12034" s="12"/>
      <c r="I12034" s="12"/>
      <c r="J12034" s="12"/>
      <c r="K12034" s="12"/>
      <c r="L12034" s="12"/>
      <c r="M12034" s="11"/>
      <c r="N12034" s="11"/>
      <c r="O12034" s="11"/>
      <c r="P12034" s="11"/>
    </row>
    <row r="12035" spans="8:16" x14ac:dyDescent="0.25">
      <c r="H12035" s="12"/>
      <c r="I12035" s="12"/>
      <c r="J12035" s="12"/>
      <c r="K12035" s="12"/>
      <c r="L12035" s="12"/>
      <c r="M12035" s="11"/>
      <c r="N12035" s="11"/>
      <c r="O12035" s="11"/>
      <c r="P12035" s="11"/>
    </row>
    <row r="12036" spans="8:16" x14ac:dyDescent="0.25">
      <c r="H12036" s="12"/>
      <c r="I12036" s="12"/>
      <c r="J12036" s="12"/>
      <c r="K12036" s="12"/>
      <c r="L12036" s="12"/>
      <c r="M12036" s="11"/>
      <c r="N12036" s="11"/>
      <c r="O12036" s="11"/>
      <c r="P12036" s="11"/>
    </row>
    <row r="12037" spans="8:16" x14ac:dyDescent="0.25">
      <c r="H12037" s="12"/>
      <c r="I12037" s="12"/>
      <c r="J12037" s="12"/>
      <c r="K12037" s="12"/>
      <c r="L12037" s="12"/>
      <c r="M12037" s="11"/>
      <c r="N12037" s="11"/>
      <c r="O12037" s="11"/>
      <c r="P12037" s="11"/>
    </row>
    <row r="12038" spans="8:16" x14ac:dyDescent="0.25">
      <c r="H12038" s="12"/>
      <c r="I12038" s="12"/>
      <c r="J12038" s="12"/>
      <c r="K12038" s="12"/>
      <c r="L12038" s="12"/>
      <c r="M12038" s="11"/>
      <c r="N12038" s="11"/>
      <c r="O12038" s="11"/>
      <c r="P12038" s="11"/>
    </row>
    <row r="12039" spans="8:16" x14ac:dyDescent="0.25">
      <c r="H12039" s="12"/>
      <c r="I12039" s="12"/>
      <c r="J12039" s="12"/>
      <c r="K12039" s="12"/>
      <c r="L12039" s="12"/>
      <c r="M12039" s="11"/>
      <c r="N12039" s="11"/>
      <c r="O12039" s="11"/>
      <c r="P12039" s="11"/>
    </row>
    <row r="12040" spans="8:16" x14ac:dyDescent="0.25">
      <c r="H12040" s="12"/>
      <c r="I12040" s="12"/>
      <c r="J12040" s="12"/>
      <c r="K12040" s="12"/>
      <c r="L12040" s="12"/>
      <c r="M12040" s="11"/>
      <c r="N12040" s="11"/>
      <c r="O12040" s="11"/>
      <c r="P12040" s="11"/>
    </row>
    <row r="12041" spans="8:16" x14ac:dyDescent="0.25">
      <c r="H12041" s="12"/>
      <c r="I12041" s="12"/>
      <c r="J12041" s="12"/>
      <c r="K12041" s="12"/>
      <c r="L12041" s="12"/>
      <c r="M12041" s="11"/>
      <c r="N12041" s="11"/>
      <c r="O12041" s="11"/>
      <c r="P12041" s="11"/>
    </row>
    <row r="12042" spans="8:16" x14ac:dyDescent="0.25">
      <c r="H12042" s="12"/>
      <c r="I12042" s="12"/>
      <c r="J12042" s="12"/>
      <c r="K12042" s="12"/>
      <c r="L12042" s="12"/>
      <c r="M12042" s="11"/>
      <c r="N12042" s="11"/>
      <c r="O12042" s="11"/>
      <c r="P12042" s="11"/>
    </row>
    <row r="12043" spans="8:16" x14ac:dyDescent="0.25">
      <c r="H12043" s="12"/>
      <c r="I12043" s="12"/>
      <c r="J12043" s="12"/>
      <c r="K12043" s="12"/>
      <c r="L12043" s="12"/>
      <c r="M12043" s="11"/>
      <c r="N12043" s="11"/>
      <c r="O12043" s="11"/>
      <c r="P12043" s="11"/>
    </row>
    <row r="12044" spans="8:16" x14ac:dyDescent="0.25">
      <c r="H12044" s="12"/>
      <c r="I12044" s="12"/>
      <c r="J12044" s="12"/>
      <c r="K12044" s="12"/>
      <c r="L12044" s="12"/>
      <c r="M12044" s="11"/>
      <c r="N12044" s="11"/>
      <c r="O12044" s="11"/>
      <c r="P12044" s="11"/>
    </row>
    <row r="12045" spans="8:16" x14ac:dyDescent="0.25">
      <c r="H12045" s="12"/>
      <c r="I12045" s="12"/>
      <c r="J12045" s="12"/>
      <c r="K12045" s="12"/>
      <c r="L12045" s="12"/>
      <c r="M12045" s="11"/>
      <c r="N12045" s="11"/>
      <c r="O12045" s="11"/>
      <c r="P12045" s="11"/>
    </row>
    <row r="12046" spans="8:16" x14ac:dyDescent="0.25">
      <c r="H12046" s="12"/>
      <c r="I12046" s="12"/>
      <c r="J12046" s="12"/>
      <c r="K12046" s="12"/>
      <c r="L12046" s="12"/>
      <c r="M12046" s="11"/>
      <c r="N12046" s="11"/>
      <c r="O12046" s="11"/>
      <c r="P12046" s="11"/>
    </row>
    <row r="12047" spans="8:16" x14ac:dyDescent="0.25">
      <c r="H12047" s="12"/>
      <c r="I12047" s="12"/>
      <c r="J12047" s="12"/>
      <c r="K12047" s="12"/>
      <c r="L12047" s="12"/>
      <c r="M12047" s="11"/>
      <c r="N12047" s="11"/>
      <c r="O12047" s="11"/>
      <c r="P12047" s="11"/>
    </row>
    <row r="12048" spans="8:16" x14ac:dyDescent="0.25">
      <c r="H12048" s="12"/>
      <c r="I12048" s="12"/>
      <c r="J12048" s="12"/>
      <c r="K12048" s="12"/>
      <c r="L12048" s="12"/>
      <c r="M12048" s="11"/>
      <c r="N12048" s="11"/>
      <c r="O12048" s="11"/>
      <c r="P12048" s="11"/>
    </row>
    <row r="12049" spans="8:16" x14ac:dyDescent="0.25">
      <c r="H12049" s="12"/>
      <c r="I12049" s="12"/>
      <c r="J12049" s="12"/>
      <c r="K12049" s="12"/>
      <c r="L12049" s="12"/>
      <c r="M12049" s="11"/>
      <c r="N12049" s="11"/>
      <c r="O12049" s="11"/>
      <c r="P12049" s="11"/>
    </row>
    <row r="12050" spans="8:16" x14ac:dyDescent="0.25">
      <c r="H12050" s="12"/>
      <c r="I12050" s="12"/>
      <c r="J12050" s="12"/>
      <c r="K12050" s="12"/>
      <c r="L12050" s="12"/>
      <c r="M12050" s="11"/>
      <c r="N12050" s="11"/>
      <c r="O12050" s="11"/>
      <c r="P12050" s="11"/>
    </row>
    <row r="12051" spans="8:16" x14ac:dyDescent="0.25">
      <c r="H12051" s="12"/>
      <c r="I12051" s="12"/>
      <c r="J12051" s="12"/>
      <c r="K12051" s="12"/>
      <c r="L12051" s="12"/>
      <c r="M12051" s="11"/>
      <c r="N12051" s="11"/>
      <c r="O12051" s="11"/>
      <c r="P12051" s="11"/>
    </row>
    <row r="12052" spans="8:16" x14ac:dyDescent="0.25">
      <c r="H12052" s="12"/>
      <c r="I12052" s="12"/>
      <c r="J12052" s="12"/>
      <c r="K12052" s="12"/>
      <c r="L12052" s="12"/>
      <c r="M12052" s="11"/>
      <c r="N12052" s="11"/>
      <c r="O12052" s="11"/>
      <c r="P12052" s="11"/>
    </row>
    <row r="12053" spans="8:16" x14ac:dyDescent="0.25">
      <c r="H12053" s="12"/>
      <c r="I12053" s="12"/>
      <c r="J12053" s="12"/>
      <c r="K12053" s="12"/>
      <c r="L12053" s="12"/>
      <c r="M12053" s="11"/>
      <c r="N12053" s="11"/>
      <c r="O12053" s="11"/>
      <c r="P12053" s="11"/>
    </row>
    <row r="12054" spans="8:16" x14ac:dyDescent="0.25">
      <c r="H12054" s="12"/>
      <c r="I12054" s="12"/>
      <c r="J12054" s="12"/>
      <c r="K12054" s="12"/>
      <c r="L12054" s="12"/>
      <c r="M12054" s="11"/>
      <c r="N12054" s="11"/>
      <c r="O12054" s="11"/>
      <c r="P12054" s="11"/>
    </row>
    <row r="12055" spans="8:16" x14ac:dyDescent="0.25">
      <c r="H12055" s="12"/>
      <c r="I12055" s="12"/>
      <c r="J12055" s="12"/>
      <c r="K12055" s="12"/>
      <c r="L12055" s="12"/>
      <c r="M12055" s="11"/>
      <c r="N12055" s="11"/>
      <c r="O12055" s="11"/>
      <c r="P12055" s="11"/>
    </row>
    <row r="12056" spans="8:16" x14ac:dyDescent="0.25">
      <c r="H12056" s="12"/>
      <c r="I12056" s="12"/>
      <c r="J12056" s="12"/>
      <c r="K12056" s="12"/>
      <c r="L12056" s="12"/>
      <c r="M12056" s="11"/>
      <c r="N12056" s="11"/>
      <c r="O12056" s="11"/>
      <c r="P12056" s="11"/>
    </row>
    <row r="12057" spans="8:16" x14ac:dyDescent="0.25">
      <c r="H12057" s="12"/>
      <c r="I12057" s="12"/>
      <c r="J12057" s="12"/>
      <c r="K12057" s="12"/>
      <c r="L12057" s="12"/>
      <c r="M12057" s="11"/>
      <c r="N12057" s="11"/>
      <c r="O12057" s="11"/>
      <c r="P12057" s="11"/>
    </row>
    <row r="12058" spans="8:16" x14ac:dyDescent="0.25">
      <c r="H12058" s="12"/>
      <c r="I12058" s="12"/>
      <c r="J12058" s="12"/>
      <c r="K12058" s="12"/>
      <c r="L12058" s="12"/>
      <c r="M12058" s="11"/>
      <c r="N12058" s="11"/>
      <c r="O12058" s="11"/>
      <c r="P12058" s="11"/>
    </row>
    <row r="12059" spans="8:16" x14ac:dyDescent="0.25">
      <c r="H12059" s="12"/>
      <c r="I12059" s="12"/>
      <c r="J12059" s="12"/>
      <c r="K12059" s="12"/>
      <c r="L12059" s="12"/>
      <c r="M12059" s="11"/>
      <c r="N12059" s="11"/>
      <c r="O12059" s="11"/>
      <c r="P12059" s="11"/>
    </row>
    <row r="12060" spans="8:16" x14ac:dyDescent="0.25">
      <c r="H12060" s="12"/>
      <c r="I12060" s="12"/>
      <c r="J12060" s="12"/>
      <c r="K12060" s="12"/>
      <c r="L12060" s="12"/>
      <c r="M12060" s="11"/>
      <c r="N12060" s="11"/>
      <c r="O12060" s="11"/>
      <c r="P12060" s="11"/>
    </row>
    <row r="12061" spans="8:16" x14ac:dyDescent="0.25">
      <c r="H12061" s="12"/>
      <c r="I12061" s="12"/>
      <c r="J12061" s="12"/>
      <c r="K12061" s="12"/>
      <c r="L12061" s="12"/>
      <c r="M12061" s="11"/>
      <c r="N12061" s="11"/>
      <c r="O12061" s="11"/>
      <c r="P12061" s="11"/>
    </row>
    <row r="12062" spans="8:16" x14ac:dyDescent="0.25">
      <c r="H12062" s="12"/>
      <c r="I12062" s="12"/>
      <c r="J12062" s="12"/>
      <c r="K12062" s="12"/>
      <c r="L12062" s="12"/>
      <c r="M12062" s="11"/>
      <c r="N12062" s="11"/>
      <c r="O12062" s="11"/>
      <c r="P12062" s="11"/>
    </row>
    <row r="12063" spans="8:16" x14ac:dyDescent="0.25">
      <c r="H12063" s="12"/>
      <c r="I12063" s="12"/>
      <c r="J12063" s="12"/>
      <c r="K12063" s="12"/>
      <c r="L12063" s="12"/>
      <c r="M12063" s="11"/>
      <c r="N12063" s="11"/>
      <c r="O12063" s="11"/>
      <c r="P12063" s="11"/>
    </row>
    <row r="12064" spans="8:16" x14ac:dyDescent="0.25">
      <c r="H12064" s="12"/>
      <c r="I12064" s="12"/>
      <c r="J12064" s="12"/>
      <c r="K12064" s="12"/>
      <c r="L12064" s="12"/>
      <c r="M12064" s="11"/>
      <c r="N12064" s="11"/>
      <c r="O12064" s="11"/>
      <c r="P12064" s="11"/>
    </row>
    <row r="12065" spans="8:16" x14ac:dyDescent="0.25">
      <c r="H12065" s="12"/>
      <c r="I12065" s="12"/>
      <c r="J12065" s="12"/>
      <c r="K12065" s="12"/>
      <c r="L12065" s="12"/>
      <c r="M12065" s="11"/>
      <c r="N12065" s="11"/>
      <c r="O12065" s="11"/>
      <c r="P12065" s="11"/>
    </row>
    <row r="12066" spans="8:16" x14ac:dyDescent="0.25">
      <c r="H12066" s="12"/>
      <c r="I12066" s="12"/>
      <c r="J12066" s="12"/>
      <c r="K12066" s="12"/>
      <c r="L12066" s="12"/>
      <c r="M12066" s="11"/>
      <c r="N12066" s="11"/>
      <c r="O12066" s="11"/>
      <c r="P12066" s="11"/>
    </row>
    <row r="12067" spans="8:16" x14ac:dyDescent="0.25">
      <c r="H12067" s="12"/>
      <c r="I12067" s="12"/>
      <c r="J12067" s="12"/>
      <c r="K12067" s="12"/>
      <c r="L12067" s="12"/>
      <c r="M12067" s="11"/>
      <c r="N12067" s="11"/>
      <c r="O12067" s="11"/>
      <c r="P12067" s="11"/>
    </row>
    <row r="12068" spans="8:16" x14ac:dyDescent="0.25">
      <c r="H12068" s="12"/>
      <c r="I12068" s="12"/>
      <c r="J12068" s="12"/>
      <c r="K12068" s="12"/>
      <c r="L12068" s="12"/>
      <c r="M12068" s="11"/>
      <c r="N12068" s="11"/>
      <c r="O12068" s="11"/>
      <c r="P12068" s="11"/>
    </row>
    <row r="12069" spans="8:16" x14ac:dyDescent="0.25">
      <c r="H12069" s="12"/>
      <c r="I12069" s="12"/>
      <c r="J12069" s="12"/>
      <c r="K12069" s="12"/>
      <c r="L12069" s="12"/>
      <c r="M12069" s="11"/>
      <c r="N12069" s="11"/>
      <c r="O12069" s="11"/>
      <c r="P12069" s="11"/>
    </row>
    <row r="12070" spans="8:16" x14ac:dyDescent="0.25">
      <c r="H12070" s="12"/>
      <c r="I12070" s="12"/>
      <c r="J12070" s="12"/>
      <c r="K12070" s="12"/>
      <c r="L12070" s="12"/>
      <c r="M12070" s="11"/>
      <c r="N12070" s="11"/>
      <c r="O12070" s="11"/>
      <c r="P12070" s="11"/>
    </row>
    <row r="12071" spans="8:16" x14ac:dyDescent="0.25">
      <c r="H12071" s="12"/>
      <c r="I12071" s="12"/>
      <c r="J12071" s="12"/>
      <c r="K12071" s="12"/>
      <c r="L12071" s="12"/>
      <c r="M12071" s="11"/>
      <c r="N12071" s="11"/>
      <c r="O12071" s="11"/>
      <c r="P12071" s="11"/>
    </row>
    <row r="12072" spans="8:16" x14ac:dyDescent="0.25">
      <c r="H12072" s="12"/>
      <c r="I12072" s="12"/>
      <c r="J12072" s="12"/>
      <c r="K12072" s="12"/>
      <c r="L12072" s="12"/>
      <c r="M12072" s="11"/>
      <c r="N12072" s="11"/>
      <c r="O12072" s="11"/>
      <c r="P12072" s="11"/>
    </row>
    <row r="12073" spans="8:16" x14ac:dyDescent="0.25">
      <c r="H12073" s="12"/>
      <c r="I12073" s="12"/>
      <c r="J12073" s="12"/>
      <c r="K12073" s="12"/>
      <c r="L12073" s="12"/>
      <c r="M12073" s="11"/>
      <c r="N12073" s="11"/>
      <c r="O12073" s="11"/>
      <c r="P12073" s="11"/>
    </row>
    <row r="12074" spans="8:16" x14ac:dyDescent="0.25">
      <c r="H12074" s="12"/>
      <c r="I12074" s="12"/>
      <c r="J12074" s="12"/>
      <c r="K12074" s="12"/>
      <c r="L12074" s="12"/>
      <c r="M12074" s="11"/>
      <c r="N12074" s="11"/>
      <c r="O12074" s="11"/>
      <c r="P12074" s="11"/>
    </row>
    <row r="12075" spans="8:16" x14ac:dyDescent="0.25">
      <c r="H12075" s="12"/>
      <c r="I12075" s="12"/>
      <c r="J12075" s="12"/>
      <c r="K12075" s="12"/>
      <c r="L12075" s="12"/>
      <c r="M12075" s="11"/>
      <c r="N12075" s="11"/>
      <c r="O12075" s="11"/>
      <c r="P12075" s="11"/>
    </row>
    <row r="12076" spans="8:16" x14ac:dyDescent="0.25">
      <c r="H12076" s="12"/>
      <c r="I12076" s="12"/>
      <c r="J12076" s="12"/>
      <c r="K12076" s="12"/>
      <c r="L12076" s="12"/>
      <c r="M12076" s="11"/>
      <c r="N12076" s="11"/>
      <c r="O12076" s="11"/>
      <c r="P12076" s="11"/>
    </row>
    <row r="12077" spans="8:16" x14ac:dyDescent="0.25">
      <c r="H12077" s="12"/>
      <c r="I12077" s="12"/>
      <c r="J12077" s="12"/>
      <c r="K12077" s="12"/>
      <c r="L12077" s="12"/>
      <c r="M12077" s="11"/>
      <c r="N12077" s="11"/>
      <c r="O12077" s="11"/>
      <c r="P12077" s="11"/>
    </row>
    <row r="12078" spans="8:16" x14ac:dyDescent="0.25">
      <c r="H12078" s="12"/>
      <c r="I12078" s="12"/>
      <c r="J12078" s="12"/>
      <c r="K12078" s="12"/>
      <c r="L12078" s="12"/>
      <c r="M12078" s="11"/>
      <c r="N12078" s="11"/>
      <c r="O12078" s="11"/>
      <c r="P12078" s="11"/>
    </row>
    <row r="12079" spans="8:16" x14ac:dyDescent="0.25">
      <c r="H12079" s="12"/>
      <c r="I12079" s="12"/>
      <c r="J12079" s="12"/>
      <c r="K12079" s="12"/>
      <c r="L12079" s="12"/>
      <c r="M12079" s="11"/>
      <c r="N12079" s="11"/>
      <c r="O12079" s="11"/>
      <c r="P12079" s="11"/>
    </row>
    <row r="12080" spans="8:16" x14ac:dyDescent="0.25">
      <c r="H12080" s="12"/>
      <c r="I12080" s="12"/>
      <c r="J12080" s="12"/>
      <c r="K12080" s="12"/>
      <c r="L12080" s="12"/>
      <c r="M12080" s="11"/>
      <c r="N12080" s="11"/>
      <c r="O12080" s="11"/>
      <c r="P12080" s="11"/>
    </row>
    <row r="12081" spans="8:16" x14ac:dyDescent="0.25">
      <c r="H12081" s="12"/>
      <c r="I12081" s="12"/>
      <c r="J12081" s="12"/>
      <c r="K12081" s="12"/>
      <c r="L12081" s="12"/>
      <c r="M12081" s="11"/>
      <c r="N12081" s="11"/>
      <c r="O12081" s="11"/>
      <c r="P12081" s="11"/>
    </row>
    <row r="12082" spans="8:16" x14ac:dyDescent="0.25">
      <c r="H12082" s="12"/>
      <c r="I12082" s="12"/>
      <c r="J12082" s="12"/>
      <c r="K12082" s="12"/>
      <c r="L12082" s="12"/>
      <c r="M12082" s="11"/>
      <c r="N12082" s="11"/>
      <c r="O12082" s="11"/>
      <c r="P12082" s="11"/>
    </row>
    <row r="12083" spans="8:16" x14ac:dyDescent="0.25">
      <c r="H12083" s="12"/>
      <c r="I12083" s="12"/>
      <c r="J12083" s="12"/>
      <c r="K12083" s="12"/>
      <c r="L12083" s="12"/>
      <c r="M12083" s="11"/>
      <c r="N12083" s="11"/>
      <c r="O12083" s="11"/>
      <c r="P12083" s="11"/>
    </row>
    <row r="12084" spans="8:16" x14ac:dyDescent="0.25">
      <c r="H12084" s="12"/>
      <c r="I12084" s="12"/>
      <c r="J12084" s="12"/>
      <c r="K12084" s="12"/>
      <c r="L12084" s="12"/>
      <c r="M12084" s="11"/>
      <c r="N12084" s="11"/>
      <c r="O12084" s="11"/>
      <c r="P12084" s="11"/>
    </row>
    <row r="12085" spans="8:16" x14ac:dyDescent="0.25">
      <c r="H12085" s="12"/>
      <c r="I12085" s="12"/>
      <c r="J12085" s="12"/>
      <c r="K12085" s="12"/>
      <c r="L12085" s="12"/>
      <c r="M12085" s="11"/>
      <c r="N12085" s="11"/>
      <c r="O12085" s="11"/>
      <c r="P12085" s="11"/>
    </row>
    <row r="12086" spans="8:16" x14ac:dyDescent="0.25">
      <c r="H12086" s="12"/>
      <c r="I12086" s="12"/>
      <c r="J12086" s="12"/>
      <c r="K12086" s="12"/>
      <c r="L12086" s="12"/>
      <c r="M12086" s="11"/>
      <c r="N12086" s="11"/>
      <c r="O12086" s="11"/>
      <c r="P12086" s="11"/>
    </row>
    <row r="12087" spans="8:16" x14ac:dyDescent="0.25">
      <c r="H12087" s="12"/>
      <c r="I12087" s="12"/>
      <c r="J12087" s="12"/>
      <c r="K12087" s="12"/>
      <c r="L12087" s="12"/>
      <c r="M12087" s="11"/>
      <c r="N12087" s="11"/>
      <c r="O12087" s="11"/>
      <c r="P12087" s="11"/>
    </row>
    <row r="12088" spans="8:16" x14ac:dyDescent="0.25">
      <c r="H12088" s="12"/>
      <c r="I12088" s="12"/>
      <c r="J12088" s="12"/>
      <c r="K12088" s="12"/>
      <c r="L12088" s="12"/>
      <c r="M12088" s="11"/>
      <c r="N12088" s="11"/>
      <c r="O12088" s="11"/>
      <c r="P12088" s="11"/>
    </row>
    <row r="12089" spans="8:16" x14ac:dyDescent="0.25">
      <c r="H12089" s="12"/>
      <c r="I12089" s="12"/>
      <c r="J12089" s="12"/>
      <c r="K12089" s="12"/>
      <c r="L12089" s="12"/>
      <c r="M12089" s="11"/>
      <c r="N12089" s="11"/>
      <c r="O12089" s="11"/>
      <c r="P12089" s="11"/>
    </row>
    <row r="12090" spans="8:16" x14ac:dyDescent="0.25">
      <c r="H12090" s="12"/>
      <c r="I12090" s="12"/>
      <c r="J12090" s="12"/>
      <c r="K12090" s="12"/>
      <c r="L12090" s="12"/>
      <c r="M12090" s="11"/>
      <c r="N12090" s="11"/>
      <c r="O12090" s="11"/>
      <c r="P12090" s="11"/>
    </row>
    <row r="12091" spans="8:16" x14ac:dyDescent="0.25">
      <c r="H12091" s="12"/>
      <c r="I12091" s="12"/>
      <c r="J12091" s="12"/>
      <c r="K12091" s="12"/>
      <c r="L12091" s="12"/>
      <c r="M12091" s="11"/>
      <c r="N12091" s="11"/>
      <c r="O12091" s="11"/>
      <c r="P12091" s="11"/>
    </row>
    <row r="12092" spans="8:16" x14ac:dyDescent="0.25">
      <c r="H12092" s="12"/>
      <c r="I12092" s="12"/>
      <c r="J12092" s="12"/>
      <c r="K12092" s="12"/>
      <c r="L12092" s="12"/>
      <c r="M12092" s="11"/>
      <c r="N12092" s="11"/>
      <c r="O12092" s="11"/>
      <c r="P12092" s="11"/>
    </row>
    <row r="12093" spans="8:16" x14ac:dyDescent="0.25">
      <c r="H12093" s="12"/>
      <c r="I12093" s="12"/>
      <c r="J12093" s="12"/>
      <c r="K12093" s="12"/>
      <c r="L12093" s="12"/>
      <c r="M12093" s="11"/>
      <c r="N12093" s="11"/>
      <c r="O12093" s="11"/>
      <c r="P12093" s="11"/>
    </row>
    <row r="12094" spans="8:16" x14ac:dyDescent="0.25">
      <c r="H12094" s="12"/>
      <c r="I12094" s="12"/>
      <c r="J12094" s="12"/>
      <c r="K12094" s="12"/>
      <c r="L12094" s="12"/>
      <c r="M12094" s="11"/>
      <c r="N12094" s="11"/>
      <c r="O12094" s="11"/>
      <c r="P12094" s="11"/>
    </row>
    <row r="12095" spans="8:16" x14ac:dyDescent="0.25">
      <c r="H12095" s="12"/>
      <c r="I12095" s="12"/>
      <c r="J12095" s="12"/>
      <c r="K12095" s="12"/>
      <c r="L12095" s="12"/>
      <c r="M12095" s="11"/>
      <c r="N12095" s="11"/>
      <c r="O12095" s="11"/>
      <c r="P12095" s="11"/>
    </row>
    <row r="12096" spans="8:16" x14ac:dyDescent="0.25">
      <c r="H12096" s="12"/>
      <c r="I12096" s="12"/>
      <c r="J12096" s="12"/>
      <c r="K12096" s="12"/>
      <c r="L12096" s="12"/>
      <c r="M12096" s="11"/>
      <c r="N12096" s="11"/>
      <c r="O12096" s="11"/>
      <c r="P12096" s="11"/>
    </row>
    <row r="12097" spans="8:16" x14ac:dyDescent="0.25">
      <c r="H12097" s="12"/>
      <c r="I12097" s="12"/>
      <c r="J12097" s="12"/>
      <c r="K12097" s="12"/>
      <c r="L12097" s="12"/>
      <c r="M12097" s="11"/>
      <c r="N12097" s="11"/>
      <c r="O12097" s="11"/>
      <c r="P12097" s="11"/>
    </row>
    <row r="12098" spans="8:16" x14ac:dyDescent="0.25">
      <c r="H12098" s="12"/>
      <c r="I12098" s="12"/>
      <c r="J12098" s="12"/>
      <c r="K12098" s="12"/>
      <c r="L12098" s="12"/>
      <c r="M12098" s="11"/>
      <c r="N12098" s="11"/>
      <c r="O12098" s="11"/>
      <c r="P12098" s="11"/>
    </row>
    <row r="12099" spans="8:16" x14ac:dyDescent="0.25">
      <c r="H12099" s="12"/>
      <c r="I12099" s="12"/>
      <c r="J12099" s="12"/>
      <c r="K12099" s="12"/>
      <c r="L12099" s="12"/>
      <c r="M12099" s="11"/>
      <c r="N12099" s="11"/>
      <c r="O12099" s="11"/>
      <c r="P12099" s="11"/>
    </row>
    <row r="12100" spans="8:16" x14ac:dyDescent="0.25">
      <c r="H12100" s="12"/>
      <c r="I12100" s="12"/>
      <c r="J12100" s="12"/>
      <c r="K12100" s="12"/>
      <c r="L12100" s="12"/>
      <c r="M12100" s="11"/>
      <c r="N12100" s="11"/>
      <c r="O12100" s="11"/>
      <c r="P12100" s="11"/>
    </row>
    <row r="12101" spans="8:16" x14ac:dyDescent="0.25">
      <c r="H12101" s="12"/>
      <c r="I12101" s="12"/>
      <c r="J12101" s="12"/>
      <c r="K12101" s="12"/>
      <c r="L12101" s="12"/>
      <c r="M12101" s="11"/>
      <c r="N12101" s="11"/>
      <c r="O12101" s="11"/>
      <c r="P12101" s="11"/>
    </row>
    <row r="12102" spans="8:16" x14ac:dyDescent="0.25">
      <c r="H12102" s="12"/>
      <c r="I12102" s="12"/>
      <c r="J12102" s="12"/>
      <c r="K12102" s="12"/>
      <c r="L12102" s="12"/>
      <c r="M12102" s="11"/>
      <c r="N12102" s="11"/>
      <c r="O12102" s="11"/>
      <c r="P12102" s="11"/>
    </row>
    <row r="12103" spans="8:16" x14ac:dyDescent="0.25">
      <c r="H12103" s="12"/>
      <c r="I12103" s="12"/>
      <c r="J12103" s="12"/>
      <c r="K12103" s="12"/>
      <c r="L12103" s="12"/>
      <c r="M12103" s="11"/>
      <c r="N12103" s="11"/>
      <c r="O12103" s="11"/>
      <c r="P12103" s="11"/>
    </row>
    <row r="12104" spans="8:16" x14ac:dyDescent="0.25">
      <c r="H12104" s="12"/>
      <c r="I12104" s="12"/>
      <c r="J12104" s="12"/>
      <c r="K12104" s="12"/>
      <c r="L12104" s="12"/>
      <c r="M12104" s="11"/>
      <c r="N12104" s="11"/>
      <c r="O12104" s="11"/>
      <c r="P12104" s="11"/>
    </row>
    <row r="12105" spans="8:16" x14ac:dyDescent="0.25">
      <c r="H12105" s="12"/>
      <c r="I12105" s="12"/>
      <c r="J12105" s="12"/>
      <c r="K12105" s="12"/>
      <c r="L12105" s="12"/>
      <c r="M12105" s="11"/>
      <c r="N12105" s="11"/>
      <c r="O12105" s="11"/>
      <c r="P12105" s="11"/>
    </row>
    <row r="12106" spans="8:16" x14ac:dyDescent="0.25">
      <c r="H12106" s="12"/>
      <c r="I12106" s="12"/>
      <c r="J12106" s="12"/>
      <c r="K12106" s="12"/>
      <c r="L12106" s="12"/>
      <c r="M12106" s="11"/>
      <c r="N12106" s="11"/>
      <c r="O12106" s="11"/>
      <c r="P12106" s="11"/>
    </row>
    <row r="12107" spans="8:16" x14ac:dyDescent="0.25">
      <c r="H12107" s="12"/>
      <c r="I12107" s="12"/>
      <c r="J12107" s="12"/>
      <c r="K12107" s="12"/>
      <c r="L12107" s="12"/>
      <c r="M12107" s="11"/>
      <c r="N12107" s="11"/>
      <c r="O12107" s="11"/>
      <c r="P12107" s="11"/>
    </row>
    <row r="12108" spans="8:16" x14ac:dyDescent="0.25">
      <c r="H12108" s="12"/>
      <c r="I12108" s="12"/>
      <c r="J12108" s="12"/>
      <c r="K12108" s="12"/>
      <c r="L12108" s="12"/>
      <c r="M12108" s="11"/>
      <c r="N12108" s="11"/>
      <c r="O12108" s="11"/>
      <c r="P12108" s="11"/>
    </row>
    <row r="12109" spans="8:16" x14ac:dyDescent="0.25">
      <c r="H12109" s="12"/>
      <c r="I12109" s="12"/>
      <c r="J12109" s="12"/>
      <c r="K12109" s="12"/>
      <c r="L12109" s="12"/>
      <c r="M12109" s="11"/>
      <c r="N12109" s="11"/>
      <c r="O12109" s="11"/>
      <c r="P12109" s="11"/>
    </row>
    <row r="12110" spans="8:16" x14ac:dyDescent="0.25">
      <c r="H12110" s="12"/>
      <c r="I12110" s="12"/>
      <c r="J12110" s="12"/>
      <c r="K12110" s="12"/>
      <c r="L12110" s="12"/>
      <c r="M12110" s="11"/>
      <c r="N12110" s="11"/>
      <c r="O12110" s="11"/>
      <c r="P12110" s="11"/>
    </row>
    <row r="12111" spans="8:16" x14ac:dyDescent="0.25">
      <c r="H12111" s="12"/>
      <c r="I12111" s="12"/>
      <c r="J12111" s="12"/>
      <c r="K12111" s="12"/>
      <c r="L12111" s="12"/>
      <c r="M12111" s="11"/>
      <c r="N12111" s="11"/>
      <c r="O12111" s="11"/>
      <c r="P12111" s="11"/>
    </row>
    <row r="12112" spans="8:16" x14ac:dyDescent="0.25">
      <c r="H12112" s="12"/>
      <c r="I12112" s="12"/>
      <c r="J12112" s="12"/>
      <c r="K12112" s="12"/>
      <c r="L12112" s="12"/>
      <c r="M12112" s="11"/>
      <c r="N12112" s="11"/>
      <c r="O12112" s="11"/>
      <c r="P12112" s="11"/>
    </row>
    <row r="12113" spans="8:16" x14ac:dyDescent="0.25">
      <c r="H12113" s="12"/>
      <c r="I12113" s="12"/>
      <c r="J12113" s="12"/>
      <c r="K12113" s="12"/>
      <c r="L12113" s="12"/>
      <c r="M12113" s="11"/>
      <c r="N12113" s="11"/>
      <c r="O12113" s="11"/>
      <c r="P12113" s="11"/>
    </row>
    <row r="12114" spans="8:16" x14ac:dyDescent="0.25">
      <c r="H12114" s="12"/>
      <c r="I12114" s="12"/>
      <c r="J12114" s="12"/>
      <c r="K12114" s="12"/>
      <c r="L12114" s="12"/>
      <c r="M12114" s="11"/>
      <c r="N12114" s="11"/>
      <c r="O12114" s="11"/>
      <c r="P12114" s="11"/>
    </row>
    <row r="12115" spans="8:16" x14ac:dyDescent="0.25">
      <c r="H12115" s="12"/>
      <c r="I12115" s="12"/>
      <c r="J12115" s="12"/>
      <c r="K12115" s="12"/>
      <c r="L12115" s="12"/>
      <c r="M12115" s="11"/>
      <c r="N12115" s="11"/>
      <c r="O12115" s="11"/>
      <c r="P12115" s="11"/>
    </row>
    <row r="12116" spans="8:16" x14ac:dyDescent="0.25">
      <c r="H12116" s="12"/>
      <c r="I12116" s="12"/>
      <c r="J12116" s="12"/>
      <c r="K12116" s="12"/>
      <c r="L12116" s="12"/>
      <c r="M12116" s="11"/>
      <c r="N12116" s="11"/>
      <c r="O12116" s="11"/>
      <c r="P12116" s="11"/>
    </row>
    <row r="12117" spans="8:16" x14ac:dyDescent="0.25">
      <c r="H12117" s="12"/>
      <c r="I12117" s="12"/>
      <c r="J12117" s="12"/>
      <c r="K12117" s="12"/>
      <c r="L12117" s="12"/>
      <c r="M12117" s="11"/>
      <c r="N12117" s="11"/>
      <c r="O12117" s="11"/>
      <c r="P12117" s="11"/>
    </row>
    <row r="12118" spans="8:16" x14ac:dyDescent="0.25">
      <c r="H12118" s="12"/>
      <c r="I12118" s="12"/>
      <c r="J12118" s="12"/>
      <c r="K12118" s="12"/>
      <c r="L12118" s="12"/>
      <c r="M12118" s="11"/>
      <c r="N12118" s="11"/>
      <c r="O12118" s="11"/>
      <c r="P12118" s="11"/>
    </row>
    <row r="12119" spans="8:16" x14ac:dyDescent="0.25">
      <c r="H12119" s="12"/>
      <c r="I12119" s="12"/>
      <c r="J12119" s="12"/>
      <c r="K12119" s="12"/>
      <c r="L12119" s="12"/>
      <c r="M12119" s="11"/>
      <c r="N12119" s="11"/>
      <c r="O12119" s="11"/>
      <c r="P12119" s="11"/>
    </row>
    <row r="12120" spans="8:16" x14ac:dyDescent="0.25">
      <c r="H12120" s="12"/>
      <c r="I12120" s="12"/>
      <c r="J12120" s="12"/>
      <c r="K12120" s="12"/>
      <c r="L12120" s="12"/>
      <c r="M12120" s="11"/>
      <c r="N12120" s="11"/>
      <c r="O12120" s="11"/>
      <c r="P12120" s="11"/>
    </row>
    <row r="12121" spans="8:16" x14ac:dyDescent="0.25">
      <c r="H12121" s="12"/>
      <c r="I12121" s="12"/>
      <c r="J12121" s="12"/>
      <c r="K12121" s="12"/>
      <c r="L12121" s="12"/>
      <c r="M12121" s="11"/>
      <c r="N12121" s="11"/>
      <c r="O12121" s="11"/>
      <c r="P12121" s="11"/>
    </row>
    <row r="12122" spans="8:16" x14ac:dyDescent="0.25">
      <c r="H12122" s="12"/>
      <c r="I12122" s="12"/>
      <c r="J12122" s="12"/>
      <c r="K12122" s="12"/>
      <c r="L12122" s="12"/>
      <c r="M12122" s="11"/>
      <c r="N12122" s="11"/>
      <c r="O12122" s="11"/>
      <c r="P12122" s="11"/>
    </row>
    <row r="12123" spans="8:16" x14ac:dyDescent="0.25">
      <c r="H12123" s="12"/>
      <c r="I12123" s="12"/>
      <c r="J12123" s="12"/>
      <c r="K12123" s="12"/>
      <c r="L12123" s="12"/>
      <c r="M12123" s="11"/>
      <c r="N12123" s="11"/>
      <c r="O12123" s="11"/>
      <c r="P12123" s="11"/>
    </row>
    <row r="12124" spans="8:16" x14ac:dyDescent="0.25">
      <c r="H12124" s="12"/>
      <c r="I12124" s="12"/>
      <c r="J12124" s="12"/>
      <c r="K12124" s="12"/>
      <c r="L12124" s="12"/>
      <c r="M12124" s="11"/>
      <c r="N12124" s="11"/>
      <c r="O12124" s="11"/>
      <c r="P12124" s="11"/>
    </row>
    <row r="12125" spans="8:16" x14ac:dyDescent="0.25">
      <c r="H12125" s="12"/>
      <c r="I12125" s="12"/>
      <c r="J12125" s="12"/>
      <c r="K12125" s="12"/>
      <c r="L12125" s="12"/>
      <c r="M12125" s="11"/>
      <c r="N12125" s="11"/>
      <c r="O12125" s="11"/>
      <c r="P12125" s="11"/>
    </row>
    <row r="12126" spans="8:16" x14ac:dyDescent="0.25">
      <c r="H12126" s="12"/>
      <c r="I12126" s="12"/>
      <c r="J12126" s="12"/>
      <c r="K12126" s="12"/>
      <c r="L12126" s="12"/>
      <c r="M12126" s="11"/>
      <c r="N12126" s="11"/>
      <c r="O12126" s="11"/>
      <c r="P12126" s="11"/>
    </row>
    <row r="12127" spans="8:16" x14ac:dyDescent="0.25">
      <c r="H12127" s="12"/>
      <c r="I12127" s="12"/>
      <c r="J12127" s="12"/>
      <c r="K12127" s="12"/>
      <c r="L12127" s="12"/>
      <c r="M12127" s="11"/>
      <c r="N12127" s="11"/>
      <c r="O12127" s="11"/>
      <c r="P12127" s="11"/>
    </row>
    <row r="12128" spans="8:16" x14ac:dyDescent="0.25">
      <c r="H12128" s="12"/>
      <c r="I12128" s="12"/>
      <c r="J12128" s="12"/>
      <c r="K12128" s="12"/>
      <c r="L12128" s="12"/>
      <c r="M12128" s="11"/>
      <c r="N12128" s="11"/>
      <c r="O12128" s="11"/>
      <c r="P12128" s="11"/>
    </row>
    <row r="12129" spans="8:16" x14ac:dyDescent="0.25">
      <c r="H12129" s="12"/>
      <c r="I12129" s="12"/>
      <c r="J12129" s="12"/>
      <c r="K12129" s="12"/>
      <c r="L12129" s="12"/>
      <c r="M12129" s="11"/>
      <c r="N12129" s="11"/>
      <c r="O12129" s="11"/>
      <c r="P12129" s="11"/>
    </row>
    <row r="12130" spans="8:16" x14ac:dyDescent="0.25">
      <c r="H12130" s="12"/>
      <c r="I12130" s="12"/>
      <c r="J12130" s="12"/>
      <c r="K12130" s="12"/>
      <c r="L12130" s="12"/>
      <c r="M12130" s="11"/>
      <c r="N12130" s="11"/>
      <c r="O12130" s="11"/>
      <c r="P12130" s="11"/>
    </row>
    <row r="12131" spans="8:16" x14ac:dyDescent="0.25">
      <c r="H12131" s="12"/>
      <c r="I12131" s="12"/>
      <c r="J12131" s="12"/>
      <c r="K12131" s="12"/>
      <c r="L12131" s="12"/>
      <c r="M12131" s="11"/>
      <c r="N12131" s="11"/>
      <c r="O12131" s="11"/>
      <c r="P12131" s="11"/>
    </row>
    <row r="12132" spans="8:16" x14ac:dyDescent="0.25">
      <c r="H12132" s="12"/>
      <c r="I12132" s="12"/>
      <c r="J12132" s="12"/>
      <c r="K12132" s="12"/>
      <c r="L12132" s="12"/>
      <c r="M12132" s="11"/>
      <c r="N12132" s="11"/>
      <c r="O12132" s="11"/>
      <c r="P12132" s="11"/>
    </row>
    <row r="12133" spans="8:16" x14ac:dyDescent="0.25">
      <c r="H12133" s="12"/>
      <c r="I12133" s="12"/>
      <c r="J12133" s="12"/>
      <c r="K12133" s="12"/>
      <c r="L12133" s="12"/>
      <c r="M12133" s="11"/>
      <c r="N12133" s="11"/>
      <c r="O12133" s="11"/>
      <c r="P12133" s="11"/>
    </row>
    <row r="12134" spans="8:16" x14ac:dyDescent="0.25">
      <c r="H12134" s="12"/>
      <c r="I12134" s="12"/>
      <c r="J12134" s="12"/>
      <c r="K12134" s="12"/>
      <c r="L12134" s="12"/>
      <c r="M12134" s="11"/>
      <c r="N12134" s="11"/>
      <c r="O12134" s="11"/>
      <c r="P12134" s="11"/>
    </row>
    <row r="12135" spans="8:16" x14ac:dyDescent="0.25">
      <c r="H12135" s="12"/>
      <c r="I12135" s="12"/>
      <c r="J12135" s="12"/>
      <c r="K12135" s="12"/>
      <c r="L12135" s="12"/>
      <c r="M12135" s="11"/>
      <c r="N12135" s="11"/>
      <c r="O12135" s="11"/>
      <c r="P12135" s="11"/>
    </row>
    <row r="12136" spans="8:16" x14ac:dyDescent="0.25">
      <c r="H12136" s="12"/>
      <c r="I12136" s="12"/>
      <c r="J12136" s="12"/>
      <c r="K12136" s="12"/>
      <c r="L12136" s="12"/>
      <c r="M12136" s="11"/>
      <c r="N12136" s="11"/>
      <c r="O12136" s="11"/>
      <c r="P12136" s="11"/>
    </row>
    <row r="12137" spans="8:16" x14ac:dyDescent="0.25">
      <c r="H12137" s="12"/>
      <c r="I12137" s="12"/>
      <c r="J12137" s="12"/>
      <c r="K12137" s="12"/>
      <c r="L12137" s="12"/>
      <c r="M12137" s="11"/>
      <c r="N12137" s="11"/>
      <c r="O12137" s="11"/>
      <c r="P12137" s="11"/>
    </row>
    <row r="12138" spans="8:16" x14ac:dyDescent="0.25">
      <c r="H12138" s="12"/>
      <c r="I12138" s="12"/>
      <c r="J12138" s="12"/>
      <c r="K12138" s="12"/>
      <c r="L12138" s="12"/>
      <c r="M12138" s="11"/>
      <c r="N12138" s="11"/>
      <c r="O12138" s="11"/>
      <c r="P12138" s="11"/>
    </row>
    <row r="12139" spans="8:16" x14ac:dyDescent="0.25">
      <c r="H12139" s="12"/>
      <c r="I12139" s="12"/>
      <c r="J12139" s="12"/>
      <c r="K12139" s="12"/>
      <c r="L12139" s="12"/>
      <c r="M12139" s="11"/>
      <c r="N12139" s="11"/>
      <c r="O12139" s="11"/>
      <c r="P12139" s="11"/>
    </row>
    <row r="12140" spans="8:16" x14ac:dyDescent="0.25">
      <c r="H12140" s="12"/>
      <c r="I12140" s="12"/>
      <c r="J12140" s="12"/>
      <c r="K12140" s="12"/>
      <c r="L12140" s="12"/>
      <c r="M12140" s="11"/>
      <c r="N12140" s="11"/>
      <c r="O12140" s="11"/>
      <c r="P12140" s="11"/>
    </row>
    <row r="12141" spans="8:16" x14ac:dyDescent="0.25">
      <c r="H12141" s="12"/>
      <c r="I12141" s="12"/>
      <c r="J12141" s="12"/>
      <c r="K12141" s="12"/>
      <c r="L12141" s="12"/>
      <c r="M12141" s="11"/>
      <c r="N12141" s="11"/>
      <c r="O12141" s="11"/>
      <c r="P12141" s="11"/>
    </row>
    <row r="12142" spans="8:16" x14ac:dyDescent="0.25">
      <c r="H12142" s="12"/>
      <c r="I12142" s="12"/>
      <c r="J12142" s="12"/>
      <c r="K12142" s="12"/>
      <c r="L12142" s="12"/>
      <c r="M12142" s="11"/>
      <c r="N12142" s="11"/>
      <c r="O12142" s="11"/>
      <c r="P12142" s="11"/>
    </row>
    <row r="12143" spans="8:16" x14ac:dyDescent="0.25">
      <c r="H12143" s="12"/>
      <c r="I12143" s="12"/>
      <c r="J12143" s="12"/>
      <c r="K12143" s="12"/>
      <c r="L12143" s="12"/>
      <c r="M12143" s="11"/>
      <c r="N12143" s="11"/>
      <c r="O12143" s="11"/>
      <c r="P12143" s="11"/>
    </row>
    <row r="12144" spans="8:16" x14ac:dyDescent="0.25">
      <c r="H12144" s="12"/>
      <c r="I12144" s="12"/>
      <c r="J12144" s="12"/>
      <c r="K12144" s="12"/>
      <c r="L12144" s="12"/>
      <c r="M12144" s="11"/>
      <c r="N12144" s="11"/>
      <c r="O12144" s="11"/>
      <c r="P12144" s="11"/>
    </row>
    <row r="12145" spans="8:16" x14ac:dyDescent="0.25">
      <c r="H12145" s="12"/>
      <c r="I12145" s="12"/>
      <c r="J12145" s="12"/>
      <c r="K12145" s="12"/>
      <c r="L12145" s="12"/>
      <c r="M12145" s="11"/>
      <c r="N12145" s="11"/>
      <c r="O12145" s="11"/>
      <c r="P12145" s="11"/>
    </row>
    <row r="12146" spans="8:16" x14ac:dyDescent="0.25">
      <c r="H12146" s="12"/>
      <c r="I12146" s="12"/>
      <c r="J12146" s="12"/>
      <c r="K12146" s="12"/>
      <c r="L12146" s="12"/>
      <c r="M12146" s="11"/>
      <c r="N12146" s="11"/>
      <c r="O12146" s="11"/>
      <c r="P12146" s="11"/>
    </row>
    <row r="12147" spans="8:16" x14ac:dyDescent="0.25">
      <c r="H12147" s="12"/>
      <c r="I12147" s="12"/>
      <c r="J12147" s="12"/>
      <c r="K12147" s="12"/>
      <c r="L12147" s="12"/>
      <c r="M12147" s="11"/>
      <c r="N12147" s="11"/>
      <c r="O12147" s="11"/>
      <c r="P12147" s="11"/>
    </row>
    <row r="12148" spans="8:16" x14ac:dyDescent="0.25">
      <c r="H12148" s="12"/>
      <c r="I12148" s="12"/>
      <c r="J12148" s="12"/>
      <c r="K12148" s="12"/>
      <c r="L12148" s="12"/>
      <c r="M12148" s="11"/>
      <c r="N12148" s="11"/>
      <c r="O12148" s="11"/>
      <c r="P12148" s="11"/>
    </row>
    <row r="12149" spans="8:16" x14ac:dyDescent="0.25">
      <c r="H12149" s="12"/>
      <c r="I12149" s="12"/>
      <c r="J12149" s="12"/>
      <c r="K12149" s="12"/>
      <c r="L12149" s="12"/>
      <c r="M12149" s="11"/>
      <c r="N12149" s="11"/>
      <c r="O12149" s="11"/>
      <c r="P12149" s="11"/>
    </row>
    <row r="12150" spans="8:16" x14ac:dyDescent="0.25">
      <c r="H12150" s="12"/>
      <c r="I12150" s="12"/>
      <c r="J12150" s="12"/>
      <c r="K12150" s="12"/>
      <c r="L12150" s="12"/>
      <c r="M12150" s="11"/>
      <c r="N12150" s="11"/>
      <c r="O12150" s="11"/>
      <c r="P12150" s="11"/>
    </row>
    <row r="12151" spans="8:16" x14ac:dyDescent="0.25">
      <c r="H12151" s="12"/>
      <c r="I12151" s="12"/>
      <c r="J12151" s="12"/>
      <c r="K12151" s="12"/>
      <c r="L12151" s="12"/>
      <c r="M12151" s="11"/>
      <c r="N12151" s="11"/>
      <c r="O12151" s="11"/>
      <c r="P12151" s="11"/>
    </row>
    <row r="12152" spans="8:16" x14ac:dyDescent="0.25">
      <c r="H12152" s="12"/>
      <c r="I12152" s="12"/>
      <c r="J12152" s="12"/>
      <c r="K12152" s="12"/>
      <c r="L12152" s="12"/>
      <c r="M12152" s="11"/>
      <c r="N12152" s="11"/>
      <c r="O12152" s="11"/>
      <c r="P12152" s="11"/>
    </row>
    <row r="12153" spans="8:16" x14ac:dyDescent="0.25">
      <c r="H12153" s="12"/>
      <c r="I12153" s="12"/>
      <c r="J12153" s="12"/>
      <c r="K12153" s="12"/>
      <c r="L12153" s="12"/>
      <c r="M12153" s="11"/>
      <c r="N12153" s="11"/>
      <c r="O12153" s="11"/>
      <c r="P12153" s="11"/>
    </row>
    <row r="12154" spans="8:16" x14ac:dyDescent="0.25">
      <c r="H12154" s="12"/>
      <c r="I12154" s="12"/>
      <c r="J12154" s="12"/>
      <c r="K12154" s="12"/>
      <c r="L12154" s="12"/>
      <c r="M12154" s="11"/>
      <c r="N12154" s="11"/>
      <c r="O12154" s="11"/>
      <c r="P12154" s="11"/>
    </row>
    <row r="12155" spans="8:16" x14ac:dyDescent="0.25">
      <c r="H12155" s="12"/>
      <c r="I12155" s="12"/>
      <c r="J12155" s="12"/>
      <c r="K12155" s="12"/>
      <c r="L12155" s="12"/>
      <c r="M12155" s="11"/>
      <c r="N12155" s="11"/>
      <c r="O12155" s="11"/>
      <c r="P12155" s="11"/>
    </row>
    <row r="12156" spans="8:16" x14ac:dyDescent="0.25">
      <c r="H12156" s="12"/>
      <c r="I12156" s="12"/>
      <c r="J12156" s="12"/>
      <c r="K12156" s="12"/>
      <c r="L12156" s="12"/>
      <c r="M12156" s="11"/>
      <c r="N12156" s="11"/>
      <c r="O12156" s="11"/>
      <c r="P12156" s="11"/>
    </row>
    <row r="12157" spans="8:16" x14ac:dyDescent="0.25">
      <c r="H12157" s="12"/>
      <c r="I12157" s="12"/>
      <c r="J12157" s="12"/>
      <c r="K12157" s="12"/>
      <c r="L12157" s="12"/>
      <c r="M12157" s="11"/>
      <c r="N12157" s="11"/>
      <c r="O12157" s="11"/>
      <c r="P12157" s="11"/>
    </row>
    <row r="12158" spans="8:16" x14ac:dyDescent="0.25">
      <c r="H12158" s="12"/>
      <c r="I12158" s="12"/>
      <c r="J12158" s="12"/>
      <c r="K12158" s="12"/>
      <c r="L12158" s="12"/>
      <c r="M12158" s="11"/>
      <c r="N12158" s="11"/>
      <c r="O12158" s="11"/>
      <c r="P12158" s="11"/>
    </row>
    <row r="12159" spans="8:16" x14ac:dyDescent="0.25">
      <c r="H12159" s="12"/>
      <c r="I12159" s="12"/>
      <c r="J12159" s="12"/>
      <c r="K12159" s="12"/>
      <c r="L12159" s="12"/>
      <c r="M12159" s="11"/>
      <c r="N12159" s="11"/>
      <c r="O12159" s="11"/>
      <c r="P12159" s="11"/>
    </row>
    <row r="12160" spans="8:16" x14ac:dyDescent="0.25">
      <c r="H12160" s="12"/>
      <c r="I12160" s="12"/>
      <c r="J12160" s="12"/>
      <c r="K12160" s="12"/>
      <c r="L12160" s="12"/>
      <c r="M12160" s="11"/>
      <c r="N12160" s="11"/>
      <c r="O12160" s="11"/>
      <c r="P12160" s="11"/>
    </row>
    <row r="12161" spans="8:16" x14ac:dyDescent="0.25">
      <c r="H12161" s="12"/>
      <c r="I12161" s="12"/>
      <c r="J12161" s="12"/>
      <c r="K12161" s="12"/>
      <c r="L12161" s="12"/>
      <c r="M12161" s="11"/>
      <c r="N12161" s="11"/>
      <c r="O12161" s="11"/>
      <c r="P12161" s="11"/>
    </row>
    <row r="12162" spans="8:16" x14ac:dyDescent="0.25">
      <c r="H12162" s="12"/>
      <c r="I12162" s="12"/>
      <c r="J12162" s="12"/>
      <c r="K12162" s="12"/>
      <c r="L12162" s="12"/>
      <c r="M12162" s="11"/>
      <c r="N12162" s="11"/>
      <c r="O12162" s="11"/>
      <c r="P12162" s="11"/>
    </row>
    <row r="12163" spans="8:16" x14ac:dyDescent="0.25">
      <c r="H12163" s="12"/>
      <c r="I12163" s="12"/>
      <c r="J12163" s="12"/>
      <c r="K12163" s="12"/>
      <c r="L12163" s="12"/>
      <c r="M12163" s="11"/>
      <c r="N12163" s="11"/>
      <c r="O12163" s="11"/>
      <c r="P12163" s="11"/>
    </row>
    <row r="12164" spans="8:16" x14ac:dyDescent="0.25">
      <c r="H12164" s="12"/>
      <c r="I12164" s="12"/>
      <c r="J12164" s="12"/>
      <c r="K12164" s="12"/>
      <c r="L12164" s="12"/>
      <c r="M12164" s="11"/>
      <c r="N12164" s="11"/>
      <c r="O12164" s="11"/>
      <c r="P12164" s="11"/>
    </row>
    <row r="12165" spans="8:16" x14ac:dyDescent="0.25">
      <c r="H12165" s="12"/>
      <c r="I12165" s="12"/>
      <c r="J12165" s="12"/>
      <c r="K12165" s="12"/>
      <c r="L12165" s="12"/>
      <c r="M12165" s="11"/>
      <c r="N12165" s="11"/>
      <c r="O12165" s="11"/>
      <c r="P12165" s="11"/>
    </row>
    <row r="12166" spans="8:16" x14ac:dyDescent="0.25">
      <c r="H12166" s="12"/>
      <c r="I12166" s="12"/>
      <c r="J12166" s="12"/>
      <c r="K12166" s="12"/>
      <c r="L12166" s="12"/>
      <c r="M12166" s="11"/>
      <c r="N12166" s="11"/>
      <c r="O12166" s="11"/>
      <c r="P12166" s="11"/>
    </row>
    <row r="12167" spans="8:16" x14ac:dyDescent="0.25">
      <c r="H12167" s="12"/>
      <c r="I12167" s="12"/>
      <c r="J12167" s="12"/>
      <c r="K12167" s="12"/>
      <c r="L12167" s="12"/>
      <c r="M12167" s="11"/>
      <c r="N12167" s="11"/>
      <c r="O12167" s="11"/>
      <c r="P12167" s="11"/>
    </row>
    <row r="12168" spans="8:16" x14ac:dyDescent="0.25">
      <c r="H12168" s="12"/>
      <c r="I12168" s="12"/>
      <c r="J12168" s="12"/>
      <c r="K12168" s="12"/>
      <c r="L12168" s="12"/>
      <c r="M12168" s="11"/>
      <c r="N12168" s="11"/>
      <c r="O12168" s="11"/>
      <c r="P12168" s="11"/>
    </row>
    <row r="12169" spans="8:16" x14ac:dyDescent="0.25">
      <c r="H12169" s="12"/>
      <c r="I12169" s="12"/>
      <c r="J12169" s="12"/>
      <c r="K12169" s="12"/>
      <c r="L12169" s="12"/>
      <c r="M12169" s="11"/>
      <c r="N12169" s="11"/>
      <c r="O12169" s="11"/>
      <c r="P12169" s="11"/>
    </row>
    <row r="12170" spans="8:16" x14ac:dyDescent="0.25">
      <c r="H12170" s="12"/>
      <c r="I12170" s="12"/>
      <c r="J12170" s="12"/>
      <c r="K12170" s="12"/>
      <c r="L12170" s="12"/>
      <c r="M12170" s="11"/>
      <c r="N12170" s="11"/>
      <c r="O12170" s="11"/>
      <c r="P12170" s="11"/>
    </row>
    <row r="12171" spans="8:16" x14ac:dyDescent="0.25">
      <c r="H12171" s="12"/>
      <c r="I12171" s="12"/>
      <c r="J12171" s="12"/>
      <c r="K12171" s="12"/>
      <c r="L12171" s="12"/>
      <c r="M12171" s="11"/>
      <c r="N12171" s="11"/>
      <c r="O12171" s="11"/>
      <c r="P12171" s="11"/>
    </row>
    <row r="12172" spans="8:16" x14ac:dyDescent="0.25">
      <c r="H12172" s="12"/>
      <c r="I12172" s="12"/>
      <c r="J12172" s="12"/>
      <c r="K12172" s="12"/>
      <c r="L12172" s="12"/>
      <c r="M12172" s="11"/>
      <c r="N12172" s="11"/>
      <c r="O12172" s="11"/>
      <c r="P12172" s="11"/>
    </row>
    <row r="12173" spans="8:16" x14ac:dyDescent="0.25">
      <c r="H12173" s="12"/>
      <c r="I12173" s="12"/>
      <c r="J12173" s="12"/>
      <c r="K12173" s="12"/>
      <c r="L12173" s="12"/>
      <c r="M12173" s="11"/>
      <c r="N12173" s="11"/>
      <c r="O12173" s="11"/>
      <c r="P12173" s="11"/>
    </row>
    <row r="12174" spans="8:16" x14ac:dyDescent="0.25">
      <c r="H12174" s="12"/>
      <c r="I12174" s="12"/>
      <c r="J12174" s="12"/>
      <c r="K12174" s="12"/>
      <c r="L12174" s="12"/>
      <c r="M12174" s="11"/>
      <c r="N12174" s="11"/>
      <c r="O12174" s="11"/>
      <c r="P12174" s="11"/>
    </row>
    <row r="12175" spans="8:16" x14ac:dyDescent="0.25">
      <c r="H12175" s="12"/>
      <c r="I12175" s="12"/>
      <c r="J12175" s="12"/>
      <c r="K12175" s="12"/>
      <c r="L12175" s="12"/>
      <c r="M12175" s="11"/>
      <c r="N12175" s="11"/>
      <c r="O12175" s="11"/>
      <c r="P12175" s="11"/>
    </row>
    <row r="12176" spans="8:16" x14ac:dyDescent="0.25">
      <c r="H12176" s="12"/>
      <c r="I12176" s="12"/>
      <c r="J12176" s="12"/>
      <c r="K12176" s="12"/>
      <c r="L12176" s="12"/>
      <c r="M12176" s="11"/>
      <c r="N12176" s="11"/>
      <c r="O12176" s="11"/>
      <c r="P12176" s="11"/>
    </row>
    <row r="12177" spans="8:16" x14ac:dyDescent="0.25">
      <c r="H12177" s="12"/>
      <c r="I12177" s="12"/>
      <c r="J12177" s="12"/>
      <c r="K12177" s="12"/>
      <c r="L12177" s="12"/>
      <c r="M12177" s="11"/>
      <c r="N12177" s="11"/>
      <c r="O12177" s="11"/>
      <c r="P12177" s="11"/>
    </row>
    <row r="12178" spans="8:16" x14ac:dyDescent="0.25">
      <c r="H12178" s="12"/>
      <c r="I12178" s="12"/>
      <c r="J12178" s="12"/>
      <c r="K12178" s="12"/>
      <c r="L12178" s="12"/>
      <c r="M12178" s="11"/>
      <c r="N12178" s="11"/>
      <c r="O12178" s="11"/>
      <c r="P12178" s="11"/>
    </row>
    <row r="12179" spans="8:16" x14ac:dyDescent="0.25">
      <c r="H12179" s="12"/>
      <c r="I12179" s="12"/>
      <c r="J12179" s="12"/>
      <c r="K12179" s="12"/>
      <c r="L12179" s="12"/>
      <c r="M12179" s="11"/>
      <c r="N12179" s="11"/>
      <c r="O12179" s="11"/>
      <c r="P12179" s="11"/>
    </row>
    <row r="12180" spans="8:16" x14ac:dyDescent="0.25">
      <c r="H12180" s="12"/>
      <c r="I12180" s="12"/>
      <c r="J12180" s="12"/>
      <c r="K12180" s="12"/>
      <c r="L12180" s="12"/>
      <c r="M12180" s="11"/>
      <c r="N12180" s="11"/>
      <c r="O12180" s="11"/>
      <c r="P12180" s="11"/>
    </row>
    <row r="12181" spans="8:16" x14ac:dyDescent="0.25">
      <c r="H12181" s="12"/>
      <c r="I12181" s="12"/>
      <c r="J12181" s="12"/>
      <c r="K12181" s="12"/>
      <c r="L12181" s="12"/>
      <c r="M12181" s="11"/>
      <c r="N12181" s="11"/>
      <c r="O12181" s="11"/>
      <c r="P12181" s="11"/>
    </row>
    <row r="12182" spans="8:16" x14ac:dyDescent="0.25">
      <c r="H12182" s="12"/>
      <c r="I12182" s="12"/>
      <c r="J12182" s="12"/>
      <c r="K12182" s="12"/>
      <c r="L12182" s="12"/>
      <c r="M12182" s="11"/>
      <c r="N12182" s="11"/>
      <c r="O12182" s="11"/>
      <c r="P12182" s="11"/>
    </row>
    <row r="12183" spans="8:16" x14ac:dyDescent="0.25">
      <c r="H12183" s="12"/>
      <c r="I12183" s="12"/>
      <c r="J12183" s="12"/>
      <c r="K12183" s="12"/>
      <c r="L12183" s="12"/>
      <c r="M12183" s="11"/>
      <c r="N12183" s="11"/>
      <c r="O12183" s="11"/>
      <c r="P12183" s="11"/>
    </row>
    <row r="12184" spans="8:16" x14ac:dyDescent="0.25">
      <c r="H12184" s="12"/>
      <c r="I12184" s="12"/>
      <c r="J12184" s="12"/>
      <c r="K12184" s="12"/>
      <c r="L12184" s="12"/>
      <c r="M12184" s="11"/>
      <c r="N12184" s="11"/>
      <c r="O12184" s="11"/>
      <c r="P12184" s="11"/>
    </row>
    <row r="12185" spans="8:16" x14ac:dyDescent="0.25">
      <c r="H12185" s="12"/>
      <c r="I12185" s="12"/>
      <c r="J12185" s="12"/>
      <c r="K12185" s="12"/>
      <c r="L12185" s="12"/>
      <c r="M12185" s="11"/>
      <c r="N12185" s="11"/>
      <c r="O12185" s="11"/>
      <c r="P12185" s="11"/>
    </row>
    <row r="12186" spans="8:16" x14ac:dyDescent="0.25">
      <c r="H12186" s="12"/>
      <c r="I12186" s="12"/>
      <c r="J12186" s="12"/>
      <c r="K12186" s="12"/>
      <c r="L12186" s="12"/>
      <c r="M12186" s="11"/>
      <c r="N12186" s="11"/>
      <c r="O12186" s="11"/>
      <c r="P12186" s="11"/>
    </row>
    <row r="12187" spans="8:16" x14ac:dyDescent="0.25">
      <c r="H12187" s="12"/>
      <c r="I12187" s="12"/>
      <c r="J12187" s="12"/>
      <c r="K12187" s="12"/>
      <c r="L12187" s="12"/>
      <c r="M12187" s="11"/>
      <c r="N12187" s="11"/>
      <c r="O12187" s="11"/>
      <c r="P12187" s="11"/>
    </row>
    <row r="12188" spans="8:16" x14ac:dyDescent="0.25">
      <c r="H12188" s="12"/>
      <c r="I12188" s="12"/>
      <c r="J12188" s="12"/>
      <c r="K12188" s="12"/>
      <c r="L12188" s="12"/>
      <c r="M12188" s="11"/>
      <c r="N12188" s="11"/>
      <c r="O12188" s="11"/>
      <c r="P12188" s="11"/>
    </row>
    <row r="12189" spans="8:16" x14ac:dyDescent="0.25">
      <c r="H12189" s="12"/>
      <c r="I12189" s="12"/>
      <c r="J12189" s="12"/>
      <c r="K12189" s="12"/>
      <c r="L12189" s="12"/>
      <c r="M12189" s="11"/>
      <c r="N12189" s="11"/>
      <c r="O12189" s="11"/>
      <c r="P12189" s="11"/>
    </row>
    <row r="12190" spans="8:16" x14ac:dyDescent="0.25">
      <c r="H12190" s="12"/>
      <c r="I12190" s="12"/>
      <c r="J12190" s="12"/>
      <c r="K12190" s="12"/>
      <c r="L12190" s="12"/>
      <c r="M12190" s="11"/>
      <c r="N12190" s="11"/>
      <c r="O12190" s="11"/>
      <c r="P12190" s="11"/>
    </row>
    <row r="12191" spans="8:16" x14ac:dyDescent="0.25">
      <c r="H12191" s="12"/>
      <c r="I12191" s="12"/>
      <c r="J12191" s="12"/>
      <c r="K12191" s="12"/>
      <c r="L12191" s="12"/>
      <c r="M12191" s="11"/>
      <c r="N12191" s="11"/>
      <c r="O12191" s="11"/>
      <c r="P12191" s="11"/>
    </row>
    <row r="12192" spans="8:16" x14ac:dyDescent="0.25">
      <c r="H12192" s="12"/>
      <c r="I12192" s="12"/>
      <c r="J12192" s="12"/>
      <c r="K12192" s="12"/>
      <c r="L12192" s="12"/>
      <c r="M12192" s="11"/>
      <c r="N12192" s="11"/>
      <c r="O12192" s="11"/>
      <c r="P12192" s="11"/>
    </row>
    <row r="12193" spans="8:16" x14ac:dyDescent="0.25">
      <c r="H12193" s="12"/>
      <c r="I12193" s="12"/>
      <c r="J12193" s="12"/>
      <c r="K12193" s="12"/>
      <c r="L12193" s="12"/>
      <c r="M12193" s="11"/>
      <c r="N12193" s="11"/>
      <c r="O12193" s="11"/>
      <c r="P12193" s="11"/>
    </row>
    <row r="12194" spans="8:16" x14ac:dyDescent="0.25">
      <c r="H12194" s="12"/>
      <c r="I12194" s="12"/>
      <c r="J12194" s="12"/>
      <c r="K12194" s="12"/>
      <c r="L12194" s="12"/>
      <c r="M12194" s="11"/>
      <c r="N12194" s="11"/>
      <c r="O12194" s="11"/>
      <c r="P12194" s="11"/>
    </row>
    <row r="12195" spans="8:16" x14ac:dyDescent="0.25">
      <c r="H12195" s="12"/>
      <c r="I12195" s="12"/>
      <c r="J12195" s="12"/>
      <c r="K12195" s="12"/>
      <c r="L12195" s="12"/>
      <c r="M12195" s="11"/>
      <c r="N12195" s="11"/>
      <c r="O12195" s="11"/>
      <c r="P12195" s="11"/>
    </row>
    <row r="12196" spans="8:16" x14ac:dyDescent="0.25">
      <c r="H12196" s="12"/>
      <c r="I12196" s="12"/>
      <c r="J12196" s="12"/>
      <c r="K12196" s="12"/>
      <c r="L12196" s="12"/>
      <c r="M12196" s="11"/>
      <c r="N12196" s="11"/>
      <c r="O12196" s="11"/>
      <c r="P12196" s="11"/>
    </row>
    <row r="12197" spans="8:16" x14ac:dyDescent="0.25">
      <c r="H12197" s="12"/>
      <c r="I12197" s="12"/>
      <c r="J12197" s="12"/>
      <c r="K12197" s="12"/>
      <c r="L12197" s="12"/>
      <c r="M12197" s="11"/>
      <c r="N12197" s="11"/>
      <c r="O12197" s="11"/>
      <c r="P12197" s="11"/>
    </row>
    <row r="12198" spans="8:16" x14ac:dyDescent="0.25">
      <c r="H12198" s="12"/>
      <c r="I12198" s="12"/>
      <c r="J12198" s="12"/>
      <c r="K12198" s="12"/>
      <c r="L12198" s="12"/>
      <c r="M12198" s="11"/>
      <c r="N12198" s="11"/>
      <c r="O12198" s="11"/>
      <c r="P12198" s="11"/>
    </row>
    <row r="12199" spans="8:16" x14ac:dyDescent="0.25">
      <c r="H12199" s="12"/>
      <c r="I12199" s="12"/>
      <c r="J12199" s="12"/>
      <c r="K12199" s="12"/>
      <c r="L12199" s="12"/>
      <c r="M12199" s="11"/>
      <c r="N12199" s="11"/>
      <c r="O12199" s="11"/>
      <c r="P12199" s="11"/>
    </row>
    <row r="12200" spans="8:16" x14ac:dyDescent="0.25">
      <c r="H12200" s="12"/>
      <c r="I12200" s="12"/>
      <c r="J12200" s="12"/>
      <c r="K12200" s="12"/>
      <c r="L12200" s="12"/>
      <c r="M12200" s="11"/>
      <c r="N12200" s="11"/>
      <c r="O12200" s="11"/>
      <c r="P12200" s="11"/>
    </row>
    <row r="12201" spans="8:16" x14ac:dyDescent="0.25">
      <c r="H12201" s="12"/>
      <c r="I12201" s="12"/>
      <c r="J12201" s="12"/>
      <c r="K12201" s="12"/>
      <c r="L12201" s="12"/>
      <c r="M12201" s="11"/>
      <c r="N12201" s="11"/>
      <c r="O12201" s="11"/>
      <c r="P12201" s="11"/>
    </row>
    <row r="12202" spans="8:16" x14ac:dyDescent="0.25">
      <c r="H12202" s="12"/>
      <c r="I12202" s="12"/>
      <c r="J12202" s="12"/>
      <c r="K12202" s="12"/>
      <c r="L12202" s="12"/>
      <c r="M12202" s="11"/>
      <c r="N12202" s="11"/>
      <c r="O12202" s="11"/>
      <c r="P12202" s="11"/>
    </row>
    <row r="12203" spans="8:16" x14ac:dyDescent="0.25">
      <c r="H12203" s="12"/>
      <c r="I12203" s="12"/>
      <c r="J12203" s="12"/>
      <c r="K12203" s="12"/>
      <c r="L12203" s="12"/>
      <c r="M12203" s="11"/>
      <c r="N12203" s="11"/>
      <c r="O12203" s="11"/>
      <c r="P12203" s="11"/>
    </row>
    <row r="12204" spans="8:16" x14ac:dyDescent="0.25">
      <c r="H12204" s="12"/>
      <c r="I12204" s="12"/>
      <c r="J12204" s="12"/>
      <c r="K12204" s="12"/>
      <c r="L12204" s="12"/>
      <c r="M12204" s="11"/>
      <c r="N12204" s="11"/>
      <c r="O12204" s="11"/>
      <c r="P12204" s="11"/>
    </row>
    <row r="12205" spans="8:16" x14ac:dyDescent="0.25">
      <c r="H12205" s="12"/>
      <c r="I12205" s="12"/>
      <c r="J12205" s="12"/>
      <c r="K12205" s="12"/>
      <c r="L12205" s="12"/>
      <c r="M12205" s="11"/>
      <c r="N12205" s="11"/>
      <c r="O12205" s="11"/>
      <c r="P12205" s="11"/>
    </row>
    <row r="12206" spans="8:16" x14ac:dyDescent="0.25">
      <c r="H12206" s="12"/>
      <c r="I12206" s="12"/>
      <c r="J12206" s="12"/>
      <c r="K12206" s="12"/>
      <c r="L12206" s="12"/>
      <c r="M12206" s="11"/>
      <c r="N12206" s="11"/>
      <c r="O12206" s="11"/>
      <c r="P12206" s="11"/>
    </row>
    <row r="12207" spans="8:16" x14ac:dyDescent="0.25">
      <c r="H12207" s="12"/>
      <c r="I12207" s="12"/>
      <c r="J12207" s="12"/>
      <c r="K12207" s="12"/>
      <c r="L12207" s="12"/>
      <c r="M12207" s="11"/>
      <c r="N12207" s="11"/>
      <c r="O12207" s="11"/>
      <c r="P12207" s="11"/>
    </row>
    <row r="12208" spans="8:16" x14ac:dyDescent="0.25">
      <c r="H12208" s="12"/>
      <c r="I12208" s="12"/>
      <c r="J12208" s="12"/>
      <c r="K12208" s="12"/>
      <c r="L12208" s="12"/>
      <c r="M12208" s="11"/>
      <c r="N12208" s="11"/>
      <c r="O12208" s="11"/>
      <c r="P12208" s="11"/>
    </row>
    <row r="12209" spans="8:16" x14ac:dyDescent="0.25">
      <c r="H12209" s="12"/>
      <c r="I12209" s="12"/>
      <c r="J12209" s="12"/>
      <c r="K12209" s="12"/>
      <c r="L12209" s="12"/>
      <c r="M12209" s="11"/>
      <c r="N12209" s="11"/>
      <c r="O12209" s="11"/>
      <c r="P12209" s="11"/>
    </row>
    <row r="12210" spans="8:16" x14ac:dyDescent="0.25">
      <c r="H12210" s="12"/>
      <c r="I12210" s="12"/>
      <c r="J12210" s="12"/>
      <c r="K12210" s="12"/>
      <c r="L12210" s="12"/>
      <c r="M12210" s="11"/>
      <c r="N12210" s="11"/>
      <c r="O12210" s="11"/>
      <c r="P12210" s="11"/>
    </row>
    <row r="12211" spans="8:16" x14ac:dyDescent="0.25">
      <c r="H12211" s="12"/>
      <c r="I12211" s="12"/>
      <c r="J12211" s="12"/>
      <c r="K12211" s="12"/>
      <c r="L12211" s="12"/>
      <c r="M12211" s="11"/>
      <c r="N12211" s="11"/>
      <c r="O12211" s="11"/>
      <c r="P12211" s="11"/>
    </row>
    <row r="12212" spans="8:16" x14ac:dyDescent="0.25">
      <c r="H12212" s="12"/>
      <c r="I12212" s="12"/>
      <c r="J12212" s="12"/>
      <c r="K12212" s="12"/>
      <c r="L12212" s="12"/>
      <c r="M12212" s="11"/>
      <c r="N12212" s="11"/>
      <c r="O12212" s="11"/>
      <c r="P12212" s="11"/>
    </row>
    <row r="12213" spans="8:16" x14ac:dyDescent="0.25">
      <c r="H12213" s="12"/>
      <c r="I12213" s="12"/>
      <c r="J12213" s="12"/>
      <c r="K12213" s="12"/>
      <c r="L12213" s="12"/>
      <c r="M12213" s="11"/>
      <c r="N12213" s="11"/>
      <c r="O12213" s="11"/>
      <c r="P12213" s="11"/>
    </row>
    <row r="12214" spans="8:16" x14ac:dyDescent="0.25">
      <c r="H12214" s="12"/>
      <c r="I12214" s="12"/>
      <c r="J12214" s="12"/>
      <c r="K12214" s="12"/>
      <c r="L12214" s="12"/>
      <c r="M12214" s="11"/>
      <c r="N12214" s="11"/>
      <c r="O12214" s="11"/>
      <c r="P12214" s="11"/>
    </row>
    <row r="12215" spans="8:16" x14ac:dyDescent="0.25">
      <c r="H12215" s="12"/>
      <c r="I12215" s="12"/>
      <c r="J12215" s="12"/>
      <c r="K12215" s="12"/>
      <c r="L12215" s="12"/>
      <c r="M12215" s="11"/>
      <c r="N12215" s="11"/>
      <c r="O12215" s="11"/>
      <c r="P12215" s="11"/>
    </row>
    <row r="12216" spans="8:16" x14ac:dyDescent="0.25">
      <c r="H12216" s="12"/>
      <c r="I12216" s="12"/>
      <c r="J12216" s="12"/>
      <c r="K12216" s="12"/>
      <c r="L12216" s="12"/>
      <c r="M12216" s="11"/>
      <c r="N12216" s="11"/>
      <c r="O12216" s="11"/>
      <c r="P12216" s="11"/>
    </row>
    <row r="12217" spans="8:16" x14ac:dyDescent="0.25">
      <c r="H12217" s="12"/>
      <c r="I12217" s="12"/>
      <c r="J12217" s="12"/>
      <c r="K12217" s="12"/>
      <c r="L12217" s="12"/>
      <c r="M12217" s="11"/>
      <c r="N12217" s="11"/>
      <c r="O12217" s="11"/>
      <c r="P12217" s="11"/>
    </row>
    <row r="12218" spans="8:16" x14ac:dyDescent="0.25">
      <c r="H12218" s="12"/>
      <c r="I12218" s="12"/>
      <c r="J12218" s="12"/>
      <c r="K12218" s="12"/>
      <c r="L12218" s="12"/>
      <c r="M12218" s="11"/>
      <c r="N12218" s="11"/>
      <c r="O12218" s="11"/>
      <c r="P12218" s="11"/>
    </row>
    <row r="12219" spans="8:16" x14ac:dyDescent="0.25">
      <c r="H12219" s="12"/>
      <c r="I12219" s="12"/>
      <c r="J12219" s="12"/>
      <c r="K12219" s="12"/>
      <c r="L12219" s="12"/>
      <c r="M12219" s="11"/>
      <c r="N12219" s="11"/>
      <c r="O12219" s="11"/>
      <c r="P12219" s="11"/>
    </row>
    <row r="12220" spans="8:16" x14ac:dyDescent="0.25">
      <c r="H12220" s="12"/>
      <c r="I12220" s="12"/>
      <c r="J12220" s="12"/>
      <c r="K12220" s="12"/>
      <c r="L12220" s="12"/>
      <c r="M12220" s="11"/>
      <c r="N12220" s="11"/>
      <c r="O12220" s="11"/>
      <c r="P12220" s="11"/>
    </row>
    <row r="12221" spans="8:16" x14ac:dyDescent="0.25">
      <c r="H12221" s="12"/>
      <c r="I12221" s="12"/>
      <c r="J12221" s="12"/>
      <c r="K12221" s="12"/>
      <c r="L12221" s="12"/>
      <c r="M12221" s="11"/>
      <c r="N12221" s="11"/>
      <c r="O12221" s="11"/>
      <c r="P12221" s="11"/>
    </row>
    <row r="12222" spans="8:16" x14ac:dyDescent="0.25">
      <c r="H12222" s="12"/>
      <c r="I12222" s="12"/>
      <c r="J12222" s="12"/>
      <c r="K12222" s="12"/>
      <c r="L12222" s="12"/>
      <c r="M12222" s="11"/>
      <c r="N12222" s="11"/>
      <c r="O12222" s="11"/>
      <c r="P12222" s="11"/>
    </row>
    <row r="12223" spans="8:16" x14ac:dyDescent="0.25">
      <c r="H12223" s="12"/>
      <c r="I12223" s="12"/>
      <c r="J12223" s="12"/>
      <c r="K12223" s="12"/>
      <c r="L12223" s="12"/>
      <c r="M12223" s="11"/>
      <c r="N12223" s="11"/>
      <c r="O12223" s="11"/>
      <c r="P12223" s="11"/>
    </row>
    <row r="12224" spans="8:16" x14ac:dyDescent="0.25">
      <c r="H12224" s="12"/>
      <c r="I12224" s="12"/>
      <c r="J12224" s="12"/>
      <c r="K12224" s="12"/>
      <c r="L12224" s="12"/>
      <c r="M12224" s="11"/>
      <c r="N12224" s="11"/>
      <c r="O12224" s="11"/>
      <c r="P12224" s="11"/>
    </row>
    <row r="12225" spans="8:16" x14ac:dyDescent="0.25">
      <c r="H12225" s="12"/>
      <c r="I12225" s="12"/>
      <c r="J12225" s="12"/>
      <c r="K12225" s="12"/>
      <c r="L12225" s="12"/>
      <c r="M12225" s="11"/>
      <c r="N12225" s="11"/>
      <c r="O12225" s="11"/>
      <c r="P12225" s="11"/>
    </row>
    <row r="12226" spans="8:16" x14ac:dyDescent="0.25">
      <c r="H12226" s="12"/>
      <c r="I12226" s="12"/>
      <c r="J12226" s="12"/>
      <c r="K12226" s="12"/>
      <c r="L12226" s="12"/>
      <c r="M12226" s="11"/>
      <c r="N12226" s="11"/>
      <c r="O12226" s="11"/>
      <c r="P12226" s="11"/>
    </row>
    <row r="12227" spans="8:16" x14ac:dyDescent="0.25">
      <c r="H12227" s="12"/>
      <c r="I12227" s="12"/>
      <c r="J12227" s="12"/>
      <c r="K12227" s="12"/>
      <c r="L12227" s="12"/>
      <c r="M12227" s="11"/>
      <c r="N12227" s="11"/>
      <c r="O12227" s="11"/>
      <c r="P12227" s="11"/>
    </row>
    <row r="12228" spans="8:16" x14ac:dyDescent="0.25">
      <c r="H12228" s="12"/>
      <c r="I12228" s="12"/>
      <c r="J12228" s="12"/>
      <c r="K12228" s="12"/>
      <c r="L12228" s="12"/>
      <c r="M12228" s="11"/>
      <c r="N12228" s="11"/>
      <c r="O12228" s="11"/>
      <c r="P12228" s="11"/>
    </row>
    <row r="12229" spans="8:16" x14ac:dyDescent="0.25">
      <c r="H12229" s="12"/>
      <c r="I12229" s="12"/>
      <c r="J12229" s="12"/>
      <c r="K12229" s="12"/>
      <c r="L12229" s="12"/>
      <c r="M12229" s="11"/>
      <c r="N12229" s="11"/>
      <c r="O12229" s="11"/>
      <c r="P12229" s="11"/>
    </row>
    <row r="12230" spans="8:16" x14ac:dyDescent="0.25">
      <c r="H12230" s="12"/>
      <c r="I12230" s="12"/>
      <c r="J12230" s="12"/>
      <c r="K12230" s="12"/>
      <c r="L12230" s="12"/>
      <c r="M12230" s="11"/>
      <c r="N12230" s="11"/>
      <c r="O12230" s="11"/>
      <c r="P12230" s="11"/>
    </row>
    <row r="12231" spans="8:16" x14ac:dyDescent="0.25">
      <c r="H12231" s="12"/>
      <c r="I12231" s="12"/>
      <c r="J12231" s="12"/>
      <c r="K12231" s="12"/>
      <c r="L12231" s="12"/>
      <c r="M12231" s="11"/>
      <c r="N12231" s="11"/>
      <c r="O12231" s="11"/>
      <c r="P12231" s="11"/>
    </row>
    <row r="12232" spans="8:16" x14ac:dyDescent="0.25">
      <c r="H12232" s="12"/>
      <c r="I12232" s="12"/>
      <c r="J12232" s="12"/>
      <c r="K12232" s="12"/>
      <c r="L12232" s="12"/>
      <c r="M12232" s="11"/>
      <c r="N12232" s="11"/>
      <c r="O12232" s="11"/>
      <c r="P12232" s="11"/>
    </row>
    <row r="12233" spans="8:16" x14ac:dyDescent="0.25">
      <c r="H12233" s="12"/>
      <c r="I12233" s="12"/>
      <c r="J12233" s="12"/>
      <c r="K12233" s="12"/>
      <c r="L12233" s="12"/>
      <c r="M12233" s="11"/>
      <c r="N12233" s="11"/>
      <c r="O12233" s="11"/>
      <c r="P12233" s="11"/>
    </row>
    <row r="12234" spans="8:16" x14ac:dyDescent="0.25">
      <c r="H12234" s="12"/>
      <c r="I12234" s="12"/>
      <c r="J12234" s="12"/>
      <c r="K12234" s="12"/>
      <c r="L12234" s="12"/>
      <c r="M12234" s="11"/>
      <c r="N12234" s="11"/>
      <c r="O12234" s="11"/>
      <c r="P12234" s="11"/>
    </row>
    <row r="12235" spans="8:16" x14ac:dyDescent="0.25">
      <c r="H12235" s="12"/>
      <c r="I12235" s="12"/>
      <c r="J12235" s="12"/>
      <c r="K12235" s="12"/>
      <c r="L12235" s="12"/>
      <c r="M12235" s="11"/>
      <c r="N12235" s="11"/>
      <c r="O12235" s="11"/>
      <c r="P12235" s="11"/>
    </row>
    <row r="12236" spans="8:16" x14ac:dyDescent="0.25">
      <c r="H12236" s="12"/>
      <c r="I12236" s="12"/>
      <c r="J12236" s="12"/>
      <c r="K12236" s="12"/>
      <c r="L12236" s="12"/>
      <c r="M12236" s="11"/>
      <c r="N12236" s="11"/>
      <c r="O12236" s="11"/>
      <c r="P12236" s="11"/>
    </row>
    <row r="12237" spans="8:16" x14ac:dyDescent="0.25">
      <c r="H12237" s="12"/>
      <c r="I12237" s="12"/>
      <c r="J12237" s="12"/>
      <c r="K12237" s="12"/>
      <c r="L12237" s="12"/>
      <c r="M12237" s="11"/>
      <c r="N12237" s="11"/>
      <c r="O12237" s="11"/>
      <c r="P12237" s="11"/>
    </row>
    <row r="12238" spans="8:16" x14ac:dyDescent="0.25">
      <c r="H12238" s="12"/>
      <c r="I12238" s="12"/>
      <c r="J12238" s="12"/>
      <c r="K12238" s="12"/>
      <c r="L12238" s="12"/>
      <c r="M12238" s="11"/>
      <c r="N12238" s="11"/>
      <c r="O12238" s="11"/>
      <c r="P12238" s="11"/>
    </row>
    <row r="12239" spans="8:16" x14ac:dyDescent="0.25">
      <c r="H12239" s="12"/>
      <c r="I12239" s="12"/>
      <c r="J12239" s="12"/>
      <c r="K12239" s="12"/>
      <c r="L12239" s="12"/>
      <c r="M12239" s="11"/>
      <c r="N12239" s="11"/>
      <c r="O12239" s="11"/>
      <c r="P12239" s="11"/>
    </row>
    <row r="12240" spans="8:16" x14ac:dyDescent="0.25">
      <c r="H12240" s="12"/>
      <c r="I12240" s="12"/>
      <c r="J12240" s="12"/>
      <c r="K12240" s="12"/>
      <c r="L12240" s="12"/>
      <c r="M12240" s="11"/>
      <c r="N12240" s="11"/>
      <c r="O12240" s="11"/>
      <c r="P12240" s="11"/>
    </row>
    <row r="12241" spans="8:16" x14ac:dyDescent="0.25">
      <c r="H12241" s="12"/>
      <c r="I12241" s="12"/>
      <c r="J12241" s="12"/>
      <c r="K12241" s="12"/>
      <c r="L12241" s="12"/>
      <c r="M12241" s="11"/>
      <c r="N12241" s="11"/>
      <c r="O12241" s="11"/>
      <c r="P12241" s="11"/>
    </row>
    <row r="12242" spans="8:16" x14ac:dyDescent="0.25">
      <c r="H12242" s="12"/>
      <c r="I12242" s="12"/>
      <c r="J12242" s="12"/>
      <c r="K12242" s="12"/>
      <c r="L12242" s="12"/>
      <c r="M12242" s="11"/>
      <c r="N12242" s="11"/>
      <c r="O12242" s="11"/>
      <c r="P12242" s="11"/>
    </row>
    <row r="12243" spans="8:16" x14ac:dyDescent="0.25">
      <c r="H12243" s="12"/>
      <c r="I12243" s="12"/>
      <c r="J12243" s="12"/>
      <c r="K12243" s="12"/>
      <c r="L12243" s="12"/>
      <c r="M12243" s="11"/>
      <c r="N12243" s="11"/>
      <c r="O12243" s="11"/>
      <c r="P12243" s="11"/>
    </row>
    <row r="12244" spans="8:16" x14ac:dyDescent="0.25">
      <c r="H12244" s="12"/>
      <c r="I12244" s="12"/>
      <c r="J12244" s="12"/>
      <c r="K12244" s="12"/>
      <c r="L12244" s="12"/>
      <c r="M12244" s="11"/>
      <c r="N12244" s="11"/>
      <c r="O12244" s="11"/>
      <c r="P12244" s="11"/>
    </row>
    <row r="12245" spans="8:16" x14ac:dyDescent="0.25">
      <c r="H12245" s="12"/>
      <c r="I12245" s="12"/>
      <c r="J12245" s="12"/>
      <c r="K12245" s="12"/>
      <c r="L12245" s="12"/>
      <c r="M12245" s="11"/>
      <c r="N12245" s="11"/>
      <c r="O12245" s="11"/>
      <c r="P12245" s="11"/>
    </row>
    <row r="12246" spans="8:16" x14ac:dyDescent="0.25">
      <c r="H12246" s="12"/>
      <c r="I12246" s="12"/>
      <c r="J12246" s="12"/>
      <c r="K12246" s="12"/>
      <c r="L12246" s="12"/>
      <c r="M12246" s="11"/>
      <c r="N12246" s="11"/>
      <c r="O12246" s="11"/>
      <c r="P12246" s="11"/>
    </row>
    <row r="12247" spans="8:16" x14ac:dyDescent="0.25">
      <c r="H12247" s="12"/>
      <c r="I12247" s="12"/>
      <c r="J12247" s="12"/>
      <c r="K12247" s="12"/>
      <c r="L12247" s="12"/>
      <c r="M12247" s="11"/>
      <c r="N12247" s="11"/>
      <c r="O12247" s="11"/>
      <c r="P12247" s="11"/>
    </row>
    <row r="12248" spans="8:16" x14ac:dyDescent="0.25">
      <c r="H12248" s="12"/>
      <c r="I12248" s="12"/>
      <c r="J12248" s="12"/>
      <c r="K12248" s="12"/>
      <c r="L12248" s="12"/>
      <c r="M12248" s="11"/>
      <c r="N12248" s="11"/>
      <c r="O12248" s="11"/>
      <c r="P12248" s="11"/>
    </row>
    <row r="12249" spans="8:16" x14ac:dyDescent="0.25">
      <c r="H12249" s="12"/>
      <c r="I12249" s="12"/>
      <c r="J12249" s="12"/>
      <c r="K12249" s="12"/>
      <c r="L12249" s="12"/>
      <c r="M12249" s="11"/>
      <c r="N12249" s="11"/>
      <c r="O12249" s="11"/>
      <c r="P12249" s="11"/>
    </row>
    <row r="12250" spans="8:16" x14ac:dyDescent="0.25">
      <c r="H12250" s="12"/>
      <c r="I12250" s="12"/>
      <c r="J12250" s="12"/>
      <c r="K12250" s="12"/>
      <c r="L12250" s="12"/>
      <c r="M12250" s="11"/>
      <c r="N12250" s="11"/>
      <c r="O12250" s="11"/>
      <c r="P12250" s="11"/>
    </row>
    <row r="12251" spans="8:16" x14ac:dyDescent="0.25">
      <c r="H12251" s="12"/>
      <c r="I12251" s="12"/>
      <c r="J12251" s="12"/>
      <c r="K12251" s="12"/>
      <c r="L12251" s="12"/>
      <c r="M12251" s="11"/>
      <c r="N12251" s="11"/>
      <c r="O12251" s="11"/>
      <c r="P12251" s="11"/>
    </row>
    <row r="12252" spans="8:16" x14ac:dyDescent="0.25">
      <c r="H12252" s="12"/>
      <c r="I12252" s="12"/>
      <c r="J12252" s="12"/>
      <c r="K12252" s="12"/>
      <c r="L12252" s="12"/>
      <c r="M12252" s="11"/>
      <c r="N12252" s="11"/>
      <c r="O12252" s="11"/>
      <c r="P12252" s="11"/>
    </row>
    <row r="12253" spans="8:16" x14ac:dyDescent="0.25">
      <c r="H12253" s="12"/>
      <c r="I12253" s="12"/>
      <c r="J12253" s="12"/>
      <c r="K12253" s="12"/>
      <c r="L12253" s="12"/>
      <c r="M12253" s="11"/>
      <c r="N12253" s="11"/>
      <c r="O12253" s="11"/>
      <c r="P12253" s="11"/>
    </row>
    <row r="12254" spans="8:16" x14ac:dyDescent="0.25">
      <c r="H12254" s="12"/>
      <c r="I12254" s="12"/>
      <c r="J12254" s="12"/>
      <c r="K12254" s="12"/>
      <c r="L12254" s="12"/>
      <c r="M12254" s="11"/>
      <c r="N12254" s="11"/>
      <c r="O12254" s="11"/>
      <c r="P12254" s="11"/>
    </row>
    <row r="12255" spans="8:16" x14ac:dyDescent="0.25">
      <c r="H12255" s="12"/>
      <c r="I12255" s="12"/>
      <c r="J12255" s="12"/>
      <c r="K12255" s="12"/>
      <c r="L12255" s="12"/>
      <c r="M12255" s="11"/>
      <c r="N12255" s="11"/>
      <c r="O12255" s="11"/>
      <c r="P12255" s="11"/>
    </row>
    <row r="12256" spans="8:16" x14ac:dyDescent="0.25">
      <c r="H12256" s="12"/>
      <c r="I12256" s="12"/>
      <c r="J12256" s="12"/>
      <c r="K12256" s="12"/>
      <c r="L12256" s="12"/>
      <c r="M12256" s="11"/>
      <c r="N12256" s="11"/>
      <c r="O12256" s="11"/>
      <c r="P12256" s="11"/>
    </row>
    <row r="12257" spans="8:16" x14ac:dyDescent="0.25">
      <c r="H12257" s="12"/>
      <c r="I12257" s="12"/>
      <c r="J12257" s="12"/>
      <c r="K12257" s="12"/>
      <c r="L12257" s="12"/>
      <c r="M12257" s="11"/>
      <c r="N12257" s="11"/>
      <c r="O12257" s="11"/>
      <c r="P12257" s="11"/>
    </row>
    <row r="12258" spans="8:16" x14ac:dyDescent="0.25">
      <c r="H12258" s="12"/>
      <c r="I12258" s="12"/>
      <c r="J12258" s="12"/>
      <c r="K12258" s="12"/>
      <c r="L12258" s="12"/>
      <c r="M12258" s="11"/>
      <c r="N12258" s="11"/>
      <c r="O12258" s="11"/>
      <c r="P12258" s="11"/>
    </row>
    <row r="12259" spans="8:16" x14ac:dyDescent="0.25">
      <c r="H12259" s="12"/>
      <c r="I12259" s="12"/>
      <c r="J12259" s="12"/>
      <c r="K12259" s="12"/>
      <c r="L12259" s="12"/>
      <c r="M12259" s="11"/>
      <c r="N12259" s="11"/>
      <c r="O12259" s="11"/>
      <c r="P12259" s="11"/>
    </row>
    <row r="12260" spans="8:16" x14ac:dyDescent="0.25">
      <c r="H12260" s="12"/>
      <c r="I12260" s="12"/>
      <c r="J12260" s="12"/>
      <c r="K12260" s="12"/>
      <c r="L12260" s="12"/>
      <c r="M12260" s="11"/>
      <c r="N12260" s="11"/>
      <c r="O12260" s="11"/>
      <c r="P12260" s="11"/>
    </row>
    <row r="12261" spans="8:16" x14ac:dyDescent="0.25">
      <c r="H12261" s="12"/>
      <c r="I12261" s="12"/>
      <c r="J12261" s="12"/>
      <c r="K12261" s="12"/>
      <c r="L12261" s="12"/>
      <c r="M12261" s="11"/>
      <c r="N12261" s="11"/>
      <c r="O12261" s="11"/>
      <c r="P12261" s="11"/>
    </row>
    <row r="12262" spans="8:16" x14ac:dyDescent="0.25">
      <c r="H12262" s="12"/>
      <c r="I12262" s="12"/>
      <c r="J12262" s="12"/>
      <c r="K12262" s="12"/>
      <c r="L12262" s="12"/>
      <c r="M12262" s="11"/>
      <c r="N12262" s="11"/>
      <c r="O12262" s="11"/>
      <c r="P12262" s="11"/>
    </row>
    <row r="12263" spans="8:16" x14ac:dyDescent="0.25">
      <c r="H12263" s="12"/>
      <c r="I12263" s="12"/>
      <c r="J12263" s="12"/>
      <c r="K12263" s="12"/>
      <c r="L12263" s="12"/>
      <c r="M12263" s="11"/>
      <c r="N12263" s="11"/>
      <c r="O12263" s="11"/>
      <c r="P12263" s="11"/>
    </row>
    <row r="12264" spans="8:16" x14ac:dyDescent="0.25">
      <c r="H12264" s="12"/>
      <c r="I12264" s="12"/>
      <c r="J12264" s="12"/>
      <c r="K12264" s="12"/>
      <c r="L12264" s="12"/>
      <c r="M12264" s="11"/>
      <c r="N12264" s="11"/>
      <c r="O12264" s="11"/>
      <c r="P12264" s="11"/>
    </row>
    <row r="12265" spans="8:16" x14ac:dyDescent="0.25">
      <c r="H12265" s="12"/>
      <c r="I12265" s="12"/>
      <c r="J12265" s="12"/>
      <c r="K12265" s="12"/>
      <c r="L12265" s="12"/>
      <c r="M12265" s="11"/>
      <c r="N12265" s="11"/>
      <c r="O12265" s="11"/>
      <c r="P12265" s="11"/>
    </row>
    <row r="12266" spans="8:16" x14ac:dyDescent="0.25">
      <c r="H12266" s="12"/>
      <c r="I12266" s="12"/>
      <c r="J12266" s="12"/>
      <c r="K12266" s="12"/>
      <c r="L12266" s="12"/>
      <c r="M12266" s="11"/>
      <c r="N12266" s="11"/>
      <c r="O12266" s="11"/>
      <c r="P12266" s="11"/>
    </row>
    <row r="12267" spans="8:16" x14ac:dyDescent="0.25">
      <c r="H12267" s="12"/>
      <c r="I12267" s="12"/>
      <c r="J12267" s="12"/>
      <c r="K12267" s="12"/>
      <c r="L12267" s="12"/>
      <c r="M12267" s="11"/>
      <c r="N12267" s="11"/>
      <c r="O12267" s="11"/>
      <c r="P12267" s="11"/>
    </row>
    <row r="12268" spans="8:16" x14ac:dyDescent="0.25">
      <c r="H12268" s="12"/>
      <c r="I12268" s="12"/>
      <c r="J12268" s="12"/>
      <c r="K12268" s="12"/>
      <c r="L12268" s="12"/>
      <c r="M12268" s="11"/>
      <c r="N12268" s="11"/>
      <c r="O12268" s="11"/>
      <c r="P12268" s="11"/>
    </row>
    <row r="12269" spans="8:16" x14ac:dyDescent="0.25">
      <c r="H12269" s="12"/>
      <c r="I12269" s="12"/>
      <c r="J12269" s="12"/>
      <c r="K12269" s="12"/>
      <c r="L12269" s="12"/>
      <c r="M12269" s="11"/>
      <c r="N12269" s="11"/>
      <c r="O12269" s="11"/>
      <c r="P12269" s="11"/>
    </row>
    <row r="12270" spans="8:16" x14ac:dyDescent="0.25">
      <c r="H12270" s="12"/>
      <c r="I12270" s="12"/>
      <c r="J12270" s="12"/>
      <c r="K12270" s="12"/>
      <c r="L12270" s="12"/>
      <c r="M12270" s="11"/>
      <c r="N12270" s="11"/>
      <c r="O12270" s="11"/>
      <c r="P12270" s="11"/>
    </row>
    <row r="12271" spans="8:16" x14ac:dyDescent="0.25">
      <c r="H12271" s="12"/>
      <c r="I12271" s="12"/>
      <c r="J12271" s="12"/>
      <c r="K12271" s="12"/>
      <c r="L12271" s="12"/>
      <c r="M12271" s="11"/>
      <c r="N12271" s="11"/>
      <c r="O12271" s="11"/>
      <c r="P12271" s="11"/>
    </row>
    <row r="12272" spans="8:16" x14ac:dyDescent="0.25">
      <c r="H12272" s="12"/>
      <c r="I12272" s="12"/>
      <c r="J12272" s="12"/>
      <c r="K12272" s="12"/>
      <c r="L12272" s="12"/>
      <c r="M12272" s="11"/>
      <c r="N12272" s="11"/>
      <c r="O12272" s="11"/>
      <c r="P12272" s="11"/>
    </row>
    <row r="12273" spans="8:16" x14ac:dyDescent="0.25">
      <c r="H12273" s="12"/>
      <c r="I12273" s="12"/>
      <c r="J12273" s="12"/>
      <c r="K12273" s="12"/>
      <c r="L12273" s="12"/>
      <c r="M12273" s="11"/>
      <c r="N12273" s="11"/>
      <c r="O12273" s="11"/>
      <c r="P12273" s="11"/>
    </row>
    <row r="12274" spans="8:16" x14ac:dyDescent="0.25">
      <c r="H12274" s="12"/>
      <c r="I12274" s="12"/>
      <c r="J12274" s="12"/>
      <c r="K12274" s="12"/>
      <c r="L12274" s="12"/>
      <c r="M12274" s="11"/>
      <c r="N12274" s="11"/>
      <c r="O12274" s="11"/>
      <c r="P12274" s="11"/>
    </row>
    <row r="12275" spans="8:16" x14ac:dyDescent="0.25">
      <c r="H12275" s="12"/>
      <c r="I12275" s="12"/>
      <c r="J12275" s="12"/>
      <c r="K12275" s="12"/>
      <c r="L12275" s="12"/>
      <c r="M12275" s="11"/>
      <c r="N12275" s="11"/>
      <c r="O12275" s="11"/>
      <c r="P12275" s="11"/>
    </row>
    <row r="12276" spans="8:16" x14ac:dyDescent="0.25">
      <c r="H12276" s="12"/>
      <c r="I12276" s="12"/>
      <c r="J12276" s="12"/>
      <c r="K12276" s="12"/>
      <c r="L12276" s="12"/>
      <c r="M12276" s="11"/>
      <c r="N12276" s="11"/>
      <c r="O12276" s="11"/>
      <c r="P12276" s="11"/>
    </row>
    <row r="12277" spans="8:16" x14ac:dyDescent="0.25">
      <c r="H12277" s="12"/>
      <c r="I12277" s="12"/>
      <c r="J12277" s="12"/>
      <c r="K12277" s="12"/>
      <c r="L12277" s="12"/>
      <c r="M12277" s="11"/>
      <c r="N12277" s="11"/>
      <c r="O12277" s="11"/>
      <c r="P12277" s="11"/>
    </row>
    <row r="12278" spans="8:16" x14ac:dyDescent="0.25">
      <c r="H12278" s="12"/>
      <c r="I12278" s="12"/>
      <c r="J12278" s="12"/>
      <c r="K12278" s="12"/>
      <c r="L12278" s="12"/>
      <c r="M12278" s="11"/>
      <c r="N12278" s="11"/>
      <c r="O12278" s="11"/>
      <c r="P12278" s="11"/>
    </row>
    <row r="12279" spans="8:16" x14ac:dyDescent="0.25">
      <c r="H12279" s="12"/>
      <c r="I12279" s="12"/>
      <c r="J12279" s="12"/>
      <c r="K12279" s="12"/>
      <c r="L12279" s="12"/>
      <c r="M12279" s="11"/>
      <c r="N12279" s="11"/>
      <c r="O12279" s="11"/>
      <c r="P12279" s="11"/>
    </row>
    <row r="12280" spans="8:16" x14ac:dyDescent="0.25">
      <c r="H12280" s="12"/>
      <c r="I12280" s="12"/>
      <c r="J12280" s="12"/>
      <c r="K12280" s="12"/>
      <c r="L12280" s="12"/>
      <c r="M12280" s="11"/>
      <c r="N12280" s="11"/>
      <c r="O12280" s="11"/>
      <c r="P12280" s="11"/>
    </row>
    <row r="12281" spans="8:16" x14ac:dyDescent="0.25">
      <c r="H12281" s="12"/>
      <c r="I12281" s="12"/>
      <c r="J12281" s="12"/>
      <c r="K12281" s="12"/>
      <c r="L12281" s="12"/>
      <c r="M12281" s="11"/>
      <c r="N12281" s="11"/>
      <c r="O12281" s="11"/>
      <c r="P12281" s="11"/>
    </row>
    <row r="12282" spans="8:16" x14ac:dyDescent="0.25">
      <c r="H12282" s="12"/>
      <c r="I12282" s="12"/>
      <c r="J12282" s="12"/>
      <c r="K12282" s="12"/>
      <c r="L12282" s="12"/>
      <c r="M12282" s="11"/>
      <c r="N12282" s="11"/>
      <c r="O12282" s="11"/>
      <c r="P12282" s="11"/>
    </row>
    <row r="12283" spans="8:16" x14ac:dyDescent="0.25">
      <c r="H12283" s="12"/>
      <c r="I12283" s="12"/>
      <c r="J12283" s="12"/>
      <c r="K12283" s="12"/>
      <c r="L12283" s="12"/>
      <c r="M12283" s="11"/>
      <c r="N12283" s="11"/>
      <c r="O12283" s="11"/>
      <c r="P12283" s="11"/>
    </row>
    <row r="12284" spans="8:16" x14ac:dyDescent="0.25">
      <c r="H12284" s="12"/>
      <c r="I12284" s="12"/>
      <c r="J12284" s="12"/>
      <c r="K12284" s="12"/>
      <c r="L12284" s="12"/>
      <c r="M12284" s="11"/>
      <c r="N12284" s="11"/>
      <c r="O12284" s="11"/>
      <c r="P12284" s="11"/>
    </row>
    <row r="12285" spans="8:16" x14ac:dyDescent="0.25">
      <c r="H12285" s="12"/>
      <c r="I12285" s="12"/>
      <c r="J12285" s="12"/>
      <c r="K12285" s="12"/>
      <c r="L12285" s="12"/>
      <c r="M12285" s="11"/>
      <c r="N12285" s="11"/>
      <c r="O12285" s="11"/>
      <c r="P12285" s="11"/>
    </row>
    <row r="12286" spans="8:16" x14ac:dyDescent="0.25">
      <c r="H12286" s="12"/>
      <c r="I12286" s="12"/>
      <c r="J12286" s="12"/>
      <c r="K12286" s="12"/>
      <c r="L12286" s="12"/>
      <c r="M12286" s="11"/>
      <c r="N12286" s="11"/>
      <c r="O12286" s="11"/>
      <c r="P12286" s="11"/>
    </row>
    <row r="12287" spans="8:16" x14ac:dyDescent="0.25">
      <c r="H12287" s="12"/>
      <c r="I12287" s="12"/>
      <c r="J12287" s="12"/>
      <c r="K12287" s="12"/>
      <c r="L12287" s="12"/>
      <c r="M12287" s="11"/>
      <c r="N12287" s="11"/>
      <c r="O12287" s="11"/>
      <c r="P12287" s="11"/>
    </row>
    <row r="12288" spans="8:16" x14ac:dyDescent="0.25">
      <c r="H12288" s="12"/>
      <c r="I12288" s="12"/>
      <c r="J12288" s="12"/>
      <c r="K12288" s="12"/>
      <c r="L12288" s="12"/>
      <c r="M12288" s="11"/>
      <c r="N12288" s="11"/>
      <c r="O12288" s="11"/>
      <c r="P12288" s="11"/>
    </row>
    <row r="12289" spans="8:16" x14ac:dyDescent="0.25">
      <c r="H12289" s="12"/>
      <c r="I12289" s="12"/>
      <c r="J12289" s="12"/>
      <c r="K12289" s="12"/>
      <c r="L12289" s="12"/>
      <c r="M12289" s="11"/>
      <c r="N12289" s="11"/>
      <c r="O12289" s="11"/>
      <c r="P12289" s="11"/>
    </row>
    <row r="12290" spans="8:16" x14ac:dyDescent="0.25">
      <c r="H12290" s="12"/>
      <c r="I12290" s="12"/>
      <c r="J12290" s="12"/>
      <c r="K12290" s="12"/>
      <c r="L12290" s="12"/>
      <c r="M12290" s="11"/>
      <c r="N12290" s="11"/>
      <c r="O12290" s="11"/>
      <c r="P12290" s="11"/>
    </row>
    <row r="12291" spans="8:16" x14ac:dyDescent="0.25">
      <c r="H12291" s="12"/>
      <c r="I12291" s="12"/>
      <c r="J12291" s="12"/>
      <c r="K12291" s="12"/>
      <c r="L12291" s="12"/>
      <c r="M12291" s="11"/>
      <c r="N12291" s="11"/>
      <c r="O12291" s="11"/>
      <c r="P12291" s="11"/>
    </row>
    <row r="12292" spans="8:16" x14ac:dyDescent="0.25">
      <c r="H12292" s="12"/>
      <c r="I12292" s="12"/>
      <c r="J12292" s="12"/>
      <c r="K12292" s="12"/>
      <c r="L12292" s="12"/>
      <c r="M12292" s="11"/>
      <c r="N12292" s="11"/>
      <c r="O12292" s="11"/>
      <c r="P12292" s="11"/>
    </row>
    <row r="12293" spans="8:16" x14ac:dyDescent="0.25">
      <c r="H12293" s="12"/>
      <c r="I12293" s="12"/>
      <c r="J12293" s="12"/>
      <c r="K12293" s="12"/>
      <c r="L12293" s="12"/>
      <c r="M12293" s="11"/>
      <c r="N12293" s="11"/>
      <c r="O12293" s="11"/>
      <c r="P12293" s="11"/>
    </row>
    <row r="12294" spans="8:16" x14ac:dyDescent="0.25">
      <c r="H12294" s="12"/>
      <c r="I12294" s="12"/>
      <c r="J12294" s="12"/>
      <c r="K12294" s="12"/>
      <c r="L12294" s="12"/>
      <c r="M12294" s="11"/>
      <c r="N12294" s="11"/>
      <c r="O12294" s="11"/>
      <c r="P12294" s="11"/>
    </row>
    <row r="12295" spans="8:16" x14ac:dyDescent="0.25">
      <c r="H12295" s="12"/>
      <c r="I12295" s="12"/>
      <c r="J12295" s="12"/>
      <c r="K12295" s="12"/>
      <c r="L12295" s="12"/>
      <c r="M12295" s="11"/>
      <c r="N12295" s="11"/>
      <c r="O12295" s="11"/>
      <c r="P12295" s="11"/>
    </row>
    <row r="12296" spans="8:16" x14ac:dyDescent="0.25">
      <c r="H12296" s="12"/>
      <c r="I12296" s="12"/>
      <c r="J12296" s="12"/>
      <c r="K12296" s="12"/>
      <c r="L12296" s="12"/>
      <c r="M12296" s="11"/>
      <c r="N12296" s="11"/>
      <c r="O12296" s="11"/>
      <c r="P12296" s="11"/>
    </row>
    <row r="12297" spans="8:16" x14ac:dyDescent="0.25">
      <c r="H12297" s="12"/>
      <c r="I12297" s="12"/>
      <c r="J12297" s="12"/>
      <c r="K12297" s="12"/>
      <c r="L12297" s="12"/>
      <c r="M12297" s="11"/>
      <c r="N12297" s="11"/>
      <c r="O12297" s="11"/>
      <c r="P12297" s="11"/>
    </row>
    <row r="12298" spans="8:16" x14ac:dyDescent="0.25">
      <c r="H12298" s="12"/>
      <c r="I12298" s="12"/>
      <c r="J12298" s="12"/>
      <c r="K12298" s="12"/>
      <c r="L12298" s="12"/>
      <c r="M12298" s="11"/>
      <c r="N12298" s="11"/>
      <c r="O12298" s="11"/>
      <c r="P12298" s="11"/>
    </row>
    <row r="12299" spans="8:16" x14ac:dyDescent="0.25">
      <c r="H12299" s="12"/>
      <c r="I12299" s="12"/>
      <c r="J12299" s="12"/>
      <c r="K12299" s="12"/>
      <c r="L12299" s="12"/>
      <c r="M12299" s="11"/>
      <c r="N12299" s="11"/>
      <c r="O12299" s="11"/>
      <c r="P12299" s="11"/>
    </row>
    <row r="12300" spans="8:16" x14ac:dyDescent="0.25">
      <c r="H12300" s="12"/>
      <c r="I12300" s="12"/>
      <c r="J12300" s="12"/>
      <c r="K12300" s="12"/>
      <c r="L12300" s="12"/>
      <c r="M12300" s="11"/>
      <c r="N12300" s="11"/>
      <c r="O12300" s="11"/>
      <c r="P12300" s="11"/>
    </row>
    <row r="12301" spans="8:16" x14ac:dyDescent="0.25">
      <c r="H12301" s="12"/>
      <c r="I12301" s="12"/>
      <c r="J12301" s="12"/>
      <c r="K12301" s="12"/>
      <c r="L12301" s="12"/>
      <c r="M12301" s="11"/>
      <c r="N12301" s="11"/>
      <c r="O12301" s="11"/>
      <c r="P12301" s="11"/>
    </row>
    <row r="12302" spans="8:16" x14ac:dyDescent="0.25">
      <c r="H12302" s="12"/>
      <c r="I12302" s="12"/>
      <c r="J12302" s="12"/>
      <c r="K12302" s="12"/>
      <c r="L12302" s="12"/>
      <c r="M12302" s="11"/>
      <c r="N12302" s="11"/>
      <c r="O12302" s="11"/>
      <c r="P12302" s="11"/>
    </row>
    <row r="12303" spans="8:16" x14ac:dyDescent="0.25">
      <c r="H12303" s="12"/>
      <c r="I12303" s="12"/>
      <c r="J12303" s="12"/>
      <c r="K12303" s="12"/>
      <c r="L12303" s="12"/>
      <c r="M12303" s="11"/>
      <c r="N12303" s="11"/>
      <c r="O12303" s="11"/>
      <c r="P12303" s="11"/>
    </row>
    <row r="12304" spans="8:16" x14ac:dyDescent="0.25">
      <c r="H12304" s="12"/>
      <c r="I12304" s="12"/>
      <c r="J12304" s="12"/>
      <c r="K12304" s="12"/>
      <c r="L12304" s="12"/>
      <c r="M12304" s="11"/>
      <c r="N12304" s="11"/>
      <c r="O12304" s="11"/>
      <c r="P12304" s="11"/>
    </row>
    <row r="12305" spans="8:16" x14ac:dyDescent="0.25">
      <c r="H12305" s="12"/>
      <c r="I12305" s="12"/>
      <c r="J12305" s="12"/>
      <c r="K12305" s="12"/>
      <c r="L12305" s="12"/>
      <c r="M12305" s="11"/>
      <c r="N12305" s="11"/>
      <c r="O12305" s="11"/>
      <c r="P12305" s="11"/>
    </row>
    <row r="12306" spans="8:16" x14ac:dyDescent="0.25">
      <c r="H12306" s="12"/>
      <c r="I12306" s="12"/>
      <c r="J12306" s="12"/>
      <c r="K12306" s="12"/>
      <c r="L12306" s="12"/>
      <c r="M12306" s="11"/>
      <c r="N12306" s="11"/>
      <c r="O12306" s="11"/>
      <c r="P12306" s="11"/>
    </row>
    <row r="12307" spans="8:16" x14ac:dyDescent="0.25">
      <c r="H12307" s="12"/>
      <c r="I12307" s="12"/>
      <c r="J12307" s="12"/>
      <c r="K12307" s="12"/>
      <c r="L12307" s="12"/>
      <c r="M12307" s="11"/>
      <c r="N12307" s="11"/>
      <c r="O12307" s="11"/>
      <c r="P12307" s="11"/>
    </row>
    <row r="12308" spans="8:16" x14ac:dyDescent="0.25">
      <c r="H12308" s="12"/>
      <c r="I12308" s="12"/>
      <c r="J12308" s="12"/>
      <c r="K12308" s="12"/>
      <c r="L12308" s="12"/>
      <c r="M12308" s="11"/>
      <c r="N12308" s="11"/>
      <c r="O12308" s="11"/>
      <c r="P12308" s="11"/>
    </row>
    <row r="12309" spans="8:16" x14ac:dyDescent="0.25">
      <c r="H12309" s="12"/>
      <c r="I12309" s="12"/>
      <c r="J12309" s="12"/>
      <c r="K12309" s="12"/>
      <c r="L12309" s="12"/>
      <c r="M12309" s="11"/>
      <c r="N12309" s="11"/>
      <c r="O12309" s="11"/>
      <c r="P12309" s="11"/>
    </row>
    <row r="12310" spans="8:16" x14ac:dyDescent="0.25">
      <c r="H12310" s="12"/>
      <c r="I12310" s="12"/>
      <c r="J12310" s="12"/>
      <c r="K12310" s="12"/>
      <c r="L12310" s="12"/>
      <c r="M12310" s="11"/>
      <c r="N12310" s="11"/>
      <c r="O12310" s="11"/>
      <c r="P12310" s="11"/>
    </row>
    <row r="12311" spans="8:16" x14ac:dyDescent="0.25">
      <c r="H12311" s="12"/>
      <c r="I12311" s="12"/>
      <c r="J12311" s="12"/>
      <c r="K12311" s="12"/>
      <c r="L12311" s="12"/>
      <c r="M12311" s="11"/>
      <c r="N12311" s="11"/>
      <c r="O12311" s="11"/>
      <c r="P12311" s="11"/>
    </row>
    <row r="12312" spans="8:16" x14ac:dyDescent="0.25">
      <c r="H12312" s="12"/>
      <c r="I12312" s="12"/>
      <c r="J12312" s="12"/>
      <c r="K12312" s="12"/>
      <c r="L12312" s="12"/>
      <c r="M12312" s="11"/>
      <c r="N12312" s="11"/>
      <c r="O12312" s="11"/>
      <c r="P12312" s="11"/>
    </row>
    <row r="12313" spans="8:16" x14ac:dyDescent="0.25">
      <c r="H12313" s="12"/>
      <c r="I12313" s="12"/>
      <c r="J12313" s="12"/>
      <c r="K12313" s="12"/>
      <c r="L12313" s="12"/>
      <c r="M12313" s="11"/>
      <c r="N12313" s="11"/>
      <c r="O12313" s="11"/>
      <c r="P12313" s="11"/>
    </row>
    <row r="12314" spans="8:16" x14ac:dyDescent="0.25">
      <c r="H12314" s="12"/>
      <c r="I12314" s="12"/>
      <c r="J12314" s="12"/>
      <c r="K12314" s="12"/>
      <c r="L12314" s="12"/>
      <c r="M12314" s="11"/>
      <c r="N12314" s="11"/>
      <c r="O12314" s="11"/>
      <c r="P12314" s="11"/>
    </row>
    <row r="12315" spans="8:16" x14ac:dyDescent="0.25">
      <c r="H12315" s="12"/>
      <c r="I12315" s="12"/>
      <c r="J12315" s="12"/>
      <c r="K12315" s="12"/>
      <c r="L12315" s="12"/>
      <c r="M12315" s="11"/>
      <c r="N12315" s="11"/>
      <c r="O12315" s="11"/>
      <c r="P12315" s="11"/>
    </row>
    <row r="12316" spans="8:16" x14ac:dyDescent="0.25">
      <c r="H12316" s="12"/>
      <c r="I12316" s="12"/>
      <c r="J12316" s="12"/>
      <c r="K12316" s="12"/>
      <c r="L12316" s="12"/>
      <c r="M12316" s="11"/>
      <c r="N12316" s="11"/>
      <c r="O12316" s="11"/>
      <c r="P12316" s="11"/>
    </row>
    <row r="12317" spans="8:16" x14ac:dyDescent="0.25">
      <c r="H12317" s="12"/>
      <c r="I12317" s="12"/>
      <c r="J12317" s="12"/>
      <c r="K12317" s="12"/>
      <c r="L12317" s="12"/>
      <c r="M12317" s="11"/>
      <c r="N12317" s="11"/>
      <c r="O12317" s="11"/>
      <c r="P12317" s="11"/>
    </row>
    <row r="12318" spans="8:16" x14ac:dyDescent="0.25">
      <c r="H12318" s="12"/>
      <c r="I12318" s="12"/>
      <c r="J12318" s="12"/>
      <c r="K12318" s="12"/>
      <c r="L12318" s="12"/>
      <c r="M12318" s="11"/>
      <c r="N12318" s="11"/>
      <c r="O12318" s="11"/>
      <c r="P12318" s="11"/>
    </row>
    <row r="12319" spans="8:16" x14ac:dyDescent="0.25">
      <c r="H12319" s="12"/>
      <c r="I12319" s="12"/>
      <c r="J12319" s="12"/>
      <c r="K12319" s="12"/>
      <c r="L12319" s="12"/>
      <c r="M12319" s="11"/>
      <c r="N12319" s="11"/>
      <c r="O12319" s="11"/>
      <c r="P12319" s="11"/>
    </row>
    <row r="12320" spans="8:16" x14ac:dyDescent="0.25">
      <c r="H12320" s="12"/>
      <c r="I12320" s="12"/>
      <c r="J12320" s="12"/>
      <c r="K12320" s="12"/>
      <c r="L12320" s="12"/>
      <c r="M12320" s="11"/>
      <c r="N12320" s="11"/>
      <c r="O12320" s="11"/>
      <c r="P12320" s="11"/>
    </row>
    <row r="12321" spans="8:16" x14ac:dyDescent="0.25">
      <c r="H12321" s="12"/>
      <c r="I12321" s="12"/>
      <c r="J12321" s="12"/>
      <c r="K12321" s="12"/>
      <c r="L12321" s="12"/>
      <c r="M12321" s="11"/>
      <c r="N12321" s="11"/>
      <c r="O12321" s="11"/>
      <c r="P12321" s="11"/>
    </row>
    <row r="12322" spans="8:16" x14ac:dyDescent="0.25">
      <c r="H12322" s="12"/>
      <c r="I12322" s="12"/>
      <c r="J12322" s="12"/>
      <c r="K12322" s="12"/>
      <c r="L12322" s="12"/>
      <c r="M12322" s="11"/>
      <c r="N12322" s="11"/>
      <c r="O12322" s="11"/>
      <c r="P12322" s="11"/>
    </row>
    <row r="12323" spans="8:16" x14ac:dyDescent="0.25">
      <c r="H12323" s="12"/>
      <c r="I12323" s="12"/>
      <c r="J12323" s="12"/>
      <c r="K12323" s="12"/>
      <c r="L12323" s="12"/>
      <c r="M12323" s="11"/>
      <c r="N12323" s="11"/>
      <c r="O12323" s="11"/>
      <c r="P12323" s="11"/>
    </row>
    <row r="12324" spans="8:16" x14ac:dyDescent="0.25">
      <c r="H12324" s="12"/>
      <c r="I12324" s="12"/>
      <c r="J12324" s="12"/>
      <c r="K12324" s="12"/>
      <c r="L12324" s="12"/>
      <c r="M12324" s="11"/>
      <c r="N12324" s="11"/>
      <c r="O12324" s="11"/>
      <c r="P12324" s="11"/>
    </row>
    <row r="12325" spans="8:16" x14ac:dyDescent="0.25">
      <c r="H12325" s="12"/>
      <c r="I12325" s="12"/>
      <c r="J12325" s="12"/>
      <c r="K12325" s="12"/>
      <c r="L12325" s="12"/>
      <c r="M12325" s="11"/>
      <c r="N12325" s="11"/>
      <c r="O12325" s="11"/>
      <c r="P12325" s="11"/>
    </row>
    <row r="12326" spans="8:16" x14ac:dyDescent="0.25">
      <c r="H12326" s="12"/>
      <c r="I12326" s="12"/>
      <c r="J12326" s="12"/>
      <c r="K12326" s="12"/>
      <c r="L12326" s="12"/>
      <c r="M12326" s="11"/>
      <c r="N12326" s="11"/>
      <c r="O12326" s="11"/>
      <c r="P12326" s="11"/>
    </row>
    <row r="12327" spans="8:16" x14ac:dyDescent="0.25">
      <c r="H12327" s="12"/>
      <c r="I12327" s="12"/>
      <c r="J12327" s="12"/>
      <c r="K12327" s="12"/>
      <c r="L12327" s="12"/>
      <c r="M12327" s="11"/>
      <c r="N12327" s="11"/>
      <c r="O12327" s="11"/>
      <c r="P12327" s="11"/>
    </row>
    <row r="12328" spans="8:16" x14ac:dyDescent="0.25">
      <c r="H12328" s="12"/>
      <c r="I12328" s="12"/>
      <c r="J12328" s="12"/>
      <c r="K12328" s="12"/>
      <c r="L12328" s="12"/>
      <c r="M12328" s="11"/>
      <c r="N12328" s="11"/>
      <c r="O12328" s="11"/>
      <c r="P12328" s="11"/>
    </row>
    <row r="12329" spans="8:16" x14ac:dyDescent="0.25">
      <c r="H12329" s="12"/>
      <c r="I12329" s="12"/>
      <c r="J12329" s="12"/>
      <c r="K12329" s="12"/>
      <c r="L12329" s="12"/>
      <c r="M12329" s="11"/>
      <c r="N12329" s="11"/>
      <c r="O12329" s="11"/>
      <c r="P12329" s="11"/>
    </row>
    <row r="12330" spans="8:16" x14ac:dyDescent="0.25">
      <c r="H12330" s="12"/>
      <c r="I12330" s="12"/>
      <c r="J12330" s="12"/>
      <c r="K12330" s="12"/>
      <c r="L12330" s="12"/>
      <c r="M12330" s="11"/>
      <c r="N12330" s="11"/>
      <c r="O12330" s="11"/>
      <c r="P12330" s="11"/>
    </row>
    <row r="12331" spans="8:16" x14ac:dyDescent="0.25">
      <c r="H12331" s="12"/>
      <c r="I12331" s="12"/>
      <c r="J12331" s="12"/>
      <c r="K12331" s="12"/>
      <c r="L12331" s="12"/>
      <c r="M12331" s="11"/>
      <c r="N12331" s="11"/>
      <c r="O12331" s="11"/>
      <c r="P12331" s="11"/>
    </row>
    <row r="12332" spans="8:16" x14ac:dyDescent="0.25">
      <c r="H12332" s="12"/>
      <c r="I12332" s="12"/>
      <c r="J12332" s="12"/>
      <c r="K12332" s="12"/>
      <c r="L12332" s="12"/>
      <c r="M12332" s="11"/>
      <c r="N12332" s="11"/>
      <c r="O12332" s="11"/>
      <c r="P12332" s="11"/>
    </row>
    <row r="12333" spans="8:16" x14ac:dyDescent="0.25">
      <c r="H12333" s="12"/>
      <c r="I12333" s="12"/>
      <c r="J12333" s="12"/>
      <c r="K12333" s="12"/>
      <c r="L12333" s="12"/>
      <c r="M12333" s="11"/>
      <c r="N12333" s="11"/>
      <c r="O12333" s="11"/>
      <c r="P12333" s="11"/>
    </row>
    <row r="12334" spans="8:16" x14ac:dyDescent="0.25">
      <c r="H12334" s="12"/>
      <c r="I12334" s="12"/>
      <c r="J12334" s="12"/>
      <c r="K12334" s="12"/>
      <c r="L12334" s="12"/>
      <c r="M12334" s="11"/>
      <c r="N12334" s="11"/>
      <c r="O12334" s="11"/>
      <c r="P12334" s="11"/>
    </row>
    <row r="12335" spans="8:16" x14ac:dyDescent="0.25">
      <c r="H12335" s="12"/>
      <c r="I12335" s="12"/>
      <c r="J12335" s="12"/>
      <c r="K12335" s="12"/>
      <c r="L12335" s="12"/>
      <c r="M12335" s="11"/>
      <c r="N12335" s="11"/>
      <c r="O12335" s="11"/>
      <c r="P12335" s="11"/>
    </row>
    <row r="12336" spans="8:16" x14ac:dyDescent="0.25">
      <c r="H12336" s="12"/>
      <c r="I12336" s="12"/>
      <c r="J12336" s="12"/>
      <c r="K12336" s="12"/>
      <c r="L12336" s="12"/>
      <c r="M12336" s="11"/>
      <c r="N12336" s="11"/>
      <c r="O12336" s="11"/>
      <c r="P12336" s="11"/>
    </row>
    <row r="12337" spans="8:16" x14ac:dyDescent="0.25">
      <c r="H12337" s="12"/>
      <c r="I12337" s="12"/>
      <c r="J12337" s="12"/>
      <c r="K12337" s="12"/>
      <c r="L12337" s="12"/>
      <c r="M12337" s="11"/>
      <c r="N12337" s="11"/>
      <c r="O12337" s="11"/>
      <c r="P12337" s="11"/>
    </row>
    <row r="12338" spans="8:16" x14ac:dyDescent="0.25">
      <c r="H12338" s="12"/>
      <c r="I12338" s="12"/>
      <c r="J12338" s="12"/>
      <c r="K12338" s="12"/>
      <c r="L12338" s="12"/>
      <c r="M12338" s="11"/>
      <c r="N12338" s="11"/>
      <c r="O12338" s="11"/>
      <c r="P12338" s="11"/>
    </row>
    <row r="12339" spans="8:16" x14ac:dyDescent="0.25">
      <c r="H12339" s="12"/>
      <c r="I12339" s="12"/>
      <c r="J12339" s="12"/>
      <c r="K12339" s="12"/>
      <c r="L12339" s="12"/>
      <c r="M12339" s="11"/>
      <c r="N12339" s="11"/>
      <c r="O12339" s="11"/>
      <c r="P12339" s="11"/>
    </row>
    <row r="12340" spans="8:16" x14ac:dyDescent="0.25">
      <c r="H12340" s="12"/>
      <c r="I12340" s="12"/>
      <c r="J12340" s="12"/>
      <c r="K12340" s="12"/>
      <c r="L12340" s="12"/>
      <c r="M12340" s="11"/>
      <c r="N12340" s="11"/>
      <c r="O12340" s="11"/>
      <c r="P12340" s="11"/>
    </row>
    <row r="12341" spans="8:16" x14ac:dyDescent="0.25">
      <c r="H12341" s="12"/>
      <c r="I12341" s="12"/>
      <c r="J12341" s="12"/>
      <c r="K12341" s="12"/>
      <c r="L12341" s="12"/>
      <c r="M12341" s="11"/>
      <c r="N12341" s="11"/>
      <c r="O12341" s="11"/>
      <c r="P12341" s="11"/>
    </row>
    <row r="12342" spans="8:16" x14ac:dyDescent="0.25">
      <c r="H12342" s="12"/>
      <c r="I12342" s="12"/>
      <c r="J12342" s="12"/>
      <c r="K12342" s="12"/>
      <c r="L12342" s="12"/>
      <c r="M12342" s="11"/>
      <c r="N12342" s="11"/>
      <c r="O12342" s="11"/>
      <c r="P12342" s="11"/>
    </row>
    <row r="12343" spans="8:16" x14ac:dyDescent="0.25">
      <c r="H12343" s="12"/>
      <c r="I12343" s="12"/>
      <c r="J12343" s="12"/>
      <c r="K12343" s="12"/>
      <c r="L12343" s="12"/>
      <c r="M12343" s="11"/>
      <c r="N12343" s="11"/>
      <c r="O12343" s="11"/>
      <c r="P12343" s="11"/>
    </row>
    <row r="12344" spans="8:16" x14ac:dyDescent="0.25">
      <c r="H12344" s="12"/>
      <c r="I12344" s="12"/>
      <c r="J12344" s="12"/>
      <c r="K12344" s="12"/>
      <c r="L12344" s="12"/>
      <c r="M12344" s="11"/>
      <c r="N12344" s="11"/>
      <c r="O12344" s="11"/>
      <c r="P12344" s="11"/>
    </row>
    <row r="12345" spans="8:16" x14ac:dyDescent="0.25">
      <c r="H12345" s="12"/>
      <c r="I12345" s="12"/>
      <c r="J12345" s="12"/>
      <c r="K12345" s="12"/>
      <c r="L12345" s="12"/>
      <c r="M12345" s="11"/>
      <c r="N12345" s="11"/>
      <c r="O12345" s="11"/>
      <c r="P12345" s="11"/>
    </row>
    <row r="12346" spans="8:16" x14ac:dyDescent="0.25">
      <c r="H12346" s="12"/>
      <c r="I12346" s="12"/>
      <c r="J12346" s="12"/>
      <c r="K12346" s="12"/>
      <c r="L12346" s="12"/>
      <c r="M12346" s="11"/>
      <c r="N12346" s="11"/>
      <c r="O12346" s="11"/>
      <c r="P12346" s="11"/>
    </row>
    <row r="12347" spans="8:16" x14ac:dyDescent="0.25">
      <c r="H12347" s="12"/>
      <c r="I12347" s="12"/>
      <c r="J12347" s="12"/>
      <c r="K12347" s="12"/>
      <c r="L12347" s="12"/>
      <c r="M12347" s="11"/>
      <c r="N12347" s="11"/>
      <c r="O12347" s="11"/>
      <c r="P12347" s="11"/>
    </row>
    <row r="12348" spans="8:16" x14ac:dyDescent="0.25">
      <c r="H12348" s="12"/>
      <c r="I12348" s="12"/>
      <c r="J12348" s="12"/>
      <c r="K12348" s="12"/>
      <c r="L12348" s="12"/>
      <c r="M12348" s="11"/>
      <c r="N12348" s="11"/>
      <c r="O12348" s="11"/>
      <c r="P12348" s="11"/>
    </row>
    <row r="12349" spans="8:16" x14ac:dyDescent="0.25">
      <c r="H12349" s="12"/>
      <c r="I12349" s="12"/>
      <c r="J12349" s="12"/>
      <c r="K12349" s="12"/>
      <c r="L12349" s="12"/>
      <c r="M12349" s="11"/>
      <c r="N12349" s="11"/>
      <c r="O12349" s="11"/>
      <c r="P12349" s="11"/>
    </row>
    <row r="12350" spans="8:16" x14ac:dyDescent="0.25">
      <c r="H12350" s="12"/>
      <c r="I12350" s="12"/>
      <c r="J12350" s="12"/>
      <c r="K12350" s="12"/>
      <c r="L12350" s="12"/>
      <c r="M12350" s="11"/>
      <c r="N12350" s="11"/>
      <c r="O12350" s="11"/>
      <c r="P12350" s="11"/>
    </row>
    <row r="12351" spans="8:16" x14ac:dyDescent="0.25">
      <c r="H12351" s="12"/>
      <c r="I12351" s="12"/>
      <c r="J12351" s="12"/>
      <c r="K12351" s="12"/>
      <c r="L12351" s="12"/>
      <c r="M12351" s="11"/>
      <c r="N12351" s="11"/>
      <c r="O12351" s="11"/>
      <c r="P12351" s="11"/>
    </row>
    <row r="12352" spans="8:16" x14ac:dyDescent="0.25">
      <c r="H12352" s="12"/>
      <c r="I12352" s="12"/>
      <c r="J12352" s="12"/>
      <c r="K12352" s="12"/>
      <c r="L12352" s="12"/>
      <c r="M12352" s="11"/>
      <c r="N12352" s="11"/>
      <c r="O12352" s="11"/>
      <c r="P12352" s="11"/>
    </row>
    <row r="12353" spans="8:16" x14ac:dyDescent="0.25">
      <c r="H12353" s="12"/>
      <c r="I12353" s="12"/>
      <c r="J12353" s="12"/>
      <c r="K12353" s="12"/>
      <c r="L12353" s="12"/>
      <c r="M12353" s="11"/>
      <c r="N12353" s="11"/>
      <c r="O12353" s="11"/>
      <c r="P12353" s="11"/>
    </row>
    <row r="12354" spans="8:16" x14ac:dyDescent="0.25">
      <c r="H12354" s="12"/>
      <c r="I12354" s="12"/>
      <c r="J12354" s="12"/>
      <c r="K12354" s="12"/>
      <c r="L12354" s="12"/>
      <c r="M12354" s="11"/>
      <c r="N12354" s="11"/>
      <c r="O12354" s="11"/>
      <c r="P12354" s="11"/>
    </row>
    <row r="12355" spans="8:16" x14ac:dyDescent="0.25">
      <c r="H12355" s="12"/>
      <c r="I12355" s="12"/>
      <c r="J12355" s="12"/>
      <c r="K12355" s="12"/>
      <c r="L12355" s="12"/>
      <c r="M12355" s="11"/>
      <c r="N12355" s="11"/>
      <c r="O12355" s="11"/>
      <c r="P12355" s="11"/>
    </row>
    <row r="12356" spans="8:16" x14ac:dyDescent="0.25">
      <c r="H12356" s="12"/>
      <c r="I12356" s="12"/>
      <c r="J12356" s="12"/>
      <c r="K12356" s="12"/>
      <c r="L12356" s="12"/>
      <c r="M12356" s="11"/>
      <c r="N12356" s="11"/>
      <c r="O12356" s="11"/>
      <c r="P12356" s="11"/>
    </row>
    <row r="12357" spans="8:16" x14ac:dyDescent="0.25">
      <c r="H12357" s="12"/>
      <c r="I12357" s="12"/>
      <c r="J12357" s="12"/>
      <c r="K12357" s="12"/>
      <c r="L12357" s="12"/>
      <c r="M12357" s="11"/>
      <c r="N12357" s="11"/>
      <c r="O12357" s="11"/>
      <c r="P12357" s="11"/>
    </row>
    <row r="12358" spans="8:16" x14ac:dyDescent="0.25">
      <c r="H12358" s="12"/>
      <c r="I12358" s="12"/>
      <c r="J12358" s="12"/>
      <c r="K12358" s="12"/>
      <c r="L12358" s="12"/>
      <c r="M12358" s="11"/>
      <c r="N12358" s="11"/>
      <c r="O12358" s="11"/>
      <c r="P12358" s="11"/>
    </row>
    <row r="12359" spans="8:16" x14ac:dyDescent="0.25">
      <c r="H12359" s="12"/>
      <c r="I12359" s="12"/>
      <c r="J12359" s="12"/>
      <c r="K12359" s="12"/>
      <c r="L12359" s="12"/>
      <c r="M12359" s="11"/>
      <c r="N12359" s="11"/>
      <c r="O12359" s="11"/>
      <c r="P12359" s="11"/>
    </row>
    <row r="12360" spans="8:16" x14ac:dyDescent="0.25">
      <c r="H12360" s="12"/>
      <c r="I12360" s="12"/>
      <c r="J12360" s="12"/>
      <c r="K12360" s="12"/>
      <c r="L12360" s="12"/>
      <c r="M12360" s="11"/>
      <c r="N12360" s="11"/>
      <c r="O12360" s="11"/>
      <c r="P12360" s="11"/>
    </row>
    <row r="12361" spans="8:16" x14ac:dyDescent="0.25">
      <c r="H12361" s="12"/>
      <c r="I12361" s="12"/>
      <c r="J12361" s="12"/>
      <c r="K12361" s="12"/>
      <c r="L12361" s="12"/>
      <c r="M12361" s="11"/>
      <c r="N12361" s="11"/>
      <c r="O12361" s="11"/>
      <c r="P12361" s="11"/>
    </row>
    <row r="12362" spans="8:16" x14ac:dyDescent="0.25">
      <c r="H12362" s="12"/>
      <c r="I12362" s="12"/>
      <c r="J12362" s="12"/>
      <c r="K12362" s="12"/>
      <c r="L12362" s="12"/>
      <c r="M12362" s="11"/>
      <c r="N12362" s="11"/>
      <c r="O12362" s="11"/>
      <c r="P12362" s="11"/>
    </row>
    <row r="12363" spans="8:16" x14ac:dyDescent="0.25">
      <c r="H12363" s="12"/>
      <c r="I12363" s="12"/>
      <c r="J12363" s="12"/>
      <c r="K12363" s="12"/>
      <c r="L12363" s="12"/>
      <c r="M12363" s="11"/>
      <c r="N12363" s="11"/>
      <c r="O12363" s="11"/>
      <c r="P12363" s="11"/>
    </row>
    <row r="12364" spans="8:16" x14ac:dyDescent="0.25">
      <c r="H12364" s="12"/>
      <c r="I12364" s="12"/>
      <c r="J12364" s="12"/>
      <c r="K12364" s="12"/>
      <c r="L12364" s="12"/>
      <c r="M12364" s="11"/>
      <c r="N12364" s="11"/>
      <c r="O12364" s="11"/>
      <c r="P12364" s="11"/>
    </row>
    <row r="12365" spans="8:16" x14ac:dyDescent="0.25">
      <c r="H12365" s="12"/>
      <c r="I12365" s="12"/>
      <c r="J12365" s="12"/>
      <c r="K12365" s="12"/>
      <c r="L12365" s="12"/>
      <c r="M12365" s="11"/>
      <c r="N12365" s="11"/>
      <c r="O12365" s="11"/>
      <c r="P12365" s="11"/>
    </row>
    <row r="12366" spans="8:16" x14ac:dyDescent="0.25">
      <c r="H12366" s="12"/>
      <c r="I12366" s="12"/>
      <c r="J12366" s="12"/>
      <c r="K12366" s="12"/>
      <c r="L12366" s="12"/>
      <c r="M12366" s="11"/>
      <c r="N12366" s="11"/>
      <c r="O12366" s="11"/>
      <c r="P12366" s="11"/>
    </row>
    <row r="12367" spans="8:16" x14ac:dyDescent="0.25">
      <c r="H12367" s="12"/>
      <c r="I12367" s="12"/>
      <c r="J12367" s="12"/>
      <c r="K12367" s="12"/>
      <c r="L12367" s="12"/>
      <c r="M12367" s="11"/>
      <c r="N12367" s="11"/>
      <c r="O12367" s="11"/>
      <c r="P12367" s="11"/>
    </row>
    <row r="12368" spans="8:16" x14ac:dyDescent="0.25">
      <c r="H12368" s="12"/>
      <c r="I12368" s="12"/>
      <c r="J12368" s="12"/>
      <c r="K12368" s="12"/>
      <c r="L12368" s="12"/>
      <c r="M12368" s="11"/>
      <c r="N12368" s="11"/>
      <c r="O12368" s="11"/>
      <c r="P12368" s="11"/>
    </row>
    <row r="12369" spans="8:16" x14ac:dyDescent="0.25">
      <c r="H12369" s="12"/>
      <c r="I12369" s="12"/>
      <c r="J12369" s="12"/>
      <c r="K12369" s="12"/>
      <c r="L12369" s="12"/>
      <c r="M12369" s="11"/>
      <c r="N12369" s="11"/>
      <c r="O12369" s="11"/>
      <c r="P12369" s="11"/>
    </row>
    <row r="12370" spans="8:16" x14ac:dyDescent="0.25">
      <c r="H12370" s="12"/>
      <c r="I12370" s="12"/>
      <c r="J12370" s="12"/>
      <c r="K12370" s="12"/>
      <c r="L12370" s="12"/>
      <c r="M12370" s="11"/>
      <c r="N12370" s="11"/>
      <c r="O12370" s="11"/>
      <c r="P12370" s="11"/>
    </row>
    <row r="12371" spans="8:16" x14ac:dyDescent="0.25">
      <c r="H12371" s="12"/>
      <c r="I12371" s="12"/>
      <c r="J12371" s="12"/>
      <c r="K12371" s="12"/>
      <c r="L12371" s="12"/>
      <c r="M12371" s="11"/>
      <c r="N12371" s="11"/>
      <c r="O12371" s="11"/>
      <c r="P12371" s="11"/>
    </row>
    <row r="12372" spans="8:16" x14ac:dyDescent="0.25">
      <c r="H12372" s="12"/>
      <c r="I12372" s="12"/>
      <c r="J12372" s="12"/>
      <c r="K12372" s="12"/>
      <c r="L12372" s="12"/>
      <c r="M12372" s="11"/>
      <c r="N12372" s="11"/>
      <c r="O12372" s="11"/>
      <c r="P12372" s="11"/>
    </row>
    <row r="12373" spans="8:16" x14ac:dyDescent="0.25">
      <c r="H12373" s="12"/>
      <c r="I12373" s="12"/>
      <c r="J12373" s="12"/>
      <c r="K12373" s="12"/>
      <c r="L12373" s="12"/>
      <c r="M12373" s="11"/>
      <c r="N12373" s="11"/>
      <c r="O12373" s="11"/>
      <c r="P12373" s="11"/>
    </row>
    <row r="12374" spans="8:16" x14ac:dyDescent="0.25">
      <c r="H12374" s="12"/>
      <c r="I12374" s="12"/>
      <c r="J12374" s="12"/>
      <c r="K12374" s="12"/>
      <c r="L12374" s="12"/>
      <c r="M12374" s="11"/>
      <c r="N12374" s="11"/>
      <c r="O12374" s="11"/>
      <c r="P12374" s="11"/>
    </row>
    <row r="12375" spans="8:16" x14ac:dyDescent="0.25">
      <c r="H12375" s="12"/>
      <c r="I12375" s="12"/>
      <c r="J12375" s="12"/>
      <c r="K12375" s="12"/>
      <c r="L12375" s="12"/>
      <c r="M12375" s="11"/>
      <c r="N12375" s="11"/>
      <c r="O12375" s="11"/>
      <c r="P12375" s="11"/>
    </row>
    <row r="12376" spans="8:16" x14ac:dyDescent="0.25">
      <c r="H12376" s="12"/>
      <c r="I12376" s="12"/>
      <c r="J12376" s="12"/>
      <c r="K12376" s="12"/>
      <c r="L12376" s="12"/>
      <c r="M12376" s="11"/>
      <c r="N12376" s="11"/>
      <c r="O12376" s="11"/>
      <c r="P12376" s="11"/>
    </row>
    <row r="12377" spans="8:16" x14ac:dyDescent="0.25">
      <c r="H12377" s="12"/>
      <c r="I12377" s="12"/>
      <c r="J12377" s="12"/>
      <c r="K12377" s="12"/>
      <c r="L12377" s="12"/>
      <c r="M12377" s="11"/>
      <c r="N12377" s="11"/>
      <c r="O12377" s="11"/>
      <c r="P12377" s="11"/>
    </row>
    <row r="12378" spans="8:16" x14ac:dyDescent="0.25">
      <c r="H12378" s="12"/>
      <c r="I12378" s="12"/>
      <c r="J12378" s="12"/>
      <c r="K12378" s="12"/>
      <c r="L12378" s="12"/>
      <c r="M12378" s="11"/>
      <c r="N12378" s="11"/>
      <c r="O12378" s="11"/>
      <c r="P12378" s="11"/>
    </row>
    <row r="12379" spans="8:16" x14ac:dyDescent="0.25">
      <c r="H12379" s="12"/>
      <c r="I12379" s="12"/>
      <c r="J12379" s="12"/>
      <c r="K12379" s="12"/>
      <c r="L12379" s="12"/>
      <c r="M12379" s="11"/>
      <c r="N12379" s="11"/>
      <c r="O12379" s="11"/>
      <c r="P12379" s="11"/>
    </row>
    <row r="12380" spans="8:16" x14ac:dyDescent="0.25">
      <c r="H12380" s="12"/>
      <c r="I12380" s="12"/>
      <c r="J12380" s="12"/>
      <c r="K12380" s="12"/>
      <c r="L12380" s="12"/>
      <c r="M12380" s="11"/>
      <c r="N12380" s="11"/>
      <c r="O12380" s="11"/>
      <c r="P12380" s="11"/>
    </row>
    <row r="12381" spans="8:16" x14ac:dyDescent="0.25">
      <c r="H12381" s="12"/>
      <c r="I12381" s="12"/>
      <c r="J12381" s="12"/>
      <c r="K12381" s="12"/>
      <c r="L12381" s="12"/>
      <c r="M12381" s="11"/>
      <c r="N12381" s="11"/>
      <c r="O12381" s="11"/>
      <c r="P12381" s="11"/>
    </row>
    <row r="12382" spans="8:16" x14ac:dyDescent="0.25">
      <c r="H12382" s="12"/>
      <c r="I12382" s="12"/>
      <c r="J12382" s="12"/>
      <c r="K12382" s="12"/>
      <c r="L12382" s="12"/>
      <c r="M12382" s="11"/>
      <c r="N12382" s="11"/>
      <c r="O12382" s="11"/>
      <c r="P12382" s="11"/>
    </row>
    <row r="12383" spans="8:16" x14ac:dyDescent="0.25">
      <c r="H12383" s="12"/>
      <c r="I12383" s="12"/>
      <c r="J12383" s="12"/>
      <c r="K12383" s="12"/>
      <c r="L12383" s="12"/>
      <c r="M12383" s="11"/>
      <c r="N12383" s="11"/>
      <c r="O12383" s="11"/>
      <c r="P12383" s="11"/>
    </row>
    <row r="12384" spans="8:16" x14ac:dyDescent="0.25">
      <c r="H12384" s="12"/>
      <c r="I12384" s="12"/>
      <c r="J12384" s="12"/>
      <c r="K12384" s="12"/>
      <c r="L12384" s="12"/>
      <c r="M12384" s="11"/>
      <c r="N12384" s="11"/>
      <c r="O12384" s="11"/>
      <c r="P12384" s="11"/>
    </row>
    <row r="12385" spans="8:16" x14ac:dyDescent="0.25">
      <c r="H12385" s="12"/>
      <c r="I12385" s="12"/>
      <c r="J12385" s="12"/>
      <c r="K12385" s="12"/>
      <c r="L12385" s="12"/>
      <c r="M12385" s="11"/>
      <c r="N12385" s="11"/>
      <c r="O12385" s="11"/>
      <c r="P12385" s="11"/>
    </row>
    <row r="12386" spans="8:16" x14ac:dyDescent="0.25">
      <c r="H12386" s="12"/>
      <c r="I12386" s="12"/>
      <c r="J12386" s="12"/>
      <c r="K12386" s="12"/>
      <c r="L12386" s="12"/>
      <c r="M12386" s="11"/>
      <c r="N12386" s="11"/>
      <c r="O12386" s="11"/>
      <c r="P12386" s="11"/>
    </row>
    <row r="12387" spans="8:16" x14ac:dyDescent="0.25">
      <c r="H12387" s="12"/>
      <c r="I12387" s="12"/>
      <c r="J12387" s="12"/>
      <c r="K12387" s="12"/>
      <c r="L12387" s="12"/>
      <c r="M12387" s="11"/>
      <c r="N12387" s="11"/>
      <c r="O12387" s="11"/>
      <c r="P12387" s="11"/>
    </row>
    <row r="12388" spans="8:16" x14ac:dyDescent="0.25">
      <c r="H12388" s="12"/>
      <c r="I12388" s="12"/>
      <c r="J12388" s="12"/>
      <c r="K12388" s="12"/>
      <c r="L12388" s="12"/>
      <c r="M12388" s="11"/>
      <c r="N12388" s="11"/>
      <c r="O12388" s="11"/>
      <c r="P12388" s="11"/>
    </row>
    <row r="12389" spans="8:16" x14ac:dyDescent="0.25">
      <c r="H12389" s="12"/>
      <c r="I12389" s="12"/>
      <c r="J12389" s="12"/>
      <c r="K12389" s="12"/>
      <c r="L12389" s="12"/>
      <c r="M12389" s="11"/>
      <c r="N12389" s="11"/>
      <c r="O12389" s="11"/>
      <c r="P12389" s="11"/>
    </row>
    <row r="12390" spans="8:16" x14ac:dyDescent="0.25">
      <c r="H12390" s="12"/>
      <c r="I12390" s="12"/>
      <c r="J12390" s="12"/>
      <c r="K12390" s="12"/>
      <c r="L12390" s="12"/>
      <c r="M12390" s="11"/>
      <c r="N12390" s="11"/>
      <c r="O12390" s="11"/>
      <c r="P12390" s="11"/>
    </row>
    <row r="12391" spans="8:16" x14ac:dyDescent="0.25">
      <c r="H12391" s="12"/>
      <c r="I12391" s="12"/>
      <c r="J12391" s="12"/>
      <c r="K12391" s="12"/>
      <c r="L12391" s="12"/>
      <c r="M12391" s="11"/>
      <c r="N12391" s="11"/>
      <c r="O12391" s="11"/>
      <c r="P12391" s="11"/>
    </row>
    <row r="12392" spans="8:16" x14ac:dyDescent="0.25">
      <c r="H12392" s="12"/>
      <c r="I12392" s="12"/>
      <c r="J12392" s="12"/>
      <c r="K12392" s="12"/>
      <c r="L12392" s="12"/>
      <c r="M12392" s="11"/>
      <c r="N12392" s="11"/>
      <c r="O12392" s="11"/>
      <c r="P12392" s="11"/>
    </row>
    <row r="12393" spans="8:16" x14ac:dyDescent="0.25">
      <c r="H12393" s="12"/>
      <c r="I12393" s="12"/>
      <c r="J12393" s="12"/>
      <c r="K12393" s="12"/>
      <c r="L12393" s="12"/>
      <c r="M12393" s="11"/>
      <c r="N12393" s="11"/>
      <c r="O12393" s="11"/>
      <c r="P12393" s="11"/>
    </row>
    <row r="12394" spans="8:16" x14ac:dyDescent="0.25">
      <c r="H12394" s="12"/>
      <c r="I12394" s="12"/>
      <c r="J12394" s="12"/>
      <c r="K12394" s="12"/>
      <c r="L12394" s="12"/>
      <c r="M12394" s="11"/>
      <c r="N12394" s="11"/>
      <c r="O12394" s="11"/>
      <c r="P12394" s="11"/>
    </row>
    <row r="12395" spans="8:16" x14ac:dyDescent="0.25">
      <c r="H12395" s="12"/>
      <c r="I12395" s="12"/>
      <c r="J12395" s="12"/>
      <c r="K12395" s="12"/>
      <c r="L12395" s="12"/>
      <c r="M12395" s="11"/>
      <c r="N12395" s="11"/>
      <c r="O12395" s="11"/>
      <c r="P12395" s="11"/>
    </row>
    <row r="12396" spans="8:16" x14ac:dyDescent="0.25">
      <c r="H12396" s="12"/>
      <c r="I12396" s="12"/>
      <c r="J12396" s="12"/>
      <c r="K12396" s="12"/>
      <c r="L12396" s="12"/>
      <c r="M12396" s="11"/>
      <c r="N12396" s="11"/>
      <c r="O12396" s="11"/>
      <c r="P12396" s="11"/>
    </row>
    <row r="12397" spans="8:16" x14ac:dyDescent="0.25">
      <c r="H12397" s="12"/>
      <c r="I12397" s="12"/>
      <c r="J12397" s="12"/>
      <c r="K12397" s="12"/>
      <c r="L12397" s="12"/>
      <c r="M12397" s="11"/>
      <c r="N12397" s="11"/>
      <c r="O12397" s="11"/>
      <c r="P12397" s="11"/>
    </row>
    <row r="12398" spans="8:16" x14ac:dyDescent="0.25">
      <c r="H12398" s="12"/>
      <c r="I12398" s="12"/>
      <c r="J12398" s="12"/>
      <c r="K12398" s="12"/>
      <c r="L12398" s="12"/>
      <c r="M12398" s="11"/>
      <c r="N12398" s="11"/>
      <c r="O12398" s="11"/>
      <c r="P12398" s="11"/>
    </row>
    <row r="12399" spans="8:16" x14ac:dyDescent="0.25">
      <c r="H12399" s="12"/>
      <c r="I12399" s="12"/>
      <c r="J12399" s="12"/>
      <c r="K12399" s="12"/>
      <c r="L12399" s="12"/>
      <c r="M12399" s="11"/>
      <c r="N12399" s="11"/>
      <c r="O12399" s="11"/>
      <c r="P12399" s="11"/>
    </row>
    <row r="12400" spans="8:16" x14ac:dyDescent="0.25">
      <c r="H12400" s="12"/>
      <c r="I12400" s="12"/>
      <c r="J12400" s="12"/>
      <c r="K12400" s="12"/>
      <c r="L12400" s="12"/>
      <c r="M12400" s="11"/>
      <c r="N12400" s="11"/>
      <c r="O12400" s="11"/>
      <c r="P12400" s="11"/>
    </row>
    <row r="12401" spans="8:16" x14ac:dyDescent="0.25">
      <c r="H12401" s="12"/>
      <c r="I12401" s="12"/>
      <c r="J12401" s="12"/>
      <c r="K12401" s="12"/>
      <c r="L12401" s="12"/>
      <c r="M12401" s="11"/>
      <c r="N12401" s="11"/>
      <c r="O12401" s="11"/>
      <c r="P12401" s="11"/>
    </row>
    <row r="12402" spans="8:16" x14ac:dyDescent="0.25">
      <c r="H12402" s="12"/>
      <c r="I12402" s="12"/>
      <c r="J12402" s="12"/>
      <c r="K12402" s="12"/>
      <c r="L12402" s="12"/>
      <c r="M12402" s="11"/>
      <c r="N12402" s="11"/>
      <c r="O12402" s="11"/>
      <c r="P12402" s="11"/>
    </row>
    <row r="12403" spans="8:16" x14ac:dyDescent="0.25">
      <c r="H12403" s="12"/>
      <c r="I12403" s="12"/>
      <c r="J12403" s="12"/>
      <c r="K12403" s="12"/>
      <c r="L12403" s="12"/>
      <c r="M12403" s="11"/>
      <c r="N12403" s="11"/>
      <c r="O12403" s="11"/>
      <c r="P12403" s="11"/>
    </row>
    <row r="12404" spans="8:16" x14ac:dyDescent="0.25">
      <c r="H12404" s="12"/>
      <c r="I12404" s="12"/>
      <c r="J12404" s="12"/>
      <c r="K12404" s="12"/>
      <c r="L12404" s="12"/>
      <c r="M12404" s="11"/>
      <c r="N12404" s="11"/>
      <c r="O12404" s="11"/>
      <c r="P12404" s="11"/>
    </row>
    <row r="12405" spans="8:16" x14ac:dyDescent="0.25">
      <c r="H12405" s="12"/>
      <c r="I12405" s="12"/>
      <c r="J12405" s="12"/>
      <c r="K12405" s="12"/>
      <c r="L12405" s="12"/>
      <c r="M12405" s="11"/>
      <c r="N12405" s="11"/>
      <c r="O12405" s="11"/>
      <c r="P12405" s="11"/>
    </row>
    <row r="12406" spans="8:16" x14ac:dyDescent="0.25">
      <c r="H12406" s="12"/>
      <c r="I12406" s="12"/>
      <c r="J12406" s="12"/>
      <c r="K12406" s="12"/>
      <c r="L12406" s="12"/>
      <c r="M12406" s="11"/>
      <c r="N12406" s="11"/>
      <c r="O12406" s="11"/>
      <c r="P12406" s="11"/>
    </row>
    <row r="12407" spans="8:16" x14ac:dyDescent="0.25">
      <c r="H12407" s="12"/>
      <c r="I12407" s="12"/>
      <c r="J12407" s="12"/>
      <c r="K12407" s="12"/>
      <c r="L12407" s="12"/>
      <c r="M12407" s="11"/>
      <c r="N12407" s="11"/>
      <c r="O12407" s="11"/>
      <c r="P12407" s="11"/>
    </row>
    <row r="12408" spans="8:16" x14ac:dyDescent="0.25">
      <c r="H12408" s="12"/>
      <c r="I12408" s="12"/>
      <c r="J12408" s="12"/>
      <c r="K12408" s="12"/>
      <c r="L12408" s="12"/>
      <c r="M12408" s="11"/>
      <c r="N12408" s="11"/>
      <c r="O12408" s="11"/>
      <c r="P12408" s="11"/>
    </row>
    <row r="12409" spans="8:16" x14ac:dyDescent="0.25">
      <c r="H12409" s="12"/>
      <c r="I12409" s="12"/>
      <c r="J12409" s="12"/>
      <c r="K12409" s="12"/>
      <c r="L12409" s="12"/>
      <c r="M12409" s="11"/>
      <c r="N12409" s="11"/>
      <c r="O12409" s="11"/>
      <c r="P12409" s="11"/>
    </row>
    <row r="12410" spans="8:16" x14ac:dyDescent="0.25">
      <c r="H12410" s="12"/>
      <c r="I12410" s="12"/>
      <c r="J12410" s="12"/>
      <c r="K12410" s="12"/>
      <c r="L12410" s="12"/>
      <c r="M12410" s="11"/>
      <c r="N12410" s="11"/>
      <c r="O12410" s="11"/>
      <c r="P12410" s="11"/>
    </row>
    <row r="12411" spans="8:16" x14ac:dyDescent="0.25">
      <c r="H12411" s="12"/>
      <c r="I12411" s="12"/>
      <c r="J12411" s="12"/>
      <c r="K12411" s="12"/>
      <c r="L12411" s="12"/>
      <c r="M12411" s="11"/>
      <c r="N12411" s="11"/>
      <c r="O12411" s="11"/>
      <c r="P12411" s="11"/>
    </row>
    <row r="12412" spans="8:16" x14ac:dyDescent="0.25">
      <c r="H12412" s="12"/>
      <c r="I12412" s="12"/>
      <c r="J12412" s="12"/>
      <c r="K12412" s="12"/>
      <c r="L12412" s="12"/>
      <c r="M12412" s="11"/>
      <c r="N12412" s="11"/>
      <c r="O12412" s="11"/>
      <c r="P12412" s="11"/>
    </row>
    <row r="12413" spans="8:16" x14ac:dyDescent="0.25">
      <c r="H12413" s="12"/>
      <c r="I12413" s="12"/>
      <c r="J12413" s="12"/>
      <c r="K12413" s="12"/>
      <c r="L12413" s="12"/>
      <c r="M12413" s="11"/>
      <c r="N12413" s="11"/>
      <c r="O12413" s="11"/>
      <c r="P12413" s="11"/>
    </row>
    <row r="12414" spans="8:16" x14ac:dyDescent="0.25">
      <c r="H12414" s="12"/>
      <c r="I12414" s="12"/>
      <c r="J12414" s="12"/>
      <c r="K12414" s="12"/>
      <c r="L12414" s="12"/>
      <c r="M12414" s="11"/>
      <c r="N12414" s="11"/>
      <c r="O12414" s="11"/>
      <c r="P12414" s="11"/>
    </row>
    <row r="12415" spans="8:16" x14ac:dyDescent="0.25">
      <c r="H12415" s="12"/>
      <c r="I12415" s="12"/>
      <c r="J12415" s="12"/>
      <c r="K12415" s="12"/>
      <c r="L12415" s="12"/>
      <c r="M12415" s="11"/>
      <c r="N12415" s="11"/>
      <c r="O12415" s="11"/>
      <c r="P12415" s="11"/>
    </row>
    <row r="12416" spans="8:16" x14ac:dyDescent="0.25">
      <c r="H12416" s="12"/>
      <c r="I12416" s="12"/>
      <c r="J12416" s="12"/>
      <c r="K12416" s="12"/>
      <c r="L12416" s="12"/>
      <c r="M12416" s="11"/>
      <c r="N12416" s="11"/>
      <c r="O12416" s="11"/>
      <c r="P12416" s="11"/>
    </row>
    <row r="12417" spans="8:16" x14ac:dyDescent="0.25">
      <c r="H12417" s="12"/>
      <c r="I12417" s="12"/>
      <c r="J12417" s="12"/>
      <c r="K12417" s="12"/>
      <c r="L12417" s="12"/>
      <c r="M12417" s="11"/>
      <c r="N12417" s="11"/>
      <c r="O12417" s="11"/>
      <c r="P12417" s="11"/>
    </row>
    <row r="12418" spans="8:16" x14ac:dyDescent="0.25">
      <c r="H12418" s="12"/>
      <c r="I12418" s="12"/>
      <c r="J12418" s="12"/>
      <c r="K12418" s="12"/>
      <c r="L12418" s="12"/>
      <c r="M12418" s="11"/>
      <c r="N12418" s="11"/>
      <c r="O12418" s="11"/>
      <c r="P12418" s="11"/>
    </row>
    <row r="12419" spans="8:16" x14ac:dyDescent="0.25">
      <c r="H12419" s="12"/>
      <c r="I12419" s="12"/>
      <c r="J12419" s="12"/>
      <c r="K12419" s="12"/>
      <c r="L12419" s="12"/>
      <c r="M12419" s="11"/>
      <c r="N12419" s="11"/>
      <c r="O12419" s="11"/>
      <c r="P12419" s="11"/>
    </row>
    <row r="12420" spans="8:16" x14ac:dyDescent="0.25">
      <c r="H12420" s="12"/>
      <c r="I12420" s="12"/>
      <c r="J12420" s="12"/>
      <c r="K12420" s="12"/>
      <c r="L12420" s="12"/>
      <c r="M12420" s="11"/>
      <c r="N12420" s="11"/>
      <c r="O12420" s="11"/>
      <c r="P12420" s="11"/>
    </row>
    <row r="12421" spans="8:16" x14ac:dyDescent="0.25">
      <c r="H12421" s="12"/>
      <c r="I12421" s="12"/>
      <c r="J12421" s="12"/>
      <c r="K12421" s="12"/>
      <c r="L12421" s="12"/>
      <c r="M12421" s="11"/>
      <c r="N12421" s="11"/>
      <c r="O12421" s="11"/>
      <c r="P12421" s="11"/>
    </row>
    <row r="12422" spans="8:16" x14ac:dyDescent="0.25">
      <c r="H12422" s="12"/>
      <c r="I12422" s="12"/>
      <c r="J12422" s="12"/>
      <c r="K12422" s="12"/>
      <c r="L12422" s="12"/>
      <c r="M12422" s="11"/>
      <c r="N12422" s="11"/>
      <c r="O12422" s="11"/>
      <c r="P12422" s="11"/>
    </row>
    <row r="12423" spans="8:16" x14ac:dyDescent="0.25">
      <c r="H12423" s="12"/>
      <c r="I12423" s="12"/>
      <c r="J12423" s="12"/>
      <c r="K12423" s="12"/>
      <c r="L12423" s="12"/>
      <c r="M12423" s="11"/>
      <c r="N12423" s="11"/>
      <c r="O12423" s="11"/>
      <c r="P12423" s="11"/>
    </row>
    <row r="12424" spans="8:16" x14ac:dyDescent="0.25">
      <c r="H12424" s="12"/>
      <c r="I12424" s="12"/>
      <c r="J12424" s="12"/>
      <c r="K12424" s="12"/>
      <c r="L12424" s="12"/>
      <c r="M12424" s="11"/>
      <c r="N12424" s="11"/>
      <c r="O12424" s="11"/>
      <c r="P12424" s="11"/>
    </row>
    <row r="12425" spans="8:16" x14ac:dyDescent="0.25">
      <c r="H12425" s="12"/>
      <c r="I12425" s="12"/>
      <c r="J12425" s="12"/>
      <c r="K12425" s="12"/>
      <c r="L12425" s="12"/>
      <c r="M12425" s="11"/>
      <c r="N12425" s="11"/>
      <c r="O12425" s="11"/>
      <c r="P12425" s="11"/>
    </row>
    <row r="12426" spans="8:16" x14ac:dyDescent="0.25">
      <c r="H12426" s="12"/>
      <c r="I12426" s="12"/>
      <c r="J12426" s="12"/>
      <c r="K12426" s="12"/>
      <c r="L12426" s="12"/>
      <c r="M12426" s="11"/>
      <c r="N12426" s="11"/>
      <c r="O12426" s="11"/>
      <c r="P12426" s="11"/>
    </row>
    <row r="12427" spans="8:16" x14ac:dyDescent="0.25">
      <c r="H12427" s="12"/>
      <c r="I12427" s="12"/>
      <c r="J12427" s="12"/>
      <c r="K12427" s="12"/>
      <c r="L12427" s="12"/>
      <c r="M12427" s="11"/>
      <c r="N12427" s="11"/>
      <c r="O12427" s="11"/>
      <c r="P12427" s="11"/>
    </row>
    <row r="12428" spans="8:16" x14ac:dyDescent="0.25">
      <c r="H12428" s="12"/>
      <c r="I12428" s="12"/>
      <c r="J12428" s="12"/>
      <c r="K12428" s="12"/>
      <c r="L12428" s="12"/>
      <c r="M12428" s="11"/>
      <c r="N12428" s="11"/>
      <c r="O12428" s="11"/>
      <c r="P12428" s="11"/>
    </row>
    <row r="12429" spans="8:16" x14ac:dyDescent="0.25">
      <c r="H12429" s="12"/>
      <c r="I12429" s="12"/>
      <c r="J12429" s="12"/>
      <c r="K12429" s="12"/>
      <c r="L12429" s="12"/>
      <c r="M12429" s="11"/>
      <c r="N12429" s="11"/>
      <c r="O12429" s="11"/>
      <c r="P12429" s="11"/>
    </row>
    <row r="12430" spans="8:16" x14ac:dyDescent="0.25">
      <c r="H12430" s="12"/>
      <c r="I12430" s="12"/>
      <c r="J12430" s="12"/>
      <c r="K12430" s="12"/>
      <c r="L12430" s="12"/>
      <c r="M12430" s="11"/>
      <c r="N12430" s="11"/>
      <c r="O12430" s="11"/>
      <c r="P12430" s="11"/>
    </row>
    <row r="12431" spans="8:16" x14ac:dyDescent="0.25">
      <c r="H12431" s="12"/>
      <c r="I12431" s="12"/>
      <c r="J12431" s="12"/>
      <c r="K12431" s="12"/>
      <c r="L12431" s="12"/>
      <c r="M12431" s="11"/>
      <c r="N12431" s="11"/>
      <c r="O12431" s="11"/>
      <c r="P12431" s="11"/>
    </row>
    <row r="12432" spans="8:16" x14ac:dyDescent="0.25">
      <c r="H12432" s="12"/>
      <c r="I12432" s="12"/>
      <c r="J12432" s="12"/>
      <c r="K12432" s="12"/>
      <c r="L12432" s="12"/>
      <c r="M12432" s="11"/>
      <c r="N12432" s="11"/>
      <c r="O12432" s="11"/>
      <c r="P12432" s="11"/>
    </row>
    <row r="12433" spans="8:16" x14ac:dyDescent="0.25">
      <c r="H12433" s="12"/>
      <c r="I12433" s="12"/>
      <c r="J12433" s="12"/>
      <c r="K12433" s="12"/>
      <c r="L12433" s="12"/>
      <c r="M12433" s="11"/>
      <c r="N12433" s="11"/>
      <c r="O12433" s="11"/>
      <c r="P12433" s="11"/>
    </row>
    <row r="12434" spans="8:16" x14ac:dyDescent="0.25">
      <c r="H12434" s="12"/>
      <c r="I12434" s="12"/>
      <c r="J12434" s="12"/>
      <c r="K12434" s="12"/>
      <c r="L12434" s="12"/>
      <c r="M12434" s="11"/>
      <c r="N12434" s="11"/>
      <c r="O12434" s="11"/>
      <c r="P12434" s="11"/>
    </row>
    <row r="12435" spans="8:16" x14ac:dyDescent="0.25">
      <c r="H12435" s="12"/>
      <c r="I12435" s="12"/>
      <c r="J12435" s="12"/>
      <c r="K12435" s="12"/>
      <c r="L12435" s="12"/>
      <c r="M12435" s="11"/>
      <c r="N12435" s="11"/>
      <c r="O12435" s="11"/>
      <c r="P12435" s="11"/>
    </row>
    <row r="12436" spans="8:16" x14ac:dyDescent="0.25">
      <c r="H12436" s="12"/>
      <c r="I12436" s="12"/>
      <c r="J12436" s="12"/>
      <c r="K12436" s="12"/>
      <c r="L12436" s="12"/>
      <c r="M12436" s="11"/>
      <c r="N12436" s="11"/>
      <c r="O12436" s="11"/>
      <c r="P12436" s="11"/>
    </row>
    <row r="12437" spans="8:16" x14ac:dyDescent="0.25">
      <c r="H12437" s="12"/>
      <c r="I12437" s="12"/>
      <c r="J12437" s="12"/>
      <c r="K12437" s="12"/>
      <c r="L12437" s="12"/>
      <c r="M12437" s="11"/>
      <c r="N12437" s="11"/>
      <c r="O12437" s="11"/>
      <c r="P12437" s="11"/>
    </row>
    <row r="12438" spans="8:16" x14ac:dyDescent="0.25">
      <c r="H12438" s="12"/>
      <c r="I12438" s="12"/>
      <c r="J12438" s="12"/>
      <c r="K12438" s="12"/>
      <c r="L12438" s="12"/>
      <c r="M12438" s="11"/>
      <c r="N12438" s="11"/>
      <c r="O12438" s="11"/>
      <c r="P12438" s="11"/>
    </row>
    <row r="12439" spans="8:16" x14ac:dyDescent="0.25">
      <c r="H12439" s="12"/>
      <c r="I12439" s="12"/>
      <c r="J12439" s="12"/>
      <c r="K12439" s="12"/>
      <c r="L12439" s="12"/>
      <c r="M12439" s="11"/>
      <c r="N12439" s="11"/>
      <c r="O12439" s="11"/>
      <c r="P12439" s="11"/>
    </row>
    <row r="12440" spans="8:16" x14ac:dyDescent="0.25">
      <c r="H12440" s="12"/>
      <c r="I12440" s="12"/>
      <c r="J12440" s="12"/>
      <c r="K12440" s="12"/>
      <c r="L12440" s="12"/>
      <c r="M12440" s="11"/>
      <c r="N12440" s="11"/>
      <c r="O12440" s="11"/>
      <c r="P12440" s="11"/>
    </row>
    <row r="12441" spans="8:16" x14ac:dyDescent="0.25">
      <c r="H12441" s="12"/>
      <c r="I12441" s="12"/>
      <c r="J12441" s="12"/>
      <c r="K12441" s="12"/>
      <c r="L12441" s="12"/>
      <c r="M12441" s="11"/>
      <c r="N12441" s="11"/>
      <c r="O12441" s="11"/>
      <c r="P12441" s="11"/>
    </row>
    <row r="12442" spans="8:16" x14ac:dyDescent="0.25">
      <c r="H12442" s="12"/>
      <c r="I12442" s="12"/>
      <c r="J12442" s="12"/>
      <c r="K12442" s="12"/>
      <c r="L12442" s="12"/>
      <c r="M12442" s="11"/>
      <c r="N12442" s="11"/>
      <c r="O12442" s="11"/>
      <c r="P12442" s="11"/>
    </row>
    <row r="12443" spans="8:16" x14ac:dyDescent="0.25">
      <c r="H12443" s="12"/>
      <c r="I12443" s="12"/>
      <c r="J12443" s="12"/>
      <c r="K12443" s="12"/>
      <c r="L12443" s="12"/>
      <c r="M12443" s="11"/>
      <c r="N12443" s="11"/>
      <c r="O12443" s="11"/>
      <c r="P12443" s="11"/>
    </row>
    <row r="12444" spans="8:16" x14ac:dyDescent="0.25">
      <c r="H12444" s="12"/>
      <c r="I12444" s="12"/>
      <c r="J12444" s="12"/>
      <c r="K12444" s="12"/>
      <c r="L12444" s="12"/>
      <c r="M12444" s="11"/>
      <c r="N12444" s="11"/>
      <c r="O12444" s="11"/>
      <c r="P12444" s="11"/>
    </row>
    <row r="12445" spans="8:16" x14ac:dyDescent="0.25">
      <c r="H12445" s="12"/>
      <c r="I12445" s="12"/>
      <c r="J12445" s="12"/>
      <c r="K12445" s="12"/>
      <c r="L12445" s="12"/>
      <c r="M12445" s="11"/>
      <c r="N12445" s="11"/>
      <c r="O12445" s="11"/>
      <c r="P12445" s="11"/>
    </row>
    <row r="12446" spans="8:16" x14ac:dyDescent="0.25">
      <c r="H12446" s="12"/>
      <c r="I12446" s="12"/>
      <c r="J12446" s="12"/>
      <c r="K12446" s="12"/>
      <c r="L12446" s="12"/>
      <c r="M12446" s="11"/>
      <c r="N12446" s="11"/>
      <c r="O12446" s="11"/>
      <c r="P12446" s="11"/>
    </row>
    <row r="12447" spans="8:16" x14ac:dyDescent="0.25">
      <c r="H12447" s="12"/>
      <c r="I12447" s="12"/>
      <c r="J12447" s="12"/>
      <c r="K12447" s="12"/>
      <c r="L12447" s="12"/>
      <c r="M12447" s="11"/>
      <c r="N12447" s="11"/>
      <c r="O12447" s="11"/>
      <c r="P12447" s="11"/>
    </row>
    <row r="12448" spans="8:16" x14ac:dyDescent="0.25">
      <c r="H12448" s="12"/>
      <c r="I12448" s="12"/>
      <c r="J12448" s="12"/>
      <c r="K12448" s="12"/>
      <c r="L12448" s="12"/>
      <c r="M12448" s="11"/>
      <c r="N12448" s="11"/>
      <c r="O12448" s="11"/>
      <c r="P12448" s="11"/>
    </row>
    <row r="12449" spans="8:16" x14ac:dyDescent="0.25">
      <c r="H12449" s="12"/>
      <c r="I12449" s="12"/>
      <c r="J12449" s="12"/>
      <c r="K12449" s="12"/>
      <c r="L12449" s="12"/>
      <c r="M12449" s="11"/>
      <c r="N12449" s="11"/>
      <c r="O12449" s="11"/>
      <c r="P12449" s="11"/>
    </row>
    <row r="12450" spans="8:16" x14ac:dyDescent="0.25">
      <c r="H12450" s="12"/>
      <c r="I12450" s="12"/>
      <c r="J12450" s="12"/>
      <c r="K12450" s="12"/>
      <c r="L12450" s="12"/>
      <c r="M12450" s="11"/>
      <c r="N12450" s="11"/>
      <c r="O12450" s="11"/>
      <c r="P12450" s="11"/>
    </row>
    <row r="12451" spans="8:16" x14ac:dyDescent="0.25">
      <c r="H12451" s="12"/>
      <c r="I12451" s="12"/>
      <c r="J12451" s="12"/>
      <c r="K12451" s="12"/>
      <c r="L12451" s="12"/>
      <c r="M12451" s="11"/>
      <c r="N12451" s="11"/>
      <c r="O12451" s="11"/>
      <c r="P12451" s="11"/>
    </row>
    <row r="12452" spans="8:16" x14ac:dyDescent="0.25">
      <c r="H12452" s="12"/>
      <c r="I12452" s="12"/>
      <c r="J12452" s="12"/>
      <c r="K12452" s="12"/>
      <c r="L12452" s="12"/>
      <c r="M12452" s="11"/>
      <c r="N12452" s="11"/>
      <c r="O12452" s="11"/>
      <c r="P12452" s="11"/>
    </row>
    <row r="12453" spans="8:16" x14ac:dyDescent="0.25">
      <c r="H12453" s="12"/>
      <c r="I12453" s="12"/>
      <c r="J12453" s="12"/>
      <c r="K12453" s="12"/>
      <c r="L12453" s="12"/>
      <c r="M12453" s="11"/>
      <c r="N12453" s="11"/>
      <c r="O12453" s="11"/>
      <c r="P12453" s="11"/>
    </row>
    <row r="12454" spans="8:16" x14ac:dyDescent="0.25">
      <c r="H12454" s="12"/>
      <c r="I12454" s="12"/>
      <c r="J12454" s="12"/>
      <c r="K12454" s="12"/>
      <c r="L12454" s="12"/>
      <c r="M12454" s="11"/>
      <c r="N12454" s="11"/>
      <c r="O12454" s="11"/>
      <c r="P12454" s="11"/>
    </row>
    <row r="12455" spans="8:16" x14ac:dyDescent="0.25">
      <c r="H12455" s="12"/>
      <c r="I12455" s="12"/>
      <c r="J12455" s="12"/>
      <c r="K12455" s="12"/>
      <c r="L12455" s="12"/>
      <c r="M12455" s="11"/>
      <c r="N12455" s="11"/>
      <c r="O12455" s="11"/>
      <c r="P12455" s="11"/>
    </row>
    <row r="12456" spans="8:16" x14ac:dyDescent="0.25">
      <c r="H12456" s="12"/>
      <c r="I12456" s="12"/>
      <c r="J12456" s="12"/>
      <c r="K12456" s="12"/>
      <c r="L12456" s="12"/>
      <c r="M12456" s="11"/>
      <c r="N12456" s="11"/>
      <c r="O12456" s="11"/>
      <c r="P12456" s="11"/>
    </row>
    <row r="12457" spans="8:16" x14ac:dyDescent="0.25">
      <c r="H12457" s="12"/>
      <c r="I12457" s="12"/>
      <c r="J12457" s="12"/>
      <c r="K12457" s="12"/>
      <c r="L12457" s="12"/>
      <c r="M12457" s="11"/>
      <c r="N12457" s="11"/>
      <c r="O12457" s="11"/>
      <c r="P12457" s="11"/>
    </row>
    <row r="12458" spans="8:16" x14ac:dyDescent="0.25">
      <c r="H12458" s="12"/>
      <c r="I12458" s="12"/>
      <c r="J12458" s="12"/>
      <c r="K12458" s="12"/>
      <c r="L12458" s="12"/>
      <c r="M12458" s="11"/>
      <c r="N12458" s="11"/>
      <c r="O12458" s="11"/>
      <c r="P12458" s="11"/>
    </row>
    <row r="12459" spans="8:16" x14ac:dyDescent="0.25">
      <c r="H12459" s="12"/>
      <c r="I12459" s="12"/>
      <c r="J12459" s="12"/>
      <c r="K12459" s="12"/>
      <c r="L12459" s="12"/>
      <c r="M12459" s="11"/>
      <c r="N12459" s="11"/>
      <c r="O12459" s="11"/>
      <c r="P12459" s="11"/>
    </row>
    <row r="12460" spans="8:16" x14ac:dyDescent="0.25">
      <c r="H12460" s="12"/>
      <c r="I12460" s="12"/>
      <c r="J12460" s="12"/>
      <c r="K12460" s="12"/>
      <c r="L12460" s="12"/>
      <c r="M12460" s="11"/>
      <c r="N12460" s="11"/>
      <c r="O12460" s="11"/>
      <c r="P12460" s="11"/>
    </row>
    <row r="12461" spans="8:16" x14ac:dyDescent="0.25">
      <c r="H12461" s="12"/>
      <c r="I12461" s="12"/>
      <c r="J12461" s="12"/>
      <c r="K12461" s="12"/>
      <c r="L12461" s="12"/>
      <c r="M12461" s="11"/>
      <c r="N12461" s="11"/>
      <c r="O12461" s="11"/>
      <c r="P12461" s="11"/>
    </row>
    <row r="12462" spans="8:16" x14ac:dyDescent="0.25">
      <c r="H12462" s="12"/>
      <c r="I12462" s="12"/>
      <c r="J12462" s="12"/>
      <c r="K12462" s="12"/>
      <c r="L12462" s="12"/>
      <c r="M12462" s="11"/>
      <c r="N12462" s="11"/>
      <c r="O12462" s="11"/>
      <c r="P12462" s="11"/>
    </row>
    <row r="12463" spans="8:16" x14ac:dyDescent="0.25">
      <c r="H12463" s="12"/>
      <c r="I12463" s="12"/>
      <c r="J12463" s="12"/>
      <c r="K12463" s="12"/>
      <c r="L12463" s="12"/>
      <c r="M12463" s="11"/>
      <c r="N12463" s="11"/>
      <c r="O12463" s="11"/>
      <c r="P12463" s="11"/>
    </row>
    <row r="12464" spans="8:16" x14ac:dyDescent="0.25">
      <c r="H12464" s="12"/>
      <c r="I12464" s="12"/>
      <c r="J12464" s="12"/>
      <c r="K12464" s="12"/>
      <c r="L12464" s="12"/>
      <c r="M12464" s="11"/>
      <c r="N12464" s="11"/>
      <c r="O12464" s="11"/>
      <c r="P12464" s="11"/>
    </row>
    <row r="12465" spans="8:16" x14ac:dyDescent="0.25">
      <c r="H12465" s="12"/>
      <c r="I12465" s="12"/>
      <c r="J12465" s="12"/>
      <c r="K12465" s="12"/>
      <c r="L12465" s="12"/>
      <c r="M12465" s="11"/>
      <c r="N12465" s="11"/>
      <c r="O12465" s="11"/>
      <c r="P12465" s="11"/>
    </row>
    <row r="12466" spans="8:16" x14ac:dyDescent="0.25">
      <c r="H12466" s="12"/>
      <c r="I12466" s="12"/>
      <c r="J12466" s="12"/>
      <c r="K12466" s="12"/>
      <c r="L12466" s="12"/>
      <c r="M12466" s="11"/>
      <c r="N12466" s="11"/>
      <c r="O12466" s="11"/>
      <c r="P12466" s="11"/>
    </row>
    <row r="12467" spans="8:16" x14ac:dyDescent="0.25">
      <c r="H12467" s="12"/>
      <c r="I12467" s="12"/>
      <c r="J12467" s="12"/>
      <c r="K12467" s="12"/>
      <c r="L12467" s="12"/>
      <c r="M12467" s="11"/>
      <c r="N12467" s="11"/>
      <c r="O12467" s="11"/>
      <c r="P12467" s="11"/>
    </row>
    <row r="12468" spans="8:16" x14ac:dyDescent="0.25">
      <c r="H12468" s="12"/>
      <c r="I12468" s="12"/>
      <c r="J12468" s="12"/>
      <c r="K12468" s="12"/>
      <c r="L12468" s="12"/>
      <c r="M12468" s="11"/>
      <c r="N12468" s="11"/>
      <c r="O12468" s="11"/>
      <c r="P12468" s="11"/>
    </row>
    <row r="12469" spans="8:16" x14ac:dyDescent="0.25">
      <c r="H12469" s="12"/>
      <c r="I12469" s="12"/>
      <c r="J12469" s="12"/>
      <c r="K12469" s="12"/>
      <c r="L12469" s="12"/>
      <c r="M12469" s="11"/>
      <c r="N12469" s="11"/>
      <c r="O12469" s="11"/>
      <c r="P12469" s="11"/>
    </row>
    <row r="12470" spans="8:16" x14ac:dyDescent="0.25">
      <c r="H12470" s="12"/>
      <c r="I12470" s="12"/>
      <c r="J12470" s="12"/>
      <c r="K12470" s="12"/>
      <c r="L12470" s="12"/>
      <c r="M12470" s="11"/>
      <c r="N12470" s="11"/>
      <c r="O12470" s="11"/>
      <c r="P12470" s="11"/>
    </row>
    <row r="12471" spans="8:16" x14ac:dyDescent="0.25">
      <c r="H12471" s="12"/>
      <c r="I12471" s="12"/>
      <c r="J12471" s="12"/>
      <c r="K12471" s="12"/>
      <c r="L12471" s="12"/>
      <c r="M12471" s="11"/>
      <c r="N12471" s="11"/>
      <c r="O12471" s="11"/>
      <c r="P12471" s="11"/>
    </row>
    <row r="12472" spans="8:16" x14ac:dyDescent="0.25">
      <c r="H12472" s="12"/>
      <c r="I12472" s="12"/>
      <c r="J12472" s="12"/>
      <c r="K12472" s="12"/>
      <c r="L12472" s="12"/>
      <c r="M12472" s="11"/>
      <c r="N12472" s="11"/>
      <c r="O12472" s="11"/>
      <c r="P12472" s="11"/>
    </row>
    <row r="12473" spans="8:16" x14ac:dyDescent="0.25">
      <c r="H12473" s="12"/>
      <c r="I12473" s="12"/>
      <c r="J12473" s="12"/>
      <c r="K12473" s="12"/>
      <c r="L12473" s="12"/>
      <c r="M12473" s="11"/>
      <c r="N12473" s="11"/>
      <c r="O12473" s="11"/>
      <c r="P12473" s="11"/>
    </row>
    <row r="12474" spans="8:16" x14ac:dyDescent="0.25">
      <c r="H12474" s="12"/>
      <c r="I12474" s="12"/>
      <c r="J12474" s="12"/>
      <c r="K12474" s="12"/>
      <c r="L12474" s="12"/>
      <c r="M12474" s="11"/>
      <c r="N12474" s="11"/>
      <c r="O12474" s="11"/>
      <c r="P12474" s="11"/>
    </row>
    <row r="12475" spans="8:16" x14ac:dyDescent="0.25">
      <c r="H12475" s="12"/>
      <c r="I12475" s="12"/>
      <c r="J12475" s="12"/>
      <c r="K12475" s="12"/>
      <c r="L12475" s="12"/>
      <c r="M12475" s="11"/>
      <c r="N12475" s="11"/>
      <c r="O12475" s="11"/>
      <c r="P12475" s="11"/>
    </row>
    <row r="12476" spans="8:16" x14ac:dyDescent="0.25">
      <c r="H12476" s="12"/>
      <c r="I12476" s="12"/>
      <c r="J12476" s="12"/>
      <c r="K12476" s="12"/>
      <c r="L12476" s="12"/>
      <c r="M12476" s="11"/>
      <c r="N12476" s="11"/>
      <c r="O12476" s="11"/>
      <c r="P12476" s="11"/>
    </row>
    <row r="12477" spans="8:16" x14ac:dyDescent="0.25">
      <c r="H12477" s="12"/>
      <c r="I12477" s="12"/>
      <c r="J12477" s="12"/>
      <c r="K12477" s="12"/>
      <c r="L12477" s="12"/>
      <c r="M12477" s="11"/>
      <c r="N12477" s="11"/>
      <c r="O12477" s="11"/>
      <c r="P12477" s="11"/>
    </row>
    <row r="12478" spans="8:16" x14ac:dyDescent="0.25">
      <c r="H12478" s="12"/>
      <c r="I12478" s="12"/>
      <c r="J12478" s="12"/>
      <c r="K12478" s="12"/>
      <c r="L12478" s="12"/>
      <c r="M12478" s="11"/>
      <c r="N12478" s="11"/>
      <c r="O12478" s="11"/>
      <c r="P12478" s="11"/>
    </row>
    <row r="12479" spans="8:16" x14ac:dyDescent="0.25">
      <c r="H12479" s="12"/>
      <c r="I12479" s="12"/>
      <c r="J12479" s="12"/>
      <c r="K12479" s="12"/>
      <c r="L12479" s="12"/>
      <c r="M12479" s="11"/>
      <c r="N12479" s="11"/>
      <c r="O12479" s="11"/>
      <c r="P12479" s="11"/>
    </row>
    <row r="12480" spans="8:16" x14ac:dyDescent="0.25">
      <c r="H12480" s="12"/>
      <c r="I12480" s="12"/>
      <c r="J12480" s="12"/>
      <c r="K12480" s="12"/>
      <c r="L12480" s="12"/>
      <c r="M12480" s="11"/>
      <c r="N12480" s="11"/>
      <c r="O12480" s="11"/>
      <c r="P12480" s="11"/>
    </row>
    <row r="12481" spans="8:16" x14ac:dyDescent="0.25">
      <c r="H12481" s="12"/>
      <c r="I12481" s="12"/>
      <c r="J12481" s="12"/>
      <c r="K12481" s="12"/>
      <c r="L12481" s="12"/>
      <c r="M12481" s="11"/>
      <c r="N12481" s="11"/>
      <c r="O12481" s="11"/>
      <c r="P12481" s="11"/>
    </row>
    <row r="12482" spans="8:16" x14ac:dyDescent="0.25">
      <c r="H12482" s="12"/>
      <c r="I12482" s="12"/>
      <c r="J12482" s="12"/>
      <c r="K12482" s="12"/>
      <c r="L12482" s="12"/>
      <c r="M12482" s="11"/>
      <c r="N12482" s="11"/>
      <c r="O12482" s="11"/>
      <c r="P12482" s="11"/>
    </row>
    <row r="12483" spans="8:16" x14ac:dyDescent="0.25">
      <c r="H12483" s="12"/>
      <c r="I12483" s="12"/>
      <c r="J12483" s="12"/>
      <c r="K12483" s="12"/>
      <c r="L12483" s="12"/>
      <c r="M12483" s="11"/>
      <c r="N12483" s="11"/>
      <c r="O12483" s="11"/>
      <c r="P12483" s="11"/>
    </row>
    <row r="12484" spans="8:16" x14ac:dyDescent="0.25">
      <c r="H12484" s="12"/>
      <c r="I12484" s="12"/>
      <c r="J12484" s="12"/>
      <c r="K12484" s="12"/>
      <c r="L12484" s="12"/>
      <c r="M12484" s="11"/>
      <c r="N12484" s="11"/>
      <c r="O12484" s="11"/>
      <c r="P12484" s="11"/>
    </row>
    <row r="12485" spans="8:16" x14ac:dyDescent="0.25">
      <c r="H12485" s="12"/>
      <c r="I12485" s="12"/>
      <c r="J12485" s="12"/>
      <c r="K12485" s="12"/>
      <c r="L12485" s="12"/>
      <c r="M12485" s="11"/>
      <c r="N12485" s="11"/>
      <c r="O12485" s="11"/>
      <c r="P12485" s="11"/>
    </row>
    <row r="12486" spans="8:16" x14ac:dyDescent="0.25">
      <c r="H12486" s="12"/>
      <c r="I12486" s="12"/>
      <c r="J12486" s="12"/>
      <c r="K12486" s="12"/>
      <c r="L12486" s="12"/>
      <c r="M12486" s="11"/>
      <c r="N12486" s="11"/>
      <c r="O12486" s="11"/>
      <c r="P12486" s="11"/>
    </row>
    <row r="12487" spans="8:16" x14ac:dyDescent="0.25">
      <c r="H12487" s="12"/>
      <c r="I12487" s="12"/>
      <c r="J12487" s="12"/>
      <c r="K12487" s="12"/>
      <c r="L12487" s="12"/>
      <c r="M12487" s="11"/>
      <c r="N12487" s="11"/>
      <c r="O12487" s="11"/>
      <c r="P12487" s="11"/>
    </row>
    <row r="12488" spans="8:16" x14ac:dyDescent="0.25">
      <c r="H12488" s="12"/>
      <c r="I12488" s="12"/>
      <c r="J12488" s="12"/>
      <c r="K12488" s="12"/>
      <c r="L12488" s="12"/>
      <c r="M12488" s="11"/>
      <c r="N12488" s="11"/>
      <c r="O12488" s="11"/>
      <c r="P12488" s="11"/>
    </row>
    <row r="12489" spans="8:16" x14ac:dyDescent="0.25">
      <c r="H12489" s="12"/>
      <c r="I12489" s="12"/>
      <c r="J12489" s="12"/>
      <c r="K12489" s="12"/>
      <c r="L12489" s="12"/>
      <c r="M12489" s="11"/>
      <c r="N12489" s="11"/>
      <c r="O12489" s="11"/>
      <c r="P12489" s="11"/>
    </row>
    <row r="12490" spans="8:16" x14ac:dyDescent="0.25">
      <c r="H12490" s="12"/>
      <c r="I12490" s="12"/>
      <c r="J12490" s="12"/>
      <c r="K12490" s="12"/>
      <c r="L12490" s="12"/>
      <c r="M12490" s="11"/>
      <c r="N12490" s="11"/>
      <c r="O12490" s="11"/>
      <c r="P12490" s="11"/>
    </row>
    <row r="12491" spans="8:16" x14ac:dyDescent="0.25">
      <c r="H12491" s="12"/>
      <c r="I12491" s="12"/>
      <c r="J12491" s="12"/>
      <c r="K12491" s="12"/>
      <c r="L12491" s="12"/>
      <c r="M12491" s="11"/>
      <c r="N12491" s="11"/>
      <c r="O12491" s="11"/>
      <c r="P12491" s="11"/>
    </row>
    <row r="12492" spans="8:16" x14ac:dyDescent="0.25">
      <c r="H12492" s="12"/>
      <c r="I12492" s="12"/>
      <c r="J12492" s="12"/>
      <c r="K12492" s="12"/>
      <c r="L12492" s="12"/>
      <c r="M12492" s="11"/>
      <c r="N12492" s="11"/>
      <c r="O12492" s="11"/>
      <c r="P12492" s="11"/>
    </row>
    <row r="12493" spans="8:16" x14ac:dyDescent="0.25">
      <c r="H12493" s="12"/>
      <c r="I12493" s="12"/>
      <c r="J12493" s="12"/>
      <c r="K12493" s="12"/>
      <c r="L12493" s="12"/>
      <c r="M12493" s="11"/>
      <c r="N12493" s="11"/>
      <c r="O12493" s="11"/>
      <c r="P12493" s="11"/>
    </row>
    <row r="12494" spans="8:16" x14ac:dyDescent="0.25">
      <c r="H12494" s="12"/>
      <c r="I12494" s="12"/>
      <c r="J12494" s="12"/>
      <c r="K12494" s="12"/>
      <c r="L12494" s="12"/>
      <c r="M12494" s="11"/>
      <c r="N12494" s="11"/>
      <c r="O12494" s="11"/>
      <c r="P12494" s="11"/>
    </row>
    <row r="12495" spans="8:16" x14ac:dyDescent="0.25">
      <c r="H12495" s="12"/>
      <c r="I12495" s="12"/>
      <c r="J12495" s="12"/>
      <c r="K12495" s="12"/>
      <c r="L12495" s="12"/>
      <c r="M12495" s="11"/>
      <c r="N12495" s="11"/>
      <c r="O12495" s="11"/>
      <c r="P12495" s="11"/>
    </row>
    <row r="12496" spans="8:16" x14ac:dyDescent="0.25">
      <c r="H12496" s="12"/>
      <c r="I12496" s="12"/>
      <c r="J12496" s="12"/>
      <c r="K12496" s="12"/>
      <c r="L12496" s="12"/>
      <c r="M12496" s="11"/>
      <c r="N12496" s="11"/>
      <c r="O12496" s="11"/>
      <c r="P12496" s="11"/>
    </row>
    <row r="12497" spans="8:16" x14ac:dyDescent="0.25">
      <c r="H12497" s="12"/>
      <c r="I12497" s="12"/>
      <c r="J12497" s="12"/>
      <c r="K12497" s="12"/>
      <c r="L12497" s="12"/>
      <c r="M12497" s="11"/>
      <c r="N12497" s="11"/>
      <c r="O12497" s="11"/>
      <c r="P12497" s="11"/>
    </row>
    <row r="12498" spans="8:16" x14ac:dyDescent="0.25">
      <c r="H12498" s="12"/>
      <c r="I12498" s="12"/>
      <c r="J12498" s="12"/>
      <c r="K12498" s="12"/>
      <c r="L12498" s="12"/>
      <c r="M12498" s="11"/>
      <c r="N12498" s="11"/>
      <c r="O12498" s="11"/>
      <c r="P12498" s="11"/>
    </row>
    <row r="12499" spans="8:16" x14ac:dyDescent="0.25">
      <c r="H12499" s="12"/>
      <c r="I12499" s="12"/>
      <c r="J12499" s="12"/>
      <c r="K12499" s="12"/>
      <c r="L12499" s="12"/>
      <c r="M12499" s="11"/>
      <c r="N12499" s="11"/>
      <c r="O12499" s="11"/>
      <c r="P12499" s="11"/>
    </row>
    <row r="12500" spans="8:16" x14ac:dyDescent="0.25">
      <c r="H12500" s="12"/>
      <c r="I12500" s="12"/>
      <c r="J12500" s="12"/>
      <c r="K12500" s="12"/>
      <c r="L12500" s="12"/>
      <c r="M12500" s="11"/>
      <c r="N12500" s="11"/>
      <c r="O12500" s="11"/>
      <c r="P12500" s="11"/>
    </row>
    <row r="12501" spans="8:16" x14ac:dyDescent="0.25">
      <c r="H12501" s="12"/>
      <c r="I12501" s="12"/>
      <c r="J12501" s="12"/>
      <c r="K12501" s="12"/>
      <c r="L12501" s="12"/>
      <c r="M12501" s="11"/>
      <c r="N12501" s="11"/>
      <c r="O12501" s="11"/>
      <c r="P12501" s="11"/>
    </row>
    <row r="12502" spans="8:16" x14ac:dyDescent="0.25">
      <c r="H12502" s="12"/>
      <c r="I12502" s="12"/>
      <c r="J12502" s="12"/>
      <c r="K12502" s="12"/>
      <c r="L12502" s="12"/>
      <c r="M12502" s="11"/>
      <c r="N12502" s="11"/>
      <c r="O12502" s="11"/>
      <c r="P12502" s="11"/>
    </row>
    <row r="12503" spans="8:16" x14ac:dyDescent="0.25">
      <c r="H12503" s="12"/>
      <c r="I12503" s="12"/>
      <c r="J12503" s="12"/>
      <c r="K12503" s="12"/>
      <c r="L12503" s="12"/>
      <c r="M12503" s="11"/>
      <c r="N12503" s="11"/>
      <c r="O12503" s="11"/>
      <c r="P12503" s="11"/>
    </row>
    <row r="12504" spans="8:16" x14ac:dyDescent="0.25">
      <c r="H12504" s="12"/>
      <c r="I12504" s="12"/>
      <c r="J12504" s="12"/>
      <c r="K12504" s="12"/>
      <c r="L12504" s="12"/>
      <c r="M12504" s="11"/>
      <c r="N12504" s="11"/>
      <c r="O12504" s="11"/>
      <c r="P12504" s="11"/>
    </row>
    <row r="12505" spans="8:16" x14ac:dyDescent="0.25">
      <c r="H12505" s="12"/>
      <c r="I12505" s="12"/>
      <c r="J12505" s="12"/>
      <c r="K12505" s="12"/>
      <c r="L12505" s="12"/>
      <c r="M12505" s="11"/>
      <c r="N12505" s="11"/>
      <c r="O12505" s="11"/>
      <c r="P12505" s="11"/>
    </row>
    <row r="12506" spans="8:16" x14ac:dyDescent="0.25">
      <c r="H12506" s="12"/>
      <c r="I12506" s="12"/>
      <c r="J12506" s="12"/>
      <c r="K12506" s="12"/>
      <c r="L12506" s="12"/>
      <c r="M12506" s="11"/>
      <c r="N12506" s="11"/>
      <c r="O12506" s="11"/>
      <c r="P12506" s="11"/>
    </row>
    <row r="12507" spans="8:16" x14ac:dyDescent="0.25">
      <c r="H12507" s="12"/>
      <c r="I12507" s="12"/>
      <c r="J12507" s="12"/>
      <c r="K12507" s="12"/>
      <c r="L12507" s="12"/>
      <c r="M12507" s="11"/>
      <c r="N12507" s="11"/>
      <c r="O12507" s="11"/>
      <c r="P12507" s="11"/>
    </row>
    <row r="12508" spans="8:16" x14ac:dyDescent="0.25">
      <c r="H12508" s="12"/>
      <c r="I12508" s="12"/>
      <c r="J12508" s="12"/>
      <c r="K12508" s="12"/>
      <c r="L12508" s="12"/>
      <c r="M12508" s="11"/>
      <c r="N12508" s="11"/>
      <c r="O12508" s="11"/>
      <c r="P12508" s="11"/>
    </row>
    <row r="12509" spans="8:16" x14ac:dyDescent="0.25">
      <c r="H12509" s="12"/>
      <c r="I12509" s="12"/>
      <c r="J12509" s="12"/>
      <c r="K12509" s="12"/>
      <c r="L12509" s="12"/>
      <c r="M12509" s="11"/>
      <c r="N12509" s="11"/>
      <c r="O12509" s="11"/>
      <c r="P12509" s="11"/>
    </row>
    <row r="12510" spans="8:16" x14ac:dyDescent="0.25">
      <c r="H12510" s="12"/>
      <c r="I12510" s="12"/>
      <c r="J12510" s="12"/>
      <c r="K12510" s="12"/>
      <c r="L12510" s="12"/>
      <c r="M12510" s="11"/>
      <c r="N12510" s="11"/>
      <c r="O12510" s="11"/>
      <c r="P12510" s="11"/>
    </row>
    <row r="12511" spans="8:16" x14ac:dyDescent="0.25">
      <c r="H12511" s="12"/>
      <c r="I12511" s="12"/>
      <c r="J12511" s="12"/>
      <c r="K12511" s="12"/>
      <c r="L12511" s="12"/>
      <c r="M12511" s="11"/>
      <c r="N12511" s="11"/>
      <c r="O12511" s="11"/>
      <c r="P12511" s="11"/>
    </row>
    <row r="12512" spans="8:16" x14ac:dyDescent="0.25">
      <c r="H12512" s="12"/>
      <c r="I12512" s="12"/>
      <c r="J12512" s="12"/>
      <c r="K12512" s="12"/>
      <c r="L12512" s="12"/>
      <c r="M12512" s="11"/>
      <c r="N12512" s="11"/>
      <c r="O12512" s="11"/>
      <c r="P12512" s="11"/>
    </row>
    <row r="12513" spans="8:16" x14ac:dyDescent="0.25">
      <c r="H12513" s="12"/>
      <c r="I12513" s="12"/>
      <c r="J12513" s="12"/>
      <c r="K12513" s="12"/>
      <c r="L12513" s="12"/>
      <c r="M12513" s="11"/>
      <c r="N12513" s="11"/>
      <c r="O12513" s="11"/>
      <c r="P12513" s="11"/>
    </row>
    <row r="12514" spans="8:16" x14ac:dyDescent="0.25">
      <c r="H12514" s="12"/>
      <c r="I12514" s="12"/>
      <c r="J12514" s="12"/>
      <c r="K12514" s="12"/>
      <c r="L12514" s="12"/>
      <c r="M12514" s="11"/>
      <c r="N12514" s="11"/>
      <c r="O12514" s="11"/>
      <c r="P12514" s="11"/>
    </row>
    <row r="12515" spans="8:16" x14ac:dyDescent="0.25">
      <c r="H12515" s="12"/>
      <c r="I12515" s="12"/>
      <c r="J12515" s="12"/>
      <c r="K12515" s="12"/>
      <c r="L12515" s="12"/>
      <c r="M12515" s="11"/>
      <c r="N12515" s="11"/>
      <c r="O12515" s="11"/>
      <c r="P12515" s="11"/>
    </row>
    <row r="12516" spans="8:16" x14ac:dyDescent="0.25">
      <c r="H12516" s="12"/>
      <c r="I12516" s="12"/>
      <c r="J12516" s="12"/>
      <c r="K12516" s="12"/>
      <c r="L12516" s="12"/>
      <c r="M12516" s="11"/>
      <c r="N12516" s="11"/>
      <c r="O12516" s="11"/>
      <c r="P12516" s="11"/>
    </row>
    <row r="12517" spans="8:16" x14ac:dyDescent="0.25">
      <c r="H12517" s="12"/>
      <c r="I12517" s="12"/>
      <c r="J12517" s="12"/>
      <c r="K12517" s="12"/>
      <c r="L12517" s="12"/>
      <c r="M12517" s="11"/>
      <c r="N12517" s="11"/>
      <c r="O12517" s="11"/>
      <c r="P12517" s="11"/>
    </row>
    <row r="12518" spans="8:16" x14ac:dyDescent="0.25">
      <c r="H12518" s="12"/>
      <c r="I12518" s="12"/>
      <c r="J12518" s="12"/>
      <c r="K12518" s="12"/>
      <c r="L12518" s="12"/>
      <c r="M12518" s="11"/>
      <c r="N12518" s="11"/>
      <c r="O12518" s="11"/>
      <c r="P12518" s="11"/>
    </row>
    <row r="12519" spans="8:16" x14ac:dyDescent="0.25">
      <c r="H12519" s="12"/>
      <c r="I12519" s="12"/>
      <c r="J12519" s="12"/>
      <c r="K12519" s="12"/>
      <c r="L12519" s="12"/>
      <c r="M12519" s="11"/>
      <c r="N12519" s="11"/>
      <c r="O12519" s="11"/>
      <c r="P12519" s="11"/>
    </row>
    <row r="12520" spans="8:16" x14ac:dyDescent="0.25">
      <c r="H12520" s="12"/>
      <c r="I12520" s="12"/>
      <c r="J12520" s="12"/>
      <c r="K12520" s="12"/>
      <c r="L12520" s="12"/>
      <c r="M12520" s="11"/>
      <c r="N12520" s="11"/>
      <c r="O12520" s="11"/>
      <c r="P12520" s="11"/>
    </row>
    <row r="12521" spans="8:16" x14ac:dyDescent="0.25">
      <c r="H12521" s="12"/>
      <c r="I12521" s="12"/>
      <c r="J12521" s="12"/>
      <c r="K12521" s="12"/>
      <c r="L12521" s="12"/>
      <c r="M12521" s="11"/>
      <c r="N12521" s="11"/>
      <c r="O12521" s="11"/>
      <c r="P12521" s="11"/>
    </row>
    <row r="12522" spans="8:16" x14ac:dyDescent="0.25">
      <c r="H12522" s="12"/>
      <c r="I12522" s="12"/>
      <c r="J12522" s="12"/>
      <c r="K12522" s="12"/>
      <c r="L12522" s="12"/>
      <c r="M12522" s="11"/>
      <c r="N12522" s="11"/>
      <c r="O12522" s="11"/>
      <c r="P12522" s="11"/>
    </row>
    <row r="12523" spans="8:16" x14ac:dyDescent="0.25">
      <c r="H12523" s="12"/>
      <c r="I12523" s="12"/>
      <c r="J12523" s="12"/>
      <c r="K12523" s="12"/>
      <c r="L12523" s="12"/>
      <c r="M12523" s="11"/>
      <c r="N12523" s="11"/>
      <c r="O12523" s="11"/>
      <c r="P12523" s="11"/>
    </row>
    <row r="12524" spans="8:16" x14ac:dyDescent="0.25">
      <c r="H12524" s="12"/>
      <c r="I12524" s="12"/>
      <c r="J12524" s="12"/>
      <c r="K12524" s="12"/>
      <c r="L12524" s="12"/>
      <c r="M12524" s="11"/>
      <c r="N12524" s="11"/>
      <c r="O12524" s="11"/>
      <c r="P12524" s="11"/>
    </row>
    <row r="12525" spans="8:16" x14ac:dyDescent="0.25">
      <c r="H12525" s="12"/>
      <c r="I12525" s="12"/>
      <c r="J12525" s="12"/>
      <c r="K12525" s="12"/>
      <c r="L12525" s="12"/>
      <c r="M12525" s="11"/>
      <c r="N12525" s="11"/>
      <c r="O12525" s="11"/>
      <c r="P12525" s="11"/>
    </row>
    <row r="12526" spans="8:16" x14ac:dyDescent="0.25">
      <c r="H12526" s="12"/>
      <c r="I12526" s="12"/>
      <c r="J12526" s="12"/>
      <c r="K12526" s="12"/>
      <c r="L12526" s="12"/>
      <c r="M12526" s="11"/>
      <c r="N12526" s="11"/>
      <c r="O12526" s="11"/>
      <c r="P12526" s="11"/>
    </row>
    <row r="12527" spans="8:16" x14ac:dyDescent="0.25">
      <c r="H12527" s="12"/>
      <c r="I12527" s="12"/>
      <c r="J12527" s="12"/>
      <c r="K12527" s="12"/>
      <c r="L12527" s="12"/>
      <c r="M12527" s="11"/>
      <c r="N12527" s="11"/>
      <c r="O12527" s="11"/>
      <c r="P12527" s="11"/>
    </row>
    <row r="12528" spans="8:16" x14ac:dyDescent="0.25">
      <c r="H12528" s="12"/>
      <c r="I12528" s="12"/>
      <c r="J12528" s="12"/>
      <c r="K12528" s="12"/>
      <c r="L12528" s="12"/>
      <c r="M12528" s="11"/>
      <c r="N12528" s="11"/>
      <c r="O12528" s="11"/>
      <c r="P12528" s="11"/>
    </row>
    <row r="12529" spans="8:16" x14ac:dyDescent="0.25">
      <c r="H12529" s="12"/>
      <c r="I12529" s="12"/>
      <c r="J12529" s="12"/>
      <c r="K12529" s="12"/>
      <c r="L12529" s="12"/>
      <c r="M12529" s="11"/>
      <c r="N12529" s="11"/>
      <c r="O12529" s="11"/>
      <c r="P12529" s="11"/>
    </row>
    <row r="12530" spans="8:16" x14ac:dyDescent="0.25">
      <c r="H12530" s="12"/>
      <c r="I12530" s="12"/>
      <c r="J12530" s="12"/>
      <c r="K12530" s="12"/>
      <c r="L12530" s="12"/>
      <c r="M12530" s="11"/>
      <c r="N12530" s="11"/>
      <c r="O12530" s="11"/>
      <c r="P12530" s="11"/>
    </row>
    <row r="12531" spans="8:16" x14ac:dyDescent="0.25">
      <c r="H12531" s="12"/>
      <c r="I12531" s="12"/>
      <c r="J12531" s="12"/>
      <c r="K12531" s="12"/>
      <c r="L12531" s="12"/>
      <c r="M12531" s="11"/>
      <c r="N12531" s="11"/>
      <c r="O12531" s="11"/>
      <c r="P12531" s="11"/>
    </row>
    <row r="12532" spans="8:16" x14ac:dyDescent="0.25">
      <c r="H12532" s="12"/>
      <c r="I12532" s="12"/>
      <c r="J12532" s="12"/>
      <c r="K12532" s="12"/>
      <c r="L12532" s="12"/>
      <c r="M12532" s="11"/>
      <c r="N12532" s="11"/>
      <c r="O12532" s="11"/>
      <c r="P12532" s="11"/>
    </row>
    <row r="12533" spans="8:16" x14ac:dyDescent="0.25">
      <c r="H12533" s="12"/>
      <c r="I12533" s="12"/>
      <c r="J12533" s="12"/>
      <c r="K12533" s="12"/>
      <c r="L12533" s="12"/>
      <c r="M12533" s="11"/>
      <c r="N12533" s="11"/>
      <c r="O12533" s="11"/>
      <c r="P12533" s="11"/>
    </row>
    <row r="12534" spans="8:16" x14ac:dyDescent="0.25">
      <c r="H12534" s="12"/>
      <c r="I12534" s="12"/>
      <c r="J12534" s="12"/>
      <c r="K12534" s="12"/>
      <c r="L12534" s="12"/>
      <c r="M12534" s="11"/>
      <c r="N12534" s="11"/>
      <c r="O12534" s="11"/>
      <c r="P12534" s="11"/>
    </row>
    <row r="12535" spans="8:16" x14ac:dyDescent="0.25">
      <c r="H12535" s="12"/>
      <c r="I12535" s="12"/>
      <c r="J12535" s="12"/>
      <c r="K12535" s="12"/>
      <c r="L12535" s="12"/>
      <c r="M12535" s="11"/>
      <c r="N12535" s="11"/>
      <c r="O12535" s="11"/>
      <c r="P12535" s="11"/>
    </row>
    <row r="12536" spans="8:16" x14ac:dyDescent="0.25">
      <c r="H12536" s="12"/>
      <c r="I12536" s="12"/>
      <c r="J12536" s="12"/>
      <c r="K12536" s="12"/>
      <c r="L12536" s="12"/>
      <c r="M12536" s="11"/>
      <c r="N12536" s="11"/>
      <c r="O12536" s="11"/>
      <c r="P12536" s="11"/>
    </row>
    <row r="12537" spans="8:16" x14ac:dyDescent="0.25">
      <c r="H12537" s="12"/>
      <c r="I12537" s="12"/>
      <c r="J12537" s="12"/>
      <c r="K12537" s="12"/>
      <c r="L12537" s="12"/>
      <c r="M12537" s="11"/>
      <c r="N12537" s="11"/>
      <c r="O12537" s="11"/>
      <c r="P12537" s="11"/>
    </row>
    <row r="12538" spans="8:16" x14ac:dyDescent="0.25">
      <c r="H12538" s="12"/>
      <c r="I12538" s="12"/>
      <c r="J12538" s="12"/>
      <c r="K12538" s="12"/>
      <c r="L12538" s="12"/>
      <c r="M12538" s="11"/>
      <c r="N12538" s="11"/>
      <c r="O12538" s="11"/>
      <c r="P12538" s="11"/>
    </row>
    <row r="12539" spans="8:16" x14ac:dyDescent="0.25">
      <c r="H12539" s="12"/>
      <c r="I12539" s="12"/>
      <c r="J12539" s="12"/>
      <c r="K12539" s="12"/>
      <c r="L12539" s="12"/>
      <c r="M12539" s="11"/>
      <c r="N12539" s="11"/>
      <c r="O12539" s="11"/>
      <c r="P12539" s="11"/>
    </row>
    <row r="12540" spans="8:16" x14ac:dyDescent="0.25">
      <c r="H12540" s="12"/>
      <c r="I12540" s="12"/>
      <c r="J12540" s="12"/>
      <c r="K12540" s="12"/>
      <c r="L12540" s="12"/>
      <c r="M12540" s="11"/>
      <c r="N12540" s="11"/>
      <c r="O12540" s="11"/>
      <c r="P12540" s="11"/>
    </row>
    <row r="12541" spans="8:16" x14ac:dyDescent="0.25">
      <c r="H12541" s="12"/>
      <c r="I12541" s="12"/>
      <c r="J12541" s="12"/>
      <c r="K12541" s="12"/>
      <c r="L12541" s="12"/>
      <c r="M12541" s="11"/>
      <c r="N12541" s="11"/>
      <c r="O12541" s="11"/>
      <c r="P12541" s="11"/>
    </row>
    <row r="12542" spans="8:16" x14ac:dyDescent="0.25">
      <c r="H12542" s="12"/>
      <c r="I12542" s="12"/>
      <c r="J12542" s="12"/>
      <c r="K12542" s="12"/>
      <c r="L12542" s="12"/>
      <c r="M12542" s="11"/>
      <c r="N12542" s="11"/>
      <c r="O12542" s="11"/>
      <c r="P12542" s="11"/>
    </row>
    <row r="12543" spans="8:16" x14ac:dyDescent="0.25">
      <c r="H12543" s="12"/>
      <c r="I12543" s="12"/>
      <c r="J12543" s="12"/>
      <c r="K12543" s="12"/>
      <c r="L12543" s="12"/>
      <c r="M12543" s="11"/>
      <c r="N12543" s="11"/>
      <c r="O12543" s="11"/>
      <c r="P12543" s="11"/>
    </row>
    <row r="12544" spans="8:16" x14ac:dyDescent="0.25">
      <c r="H12544" s="12"/>
      <c r="I12544" s="12"/>
      <c r="J12544" s="12"/>
      <c r="K12544" s="12"/>
      <c r="L12544" s="12"/>
      <c r="M12544" s="11"/>
      <c r="N12544" s="11"/>
      <c r="O12544" s="11"/>
      <c r="P12544" s="11"/>
    </row>
    <row r="12545" spans="8:16" x14ac:dyDescent="0.25">
      <c r="H12545" s="12"/>
      <c r="I12545" s="12"/>
      <c r="J12545" s="12"/>
      <c r="K12545" s="12"/>
      <c r="L12545" s="12"/>
      <c r="M12545" s="11"/>
      <c r="N12545" s="11"/>
      <c r="O12545" s="11"/>
      <c r="P12545" s="11"/>
    </row>
    <row r="12546" spans="8:16" x14ac:dyDescent="0.25">
      <c r="H12546" s="12"/>
      <c r="I12546" s="12"/>
      <c r="J12546" s="12"/>
      <c r="K12546" s="12"/>
      <c r="L12546" s="12"/>
      <c r="M12546" s="11"/>
      <c r="N12546" s="11"/>
      <c r="O12546" s="11"/>
      <c r="P12546" s="11"/>
    </row>
    <row r="12547" spans="8:16" x14ac:dyDescent="0.25">
      <c r="H12547" s="12"/>
      <c r="I12547" s="12"/>
      <c r="J12547" s="12"/>
      <c r="K12547" s="12"/>
      <c r="L12547" s="12"/>
      <c r="M12547" s="11"/>
      <c r="N12547" s="11"/>
      <c r="O12547" s="11"/>
      <c r="P12547" s="11"/>
    </row>
    <row r="12548" spans="8:16" x14ac:dyDescent="0.25">
      <c r="H12548" s="12"/>
      <c r="I12548" s="12"/>
      <c r="J12548" s="12"/>
      <c r="K12548" s="12"/>
      <c r="L12548" s="12"/>
      <c r="M12548" s="11"/>
      <c r="N12548" s="11"/>
      <c r="O12548" s="11"/>
      <c r="P12548" s="11"/>
    </row>
    <row r="12549" spans="8:16" x14ac:dyDescent="0.25">
      <c r="H12549" s="12"/>
      <c r="I12549" s="12"/>
      <c r="J12549" s="12"/>
      <c r="K12549" s="12"/>
      <c r="L12549" s="12"/>
      <c r="M12549" s="11"/>
      <c r="N12549" s="11"/>
      <c r="O12549" s="11"/>
      <c r="P12549" s="11"/>
    </row>
    <row r="12550" spans="8:16" x14ac:dyDescent="0.25">
      <c r="H12550" s="12"/>
      <c r="I12550" s="12"/>
      <c r="J12550" s="12"/>
      <c r="K12550" s="12"/>
      <c r="L12550" s="12"/>
      <c r="M12550" s="11"/>
      <c r="N12550" s="11"/>
      <c r="O12550" s="11"/>
      <c r="P12550" s="11"/>
    </row>
    <row r="12551" spans="8:16" x14ac:dyDescent="0.25">
      <c r="H12551" s="12"/>
      <c r="I12551" s="12"/>
      <c r="J12551" s="12"/>
      <c r="K12551" s="12"/>
      <c r="L12551" s="12"/>
      <c r="M12551" s="11"/>
      <c r="N12551" s="11"/>
      <c r="O12551" s="11"/>
      <c r="P12551" s="11"/>
    </row>
    <row r="12552" spans="8:16" x14ac:dyDescent="0.25">
      <c r="H12552" s="12"/>
      <c r="I12552" s="12"/>
      <c r="J12552" s="12"/>
      <c r="K12552" s="12"/>
      <c r="L12552" s="12"/>
      <c r="M12552" s="11"/>
      <c r="N12552" s="11"/>
      <c r="O12552" s="11"/>
      <c r="P12552" s="11"/>
    </row>
    <row r="12553" spans="8:16" x14ac:dyDescent="0.25">
      <c r="H12553" s="12"/>
      <c r="I12553" s="12"/>
      <c r="J12553" s="12"/>
      <c r="K12553" s="12"/>
      <c r="L12553" s="12"/>
      <c r="M12553" s="11"/>
      <c r="N12553" s="11"/>
      <c r="O12553" s="11"/>
      <c r="P12553" s="11"/>
    </row>
    <row r="12554" spans="8:16" x14ac:dyDescent="0.25">
      <c r="H12554" s="12"/>
      <c r="I12554" s="12"/>
      <c r="J12554" s="12"/>
      <c r="K12554" s="12"/>
      <c r="L12554" s="12"/>
      <c r="M12554" s="11"/>
      <c r="N12554" s="11"/>
      <c r="O12554" s="11"/>
      <c r="P12554" s="11"/>
    </row>
    <row r="12555" spans="8:16" x14ac:dyDescent="0.25">
      <c r="H12555" s="12"/>
      <c r="I12555" s="12"/>
      <c r="J12555" s="12"/>
      <c r="K12555" s="12"/>
      <c r="L12555" s="12"/>
      <c r="M12555" s="11"/>
      <c r="N12555" s="11"/>
      <c r="O12555" s="11"/>
      <c r="P12555" s="11"/>
    </row>
    <row r="12556" spans="8:16" x14ac:dyDescent="0.25">
      <c r="H12556" s="12"/>
      <c r="I12556" s="12"/>
      <c r="J12556" s="12"/>
      <c r="K12556" s="12"/>
      <c r="L12556" s="12"/>
      <c r="M12556" s="11"/>
      <c r="N12556" s="11"/>
      <c r="O12556" s="11"/>
      <c r="P12556" s="11"/>
    </row>
    <row r="12557" spans="8:16" x14ac:dyDescent="0.25">
      <c r="H12557" s="12"/>
      <c r="I12557" s="12"/>
      <c r="J12557" s="12"/>
      <c r="K12557" s="12"/>
      <c r="L12557" s="12"/>
      <c r="M12557" s="11"/>
      <c r="N12557" s="11"/>
      <c r="O12557" s="11"/>
      <c r="P12557" s="11"/>
    </row>
    <row r="12558" spans="8:16" x14ac:dyDescent="0.25">
      <c r="H12558" s="12"/>
      <c r="I12558" s="12"/>
      <c r="J12558" s="12"/>
      <c r="K12558" s="12"/>
      <c r="L12558" s="12"/>
      <c r="M12558" s="11"/>
      <c r="N12558" s="11"/>
      <c r="O12558" s="11"/>
      <c r="P12558" s="11"/>
    </row>
    <row r="12559" spans="8:16" x14ac:dyDescent="0.25">
      <c r="H12559" s="12"/>
      <c r="I12559" s="12"/>
      <c r="J12559" s="12"/>
      <c r="K12559" s="12"/>
      <c r="L12559" s="12"/>
      <c r="M12559" s="11"/>
      <c r="N12559" s="11"/>
      <c r="O12559" s="11"/>
      <c r="P12559" s="11"/>
    </row>
    <row r="12560" spans="8:16" x14ac:dyDescent="0.25">
      <c r="H12560" s="12"/>
      <c r="I12560" s="12"/>
      <c r="J12560" s="12"/>
      <c r="K12560" s="12"/>
      <c r="L12560" s="12"/>
      <c r="M12560" s="11"/>
      <c r="N12560" s="11"/>
      <c r="O12560" s="11"/>
      <c r="P12560" s="11"/>
    </row>
    <row r="12561" spans="8:16" x14ac:dyDescent="0.25">
      <c r="H12561" s="12"/>
      <c r="I12561" s="12"/>
      <c r="J12561" s="12"/>
      <c r="K12561" s="12"/>
      <c r="L12561" s="12"/>
      <c r="M12561" s="11"/>
      <c r="N12561" s="11"/>
      <c r="O12561" s="11"/>
      <c r="P12561" s="11"/>
    </row>
    <row r="12562" spans="8:16" x14ac:dyDescent="0.25">
      <c r="H12562" s="12"/>
      <c r="I12562" s="12"/>
      <c r="J12562" s="12"/>
      <c r="K12562" s="12"/>
      <c r="L12562" s="12"/>
      <c r="M12562" s="11"/>
      <c r="N12562" s="11"/>
      <c r="O12562" s="11"/>
      <c r="P12562" s="11"/>
    </row>
    <row r="12563" spans="8:16" x14ac:dyDescent="0.25">
      <c r="H12563" s="12"/>
      <c r="I12563" s="12"/>
      <c r="J12563" s="12"/>
      <c r="K12563" s="12"/>
      <c r="L12563" s="12"/>
      <c r="M12563" s="11"/>
      <c r="N12563" s="11"/>
      <c r="O12563" s="11"/>
      <c r="P12563" s="11"/>
    </row>
    <row r="12564" spans="8:16" x14ac:dyDescent="0.25">
      <c r="H12564" s="12"/>
      <c r="I12564" s="12"/>
      <c r="J12564" s="12"/>
      <c r="K12564" s="12"/>
      <c r="L12564" s="12"/>
      <c r="M12564" s="11"/>
      <c r="N12564" s="11"/>
      <c r="O12564" s="11"/>
      <c r="P12564" s="11"/>
    </row>
    <row r="12565" spans="8:16" x14ac:dyDescent="0.25">
      <c r="H12565" s="12"/>
      <c r="I12565" s="12"/>
      <c r="J12565" s="12"/>
      <c r="K12565" s="12"/>
      <c r="L12565" s="12"/>
      <c r="M12565" s="11"/>
      <c r="N12565" s="11"/>
      <c r="O12565" s="11"/>
      <c r="P12565" s="11"/>
    </row>
    <row r="12566" spans="8:16" x14ac:dyDescent="0.25">
      <c r="H12566" s="12"/>
      <c r="I12566" s="12"/>
      <c r="J12566" s="12"/>
      <c r="K12566" s="12"/>
      <c r="L12566" s="12"/>
      <c r="M12566" s="11"/>
      <c r="N12566" s="11"/>
      <c r="O12566" s="11"/>
      <c r="P12566" s="11"/>
    </row>
    <row r="12567" spans="8:16" x14ac:dyDescent="0.25">
      <c r="H12567" s="12"/>
      <c r="I12567" s="12"/>
      <c r="J12567" s="12"/>
      <c r="K12567" s="12"/>
      <c r="L12567" s="12"/>
      <c r="M12567" s="11"/>
      <c r="N12567" s="11"/>
      <c r="O12567" s="11"/>
      <c r="P12567" s="11"/>
    </row>
    <row r="12568" spans="8:16" x14ac:dyDescent="0.25">
      <c r="H12568" s="12"/>
      <c r="I12568" s="12"/>
      <c r="J12568" s="12"/>
      <c r="K12568" s="12"/>
      <c r="L12568" s="12"/>
      <c r="M12568" s="11"/>
      <c r="N12568" s="11"/>
      <c r="O12568" s="11"/>
      <c r="P12568" s="11"/>
    </row>
    <row r="12569" spans="8:16" x14ac:dyDescent="0.25">
      <c r="H12569" s="12"/>
      <c r="I12569" s="12"/>
      <c r="J12569" s="12"/>
      <c r="K12569" s="12"/>
      <c r="L12569" s="12"/>
      <c r="M12569" s="11"/>
      <c r="N12569" s="11"/>
      <c r="O12569" s="11"/>
      <c r="P12569" s="11"/>
    </row>
    <row r="12570" spans="8:16" x14ac:dyDescent="0.25">
      <c r="H12570" s="12"/>
      <c r="I12570" s="12"/>
      <c r="J12570" s="12"/>
      <c r="K12570" s="12"/>
      <c r="L12570" s="12"/>
      <c r="M12570" s="11"/>
      <c r="N12570" s="11"/>
      <c r="O12570" s="11"/>
      <c r="P12570" s="11"/>
    </row>
    <row r="12571" spans="8:16" x14ac:dyDescent="0.25">
      <c r="H12571" s="12"/>
      <c r="I12571" s="12"/>
      <c r="J12571" s="12"/>
      <c r="K12571" s="12"/>
      <c r="L12571" s="12"/>
      <c r="M12571" s="11"/>
      <c r="N12571" s="11"/>
      <c r="O12571" s="11"/>
      <c r="P12571" s="11"/>
    </row>
    <row r="12572" spans="8:16" x14ac:dyDescent="0.25">
      <c r="H12572" s="12"/>
      <c r="I12572" s="12"/>
      <c r="J12572" s="12"/>
      <c r="K12572" s="12"/>
      <c r="L12572" s="12"/>
      <c r="M12572" s="11"/>
      <c r="N12572" s="11"/>
      <c r="O12572" s="11"/>
      <c r="P12572" s="11"/>
    </row>
    <row r="12573" spans="8:16" x14ac:dyDescent="0.25">
      <c r="H12573" s="12"/>
      <c r="I12573" s="12"/>
      <c r="J12573" s="12"/>
      <c r="K12573" s="12"/>
      <c r="L12573" s="12"/>
      <c r="M12573" s="11"/>
      <c r="N12573" s="11"/>
      <c r="O12573" s="11"/>
      <c r="P12573" s="11"/>
    </row>
    <row r="12574" spans="8:16" x14ac:dyDescent="0.25">
      <c r="H12574" s="12"/>
      <c r="I12574" s="12"/>
      <c r="J12574" s="12"/>
      <c r="K12574" s="12"/>
      <c r="L12574" s="12"/>
      <c r="M12574" s="11"/>
      <c r="N12574" s="11"/>
      <c r="O12574" s="11"/>
      <c r="P12574" s="11"/>
    </row>
    <row r="12575" spans="8:16" x14ac:dyDescent="0.25">
      <c r="H12575" s="12"/>
      <c r="I12575" s="12"/>
      <c r="J12575" s="12"/>
      <c r="K12575" s="12"/>
      <c r="L12575" s="12"/>
      <c r="M12575" s="11"/>
      <c r="N12575" s="11"/>
      <c r="O12575" s="11"/>
      <c r="P12575" s="11"/>
    </row>
    <row r="12576" spans="8:16" x14ac:dyDescent="0.25">
      <c r="H12576" s="12"/>
      <c r="I12576" s="12"/>
      <c r="J12576" s="12"/>
      <c r="K12576" s="12"/>
      <c r="L12576" s="12"/>
      <c r="M12576" s="11"/>
      <c r="N12576" s="11"/>
      <c r="O12576" s="11"/>
      <c r="P12576" s="11"/>
    </row>
    <row r="12577" spans="8:16" x14ac:dyDescent="0.25">
      <c r="H12577" s="12"/>
      <c r="I12577" s="12"/>
      <c r="J12577" s="12"/>
      <c r="K12577" s="12"/>
      <c r="L12577" s="12"/>
      <c r="M12577" s="11"/>
      <c r="N12577" s="11"/>
      <c r="O12577" s="11"/>
      <c r="P12577" s="11"/>
    </row>
    <row r="12578" spans="8:16" x14ac:dyDescent="0.25">
      <c r="H12578" s="12"/>
      <c r="I12578" s="12"/>
      <c r="J12578" s="12"/>
      <c r="K12578" s="12"/>
      <c r="L12578" s="12"/>
      <c r="M12578" s="11"/>
      <c r="N12578" s="11"/>
      <c r="O12578" s="11"/>
      <c r="P12578" s="11"/>
    </row>
    <row r="12579" spans="8:16" x14ac:dyDescent="0.25">
      <c r="H12579" s="12"/>
      <c r="I12579" s="12"/>
      <c r="J12579" s="12"/>
      <c r="K12579" s="12"/>
      <c r="L12579" s="12"/>
      <c r="M12579" s="11"/>
      <c r="N12579" s="11"/>
      <c r="O12579" s="11"/>
      <c r="P12579" s="11"/>
    </row>
    <row r="12580" spans="8:16" x14ac:dyDescent="0.25">
      <c r="H12580" s="12"/>
      <c r="I12580" s="12"/>
      <c r="J12580" s="12"/>
      <c r="K12580" s="12"/>
      <c r="L12580" s="12"/>
      <c r="M12580" s="11"/>
      <c r="N12580" s="11"/>
      <c r="O12580" s="11"/>
      <c r="P12580" s="11"/>
    </row>
    <row r="12581" spans="8:16" x14ac:dyDescent="0.25">
      <c r="H12581" s="12"/>
      <c r="I12581" s="12"/>
      <c r="J12581" s="12"/>
      <c r="K12581" s="12"/>
      <c r="L12581" s="12"/>
      <c r="M12581" s="11"/>
      <c r="N12581" s="11"/>
      <c r="O12581" s="11"/>
      <c r="P12581" s="11"/>
    </row>
    <row r="12582" spans="8:16" x14ac:dyDescent="0.25">
      <c r="H12582" s="12"/>
      <c r="I12582" s="12"/>
      <c r="J12582" s="12"/>
      <c r="K12582" s="12"/>
      <c r="L12582" s="12"/>
      <c r="M12582" s="11"/>
      <c r="N12582" s="11"/>
      <c r="O12582" s="11"/>
      <c r="P12582" s="11"/>
    </row>
    <row r="12583" spans="8:16" x14ac:dyDescent="0.25">
      <c r="H12583" s="12"/>
      <c r="I12583" s="12"/>
      <c r="J12583" s="12"/>
      <c r="K12583" s="12"/>
      <c r="L12583" s="12"/>
      <c r="M12583" s="11"/>
      <c r="N12583" s="11"/>
      <c r="O12583" s="11"/>
      <c r="P12583" s="11"/>
    </row>
    <row r="12584" spans="8:16" x14ac:dyDescent="0.25">
      <c r="H12584" s="12"/>
      <c r="I12584" s="12"/>
      <c r="J12584" s="12"/>
      <c r="K12584" s="12"/>
      <c r="L12584" s="12"/>
      <c r="M12584" s="11"/>
      <c r="N12584" s="11"/>
      <c r="O12584" s="11"/>
      <c r="P12584" s="11"/>
    </row>
    <row r="12585" spans="8:16" x14ac:dyDescent="0.25">
      <c r="H12585" s="12"/>
      <c r="I12585" s="12"/>
      <c r="J12585" s="12"/>
      <c r="K12585" s="12"/>
      <c r="L12585" s="12"/>
      <c r="M12585" s="11"/>
      <c r="N12585" s="11"/>
      <c r="O12585" s="11"/>
      <c r="P12585" s="11"/>
    </row>
    <row r="12586" spans="8:16" x14ac:dyDescent="0.25">
      <c r="H12586" s="12"/>
      <c r="I12586" s="12"/>
      <c r="J12586" s="12"/>
      <c r="K12586" s="12"/>
      <c r="L12586" s="12"/>
      <c r="M12586" s="11"/>
      <c r="N12586" s="11"/>
      <c r="O12586" s="11"/>
      <c r="P12586" s="11"/>
    </row>
    <row r="12587" spans="8:16" x14ac:dyDescent="0.25">
      <c r="H12587" s="12"/>
      <c r="I12587" s="12"/>
      <c r="J12587" s="12"/>
      <c r="K12587" s="12"/>
      <c r="L12587" s="12"/>
      <c r="M12587" s="11"/>
      <c r="N12587" s="11"/>
      <c r="O12587" s="11"/>
      <c r="P12587" s="11"/>
    </row>
    <row r="12588" spans="8:16" x14ac:dyDescent="0.25">
      <c r="H12588" s="12"/>
      <c r="I12588" s="12"/>
      <c r="J12588" s="12"/>
      <c r="K12588" s="12"/>
      <c r="L12588" s="12"/>
      <c r="M12588" s="11"/>
      <c r="N12588" s="11"/>
      <c r="O12588" s="11"/>
      <c r="P12588" s="11"/>
    </row>
    <row r="12589" spans="8:16" x14ac:dyDescent="0.25">
      <c r="H12589" s="12"/>
      <c r="I12589" s="12"/>
      <c r="J12589" s="12"/>
      <c r="K12589" s="12"/>
      <c r="L12589" s="12"/>
      <c r="M12589" s="11"/>
      <c r="N12589" s="11"/>
      <c r="O12589" s="11"/>
      <c r="P12589" s="11"/>
    </row>
    <row r="12590" spans="8:16" x14ac:dyDescent="0.25">
      <c r="H12590" s="12"/>
      <c r="I12590" s="12"/>
      <c r="J12590" s="12"/>
      <c r="K12590" s="12"/>
      <c r="L12590" s="12"/>
      <c r="M12590" s="11"/>
      <c r="N12590" s="11"/>
      <c r="O12590" s="11"/>
      <c r="P12590" s="11"/>
    </row>
    <row r="12591" spans="8:16" x14ac:dyDescent="0.25">
      <c r="H12591" s="12"/>
      <c r="I12591" s="12"/>
      <c r="J12591" s="12"/>
      <c r="K12591" s="12"/>
      <c r="L12591" s="12"/>
      <c r="M12591" s="11"/>
      <c r="N12591" s="11"/>
      <c r="O12591" s="11"/>
      <c r="P12591" s="11"/>
    </row>
    <row r="12592" spans="8:16" x14ac:dyDescent="0.25">
      <c r="H12592" s="12"/>
      <c r="I12592" s="12"/>
      <c r="J12592" s="12"/>
      <c r="K12592" s="12"/>
      <c r="L12592" s="12"/>
      <c r="M12592" s="11"/>
      <c r="N12592" s="11"/>
      <c r="O12592" s="11"/>
      <c r="P12592" s="11"/>
    </row>
    <row r="12593" spans="8:16" x14ac:dyDescent="0.25">
      <c r="H12593" s="12"/>
      <c r="I12593" s="12"/>
      <c r="J12593" s="12"/>
      <c r="K12593" s="12"/>
      <c r="L12593" s="12"/>
      <c r="M12593" s="11"/>
      <c r="N12593" s="11"/>
      <c r="O12593" s="11"/>
      <c r="P12593" s="11"/>
    </row>
    <row r="12594" spans="8:16" x14ac:dyDescent="0.25">
      <c r="H12594" s="12"/>
      <c r="I12594" s="12"/>
      <c r="J12594" s="12"/>
      <c r="K12594" s="12"/>
      <c r="L12594" s="12"/>
      <c r="M12594" s="11"/>
      <c r="N12594" s="11"/>
      <c r="O12594" s="11"/>
      <c r="P12594" s="11"/>
    </row>
    <row r="12595" spans="8:16" x14ac:dyDescent="0.25">
      <c r="H12595" s="12"/>
      <c r="I12595" s="12"/>
      <c r="J12595" s="12"/>
      <c r="K12595" s="12"/>
      <c r="L12595" s="12"/>
      <c r="M12595" s="11"/>
      <c r="N12595" s="11"/>
      <c r="O12595" s="11"/>
      <c r="P12595" s="11"/>
    </row>
    <row r="12596" spans="8:16" x14ac:dyDescent="0.25">
      <c r="H12596" s="12"/>
      <c r="I12596" s="12"/>
      <c r="J12596" s="12"/>
      <c r="K12596" s="12"/>
      <c r="L12596" s="12"/>
      <c r="M12596" s="11"/>
      <c r="N12596" s="11"/>
      <c r="O12596" s="11"/>
      <c r="P12596" s="11"/>
    </row>
    <row r="12597" spans="8:16" x14ac:dyDescent="0.25">
      <c r="H12597" s="12"/>
      <c r="I12597" s="12"/>
      <c r="J12597" s="12"/>
      <c r="K12597" s="12"/>
      <c r="L12597" s="12"/>
      <c r="M12597" s="11"/>
      <c r="N12597" s="11"/>
      <c r="O12597" s="11"/>
      <c r="P12597" s="11"/>
    </row>
    <row r="12598" spans="8:16" x14ac:dyDescent="0.25">
      <c r="H12598" s="12"/>
      <c r="I12598" s="12"/>
      <c r="J12598" s="12"/>
      <c r="K12598" s="12"/>
      <c r="L12598" s="12"/>
      <c r="M12598" s="11"/>
      <c r="N12598" s="11"/>
      <c r="O12598" s="11"/>
      <c r="P12598" s="11"/>
    </row>
    <row r="12599" spans="8:16" x14ac:dyDescent="0.25">
      <c r="H12599" s="12"/>
      <c r="I12599" s="12"/>
      <c r="J12599" s="12"/>
      <c r="K12599" s="12"/>
      <c r="L12599" s="12"/>
      <c r="M12599" s="11"/>
      <c r="N12599" s="11"/>
      <c r="O12599" s="11"/>
      <c r="P12599" s="11"/>
    </row>
    <row r="12600" spans="8:16" x14ac:dyDescent="0.25">
      <c r="H12600" s="12"/>
      <c r="I12600" s="12"/>
      <c r="J12600" s="12"/>
      <c r="K12600" s="12"/>
      <c r="L12600" s="12"/>
      <c r="M12600" s="11"/>
      <c r="N12600" s="11"/>
      <c r="O12600" s="11"/>
      <c r="P12600" s="11"/>
    </row>
    <row r="12601" spans="8:16" x14ac:dyDescent="0.25">
      <c r="H12601" s="12"/>
      <c r="I12601" s="12"/>
      <c r="J12601" s="12"/>
      <c r="K12601" s="12"/>
      <c r="L12601" s="12"/>
      <c r="M12601" s="11"/>
      <c r="N12601" s="11"/>
      <c r="O12601" s="11"/>
      <c r="P12601" s="11"/>
    </row>
    <row r="12602" spans="8:16" x14ac:dyDescent="0.25">
      <c r="H12602" s="12"/>
      <c r="I12602" s="12"/>
      <c r="J12602" s="12"/>
      <c r="K12602" s="12"/>
      <c r="L12602" s="12"/>
      <c r="M12602" s="11"/>
      <c r="N12602" s="11"/>
      <c r="O12602" s="11"/>
      <c r="P12602" s="11"/>
    </row>
    <row r="12603" spans="8:16" x14ac:dyDescent="0.25">
      <c r="H12603" s="12"/>
      <c r="I12603" s="12"/>
      <c r="J12603" s="12"/>
      <c r="K12603" s="12"/>
      <c r="L12603" s="12"/>
      <c r="M12603" s="11"/>
      <c r="N12603" s="11"/>
      <c r="O12603" s="11"/>
      <c r="P12603" s="11"/>
    </row>
    <row r="12604" spans="8:16" x14ac:dyDescent="0.25">
      <c r="H12604" s="12"/>
      <c r="I12604" s="12"/>
      <c r="J12604" s="12"/>
      <c r="K12604" s="12"/>
      <c r="L12604" s="12"/>
      <c r="M12604" s="11"/>
      <c r="N12604" s="11"/>
      <c r="O12604" s="11"/>
      <c r="P12604" s="11"/>
    </row>
    <row r="12605" spans="8:16" x14ac:dyDescent="0.25">
      <c r="H12605" s="12"/>
      <c r="I12605" s="12"/>
      <c r="J12605" s="12"/>
      <c r="K12605" s="12"/>
      <c r="L12605" s="12"/>
      <c r="M12605" s="11"/>
      <c r="N12605" s="11"/>
      <c r="O12605" s="11"/>
      <c r="P12605" s="11"/>
    </row>
    <row r="12606" spans="8:16" x14ac:dyDescent="0.25">
      <c r="H12606" s="12"/>
      <c r="I12606" s="12"/>
      <c r="J12606" s="12"/>
      <c r="K12606" s="12"/>
      <c r="L12606" s="12"/>
      <c r="M12606" s="11"/>
      <c r="N12606" s="11"/>
      <c r="O12606" s="11"/>
      <c r="P12606" s="11"/>
    </row>
    <row r="12607" spans="8:16" x14ac:dyDescent="0.25">
      <c r="H12607" s="12"/>
      <c r="I12607" s="12"/>
      <c r="J12607" s="12"/>
      <c r="K12607" s="12"/>
      <c r="L12607" s="12"/>
      <c r="M12607" s="11"/>
      <c r="N12607" s="11"/>
      <c r="O12607" s="11"/>
      <c r="P12607" s="11"/>
    </row>
    <row r="12608" spans="8:16" x14ac:dyDescent="0.25">
      <c r="H12608" s="12"/>
      <c r="I12608" s="12"/>
      <c r="J12608" s="12"/>
      <c r="K12608" s="12"/>
      <c r="L12608" s="12"/>
      <c r="M12608" s="11"/>
      <c r="N12608" s="11"/>
      <c r="O12608" s="11"/>
      <c r="P12608" s="11"/>
    </row>
    <row r="12609" spans="8:16" x14ac:dyDescent="0.25">
      <c r="H12609" s="12"/>
      <c r="I12609" s="12"/>
      <c r="J12609" s="12"/>
      <c r="K12609" s="12"/>
      <c r="L12609" s="12"/>
      <c r="M12609" s="11"/>
      <c r="N12609" s="11"/>
      <c r="O12609" s="11"/>
      <c r="P12609" s="11"/>
    </row>
    <row r="12610" spans="8:16" x14ac:dyDescent="0.25">
      <c r="H12610" s="12"/>
      <c r="I12610" s="12"/>
      <c r="J12610" s="12"/>
      <c r="K12610" s="12"/>
      <c r="L12610" s="12"/>
      <c r="M12610" s="11"/>
      <c r="N12610" s="11"/>
      <c r="O12610" s="11"/>
      <c r="P12610" s="11"/>
    </row>
    <row r="12611" spans="8:16" x14ac:dyDescent="0.25">
      <c r="H12611" s="12"/>
      <c r="I12611" s="12"/>
      <c r="J12611" s="12"/>
      <c r="K12611" s="12"/>
      <c r="L12611" s="12"/>
      <c r="M12611" s="11"/>
      <c r="N12611" s="11"/>
      <c r="O12611" s="11"/>
      <c r="P12611" s="11"/>
    </row>
    <row r="12612" spans="8:16" x14ac:dyDescent="0.25">
      <c r="H12612" s="12"/>
      <c r="I12612" s="12"/>
      <c r="J12612" s="12"/>
      <c r="K12612" s="12"/>
      <c r="L12612" s="12"/>
      <c r="M12612" s="11"/>
      <c r="N12612" s="11"/>
      <c r="O12612" s="11"/>
      <c r="P12612" s="11"/>
    </row>
    <row r="12613" spans="8:16" x14ac:dyDescent="0.25">
      <c r="H12613" s="12"/>
      <c r="I12613" s="12"/>
      <c r="J12613" s="12"/>
      <c r="K12613" s="12"/>
      <c r="L12613" s="12"/>
      <c r="M12613" s="11"/>
      <c r="N12613" s="11"/>
      <c r="O12613" s="11"/>
      <c r="P12613" s="11"/>
    </row>
    <row r="12614" spans="8:16" x14ac:dyDescent="0.25">
      <c r="H12614" s="12"/>
      <c r="I12614" s="12"/>
      <c r="J12614" s="12"/>
      <c r="K12614" s="12"/>
      <c r="L12614" s="12"/>
      <c r="M12614" s="11"/>
      <c r="N12614" s="11"/>
      <c r="O12614" s="11"/>
      <c r="P12614" s="11"/>
    </row>
    <row r="12615" spans="8:16" x14ac:dyDescent="0.25">
      <c r="H12615" s="12"/>
      <c r="I12615" s="12"/>
      <c r="J12615" s="12"/>
      <c r="K12615" s="12"/>
      <c r="L12615" s="12"/>
      <c r="M12615" s="11"/>
      <c r="N12615" s="11"/>
      <c r="O12615" s="11"/>
      <c r="P12615" s="11"/>
    </row>
    <row r="12616" spans="8:16" x14ac:dyDescent="0.25">
      <c r="H12616" s="12"/>
      <c r="I12616" s="12"/>
      <c r="J12616" s="12"/>
      <c r="K12616" s="12"/>
      <c r="L12616" s="12"/>
      <c r="M12616" s="11"/>
      <c r="N12616" s="11"/>
      <c r="O12616" s="11"/>
      <c r="P12616" s="11"/>
    </row>
    <row r="12617" spans="8:16" x14ac:dyDescent="0.25">
      <c r="H12617" s="12"/>
      <c r="I12617" s="12"/>
      <c r="J12617" s="12"/>
      <c r="K12617" s="12"/>
      <c r="L12617" s="12"/>
      <c r="M12617" s="11"/>
      <c r="N12617" s="11"/>
      <c r="O12617" s="11"/>
      <c r="P12617" s="11"/>
    </row>
    <row r="12618" spans="8:16" x14ac:dyDescent="0.25">
      <c r="H12618" s="12"/>
      <c r="I12618" s="12"/>
      <c r="J12618" s="12"/>
      <c r="K12618" s="12"/>
      <c r="L12618" s="12"/>
      <c r="M12618" s="11"/>
      <c r="N12618" s="11"/>
      <c r="O12618" s="11"/>
      <c r="P12618" s="11"/>
    </row>
    <row r="12619" spans="8:16" x14ac:dyDescent="0.25">
      <c r="H12619" s="12"/>
      <c r="I12619" s="12"/>
      <c r="J12619" s="12"/>
      <c r="K12619" s="12"/>
      <c r="L12619" s="12"/>
      <c r="M12619" s="11"/>
      <c r="N12619" s="11"/>
      <c r="O12619" s="11"/>
      <c r="P12619" s="11"/>
    </row>
    <row r="12620" spans="8:16" x14ac:dyDescent="0.25">
      <c r="H12620" s="12"/>
      <c r="I12620" s="12"/>
      <c r="J12620" s="12"/>
      <c r="K12620" s="12"/>
      <c r="L12620" s="12"/>
      <c r="M12620" s="11"/>
      <c r="N12620" s="11"/>
      <c r="O12620" s="11"/>
      <c r="P12620" s="11"/>
    </row>
    <row r="12621" spans="8:16" x14ac:dyDescent="0.25">
      <c r="H12621" s="12"/>
      <c r="I12621" s="12"/>
      <c r="J12621" s="12"/>
      <c r="K12621" s="12"/>
      <c r="L12621" s="12"/>
      <c r="M12621" s="11"/>
      <c r="N12621" s="11"/>
      <c r="O12621" s="11"/>
      <c r="P12621" s="11"/>
    </row>
    <row r="12622" spans="8:16" x14ac:dyDescent="0.25">
      <c r="H12622" s="12"/>
      <c r="I12622" s="12"/>
      <c r="J12622" s="12"/>
      <c r="K12622" s="12"/>
      <c r="L12622" s="12"/>
      <c r="M12622" s="11"/>
      <c r="N12622" s="11"/>
      <c r="O12622" s="11"/>
      <c r="P12622" s="11"/>
    </row>
    <row r="12623" spans="8:16" x14ac:dyDescent="0.25">
      <c r="H12623" s="12"/>
      <c r="I12623" s="12"/>
      <c r="J12623" s="12"/>
      <c r="K12623" s="12"/>
      <c r="L12623" s="12"/>
      <c r="M12623" s="11"/>
      <c r="N12623" s="11"/>
      <c r="O12623" s="11"/>
      <c r="P12623" s="11"/>
    </row>
    <row r="12624" spans="8:16" x14ac:dyDescent="0.25">
      <c r="H12624" s="12"/>
      <c r="I12624" s="12"/>
      <c r="J12624" s="12"/>
      <c r="K12624" s="12"/>
      <c r="L12624" s="12"/>
      <c r="M12624" s="11"/>
      <c r="N12624" s="11"/>
      <c r="O12624" s="11"/>
      <c r="P12624" s="11"/>
    </row>
    <row r="12625" spans="8:16" x14ac:dyDescent="0.25">
      <c r="H12625" s="12"/>
      <c r="I12625" s="12"/>
      <c r="J12625" s="12"/>
      <c r="K12625" s="12"/>
      <c r="L12625" s="12"/>
      <c r="M12625" s="11"/>
      <c r="N12625" s="11"/>
      <c r="O12625" s="11"/>
      <c r="P12625" s="11"/>
    </row>
    <row r="12626" spans="8:16" x14ac:dyDescent="0.25">
      <c r="H12626" s="12"/>
      <c r="I12626" s="12"/>
      <c r="J12626" s="12"/>
      <c r="K12626" s="12"/>
      <c r="L12626" s="12"/>
      <c r="M12626" s="11"/>
      <c r="N12626" s="11"/>
      <c r="O12626" s="11"/>
      <c r="P12626" s="11"/>
    </row>
    <row r="12627" spans="8:16" x14ac:dyDescent="0.25">
      <c r="H12627" s="12"/>
      <c r="I12627" s="12"/>
      <c r="J12627" s="12"/>
      <c r="K12627" s="12"/>
      <c r="L12627" s="12"/>
      <c r="M12627" s="11"/>
      <c r="N12627" s="11"/>
      <c r="O12627" s="11"/>
      <c r="P12627" s="11"/>
    </row>
    <row r="12628" spans="8:16" x14ac:dyDescent="0.25">
      <c r="H12628" s="12"/>
      <c r="I12628" s="12"/>
      <c r="J12628" s="12"/>
      <c r="K12628" s="12"/>
      <c r="L12628" s="12"/>
      <c r="M12628" s="11"/>
      <c r="N12628" s="11"/>
      <c r="O12628" s="11"/>
      <c r="P12628" s="11"/>
    </row>
    <row r="12629" spans="8:16" x14ac:dyDescent="0.25">
      <c r="H12629" s="12"/>
      <c r="I12629" s="12"/>
      <c r="J12629" s="12"/>
      <c r="K12629" s="12"/>
      <c r="L12629" s="12"/>
      <c r="M12629" s="11"/>
      <c r="N12629" s="11"/>
      <c r="O12629" s="11"/>
      <c r="P12629" s="11"/>
    </row>
    <row r="12630" spans="8:16" x14ac:dyDescent="0.25">
      <c r="H12630" s="12"/>
      <c r="I12630" s="12"/>
      <c r="J12630" s="12"/>
      <c r="K12630" s="12"/>
      <c r="L12630" s="12"/>
      <c r="M12630" s="11"/>
      <c r="N12630" s="11"/>
      <c r="O12630" s="11"/>
      <c r="P12630" s="11"/>
    </row>
    <row r="12631" spans="8:16" x14ac:dyDescent="0.25">
      <c r="H12631" s="12"/>
      <c r="I12631" s="12"/>
      <c r="J12631" s="12"/>
      <c r="K12631" s="12"/>
      <c r="L12631" s="12"/>
      <c r="M12631" s="11"/>
      <c r="N12631" s="11"/>
      <c r="O12631" s="11"/>
      <c r="P12631" s="11"/>
    </row>
    <row r="12632" spans="8:16" x14ac:dyDescent="0.25">
      <c r="H12632" s="12"/>
      <c r="I12632" s="12"/>
      <c r="J12632" s="12"/>
      <c r="K12632" s="12"/>
      <c r="L12632" s="12"/>
      <c r="M12632" s="11"/>
      <c r="N12632" s="11"/>
      <c r="O12632" s="11"/>
      <c r="P12632" s="11"/>
    </row>
    <row r="12633" spans="8:16" x14ac:dyDescent="0.25">
      <c r="H12633" s="12"/>
      <c r="I12633" s="12"/>
      <c r="J12633" s="12"/>
      <c r="K12633" s="12"/>
      <c r="L12633" s="12"/>
      <c r="M12633" s="11"/>
      <c r="N12633" s="11"/>
      <c r="O12633" s="11"/>
      <c r="P12633" s="11"/>
    </row>
    <row r="12634" spans="8:16" x14ac:dyDescent="0.25">
      <c r="H12634" s="12"/>
      <c r="I12634" s="12"/>
      <c r="J12634" s="12"/>
      <c r="K12634" s="12"/>
      <c r="L12634" s="12"/>
      <c r="M12634" s="11"/>
      <c r="N12634" s="11"/>
      <c r="O12634" s="11"/>
      <c r="P12634" s="11"/>
    </row>
    <row r="12635" spans="8:16" x14ac:dyDescent="0.25">
      <c r="H12635" s="12"/>
      <c r="I12635" s="12"/>
      <c r="J12635" s="12"/>
      <c r="K12635" s="12"/>
      <c r="L12635" s="12"/>
      <c r="M12635" s="11"/>
      <c r="N12635" s="11"/>
      <c r="O12635" s="11"/>
      <c r="P12635" s="11"/>
    </row>
    <row r="12636" spans="8:16" x14ac:dyDescent="0.25">
      <c r="H12636" s="12"/>
      <c r="I12636" s="12"/>
      <c r="J12636" s="12"/>
      <c r="K12636" s="12"/>
      <c r="L12636" s="12"/>
      <c r="M12636" s="11"/>
      <c r="N12636" s="11"/>
      <c r="O12636" s="11"/>
      <c r="P12636" s="11"/>
    </row>
    <row r="12637" spans="8:16" x14ac:dyDescent="0.25">
      <c r="H12637" s="12"/>
      <c r="I12637" s="12"/>
      <c r="J12637" s="12"/>
      <c r="K12637" s="12"/>
      <c r="L12637" s="12"/>
      <c r="M12637" s="11"/>
      <c r="N12637" s="11"/>
      <c r="O12637" s="11"/>
      <c r="P12637" s="11"/>
    </row>
    <row r="12638" spans="8:16" x14ac:dyDescent="0.25">
      <c r="H12638" s="12"/>
      <c r="I12638" s="12"/>
      <c r="J12638" s="12"/>
      <c r="K12638" s="12"/>
      <c r="L12638" s="12"/>
      <c r="M12638" s="11"/>
      <c r="N12638" s="11"/>
      <c r="O12638" s="11"/>
      <c r="P12638" s="11"/>
    </row>
    <row r="12639" spans="8:16" x14ac:dyDescent="0.25">
      <c r="H12639" s="12"/>
      <c r="I12639" s="12"/>
      <c r="J12639" s="12"/>
      <c r="K12639" s="12"/>
      <c r="L12639" s="12"/>
      <c r="M12639" s="11"/>
      <c r="N12639" s="11"/>
      <c r="O12639" s="11"/>
      <c r="P12639" s="11"/>
    </row>
    <row r="12640" spans="8:16" x14ac:dyDescent="0.25">
      <c r="H12640" s="12"/>
      <c r="I12640" s="12"/>
      <c r="J12640" s="12"/>
      <c r="K12640" s="12"/>
      <c r="L12640" s="12"/>
      <c r="M12640" s="11"/>
      <c r="N12640" s="11"/>
      <c r="O12640" s="11"/>
      <c r="P12640" s="11"/>
    </row>
    <row r="12641" spans="8:16" x14ac:dyDescent="0.25">
      <c r="H12641" s="12"/>
      <c r="I12641" s="12"/>
      <c r="J12641" s="12"/>
      <c r="K12641" s="12"/>
      <c r="L12641" s="12"/>
      <c r="M12641" s="11"/>
      <c r="N12641" s="11"/>
      <c r="O12641" s="11"/>
      <c r="P12641" s="11"/>
    </row>
    <row r="12642" spans="8:16" x14ac:dyDescent="0.25">
      <c r="H12642" s="12"/>
      <c r="I12642" s="12"/>
      <c r="J12642" s="12"/>
      <c r="K12642" s="12"/>
      <c r="L12642" s="12"/>
      <c r="M12642" s="11"/>
      <c r="N12642" s="11"/>
      <c r="O12642" s="11"/>
      <c r="P12642" s="11"/>
    </row>
    <row r="12643" spans="8:16" x14ac:dyDescent="0.25">
      <c r="H12643" s="12"/>
      <c r="I12643" s="12"/>
      <c r="J12643" s="12"/>
      <c r="K12643" s="12"/>
      <c r="L12643" s="12"/>
      <c r="M12643" s="11"/>
      <c r="N12643" s="11"/>
      <c r="O12643" s="11"/>
      <c r="P12643" s="11"/>
    </row>
    <row r="12644" spans="8:16" x14ac:dyDescent="0.25">
      <c r="H12644" s="12"/>
      <c r="I12644" s="12"/>
      <c r="J12644" s="12"/>
      <c r="K12644" s="12"/>
      <c r="L12644" s="12"/>
      <c r="M12644" s="11"/>
      <c r="N12644" s="11"/>
      <c r="O12644" s="11"/>
      <c r="P12644" s="11"/>
    </row>
    <row r="12645" spans="8:16" x14ac:dyDescent="0.25">
      <c r="H12645" s="12"/>
      <c r="I12645" s="12"/>
      <c r="J12645" s="12"/>
      <c r="K12645" s="12"/>
      <c r="L12645" s="12"/>
      <c r="M12645" s="11"/>
      <c r="N12645" s="11"/>
      <c r="O12645" s="11"/>
      <c r="P12645" s="11"/>
    </row>
    <row r="12646" spans="8:16" x14ac:dyDescent="0.25">
      <c r="H12646" s="12"/>
      <c r="I12646" s="12"/>
      <c r="J12646" s="12"/>
      <c r="K12646" s="12"/>
      <c r="L12646" s="12"/>
      <c r="M12646" s="11"/>
      <c r="N12646" s="11"/>
      <c r="O12646" s="11"/>
      <c r="P12646" s="11"/>
    </row>
    <row r="12647" spans="8:16" x14ac:dyDescent="0.25">
      <c r="H12647" s="12"/>
      <c r="I12647" s="12"/>
      <c r="J12647" s="12"/>
      <c r="K12647" s="12"/>
      <c r="L12647" s="12"/>
      <c r="M12647" s="11"/>
      <c r="N12647" s="11"/>
      <c r="O12647" s="11"/>
      <c r="P12647" s="11"/>
    </row>
    <row r="12648" spans="8:16" x14ac:dyDescent="0.25">
      <c r="H12648" s="12"/>
      <c r="I12648" s="12"/>
      <c r="J12648" s="12"/>
      <c r="K12648" s="12"/>
      <c r="L12648" s="12"/>
      <c r="M12648" s="11"/>
      <c r="N12648" s="11"/>
      <c r="O12648" s="11"/>
      <c r="P12648" s="11"/>
    </row>
    <row r="12649" spans="8:16" x14ac:dyDescent="0.25">
      <c r="H12649" s="12"/>
      <c r="I12649" s="12"/>
      <c r="J12649" s="12"/>
      <c r="K12649" s="12"/>
      <c r="L12649" s="12"/>
      <c r="M12649" s="11"/>
      <c r="N12649" s="11"/>
      <c r="O12649" s="11"/>
      <c r="P12649" s="11"/>
    </row>
    <row r="12650" spans="8:16" x14ac:dyDescent="0.25">
      <c r="H12650" s="12"/>
      <c r="I12650" s="12"/>
      <c r="J12650" s="12"/>
      <c r="K12650" s="12"/>
      <c r="L12650" s="12"/>
      <c r="M12650" s="11"/>
      <c r="N12650" s="11"/>
      <c r="O12650" s="11"/>
      <c r="P12650" s="11"/>
    </row>
    <row r="12651" spans="8:16" x14ac:dyDescent="0.25">
      <c r="H12651" s="12"/>
      <c r="I12651" s="12"/>
      <c r="J12651" s="12"/>
      <c r="K12651" s="12"/>
      <c r="L12651" s="12"/>
      <c r="M12651" s="11"/>
      <c r="N12651" s="11"/>
      <c r="O12651" s="11"/>
      <c r="P12651" s="11"/>
    </row>
    <row r="12652" spans="8:16" x14ac:dyDescent="0.25">
      <c r="H12652" s="12"/>
      <c r="I12652" s="12"/>
      <c r="J12652" s="12"/>
      <c r="K12652" s="12"/>
      <c r="L12652" s="12"/>
      <c r="M12652" s="11"/>
      <c r="N12652" s="11"/>
      <c r="O12652" s="11"/>
      <c r="P12652" s="11"/>
    </row>
    <row r="12653" spans="8:16" x14ac:dyDescent="0.25">
      <c r="H12653" s="12"/>
      <c r="I12653" s="12"/>
      <c r="J12653" s="12"/>
      <c r="K12653" s="12"/>
      <c r="L12653" s="12"/>
      <c r="M12653" s="11"/>
      <c r="N12653" s="11"/>
      <c r="O12653" s="11"/>
      <c r="P12653" s="11"/>
    </row>
    <row r="12654" spans="8:16" x14ac:dyDescent="0.25">
      <c r="H12654" s="12"/>
      <c r="I12654" s="12"/>
      <c r="J12654" s="12"/>
      <c r="K12654" s="12"/>
      <c r="L12654" s="12"/>
      <c r="M12654" s="11"/>
      <c r="N12654" s="11"/>
      <c r="O12654" s="11"/>
      <c r="P12654" s="11"/>
    </row>
    <row r="12655" spans="8:16" x14ac:dyDescent="0.25">
      <c r="H12655" s="12"/>
      <c r="I12655" s="12"/>
      <c r="J12655" s="12"/>
      <c r="K12655" s="12"/>
      <c r="L12655" s="12"/>
      <c r="M12655" s="11"/>
      <c r="N12655" s="11"/>
      <c r="O12655" s="11"/>
      <c r="P12655" s="11"/>
    </row>
    <row r="12656" spans="8:16" x14ac:dyDescent="0.25">
      <c r="H12656" s="12"/>
      <c r="I12656" s="12"/>
      <c r="J12656" s="12"/>
      <c r="K12656" s="12"/>
      <c r="L12656" s="12"/>
      <c r="M12656" s="11"/>
      <c r="N12656" s="11"/>
      <c r="O12656" s="11"/>
      <c r="P12656" s="11"/>
    </row>
    <row r="12657" spans="8:16" x14ac:dyDescent="0.25">
      <c r="H12657" s="12"/>
      <c r="I12657" s="12"/>
      <c r="J12657" s="12"/>
      <c r="K12657" s="12"/>
      <c r="L12657" s="12"/>
      <c r="M12657" s="11"/>
      <c r="N12657" s="11"/>
      <c r="O12657" s="11"/>
      <c r="P12657" s="11"/>
    </row>
    <row r="12658" spans="8:16" x14ac:dyDescent="0.25">
      <c r="H12658" s="12"/>
      <c r="I12658" s="12"/>
      <c r="J12658" s="12"/>
      <c r="K12658" s="12"/>
      <c r="L12658" s="12"/>
      <c r="M12658" s="11"/>
      <c r="N12658" s="11"/>
      <c r="O12658" s="11"/>
      <c r="P12658" s="11"/>
    </row>
    <row r="12659" spans="8:16" x14ac:dyDescent="0.25">
      <c r="H12659" s="12"/>
      <c r="I12659" s="12"/>
      <c r="J12659" s="12"/>
      <c r="K12659" s="12"/>
      <c r="L12659" s="12"/>
      <c r="M12659" s="11"/>
      <c r="N12659" s="11"/>
      <c r="O12659" s="11"/>
      <c r="P12659" s="11"/>
    </row>
    <row r="12660" spans="8:16" x14ac:dyDescent="0.25">
      <c r="H12660" s="12"/>
      <c r="I12660" s="12"/>
      <c r="J12660" s="12"/>
      <c r="K12660" s="12"/>
      <c r="L12660" s="12"/>
      <c r="M12660" s="11"/>
      <c r="N12660" s="11"/>
      <c r="O12660" s="11"/>
      <c r="P12660" s="11"/>
    </row>
    <row r="12661" spans="8:16" x14ac:dyDescent="0.25">
      <c r="H12661" s="12"/>
      <c r="I12661" s="12"/>
      <c r="J12661" s="12"/>
      <c r="K12661" s="12"/>
      <c r="L12661" s="12"/>
      <c r="M12661" s="11"/>
      <c r="N12661" s="11"/>
      <c r="O12661" s="11"/>
      <c r="P12661" s="11"/>
    </row>
    <row r="12662" spans="8:16" x14ac:dyDescent="0.25">
      <c r="H12662" s="12"/>
      <c r="I12662" s="12"/>
      <c r="J12662" s="12"/>
      <c r="K12662" s="12"/>
      <c r="L12662" s="12"/>
      <c r="M12662" s="11"/>
      <c r="N12662" s="11"/>
      <c r="O12662" s="11"/>
      <c r="P12662" s="11"/>
    </row>
    <row r="12663" spans="8:16" x14ac:dyDescent="0.25">
      <c r="H12663" s="12"/>
      <c r="I12663" s="12"/>
      <c r="J12663" s="12"/>
      <c r="K12663" s="12"/>
      <c r="L12663" s="12"/>
      <c r="M12663" s="11"/>
      <c r="N12663" s="11"/>
      <c r="O12663" s="11"/>
      <c r="P12663" s="11"/>
    </row>
    <row r="12664" spans="8:16" x14ac:dyDescent="0.25">
      <c r="H12664" s="12"/>
      <c r="I12664" s="12"/>
      <c r="J12664" s="12"/>
      <c r="K12664" s="12"/>
      <c r="L12664" s="12"/>
      <c r="M12664" s="11"/>
      <c r="N12664" s="11"/>
      <c r="O12664" s="11"/>
      <c r="P12664" s="11"/>
    </row>
    <row r="12665" spans="8:16" x14ac:dyDescent="0.25">
      <c r="H12665" s="12"/>
      <c r="I12665" s="12"/>
      <c r="J12665" s="12"/>
      <c r="K12665" s="12"/>
      <c r="L12665" s="12"/>
      <c r="M12665" s="11"/>
      <c r="N12665" s="11"/>
      <c r="O12665" s="11"/>
      <c r="P12665" s="11"/>
    </row>
    <row r="12666" spans="8:16" x14ac:dyDescent="0.25">
      <c r="H12666" s="12"/>
      <c r="I12666" s="12"/>
      <c r="J12666" s="12"/>
      <c r="K12666" s="12"/>
      <c r="L12666" s="12"/>
      <c r="M12666" s="11"/>
      <c r="N12666" s="11"/>
      <c r="O12666" s="11"/>
      <c r="P12666" s="11"/>
    </row>
    <row r="12667" spans="8:16" x14ac:dyDescent="0.25">
      <c r="H12667" s="12"/>
      <c r="I12667" s="12"/>
      <c r="J12667" s="12"/>
      <c r="K12667" s="12"/>
      <c r="L12667" s="12"/>
      <c r="M12667" s="11"/>
      <c r="N12667" s="11"/>
      <c r="O12667" s="11"/>
      <c r="P12667" s="11"/>
    </row>
    <row r="12668" spans="8:16" x14ac:dyDescent="0.25">
      <c r="H12668" s="12"/>
      <c r="I12668" s="12"/>
      <c r="J12668" s="12"/>
      <c r="K12668" s="12"/>
      <c r="L12668" s="12"/>
      <c r="M12668" s="11"/>
      <c r="N12668" s="11"/>
      <c r="O12668" s="11"/>
      <c r="P12668" s="11"/>
    </row>
    <row r="12669" spans="8:16" x14ac:dyDescent="0.25">
      <c r="H12669" s="12"/>
      <c r="I12669" s="12"/>
      <c r="J12669" s="12"/>
      <c r="K12669" s="12"/>
      <c r="L12669" s="12"/>
      <c r="M12669" s="11"/>
      <c r="N12669" s="11"/>
      <c r="O12669" s="11"/>
      <c r="P12669" s="11"/>
    </row>
    <row r="12670" spans="8:16" x14ac:dyDescent="0.25">
      <c r="H12670" s="12"/>
      <c r="I12670" s="12"/>
      <c r="J12670" s="12"/>
      <c r="K12670" s="12"/>
      <c r="L12670" s="12"/>
      <c r="M12670" s="11"/>
      <c r="N12670" s="11"/>
      <c r="O12670" s="11"/>
      <c r="P12670" s="11"/>
    </row>
    <row r="12671" spans="8:16" x14ac:dyDescent="0.25">
      <c r="H12671" s="12"/>
      <c r="I12671" s="12"/>
      <c r="J12671" s="12"/>
      <c r="K12671" s="12"/>
      <c r="L12671" s="12"/>
      <c r="M12671" s="11"/>
      <c r="N12671" s="11"/>
      <c r="O12671" s="11"/>
      <c r="P12671" s="11"/>
    </row>
    <row r="12672" spans="8:16" x14ac:dyDescent="0.25">
      <c r="H12672" s="12"/>
      <c r="I12672" s="12"/>
      <c r="J12672" s="12"/>
      <c r="K12672" s="12"/>
      <c r="L12672" s="12"/>
      <c r="M12672" s="11"/>
      <c r="N12672" s="11"/>
      <c r="O12672" s="11"/>
      <c r="P12672" s="11"/>
    </row>
    <row r="12673" spans="8:16" x14ac:dyDescent="0.25">
      <c r="H12673" s="12"/>
      <c r="I12673" s="12"/>
      <c r="J12673" s="12"/>
      <c r="K12673" s="12"/>
      <c r="L12673" s="12"/>
      <c r="M12673" s="11"/>
      <c r="N12673" s="11"/>
      <c r="O12673" s="11"/>
      <c r="P12673" s="11"/>
    </row>
    <row r="12674" spans="8:16" x14ac:dyDescent="0.25">
      <c r="H12674" s="12"/>
      <c r="I12674" s="12"/>
      <c r="J12674" s="12"/>
      <c r="K12674" s="12"/>
      <c r="L12674" s="12"/>
      <c r="M12674" s="11"/>
      <c r="N12674" s="11"/>
      <c r="O12674" s="11"/>
      <c r="P12674" s="11"/>
    </row>
    <row r="12675" spans="8:16" x14ac:dyDescent="0.25">
      <c r="H12675" s="12"/>
      <c r="I12675" s="12"/>
      <c r="J12675" s="12"/>
      <c r="K12675" s="12"/>
      <c r="L12675" s="12"/>
      <c r="M12675" s="11"/>
      <c r="N12675" s="11"/>
      <c r="O12675" s="11"/>
      <c r="P12675" s="11"/>
    </row>
    <row r="12676" spans="8:16" x14ac:dyDescent="0.25">
      <c r="H12676" s="12"/>
      <c r="I12676" s="12"/>
      <c r="J12676" s="12"/>
      <c r="K12676" s="12"/>
      <c r="L12676" s="12"/>
      <c r="M12676" s="11"/>
      <c r="N12676" s="11"/>
      <c r="O12676" s="11"/>
      <c r="P12676" s="11"/>
    </row>
    <row r="12677" spans="8:16" x14ac:dyDescent="0.25">
      <c r="H12677" s="12"/>
      <c r="I12677" s="12"/>
      <c r="J12677" s="12"/>
      <c r="K12677" s="12"/>
      <c r="L12677" s="12"/>
      <c r="M12677" s="11"/>
      <c r="N12677" s="11"/>
      <c r="O12677" s="11"/>
      <c r="P12677" s="11"/>
    </row>
    <row r="12678" spans="8:16" x14ac:dyDescent="0.25">
      <c r="H12678" s="12"/>
      <c r="I12678" s="12"/>
      <c r="J12678" s="12"/>
      <c r="K12678" s="12"/>
      <c r="L12678" s="12"/>
      <c r="M12678" s="11"/>
      <c r="N12678" s="11"/>
      <c r="O12678" s="11"/>
      <c r="P12678" s="11"/>
    </row>
    <row r="12679" spans="8:16" x14ac:dyDescent="0.25">
      <c r="H12679" s="12"/>
      <c r="I12679" s="12"/>
      <c r="J12679" s="12"/>
      <c r="K12679" s="12"/>
      <c r="L12679" s="12"/>
      <c r="M12679" s="11"/>
      <c r="N12679" s="11"/>
      <c r="O12679" s="11"/>
      <c r="P12679" s="11"/>
    </row>
    <row r="12680" spans="8:16" x14ac:dyDescent="0.25">
      <c r="H12680" s="12"/>
      <c r="I12680" s="12"/>
      <c r="J12680" s="12"/>
      <c r="K12680" s="12"/>
      <c r="L12680" s="12"/>
      <c r="M12680" s="11"/>
      <c r="N12680" s="11"/>
      <c r="O12680" s="11"/>
      <c r="P12680" s="11"/>
    </row>
    <row r="12681" spans="8:16" x14ac:dyDescent="0.25">
      <c r="H12681" s="12"/>
      <c r="I12681" s="12"/>
      <c r="J12681" s="12"/>
      <c r="K12681" s="12"/>
      <c r="L12681" s="12"/>
      <c r="M12681" s="11"/>
      <c r="N12681" s="11"/>
      <c r="O12681" s="11"/>
      <c r="P12681" s="11"/>
    </row>
    <row r="12682" spans="8:16" x14ac:dyDescent="0.25">
      <c r="H12682" s="12"/>
      <c r="I12682" s="12"/>
      <c r="J12682" s="12"/>
      <c r="K12682" s="12"/>
      <c r="L12682" s="12"/>
      <c r="M12682" s="11"/>
      <c r="N12682" s="11"/>
      <c r="O12682" s="11"/>
      <c r="P12682" s="11"/>
    </row>
    <row r="12683" spans="8:16" x14ac:dyDescent="0.25">
      <c r="H12683" s="12"/>
      <c r="I12683" s="12"/>
      <c r="J12683" s="12"/>
      <c r="K12683" s="12"/>
      <c r="L12683" s="12"/>
      <c r="M12683" s="11"/>
      <c r="N12683" s="11"/>
      <c r="O12683" s="11"/>
      <c r="P12683" s="11"/>
    </row>
    <row r="12684" spans="8:16" x14ac:dyDescent="0.25">
      <c r="H12684" s="12"/>
      <c r="I12684" s="12"/>
      <c r="J12684" s="12"/>
      <c r="K12684" s="12"/>
      <c r="L12684" s="12"/>
      <c r="M12684" s="11"/>
      <c r="N12684" s="11"/>
      <c r="O12684" s="11"/>
      <c r="P12684" s="11"/>
    </row>
    <row r="12685" spans="8:16" x14ac:dyDescent="0.25">
      <c r="H12685" s="12"/>
      <c r="I12685" s="12"/>
      <c r="J12685" s="12"/>
      <c r="K12685" s="12"/>
      <c r="L12685" s="12"/>
      <c r="M12685" s="11"/>
      <c r="N12685" s="11"/>
      <c r="O12685" s="11"/>
      <c r="P12685" s="11"/>
    </row>
    <row r="12686" spans="8:16" x14ac:dyDescent="0.25">
      <c r="H12686" s="12"/>
      <c r="I12686" s="12"/>
      <c r="J12686" s="12"/>
      <c r="K12686" s="12"/>
      <c r="L12686" s="12"/>
      <c r="M12686" s="11"/>
      <c r="N12686" s="11"/>
      <c r="O12686" s="11"/>
      <c r="P12686" s="11"/>
    </row>
    <row r="12687" spans="8:16" x14ac:dyDescent="0.25">
      <c r="H12687" s="12"/>
      <c r="I12687" s="12"/>
      <c r="J12687" s="12"/>
      <c r="K12687" s="12"/>
      <c r="L12687" s="12"/>
      <c r="M12687" s="11"/>
      <c r="N12687" s="11"/>
      <c r="O12687" s="11"/>
      <c r="P12687" s="11"/>
    </row>
    <row r="12688" spans="8:16" x14ac:dyDescent="0.25">
      <c r="H12688" s="12"/>
      <c r="I12688" s="12"/>
      <c r="J12688" s="12"/>
      <c r="K12688" s="12"/>
      <c r="L12688" s="12"/>
      <c r="M12688" s="11"/>
      <c r="N12688" s="11"/>
      <c r="O12688" s="11"/>
      <c r="P12688" s="11"/>
    </row>
    <row r="12689" spans="8:16" x14ac:dyDescent="0.25">
      <c r="H12689" s="12"/>
      <c r="I12689" s="12"/>
      <c r="J12689" s="12"/>
      <c r="K12689" s="12"/>
      <c r="L12689" s="12"/>
      <c r="M12689" s="11"/>
      <c r="N12689" s="11"/>
      <c r="O12689" s="11"/>
      <c r="P12689" s="11"/>
    </row>
    <row r="12690" spans="8:16" x14ac:dyDescent="0.25">
      <c r="H12690" s="12"/>
      <c r="I12690" s="12"/>
      <c r="J12690" s="12"/>
      <c r="K12690" s="12"/>
      <c r="L12690" s="12"/>
      <c r="M12690" s="11"/>
      <c r="N12690" s="11"/>
      <c r="O12690" s="11"/>
      <c r="P12690" s="11"/>
    </row>
    <row r="12691" spans="8:16" x14ac:dyDescent="0.25">
      <c r="H12691" s="12"/>
      <c r="I12691" s="12"/>
      <c r="J12691" s="12"/>
      <c r="K12691" s="12"/>
      <c r="L12691" s="12"/>
      <c r="M12691" s="11"/>
      <c r="N12691" s="11"/>
      <c r="O12691" s="11"/>
      <c r="P12691" s="11"/>
    </row>
    <row r="12692" spans="8:16" x14ac:dyDescent="0.25">
      <c r="H12692" s="12"/>
      <c r="I12692" s="12"/>
      <c r="J12692" s="12"/>
      <c r="K12692" s="12"/>
      <c r="L12692" s="12"/>
      <c r="M12692" s="11"/>
      <c r="N12692" s="11"/>
      <c r="O12692" s="11"/>
      <c r="P12692" s="11"/>
    </row>
    <row r="12693" spans="8:16" x14ac:dyDescent="0.25">
      <c r="H12693" s="12"/>
      <c r="I12693" s="12"/>
      <c r="J12693" s="12"/>
      <c r="K12693" s="12"/>
      <c r="L12693" s="12"/>
      <c r="M12693" s="11"/>
      <c r="N12693" s="11"/>
      <c r="O12693" s="11"/>
      <c r="P12693" s="11"/>
    </row>
    <row r="12694" spans="8:16" x14ac:dyDescent="0.25">
      <c r="H12694" s="12"/>
      <c r="I12694" s="12"/>
      <c r="J12694" s="12"/>
      <c r="K12694" s="12"/>
      <c r="L12694" s="12"/>
      <c r="M12694" s="11"/>
      <c r="N12694" s="11"/>
      <c r="O12694" s="11"/>
      <c r="P12694" s="11"/>
    </row>
    <row r="12695" spans="8:16" x14ac:dyDescent="0.25">
      <c r="H12695" s="12"/>
      <c r="I12695" s="12"/>
      <c r="J12695" s="12"/>
      <c r="K12695" s="12"/>
      <c r="L12695" s="12"/>
      <c r="M12695" s="11"/>
      <c r="N12695" s="11"/>
      <c r="O12695" s="11"/>
      <c r="P12695" s="11"/>
    </row>
    <row r="12696" spans="8:16" x14ac:dyDescent="0.25">
      <c r="H12696" s="12"/>
      <c r="I12696" s="12"/>
      <c r="J12696" s="12"/>
      <c r="K12696" s="12"/>
      <c r="L12696" s="12"/>
      <c r="M12696" s="11"/>
      <c r="N12696" s="11"/>
      <c r="O12696" s="11"/>
      <c r="P12696" s="11"/>
    </row>
    <row r="12697" spans="8:16" x14ac:dyDescent="0.25">
      <c r="H12697" s="12"/>
      <c r="I12697" s="12"/>
      <c r="J12697" s="12"/>
      <c r="K12697" s="12"/>
      <c r="L12697" s="12"/>
      <c r="M12697" s="11"/>
      <c r="N12697" s="11"/>
      <c r="O12697" s="11"/>
      <c r="P12697" s="11"/>
    </row>
    <row r="12698" spans="8:16" x14ac:dyDescent="0.25">
      <c r="H12698" s="12"/>
      <c r="I12698" s="12"/>
      <c r="J12698" s="12"/>
      <c r="K12698" s="12"/>
      <c r="L12698" s="12"/>
      <c r="M12698" s="11"/>
      <c r="N12698" s="11"/>
      <c r="O12698" s="11"/>
      <c r="P12698" s="11"/>
    </row>
    <row r="12699" spans="8:16" x14ac:dyDescent="0.25">
      <c r="H12699" s="12"/>
      <c r="I12699" s="12"/>
      <c r="J12699" s="12"/>
      <c r="K12699" s="12"/>
      <c r="L12699" s="12"/>
      <c r="M12699" s="11"/>
      <c r="N12699" s="11"/>
      <c r="O12699" s="11"/>
      <c r="P12699" s="11"/>
    </row>
    <row r="12700" spans="8:16" x14ac:dyDescent="0.25">
      <c r="H12700" s="12"/>
      <c r="I12700" s="12"/>
      <c r="J12700" s="12"/>
      <c r="K12700" s="12"/>
      <c r="L12700" s="12"/>
      <c r="M12700" s="11"/>
      <c r="N12700" s="11"/>
      <c r="O12700" s="11"/>
      <c r="P12700" s="11"/>
    </row>
    <row r="12701" spans="8:16" x14ac:dyDescent="0.25">
      <c r="H12701" s="12"/>
      <c r="I12701" s="12"/>
      <c r="J12701" s="12"/>
      <c r="K12701" s="12"/>
      <c r="L12701" s="12"/>
      <c r="M12701" s="11"/>
      <c r="N12701" s="11"/>
      <c r="O12701" s="11"/>
      <c r="P12701" s="11"/>
    </row>
    <row r="12702" spans="8:16" x14ac:dyDescent="0.25">
      <c r="H12702" s="12"/>
      <c r="I12702" s="12"/>
      <c r="J12702" s="12"/>
      <c r="K12702" s="12"/>
      <c r="L12702" s="12"/>
      <c r="M12702" s="11"/>
      <c r="N12702" s="11"/>
      <c r="O12702" s="11"/>
      <c r="P12702" s="11"/>
    </row>
    <row r="12703" spans="8:16" x14ac:dyDescent="0.25">
      <c r="H12703" s="12"/>
      <c r="I12703" s="12"/>
      <c r="J12703" s="12"/>
      <c r="K12703" s="12"/>
      <c r="L12703" s="12"/>
      <c r="M12703" s="11"/>
      <c r="N12703" s="11"/>
      <c r="O12703" s="11"/>
      <c r="P12703" s="11"/>
    </row>
    <row r="12704" spans="8:16" x14ac:dyDescent="0.25">
      <c r="H12704" s="12"/>
      <c r="I12704" s="12"/>
      <c r="J12704" s="12"/>
      <c r="K12704" s="12"/>
      <c r="L12704" s="12"/>
      <c r="M12704" s="11"/>
      <c r="N12704" s="11"/>
      <c r="O12704" s="11"/>
      <c r="P12704" s="11"/>
    </row>
    <row r="12705" spans="8:16" x14ac:dyDescent="0.25">
      <c r="H12705" s="12"/>
      <c r="I12705" s="12"/>
      <c r="J12705" s="12"/>
      <c r="K12705" s="12"/>
      <c r="L12705" s="12"/>
      <c r="M12705" s="11"/>
      <c r="N12705" s="11"/>
      <c r="O12705" s="11"/>
      <c r="P12705" s="11"/>
    </row>
    <row r="12706" spans="8:16" x14ac:dyDescent="0.25">
      <c r="H12706" s="12"/>
      <c r="I12706" s="12"/>
      <c r="J12706" s="12"/>
      <c r="K12706" s="12"/>
      <c r="L12706" s="12"/>
      <c r="M12706" s="11"/>
      <c r="N12706" s="11"/>
      <c r="O12706" s="11"/>
      <c r="P12706" s="11"/>
    </row>
    <row r="12707" spans="8:16" x14ac:dyDescent="0.25">
      <c r="H12707" s="12"/>
      <c r="I12707" s="12"/>
      <c r="J12707" s="12"/>
      <c r="K12707" s="12"/>
      <c r="L12707" s="12"/>
      <c r="M12707" s="11"/>
      <c r="N12707" s="11"/>
      <c r="O12707" s="11"/>
      <c r="P12707" s="11"/>
    </row>
    <row r="12708" spans="8:16" x14ac:dyDescent="0.25">
      <c r="H12708" s="12"/>
      <c r="I12708" s="12"/>
      <c r="J12708" s="12"/>
      <c r="K12708" s="12"/>
      <c r="L12708" s="12"/>
      <c r="M12708" s="11"/>
      <c r="N12708" s="11"/>
      <c r="O12708" s="11"/>
      <c r="P12708" s="11"/>
    </row>
    <row r="12709" spans="8:16" x14ac:dyDescent="0.25">
      <c r="H12709" s="12"/>
      <c r="I12709" s="12"/>
      <c r="J12709" s="12"/>
      <c r="K12709" s="12"/>
      <c r="L12709" s="12"/>
      <c r="M12709" s="11"/>
      <c r="N12709" s="11"/>
      <c r="O12709" s="11"/>
      <c r="P12709" s="11"/>
    </row>
    <row r="12710" spans="8:16" x14ac:dyDescent="0.25">
      <c r="H12710" s="12"/>
      <c r="I12710" s="12"/>
      <c r="J12710" s="12"/>
      <c r="K12710" s="12"/>
      <c r="L12710" s="12"/>
      <c r="M12710" s="11"/>
      <c r="N12710" s="11"/>
      <c r="O12710" s="11"/>
      <c r="P12710" s="11"/>
    </row>
    <row r="12711" spans="8:16" x14ac:dyDescent="0.25">
      <c r="H12711" s="12"/>
      <c r="I12711" s="12"/>
      <c r="J12711" s="12"/>
      <c r="K12711" s="12"/>
      <c r="L12711" s="12"/>
      <c r="M12711" s="11"/>
      <c r="N12711" s="11"/>
      <c r="O12711" s="11"/>
      <c r="P12711" s="11"/>
    </row>
    <row r="12712" spans="8:16" x14ac:dyDescent="0.25">
      <c r="H12712" s="12"/>
      <c r="I12712" s="12"/>
      <c r="J12712" s="12"/>
      <c r="K12712" s="12"/>
      <c r="L12712" s="12"/>
      <c r="M12712" s="11"/>
      <c r="N12712" s="11"/>
      <c r="O12712" s="11"/>
      <c r="P12712" s="11"/>
    </row>
    <row r="12713" spans="8:16" x14ac:dyDescent="0.25">
      <c r="H12713" s="12"/>
      <c r="I12713" s="12"/>
      <c r="J12713" s="12"/>
      <c r="K12713" s="12"/>
      <c r="L12713" s="12"/>
      <c r="M12713" s="11"/>
      <c r="N12713" s="11"/>
      <c r="O12713" s="11"/>
      <c r="P12713" s="11"/>
    </row>
    <row r="12714" spans="8:16" x14ac:dyDescent="0.25">
      <c r="H12714" s="12"/>
      <c r="I12714" s="12"/>
      <c r="J12714" s="12"/>
      <c r="K12714" s="12"/>
      <c r="L12714" s="12"/>
      <c r="M12714" s="11"/>
      <c r="N12714" s="11"/>
      <c r="O12714" s="11"/>
      <c r="P12714" s="11"/>
    </row>
    <row r="12715" spans="8:16" x14ac:dyDescent="0.25">
      <c r="H12715" s="12"/>
      <c r="I12715" s="12"/>
      <c r="J12715" s="12"/>
      <c r="K12715" s="12"/>
      <c r="L12715" s="12"/>
      <c r="M12715" s="11"/>
      <c r="N12715" s="11"/>
      <c r="O12715" s="11"/>
      <c r="P12715" s="11"/>
    </row>
    <row r="12716" spans="8:16" x14ac:dyDescent="0.25">
      <c r="H12716" s="12"/>
      <c r="I12716" s="12"/>
      <c r="J12716" s="12"/>
      <c r="K12716" s="12"/>
      <c r="L12716" s="12"/>
      <c r="M12716" s="11"/>
      <c r="N12716" s="11"/>
      <c r="O12716" s="11"/>
      <c r="P12716" s="11"/>
    </row>
    <row r="12717" spans="8:16" x14ac:dyDescent="0.25">
      <c r="H12717" s="12"/>
      <c r="I12717" s="12"/>
      <c r="J12717" s="12"/>
      <c r="K12717" s="12"/>
      <c r="L12717" s="12"/>
      <c r="M12717" s="11"/>
      <c r="N12717" s="11"/>
      <c r="O12717" s="11"/>
      <c r="P12717" s="11"/>
    </row>
    <row r="12718" spans="8:16" x14ac:dyDescent="0.25">
      <c r="H12718" s="12"/>
      <c r="I12718" s="12"/>
      <c r="J12718" s="12"/>
      <c r="K12718" s="12"/>
      <c r="L12718" s="12"/>
      <c r="M12718" s="11"/>
      <c r="N12718" s="11"/>
      <c r="O12718" s="11"/>
      <c r="P12718" s="11"/>
    </row>
    <row r="12719" spans="8:16" x14ac:dyDescent="0.25">
      <c r="H12719" s="12"/>
      <c r="I12719" s="12"/>
      <c r="J12719" s="12"/>
      <c r="K12719" s="12"/>
      <c r="L12719" s="12"/>
      <c r="M12719" s="11"/>
      <c r="N12719" s="11"/>
      <c r="O12719" s="11"/>
      <c r="P12719" s="11"/>
    </row>
    <row r="12720" spans="8:16" x14ac:dyDescent="0.25">
      <c r="H12720" s="12"/>
      <c r="I12720" s="12"/>
      <c r="J12720" s="12"/>
      <c r="K12720" s="12"/>
      <c r="L12720" s="12"/>
      <c r="M12720" s="11"/>
      <c r="N12720" s="11"/>
      <c r="O12720" s="11"/>
      <c r="P12720" s="11"/>
    </row>
    <row r="12721" spans="8:16" x14ac:dyDescent="0.25">
      <c r="H12721" s="12"/>
      <c r="I12721" s="12"/>
      <c r="J12721" s="12"/>
      <c r="K12721" s="12"/>
      <c r="L12721" s="12"/>
      <c r="M12721" s="11"/>
      <c r="N12721" s="11"/>
      <c r="O12721" s="11"/>
      <c r="P12721" s="11"/>
    </row>
    <row r="12722" spans="8:16" x14ac:dyDescent="0.25">
      <c r="H12722" s="12"/>
      <c r="I12722" s="12"/>
      <c r="J12722" s="12"/>
      <c r="K12722" s="12"/>
      <c r="L12722" s="12"/>
      <c r="M12722" s="11"/>
      <c r="N12722" s="11"/>
      <c r="O12722" s="11"/>
      <c r="P12722" s="11"/>
    </row>
    <row r="12723" spans="8:16" x14ac:dyDescent="0.25">
      <c r="H12723" s="12"/>
      <c r="I12723" s="12"/>
      <c r="J12723" s="12"/>
      <c r="K12723" s="12"/>
      <c r="L12723" s="12"/>
      <c r="M12723" s="11"/>
      <c r="N12723" s="11"/>
      <c r="O12723" s="11"/>
      <c r="P12723" s="11"/>
    </row>
    <row r="12724" spans="8:16" x14ac:dyDescent="0.25">
      <c r="H12724" s="12"/>
      <c r="I12724" s="12"/>
      <c r="J12724" s="12"/>
      <c r="K12724" s="12"/>
      <c r="L12724" s="12"/>
      <c r="M12724" s="11"/>
      <c r="N12724" s="11"/>
      <c r="O12724" s="11"/>
      <c r="P12724" s="11"/>
    </row>
    <row r="12725" spans="8:16" x14ac:dyDescent="0.25">
      <c r="H12725" s="12"/>
      <c r="I12725" s="12"/>
      <c r="J12725" s="12"/>
      <c r="K12725" s="12"/>
      <c r="L12725" s="12"/>
      <c r="M12725" s="11"/>
      <c r="N12725" s="11"/>
      <c r="O12725" s="11"/>
      <c r="P12725" s="11"/>
    </row>
    <row r="12726" spans="8:16" x14ac:dyDescent="0.25">
      <c r="H12726" s="12"/>
      <c r="I12726" s="12"/>
      <c r="J12726" s="12"/>
      <c r="K12726" s="12"/>
      <c r="L12726" s="12"/>
      <c r="M12726" s="11"/>
      <c r="N12726" s="11"/>
      <c r="O12726" s="11"/>
      <c r="P12726" s="11"/>
    </row>
    <row r="12727" spans="8:16" x14ac:dyDescent="0.25">
      <c r="H12727" s="12"/>
      <c r="I12727" s="12"/>
      <c r="J12727" s="12"/>
      <c r="K12727" s="12"/>
      <c r="L12727" s="12"/>
      <c r="M12727" s="11"/>
      <c r="N12727" s="11"/>
      <c r="O12727" s="11"/>
      <c r="P12727" s="11"/>
    </row>
    <row r="12728" spans="8:16" x14ac:dyDescent="0.25">
      <c r="H12728" s="12"/>
      <c r="I12728" s="12"/>
      <c r="J12728" s="12"/>
      <c r="K12728" s="12"/>
      <c r="L12728" s="12"/>
      <c r="M12728" s="11"/>
      <c r="N12728" s="11"/>
      <c r="O12728" s="11"/>
      <c r="P12728" s="11"/>
    </row>
    <row r="12729" spans="8:16" x14ac:dyDescent="0.25">
      <c r="H12729" s="12"/>
      <c r="I12729" s="12"/>
      <c r="J12729" s="12"/>
      <c r="K12729" s="12"/>
      <c r="L12729" s="12"/>
      <c r="M12729" s="11"/>
      <c r="N12729" s="11"/>
      <c r="O12729" s="11"/>
      <c r="P12729" s="11"/>
    </row>
    <row r="12730" spans="8:16" x14ac:dyDescent="0.25">
      <c r="H12730" s="12"/>
      <c r="I12730" s="12"/>
      <c r="J12730" s="12"/>
      <c r="K12730" s="12"/>
      <c r="L12730" s="12"/>
      <c r="M12730" s="11"/>
      <c r="N12730" s="11"/>
      <c r="O12730" s="11"/>
      <c r="P12730" s="11"/>
    </row>
    <row r="12731" spans="8:16" x14ac:dyDescent="0.25">
      <c r="H12731" s="12"/>
      <c r="I12731" s="12"/>
      <c r="J12731" s="12"/>
      <c r="K12731" s="12"/>
      <c r="L12731" s="12"/>
      <c r="M12731" s="11"/>
      <c r="N12731" s="11"/>
      <c r="O12731" s="11"/>
      <c r="P12731" s="11"/>
    </row>
    <row r="12732" spans="8:16" x14ac:dyDescent="0.25">
      <c r="H12732" s="12"/>
      <c r="I12732" s="12"/>
      <c r="J12732" s="12"/>
      <c r="K12732" s="12"/>
      <c r="L12732" s="12"/>
      <c r="M12732" s="11"/>
      <c r="N12732" s="11"/>
      <c r="O12732" s="11"/>
      <c r="P12732" s="11"/>
    </row>
    <row r="12733" spans="8:16" x14ac:dyDescent="0.25">
      <c r="H12733" s="12"/>
      <c r="I12733" s="12"/>
      <c r="J12733" s="12"/>
      <c r="K12733" s="12"/>
      <c r="L12733" s="12"/>
      <c r="M12733" s="11"/>
      <c r="N12733" s="11"/>
      <c r="O12733" s="11"/>
      <c r="P12733" s="11"/>
    </row>
    <row r="12734" spans="8:16" x14ac:dyDescent="0.25">
      <c r="H12734" s="12"/>
      <c r="I12734" s="12"/>
      <c r="J12734" s="12"/>
      <c r="K12734" s="12"/>
      <c r="L12734" s="12"/>
      <c r="M12734" s="11"/>
      <c r="N12734" s="11"/>
      <c r="O12734" s="11"/>
      <c r="P12734" s="11"/>
    </row>
    <row r="12735" spans="8:16" x14ac:dyDescent="0.25">
      <c r="H12735" s="12"/>
      <c r="I12735" s="12"/>
      <c r="J12735" s="12"/>
      <c r="K12735" s="12"/>
      <c r="L12735" s="12"/>
      <c r="M12735" s="11"/>
      <c r="N12735" s="11"/>
      <c r="O12735" s="11"/>
      <c r="P12735" s="11"/>
    </row>
    <row r="12736" spans="8:16" x14ac:dyDescent="0.25">
      <c r="H12736" s="12"/>
      <c r="I12736" s="12"/>
      <c r="J12736" s="12"/>
      <c r="K12736" s="12"/>
      <c r="L12736" s="12"/>
      <c r="M12736" s="11"/>
      <c r="N12736" s="11"/>
      <c r="O12736" s="11"/>
      <c r="P12736" s="11"/>
    </row>
    <row r="12737" spans="8:16" x14ac:dyDescent="0.25">
      <c r="H12737" s="12"/>
      <c r="I12737" s="12"/>
      <c r="J12737" s="12"/>
      <c r="K12737" s="12"/>
      <c r="L12737" s="12"/>
      <c r="M12737" s="11"/>
      <c r="N12737" s="11"/>
      <c r="O12737" s="11"/>
      <c r="P12737" s="11"/>
    </row>
    <row r="12738" spans="8:16" x14ac:dyDescent="0.25">
      <c r="H12738" s="12"/>
      <c r="I12738" s="12"/>
      <c r="J12738" s="12"/>
      <c r="K12738" s="12"/>
      <c r="L12738" s="12"/>
      <c r="M12738" s="11"/>
      <c r="N12738" s="11"/>
      <c r="O12738" s="11"/>
      <c r="P12738" s="11"/>
    </row>
    <row r="12739" spans="8:16" x14ac:dyDescent="0.25">
      <c r="H12739" s="12"/>
      <c r="I12739" s="12"/>
      <c r="J12739" s="12"/>
      <c r="K12739" s="12"/>
      <c r="L12739" s="12"/>
      <c r="M12739" s="11"/>
      <c r="N12739" s="11"/>
      <c r="O12739" s="11"/>
      <c r="P12739" s="11"/>
    </row>
    <row r="12740" spans="8:16" x14ac:dyDescent="0.25">
      <c r="H12740" s="12"/>
      <c r="I12740" s="12"/>
      <c r="J12740" s="12"/>
      <c r="K12740" s="12"/>
      <c r="L12740" s="12"/>
      <c r="M12740" s="11"/>
      <c r="N12740" s="11"/>
      <c r="O12740" s="11"/>
      <c r="P12740" s="11"/>
    </row>
    <row r="12741" spans="8:16" x14ac:dyDescent="0.25">
      <c r="H12741" s="12"/>
      <c r="I12741" s="12"/>
      <c r="J12741" s="12"/>
      <c r="K12741" s="12"/>
      <c r="L12741" s="12"/>
      <c r="M12741" s="11"/>
      <c r="N12741" s="11"/>
      <c r="O12741" s="11"/>
      <c r="P12741" s="11"/>
    </row>
    <row r="12742" spans="8:16" x14ac:dyDescent="0.25">
      <c r="H12742" s="12"/>
      <c r="I12742" s="12"/>
      <c r="J12742" s="12"/>
      <c r="K12742" s="12"/>
      <c r="L12742" s="12"/>
      <c r="M12742" s="11"/>
      <c r="N12742" s="11"/>
      <c r="O12742" s="11"/>
      <c r="P12742" s="11"/>
    </row>
    <row r="12743" spans="8:16" x14ac:dyDescent="0.25">
      <c r="H12743" s="12"/>
      <c r="I12743" s="12"/>
      <c r="J12743" s="12"/>
      <c r="K12743" s="12"/>
      <c r="L12743" s="12"/>
      <c r="M12743" s="11"/>
      <c r="N12743" s="11"/>
      <c r="O12743" s="11"/>
      <c r="P12743" s="11"/>
    </row>
    <row r="12744" spans="8:16" x14ac:dyDescent="0.25">
      <c r="H12744" s="12"/>
      <c r="I12744" s="12"/>
      <c r="J12744" s="12"/>
      <c r="K12744" s="12"/>
      <c r="L12744" s="12"/>
      <c r="M12744" s="11"/>
      <c r="N12744" s="11"/>
      <c r="O12744" s="11"/>
      <c r="P12744" s="11"/>
    </row>
    <row r="12745" spans="8:16" x14ac:dyDescent="0.25">
      <c r="H12745" s="12"/>
      <c r="I12745" s="12"/>
      <c r="J12745" s="12"/>
      <c r="K12745" s="12"/>
      <c r="L12745" s="12"/>
      <c r="M12745" s="11"/>
      <c r="N12745" s="11"/>
      <c r="O12745" s="11"/>
      <c r="P12745" s="11"/>
    </row>
    <row r="12746" spans="8:16" x14ac:dyDescent="0.25">
      <c r="H12746" s="12"/>
      <c r="I12746" s="12"/>
      <c r="J12746" s="12"/>
      <c r="K12746" s="12"/>
      <c r="L12746" s="12"/>
      <c r="M12746" s="11"/>
      <c r="N12746" s="11"/>
      <c r="O12746" s="11"/>
      <c r="P12746" s="11"/>
    </row>
    <row r="12747" spans="8:16" x14ac:dyDescent="0.25">
      <c r="H12747" s="12"/>
      <c r="I12747" s="12"/>
      <c r="J12747" s="12"/>
      <c r="K12747" s="12"/>
      <c r="L12747" s="12"/>
      <c r="M12747" s="11"/>
      <c r="N12747" s="11"/>
      <c r="O12747" s="11"/>
      <c r="P12747" s="11"/>
    </row>
    <row r="12748" spans="8:16" x14ac:dyDescent="0.25">
      <c r="H12748" s="12"/>
      <c r="I12748" s="12"/>
      <c r="J12748" s="12"/>
      <c r="K12748" s="12"/>
      <c r="L12748" s="12"/>
      <c r="M12748" s="11"/>
      <c r="N12748" s="11"/>
      <c r="O12748" s="11"/>
      <c r="P12748" s="11"/>
    </row>
    <row r="12749" spans="8:16" x14ac:dyDescent="0.25">
      <c r="H12749" s="12"/>
      <c r="I12749" s="12"/>
      <c r="J12749" s="12"/>
      <c r="K12749" s="12"/>
      <c r="L12749" s="12"/>
      <c r="M12749" s="11"/>
      <c r="N12749" s="11"/>
      <c r="O12749" s="11"/>
      <c r="P12749" s="11"/>
    </row>
    <row r="12750" spans="8:16" x14ac:dyDescent="0.25">
      <c r="H12750" s="12"/>
      <c r="I12750" s="12"/>
      <c r="J12750" s="12"/>
      <c r="K12750" s="12"/>
      <c r="L12750" s="12"/>
      <c r="M12750" s="11"/>
      <c r="N12750" s="11"/>
      <c r="O12750" s="11"/>
      <c r="P12750" s="11"/>
    </row>
    <row r="12751" spans="8:16" x14ac:dyDescent="0.25">
      <c r="H12751" s="12"/>
      <c r="I12751" s="12"/>
      <c r="J12751" s="12"/>
      <c r="K12751" s="12"/>
      <c r="L12751" s="12"/>
      <c r="M12751" s="11"/>
      <c r="N12751" s="11"/>
      <c r="O12751" s="11"/>
      <c r="P12751" s="11"/>
    </row>
    <row r="12752" spans="8:16" x14ac:dyDescent="0.25">
      <c r="H12752" s="12"/>
      <c r="I12752" s="12"/>
      <c r="J12752" s="12"/>
      <c r="K12752" s="12"/>
      <c r="L12752" s="12"/>
      <c r="M12752" s="11"/>
      <c r="N12752" s="11"/>
      <c r="O12752" s="11"/>
      <c r="P12752" s="11"/>
    </row>
    <row r="12753" spans="8:16" x14ac:dyDescent="0.25">
      <c r="H12753" s="12"/>
      <c r="I12753" s="12"/>
      <c r="J12753" s="12"/>
      <c r="K12753" s="12"/>
      <c r="L12753" s="12"/>
      <c r="M12753" s="11"/>
      <c r="N12753" s="11"/>
      <c r="O12753" s="11"/>
      <c r="P12753" s="11"/>
    </row>
    <row r="12754" spans="8:16" x14ac:dyDescent="0.25">
      <c r="H12754" s="12"/>
      <c r="I12754" s="12"/>
      <c r="J12754" s="12"/>
      <c r="K12754" s="12"/>
      <c r="L12754" s="12"/>
      <c r="M12754" s="11"/>
      <c r="N12754" s="11"/>
      <c r="O12754" s="11"/>
      <c r="P12754" s="11"/>
    </row>
    <row r="12755" spans="8:16" x14ac:dyDescent="0.25">
      <c r="H12755" s="12"/>
      <c r="I12755" s="12"/>
      <c r="J12755" s="12"/>
      <c r="K12755" s="12"/>
      <c r="L12755" s="12"/>
      <c r="M12755" s="11"/>
      <c r="N12755" s="11"/>
      <c r="O12755" s="11"/>
      <c r="P12755" s="11"/>
    </row>
    <row r="12756" spans="8:16" x14ac:dyDescent="0.25">
      <c r="H12756" s="12"/>
      <c r="I12756" s="12"/>
      <c r="J12756" s="12"/>
      <c r="K12756" s="12"/>
      <c r="L12756" s="12"/>
      <c r="M12756" s="11"/>
      <c r="N12756" s="11"/>
      <c r="O12756" s="11"/>
      <c r="P12756" s="11"/>
    </row>
    <row r="12757" spans="8:16" x14ac:dyDescent="0.25">
      <c r="H12757" s="12"/>
      <c r="I12757" s="12"/>
      <c r="J12757" s="12"/>
      <c r="K12757" s="12"/>
      <c r="L12757" s="12"/>
      <c r="M12757" s="11"/>
      <c r="N12757" s="11"/>
      <c r="O12757" s="11"/>
      <c r="P12757" s="11"/>
    </row>
    <row r="12758" spans="8:16" x14ac:dyDescent="0.25">
      <c r="H12758" s="12"/>
      <c r="I12758" s="12"/>
      <c r="J12758" s="12"/>
      <c r="K12758" s="12"/>
      <c r="L12758" s="12"/>
      <c r="M12758" s="11"/>
      <c r="N12758" s="11"/>
      <c r="O12758" s="11"/>
      <c r="P12758" s="11"/>
    </row>
    <row r="12759" spans="8:16" x14ac:dyDescent="0.25">
      <c r="H12759" s="12"/>
      <c r="I12759" s="12"/>
      <c r="J12759" s="12"/>
      <c r="K12759" s="12"/>
      <c r="L12759" s="12"/>
      <c r="M12759" s="11"/>
      <c r="N12759" s="11"/>
      <c r="O12759" s="11"/>
      <c r="P12759" s="11"/>
    </row>
    <row r="12760" spans="8:16" x14ac:dyDescent="0.25">
      <c r="H12760" s="12"/>
      <c r="I12760" s="12"/>
      <c r="J12760" s="12"/>
      <c r="K12760" s="12"/>
      <c r="L12760" s="12"/>
      <c r="M12760" s="11"/>
      <c r="N12760" s="11"/>
      <c r="O12760" s="11"/>
      <c r="P12760" s="11"/>
    </row>
    <row r="12761" spans="8:16" x14ac:dyDescent="0.25">
      <c r="H12761" s="12"/>
      <c r="I12761" s="12"/>
      <c r="J12761" s="12"/>
      <c r="K12761" s="12"/>
      <c r="L12761" s="12"/>
      <c r="M12761" s="11"/>
      <c r="N12761" s="11"/>
      <c r="O12761" s="11"/>
      <c r="P12761" s="11"/>
    </row>
    <row r="12762" spans="8:16" x14ac:dyDescent="0.25">
      <c r="H12762" s="12"/>
      <c r="I12762" s="12"/>
      <c r="J12762" s="12"/>
      <c r="K12762" s="12"/>
      <c r="L12762" s="12"/>
      <c r="M12762" s="11"/>
      <c r="N12762" s="11"/>
      <c r="O12762" s="11"/>
      <c r="P12762" s="11"/>
    </row>
    <row r="12763" spans="8:16" x14ac:dyDescent="0.25">
      <c r="H12763" s="12"/>
      <c r="I12763" s="12"/>
      <c r="J12763" s="12"/>
      <c r="K12763" s="12"/>
      <c r="L12763" s="12"/>
      <c r="M12763" s="11"/>
      <c r="N12763" s="11"/>
      <c r="O12763" s="11"/>
      <c r="P12763" s="11"/>
    </row>
    <row r="12764" spans="8:16" x14ac:dyDescent="0.25">
      <c r="H12764" s="12"/>
      <c r="I12764" s="12"/>
      <c r="J12764" s="12"/>
      <c r="K12764" s="12"/>
      <c r="L12764" s="12"/>
      <c r="M12764" s="11"/>
      <c r="N12764" s="11"/>
      <c r="O12764" s="11"/>
      <c r="P12764" s="11"/>
    </row>
    <row r="12765" spans="8:16" x14ac:dyDescent="0.25">
      <c r="H12765" s="12"/>
      <c r="I12765" s="12"/>
      <c r="J12765" s="12"/>
      <c r="K12765" s="12"/>
      <c r="L12765" s="12"/>
      <c r="M12765" s="11"/>
      <c r="N12765" s="11"/>
      <c r="O12765" s="11"/>
      <c r="P12765" s="11"/>
    </row>
    <row r="12766" spans="8:16" x14ac:dyDescent="0.25">
      <c r="H12766" s="12"/>
      <c r="I12766" s="12"/>
      <c r="J12766" s="12"/>
      <c r="K12766" s="12"/>
      <c r="L12766" s="12"/>
      <c r="M12766" s="11"/>
      <c r="N12766" s="11"/>
      <c r="O12766" s="11"/>
      <c r="P12766" s="11"/>
    </row>
    <row r="12767" spans="8:16" x14ac:dyDescent="0.25">
      <c r="H12767" s="12"/>
      <c r="I12767" s="12"/>
      <c r="J12767" s="12"/>
      <c r="K12767" s="12"/>
      <c r="L12767" s="12"/>
      <c r="M12767" s="11"/>
      <c r="N12767" s="11"/>
      <c r="O12767" s="11"/>
      <c r="P12767" s="11"/>
    </row>
    <row r="12768" spans="8:16" x14ac:dyDescent="0.25">
      <c r="H12768" s="12"/>
      <c r="I12768" s="12"/>
      <c r="J12768" s="12"/>
      <c r="K12768" s="12"/>
      <c r="L12768" s="12"/>
      <c r="M12768" s="11"/>
      <c r="N12768" s="11"/>
      <c r="O12768" s="11"/>
      <c r="P12768" s="11"/>
    </row>
    <row r="12769" spans="8:16" x14ac:dyDescent="0.25">
      <c r="H12769" s="12"/>
      <c r="I12769" s="12"/>
      <c r="J12769" s="12"/>
      <c r="K12769" s="12"/>
      <c r="L12769" s="12"/>
      <c r="M12769" s="11"/>
      <c r="N12769" s="11"/>
      <c r="O12769" s="11"/>
      <c r="P12769" s="11"/>
    </row>
    <row r="12770" spans="8:16" x14ac:dyDescent="0.25">
      <c r="H12770" s="12"/>
      <c r="I12770" s="12"/>
      <c r="J12770" s="12"/>
      <c r="K12770" s="12"/>
      <c r="L12770" s="12"/>
      <c r="M12770" s="11"/>
      <c r="N12770" s="11"/>
      <c r="O12770" s="11"/>
      <c r="P12770" s="11"/>
    </row>
    <row r="12771" spans="8:16" x14ac:dyDescent="0.25">
      <c r="H12771" s="12"/>
      <c r="I12771" s="12"/>
      <c r="J12771" s="12"/>
      <c r="K12771" s="12"/>
      <c r="L12771" s="12"/>
      <c r="M12771" s="11"/>
      <c r="N12771" s="11"/>
      <c r="O12771" s="11"/>
      <c r="P12771" s="11"/>
    </row>
    <row r="12772" spans="8:16" x14ac:dyDescent="0.25">
      <c r="H12772" s="12"/>
      <c r="I12772" s="12"/>
      <c r="J12772" s="12"/>
      <c r="K12772" s="12"/>
      <c r="L12772" s="12"/>
      <c r="M12772" s="11"/>
      <c r="N12772" s="11"/>
      <c r="O12772" s="11"/>
      <c r="P12772" s="11"/>
    </row>
    <row r="12773" spans="8:16" x14ac:dyDescent="0.25">
      <c r="H12773" s="12"/>
      <c r="I12773" s="12"/>
      <c r="J12773" s="12"/>
      <c r="K12773" s="12"/>
      <c r="L12773" s="12"/>
      <c r="M12773" s="11"/>
      <c r="N12773" s="11"/>
      <c r="O12773" s="11"/>
      <c r="P12773" s="11"/>
    </row>
    <row r="12774" spans="8:16" x14ac:dyDescent="0.25">
      <c r="H12774" s="12"/>
      <c r="I12774" s="12"/>
      <c r="J12774" s="12"/>
      <c r="K12774" s="12"/>
      <c r="L12774" s="12"/>
      <c r="M12774" s="11"/>
      <c r="N12774" s="11"/>
      <c r="O12774" s="11"/>
      <c r="P12774" s="11"/>
    </row>
    <row r="12775" spans="8:16" x14ac:dyDescent="0.25">
      <c r="H12775" s="12"/>
      <c r="I12775" s="12"/>
      <c r="J12775" s="12"/>
      <c r="K12775" s="12"/>
      <c r="L12775" s="12"/>
      <c r="M12775" s="11"/>
      <c r="N12775" s="11"/>
      <c r="O12775" s="11"/>
      <c r="P12775" s="11"/>
    </row>
    <row r="12776" spans="8:16" x14ac:dyDescent="0.25">
      <c r="H12776" s="12"/>
      <c r="I12776" s="12"/>
      <c r="J12776" s="12"/>
      <c r="K12776" s="12"/>
      <c r="L12776" s="12"/>
      <c r="M12776" s="11"/>
      <c r="N12776" s="11"/>
      <c r="O12776" s="11"/>
      <c r="P12776" s="11"/>
    </row>
    <row r="12777" spans="8:16" x14ac:dyDescent="0.25">
      <c r="H12777" s="12"/>
      <c r="I12777" s="12"/>
      <c r="J12777" s="12"/>
      <c r="K12777" s="12"/>
      <c r="L12777" s="12"/>
      <c r="M12777" s="11"/>
      <c r="N12777" s="11"/>
      <c r="O12777" s="11"/>
      <c r="P12777" s="11"/>
    </row>
    <row r="12778" spans="8:16" x14ac:dyDescent="0.25">
      <c r="H12778" s="12"/>
      <c r="I12778" s="12"/>
      <c r="J12778" s="12"/>
      <c r="K12778" s="12"/>
      <c r="L12778" s="12"/>
      <c r="M12778" s="11"/>
      <c r="N12778" s="11"/>
      <c r="O12778" s="11"/>
      <c r="P12778" s="11"/>
    </row>
    <row r="12779" spans="8:16" x14ac:dyDescent="0.25">
      <c r="H12779" s="12"/>
      <c r="I12779" s="12"/>
      <c r="J12779" s="12"/>
      <c r="K12779" s="12"/>
      <c r="L12779" s="12"/>
      <c r="M12779" s="11"/>
      <c r="N12779" s="11"/>
      <c r="O12779" s="11"/>
      <c r="P12779" s="11"/>
    </row>
    <row r="12780" spans="8:16" x14ac:dyDescent="0.25">
      <c r="H12780" s="12"/>
      <c r="I12780" s="12"/>
      <c r="J12780" s="12"/>
      <c r="K12780" s="12"/>
      <c r="L12780" s="12"/>
      <c r="M12780" s="11"/>
      <c r="N12780" s="11"/>
      <c r="O12780" s="11"/>
      <c r="P12780" s="11"/>
    </row>
    <row r="12781" spans="8:16" x14ac:dyDescent="0.25">
      <c r="H12781" s="12"/>
      <c r="I12781" s="12"/>
      <c r="J12781" s="12"/>
      <c r="K12781" s="12"/>
      <c r="L12781" s="12"/>
      <c r="M12781" s="11"/>
      <c r="N12781" s="11"/>
      <c r="O12781" s="11"/>
      <c r="P12781" s="11"/>
    </row>
    <row r="12782" spans="8:16" x14ac:dyDescent="0.25">
      <c r="H12782" s="12"/>
      <c r="I12782" s="12"/>
      <c r="J12782" s="12"/>
      <c r="K12782" s="12"/>
      <c r="L12782" s="12"/>
      <c r="M12782" s="11"/>
      <c r="N12782" s="11"/>
      <c r="O12782" s="11"/>
      <c r="P12782" s="11"/>
    </row>
    <row r="12783" spans="8:16" x14ac:dyDescent="0.25">
      <c r="H12783" s="12"/>
      <c r="I12783" s="12"/>
      <c r="J12783" s="12"/>
      <c r="K12783" s="12"/>
      <c r="L12783" s="12"/>
      <c r="M12783" s="11"/>
      <c r="N12783" s="11"/>
      <c r="O12783" s="11"/>
      <c r="P12783" s="11"/>
    </row>
    <row r="12784" spans="8:16" x14ac:dyDescent="0.25">
      <c r="H12784" s="12"/>
      <c r="I12784" s="12"/>
      <c r="J12784" s="12"/>
      <c r="K12784" s="12"/>
      <c r="L12784" s="12"/>
      <c r="M12784" s="11"/>
      <c r="N12784" s="11"/>
      <c r="O12784" s="11"/>
      <c r="P12784" s="11"/>
    </row>
    <row r="12785" spans="8:16" x14ac:dyDescent="0.25">
      <c r="H12785" s="12"/>
      <c r="I12785" s="12"/>
      <c r="J12785" s="12"/>
      <c r="K12785" s="12"/>
      <c r="L12785" s="12"/>
      <c r="M12785" s="11"/>
      <c r="N12785" s="11"/>
      <c r="O12785" s="11"/>
      <c r="P12785" s="11"/>
    </row>
    <row r="12786" spans="8:16" x14ac:dyDescent="0.25">
      <c r="H12786" s="12"/>
      <c r="I12786" s="12"/>
      <c r="J12786" s="12"/>
      <c r="K12786" s="12"/>
      <c r="L12786" s="12"/>
      <c r="M12786" s="11"/>
      <c r="N12786" s="11"/>
      <c r="O12786" s="11"/>
      <c r="P12786" s="11"/>
    </row>
    <row r="12787" spans="8:16" x14ac:dyDescent="0.25">
      <c r="H12787" s="12"/>
      <c r="I12787" s="12"/>
      <c r="J12787" s="12"/>
      <c r="K12787" s="12"/>
      <c r="L12787" s="12"/>
      <c r="M12787" s="11"/>
      <c r="N12787" s="11"/>
      <c r="O12787" s="11"/>
      <c r="P12787" s="11"/>
    </row>
    <row r="12788" spans="8:16" x14ac:dyDescent="0.25">
      <c r="H12788" s="12"/>
      <c r="I12788" s="12"/>
      <c r="J12788" s="12"/>
      <c r="K12788" s="12"/>
      <c r="L12788" s="12"/>
      <c r="M12788" s="11"/>
      <c r="N12788" s="11"/>
      <c r="O12788" s="11"/>
      <c r="P12788" s="11"/>
    </row>
    <row r="12789" spans="8:16" x14ac:dyDescent="0.25">
      <c r="H12789" s="12"/>
      <c r="I12789" s="12"/>
      <c r="J12789" s="12"/>
      <c r="K12789" s="12"/>
      <c r="L12789" s="12"/>
      <c r="M12789" s="11"/>
      <c r="N12789" s="11"/>
      <c r="O12789" s="11"/>
      <c r="P12789" s="11"/>
    </row>
    <row r="12790" spans="8:16" x14ac:dyDescent="0.25">
      <c r="H12790" s="12"/>
      <c r="I12790" s="12"/>
      <c r="J12790" s="12"/>
      <c r="K12790" s="12"/>
      <c r="L12790" s="12"/>
      <c r="M12790" s="11"/>
      <c r="N12790" s="11"/>
      <c r="O12790" s="11"/>
      <c r="P12790" s="11"/>
    </row>
    <row r="12791" spans="8:16" x14ac:dyDescent="0.25">
      <c r="H12791" s="12"/>
      <c r="I12791" s="12"/>
      <c r="J12791" s="12"/>
      <c r="K12791" s="12"/>
      <c r="L12791" s="12"/>
      <c r="M12791" s="11"/>
      <c r="N12791" s="11"/>
      <c r="O12791" s="11"/>
      <c r="P12791" s="11"/>
    </row>
    <row r="12792" spans="8:16" x14ac:dyDescent="0.25">
      <c r="H12792" s="12"/>
      <c r="I12792" s="12"/>
      <c r="J12792" s="12"/>
      <c r="K12792" s="12"/>
      <c r="L12792" s="12"/>
      <c r="M12792" s="11"/>
      <c r="N12792" s="11"/>
      <c r="O12792" s="11"/>
      <c r="P12792" s="11"/>
    </row>
    <row r="12793" spans="8:16" x14ac:dyDescent="0.25">
      <c r="H12793" s="12"/>
      <c r="I12793" s="12"/>
      <c r="J12793" s="12"/>
      <c r="K12793" s="12"/>
      <c r="L12793" s="12"/>
      <c r="M12793" s="11"/>
      <c r="N12793" s="11"/>
      <c r="O12793" s="11"/>
      <c r="P12793" s="11"/>
    </row>
    <row r="12794" spans="8:16" x14ac:dyDescent="0.25">
      <c r="H12794" s="12"/>
      <c r="I12794" s="12"/>
      <c r="J12794" s="12"/>
      <c r="K12794" s="12"/>
      <c r="L12794" s="12"/>
      <c r="M12794" s="11"/>
      <c r="N12794" s="11"/>
      <c r="O12794" s="11"/>
      <c r="P12794" s="11"/>
    </row>
    <row r="12795" spans="8:16" x14ac:dyDescent="0.25">
      <c r="H12795" s="12"/>
      <c r="I12795" s="12"/>
      <c r="J12795" s="12"/>
      <c r="K12795" s="12"/>
      <c r="L12795" s="12"/>
      <c r="M12795" s="11"/>
      <c r="N12795" s="11"/>
      <c r="O12795" s="11"/>
      <c r="P12795" s="11"/>
    </row>
    <row r="12796" spans="8:16" x14ac:dyDescent="0.25">
      <c r="H12796" s="12"/>
      <c r="I12796" s="12"/>
      <c r="J12796" s="12"/>
      <c r="K12796" s="12"/>
      <c r="L12796" s="12"/>
      <c r="M12796" s="11"/>
      <c r="N12796" s="11"/>
      <c r="O12796" s="11"/>
      <c r="P12796" s="11"/>
    </row>
    <row r="12797" spans="8:16" x14ac:dyDescent="0.25">
      <c r="H12797" s="12"/>
      <c r="I12797" s="12"/>
      <c r="J12797" s="12"/>
      <c r="K12797" s="12"/>
      <c r="L12797" s="12"/>
      <c r="M12797" s="11"/>
      <c r="N12797" s="11"/>
      <c r="O12797" s="11"/>
      <c r="P12797" s="11"/>
    </row>
    <row r="12798" spans="8:16" x14ac:dyDescent="0.25">
      <c r="H12798" s="12"/>
      <c r="I12798" s="12"/>
      <c r="J12798" s="12"/>
      <c r="K12798" s="12"/>
      <c r="L12798" s="12"/>
      <c r="M12798" s="11"/>
      <c r="N12798" s="11"/>
      <c r="O12798" s="11"/>
      <c r="P12798" s="11"/>
    </row>
    <row r="12799" spans="8:16" x14ac:dyDescent="0.25">
      <c r="H12799" s="12"/>
      <c r="I12799" s="12"/>
      <c r="J12799" s="12"/>
      <c r="K12799" s="12"/>
      <c r="L12799" s="12"/>
      <c r="M12799" s="11"/>
      <c r="N12799" s="11"/>
      <c r="O12799" s="11"/>
      <c r="P12799" s="11"/>
    </row>
    <row r="12800" spans="8:16" x14ac:dyDescent="0.25">
      <c r="H12800" s="12"/>
      <c r="I12800" s="12"/>
      <c r="J12800" s="12"/>
      <c r="K12800" s="12"/>
      <c r="L12800" s="12"/>
      <c r="M12800" s="11"/>
      <c r="N12800" s="11"/>
      <c r="O12800" s="11"/>
      <c r="P12800" s="11"/>
    </row>
    <row r="12801" spans="8:16" x14ac:dyDescent="0.25">
      <c r="H12801" s="12"/>
      <c r="I12801" s="12"/>
      <c r="J12801" s="12"/>
      <c r="K12801" s="12"/>
      <c r="L12801" s="12"/>
      <c r="M12801" s="11"/>
      <c r="N12801" s="11"/>
      <c r="O12801" s="11"/>
      <c r="P12801" s="11"/>
    </row>
    <row r="12802" spans="8:16" x14ac:dyDescent="0.25">
      <c r="H12802" s="12"/>
      <c r="I12802" s="12"/>
      <c r="J12802" s="12"/>
      <c r="K12802" s="12"/>
      <c r="L12802" s="12"/>
      <c r="M12802" s="11"/>
      <c r="N12802" s="11"/>
      <c r="O12802" s="11"/>
      <c r="P12802" s="11"/>
    </row>
    <row r="12803" spans="8:16" x14ac:dyDescent="0.25">
      <c r="H12803" s="12"/>
      <c r="I12803" s="12"/>
      <c r="J12803" s="12"/>
      <c r="K12803" s="12"/>
      <c r="L12803" s="12"/>
      <c r="M12803" s="11"/>
      <c r="N12803" s="11"/>
      <c r="O12803" s="11"/>
      <c r="P12803" s="11"/>
    </row>
    <row r="12804" spans="8:16" x14ac:dyDescent="0.25">
      <c r="H12804" s="12"/>
      <c r="I12804" s="12"/>
      <c r="J12804" s="12"/>
      <c r="K12804" s="12"/>
      <c r="L12804" s="12"/>
      <c r="M12804" s="11"/>
      <c r="N12804" s="11"/>
      <c r="O12804" s="11"/>
      <c r="P12804" s="11"/>
    </row>
    <row r="12805" spans="8:16" x14ac:dyDescent="0.25">
      <c r="H12805" s="12"/>
      <c r="I12805" s="12"/>
      <c r="J12805" s="12"/>
      <c r="K12805" s="12"/>
      <c r="L12805" s="12"/>
      <c r="M12805" s="11"/>
      <c r="N12805" s="11"/>
      <c r="O12805" s="11"/>
      <c r="P12805" s="11"/>
    </row>
    <row r="12806" spans="8:16" x14ac:dyDescent="0.25">
      <c r="H12806" s="12"/>
      <c r="I12806" s="12"/>
      <c r="J12806" s="12"/>
      <c r="K12806" s="12"/>
      <c r="L12806" s="12"/>
      <c r="M12806" s="11"/>
      <c r="N12806" s="11"/>
      <c r="O12806" s="11"/>
      <c r="P12806" s="11"/>
    </row>
    <row r="12807" spans="8:16" x14ac:dyDescent="0.25">
      <c r="H12807" s="12"/>
      <c r="I12807" s="12"/>
      <c r="J12807" s="12"/>
      <c r="K12807" s="12"/>
      <c r="L12807" s="12"/>
      <c r="M12807" s="11"/>
      <c r="N12807" s="11"/>
      <c r="O12807" s="11"/>
      <c r="P12807" s="11"/>
    </row>
    <row r="12808" spans="8:16" x14ac:dyDescent="0.25">
      <c r="H12808" s="12"/>
      <c r="I12808" s="12"/>
      <c r="J12808" s="12"/>
      <c r="K12808" s="12"/>
      <c r="L12808" s="12"/>
      <c r="M12808" s="11"/>
      <c r="N12808" s="11"/>
      <c r="O12808" s="11"/>
      <c r="P12808" s="11"/>
    </row>
    <row r="12809" spans="8:16" x14ac:dyDescent="0.25">
      <c r="H12809" s="12"/>
      <c r="I12809" s="12"/>
      <c r="J12809" s="12"/>
      <c r="K12809" s="12"/>
      <c r="L12809" s="12"/>
      <c r="M12809" s="11"/>
      <c r="N12809" s="11"/>
      <c r="O12809" s="11"/>
      <c r="P12809" s="11"/>
    </row>
    <row r="12810" spans="8:16" x14ac:dyDescent="0.25">
      <c r="H12810" s="12"/>
      <c r="I12810" s="12"/>
      <c r="J12810" s="12"/>
      <c r="K12810" s="12"/>
      <c r="L12810" s="12"/>
      <c r="M12810" s="11"/>
      <c r="N12810" s="11"/>
      <c r="O12810" s="11"/>
      <c r="P12810" s="11"/>
    </row>
    <row r="12811" spans="8:16" x14ac:dyDescent="0.25">
      <c r="H12811" s="12"/>
      <c r="I12811" s="12"/>
      <c r="J12811" s="12"/>
      <c r="K12811" s="12"/>
      <c r="L12811" s="12"/>
      <c r="M12811" s="11"/>
      <c r="N12811" s="11"/>
      <c r="O12811" s="11"/>
      <c r="P12811" s="11"/>
    </row>
    <row r="12812" spans="8:16" x14ac:dyDescent="0.25">
      <c r="H12812" s="12"/>
      <c r="I12812" s="12"/>
      <c r="J12812" s="12"/>
      <c r="K12812" s="12"/>
      <c r="L12812" s="12"/>
      <c r="M12812" s="11"/>
      <c r="N12812" s="11"/>
      <c r="O12812" s="11"/>
      <c r="P12812" s="11"/>
    </row>
    <row r="12813" spans="8:16" x14ac:dyDescent="0.25">
      <c r="H12813" s="12"/>
      <c r="I12813" s="12"/>
      <c r="J12813" s="12"/>
      <c r="K12813" s="12"/>
      <c r="L12813" s="12"/>
      <c r="M12813" s="11"/>
      <c r="N12813" s="11"/>
      <c r="O12813" s="11"/>
      <c r="P12813" s="11"/>
    </row>
    <row r="12814" spans="8:16" x14ac:dyDescent="0.25">
      <c r="H12814" s="12"/>
      <c r="I12814" s="12"/>
      <c r="J12814" s="12"/>
      <c r="K12814" s="12"/>
      <c r="L12814" s="12"/>
      <c r="M12814" s="11"/>
      <c r="N12814" s="11"/>
      <c r="O12814" s="11"/>
      <c r="P12814" s="11"/>
    </row>
    <row r="12815" spans="8:16" x14ac:dyDescent="0.25">
      <c r="H12815" s="12"/>
      <c r="I12815" s="12"/>
      <c r="J12815" s="12"/>
      <c r="K12815" s="12"/>
      <c r="L12815" s="12"/>
      <c r="M12815" s="11"/>
      <c r="N12815" s="11"/>
      <c r="O12815" s="11"/>
      <c r="P12815" s="11"/>
    </row>
    <row r="12816" spans="8:16" x14ac:dyDescent="0.25">
      <c r="H12816" s="12"/>
      <c r="I12816" s="12"/>
      <c r="J12816" s="12"/>
      <c r="K12816" s="12"/>
      <c r="L12816" s="12"/>
      <c r="M12816" s="11"/>
      <c r="N12816" s="11"/>
      <c r="O12816" s="11"/>
      <c r="P12816" s="11"/>
    </row>
    <row r="12817" spans="8:16" x14ac:dyDescent="0.25">
      <c r="H12817" s="12"/>
      <c r="I12817" s="12"/>
      <c r="J12817" s="12"/>
      <c r="K12817" s="12"/>
      <c r="L12817" s="12"/>
      <c r="M12817" s="11"/>
      <c r="N12817" s="11"/>
      <c r="O12817" s="11"/>
      <c r="P12817" s="11"/>
    </row>
    <row r="12818" spans="8:16" x14ac:dyDescent="0.25">
      <c r="H12818" s="12"/>
      <c r="I12818" s="12"/>
      <c r="J12818" s="12"/>
      <c r="K12818" s="12"/>
      <c r="L12818" s="12"/>
      <c r="M12818" s="11"/>
      <c r="N12818" s="11"/>
      <c r="O12818" s="11"/>
      <c r="P12818" s="11"/>
    </row>
    <row r="12819" spans="8:16" x14ac:dyDescent="0.25">
      <c r="H12819" s="12"/>
      <c r="I12819" s="12"/>
      <c r="J12819" s="12"/>
      <c r="K12819" s="12"/>
      <c r="L12819" s="12"/>
      <c r="M12819" s="11"/>
      <c r="N12819" s="11"/>
      <c r="O12819" s="11"/>
      <c r="P12819" s="11"/>
    </row>
    <row r="12820" spans="8:16" x14ac:dyDescent="0.25">
      <c r="H12820" s="12"/>
      <c r="I12820" s="12"/>
      <c r="J12820" s="12"/>
      <c r="K12820" s="12"/>
      <c r="L12820" s="12"/>
      <c r="M12820" s="11"/>
      <c r="N12820" s="11"/>
      <c r="O12820" s="11"/>
      <c r="P12820" s="11"/>
    </row>
    <row r="12821" spans="8:16" x14ac:dyDescent="0.25">
      <c r="H12821" s="12"/>
      <c r="I12821" s="12"/>
      <c r="J12821" s="12"/>
      <c r="K12821" s="12"/>
      <c r="L12821" s="12"/>
      <c r="M12821" s="11"/>
      <c r="N12821" s="11"/>
      <c r="O12821" s="11"/>
      <c r="P12821" s="11"/>
    </row>
    <row r="12822" spans="8:16" x14ac:dyDescent="0.25">
      <c r="H12822" s="12"/>
      <c r="I12822" s="12"/>
      <c r="J12822" s="12"/>
      <c r="K12822" s="12"/>
      <c r="L12822" s="12"/>
      <c r="M12822" s="11"/>
      <c r="N12822" s="11"/>
      <c r="O12822" s="11"/>
      <c r="P12822" s="11"/>
    </row>
    <row r="12823" spans="8:16" x14ac:dyDescent="0.25">
      <c r="H12823" s="12"/>
      <c r="I12823" s="12"/>
      <c r="J12823" s="12"/>
      <c r="K12823" s="12"/>
      <c r="L12823" s="12"/>
      <c r="M12823" s="11"/>
      <c r="N12823" s="11"/>
      <c r="O12823" s="11"/>
      <c r="P12823" s="11"/>
    </row>
    <row r="12824" spans="8:16" x14ac:dyDescent="0.25">
      <c r="H12824" s="12"/>
      <c r="I12824" s="12"/>
      <c r="J12824" s="12"/>
      <c r="K12824" s="12"/>
      <c r="L12824" s="12"/>
      <c r="M12824" s="11"/>
      <c r="N12824" s="11"/>
      <c r="O12824" s="11"/>
      <c r="P12824" s="11"/>
    </row>
    <row r="12825" spans="8:16" x14ac:dyDescent="0.25">
      <c r="H12825" s="12"/>
      <c r="I12825" s="12"/>
      <c r="J12825" s="12"/>
      <c r="K12825" s="12"/>
      <c r="L12825" s="12"/>
      <c r="M12825" s="11"/>
      <c r="N12825" s="11"/>
      <c r="O12825" s="11"/>
      <c r="P12825" s="11"/>
    </row>
    <row r="12826" spans="8:16" x14ac:dyDescent="0.25">
      <c r="H12826" s="12"/>
      <c r="I12826" s="12"/>
      <c r="J12826" s="12"/>
      <c r="K12826" s="12"/>
      <c r="L12826" s="12"/>
      <c r="M12826" s="11"/>
      <c r="N12826" s="11"/>
      <c r="O12826" s="11"/>
      <c r="P12826" s="11"/>
    </row>
    <row r="12827" spans="8:16" x14ac:dyDescent="0.25">
      <c r="H12827" s="12"/>
      <c r="I12827" s="12"/>
      <c r="J12827" s="12"/>
      <c r="K12827" s="12"/>
      <c r="L12827" s="12"/>
      <c r="M12827" s="11"/>
      <c r="N12827" s="11"/>
      <c r="O12827" s="11"/>
      <c r="P12827" s="11"/>
    </row>
    <row r="12828" spans="8:16" x14ac:dyDescent="0.25">
      <c r="H12828" s="12"/>
      <c r="I12828" s="12"/>
      <c r="J12828" s="12"/>
      <c r="K12828" s="12"/>
      <c r="L12828" s="12"/>
      <c r="M12828" s="11"/>
      <c r="N12828" s="11"/>
      <c r="O12828" s="11"/>
      <c r="P12828" s="11"/>
    </row>
    <row r="12829" spans="8:16" x14ac:dyDescent="0.25">
      <c r="H12829" s="12"/>
      <c r="I12829" s="12"/>
      <c r="J12829" s="12"/>
      <c r="K12829" s="12"/>
      <c r="L12829" s="12"/>
      <c r="M12829" s="11"/>
      <c r="N12829" s="11"/>
      <c r="O12829" s="11"/>
      <c r="P12829" s="11"/>
    </row>
    <row r="12830" spans="8:16" x14ac:dyDescent="0.25">
      <c r="H12830" s="12"/>
      <c r="I12830" s="12"/>
      <c r="J12830" s="12"/>
      <c r="K12830" s="12"/>
      <c r="L12830" s="12"/>
      <c r="M12830" s="11"/>
      <c r="N12830" s="11"/>
      <c r="O12830" s="11"/>
      <c r="P12830" s="11"/>
    </row>
    <row r="12831" spans="8:16" x14ac:dyDescent="0.25">
      <c r="H12831" s="12"/>
      <c r="I12831" s="12"/>
      <c r="J12831" s="12"/>
      <c r="K12831" s="12"/>
      <c r="L12831" s="12"/>
      <c r="M12831" s="11"/>
      <c r="N12831" s="11"/>
      <c r="O12831" s="11"/>
      <c r="P12831" s="11"/>
    </row>
    <row r="12832" spans="8:16" x14ac:dyDescent="0.25">
      <c r="H12832" s="12"/>
      <c r="I12832" s="12"/>
      <c r="J12832" s="12"/>
      <c r="K12832" s="12"/>
      <c r="L12832" s="12"/>
      <c r="M12832" s="11"/>
      <c r="N12832" s="11"/>
      <c r="O12832" s="11"/>
      <c r="P12832" s="11"/>
    </row>
    <row r="12833" spans="8:16" x14ac:dyDescent="0.25">
      <c r="H12833" s="12"/>
      <c r="I12833" s="12"/>
      <c r="J12833" s="12"/>
      <c r="K12833" s="12"/>
      <c r="L12833" s="12"/>
      <c r="M12833" s="11"/>
      <c r="N12833" s="11"/>
      <c r="O12833" s="11"/>
      <c r="P12833" s="11"/>
    </row>
    <row r="12834" spans="8:16" x14ac:dyDescent="0.25">
      <c r="H12834" s="12"/>
      <c r="I12834" s="12"/>
      <c r="J12834" s="12"/>
      <c r="K12834" s="12"/>
      <c r="L12834" s="12"/>
      <c r="M12834" s="11"/>
      <c r="N12834" s="11"/>
      <c r="O12834" s="11"/>
      <c r="P12834" s="11"/>
    </row>
    <row r="12835" spans="8:16" x14ac:dyDescent="0.25">
      <c r="H12835" s="12"/>
      <c r="I12835" s="12"/>
      <c r="J12835" s="12"/>
      <c r="K12835" s="12"/>
      <c r="L12835" s="12"/>
      <c r="M12835" s="11"/>
      <c r="N12835" s="11"/>
      <c r="O12835" s="11"/>
      <c r="P12835" s="11"/>
    </row>
    <row r="12836" spans="8:16" x14ac:dyDescent="0.25">
      <c r="H12836" s="12"/>
      <c r="I12836" s="12"/>
      <c r="J12836" s="12"/>
      <c r="K12836" s="12"/>
      <c r="L12836" s="12"/>
      <c r="M12836" s="11"/>
      <c r="N12836" s="11"/>
      <c r="O12836" s="11"/>
      <c r="P12836" s="11"/>
    </row>
    <row r="12837" spans="8:16" x14ac:dyDescent="0.25">
      <c r="H12837" s="12"/>
      <c r="I12837" s="12"/>
      <c r="J12837" s="12"/>
      <c r="K12837" s="12"/>
      <c r="L12837" s="12"/>
      <c r="M12837" s="11"/>
      <c r="N12837" s="11"/>
      <c r="O12837" s="11"/>
      <c r="P12837" s="11"/>
    </row>
    <row r="12838" spans="8:16" x14ac:dyDescent="0.25">
      <c r="H12838" s="12"/>
      <c r="I12838" s="12"/>
      <c r="J12838" s="12"/>
      <c r="K12838" s="12"/>
      <c r="L12838" s="12"/>
      <c r="M12838" s="11"/>
      <c r="N12838" s="11"/>
      <c r="O12838" s="11"/>
      <c r="P12838" s="11"/>
    </row>
    <row r="12839" spans="8:16" x14ac:dyDescent="0.25">
      <c r="H12839" s="12"/>
      <c r="I12839" s="12"/>
      <c r="J12839" s="12"/>
      <c r="K12839" s="12"/>
      <c r="L12839" s="12"/>
      <c r="M12839" s="11"/>
      <c r="N12839" s="11"/>
      <c r="O12839" s="11"/>
      <c r="P12839" s="11"/>
    </row>
    <row r="12840" spans="8:16" x14ac:dyDescent="0.25">
      <c r="H12840" s="12"/>
      <c r="I12840" s="12"/>
      <c r="J12840" s="12"/>
      <c r="K12840" s="12"/>
      <c r="L12840" s="12"/>
      <c r="M12840" s="11"/>
      <c r="N12840" s="11"/>
      <c r="O12840" s="11"/>
      <c r="P12840" s="11"/>
    </row>
    <row r="12841" spans="8:16" x14ac:dyDescent="0.25">
      <c r="H12841" s="12"/>
      <c r="I12841" s="12"/>
      <c r="J12841" s="12"/>
      <c r="K12841" s="12"/>
      <c r="L12841" s="12"/>
      <c r="M12841" s="11"/>
      <c r="N12841" s="11"/>
      <c r="O12841" s="11"/>
      <c r="P12841" s="11"/>
    </row>
    <row r="12842" spans="8:16" x14ac:dyDescent="0.25">
      <c r="H12842" s="12"/>
      <c r="I12842" s="12"/>
      <c r="J12842" s="12"/>
      <c r="K12842" s="12"/>
      <c r="L12842" s="12"/>
      <c r="M12842" s="11"/>
      <c r="N12842" s="11"/>
      <c r="O12842" s="11"/>
      <c r="P12842" s="11"/>
    </row>
    <row r="12843" spans="8:16" x14ac:dyDescent="0.25">
      <c r="H12843" s="12"/>
      <c r="I12843" s="12"/>
      <c r="J12843" s="12"/>
      <c r="K12843" s="12"/>
      <c r="L12843" s="12"/>
      <c r="M12843" s="11"/>
      <c r="N12843" s="11"/>
      <c r="O12843" s="11"/>
      <c r="P12843" s="11"/>
    </row>
    <row r="12844" spans="8:16" x14ac:dyDescent="0.25">
      <c r="H12844" s="12"/>
      <c r="I12844" s="12"/>
      <c r="J12844" s="12"/>
      <c r="K12844" s="12"/>
      <c r="L12844" s="12"/>
      <c r="M12844" s="11"/>
      <c r="N12844" s="11"/>
      <c r="O12844" s="11"/>
      <c r="P12844" s="11"/>
    </row>
    <row r="12845" spans="8:16" x14ac:dyDescent="0.25">
      <c r="H12845" s="12"/>
      <c r="I12845" s="12"/>
      <c r="J12845" s="12"/>
      <c r="K12845" s="12"/>
      <c r="L12845" s="12"/>
      <c r="M12845" s="11"/>
      <c r="N12845" s="11"/>
      <c r="O12845" s="11"/>
      <c r="P12845" s="11"/>
    </row>
    <row r="12846" spans="8:16" x14ac:dyDescent="0.25">
      <c r="H12846" s="12"/>
      <c r="I12846" s="12"/>
      <c r="J12846" s="12"/>
      <c r="K12846" s="12"/>
      <c r="L12846" s="12"/>
      <c r="M12846" s="11"/>
      <c r="N12846" s="11"/>
      <c r="O12846" s="11"/>
      <c r="P12846" s="11"/>
    </row>
    <row r="12847" spans="8:16" x14ac:dyDescent="0.25">
      <c r="H12847" s="12"/>
      <c r="I12847" s="12"/>
      <c r="J12847" s="12"/>
      <c r="K12847" s="12"/>
      <c r="L12847" s="12"/>
      <c r="M12847" s="11"/>
      <c r="N12847" s="11"/>
      <c r="O12847" s="11"/>
      <c r="P12847" s="11"/>
    </row>
    <row r="12848" spans="8:16" x14ac:dyDescent="0.25">
      <c r="H12848" s="12"/>
      <c r="I12848" s="12"/>
      <c r="J12848" s="12"/>
      <c r="K12848" s="12"/>
      <c r="L12848" s="12"/>
      <c r="M12848" s="11"/>
      <c r="N12848" s="11"/>
      <c r="O12848" s="11"/>
      <c r="P12848" s="11"/>
    </row>
    <row r="12849" spans="8:16" x14ac:dyDescent="0.25">
      <c r="H12849" s="12"/>
      <c r="I12849" s="12"/>
      <c r="J12849" s="12"/>
      <c r="K12849" s="12"/>
      <c r="L12849" s="12"/>
      <c r="M12849" s="11"/>
      <c r="N12849" s="11"/>
      <c r="O12849" s="11"/>
      <c r="P12849" s="11"/>
    </row>
    <row r="12850" spans="8:16" x14ac:dyDescent="0.25">
      <c r="H12850" s="12"/>
      <c r="I12850" s="12"/>
      <c r="J12850" s="12"/>
      <c r="K12850" s="12"/>
      <c r="L12850" s="12"/>
      <c r="M12850" s="11"/>
      <c r="N12850" s="11"/>
      <c r="O12850" s="11"/>
      <c r="P12850" s="11"/>
    </row>
    <row r="12851" spans="8:16" x14ac:dyDescent="0.25">
      <c r="H12851" s="12"/>
      <c r="I12851" s="12"/>
      <c r="J12851" s="12"/>
      <c r="K12851" s="12"/>
      <c r="L12851" s="12"/>
      <c r="M12851" s="11"/>
      <c r="N12851" s="11"/>
      <c r="O12851" s="11"/>
      <c r="P12851" s="11"/>
    </row>
    <row r="12852" spans="8:16" x14ac:dyDescent="0.25">
      <c r="H12852" s="12"/>
      <c r="I12852" s="12"/>
      <c r="J12852" s="12"/>
      <c r="K12852" s="12"/>
      <c r="L12852" s="12"/>
      <c r="M12852" s="11"/>
      <c r="N12852" s="11"/>
      <c r="O12852" s="11"/>
      <c r="P12852" s="11"/>
    </row>
    <row r="12853" spans="8:16" x14ac:dyDescent="0.25">
      <c r="H12853" s="12"/>
      <c r="I12853" s="12"/>
      <c r="J12853" s="12"/>
      <c r="K12853" s="12"/>
      <c r="L12853" s="12"/>
      <c r="M12853" s="11"/>
      <c r="N12853" s="11"/>
      <c r="O12853" s="11"/>
      <c r="P12853" s="11"/>
    </row>
    <row r="12854" spans="8:16" x14ac:dyDescent="0.25">
      <c r="H12854" s="12"/>
      <c r="I12854" s="12"/>
      <c r="J12854" s="12"/>
      <c r="K12854" s="12"/>
      <c r="L12854" s="12"/>
      <c r="M12854" s="11"/>
      <c r="N12854" s="11"/>
      <c r="O12854" s="11"/>
      <c r="P12854" s="11"/>
    </row>
    <row r="12855" spans="8:16" x14ac:dyDescent="0.25">
      <c r="H12855" s="12"/>
      <c r="I12855" s="12"/>
      <c r="J12855" s="12"/>
      <c r="K12855" s="12"/>
      <c r="L12855" s="12"/>
      <c r="M12855" s="11"/>
      <c r="N12855" s="11"/>
      <c r="O12855" s="11"/>
      <c r="P12855" s="11"/>
    </row>
    <row r="12856" spans="8:16" x14ac:dyDescent="0.25">
      <c r="H12856" s="12"/>
      <c r="I12856" s="12"/>
      <c r="J12856" s="12"/>
      <c r="K12856" s="12"/>
      <c r="L12856" s="12"/>
      <c r="M12856" s="11"/>
      <c r="N12856" s="11"/>
      <c r="O12856" s="11"/>
      <c r="P12856" s="11"/>
    </row>
    <row r="12857" spans="8:16" x14ac:dyDescent="0.25">
      <c r="H12857" s="12"/>
      <c r="I12857" s="12"/>
      <c r="J12857" s="12"/>
      <c r="K12857" s="12"/>
      <c r="L12857" s="12"/>
      <c r="M12857" s="11"/>
      <c r="N12857" s="11"/>
      <c r="O12857" s="11"/>
      <c r="P12857" s="11"/>
    </row>
    <row r="12858" spans="8:16" x14ac:dyDescent="0.25">
      <c r="H12858" s="12"/>
      <c r="I12858" s="12"/>
      <c r="J12858" s="12"/>
      <c r="K12858" s="12"/>
      <c r="L12858" s="12"/>
      <c r="M12858" s="11"/>
      <c r="N12858" s="11"/>
      <c r="O12858" s="11"/>
      <c r="P12858" s="11"/>
    </row>
    <row r="12859" spans="8:16" x14ac:dyDescent="0.25">
      <c r="H12859" s="12"/>
      <c r="I12859" s="12"/>
      <c r="J12859" s="12"/>
      <c r="K12859" s="12"/>
      <c r="L12859" s="12"/>
      <c r="M12859" s="11"/>
      <c r="N12859" s="11"/>
      <c r="O12859" s="11"/>
      <c r="P12859" s="11"/>
    </row>
    <row r="12860" spans="8:16" x14ac:dyDescent="0.25">
      <c r="H12860" s="12"/>
      <c r="I12860" s="12"/>
      <c r="J12860" s="12"/>
      <c r="K12860" s="12"/>
      <c r="L12860" s="12"/>
      <c r="M12860" s="11"/>
      <c r="N12860" s="11"/>
      <c r="O12860" s="11"/>
      <c r="P12860" s="11"/>
    </row>
    <row r="12861" spans="8:16" x14ac:dyDescent="0.25">
      <c r="H12861" s="12"/>
      <c r="I12861" s="12"/>
      <c r="J12861" s="12"/>
      <c r="K12861" s="12"/>
      <c r="L12861" s="12"/>
      <c r="M12861" s="11"/>
      <c r="N12861" s="11"/>
      <c r="O12861" s="11"/>
      <c r="P12861" s="11"/>
    </row>
    <row r="12862" spans="8:16" x14ac:dyDescent="0.25">
      <c r="H12862" s="12"/>
      <c r="I12862" s="12"/>
      <c r="J12862" s="12"/>
      <c r="K12862" s="12"/>
      <c r="L12862" s="12"/>
      <c r="M12862" s="11"/>
      <c r="N12862" s="11"/>
      <c r="O12862" s="11"/>
      <c r="P12862" s="11"/>
    </row>
    <row r="12863" spans="8:16" x14ac:dyDescent="0.25">
      <c r="H12863" s="12"/>
      <c r="I12863" s="12"/>
      <c r="J12863" s="12"/>
      <c r="K12863" s="12"/>
      <c r="L12863" s="12"/>
      <c r="M12863" s="11"/>
      <c r="N12863" s="11"/>
      <c r="O12863" s="11"/>
      <c r="P12863" s="11"/>
    </row>
    <row r="12864" spans="8:16" x14ac:dyDescent="0.25">
      <c r="H12864" s="12"/>
      <c r="I12864" s="12"/>
      <c r="J12864" s="12"/>
      <c r="K12864" s="12"/>
      <c r="L12864" s="12"/>
      <c r="M12864" s="11"/>
      <c r="N12864" s="11"/>
      <c r="O12864" s="11"/>
      <c r="P12864" s="11"/>
    </row>
    <row r="12865" spans="8:16" x14ac:dyDescent="0.25">
      <c r="H12865" s="12"/>
      <c r="I12865" s="12"/>
      <c r="J12865" s="12"/>
      <c r="K12865" s="12"/>
      <c r="L12865" s="12"/>
      <c r="M12865" s="11"/>
      <c r="N12865" s="11"/>
      <c r="O12865" s="11"/>
      <c r="P12865" s="11"/>
    </row>
    <row r="12866" spans="8:16" x14ac:dyDescent="0.25">
      <c r="H12866" s="12"/>
      <c r="I12866" s="12"/>
      <c r="J12866" s="12"/>
      <c r="K12866" s="12"/>
      <c r="L12866" s="12"/>
      <c r="M12866" s="11"/>
      <c r="N12866" s="11"/>
      <c r="O12866" s="11"/>
      <c r="P12866" s="11"/>
    </row>
    <row r="12867" spans="8:16" x14ac:dyDescent="0.25">
      <c r="H12867" s="12"/>
      <c r="I12867" s="12"/>
      <c r="J12867" s="12"/>
      <c r="K12867" s="12"/>
      <c r="L12867" s="12"/>
      <c r="M12867" s="11"/>
      <c r="N12867" s="11"/>
      <c r="O12867" s="11"/>
      <c r="P12867" s="11"/>
    </row>
    <row r="12868" spans="8:16" x14ac:dyDescent="0.25">
      <c r="H12868" s="12"/>
      <c r="I12868" s="12"/>
      <c r="J12868" s="12"/>
      <c r="K12868" s="12"/>
      <c r="L12868" s="12"/>
      <c r="M12868" s="11"/>
      <c r="N12868" s="11"/>
      <c r="O12868" s="11"/>
      <c r="P12868" s="11"/>
    </row>
    <row r="12869" spans="8:16" x14ac:dyDescent="0.25">
      <c r="H12869" s="12"/>
      <c r="I12869" s="12"/>
      <c r="J12869" s="12"/>
      <c r="K12869" s="12"/>
      <c r="L12869" s="12"/>
      <c r="M12869" s="11"/>
      <c r="N12869" s="11"/>
      <c r="O12869" s="11"/>
      <c r="P12869" s="11"/>
    </row>
    <row r="12870" spans="8:16" x14ac:dyDescent="0.25">
      <c r="H12870" s="12"/>
      <c r="I12870" s="12"/>
      <c r="J12870" s="12"/>
      <c r="K12870" s="12"/>
      <c r="L12870" s="12"/>
      <c r="M12870" s="11"/>
      <c r="N12870" s="11"/>
      <c r="O12870" s="11"/>
      <c r="P12870" s="11"/>
    </row>
    <row r="12871" spans="8:16" x14ac:dyDescent="0.25">
      <c r="H12871" s="12"/>
      <c r="I12871" s="12"/>
      <c r="J12871" s="12"/>
      <c r="K12871" s="12"/>
      <c r="L12871" s="12"/>
      <c r="M12871" s="11"/>
      <c r="N12871" s="11"/>
      <c r="O12871" s="11"/>
      <c r="P12871" s="11"/>
    </row>
    <row r="12872" spans="8:16" x14ac:dyDescent="0.25">
      <c r="H12872" s="12"/>
      <c r="I12872" s="12"/>
      <c r="J12872" s="12"/>
      <c r="K12872" s="12"/>
      <c r="L12872" s="12"/>
      <c r="M12872" s="11"/>
      <c r="N12872" s="11"/>
      <c r="O12872" s="11"/>
      <c r="P12872" s="11"/>
    </row>
    <row r="12873" spans="8:16" x14ac:dyDescent="0.25">
      <c r="H12873" s="12"/>
      <c r="I12873" s="12"/>
      <c r="J12873" s="12"/>
      <c r="K12873" s="12"/>
      <c r="L12873" s="12"/>
      <c r="M12873" s="11"/>
      <c r="N12873" s="11"/>
      <c r="O12873" s="11"/>
      <c r="P12873" s="11"/>
    </row>
    <row r="12874" spans="8:16" x14ac:dyDescent="0.25">
      <c r="H12874" s="12"/>
      <c r="I12874" s="12"/>
      <c r="J12874" s="12"/>
      <c r="K12874" s="12"/>
      <c r="L12874" s="12"/>
      <c r="M12874" s="11"/>
      <c r="N12874" s="11"/>
      <c r="O12874" s="11"/>
      <c r="P12874" s="11"/>
    </row>
    <row r="12875" spans="8:16" x14ac:dyDescent="0.25">
      <c r="H12875" s="12"/>
      <c r="I12875" s="12"/>
      <c r="J12875" s="12"/>
      <c r="K12875" s="12"/>
      <c r="L12875" s="12"/>
      <c r="M12875" s="11"/>
      <c r="N12875" s="11"/>
      <c r="O12875" s="11"/>
      <c r="P12875" s="11"/>
    </row>
    <row r="12876" spans="8:16" x14ac:dyDescent="0.25">
      <c r="H12876" s="12"/>
      <c r="I12876" s="12"/>
      <c r="J12876" s="12"/>
      <c r="K12876" s="12"/>
      <c r="L12876" s="12"/>
      <c r="M12876" s="11"/>
      <c r="N12876" s="11"/>
      <c r="O12876" s="11"/>
      <c r="P12876" s="11"/>
    </row>
    <row r="12877" spans="8:16" x14ac:dyDescent="0.25">
      <c r="H12877" s="12"/>
      <c r="I12877" s="12"/>
      <c r="J12877" s="12"/>
      <c r="K12877" s="12"/>
      <c r="L12877" s="12"/>
      <c r="M12877" s="11"/>
      <c r="N12877" s="11"/>
      <c r="O12877" s="11"/>
      <c r="P12877" s="11"/>
    </row>
    <row r="12878" spans="8:16" x14ac:dyDescent="0.25">
      <c r="H12878" s="12"/>
      <c r="I12878" s="12"/>
      <c r="J12878" s="12"/>
      <c r="K12878" s="12"/>
      <c r="L12878" s="12"/>
      <c r="M12878" s="11"/>
      <c r="N12878" s="11"/>
      <c r="O12878" s="11"/>
      <c r="P12878" s="11"/>
    </row>
    <row r="12879" spans="8:16" x14ac:dyDescent="0.25">
      <c r="H12879" s="12"/>
      <c r="I12879" s="12"/>
      <c r="J12879" s="12"/>
      <c r="K12879" s="12"/>
      <c r="L12879" s="12"/>
      <c r="M12879" s="11"/>
      <c r="N12879" s="11"/>
      <c r="O12879" s="11"/>
      <c r="P12879" s="11"/>
    </row>
    <row r="12880" spans="8:16" x14ac:dyDescent="0.25">
      <c r="H12880" s="12"/>
      <c r="I12880" s="12"/>
      <c r="J12880" s="12"/>
      <c r="K12880" s="12"/>
      <c r="L12880" s="12"/>
      <c r="M12880" s="11"/>
      <c r="N12880" s="11"/>
      <c r="O12880" s="11"/>
      <c r="P12880" s="11"/>
    </row>
    <row r="12881" spans="8:16" x14ac:dyDescent="0.25">
      <c r="H12881" s="12"/>
      <c r="I12881" s="12"/>
      <c r="J12881" s="12"/>
      <c r="K12881" s="12"/>
      <c r="L12881" s="12"/>
      <c r="M12881" s="11"/>
      <c r="N12881" s="11"/>
      <c r="O12881" s="11"/>
      <c r="P12881" s="11"/>
    </row>
    <row r="12882" spans="8:16" x14ac:dyDescent="0.25">
      <c r="H12882" s="12"/>
      <c r="I12882" s="12"/>
      <c r="J12882" s="12"/>
      <c r="K12882" s="12"/>
      <c r="L12882" s="12"/>
      <c r="M12882" s="11"/>
      <c r="N12882" s="11"/>
      <c r="O12882" s="11"/>
      <c r="P12882" s="11"/>
    </row>
    <row r="12883" spans="8:16" x14ac:dyDescent="0.25">
      <c r="H12883" s="12"/>
      <c r="I12883" s="12"/>
      <c r="J12883" s="12"/>
      <c r="K12883" s="12"/>
      <c r="L12883" s="12"/>
      <c r="M12883" s="11"/>
      <c r="N12883" s="11"/>
      <c r="O12883" s="11"/>
      <c r="P12883" s="11"/>
    </row>
    <row r="12884" spans="8:16" x14ac:dyDescent="0.25">
      <c r="H12884" s="12"/>
      <c r="I12884" s="12"/>
      <c r="J12884" s="12"/>
      <c r="K12884" s="12"/>
      <c r="L12884" s="12"/>
      <c r="M12884" s="11"/>
      <c r="N12884" s="11"/>
      <c r="O12884" s="11"/>
      <c r="P12884" s="11"/>
    </row>
    <row r="12885" spans="8:16" x14ac:dyDescent="0.25">
      <c r="H12885" s="12"/>
      <c r="I12885" s="12"/>
      <c r="J12885" s="12"/>
      <c r="K12885" s="12"/>
      <c r="L12885" s="12"/>
      <c r="M12885" s="11"/>
      <c r="N12885" s="11"/>
      <c r="O12885" s="11"/>
      <c r="P12885" s="11"/>
    </row>
    <row r="12886" spans="8:16" x14ac:dyDescent="0.25">
      <c r="H12886" s="12"/>
      <c r="I12886" s="12"/>
      <c r="J12886" s="12"/>
      <c r="K12886" s="12"/>
      <c r="L12886" s="12"/>
      <c r="M12886" s="11"/>
      <c r="N12886" s="11"/>
      <c r="O12886" s="11"/>
      <c r="P12886" s="11"/>
    </row>
    <row r="12887" spans="8:16" x14ac:dyDescent="0.25">
      <c r="H12887" s="12"/>
      <c r="I12887" s="12"/>
      <c r="J12887" s="12"/>
      <c r="K12887" s="12"/>
      <c r="L12887" s="12"/>
      <c r="M12887" s="11"/>
      <c r="N12887" s="11"/>
      <c r="O12887" s="11"/>
      <c r="P12887" s="11"/>
    </row>
    <row r="12888" spans="8:16" x14ac:dyDescent="0.25">
      <c r="H12888" s="12"/>
      <c r="I12888" s="12"/>
      <c r="J12888" s="12"/>
      <c r="K12888" s="12"/>
      <c r="L12888" s="12"/>
      <c r="M12888" s="11"/>
      <c r="N12888" s="11"/>
      <c r="O12888" s="11"/>
      <c r="P12888" s="11"/>
    </row>
    <row r="12889" spans="8:16" x14ac:dyDescent="0.25">
      <c r="H12889" s="12"/>
      <c r="I12889" s="12"/>
      <c r="J12889" s="12"/>
      <c r="K12889" s="12"/>
      <c r="L12889" s="12"/>
      <c r="M12889" s="11"/>
      <c r="N12889" s="11"/>
      <c r="O12889" s="11"/>
      <c r="P12889" s="11"/>
    </row>
    <row r="12890" spans="8:16" x14ac:dyDescent="0.25">
      <c r="H12890" s="12"/>
      <c r="I12890" s="12"/>
      <c r="J12890" s="12"/>
      <c r="K12890" s="12"/>
      <c r="L12890" s="12"/>
      <c r="M12890" s="11"/>
      <c r="N12890" s="11"/>
      <c r="O12890" s="11"/>
      <c r="P12890" s="11"/>
    </row>
    <row r="12891" spans="8:16" x14ac:dyDescent="0.25">
      <c r="H12891" s="12"/>
      <c r="I12891" s="12"/>
      <c r="J12891" s="12"/>
      <c r="K12891" s="12"/>
      <c r="L12891" s="12"/>
      <c r="M12891" s="11"/>
      <c r="N12891" s="11"/>
      <c r="O12891" s="11"/>
      <c r="P12891" s="11"/>
    </row>
    <row r="12892" spans="8:16" x14ac:dyDescent="0.25">
      <c r="H12892" s="12"/>
      <c r="I12892" s="12"/>
      <c r="J12892" s="12"/>
      <c r="K12892" s="12"/>
      <c r="L12892" s="12"/>
      <c r="M12892" s="11"/>
      <c r="N12892" s="11"/>
      <c r="O12892" s="11"/>
      <c r="P12892" s="11"/>
    </row>
    <row r="12893" spans="8:16" x14ac:dyDescent="0.25">
      <c r="H12893" s="12"/>
      <c r="I12893" s="12"/>
      <c r="J12893" s="12"/>
      <c r="K12893" s="12"/>
      <c r="L12893" s="12"/>
      <c r="M12893" s="11"/>
      <c r="N12893" s="11"/>
      <c r="O12893" s="11"/>
      <c r="P12893" s="11"/>
    </row>
    <row r="12894" spans="8:16" x14ac:dyDescent="0.25">
      <c r="H12894" s="12"/>
      <c r="I12894" s="12"/>
      <c r="J12894" s="12"/>
      <c r="K12894" s="12"/>
      <c r="L12894" s="12"/>
      <c r="M12894" s="11"/>
      <c r="N12894" s="11"/>
      <c r="O12894" s="11"/>
      <c r="P12894" s="11"/>
    </row>
    <row r="12895" spans="8:16" x14ac:dyDescent="0.25">
      <c r="H12895" s="12"/>
      <c r="I12895" s="12"/>
      <c r="J12895" s="12"/>
      <c r="K12895" s="12"/>
      <c r="L12895" s="12"/>
      <c r="M12895" s="11"/>
      <c r="N12895" s="11"/>
      <c r="O12895" s="11"/>
      <c r="P12895" s="11"/>
    </row>
    <row r="12896" spans="8:16" x14ac:dyDescent="0.25">
      <c r="H12896" s="12"/>
      <c r="I12896" s="12"/>
      <c r="J12896" s="12"/>
      <c r="K12896" s="12"/>
      <c r="L12896" s="12"/>
      <c r="M12896" s="11"/>
      <c r="N12896" s="11"/>
      <c r="O12896" s="11"/>
      <c r="P12896" s="11"/>
    </row>
    <row r="12897" spans="8:16" x14ac:dyDescent="0.25">
      <c r="H12897" s="12"/>
      <c r="I12897" s="12"/>
      <c r="J12897" s="12"/>
      <c r="K12897" s="12"/>
      <c r="L12897" s="12"/>
      <c r="M12897" s="11"/>
      <c r="N12897" s="11"/>
      <c r="O12897" s="11"/>
      <c r="P12897" s="11"/>
    </row>
    <row r="12898" spans="8:16" x14ac:dyDescent="0.25">
      <c r="H12898" s="12"/>
      <c r="I12898" s="12"/>
      <c r="J12898" s="12"/>
      <c r="K12898" s="12"/>
      <c r="L12898" s="12"/>
      <c r="M12898" s="11"/>
      <c r="N12898" s="11"/>
      <c r="O12898" s="11"/>
      <c r="P12898" s="11"/>
    </row>
    <row r="12899" spans="8:16" x14ac:dyDescent="0.25">
      <c r="H12899" s="12"/>
      <c r="I12899" s="12"/>
      <c r="J12899" s="12"/>
      <c r="K12899" s="12"/>
      <c r="L12899" s="12"/>
      <c r="M12899" s="11"/>
      <c r="N12899" s="11"/>
      <c r="O12899" s="11"/>
      <c r="P12899" s="11"/>
    </row>
    <row r="12900" spans="8:16" x14ac:dyDescent="0.25">
      <c r="H12900" s="12"/>
      <c r="I12900" s="12"/>
      <c r="J12900" s="12"/>
      <c r="K12900" s="12"/>
      <c r="L12900" s="12"/>
      <c r="M12900" s="11"/>
      <c r="N12900" s="11"/>
      <c r="O12900" s="11"/>
      <c r="P12900" s="11"/>
    </row>
    <row r="12901" spans="8:16" x14ac:dyDescent="0.25">
      <c r="H12901" s="12"/>
      <c r="I12901" s="12"/>
      <c r="J12901" s="12"/>
      <c r="K12901" s="12"/>
      <c r="L12901" s="12"/>
      <c r="M12901" s="11"/>
      <c r="N12901" s="11"/>
      <c r="O12901" s="11"/>
      <c r="P12901" s="11"/>
    </row>
    <row r="12902" spans="8:16" x14ac:dyDescent="0.25">
      <c r="H12902" s="12"/>
      <c r="I12902" s="12"/>
      <c r="J12902" s="12"/>
      <c r="K12902" s="12"/>
      <c r="L12902" s="12"/>
      <c r="M12902" s="11"/>
      <c r="N12902" s="11"/>
      <c r="O12902" s="11"/>
      <c r="P12902" s="11"/>
    </row>
    <row r="12903" spans="8:16" x14ac:dyDescent="0.25">
      <c r="H12903" s="12"/>
      <c r="I12903" s="12"/>
      <c r="J12903" s="12"/>
      <c r="K12903" s="12"/>
      <c r="L12903" s="12"/>
      <c r="M12903" s="11"/>
      <c r="N12903" s="11"/>
      <c r="O12903" s="11"/>
      <c r="P12903" s="11"/>
    </row>
    <row r="12904" spans="8:16" x14ac:dyDescent="0.25">
      <c r="H12904" s="12"/>
      <c r="I12904" s="12"/>
      <c r="J12904" s="12"/>
      <c r="K12904" s="12"/>
      <c r="L12904" s="12"/>
      <c r="M12904" s="11"/>
      <c r="N12904" s="11"/>
      <c r="O12904" s="11"/>
      <c r="P12904" s="11"/>
    </row>
    <row r="12905" spans="8:16" x14ac:dyDescent="0.25">
      <c r="H12905" s="12"/>
      <c r="I12905" s="12"/>
      <c r="J12905" s="12"/>
      <c r="K12905" s="12"/>
      <c r="L12905" s="12"/>
      <c r="M12905" s="11"/>
      <c r="N12905" s="11"/>
      <c r="O12905" s="11"/>
      <c r="P12905" s="11"/>
    </row>
    <row r="12906" spans="8:16" x14ac:dyDescent="0.25">
      <c r="H12906" s="12"/>
      <c r="I12906" s="12"/>
      <c r="J12906" s="12"/>
      <c r="K12906" s="12"/>
      <c r="L12906" s="12"/>
      <c r="M12906" s="11"/>
      <c r="N12906" s="11"/>
      <c r="O12906" s="11"/>
      <c r="P12906" s="11"/>
    </row>
    <row r="12907" spans="8:16" x14ac:dyDescent="0.25">
      <c r="H12907" s="12"/>
      <c r="I12907" s="12"/>
      <c r="J12907" s="12"/>
      <c r="K12907" s="12"/>
      <c r="L12907" s="12"/>
      <c r="M12907" s="11"/>
      <c r="N12907" s="11"/>
      <c r="O12907" s="11"/>
      <c r="P12907" s="11"/>
    </row>
    <row r="12908" spans="8:16" x14ac:dyDescent="0.25">
      <c r="H12908" s="12"/>
      <c r="I12908" s="12"/>
      <c r="J12908" s="12"/>
      <c r="K12908" s="12"/>
      <c r="L12908" s="12"/>
      <c r="M12908" s="11"/>
      <c r="N12908" s="11"/>
      <c r="O12908" s="11"/>
      <c r="P12908" s="11"/>
    </row>
    <row r="12909" spans="8:16" x14ac:dyDescent="0.25">
      <c r="H12909" s="12"/>
      <c r="I12909" s="12"/>
      <c r="J12909" s="12"/>
      <c r="K12909" s="12"/>
      <c r="L12909" s="12"/>
      <c r="M12909" s="11"/>
      <c r="N12909" s="11"/>
      <c r="O12909" s="11"/>
      <c r="P12909" s="11"/>
    </row>
    <row r="12910" spans="8:16" x14ac:dyDescent="0.25">
      <c r="H12910" s="12"/>
      <c r="I12910" s="12"/>
      <c r="J12910" s="12"/>
      <c r="K12910" s="12"/>
      <c r="L12910" s="12"/>
      <c r="M12910" s="11"/>
      <c r="N12910" s="11"/>
      <c r="O12910" s="11"/>
      <c r="P12910" s="11"/>
    </row>
    <row r="12911" spans="8:16" x14ac:dyDescent="0.25">
      <c r="H12911" s="12"/>
      <c r="I12911" s="12"/>
      <c r="J12911" s="12"/>
      <c r="K12911" s="12"/>
      <c r="L12911" s="12"/>
      <c r="M12911" s="11"/>
      <c r="N12911" s="11"/>
      <c r="O12911" s="11"/>
      <c r="P12911" s="11"/>
    </row>
    <row r="12912" spans="8:16" x14ac:dyDescent="0.25">
      <c r="H12912" s="12"/>
      <c r="I12912" s="12"/>
      <c r="J12912" s="12"/>
      <c r="K12912" s="12"/>
      <c r="L12912" s="12"/>
      <c r="M12912" s="11"/>
      <c r="N12912" s="11"/>
      <c r="O12912" s="11"/>
      <c r="P12912" s="11"/>
    </row>
    <row r="12913" spans="8:16" x14ac:dyDescent="0.25">
      <c r="H12913" s="12"/>
      <c r="I12913" s="12"/>
      <c r="J12913" s="12"/>
      <c r="K12913" s="12"/>
      <c r="L12913" s="12"/>
      <c r="M12913" s="11"/>
      <c r="N12913" s="11"/>
      <c r="O12913" s="11"/>
      <c r="P12913" s="11"/>
    </row>
    <row r="12914" spans="8:16" x14ac:dyDescent="0.25">
      <c r="H12914" s="12"/>
      <c r="I12914" s="12"/>
      <c r="J12914" s="12"/>
      <c r="K12914" s="12"/>
      <c r="L12914" s="12"/>
      <c r="M12914" s="11"/>
      <c r="N12914" s="11"/>
      <c r="O12914" s="11"/>
      <c r="P12914" s="11"/>
    </row>
    <row r="12915" spans="8:16" x14ac:dyDescent="0.25">
      <c r="H12915" s="12"/>
      <c r="I12915" s="12"/>
      <c r="J12915" s="12"/>
      <c r="K12915" s="12"/>
      <c r="L12915" s="12"/>
      <c r="M12915" s="11"/>
      <c r="N12915" s="11"/>
      <c r="O12915" s="11"/>
      <c r="P12915" s="11"/>
    </row>
    <row r="12916" spans="8:16" x14ac:dyDescent="0.25">
      <c r="H12916" s="12"/>
      <c r="I12916" s="12"/>
      <c r="J12916" s="12"/>
      <c r="K12916" s="12"/>
      <c r="L12916" s="12"/>
      <c r="M12916" s="11"/>
      <c r="N12916" s="11"/>
      <c r="O12916" s="11"/>
      <c r="P12916" s="11"/>
    </row>
    <row r="12917" spans="8:16" x14ac:dyDescent="0.25">
      <c r="H12917" s="12"/>
      <c r="I12917" s="12"/>
      <c r="J12917" s="12"/>
      <c r="K12917" s="12"/>
      <c r="L12917" s="12"/>
      <c r="M12917" s="11"/>
      <c r="N12917" s="11"/>
      <c r="O12917" s="11"/>
      <c r="P12917" s="11"/>
    </row>
    <row r="12918" spans="8:16" x14ac:dyDescent="0.25">
      <c r="H12918" s="12"/>
      <c r="I12918" s="12"/>
      <c r="J12918" s="12"/>
      <c r="K12918" s="12"/>
      <c r="L12918" s="12"/>
      <c r="M12918" s="11"/>
      <c r="N12918" s="11"/>
      <c r="O12918" s="11"/>
      <c r="P12918" s="11"/>
    </row>
    <row r="12919" spans="8:16" x14ac:dyDescent="0.25">
      <c r="H12919" s="12"/>
      <c r="I12919" s="12"/>
      <c r="J12919" s="12"/>
      <c r="K12919" s="12"/>
      <c r="L12919" s="12"/>
      <c r="M12919" s="11"/>
      <c r="N12919" s="11"/>
      <c r="O12919" s="11"/>
      <c r="P12919" s="11"/>
    </row>
    <row r="12920" spans="8:16" x14ac:dyDescent="0.25">
      <c r="H12920" s="12"/>
      <c r="I12920" s="12"/>
      <c r="J12920" s="12"/>
      <c r="K12920" s="12"/>
      <c r="L12920" s="12"/>
      <c r="M12920" s="11"/>
      <c r="N12920" s="11"/>
      <c r="O12920" s="11"/>
      <c r="P12920" s="11"/>
    </row>
    <row r="12921" spans="8:16" x14ac:dyDescent="0.25">
      <c r="H12921" s="12"/>
      <c r="I12921" s="12"/>
      <c r="J12921" s="12"/>
      <c r="K12921" s="12"/>
      <c r="L12921" s="12"/>
      <c r="M12921" s="11"/>
      <c r="N12921" s="11"/>
      <c r="O12921" s="11"/>
      <c r="P12921" s="11"/>
    </row>
    <row r="12922" spans="8:16" x14ac:dyDescent="0.25">
      <c r="H12922" s="12"/>
      <c r="I12922" s="12"/>
      <c r="J12922" s="12"/>
      <c r="K12922" s="12"/>
      <c r="L12922" s="12"/>
      <c r="M12922" s="11"/>
      <c r="N12922" s="11"/>
      <c r="O12922" s="11"/>
      <c r="P12922" s="11"/>
    </row>
    <row r="12923" spans="8:16" x14ac:dyDescent="0.25">
      <c r="H12923" s="12"/>
      <c r="I12923" s="12"/>
      <c r="J12923" s="12"/>
      <c r="K12923" s="12"/>
      <c r="L12923" s="12"/>
      <c r="M12923" s="11"/>
      <c r="N12923" s="11"/>
      <c r="O12923" s="11"/>
      <c r="P12923" s="11"/>
    </row>
    <row r="12924" spans="8:16" x14ac:dyDescent="0.25">
      <c r="H12924" s="12"/>
      <c r="I12924" s="12"/>
      <c r="J12924" s="12"/>
      <c r="K12924" s="12"/>
      <c r="L12924" s="12"/>
      <c r="M12924" s="11"/>
      <c r="N12924" s="11"/>
      <c r="O12924" s="11"/>
      <c r="P12924" s="11"/>
    </row>
    <row r="12925" spans="8:16" x14ac:dyDescent="0.25">
      <c r="H12925" s="12"/>
      <c r="I12925" s="12"/>
      <c r="J12925" s="12"/>
      <c r="K12925" s="12"/>
      <c r="L12925" s="12"/>
      <c r="M12925" s="11"/>
      <c r="N12925" s="11"/>
      <c r="O12925" s="11"/>
      <c r="P12925" s="11"/>
    </row>
    <row r="12926" spans="8:16" x14ac:dyDescent="0.25">
      <c r="H12926" s="12"/>
      <c r="I12926" s="12"/>
      <c r="J12926" s="12"/>
      <c r="K12926" s="12"/>
      <c r="L12926" s="12"/>
      <c r="M12926" s="11"/>
      <c r="N12926" s="11"/>
      <c r="O12926" s="11"/>
      <c r="P12926" s="11"/>
    </row>
    <row r="12927" spans="8:16" x14ac:dyDescent="0.25">
      <c r="H12927" s="12"/>
      <c r="I12927" s="12"/>
      <c r="J12927" s="12"/>
      <c r="K12927" s="12"/>
      <c r="L12927" s="12"/>
      <c r="M12927" s="11"/>
      <c r="N12927" s="11"/>
      <c r="O12927" s="11"/>
      <c r="P12927" s="11"/>
    </row>
    <row r="12928" spans="8:16" x14ac:dyDescent="0.25">
      <c r="H12928" s="12"/>
      <c r="I12928" s="12"/>
      <c r="J12928" s="12"/>
      <c r="K12928" s="12"/>
      <c r="L12928" s="12"/>
      <c r="M12928" s="11"/>
      <c r="N12928" s="11"/>
      <c r="O12928" s="11"/>
      <c r="P12928" s="11"/>
    </row>
    <row r="12929" spans="8:16" x14ac:dyDescent="0.25">
      <c r="H12929" s="12"/>
      <c r="I12929" s="12"/>
      <c r="J12929" s="12"/>
      <c r="K12929" s="12"/>
      <c r="L12929" s="12"/>
      <c r="M12929" s="11"/>
      <c r="N12929" s="11"/>
      <c r="O12929" s="11"/>
      <c r="P12929" s="11"/>
    </row>
    <row r="12930" spans="8:16" x14ac:dyDescent="0.25">
      <c r="H12930" s="12"/>
      <c r="I12930" s="12"/>
      <c r="J12930" s="12"/>
      <c r="K12930" s="12"/>
      <c r="L12930" s="12"/>
      <c r="M12930" s="11"/>
      <c r="N12930" s="11"/>
      <c r="O12930" s="11"/>
      <c r="P12930" s="11"/>
    </row>
    <row r="12931" spans="8:16" x14ac:dyDescent="0.25">
      <c r="H12931" s="12"/>
      <c r="I12931" s="12"/>
      <c r="J12931" s="12"/>
      <c r="K12931" s="12"/>
      <c r="L12931" s="12"/>
      <c r="M12931" s="11"/>
      <c r="N12931" s="11"/>
      <c r="O12931" s="11"/>
      <c r="P12931" s="11"/>
    </row>
    <row r="12932" spans="8:16" x14ac:dyDescent="0.25">
      <c r="H12932" s="12"/>
      <c r="I12932" s="12"/>
      <c r="J12932" s="12"/>
      <c r="K12932" s="12"/>
      <c r="L12932" s="12"/>
      <c r="M12932" s="11"/>
      <c r="N12932" s="11"/>
      <c r="O12932" s="11"/>
      <c r="P12932" s="11"/>
    </row>
    <row r="12933" spans="8:16" x14ac:dyDescent="0.25">
      <c r="H12933" s="12"/>
      <c r="I12933" s="12"/>
      <c r="J12933" s="12"/>
      <c r="K12933" s="12"/>
      <c r="L12933" s="12"/>
      <c r="M12933" s="11"/>
      <c r="N12933" s="11"/>
      <c r="O12933" s="11"/>
      <c r="P12933" s="11"/>
    </row>
    <row r="12934" spans="8:16" x14ac:dyDescent="0.25">
      <c r="H12934" s="12"/>
      <c r="I12934" s="12"/>
      <c r="J12934" s="12"/>
      <c r="K12934" s="12"/>
      <c r="L12934" s="12"/>
      <c r="M12934" s="11"/>
      <c r="N12934" s="11"/>
      <c r="O12934" s="11"/>
      <c r="P12934" s="11"/>
    </row>
    <row r="12935" spans="8:16" x14ac:dyDescent="0.25">
      <c r="H12935" s="12"/>
      <c r="I12935" s="12"/>
      <c r="J12935" s="12"/>
      <c r="K12935" s="12"/>
      <c r="L12935" s="12"/>
      <c r="M12935" s="11"/>
      <c r="N12935" s="11"/>
      <c r="O12935" s="11"/>
      <c r="P12935" s="11"/>
    </row>
    <row r="12936" spans="8:16" x14ac:dyDescent="0.25">
      <c r="H12936" s="12"/>
      <c r="I12936" s="12"/>
      <c r="J12936" s="12"/>
      <c r="K12936" s="12"/>
      <c r="L12936" s="12"/>
      <c r="M12936" s="11"/>
      <c r="N12936" s="11"/>
      <c r="O12936" s="11"/>
      <c r="P12936" s="11"/>
    </row>
    <row r="12937" spans="8:16" x14ac:dyDescent="0.25">
      <c r="H12937" s="12"/>
      <c r="I12937" s="12"/>
      <c r="J12937" s="12"/>
      <c r="K12937" s="12"/>
      <c r="L12937" s="12"/>
      <c r="M12937" s="11"/>
      <c r="N12937" s="11"/>
      <c r="O12937" s="11"/>
      <c r="P12937" s="11"/>
    </row>
    <row r="12938" spans="8:16" x14ac:dyDescent="0.25">
      <c r="H12938" s="12"/>
      <c r="I12938" s="12"/>
      <c r="J12938" s="12"/>
      <c r="K12938" s="12"/>
      <c r="L12938" s="12"/>
      <c r="M12938" s="11"/>
      <c r="N12938" s="11"/>
      <c r="O12938" s="11"/>
      <c r="P12938" s="11"/>
    </row>
    <row r="12939" spans="8:16" x14ac:dyDescent="0.25">
      <c r="H12939" s="12"/>
      <c r="I12939" s="12"/>
      <c r="J12939" s="12"/>
      <c r="K12939" s="12"/>
      <c r="L12939" s="12"/>
      <c r="M12939" s="11"/>
      <c r="N12939" s="11"/>
      <c r="O12939" s="11"/>
      <c r="P12939" s="11"/>
    </row>
    <row r="12940" spans="8:16" x14ac:dyDescent="0.25">
      <c r="H12940" s="12"/>
      <c r="I12940" s="12"/>
      <c r="J12940" s="12"/>
      <c r="K12940" s="12"/>
      <c r="L12940" s="12"/>
      <c r="M12940" s="11"/>
      <c r="N12940" s="11"/>
      <c r="O12940" s="11"/>
      <c r="P12940" s="11"/>
    </row>
    <row r="12941" spans="8:16" x14ac:dyDescent="0.25">
      <c r="H12941" s="12"/>
      <c r="I12941" s="12"/>
      <c r="J12941" s="12"/>
      <c r="K12941" s="12"/>
      <c r="L12941" s="12"/>
      <c r="M12941" s="11"/>
      <c r="N12941" s="11"/>
      <c r="O12941" s="11"/>
      <c r="P12941" s="11"/>
    </row>
    <row r="12942" spans="8:16" x14ac:dyDescent="0.25">
      <c r="H12942" s="12"/>
      <c r="I12942" s="12"/>
      <c r="J12942" s="12"/>
      <c r="K12942" s="12"/>
      <c r="L12942" s="12"/>
      <c r="M12942" s="11"/>
      <c r="N12942" s="11"/>
      <c r="O12942" s="11"/>
      <c r="P12942" s="11"/>
    </row>
    <row r="12943" spans="8:16" x14ac:dyDescent="0.25">
      <c r="H12943" s="12"/>
      <c r="I12943" s="12"/>
      <c r="J12943" s="12"/>
      <c r="K12943" s="12"/>
      <c r="L12943" s="12"/>
      <c r="M12943" s="11"/>
      <c r="N12943" s="11"/>
      <c r="O12943" s="11"/>
      <c r="P12943" s="11"/>
    </row>
    <row r="12944" spans="8:16" x14ac:dyDescent="0.25">
      <c r="H12944" s="12"/>
      <c r="I12944" s="12"/>
      <c r="J12944" s="12"/>
      <c r="K12944" s="12"/>
      <c r="L12944" s="12"/>
      <c r="M12944" s="11"/>
      <c r="N12944" s="11"/>
      <c r="O12944" s="11"/>
      <c r="P12944" s="11"/>
    </row>
    <row r="12945" spans="8:16" x14ac:dyDescent="0.25">
      <c r="H12945" s="12"/>
      <c r="I12945" s="12"/>
      <c r="J12945" s="12"/>
      <c r="K12945" s="12"/>
      <c r="L12945" s="12"/>
      <c r="M12945" s="11"/>
      <c r="N12945" s="11"/>
      <c r="O12945" s="11"/>
      <c r="P12945" s="11"/>
    </row>
    <row r="12946" spans="8:16" x14ac:dyDescent="0.25">
      <c r="H12946" s="12"/>
      <c r="I12946" s="12"/>
      <c r="J12946" s="12"/>
      <c r="K12946" s="12"/>
      <c r="L12946" s="12"/>
      <c r="M12946" s="11"/>
      <c r="N12946" s="11"/>
      <c r="O12946" s="11"/>
      <c r="P12946" s="11"/>
    </row>
    <row r="12947" spans="8:16" x14ac:dyDescent="0.25">
      <c r="H12947" s="12"/>
      <c r="I12947" s="12"/>
      <c r="J12947" s="12"/>
      <c r="K12947" s="12"/>
      <c r="L12947" s="12"/>
      <c r="M12947" s="11"/>
      <c r="N12947" s="11"/>
      <c r="O12947" s="11"/>
      <c r="P12947" s="11"/>
    </row>
    <row r="12948" spans="8:16" x14ac:dyDescent="0.25">
      <c r="H12948" s="12"/>
      <c r="I12948" s="12"/>
      <c r="J12948" s="12"/>
      <c r="K12948" s="12"/>
      <c r="L12948" s="12"/>
      <c r="M12948" s="11"/>
      <c r="N12948" s="11"/>
      <c r="O12948" s="11"/>
      <c r="P12948" s="11"/>
    </row>
    <row r="12949" spans="8:16" x14ac:dyDescent="0.25">
      <c r="H12949" s="12"/>
      <c r="I12949" s="12"/>
      <c r="J12949" s="12"/>
      <c r="K12949" s="12"/>
      <c r="L12949" s="12"/>
      <c r="M12949" s="11"/>
      <c r="N12949" s="11"/>
      <c r="O12949" s="11"/>
      <c r="P12949" s="11"/>
    </row>
    <row r="12950" spans="8:16" x14ac:dyDescent="0.25">
      <c r="H12950" s="12"/>
      <c r="I12950" s="12"/>
      <c r="J12950" s="12"/>
      <c r="K12950" s="12"/>
      <c r="L12950" s="12"/>
      <c r="M12950" s="11"/>
      <c r="N12950" s="11"/>
      <c r="O12950" s="11"/>
      <c r="P12950" s="11"/>
    </row>
    <row r="12951" spans="8:16" x14ac:dyDescent="0.25">
      <c r="H12951" s="12"/>
      <c r="I12951" s="12"/>
      <c r="J12951" s="12"/>
      <c r="K12951" s="12"/>
      <c r="L12951" s="12"/>
      <c r="M12951" s="11"/>
      <c r="N12951" s="11"/>
      <c r="O12951" s="11"/>
      <c r="P12951" s="11"/>
    </row>
    <row r="12952" spans="8:16" x14ac:dyDescent="0.25">
      <c r="H12952" s="12"/>
      <c r="I12952" s="12"/>
      <c r="J12952" s="12"/>
      <c r="K12952" s="12"/>
      <c r="L12952" s="12"/>
      <c r="M12952" s="11"/>
      <c r="N12952" s="11"/>
      <c r="O12952" s="11"/>
      <c r="P12952" s="11"/>
    </row>
    <row r="12953" spans="8:16" x14ac:dyDescent="0.25">
      <c r="H12953" s="12"/>
      <c r="I12953" s="12"/>
      <c r="J12953" s="12"/>
      <c r="K12953" s="12"/>
      <c r="L12953" s="12"/>
      <c r="M12953" s="11"/>
      <c r="N12953" s="11"/>
      <c r="O12953" s="11"/>
      <c r="P12953" s="11"/>
    </row>
    <row r="12954" spans="8:16" x14ac:dyDescent="0.25">
      <c r="H12954" s="12"/>
      <c r="I12954" s="12"/>
      <c r="J12954" s="12"/>
      <c r="K12954" s="12"/>
      <c r="L12954" s="12"/>
      <c r="M12954" s="11"/>
      <c r="N12954" s="11"/>
      <c r="O12954" s="11"/>
      <c r="P12954" s="11"/>
    </row>
    <row r="12955" spans="8:16" x14ac:dyDescent="0.25">
      <c r="H12955" s="12"/>
      <c r="I12955" s="12"/>
      <c r="J12955" s="12"/>
      <c r="K12955" s="12"/>
      <c r="L12955" s="12"/>
      <c r="M12955" s="11"/>
      <c r="N12955" s="11"/>
      <c r="O12955" s="11"/>
      <c r="P12955" s="11"/>
    </row>
    <row r="12956" spans="8:16" x14ac:dyDescent="0.25">
      <c r="H12956" s="12"/>
      <c r="I12956" s="12"/>
      <c r="J12956" s="12"/>
      <c r="K12956" s="12"/>
      <c r="L12956" s="12"/>
      <c r="M12956" s="11"/>
      <c r="N12956" s="11"/>
      <c r="O12956" s="11"/>
      <c r="P12956" s="11"/>
    </row>
    <row r="12957" spans="8:16" x14ac:dyDescent="0.25">
      <c r="H12957" s="12"/>
      <c r="I12957" s="12"/>
      <c r="J12957" s="12"/>
      <c r="K12957" s="12"/>
      <c r="L12957" s="12"/>
      <c r="M12957" s="11"/>
      <c r="N12957" s="11"/>
      <c r="O12957" s="11"/>
      <c r="P12957" s="11"/>
    </row>
    <row r="12958" spans="8:16" x14ac:dyDescent="0.25">
      <c r="H12958" s="12"/>
      <c r="I12958" s="12"/>
      <c r="J12958" s="12"/>
      <c r="K12958" s="12"/>
      <c r="L12958" s="12"/>
      <c r="M12958" s="11"/>
      <c r="N12958" s="11"/>
      <c r="O12958" s="11"/>
      <c r="P12958" s="11"/>
    </row>
    <row r="12959" spans="8:16" x14ac:dyDescent="0.25">
      <c r="H12959" s="12"/>
      <c r="I12959" s="12"/>
      <c r="J12959" s="12"/>
      <c r="K12959" s="12"/>
      <c r="L12959" s="12"/>
      <c r="M12959" s="11"/>
      <c r="N12959" s="11"/>
      <c r="O12959" s="11"/>
      <c r="P12959" s="11"/>
    </row>
    <row r="12960" spans="8:16" x14ac:dyDescent="0.25">
      <c r="H12960" s="12"/>
      <c r="I12960" s="12"/>
      <c r="J12960" s="12"/>
      <c r="K12960" s="12"/>
      <c r="L12960" s="12"/>
      <c r="M12960" s="11"/>
      <c r="N12960" s="11"/>
      <c r="O12960" s="11"/>
      <c r="P12960" s="11"/>
    </row>
    <row r="12961" spans="8:16" x14ac:dyDescent="0.25">
      <c r="H12961" s="12"/>
      <c r="I12961" s="12"/>
      <c r="J12961" s="12"/>
      <c r="K12961" s="12"/>
      <c r="L12961" s="12"/>
      <c r="M12961" s="11"/>
      <c r="N12961" s="11"/>
      <c r="O12961" s="11"/>
      <c r="P12961" s="11"/>
    </row>
    <row r="12962" spans="8:16" x14ac:dyDescent="0.25">
      <c r="H12962" s="12"/>
      <c r="I12962" s="12"/>
      <c r="J12962" s="12"/>
      <c r="K12962" s="12"/>
      <c r="L12962" s="12"/>
      <c r="M12962" s="11"/>
      <c r="N12962" s="11"/>
      <c r="O12962" s="11"/>
      <c r="P12962" s="11"/>
    </row>
    <row r="12963" spans="8:16" x14ac:dyDescent="0.25">
      <c r="H12963" s="12"/>
      <c r="I12963" s="12"/>
      <c r="J12963" s="12"/>
      <c r="K12963" s="12"/>
      <c r="L12963" s="12"/>
      <c r="M12963" s="11"/>
      <c r="N12963" s="11"/>
      <c r="O12963" s="11"/>
      <c r="P12963" s="11"/>
    </row>
    <row r="12964" spans="8:16" x14ac:dyDescent="0.25">
      <c r="H12964" s="12"/>
      <c r="I12964" s="12"/>
      <c r="J12964" s="12"/>
      <c r="K12964" s="12"/>
      <c r="L12964" s="12"/>
      <c r="M12964" s="11"/>
      <c r="N12964" s="11"/>
      <c r="O12964" s="11"/>
      <c r="P12964" s="11"/>
    </row>
    <row r="12965" spans="8:16" x14ac:dyDescent="0.25">
      <c r="H12965" s="12"/>
      <c r="I12965" s="12"/>
      <c r="J12965" s="12"/>
      <c r="K12965" s="12"/>
      <c r="L12965" s="12"/>
      <c r="M12965" s="11"/>
      <c r="N12965" s="11"/>
      <c r="O12965" s="11"/>
      <c r="P12965" s="11"/>
    </row>
    <row r="12966" spans="8:16" x14ac:dyDescent="0.25">
      <c r="H12966" s="12"/>
      <c r="I12966" s="12"/>
      <c r="J12966" s="12"/>
      <c r="K12966" s="12"/>
      <c r="L12966" s="12"/>
      <c r="M12966" s="11"/>
      <c r="N12966" s="11"/>
      <c r="O12966" s="11"/>
      <c r="P12966" s="11"/>
    </row>
    <row r="12967" spans="8:16" x14ac:dyDescent="0.25">
      <c r="H12967" s="12"/>
      <c r="I12967" s="12"/>
      <c r="J12967" s="12"/>
      <c r="K12967" s="12"/>
      <c r="L12967" s="12"/>
      <c r="M12967" s="11"/>
      <c r="N12967" s="11"/>
      <c r="O12967" s="11"/>
      <c r="P12967" s="11"/>
    </row>
    <row r="12968" spans="8:16" x14ac:dyDescent="0.25">
      <c r="H12968" s="12"/>
      <c r="I12968" s="12"/>
      <c r="J12968" s="12"/>
      <c r="K12968" s="12"/>
      <c r="L12968" s="12"/>
      <c r="M12968" s="11"/>
      <c r="N12968" s="11"/>
      <c r="O12968" s="11"/>
      <c r="P12968" s="11"/>
    </row>
    <row r="12969" spans="8:16" x14ac:dyDescent="0.25">
      <c r="H12969" s="12"/>
      <c r="I12969" s="12"/>
      <c r="J12969" s="12"/>
      <c r="K12969" s="12"/>
      <c r="L12969" s="12"/>
      <c r="M12969" s="11"/>
      <c r="N12969" s="11"/>
      <c r="O12969" s="11"/>
      <c r="P12969" s="11"/>
    </row>
    <row r="12970" spans="8:16" x14ac:dyDescent="0.25">
      <c r="H12970" s="12"/>
      <c r="I12970" s="12"/>
      <c r="J12970" s="12"/>
      <c r="K12970" s="12"/>
      <c r="L12970" s="12"/>
      <c r="M12970" s="11"/>
      <c r="N12970" s="11"/>
      <c r="O12970" s="11"/>
      <c r="P12970" s="11"/>
    </row>
    <row r="12971" spans="8:16" x14ac:dyDescent="0.25">
      <c r="H12971" s="12"/>
      <c r="I12971" s="12"/>
      <c r="J12971" s="12"/>
      <c r="K12971" s="12"/>
      <c r="L12971" s="12"/>
      <c r="M12971" s="11"/>
      <c r="N12971" s="11"/>
      <c r="O12971" s="11"/>
      <c r="P12971" s="11"/>
    </row>
    <row r="12972" spans="8:16" x14ac:dyDescent="0.25">
      <c r="H12972" s="12"/>
      <c r="I12972" s="12"/>
      <c r="J12972" s="12"/>
      <c r="K12972" s="12"/>
      <c r="L12972" s="12"/>
      <c r="M12972" s="11"/>
      <c r="N12972" s="11"/>
      <c r="O12972" s="11"/>
      <c r="P12972" s="11"/>
    </row>
    <row r="12973" spans="8:16" x14ac:dyDescent="0.25">
      <c r="H12973" s="12"/>
      <c r="I12973" s="12"/>
      <c r="J12973" s="12"/>
      <c r="K12973" s="12"/>
      <c r="L12973" s="12"/>
      <c r="M12973" s="11"/>
      <c r="N12973" s="11"/>
      <c r="O12973" s="11"/>
      <c r="P12973" s="11"/>
    </row>
    <row r="12974" spans="8:16" x14ac:dyDescent="0.25">
      <c r="H12974" s="12"/>
      <c r="I12974" s="12"/>
      <c r="J12974" s="12"/>
      <c r="K12974" s="12"/>
      <c r="L12974" s="12"/>
      <c r="M12974" s="11"/>
      <c r="N12974" s="11"/>
      <c r="O12974" s="11"/>
      <c r="P12974" s="11"/>
    </row>
    <row r="12975" spans="8:16" x14ac:dyDescent="0.25">
      <c r="H12975" s="12"/>
      <c r="I12975" s="12"/>
      <c r="J12975" s="12"/>
      <c r="K12975" s="12"/>
      <c r="L12975" s="12"/>
      <c r="M12975" s="11"/>
      <c r="N12975" s="11"/>
      <c r="O12975" s="11"/>
      <c r="P12975" s="11"/>
    </row>
    <row r="12976" spans="8:16" x14ac:dyDescent="0.25">
      <c r="H12976" s="12"/>
      <c r="I12976" s="12"/>
      <c r="J12976" s="12"/>
      <c r="K12976" s="12"/>
      <c r="L12976" s="12"/>
      <c r="M12976" s="11"/>
      <c r="N12976" s="11"/>
      <c r="O12976" s="11"/>
      <c r="P12976" s="11"/>
    </row>
    <row r="12977" spans="8:16" x14ac:dyDescent="0.25">
      <c r="H12977" s="12"/>
      <c r="I12977" s="12"/>
      <c r="J12977" s="12"/>
      <c r="K12977" s="12"/>
      <c r="L12977" s="12"/>
      <c r="M12977" s="11"/>
      <c r="N12977" s="11"/>
      <c r="O12977" s="11"/>
      <c r="P12977" s="11"/>
    </row>
    <row r="12978" spans="8:16" x14ac:dyDescent="0.25">
      <c r="H12978" s="12"/>
      <c r="I12978" s="12"/>
      <c r="J12978" s="12"/>
      <c r="K12978" s="12"/>
      <c r="L12978" s="12"/>
      <c r="M12978" s="11"/>
      <c r="N12978" s="11"/>
      <c r="O12978" s="11"/>
      <c r="P12978" s="11"/>
    </row>
    <row r="12979" spans="8:16" x14ac:dyDescent="0.25">
      <c r="H12979" s="12"/>
      <c r="I12979" s="12"/>
      <c r="J12979" s="12"/>
      <c r="K12979" s="12"/>
      <c r="L12979" s="12"/>
      <c r="M12979" s="11"/>
      <c r="N12979" s="11"/>
      <c r="O12979" s="11"/>
      <c r="P12979" s="11"/>
    </row>
    <row r="12980" spans="8:16" x14ac:dyDescent="0.25">
      <c r="H12980" s="12"/>
      <c r="I12980" s="12"/>
      <c r="J12980" s="12"/>
      <c r="K12980" s="12"/>
      <c r="L12980" s="12"/>
      <c r="M12980" s="11"/>
      <c r="N12980" s="11"/>
      <c r="O12980" s="11"/>
      <c r="P12980" s="11"/>
    </row>
    <row r="12981" spans="8:16" x14ac:dyDescent="0.25">
      <c r="H12981" s="12"/>
      <c r="I12981" s="12"/>
      <c r="J12981" s="12"/>
      <c r="K12981" s="12"/>
      <c r="L12981" s="12"/>
      <c r="M12981" s="11"/>
      <c r="N12981" s="11"/>
      <c r="O12981" s="11"/>
      <c r="P12981" s="11"/>
    </row>
    <row r="12982" spans="8:16" x14ac:dyDescent="0.25">
      <c r="H12982" s="12"/>
      <c r="I12982" s="12"/>
      <c r="J12982" s="12"/>
      <c r="K12982" s="12"/>
      <c r="L12982" s="12"/>
      <c r="M12982" s="11"/>
      <c r="N12982" s="11"/>
      <c r="O12982" s="11"/>
      <c r="P12982" s="11"/>
    </row>
    <row r="12983" spans="8:16" x14ac:dyDescent="0.25">
      <c r="H12983" s="12"/>
      <c r="I12983" s="12"/>
      <c r="J12983" s="12"/>
      <c r="K12983" s="12"/>
      <c r="L12983" s="12"/>
      <c r="M12983" s="11"/>
      <c r="N12983" s="11"/>
      <c r="O12983" s="11"/>
      <c r="P12983" s="11"/>
    </row>
    <row r="12984" spans="8:16" x14ac:dyDescent="0.25">
      <c r="H12984" s="12"/>
      <c r="I12984" s="12"/>
      <c r="J12984" s="12"/>
      <c r="K12984" s="12"/>
      <c r="L12984" s="12"/>
      <c r="M12984" s="11"/>
      <c r="N12984" s="11"/>
      <c r="O12984" s="11"/>
      <c r="P12984" s="11"/>
    </row>
    <row r="12985" spans="8:16" x14ac:dyDescent="0.25">
      <c r="H12985" s="12"/>
      <c r="I12985" s="12"/>
      <c r="J12985" s="12"/>
      <c r="K12985" s="12"/>
      <c r="L12985" s="12"/>
      <c r="M12985" s="11"/>
      <c r="N12985" s="11"/>
      <c r="O12985" s="11"/>
      <c r="P12985" s="11"/>
    </row>
    <row r="12986" spans="8:16" x14ac:dyDescent="0.25">
      <c r="H12986" s="12"/>
      <c r="I12986" s="12"/>
      <c r="J12986" s="12"/>
      <c r="K12986" s="12"/>
      <c r="L12986" s="12"/>
      <c r="M12986" s="11"/>
      <c r="N12986" s="11"/>
      <c r="O12986" s="11"/>
      <c r="P12986" s="11"/>
    </row>
    <row r="12987" spans="8:16" x14ac:dyDescent="0.25">
      <c r="H12987" s="12"/>
      <c r="I12987" s="12"/>
      <c r="J12987" s="12"/>
      <c r="K12987" s="12"/>
      <c r="L12987" s="12"/>
      <c r="M12987" s="11"/>
      <c r="N12987" s="11"/>
      <c r="O12987" s="11"/>
      <c r="P12987" s="11"/>
    </row>
    <row r="12988" spans="8:16" x14ac:dyDescent="0.25">
      <c r="H12988" s="12"/>
      <c r="I12988" s="12"/>
      <c r="J12988" s="12"/>
      <c r="K12988" s="12"/>
      <c r="L12988" s="12"/>
      <c r="M12988" s="11"/>
      <c r="N12988" s="11"/>
      <c r="O12988" s="11"/>
      <c r="P12988" s="11"/>
    </row>
    <row r="12989" spans="8:16" x14ac:dyDescent="0.25">
      <c r="H12989" s="12"/>
      <c r="I12989" s="12"/>
      <c r="J12989" s="12"/>
      <c r="K12989" s="12"/>
      <c r="L12989" s="12"/>
      <c r="M12989" s="11"/>
      <c r="N12989" s="11"/>
      <c r="O12989" s="11"/>
      <c r="P12989" s="11"/>
    </row>
    <row r="12990" spans="8:16" x14ac:dyDescent="0.25">
      <c r="H12990" s="12"/>
      <c r="I12990" s="12"/>
      <c r="J12990" s="12"/>
      <c r="K12990" s="12"/>
      <c r="L12990" s="12"/>
      <c r="M12990" s="11"/>
      <c r="N12990" s="11"/>
      <c r="O12990" s="11"/>
      <c r="P12990" s="11"/>
    </row>
    <row r="12991" spans="8:16" x14ac:dyDescent="0.25">
      <c r="H12991" s="12"/>
      <c r="I12991" s="12"/>
      <c r="J12991" s="12"/>
      <c r="K12991" s="12"/>
      <c r="L12991" s="12"/>
      <c r="M12991" s="11"/>
      <c r="N12991" s="11"/>
      <c r="O12991" s="11"/>
      <c r="P12991" s="11"/>
    </row>
    <row r="12992" spans="8:16" x14ac:dyDescent="0.25">
      <c r="H12992" s="12"/>
      <c r="I12992" s="12"/>
      <c r="J12992" s="12"/>
      <c r="K12992" s="12"/>
      <c r="L12992" s="12"/>
      <c r="M12992" s="11"/>
      <c r="N12992" s="11"/>
      <c r="O12992" s="11"/>
      <c r="P12992" s="11"/>
    </row>
    <row r="12993" spans="8:16" x14ac:dyDescent="0.25">
      <c r="H12993" s="12"/>
      <c r="I12993" s="12"/>
      <c r="J12993" s="12"/>
      <c r="K12993" s="12"/>
      <c r="L12993" s="12"/>
      <c r="M12993" s="11"/>
      <c r="N12993" s="11"/>
      <c r="O12993" s="11"/>
      <c r="P12993" s="11"/>
    </row>
    <row r="12994" spans="8:16" x14ac:dyDescent="0.25">
      <c r="H12994" s="12"/>
      <c r="I12994" s="12"/>
      <c r="J12994" s="12"/>
      <c r="K12994" s="12"/>
      <c r="L12994" s="12"/>
      <c r="M12994" s="11"/>
      <c r="N12994" s="11"/>
      <c r="O12994" s="11"/>
      <c r="P12994" s="11"/>
    </row>
    <row r="12995" spans="8:16" x14ac:dyDescent="0.25">
      <c r="H12995" s="12"/>
      <c r="I12995" s="12"/>
      <c r="J12995" s="12"/>
      <c r="K12995" s="12"/>
      <c r="L12995" s="12"/>
      <c r="M12995" s="11"/>
      <c r="N12995" s="11"/>
      <c r="O12995" s="11"/>
      <c r="P12995" s="11"/>
    </row>
    <row r="12996" spans="8:16" x14ac:dyDescent="0.25">
      <c r="H12996" s="12"/>
      <c r="I12996" s="12"/>
      <c r="J12996" s="12"/>
      <c r="K12996" s="12"/>
      <c r="L12996" s="12"/>
      <c r="M12996" s="11"/>
      <c r="N12996" s="11"/>
      <c r="O12996" s="11"/>
      <c r="P12996" s="11"/>
    </row>
    <row r="12997" spans="8:16" x14ac:dyDescent="0.25">
      <c r="H12997" s="12"/>
      <c r="I12997" s="12"/>
      <c r="J12997" s="12"/>
      <c r="K12997" s="12"/>
      <c r="L12997" s="12"/>
      <c r="M12997" s="11"/>
      <c r="N12997" s="11"/>
      <c r="O12997" s="11"/>
      <c r="P12997" s="11"/>
    </row>
    <row r="12998" spans="8:16" x14ac:dyDescent="0.25">
      <c r="H12998" s="12"/>
      <c r="I12998" s="12"/>
      <c r="J12998" s="12"/>
      <c r="K12998" s="12"/>
      <c r="L12998" s="12"/>
      <c r="M12998" s="11"/>
      <c r="N12998" s="11"/>
      <c r="O12998" s="11"/>
      <c r="P12998" s="11"/>
    </row>
    <row r="12999" spans="8:16" x14ac:dyDescent="0.25">
      <c r="H12999" s="12"/>
      <c r="I12999" s="12"/>
      <c r="J12999" s="12"/>
      <c r="K12999" s="12"/>
      <c r="L12999" s="12"/>
      <c r="M12999" s="11"/>
      <c r="N12999" s="11"/>
      <c r="O12999" s="11"/>
      <c r="P12999" s="11"/>
    </row>
    <row r="13000" spans="8:16" x14ac:dyDescent="0.25">
      <c r="H13000" s="12"/>
      <c r="I13000" s="12"/>
      <c r="J13000" s="12"/>
      <c r="K13000" s="12"/>
      <c r="L13000" s="12"/>
      <c r="M13000" s="11"/>
      <c r="N13000" s="11"/>
      <c r="O13000" s="11"/>
      <c r="P13000" s="11"/>
    </row>
    <row r="13001" spans="8:16" x14ac:dyDescent="0.25">
      <c r="H13001" s="12"/>
      <c r="I13001" s="12"/>
      <c r="J13001" s="12"/>
      <c r="K13001" s="12"/>
      <c r="L13001" s="12"/>
      <c r="M13001" s="11"/>
      <c r="N13001" s="11"/>
      <c r="O13001" s="11"/>
      <c r="P13001" s="11"/>
    </row>
    <row r="13002" spans="8:16" x14ac:dyDescent="0.25">
      <c r="H13002" s="12"/>
      <c r="I13002" s="12"/>
      <c r="J13002" s="12"/>
      <c r="K13002" s="12"/>
      <c r="L13002" s="12"/>
      <c r="M13002" s="11"/>
      <c r="N13002" s="11"/>
      <c r="O13002" s="11"/>
      <c r="P13002" s="11"/>
    </row>
    <row r="13003" spans="8:16" x14ac:dyDescent="0.25">
      <c r="H13003" s="12"/>
      <c r="I13003" s="12"/>
      <c r="J13003" s="12"/>
      <c r="K13003" s="12"/>
      <c r="L13003" s="12"/>
      <c r="M13003" s="11"/>
      <c r="N13003" s="11"/>
      <c r="O13003" s="11"/>
      <c r="P13003" s="11"/>
    </row>
    <row r="13004" spans="8:16" x14ac:dyDescent="0.25">
      <c r="H13004" s="12"/>
      <c r="I13004" s="12"/>
      <c r="J13004" s="12"/>
      <c r="K13004" s="12"/>
      <c r="L13004" s="12"/>
      <c r="M13004" s="11"/>
      <c r="N13004" s="11"/>
      <c r="O13004" s="11"/>
      <c r="P13004" s="11"/>
    </row>
    <row r="13005" spans="8:16" x14ac:dyDescent="0.25">
      <c r="H13005" s="12"/>
      <c r="I13005" s="12"/>
      <c r="J13005" s="12"/>
      <c r="K13005" s="12"/>
      <c r="L13005" s="12"/>
      <c r="M13005" s="11"/>
      <c r="N13005" s="11"/>
      <c r="O13005" s="11"/>
      <c r="P13005" s="11"/>
    </row>
    <row r="13006" spans="8:16" x14ac:dyDescent="0.25">
      <c r="H13006" s="12"/>
      <c r="I13006" s="12"/>
      <c r="J13006" s="12"/>
      <c r="K13006" s="12"/>
      <c r="L13006" s="12"/>
      <c r="M13006" s="11"/>
      <c r="N13006" s="11"/>
      <c r="O13006" s="11"/>
      <c r="P13006" s="11"/>
    </row>
    <row r="13007" spans="8:16" x14ac:dyDescent="0.25">
      <c r="H13007" s="12"/>
      <c r="I13007" s="12"/>
      <c r="J13007" s="12"/>
      <c r="K13007" s="12"/>
      <c r="L13007" s="12"/>
      <c r="M13007" s="11"/>
      <c r="N13007" s="11"/>
      <c r="O13007" s="11"/>
      <c r="P13007" s="11"/>
    </row>
    <row r="13008" spans="8:16" x14ac:dyDescent="0.25">
      <c r="H13008" s="12"/>
      <c r="I13008" s="12"/>
      <c r="J13008" s="12"/>
      <c r="K13008" s="12"/>
      <c r="L13008" s="12"/>
      <c r="M13008" s="11"/>
      <c r="N13008" s="11"/>
      <c r="O13008" s="11"/>
      <c r="P13008" s="11"/>
    </row>
    <row r="13009" spans="8:16" x14ac:dyDescent="0.25">
      <c r="H13009" s="12"/>
      <c r="I13009" s="12"/>
      <c r="J13009" s="12"/>
      <c r="K13009" s="12"/>
      <c r="L13009" s="12"/>
      <c r="M13009" s="11"/>
      <c r="N13009" s="11"/>
      <c r="O13009" s="11"/>
      <c r="P13009" s="11"/>
    </row>
    <row r="13010" spans="8:16" x14ac:dyDescent="0.25">
      <c r="H13010" s="12"/>
      <c r="I13010" s="12"/>
      <c r="J13010" s="12"/>
      <c r="K13010" s="12"/>
      <c r="L13010" s="12"/>
      <c r="M13010" s="11"/>
      <c r="N13010" s="11"/>
      <c r="O13010" s="11"/>
      <c r="P13010" s="11"/>
    </row>
    <row r="13011" spans="8:16" x14ac:dyDescent="0.25">
      <c r="H13011" s="12"/>
      <c r="I13011" s="12"/>
      <c r="J13011" s="12"/>
      <c r="K13011" s="12"/>
      <c r="L13011" s="12"/>
      <c r="M13011" s="11"/>
      <c r="N13011" s="11"/>
      <c r="O13011" s="11"/>
      <c r="P13011" s="11"/>
    </row>
    <row r="13012" spans="8:16" x14ac:dyDescent="0.25">
      <c r="H13012" s="12"/>
      <c r="I13012" s="12"/>
      <c r="J13012" s="12"/>
      <c r="K13012" s="12"/>
      <c r="L13012" s="12"/>
      <c r="M13012" s="11"/>
      <c r="N13012" s="11"/>
      <c r="O13012" s="11"/>
      <c r="P13012" s="11"/>
    </row>
    <row r="13013" spans="8:16" x14ac:dyDescent="0.25">
      <c r="H13013" s="12"/>
      <c r="I13013" s="12"/>
      <c r="J13013" s="12"/>
      <c r="K13013" s="12"/>
      <c r="L13013" s="12"/>
      <c r="M13013" s="11"/>
      <c r="N13013" s="11"/>
      <c r="O13013" s="11"/>
      <c r="P13013" s="11"/>
    </row>
    <row r="13014" spans="8:16" x14ac:dyDescent="0.25">
      <c r="H13014" s="12"/>
      <c r="I13014" s="12"/>
      <c r="J13014" s="12"/>
      <c r="K13014" s="12"/>
      <c r="L13014" s="12"/>
      <c r="M13014" s="11"/>
      <c r="N13014" s="11"/>
      <c r="O13014" s="11"/>
      <c r="P13014" s="11"/>
    </row>
    <row r="13015" spans="8:16" x14ac:dyDescent="0.25">
      <c r="H13015" s="12"/>
      <c r="I13015" s="12"/>
      <c r="J13015" s="12"/>
      <c r="K13015" s="12"/>
      <c r="L13015" s="12"/>
      <c r="M13015" s="11"/>
      <c r="N13015" s="11"/>
      <c r="O13015" s="11"/>
      <c r="P13015" s="11"/>
    </row>
    <row r="13016" spans="8:16" x14ac:dyDescent="0.25">
      <c r="H13016" s="12"/>
      <c r="I13016" s="12"/>
      <c r="J13016" s="12"/>
      <c r="K13016" s="12"/>
      <c r="L13016" s="12"/>
      <c r="M13016" s="11"/>
      <c r="N13016" s="11"/>
      <c r="O13016" s="11"/>
      <c r="P13016" s="11"/>
    </row>
    <row r="13017" spans="8:16" x14ac:dyDescent="0.25">
      <c r="H13017" s="12"/>
      <c r="I13017" s="12"/>
      <c r="J13017" s="12"/>
      <c r="K13017" s="12"/>
      <c r="L13017" s="12"/>
      <c r="M13017" s="11"/>
      <c r="N13017" s="11"/>
      <c r="O13017" s="11"/>
      <c r="P13017" s="11"/>
    </row>
    <row r="13018" spans="8:16" x14ac:dyDescent="0.25">
      <c r="H13018" s="12"/>
      <c r="I13018" s="12"/>
      <c r="J13018" s="12"/>
      <c r="K13018" s="12"/>
      <c r="L13018" s="12"/>
      <c r="M13018" s="11"/>
      <c r="N13018" s="11"/>
      <c r="O13018" s="11"/>
      <c r="P13018" s="11"/>
    </row>
    <row r="13019" spans="8:16" x14ac:dyDescent="0.25">
      <c r="H13019" s="12"/>
      <c r="I13019" s="12"/>
      <c r="J13019" s="12"/>
      <c r="K13019" s="12"/>
      <c r="L13019" s="12"/>
      <c r="M13019" s="11"/>
      <c r="N13019" s="11"/>
      <c r="O13019" s="11"/>
      <c r="P13019" s="11"/>
    </row>
    <row r="13020" spans="8:16" x14ac:dyDescent="0.25">
      <c r="H13020" s="12"/>
      <c r="I13020" s="12"/>
      <c r="J13020" s="12"/>
      <c r="K13020" s="12"/>
      <c r="L13020" s="12"/>
      <c r="M13020" s="11"/>
      <c r="N13020" s="11"/>
      <c r="O13020" s="11"/>
      <c r="P13020" s="11"/>
    </row>
    <row r="13021" spans="8:16" x14ac:dyDescent="0.25">
      <c r="H13021" s="12"/>
      <c r="I13021" s="12"/>
      <c r="J13021" s="12"/>
      <c r="K13021" s="12"/>
      <c r="L13021" s="12"/>
      <c r="M13021" s="11"/>
      <c r="N13021" s="11"/>
      <c r="O13021" s="11"/>
      <c r="P13021" s="11"/>
    </row>
    <row r="13022" spans="8:16" x14ac:dyDescent="0.25">
      <c r="H13022" s="12"/>
      <c r="I13022" s="12"/>
      <c r="J13022" s="12"/>
      <c r="K13022" s="12"/>
      <c r="L13022" s="12"/>
      <c r="M13022" s="11"/>
      <c r="N13022" s="11"/>
      <c r="O13022" s="11"/>
      <c r="P13022" s="11"/>
    </row>
    <row r="13023" spans="8:16" x14ac:dyDescent="0.25">
      <c r="H13023" s="12"/>
      <c r="I13023" s="12"/>
      <c r="J13023" s="12"/>
      <c r="K13023" s="12"/>
      <c r="L13023" s="12"/>
      <c r="M13023" s="11"/>
      <c r="N13023" s="11"/>
      <c r="O13023" s="11"/>
      <c r="P13023" s="11"/>
    </row>
    <row r="13024" spans="8:16" x14ac:dyDescent="0.25">
      <c r="H13024" s="12"/>
      <c r="I13024" s="12"/>
      <c r="J13024" s="12"/>
      <c r="K13024" s="12"/>
      <c r="L13024" s="12"/>
      <c r="M13024" s="11"/>
      <c r="N13024" s="11"/>
      <c r="O13024" s="11"/>
      <c r="P13024" s="11"/>
    </row>
    <row r="13025" spans="8:16" x14ac:dyDescent="0.25">
      <c r="H13025" s="12"/>
      <c r="I13025" s="12"/>
      <c r="J13025" s="12"/>
      <c r="K13025" s="12"/>
      <c r="L13025" s="12"/>
      <c r="M13025" s="11"/>
      <c r="N13025" s="11"/>
      <c r="O13025" s="11"/>
      <c r="P13025" s="11"/>
    </row>
    <row r="13026" spans="8:16" x14ac:dyDescent="0.25">
      <c r="H13026" s="12"/>
      <c r="I13026" s="12"/>
      <c r="J13026" s="12"/>
      <c r="K13026" s="12"/>
      <c r="L13026" s="12"/>
      <c r="M13026" s="11"/>
      <c r="N13026" s="11"/>
      <c r="O13026" s="11"/>
      <c r="P13026" s="11"/>
    </row>
    <row r="13027" spans="8:16" x14ac:dyDescent="0.25">
      <c r="H13027" s="12"/>
      <c r="I13027" s="12"/>
      <c r="J13027" s="12"/>
      <c r="K13027" s="12"/>
      <c r="L13027" s="12"/>
      <c r="M13027" s="11"/>
      <c r="N13027" s="11"/>
      <c r="O13027" s="11"/>
      <c r="P13027" s="11"/>
    </row>
    <row r="13028" spans="8:16" x14ac:dyDescent="0.25">
      <c r="H13028" s="12"/>
      <c r="I13028" s="12"/>
      <c r="J13028" s="12"/>
      <c r="K13028" s="12"/>
      <c r="L13028" s="12"/>
      <c r="M13028" s="11"/>
      <c r="N13028" s="11"/>
      <c r="O13028" s="11"/>
      <c r="P13028" s="11"/>
    </row>
    <row r="13029" spans="8:16" x14ac:dyDescent="0.25">
      <c r="H13029" s="12"/>
      <c r="I13029" s="12"/>
      <c r="J13029" s="12"/>
      <c r="K13029" s="12"/>
      <c r="L13029" s="12"/>
      <c r="M13029" s="11"/>
      <c r="N13029" s="11"/>
      <c r="O13029" s="11"/>
      <c r="P13029" s="11"/>
    </row>
    <row r="13030" spans="8:16" x14ac:dyDescent="0.25">
      <c r="H13030" s="12"/>
      <c r="I13030" s="12"/>
      <c r="J13030" s="12"/>
      <c r="K13030" s="12"/>
      <c r="L13030" s="12"/>
      <c r="M13030" s="11"/>
      <c r="N13030" s="11"/>
      <c r="O13030" s="11"/>
      <c r="P13030" s="11"/>
    </row>
    <row r="13031" spans="8:16" x14ac:dyDescent="0.25">
      <c r="H13031" s="12"/>
      <c r="I13031" s="12"/>
      <c r="J13031" s="12"/>
      <c r="K13031" s="12"/>
      <c r="L13031" s="12"/>
      <c r="M13031" s="11"/>
      <c r="N13031" s="11"/>
      <c r="O13031" s="11"/>
      <c r="P13031" s="11"/>
    </row>
    <row r="13032" spans="8:16" x14ac:dyDescent="0.25">
      <c r="H13032" s="12"/>
      <c r="I13032" s="12"/>
      <c r="J13032" s="12"/>
      <c r="K13032" s="12"/>
      <c r="L13032" s="12"/>
      <c r="M13032" s="11"/>
      <c r="N13032" s="11"/>
      <c r="O13032" s="11"/>
      <c r="P13032" s="11"/>
    </row>
    <row r="13033" spans="8:16" x14ac:dyDescent="0.25">
      <c r="H13033" s="12"/>
      <c r="I13033" s="12"/>
      <c r="J13033" s="12"/>
      <c r="K13033" s="12"/>
      <c r="L13033" s="12"/>
      <c r="M13033" s="11"/>
      <c r="N13033" s="11"/>
      <c r="O13033" s="11"/>
      <c r="P13033" s="11"/>
    </row>
    <row r="13034" spans="8:16" x14ac:dyDescent="0.25">
      <c r="H13034" s="12"/>
      <c r="I13034" s="12"/>
      <c r="J13034" s="12"/>
      <c r="K13034" s="12"/>
      <c r="L13034" s="12"/>
      <c r="M13034" s="11"/>
      <c r="N13034" s="11"/>
      <c r="O13034" s="11"/>
      <c r="P13034" s="11"/>
    </row>
    <row r="13035" spans="8:16" x14ac:dyDescent="0.25">
      <c r="H13035" s="12"/>
      <c r="I13035" s="12"/>
      <c r="J13035" s="12"/>
      <c r="K13035" s="12"/>
      <c r="L13035" s="12"/>
      <c r="M13035" s="11"/>
      <c r="N13035" s="11"/>
      <c r="O13035" s="11"/>
      <c r="P13035" s="11"/>
    </row>
    <row r="13036" spans="8:16" x14ac:dyDescent="0.25">
      <c r="H13036" s="12"/>
      <c r="I13036" s="12"/>
      <c r="J13036" s="12"/>
      <c r="K13036" s="12"/>
      <c r="L13036" s="12"/>
      <c r="M13036" s="11"/>
      <c r="N13036" s="11"/>
      <c r="O13036" s="11"/>
      <c r="P13036" s="11"/>
    </row>
    <row r="13037" spans="8:16" x14ac:dyDescent="0.25">
      <c r="H13037" s="12"/>
      <c r="I13037" s="12"/>
      <c r="J13037" s="12"/>
      <c r="K13037" s="12"/>
      <c r="L13037" s="12"/>
      <c r="M13037" s="11"/>
      <c r="N13037" s="11"/>
      <c r="O13037" s="11"/>
      <c r="P13037" s="11"/>
    </row>
    <row r="13038" spans="8:16" x14ac:dyDescent="0.25">
      <c r="H13038" s="12"/>
      <c r="I13038" s="12"/>
      <c r="J13038" s="12"/>
      <c r="K13038" s="12"/>
      <c r="L13038" s="12"/>
      <c r="M13038" s="11"/>
      <c r="N13038" s="11"/>
      <c r="O13038" s="11"/>
      <c r="P13038" s="11"/>
    </row>
    <row r="13039" spans="8:16" x14ac:dyDescent="0.25">
      <c r="H13039" s="12"/>
      <c r="I13039" s="12"/>
      <c r="J13039" s="12"/>
      <c r="K13039" s="12"/>
      <c r="L13039" s="12"/>
      <c r="M13039" s="11"/>
      <c r="N13039" s="11"/>
      <c r="O13039" s="11"/>
      <c r="P13039" s="11"/>
    </row>
    <row r="13040" spans="8:16" x14ac:dyDescent="0.25">
      <c r="H13040" s="12"/>
      <c r="I13040" s="12"/>
      <c r="J13040" s="12"/>
      <c r="K13040" s="12"/>
      <c r="L13040" s="12"/>
      <c r="M13040" s="11"/>
      <c r="N13040" s="11"/>
      <c r="O13040" s="11"/>
      <c r="P13040" s="11"/>
    </row>
    <row r="13041" spans="8:16" x14ac:dyDescent="0.25">
      <c r="H13041" s="12"/>
      <c r="I13041" s="12"/>
      <c r="J13041" s="12"/>
      <c r="K13041" s="12"/>
      <c r="L13041" s="12"/>
      <c r="M13041" s="11"/>
      <c r="N13041" s="11"/>
      <c r="O13041" s="11"/>
      <c r="P13041" s="11"/>
    </row>
    <row r="13042" spans="8:16" x14ac:dyDescent="0.25">
      <c r="H13042" s="12"/>
      <c r="I13042" s="12"/>
      <c r="J13042" s="12"/>
      <c r="K13042" s="12"/>
      <c r="L13042" s="12"/>
      <c r="M13042" s="11"/>
      <c r="N13042" s="11"/>
      <c r="O13042" s="11"/>
      <c r="P13042" s="11"/>
    </row>
    <row r="13043" spans="8:16" x14ac:dyDescent="0.25">
      <c r="H13043" s="12"/>
      <c r="I13043" s="12"/>
      <c r="J13043" s="12"/>
      <c r="K13043" s="12"/>
      <c r="L13043" s="12"/>
      <c r="M13043" s="11"/>
      <c r="N13043" s="11"/>
      <c r="O13043" s="11"/>
      <c r="P13043" s="11"/>
    </row>
    <row r="13044" spans="8:16" x14ac:dyDescent="0.25">
      <c r="H13044" s="12"/>
      <c r="I13044" s="12"/>
      <c r="J13044" s="12"/>
      <c r="K13044" s="12"/>
      <c r="L13044" s="12"/>
      <c r="M13044" s="11"/>
      <c r="N13044" s="11"/>
      <c r="O13044" s="11"/>
      <c r="P13044" s="11"/>
    </row>
    <row r="13045" spans="8:16" x14ac:dyDescent="0.25">
      <c r="H13045" s="12"/>
      <c r="I13045" s="12"/>
      <c r="J13045" s="12"/>
      <c r="K13045" s="12"/>
      <c r="L13045" s="12"/>
      <c r="M13045" s="11"/>
      <c r="N13045" s="11"/>
      <c r="O13045" s="11"/>
      <c r="P13045" s="11"/>
    </row>
    <row r="13046" spans="8:16" x14ac:dyDescent="0.25">
      <c r="H13046" s="12"/>
      <c r="I13046" s="12"/>
      <c r="J13046" s="12"/>
      <c r="K13046" s="12"/>
      <c r="L13046" s="12"/>
      <c r="M13046" s="11"/>
      <c r="N13046" s="11"/>
      <c r="O13046" s="11"/>
      <c r="P13046" s="11"/>
    </row>
    <row r="13047" spans="8:16" x14ac:dyDescent="0.25">
      <c r="H13047" s="12"/>
      <c r="I13047" s="12"/>
      <c r="J13047" s="12"/>
      <c r="K13047" s="12"/>
      <c r="L13047" s="12"/>
      <c r="M13047" s="11"/>
      <c r="N13047" s="11"/>
      <c r="O13047" s="11"/>
      <c r="P13047" s="11"/>
    </row>
    <row r="13048" spans="8:16" x14ac:dyDescent="0.25">
      <c r="H13048" s="12"/>
      <c r="I13048" s="12"/>
      <c r="J13048" s="12"/>
      <c r="K13048" s="12"/>
      <c r="L13048" s="12"/>
      <c r="M13048" s="11"/>
      <c r="N13048" s="11"/>
      <c r="O13048" s="11"/>
      <c r="P13048" s="11"/>
    </row>
    <row r="13049" spans="8:16" x14ac:dyDescent="0.25">
      <c r="H13049" s="12"/>
      <c r="I13049" s="12"/>
      <c r="J13049" s="12"/>
      <c r="K13049" s="12"/>
      <c r="L13049" s="12"/>
      <c r="M13049" s="11"/>
      <c r="N13049" s="11"/>
      <c r="O13049" s="11"/>
      <c r="P13049" s="11"/>
    </row>
    <row r="13050" spans="8:16" x14ac:dyDescent="0.25">
      <c r="H13050" s="12"/>
      <c r="I13050" s="12"/>
      <c r="J13050" s="12"/>
      <c r="K13050" s="12"/>
      <c r="L13050" s="12"/>
      <c r="M13050" s="11"/>
      <c r="N13050" s="11"/>
      <c r="O13050" s="11"/>
      <c r="P13050" s="11"/>
    </row>
    <row r="13051" spans="8:16" x14ac:dyDescent="0.25">
      <c r="H13051" s="12"/>
      <c r="I13051" s="12"/>
      <c r="J13051" s="12"/>
      <c r="K13051" s="12"/>
      <c r="L13051" s="12"/>
      <c r="M13051" s="11"/>
      <c r="N13051" s="11"/>
      <c r="O13051" s="11"/>
      <c r="P13051" s="11"/>
    </row>
    <row r="13052" spans="8:16" x14ac:dyDescent="0.25">
      <c r="H13052" s="12"/>
      <c r="I13052" s="12"/>
      <c r="J13052" s="12"/>
      <c r="K13052" s="12"/>
      <c r="L13052" s="12"/>
      <c r="M13052" s="11"/>
      <c r="N13052" s="11"/>
      <c r="O13052" s="11"/>
      <c r="P13052" s="11"/>
    </row>
    <row r="13053" spans="8:16" x14ac:dyDescent="0.25">
      <c r="H13053" s="12"/>
      <c r="I13053" s="12"/>
      <c r="J13053" s="12"/>
      <c r="K13053" s="12"/>
      <c r="L13053" s="12"/>
      <c r="M13053" s="11"/>
      <c r="N13053" s="11"/>
      <c r="O13053" s="11"/>
      <c r="P13053" s="11"/>
    </row>
    <row r="13054" spans="8:16" x14ac:dyDescent="0.25">
      <c r="H13054" s="12"/>
      <c r="I13054" s="12"/>
      <c r="J13054" s="12"/>
      <c r="K13054" s="12"/>
      <c r="L13054" s="12"/>
      <c r="M13054" s="11"/>
      <c r="N13054" s="11"/>
      <c r="O13054" s="11"/>
      <c r="P13054" s="11"/>
    </row>
    <row r="13055" spans="8:16" x14ac:dyDescent="0.25">
      <c r="H13055" s="12"/>
      <c r="I13055" s="12"/>
      <c r="J13055" s="12"/>
      <c r="K13055" s="12"/>
      <c r="L13055" s="12"/>
      <c r="M13055" s="11"/>
      <c r="N13055" s="11"/>
      <c r="O13055" s="11"/>
      <c r="P13055" s="11"/>
    </row>
    <row r="13056" spans="8:16" x14ac:dyDescent="0.25">
      <c r="H13056" s="12"/>
      <c r="I13056" s="12"/>
      <c r="J13056" s="12"/>
      <c r="K13056" s="12"/>
      <c r="L13056" s="12"/>
      <c r="M13056" s="11"/>
      <c r="N13056" s="11"/>
      <c r="O13056" s="11"/>
      <c r="P13056" s="11"/>
    </row>
    <row r="13057" spans="8:16" x14ac:dyDescent="0.25">
      <c r="H13057" s="12"/>
      <c r="I13057" s="12"/>
      <c r="J13057" s="12"/>
      <c r="K13057" s="12"/>
      <c r="L13057" s="12"/>
      <c r="M13057" s="11"/>
      <c r="N13057" s="11"/>
      <c r="O13057" s="11"/>
      <c r="P13057" s="11"/>
    </row>
    <row r="13058" spans="8:16" x14ac:dyDescent="0.25">
      <c r="H13058" s="12"/>
      <c r="I13058" s="12"/>
      <c r="J13058" s="12"/>
      <c r="K13058" s="12"/>
      <c r="L13058" s="12"/>
      <c r="M13058" s="11"/>
      <c r="N13058" s="11"/>
      <c r="O13058" s="11"/>
      <c r="P13058" s="11"/>
    </row>
    <row r="13059" spans="8:16" x14ac:dyDescent="0.25">
      <c r="H13059" s="12"/>
      <c r="I13059" s="12"/>
      <c r="J13059" s="12"/>
      <c r="K13059" s="12"/>
      <c r="L13059" s="12"/>
      <c r="M13059" s="11"/>
      <c r="N13059" s="11"/>
      <c r="O13059" s="11"/>
      <c r="P13059" s="11"/>
    </row>
    <row r="13060" spans="8:16" x14ac:dyDescent="0.25">
      <c r="H13060" s="12"/>
      <c r="I13060" s="12"/>
      <c r="J13060" s="12"/>
      <c r="K13060" s="12"/>
      <c r="L13060" s="12"/>
      <c r="M13060" s="11"/>
      <c r="N13060" s="11"/>
      <c r="O13060" s="11"/>
      <c r="P13060" s="11"/>
    </row>
    <row r="13061" spans="8:16" x14ac:dyDescent="0.25">
      <c r="H13061" s="12"/>
      <c r="I13061" s="12"/>
      <c r="J13061" s="12"/>
      <c r="K13061" s="12"/>
      <c r="L13061" s="12"/>
      <c r="M13061" s="11"/>
      <c r="N13061" s="11"/>
      <c r="O13061" s="11"/>
      <c r="P13061" s="11"/>
    </row>
    <row r="13062" spans="8:16" x14ac:dyDescent="0.25">
      <c r="H13062" s="12"/>
      <c r="I13062" s="12"/>
      <c r="J13062" s="12"/>
      <c r="K13062" s="12"/>
      <c r="L13062" s="12"/>
      <c r="M13062" s="11"/>
      <c r="N13062" s="11"/>
      <c r="O13062" s="11"/>
      <c r="P13062" s="11"/>
    </row>
    <row r="13063" spans="8:16" x14ac:dyDescent="0.25">
      <c r="H13063" s="12"/>
      <c r="I13063" s="12"/>
      <c r="J13063" s="12"/>
      <c r="K13063" s="12"/>
      <c r="L13063" s="12"/>
      <c r="M13063" s="11"/>
      <c r="N13063" s="11"/>
      <c r="O13063" s="11"/>
      <c r="P13063" s="11"/>
    </row>
    <row r="13064" spans="8:16" x14ac:dyDescent="0.25">
      <c r="H13064" s="12"/>
      <c r="I13064" s="12"/>
      <c r="J13064" s="12"/>
      <c r="K13064" s="12"/>
      <c r="L13064" s="12"/>
      <c r="M13064" s="11"/>
      <c r="N13064" s="11"/>
      <c r="O13064" s="11"/>
      <c r="P13064" s="11"/>
    </row>
    <row r="13065" spans="8:16" x14ac:dyDescent="0.25">
      <c r="H13065" s="12"/>
      <c r="I13065" s="12"/>
      <c r="J13065" s="12"/>
      <c r="K13065" s="12"/>
      <c r="L13065" s="12"/>
      <c r="M13065" s="11"/>
      <c r="N13065" s="11"/>
      <c r="O13065" s="11"/>
      <c r="P13065" s="11"/>
    </row>
    <row r="13066" spans="8:16" x14ac:dyDescent="0.25">
      <c r="H13066" s="12"/>
      <c r="I13066" s="12"/>
      <c r="J13066" s="12"/>
      <c r="K13066" s="12"/>
      <c r="L13066" s="12"/>
      <c r="M13066" s="11"/>
      <c r="N13066" s="11"/>
      <c r="O13066" s="11"/>
      <c r="P13066" s="11"/>
    </row>
    <row r="13067" spans="8:16" x14ac:dyDescent="0.25">
      <c r="H13067" s="12"/>
      <c r="I13067" s="12"/>
      <c r="J13067" s="12"/>
      <c r="K13067" s="12"/>
      <c r="L13067" s="12"/>
      <c r="M13067" s="11"/>
      <c r="N13067" s="11"/>
      <c r="O13067" s="11"/>
      <c r="P13067" s="11"/>
    </row>
    <row r="13068" spans="8:16" x14ac:dyDescent="0.25">
      <c r="H13068" s="12"/>
      <c r="I13068" s="12"/>
      <c r="J13068" s="12"/>
      <c r="K13068" s="12"/>
      <c r="L13068" s="12"/>
      <c r="M13068" s="11"/>
      <c r="N13068" s="11"/>
      <c r="O13068" s="11"/>
      <c r="P13068" s="11"/>
    </row>
    <row r="13069" spans="8:16" x14ac:dyDescent="0.25">
      <c r="H13069" s="12"/>
      <c r="I13069" s="12"/>
      <c r="J13069" s="12"/>
      <c r="K13069" s="12"/>
      <c r="L13069" s="12"/>
      <c r="M13069" s="11"/>
      <c r="N13069" s="11"/>
      <c r="O13069" s="11"/>
      <c r="P13069" s="11"/>
    </row>
    <row r="13070" spans="8:16" x14ac:dyDescent="0.25">
      <c r="H13070" s="12"/>
      <c r="I13070" s="12"/>
      <c r="J13070" s="12"/>
      <c r="K13070" s="12"/>
      <c r="L13070" s="12"/>
      <c r="M13070" s="11"/>
      <c r="N13070" s="11"/>
      <c r="O13070" s="11"/>
      <c r="P13070" s="11"/>
    </row>
    <row r="13071" spans="8:16" x14ac:dyDescent="0.25">
      <c r="H13071" s="12"/>
      <c r="I13071" s="12"/>
      <c r="J13071" s="12"/>
      <c r="K13071" s="12"/>
      <c r="L13071" s="12"/>
      <c r="M13071" s="11"/>
      <c r="N13071" s="11"/>
      <c r="O13071" s="11"/>
      <c r="P13071" s="11"/>
    </row>
    <row r="13072" spans="8:16" x14ac:dyDescent="0.25">
      <c r="H13072" s="12"/>
      <c r="I13072" s="12"/>
      <c r="J13072" s="12"/>
      <c r="K13072" s="12"/>
      <c r="L13072" s="12"/>
      <c r="M13072" s="11"/>
      <c r="N13072" s="11"/>
      <c r="O13072" s="11"/>
      <c r="P13072" s="11"/>
    </row>
    <row r="13073" spans="8:16" x14ac:dyDescent="0.25">
      <c r="H13073" s="12"/>
      <c r="I13073" s="12"/>
      <c r="J13073" s="12"/>
      <c r="K13073" s="12"/>
      <c r="L13073" s="12"/>
      <c r="M13073" s="11"/>
      <c r="N13073" s="11"/>
      <c r="O13073" s="11"/>
      <c r="P13073" s="11"/>
    </row>
    <row r="13074" spans="8:16" x14ac:dyDescent="0.25">
      <c r="H13074" s="12"/>
      <c r="I13074" s="12"/>
      <c r="J13074" s="12"/>
      <c r="K13074" s="12"/>
      <c r="L13074" s="12"/>
      <c r="M13074" s="11"/>
      <c r="N13074" s="11"/>
      <c r="O13074" s="11"/>
      <c r="P13074" s="11"/>
    </row>
    <row r="13075" spans="8:16" x14ac:dyDescent="0.25">
      <c r="H13075" s="12"/>
      <c r="I13075" s="12"/>
      <c r="J13075" s="12"/>
      <c r="K13075" s="12"/>
      <c r="L13075" s="12"/>
      <c r="M13075" s="11"/>
      <c r="N13075" s="11"/>
      <c r="O13075" s="11"/>
      <c r="P13075" s="11"/>
    </row>
    <row r="13076" spans="8:16" x14ac:dyDescent="0.25">
      <c r="H13076" s="12"/>
      <c r="I13076" s="12"/>
      <c r="J13076" s="12"/>
      <c r="K13076" s="12"/>
      <c r="L13076" s="12"/>
      <c r="M13076" s="11"/>
      <c r="N13076" s="11"/>
      <c r="O13076" s="11"/>
      <c r="P13076" s="11"/>
    </row>
    <row r="13077" spans="8:16" x14ac:dyDescent="0.25">
      <c r="H13077" s="12"/>
      <c r="I13077" s="12"/>
      <c r="J13077" s="12"/>
      <c r="K13077" s="12"/>
      <c r="L13077" s="12"/>
      <c r="M13077" s="11"/>
      <c r="N13077" s="11"/>
      <c r="O13077" s="11"/>
      <c r="P13077" s="11"/>
    </row>
    <row r="13078" spans="8:16" x14ac:dyDescent="0.25">
      <c r="H13078" s="12"/>
      <c r="I13078" s="12"/>
      <c r="J13078" s="12"/>
      <c r="K13078" s="12"/>
      <c r="L13078" s="12"/>
      <c r="M13078" s="11"/>
      <c r="N13078" s="11"/>
      <c r="O13078" s="11"/>
      <c r="P13078" s="11"/>
    </row>
    <row r="13079" spans="8:16" x14ac:dyDescent="0.25">
      <c r="H13079" s="12"/>
      <c r="I13079" s="12"/>
      <c r="J13079" s="12"/>
      <c r="K13079" s="12"/>
      <c r="L13079" s="12"/>
      <c r="M13079" s="11"/>
      <c r="N13079" s="11"/>
      <c r="O13079" s="11"/>
      <c r="P13079" s="11"/>
    </row>
    <row r="13080" spans="8:16" x14ac:dyDescent="0.25">
      <c r="H13080" s="12"/>
      <c r="I13080" s="12"/>
      <c r="J13080" s="12"/>
      <c r="K13080" s="12"/>
      <c r="L13080" s="12"/>
      <c r="M13080" s="11"/>
      <c r="N13080" s="11"/>
      <c r="O13080" s="11"/>
      <c r="P13080" s="11"/>
    </row>
    <row r="13081" spans="8:16" x14ac:dyDescent="0.25">
      <c r="H13081" s="12"/>
      <c r="I13081" s="12"/>
      <c r="J13081" s="12"/>
      <c r="K13081" s="12"/>
      <c r="L13081" s="12"/>
      <c r="M13081" s="11"/>
      <c r="N13081" s="11"/>
      <c r="O13081" s="11"/>
      <c r="P13081" s="11"/>
    </row>
    <row r="13082" spans="8:16" x14ac:dyDescent="0.25">
      <c r="H13082" s="12"/>
      <c r="I13082" s="12"/>
      <c r="J13082" s="12"/>
      <c r="K13082" s="12"/>
      <c r="L13082" s="12"/>
      <c r="M13082" s="11"/>
      <c r="N13082" s="11"/>
      <c r="O13082" s="11"/>
      <c r="P13082" s="11"/>
    </row>
    <row r="13083" spans="8:16" x14ac:dyDescent="0.25">
      <c r="H13083" s="12"/>
      <c r="I13083" s="12"/>
      <c r="J13083" s="12"/>
      <c r="K13083" s="12"/>
      <c r="L13083" s="12"/>
      <c r="M13083" s="11"/>
      <c r="N13083" s="11"/>
      <c r="O13083" s="11"/>
      <c r="P13083" s="11"/>
    </row>
    <row r="13084" spans="8:16" x14ac:dyDescent="0.25">
      <c r="H13084" s="12"/>
      <c r="I13084" s="12"/>
      <c r="J13084" s="12"/>
      <c r="K13084" s="12"/>
      <c r="L13084" s="12"/>
      <c r="M13084" s="11"/>
      <c r="N13084" s="11"/>
      <c r="O13084" s="11"/>
      <c r="P13084" s="11"/>
    </row>
    <row r="13085" spans="8:16" x14ac:dyDescent="0.25">
      <c r="H13085" s="12"/>
      <c r="I13085" s="12"/>
      <c r="J13085" s="12"/>
      <c r="K13085" s="12"/>
      <c r="L13085" s="12"/>
      <c r="M13085" s="11"/>
      <c r="N13085" s="11"/>
      <c r="O13085" s="11"/>
      <c r="P13085" s="11"/>
    </row>
    <row r="13086" spans="8:16" x14ac:dyDescent="0.25">
      <c r="H13086" s="12"/>
      <c r="I13086" s="12"/>
      <c r="J13086" s="12"/>
      <c r="K13086" s="12"/>
      <c r="L13086" s="12"/>
      <c r="M13086" s="11"/>
      <c r="N13086" s="11"/>
      <c r="O13086" s="11"/>
      <c r="P13086" s="11"/>
    </row>
    <row r="13087" spans="8:16" x14ac:dyDescent="0.25">
      <c r="H13087" s="12"/>
      <c r="I13087" s="12"/>
      <c r="J13087" s="12"/>
      <c r="K13087" s="12"/>
      <c r="L13087" s="12"/>
      <c r="M13087" s="11"/>
      <c r="N13087" s="11"/>
      <c r="O13087" s="11"/>
      <c r="P13087" s="11"/>
    </row>
    <row r="13088" spans="8:16" x14ac:dyDescent="0.25">
      <c r="H13088" s="12"/>
      <c r="I13088" s="12"/>
      <c r="J13088" s="12"/>
      <c r="K13088" s="12"/>
      <c r="L13088" s="12"/>
      <c r="M13088" s="11"/>
      <c r="N13088" s="11"/>
      <c r="O13088" s="11"/>
      <c r="P13088" s="11"/>
    </row>
    <row r="13089" spans="8:16" x14ac:dyDescent="0.25">
      <c r="H13089" s="12"/>
      <c r="I13089" s="12"/>
      <c r="J13089" s="12"/>
      <c r="K13089" s="12"/>
      <c r="L13089" s="12"/>
      <c r="M13089" s="11"/>
      <c r="N13089" s="11"/>
      <c r="O13089" s="11"/>
      <c r="P13089" s="11"/>
    </row>
    <row r="13090" spans="8:16" x14ac:dyDescent="0.25">
      <c r="H13090" s="12"/>
      <c r="I13090" s="12"/>
      <c r="J13090" s="12"/>
      <c r="K13090" s="12"/>
      <c r="L13090" s="12"/>
      <c r="M13090" s="11"/>
      <c r="N13090" s="11"/>
      <c r="O13090" s="11"/>
      <c r="P13090" s="11"/>
    </row>
    <row r="13091" spans="8:16" x14ac:dyDescent="0.25">
      <c r="H13091" s="12"/>
      <c r="I13091" s="12"/>
      <c r="J13091" s="12"/>
      <c r="K13091" s="12"/>
      <c r="L13091" s="12"/>
      <c r="M13091" s="11"/>
      <c r="N13091" s="11"/>
      <c r="O13091" s="11"/>
      <c r="P13091" s="11"/>
    </row>
    <row r="13092" spans="8:16" x14ac:dyDescent="0.25">
      <c r="H13092" s="12"/>
      <c r="I13092" s="12"/>
      <c r="J13092" s="12"/>
      <c r="K13092" s="12"/>
      <c r="L13092" s="12"/>
      <c r="M13092" s="11"/>
      <c r="N13092" s="11"/>
      <c r="O13092" s="11"/>
      <c r="P13092" s="11"/>
    </row>
    <row r="13093" spans="8:16" x14ac:dyDescent="0.25">
      <c r="H13093" s="12"/>
      <c r="I13093" s="12"/>
      <c r="J13093" s="12"/>
      <c r="K13093" s="12"/>
      <c r="L13093" s="12"/>
      <c r="M13093" s="11"/>
      <c r="N13093" s="11"/>
      <c r="O13093" s="11"/>
      <c r="P13093" s="11"/>
    </row>
    <row r="13094" spans="8:16" x14ac:dyDescent="0.25">
      <c r="H13094" s="12"/>
      <c r="I13094" s="12"/>
      <c r="J13094" s="12"/>
      <c r="K13094" s="12"/>
      <c r="L13094" s="12"/>
      <c r="M13094" s="11"/>
      <c r="N13094" s="11"/>
      <c r="O13094" s="11"/>
      <c r="P13094" s="11"/>
    </row>
    <row r="13095" spans="8:16" x14ac:dyDescent="0.25">
      <c r="H13095" s="12"/>
      <c r="I13095" s="12"/>
      <c r="J13095" s="12"/>
      <c r="K13095" s="12"/>
      <c r="L13095" s="12"/>
      <c r="M13095" s="11"/>
      <c r="N13095" s="11"/>
      <c r="O13095" s="11"/>
      <c r="P13095" s="11"/>
    </row>
    <row r="13096" spans="8:16" x14ac:dyDescent="0.25">
      <c r="H13096" s="12"/>
      <c r="I13096" s="12"/>
      <c r="J13096" s="12"/>
      <c r="K13096" s="12"/>
      <c r="L13096" s="12"/>
      <c r="M13096" s="11"/>
      <c r="N13096" s="11"/>
      <c r="O13096" s="11"/>
      <c r="P13096" s="11"/>
    </row>
    <row r="13097" spans="8:16" x14ac:dyDescent="0.25">
      <c r="H13097" s="12"/>
      <c r="I13097" s="12"/>
      <c r="J13097" s="12"/>
      <c r="K13097" s="12"/>
      <c r="L13097" s="12"/>
      <c r="M13097" s="11"/>
      <c r="N13097" s="11"/>
      <c r="O13097" s="11"/>
      <c r="P13097" s="11"/>
    </row>
    <row r="13098" spans="8:16" x14ac:dyDescent="0.25">
      <c r="H13098" s="12"/>
      <c r="I13098" s="12"/>
      <c r="J13098" s="12"/>
      <c r="K13098" s="12"/>
      <c r="L13098" s="12"/>
      <c r="M13098" s="11"/>
      <c r="N13098" s="11"/>
      <c r="O13098" s="11"/>
      <c r="P13098" s="11"/>
    </row>
    <row r="13099" spans="8:16" x14ac:dyDescent="0.25">
      <c r="H13099" s="12"/>
      <c r="I13099" s="12"/>
      <c r="J13099" s="12"/>
      <c r="K13099" s="12"/>
      <c r="L13099" s="12"/>
      <c r="M13099" s="11"/>
      <c r="N13099" s="11"/>
      <c r="O13099" s="11"/>
      <c r="P13099" s="11"/>
    </row>
    <row r="13100" spans="8:16" x14ac:dyDescent="0.25">
      <c r="H13100" s="12"/>
      <c r="I13100" s="12"/>
      <c r="J13100" s="12"/>
      <c r="K13100" s="12"/>
      <c r="L13100" s="12"/>
      <c r="M13100" s="11"/>
      <c r="N13100" s="11"/>
      <c r="O13100" s="11"/>
      <c r="P13100" s="11"/>
    </row>
    <row r="13101" spans="8:16" x14ac:dyDescent="0.25">
      <c r="H13101" s="12"/>
      <c r="I13101" s="12"/>
      <c r="J13101" s="12"/>
      <c r="K13101" s="12"/>
      <c r="L13101" s="12"/>
      <c r="M13101" s="11"/>
      <c r="N13101" s="11"/>
      <c r="O13101" s="11"/>
      <c r="P13101" s="11"/>
    </row>
    <row r="13102" spans="8:16" x14ac:dyDescent="0.25">
      <c r="H13102" s="12"/>
      <c r="I13102" s="12"/>
      <c r="J13102" s="12"/>
      <c r="K13102" s="12"/>
      <c r="L13102" s="12"/>
      <c r="M13102" s="11"/>
      <c r="N13102" s="11"/>
      <c r="O13102" s="11"/>
      <c r="P13102" s="11"/>
    </row>
    <row r="13103" spans="8:16" x14ac:dyDescent="0.25">
      <c r="H13103" s="12"/>
      <c r="I13103" s="12"/>
      <c r="J13103" s="12"/>
      <c r="K13103" s="12"/>
      <c r="L13103" s="12"/>
      <c r="M13103" s="11"/>
      <c r="N13103" s="11"/>
      <c r="O13103" s="11"/>
      <c r="P13103" s="11"/>
    </row>
    <row r="13104" spans="8:16" x14ac:dyDescent="0.25">
      <c r="H13104" s="12"/>
      <c r="I13104" s="12"/>
      <c r="J13104" s="12"/>
      <c r="K13104" s="12"/>
      <c r="L13104" s="12"/>
      <c r="M13104" s="11"/>
      <c r="N13104" s="11"/>
      <c r="O13104" s="11"/>
      <c r="P13104" s="11"/>
    </row>
    <row r="13105" spans="8:16" x14ac:dyDescent="0.25">
      <c r="H13105" s="12"/>
      <c r="I13105" s="12"/>
      <c r="J13105" s="12"/>
      <c r="K13105" s="12"/>
      <c r="L13105" s="12"/>
      <c r="M13105" s="11"/>
      <c r="N13105" s="11"/>
      <c r="O13105" s="11"/>
      <c r="P13105" s="11"/>
    </row>
    <row r="13106" spans="8:16" x14ac:dyDescent="0.25">
      <c r="H13106" s="12"/>
      <c r="I13106" s="12"/>
      <c r="J13106" s="12"/>
      <c r="K13106" s="12"/>
      <c r="L13106" s="12"/>
      <c r="M13106" s="11"/>
      <c r="N13106" s="11"/>
      <c r="O13106" s="11"/>
      <c r="P13106" s="11"/>
    </row>
    <row r="13107" spans="8:16" x14ac:dyDescent="0.25">
      <c r="H13107" s="12"/>
      <c r="I13107" s="12"/>
      <c r="J13107" s="12"/>
      <c r="K13107" s="12"/>
      <c r="L13107" s="12"/>
      <c r="M13107" s="11"/>
      <c r="N13107" s="11"/>
      <c r="O13107" s="11"/>
      <c r="P13107" s="11"/>
    </row>
    <row r="13108" spans="8:16" x14ac:dyDescent="0.25">
      <c r="H13108" s="12"/>
      <c r="I13108" s="12"/>
      <c r="J13108" s="12"/>
      <c r="K13108" s="12"/>
      <c r="L13108" s="12"/>
      <c r="M13108" s="11"/>
      <c r="N13108" s="11"/>
      <c r="O13108" s="11"/>
      <c r="P13108" s="11"/>
    </row>
    <row r="13109" spans="8:16" x14ac:dyDescent="0.25">
      <c r="H13109" s="12"/>
      <c r="I13109" s="12"/>
      <c r="J13109" s="12"/>
      <c r="K13109" s="12"/>
      <c r="L13109" s="12"/>
      <c r="M13109" s="11"/>
      <c r="N13109" s="11"/>
      <c r="O13109" s="11"/>
      <c r="P13109" s="11"/>
    </row>
    <row r="13110" spans="8:16" x14ac:dyDescent="0.25">
      <c r="H13110" s="12"/>
      <c r="I13110" s="12"/>
      <c r="J13110" s="12"/>
      <c r="K13110" s="12"/>
      <c r="L13110" s="12"/>
      <c r="M13110" s="11"/>
      <c r="N13110" s="11"/>
      <c r="O13110" s="11"/>
      <c r="P13110" s="11"/>
    </row>
    <row r="13111" spans="8:16" x14ac:dyDescent="0.25">
      <c r="H13111" s="12"/>
      <c r="I13111" s="12"/>
      <c r="J13111" s="12"/>
      <c r="K13111" s="12"/>
      <c r="L13111" s="12"/>
      <c r="M13111" s="11"/>
      <c r="N13111" s="11"/>
      <c r="O13111" s="11"/>
      <c r="P13111" s="11"/>
    </row>
    <row r="13112" spans="8:16" x14ac:dyDescent="0.25">
      <c r="H13112" s="12"/>
      <c r="I13112" s="12"/>
      <c r="J13112" s="12"/>
      <c r="K13112" s="12"/>
      <c r="L13112" s="12"/>
      <c r="M13112" s="11"/>
      <c r="N13112" s="11"/>
      <c r="O13112" s="11"/>
      <c r="P13112" s="11"/>
    </row>
    <row r="13113" spans="8:16" x14ac:dyDescent="0.25">
      <c r="H13113" s="12"/>
      <c r="I13113" s="12"/>
      <c r="J13113" s="12"/>
      <c r="K13113" s="12"/>
      <c r="L13113" s="12"/>
      <c r="M13113" s="11"/>
      <c r="N13113" s="11"/>
      <c r="O13113" s="11"/>
      <c r="P13113" s="11"/>
    </row>
    <row r="13114" spans="8:16" x14ac:dyDescent="0.25">
      <c r="H13114" s="12"/>
      <c r="I13114" s="12"/>
      <c r="J13114" s="12"/>
      <c r="K13114" s="12"/>
      <c r="L13114" s="12"/>
      <c r="M13114" s="11"/>
      <c r="N13114" s="11"/>
      <c r="O13114" s="11"/>
      <c r="P13114" s="11"/>
    </row>
    <row r="13115" spans="8:16" x14ac:dyDescent="0.25">
      <c r="H13115" s="12"/>
      <c r="I13115" s="12"/>
      <c r="J13115" s="12"/>
      <c r="K13115" s="12"/>
      <c r="L13115" s="12"/>
      <c r="M13115" s="11"/>
      <c r="N13115" s="11"/>
      <c r="O13115" s="11"/>
      <c r="P13115" s="11"/>
    </row>
    <row r="13116" spans="8:16" x14ac:dyDescent="0.25">
      <c r="H13116" s="12"/>
      <c r="I13116" s="12"/>
      <c r="J13116" s="12"/>
      <c r="K13116" s="12"/>
      <c r="L13116" s="12"/>
      <c r="M13116" s="11"/>
      <c r="N13116" s="11"/>
      <c r="O13116" s="11"/>
      <c r="P13116" s="11"/>
    </row>
    <row r="13117" spans="8:16" x14ac:dyDescent="0.25">
      <c r="H13117" s="12"/>
      <c r="I13117" s="12"/>
      <c r="J13117" s="12"/>
      <c r="K13117" s="12"/>
      <c r="L13117" s="12"/>
      <c r="M13117" s="11"/>
      <c r="N13117" s="11"/>
      <c r="O13117" s="11"/>
      <c r="P13117" s="11"/>
    </row>
    <row r="13118" spans="8:16" x14ac:dyDescent="0.25">
      <c r="H13118" s="12"/>
      <c r="I13118" s="12"/>
      <c r="J13118" s="12"/>
      <c r="K13118" s="12"/>
      <c r="L13118" s="12"/>
      <c r="M13118" s="11"/>
      <c r="N13118" s="11"/>
      <c r="O13118" s="11"/>
      <c r="P13118" s="11"/>
    </row>
    <row r="13119" spans="8:16" x14ac:dyDescent="0.25">
      <c r="H13119" s="12"/>
      <c r="I13119" s="12"/>
      <c r="J13119" s="12"/>
      <c r="K13119" s="12"/>
      <c r="L13119" s="12"/>
      <c r="M13119" s="11"/>
      <c r="N13119" s="11"/>
      <c r="O13119" s="11"/>
      <c r="P13119" s="11"/>
    </row>
    <row r="13120" spans="8:16" x14ac:dyDescent="0.25">
      <c r="H13120" s="12"/>
      <c r="I13120" s="12"/>
      <c r="J13120" s="12"/>
      <c r="K13120" s="12"/>
      <c r="L13120" s="12"/>
      <c r="M13120" s="11"/>
      <c r="N13120" s="11"/>
      <c r="O13120" s="11"/>
      <c r="P13120" s="11"/>
    </row>
    <row r="13121" spans="8:16" x14ac:dyDescent="0.25">
      <c r="H13121" s="12"/>
      <c r="I13121" s="12"/>
      <c r="J13121" s="12"/>
      <c r="K13121" s="12"/>
      <c r="L13121" s="12"/>
      <c r="M13121" s="11"/>
      <c r="N13121" s="11"/>
      <c r="O13121" s="11"/>
      <c r="P13121" s="11"/>
    </row>
    <row r="13122" spans="8:16" x14ac:dyDescent="0.25">
      <c r="H13122" s="12"/>
      <c r="I13122" s="12"/>
      <c r="J13122" s="12"/>
      <c r="K13122" s="12"/>
      <c r="L13122" s="12"/>
      <c r="M13122" s="11"/>
      <c r="N13122" s="11"/>
      <c r="O13122" s="11"/>
      <c r="P13122" s="11"/>
    </row>
    <row r="13123" spans="8:16" x14ac:dyDescent="0.25">
      <c r="H13123" s="12"/>
      <c r="I13123" s="12"/>
      <c r="J13123" s="12"/>
      <c r="K13123" s="12"/>
      <c r="L13123" s="12"/>
      <c r="M13123" s="11"/>
      <c r="N13123" s="11"/>
      <c r="O13123" s="11"/>
      <c r="P13123" s="11"/>
    </row>
    <row r="13124" spans="8:16" x14ac:dyDescent="0.25">
      <c r="H13124" s="12"/>
      <c r="I13124" s="12"/>
      <c r="J13124" s="12"/>
      <c r="K13124" s="12"/>
      <c r="L13124" s="12"/>
      <c r="M13124" s="11"/>
      <c r="N13124" s="11"/>
      <c r="O13124" s="11"/>
      <c r="P13124" s="11"/>
    </row>
    <row r="13125" spans="8:16" x14ac:dyDescent="0.25">
      <c r="H13125" s="12"/>
      <c r="I13125" s="12"/>
      <c r="J13125" s="12"/>
      <c r="K13125" s="12"/>
      <c r="L13125" s="12"/>
      <c r="M13125" s="11"/>
      <c r="N13125" s="11"/>
      <c r="O13125" s="11"/>
      <c r="P13125" s="11"/>
    </row>
    <row r="13126" spans="8:16" x14ac:dyDescent="0.25">
      <c r="H13126" s="12"/>
      <c r="I13126" s="12"/>
      <c r="J13126" s="12"/>
      <c r="K13126" s="12"/>
      <c r="L13126" s="12"/>
      <c r="M13126" s="11"/>
      <c r="N13126" s="11"/>
      <c r="O13126" s="11"/>
      <c r="P13126" s="11"/>
    </row>
    <row r="13127" spans="8:16" x14ac:dyDescent="0.25">
      <c r="H13127" s="12"/>
      <c r="I13127" s="12"/>
      <c r="J13127" s="12"/>
      <c r="K13127" s="12"/>
      <c r="L13127" s="12"/>
      <c r="M13127" s="11"/>
      <c r="N13127" s="11"/>
      <c r="O13127" s="11"/>
      <c r="P13127" s="11"/>
    </row>
    <row r="13128" spans="8:16" x14ac:dyDescent="0.25">
      <c r="H13128" s="12"/>
      <c r="I13128" s="12"/>
      <c r="J13128" s="12"/>
      <c r="K13128" s="12"/>
      <c r="L13128" s="12"/>
      <c r="M13128" s="11"/>
      <c r="N13128" s="11"/>
      <c r="O13128" s="11"/>
      <c r="P13128" s="11"/>
    </row>
    <row r="13129" spans="8:16" x14ac:dyDescent="0.25">
      <c r="H13129" s="12"/>
      <c r="I13129" s="12"/>
      <c r="J13129" s="12"/>
      <c r="K13129" s="12"/>
      <c r="L13129" s="12"/>
      <c r="M13129" s="11"/>
      <c r="N13129" s="11"/>
      <c r="O13129" s="11"/>
      <c r="P13129" s="11"/>
    </row>
    <row r="13130" spans="8:16" x14ac:dyDescent="0.25">
      <c r="H13130" s="12"/>
      <c r="I13130" s="12"/>
      <c r="J13130" s="12"/>
      <c r="K13130" s="12"/>
      <c r="L13130" s="12"/>
      <c r="M13130" s="11"/>
      <c r="N13130" s="11"/>
      <c r="O13130" s="11"/>
      <c r="P13130" s="11"/>
    </row>
    <row r="13131" spans="8:16" x14ac:dyDescent="0.25">
      <c r="H13131" s="12"/>
      <c r="I13131" s="12"/>
      <c r="J13131" s="12"/>
      <c r="K13131" s="12"/>
      <c r="L13131" s="12"/>
      <c r="M13131" s="11"/>
      <c r="N13131" s="11"/>
      <c r="O13131" s="11"/>
      <c r="P13131" s="11"/>
    </row>
    <row r="13132" spans="8:16" x14ac:dyDescent="0.25">
      <c r="H13132" s="12"/>
      <c r="I13132" s="12"/>
      <c r="J13132" s="12"/>
      <c r="K13132" s="12"/>
      <c r="L13132" s="12"/>
      <c r="M13132" s="11"/>
      <c r="N13132" s="11"/>
      <c r="O13132" s="11"/>
      <c r="P13132" s="11"/>
    </row>
    <row r="13133" spans="8:16" x14ac:dyDescent="0.25">
      <c r="H13133" s="12"/>
      <c r="I13133" s="12"/>
      <c r="J13133" s="12"/>
      <c r="K13133" s="12"/>
      <c r="L13133" s="12"/>
      <c r="M13133" s="11"/>
      <c r="N13133" s="11"/>
      <c r="O13133" s="11"/>
      <c r="P13133" s="11"/>
    </row>
    <row r="13134" spans="8:16" x14ac:dyDescent="0.25">
      <c r="H13134" s="12"/>
      <c r="I13134" s="12"/>
      <c r="J13134" s="12"/>
      <c r="K13134" s="12"/>
      <c r="L13134" s="12"/>
      <c r="M13134" s="11"/>
      <c r="N13134" s="11"/>
      <c r="O13134" s="11"/>
      <c r="P13134" s="11"/>
    </row>
    <row r="13135" spans="8:16" x14ac:dyDescent="0.25">
      <c r="H13135" s="12"/>
      <c r="I13135" s="12"/>
      <c r="J13135" s="12"/>
      <c r="K13135" s="12"/>
      <c r="L13135" s="12"/>
      <c r="M13135" s="11"/>
      <c r="N13135" s="11"/>
      <c r="O13135" s="11"/>
      <c r="P13135" s="11"/>
    </row>
    <row r="13136" spans="8:16" x14ac:dyDescent="0.25">
      <c r="H13136" s="12"/>
      <c r="I13136" s="12"/>
      <c r="J13136" s="12"/>
      <c r="K13136" s="12"/>
      <c r="L13136" s="12"/>
      <c r="M13136" s="11"/>
      <c r="N13136" s="11"/>
      <c r="O13136" s="11"/>
      <c r="P13136" s="11"/>
    </row>
    <row r="13137" spans="8:16" x14ac:dyDescent="0.25">
      <c r="H13137" s="12"/>
      <c r="I13137" s="12"/>
      <c r="J13137" s="12"/>
      <c r="K13137" s="12"/>
      <c r="L13137" s="12"/>
      <c r="M13137" s="11"/>
      <c r="N13137" s="11"/>
      <c r="O13137" s="11"/>
      <c r="P13137" s="11"/>
    </row>
    <row r="13138" spans="8:16" x14ac:dyDescent="0.25">
      <c r="H13138" s="12"/>
      <c r="I13138" s="12"/>
      <c r="J13138" s="12"/>
      <c r="K13138" s="12"/>
      <c r="L13138" s="12"/>
      <c r="M13138" s="11"/>
      <c r="N13138" s="11"/>
      <c r="O13138" s="11"/>
      <c r="P13138" s="11"/>
    </row>
    <row r="13139" spans="8:16" x14ac:dyDescent="0.25">
      <c r="H13139" s="12"/>
      <c r="I13139" s="12"/>
      <c r="J13139" s="12"/>
      <c r="K13139" s="12"/>
      <c r="L13139" s="12"/>
      <c r="M13139" s="11"/>
      <c r="N13139" s="11"/>
      <c r="O13139" s="11"/>
      <c r="P13139" s="11"/>
    </row>
    <row r="13140" spans="8:16" x14ac:dyDescent="0.25">
      <c r="H13140" s="12"/>
      <c r="I13140" s="12"/>
      <c r="J13140" s="12"/>
      <c r="K13140" s="12"/>
      <c r="L13140" s="12"/>
      <c r="M13140" s="11"/>
      <c r="N13140" s="11"/>
      <c r="O13140" s="11"/>
      <c r="P13140" s="11"/>
    </row>
    <row r="13141" spans="8:16" x14ac:dyDescent="0.25">
      <c r="H13141" s="12"/>
      <c r="I13141" s="12"/>
      <c r="J13141" s="12"/>
      <c r="K13141" s="12"/>
      <c r="L13141" s="12"/>
      <c r="M13141" s="11"/>
      <c r="N13141" s="11"/>
      <c r="O13141" s="11"/>
      <c r="P13141" s="11"/>
    </row>
    <row r="13142" spans="8:16" x14ac:dyDescent="0.25">
      <c r="H13142" s="12"/>
      <c r="I13142" s="12"/>
      <c r="J13142" s="12"/>
      <c r="K13142" s="12"/>
      <c r="L13142" s="12"/>
      <c r="M13142" s="11"/>
      <c r="N13142" s="11"/>
      <c r="O13142" s="11"/>
      <c r="P13142" s="11"/>
    </row>
    <row r="13143" spans="8:16" x14ac:dyDescent="0.25">
      <c r="H13143" s="12"/>
      <c r="I13143" s="12"/>
      <c r="J13143" s="12"/>
      <c r="K13143" s="12"/>
      <c r="L13143" s="12"/>
      <c r="M13143" s="11"/>
      <c r="N13143" s="11"/>
      <c r="O13143" s="11"/>
      <c r="P13143" s="11"/>
    </row>
    <row r="13144" spans="8:16" x14ac:dyDescent="0.25">
      <c r="H13144" s="12"/>
      <c r="I13144" s="12"/>
      <c r="J13144" s="12"/>
      <c r="K13144" s="12"/>
      <c r="L13144" s="12"/>
      <c r="M13144" s="11"/>
      <c r="N13144" s="11"/>
      <c r="O13144" s="11"/>
      <c r="P13144" s="11"/>
    </row>
    <row r="13145" spans="8:16" x14ac:dyDescent="0.25">
      <c r="H13145" s="12"/>
      <c r="I13145" s="12"/>
      <c r="J13145" s="12"/>
      <c r="K13145" s="12"/>
      <c r="L13145" s="12"/>
      <c r="M13145" s="11"/>
      <c r="N13145" s="11"/>
      <c r="O13145" s="11"/>
      <c r="P13145" s="11"/>
    </row>
    <row r="13146" spans="8:16" x14ac:dyDescent="0.25">
      <c r="H13146" s="12"/>
      <c r="I13146" s="12"/>
      <c r="J13146" s="12"/>
      <c r="K13146" s="12"/>
      <c r="L13146" s="12"/>
      <c r="M13146" s="11"/>
      <c r="N13146" s="11"/>
      <c r="O13146" s="11"/>
      <c r="P13146" s="11"/>
    </row>
    <row r="13147" spans="8:16" x14ac:dyDescent="0.25">
      <c r="H13147" s="12"/>
      <c r="I13147" s="12"/>
      <c r="J13147" s="12"/>
      <c r="K13147" s="12"/>
      <c r="L13147" s="12"/>
      <c r="M13147" s="11"/>
      <c r="N13147" s="11"/>
      <c r="O13147" s="11"/>
      <c r="P13147" s="11"/>
    </row>
    <row r="13148" spans="8:16" x14ac:dyDescent="0.25">
      <c r="H13148" s="12"/>
      <c r="I13148" s="12"/>
      <c r="J13148" s="12"/>
      <c r="K13148" s="12"/>
      <c r="L13148" s="12"/>
      <c r="M13148" s="11"/>
      <c r="N13148" s="11"/>
      <c r="O13148" s="11"/>
      <c r="P13148" s="11"/>
    </row>
    <row r="13149" spans="8:16" x14ac:dyDescent="0.25">
      <c r="H13149" s="12"/>
      <c r="I13149" s="12"/>
      <c r="J13149" s="12"/>
      <c r="K13149" s="12"/>
      <c r="L13149" s="12"/>
      <c r="M13149" s="11"/>
      <c r="N13149" s="11"/>
      <c r="O13149" s="11"/>
      <c r="P13149" s="11"/>
    </row>
    <row r="13150" spans="8:16" x14ac:dyDescent="0.25">
      <c r="H13150" s="12"/>
      <c r="I13150" s="12"/>
      <c r="J13150" s="12"/>
      <c r="K13150" s="12"/>
      <c r="L13150" s="12"/>
      <c r="M13150" s="11"/>
      <c r="N13150" s="11"/>
      <c r="O13150" s="11"/>
      <c r="P13150" s="11"/>
    </row>
    <row r="13151" spans="8:16" x14ac:dyDescent="0.25">
      <c r="H13151" s="12"/>
      <c r="I13151" s="12"/>
      <c r="J13151" s="12"/>
      <c r="K13151" s="12"/>
      <c r="L13151" s="12"/>
      <c r="M13151" s="11"/>
      <c r="N13151" s="11"/>
      <c r="O13151" s="11"/>
      <c r="P13151" s="11"/>
    </row>
    <row r="13152" spans="8:16" x14ac:dyDescent="0.25">
      <c r="H13152" s="12"/>
      <c r="I13152" s="12"/>
      <c r="J13152" s="12"/>
      <c r="K13152" s="12"/>
      <c r="L13152" s="12"/>
      <c r="M13152" s="11"/>
      <c r="N13152" s="11"/>
      <c r="O13152" s="11"/>
      <c r="P13152" s="11"/>
    </row>
    <row r="13153" spans="8:16" x14ac:dyDescent="0.25">
      <c r="H13153" s="12"/>
      <c r="I13153" s="12"/>
      <c r="J13153" s="12"/>
      <c r="K13153" s="12"/>
      <c r="L13153" s="12"/>
      <c r="M13153" s="11"/>
      <c r="N13153" s="11"/>
      <c r="O13153" s="11"/>
      <c r="P13153" s="11"/>
    </row>
    <row r="13154" spans="8:16" x14ac:dyDescent="0.25">
      <c r="H13154" s="12"/>
      <c r="I13154" s="12"/>
      <c r="J13154" s="12"/>
      <c r="K13154" s="12"/>
      <c r="L13154" s="12"/>
      <c r="M13154" s="11"/>
      <c r="N13154" s="11"/>
      <c r="O13154" s="11"/>
      <c r="P13154" s="11"/>
    </row>
    <row r="13155" spans="8:16" x14ac:dyDescent="0.25">
      <c r="H13155" s="12"/>
      <c r="I13155" s="12"/>
      <c r="J13155" s="12"/>
      <c r="K13155" s="12"/>
      <c r="L13155" s="12"/>
      <c r="M13155" s="11"/>
      <c r="N13155" s="11"/>
      <c r="O13155" s="11"/>
      <c r="P13155" s="11"/>
    </row>
    <row r="13156" spans="8:16" x14ac:dyDescent="0.25">
      <c r="H13156" s="12"/>
      <c r="I13156" s="12"/>
      <c r="J13156" s="12"/>
      <c r="K13156" s="12"/>
      <c r="L13156" s="12"/>
      <c r="M13156" s="11"/>
      <c r="N13156" s="11"/>
      <c r="O13156" s="11"/>
      <c r="P13156" s="11"/>
    </row>
    <row r="13157" spans="8:16" x14ac:dyDescent="0.25">
      <c r="H13157" s="12"/>
      <c r="I13157" s="12"/>
      <c r="J13157" s="12"/>
      <c r="K13157" s="12"/>
      <c r="L13157" s="12"/>
      <c r="M13157" s="11"/>
      <c r="N13157" s="11"/>
      <c r="O13157" s="11"/>
      <c r="P13157" s="11"/>
    </row>
    <row r="13158" spans="8:16" x14ac:dyDescent="0.25">
      <c r="H13158" s="12"/>
      <c r="I13158" s="12"/>
      <c r="J13158" s="12"/>
      <c r="K13158" s="12"/>
      <c r="L13158" s="12"/>
      <c r="M13158" s="11"/>
      <c r="N13158" s="11"/>
      <c r="O13158" s="11"/>
      <c r="P13158" s="11"/>
    </row>
    <row r="13159" spans="8:16" x14ac:dyDescent="0.25">
      <c r="H13159" s="12"/>
      <c r="I13159" s="12"/>
      <c r="J13159" s="12"/>
      <c r="K13159" s="12"/>
      <c r="L13159" s="12"/>
      <c r="M13159" s="11"/>
      <c r="N13159" s="11"/>
      <c r="O13159" s="11"/>
      <c r="P13159" s="11"/>
    </row>
    <row r="13160" spans="8:16" x14ac:dyDescent="0.25">
      <c r="H13160" s="12"/>
      <c r="I13160" s="12"/>
      <c r="J13160" s="12"/>
      <c r="K13160" s="12"/>
      <c r="L13160" s="12"/>
      <c r="M13160" s="11"/>
      <c r="N13160" s="11"/>
      <c r="O13160" s="11"/>
      <c r="P13160" s="11"/>
    </row>
    <row r="13161" spans="8:16" x14ac:dyDescent="0.25">
      <c r="H13161" s="12"/>
      <c r="I13161" s="12"/>
      <c r="J13161" s="12"/>
      <c r="K13161" s="12"/>
      <c r="L13161" s="12"/>
      <c r="M13161" s="11"/>
      <c r="N13161" s="11"/>
      <c r="O13161" s="11"/>
      <c r="P13161" s="11"/>
    </row>
    <row r="13162" spans="8:16" x14ac:dyDescent="0.25">
      <c r="H13162" s="12"/>
      <c r="I13162" s="12"/>
      <c r="J13162" s="12"/>
      <c r="K13162" s="12"/>
      <c r="L13162" s="12"/>
      <c r="M13162" s="11"/>
      <c r="N13162" s="11"/>
      <c r="O13162" s="11"/>
      <c r="P13162" s="11"/>
    </row>
    <row r="13163" spans="8:16" x14ac:dyDescent="0.25">
      <c r="H13163" s="12"/>
      <c r="I13163" s="12"/>
      <c r="J13163" s="12"/>
      <c r="K13163" s="12"/>
      <c r="L13163" s="12"/>
      <c r="M13163" s="11"/>
      <c r="N13163" s="11"/>
      <c r="O13163" s="11"/>
      <c r="P13163" s="11"/>
    </row>
    <row r="13164" spans="8:16" x14ac:dyDescent="0.25">
      <c r="H13164" s="12"/>
      <c r="I13164" s="12"/>
      <c r="J13164" s="12"/>
      <c r="K13164" s="12"/>
      <c r="L13164" s="12"/>
      <c r="M13164" s="11"/>
      <c r="N13164" s="11"/>
      <c r="O13164" s="11"/>
      <c r="P13164" s="11"/>
    </row>
    <row r="13165" spans="8:16" x14ac:dyDescent="0.25">
      <c r="H13165" s="12"/>
      <c r="I13165" s="12"/>
      <c r="J13165" s="12"/>
      <c r="K13165" s="12"/>
      <c r="L13165" s="12"/>
      <c r="M13165" s="11"/>
      <c r="N13165" s="11"/>
      <c r="O13165" s="11"/>
      <c r="P13165" s="11"/>
    </row>
    <row r="13166" spans="8:16" x14ac:dyDescent="0.25">
      <c r="H13166" s="12"/>
      <c r="I13166" s="12"/>
      <c r="J13166" s="12"/>
      <c r="K13166" s="12"/>
      <c r="L13166" s="12"/>
      <c r="M13166" s="11"/>
      <c r="N13166" s="11"/>
      <c r="O13166" s="11"/>
      <c r="P13166" s="11"/>
    </row>
    <row r="13167" spans="8:16" x14ac:dyDescent="0.25">
      <c r="H13167" s="12"/>
      <c r="I13167" s="12"/>
      <c r="J13167" s="12"/>
      <c r="K13167" s="12"/>
      <c r="L13167" s="12"/>
      <c r="M13167" s="11"/>
      <c r="N13167" s="11"/>
      <c r="O13167" s="11"/>
      <c r="P13167" s="11"/>
    </row>
    <row r="13168" spans="8:16" x14ac:dyDescent="0.25">
      <c r="H13168" s="12"/>
      <c r="I13168" s="12"/>
      <c r="J13168" s="12"/>
      <c r="K13168" s="12"/>
      <c r="L13168" s="12"/>
      <c r="M13168" s="11"/>
      <c r="N13168" s="11"/>
      <c r="O13168" s="11"/>
      <c r="P13168" s="11"/>
    </row>
    <row r="13169" spans="8:16" x14ac:dyDescent="0.25">
      <c r="H13169" s="12"/>
      <c r="I13169" s="12"/>
      <c r="J13169" s="12"/>
      <c r="K13169" s="12"/>
      <c r="L13169" s="12"/>
      <c r="M13169" s="11"/>
      <c r="N13169" s="11"/>
      <c r="O13169" s="11"/>
      <c r="P13169" s="11"/>
    </row>
    <row r="13170" spans="8:16" x14ac:dyDescent="0.25">
      <c r="H13170" s="12"/>
      <c r="I13170" s="12"/>
      <c r="J13170" s="12"/>
      <c r="K13170" s="12"/>
      <c r="L13170" s="12"/>
      <c r="M13170" s="11"/>
      <c r="N13170" s="11"/>
      <c r="O13170" s="11"/>
      <c r="P13170" s="11"/>
    </row>
    <row r="13171" spans="8:16" x14ac:dyDescent="0.25">
      <c r="H13171" s="12"/>
      <c r="I13171" s="12"/>
      <c r="J13171" s="12"/>
      <c r="K13171" s="12"/>
      <c r="L13171" s="12"/>
      <c r="M13171" s="11"/>
      <c r="N13171" s="11"/>
      <c r="O13171" s="11"/>
      <c r="P13171" s="11"/>
    </row>
    <row r="13172" spans="8:16" x14ac:dyDescent="0.25">
      <c r="H13172" s="12"/>
      <c r="I13172" s="12"/>
      <c r="J13172" s="12"/>
      <c r="K13172" s="12"/>
      <c r="L13172" s="12"/>
      <c r="M13172" s="11"/>
      <c r="N13172" s="11"/>
      <c r="O13172" s="11"/>
      <c r="P13172" s="11"/>
    </row>
    <row r="13173" spans="8:16" x14ac:dyDescent="0.25">
      <c r="H13173" s="12"/>
      <c r="I13173" s="12"/>
      <c r="J13173" s="12"/>
      <c r="K13173" s="12"/>
      <c r="L13173" s="12"/>
      <c r="M13173" s="11"/>
      <c r="N13173" s="11"/>
      <c r="O13173" s="11"/>
      <c r="P13173" s="11"/>
    </row>
    <row r="13174" spans="8:16" x14ac:dyDescent="0.25">
      <c r="H13174" s="12"/>
      <c r="I13174" s="12"/>
      <c r="J13174" s="12"/>
      <c r="K13174" s="12"/>
      <c r="L13174" s="12"/>
      <c r="M13174" s="11"/>
      <c r="N13174" s="11"/>
      <c r="O13174" s="11"/>
      <c r="P13174" s="11"/>
    </row>
    <row r="13175" spans="8:16" x14ac:dyDescent="0.25">
      <c r="H13175" s="12"/>
      <c r="I13175" s="12"/>
      <c r="J13175" s="12"/>
      <c r="K13175" s="12"/>
      <c r="L13175" s="12"/>
      <c r="M13175" s="11"/>
      <c r="N13175" s="11"/>
      <c r="O13175" s="11"/>
      <c r="P13175" s="11"/>
    </row>
    <row r="13176" spans="8:16" x14ac:dyDescent="0.25">
      <c r="H13176" s="12"/>
      <c r="I13176" s="12"/>
      <c r="J13176" s="12"/>
      <c r="K13176" s="12"/>
      <c r="L13176" s="12"/>
      <c r="M13176" s="11"/>
      <c r="N13176" s="11"/>
      <c r="O13176" s="11"/>
      <c r="P13176" s="11"/>
    </row>
    <row r="13177" spans="8:16" x14ac:dyDescent="0.25">
      <c r="H13177" s="12"/>
      <c r="I13177" s="12"/>
      <c r="J13177" s="12"/>
      <c r="K13177" s="12"/>
      <c r="L13177" s="12"/>
      <c r="M13177" s="11"/>
      <c r="N13177" s="11"/>
      <c r="O13177" s="11"/>
      <c r="P13177" s="11"/>
    </row>
    <row r="13178" spans="8:16" x14ac:dyDescent="0.25">
      <c r="H13178" s="12"/>
      <c r="I13178" s="12"/>
      <c r="J13178" s="12"/>
      <c r="K13178" s="12"/>
      <c r="L13178" s="12"/>
      <c r="M13178" s="11"/>
      <c r="N13178" s="11"/>
      <c r="O13178" s="11"/>
      <c r="P13178" s="11"/>
    </row>
    <row r="13179" spans="8:16" x14ac:dyDescent="0.25">
      <c r="H13179" s="12"/>
      <c r="I13179" s="12"/>
      <c r="J13179" s="12"/>
      <c r="K13179" s="12"/>
      <c r="L13179" s="12"/>
      <c r="M13179" s="11"/>
      <c r="N13179" s="11"/>
      <c r="O13179" s="11"/>
      <c r="P13179" s="11"/>
    </row>
    <row r="13180" spans="8:16" x14ac:dyDescent="0.25">
      <c r="H13180" s="12"/>
      <c r="I13180" s="12"/>
      <c r="J13180" s="12"/>
      <c r="K13180" s="12"/>
      <c r="L13180" s="12"/>
      <c r="M13180" s="11"/>
      <c r="N13180" s="11"/>
      <c r="O13180" s="11"/>
      <c r="P13180" s="11"/>
    </row>
    <row r="13181" spans="8:16" x14ac:dyDescent="0.25">
      <c r="H13181" s="12"/>
      <c r="I13181" s="12"/>
      <c r="J13181" s="12"/>
      <c r="K13181" s="12"/>
      <c r="L13181" s="12"/>
      <c r="M13181" s="11"/>
      <c r="N13181" s="11"/>
      <c r="O13181" s="11"/>
      <c r="P13181" s="11"/>
    </row>
    <row r="13182" spans="8:16" x14ac:dyDescent="0.25">
      <c r="H13182" s="12"/>
      <c r="I13182" s="12"/>
      <c r="J13182" s="12"/>
      <c r="K13182" s="12"/>
      <c r="L13182" s="12"/>
      <c r="M13182" s="11"/>
      <c r="N13182" s="11"/>
      <c r="O13182" s="11"/>
      <c r="P13182" s="11"/>
    </row>
    <row r="13183" spans="8:16" x14ac:dyDescent="0.25">
      <c r="H13183" s="12"/>
      <c r="I13183" s="12"/>
      <c r="J13183" s="12"/>
      <c r="K13183" s="12"/>
      <c r="L13183" s="12"/>
      <c r="M13183" s="11"/>
      <c r="N13183" s="11"/>
      <c r="O13183" s="11"/>
      <c r="P13183" s="11"/>
    </row>
    <row r="13184" spans="8:16" x14ac:dyDescent="0.25">
      <c r="H13184" s="12"/>
      <c r="I13184" s="12"/>
      <c r="J13184" s="12"/>
      <c r="K13184" s="12"/>
      <c r="L13184" s="12"/>
      <c r="M13184" s="11"/>
      <c r="N13184" s="11"/>
      <c r="O13184" s="11"/>
      <c r="P13184" s="11"/>
    </row>
    <row r="13185" spans="8:16" x14ac:dyDescent="0.25">
      <c r="H13185" s="12"/>
      <c r="I13185" s="12"/>
      <c r="J13185" s="12"/>
      <c r="K13185" s="12"/>
      <c r="L13185" s="12"/>
      <c r="M13185" s="11"/>
      <c r="N13185" s="11"/>
      <c r="O13185" s="11"/>
      <c r="P13185" s="11"/>
    </row>
    <row r="13186" spans="8:16" x14ac:dyDescent="0.25">
      <c r="H13186" s="12"/>
      <c r="I13186" s="12"/>
      <c r="J13186" s="12"/>
      <c r="K13186" s="12"/>
      <c r="L13186" s="12"/>
      <c r="M13186" s="11"/>
      <c r="N13186" s="11"/>
      <c r="O13186" s="11"/>
      <c r="P13186" s="11"/>
    </row>
    <row r="13187" spans="8:16" x14ac:dyDescent="0.25">
      <c r="H13187" s="12"/>
      <c r="I13187" s="12"/>
      <c r="J13187" s="12"/>
      <c r="K13187" s="12"/>
      <c r="L13187" s="12"/>
      <c r="M13187" s="11"/>
      <c r="N13187" s="11"/>
      <c r="O13187" s="11"/>
      <c r="P13187" s="11"/>
    </row>
    <row r="13188" spans="8:16" x14ac:dyDescent="0.25">
      <c r="H13188" s="12"/>
      <c r="I13188" s="12"/>
      <c r="J13188" s="12"/>
      <c r="K13188" s="12"/>
      <c r="L13188" s="12"/>
      <c r="M13188" s="11"/>
      <c r="N13188" s="11"/>
      <c r="O13188" s="11"/>
      <c r="P13188" s="11"/>
    </row>
    <row r="13189" spans="8:16" x14ac:dyDescent="0.25">
      <c r="H13189" s="12"/>
      <c r="I13189" s="12"/>
      <c r="J13189" s="12"/>
      <c r="K13189" s="12"/>
      <c r="L13189" s="12"/>
      <c r="M13189" s="11"/>
      <c r="N13189" s="11"/>
      <c r="O13189" s="11"/>
      <c r="P13189" s="11"/>
    </row>
    <row r="13190" spans="8:16" x14ac:dyDescent="0.25">
      <c r="H13190" s="12"/>
      <c r="I13190" s="12"/>
      <c r="J13190" s="12"/>
      <c r="K13190" s="12"/>
      <c r="L13190" s="12"/>
      <c r="M13190" s="11"/>
      <c r="N13190" s="11"/>
      <c r="O13190" s="11"/>
      <c r="P13190" s="11"/>
    </row>
    <row r="13191" spans="8:16" x14ac:dyDescent="0.25">
      <c r="H13191" s="12"/>
      <c r="I13191" s="12"/>
      <c r="J13191" s="12"/>
      <c r="K13191" s="12"/>
      <c r="L13191" s="12"/>
      <c r="M13191" s="11"/>
      <c r="N13191" s="11"/>
      <c r="O13191" s="11"/>
      <c r="P13191" s="11"/>
    </row>
    <row r="13192" spans="8:16" x14ac:dyDescent="0.25">
      <c r="H13192" s="12"/>
      <c r="I13192" s="12"/>
      <c r="J13192" s="12"/>
      <c r="K13192" s="12"/>
      <c r="L13192" s="12"/>
      <c r="M13192" s="11"/>
      <c r="N13192" s="11"/>
      <c r="O13192" s="11"/>
      <c r="P13192" s="11"/>
    </row>
    <row r="13193" spans="8:16" x14ac:dyDescent="0.25">
      <c r="H13193" s="12"/>
      <c r="I13193" s="12"/>
      <c r="J13193" s="12"/>
      <c r="K13193" s="12"/>
      <c r="L13193" s="12"/>
      <c r="M13193" s="11"/>
      <c r="N13193" s="11"/>
      <c r="O13193" s="11"/>
      <c r="P13193" s="11"/>
    </row>
    <row r="13194" spans="8:16" x14ac:dyDescent="0.25">
      <c r="H13194" s="12"/>
      <c r="I13194" s="12"/>
      <c r="J13194" s="12"/>
      <c r="K13194" s="12"/>
      <c r="L13194" s="12"/>
      <c r="M13194" s="11"/>
      <c r="N13194" s="11"/>
      <c r="O13194" s="11"/>
      <c r="P13194" s="11"/>
    </row>
    <row r="13195" spans="8:16" x14ac:dyDescent="0.25">
      <c r="H13195" s="12"/>
      <c r="I13195" s="12"/>
      <c r="J13195" s="12"/>
      <c r="K13195" s="12"/>
      <c r="L13195" s="12"/>
      <c r="M13195" s="11"/>
      <c r="N13195" s="11"/>
      <c r="O13195" s="11"/>
      <c r="P13195" s="11"/>
    </row>
    <row r="13196" spans="8:16" x14ac:dyDescent="0.25">
      <c r="H13196" s="12"/>
      <c r="I13196" s="12"/>
      <c r="J13196" s="12"/>
      <c r="K13196" s="12"/>
      <c r="L13196" s="12"/>
      <c r="M13196" s="11"/>
      <c r="N13196" s="11"/>
      <c r="O13196" s="11"/>
      <c r="P13196" s="11"/>
    </row>
    <row r="13197" spans="8:16" x14ac:dyDescent="0.25">
      <c r="H13197" s="12"/>
      <c r="I13197" s="12"/>
      <c r="J13197" s="12"/>
      <c r="K13197" s="12"/>
      <c r="L13197" s="12"/>
      <c r="M13197" s="11"/>
      <c r="N13197" s="11"/>
      <c r="O13197" s="11"/>
      <c r="P13197" s="11"/>
    </row>
    <row r="13198" spans="8:16" x14ac:dyDescent="0.25">
      <c r="H13198" s="12"/>
      <c r="I13198" s="12"/>
      <c r="J13198" s="12"/>
      <c r="K13198" s="12"/>
      <c r="L13198" s="12"/>
      <c r="M13198" s="11"/>
      <c r="N13198" s="11"/>
      <c r="O13198" s="11"/>
      <c r="P13198" s="11"/>
    </row>
    <row r="13199" spans="8:16" x14ac:dyDescent="0.25">
      <c r="H13199" s="12"/>
      <c r="I13199" s="12"/>
      <c r="J13199" s="12"/>
      <c r="K13199" s="12"/>
      <c r="L13199" s="12"/>
      <c r="M13199" s="11"/>
      <c r="N13199" s="11"/>
      <c r="O13199" s="11"/>
      <c r="P13199" s="11"/>
    </row>
    <row r="13200" spans="8:16" x14ac:dyDescent="0.25">
      <c r="H13200" s="12"/>
      <c r="I13200" s="12"/>
      <c r="J13200" s="12"/>
      <c r="K13200" s="12"/>
      <c r="L13200" s="12"/>
      <c r="M13200" s="11"/>
      <c r="N13200" s="11"/>
      <c r="O13200" s="11"/>
      <c r="P13200" s="11"/>
    </row>
    <row r="13201" spans="8:16" x14ac:dyDescent="0.25">
      <c r="H13201" s="12"/>
      <c r="I13201" s="12"/>
      <c r="J13201" s="12"/>
      <c r="K13201" s="12"/>
      <c r="L13201" s="12"/>
      <c r="M13201" s="11"/>
      <c r="N13201" s="11"/>
      <c r="O13201" s="11"/>
      <c r="P13201" s="11"/>
    </row>
    <row r="13202" spans="8:16" x14ac:dyDescent="0.25">
      <c r="H13202" s="12"/>
      <c r="I13202" s="12"/>
      <c r="J13202" s="12"/>
      <c r="K13202" s="12"/>
      <c r="L13202" s="12"/>
      <c r="M13202" s="11"/>
      <c r="N13202" s="11"/>
      <c r="O13202" s="11"/>
      <c r="P13202" s="11"/>
    </row>
    <row r="13203" spans="8:16" x14ac:dyDescent="0.25">
      <c r="H13203" s="12"/>
      <c r="I13203" s="12"/>
      <c r="J13203" s="12"/>
      <c r="K13203" s="12"/>
      <c r="L13203" s="12"/>
      <c r="M13203" s="11"/>
      <c r="N13203" s="11"/>
      <c r="O13203" s="11"/>
      <c r="P13203" s="11"/>
    </row>
    <row r="13204" spans="8:16" x14ac:dyDescent="0.25">
      <c r="H13204" s="12"/>
      <c r="I13204" s="12"/>
      <c r="J13204" s="12"/>
      <c r="K13204" s="12"/>
      <c r="L13204" s="12"/>
      <c r="M13204" s="11"/>
      <c r="N13204" s="11"/>
      <c r="O13204" s="11"/>
      <c r="P13204" s="11"/>
    </row>
    <row r="13205" spans="8:16" x14ac:dyDescent="0.25">
      <c r="H13205" s="12"/>
      <c r="I13205" s="12"/>
      <c r="J13205" s="12"/>
      <c r="K13205" s="12"/>
      <c r="L13205" s="12"/>
      <c r="M13205" s="11"/>
      <c r="N13205" s="11"/>
      <c r="O13205" s="11"/>
      <c r="P13205" s="11"/>
    </row>
    <row r="13206" spans="8:16" x14ac:dyDescent="0.25">
      <c r="H13206" s="12"/>
      <c r="I13206" s="12"/>
      <c r="J13206" s="12"/>
      <c r="K13206" s="12"/>
      <c r="L13206" s="12"/>
      <c r="M13206" s="11"/>
      <c r="N13206" s="11"/>
      <c r="O13206" s="11"/>
      <c r="P13206" s="11"/>
    </row>
    <row r="13207" spans="8:16" x14ac:dyDescent="0.25">
      <c r="H13207" s="12"/>
      <c r="I13207" s="12"/>
      <c r="J13207" s="12"/>
      <c r="K13207" s="12"/>
      <c r="L13207" s="12"/>
      <c r="M13207" s="11"/>
      <c r="N13207" s="11"/>
      <c r="O13207" s="11"/>
      <c r="P13207" s="11"/>
    </row>
    <row r="13208" spans="8:16" x14ac:dyDescent="0.25">
      <c r="H13208" s="12"/>
      <c r="I13208" s="12"/>
      <c r="J13208" s="12"/>
      <c r="K13208" s="12"/>
      <c r="L13208" s="12"/>
      <c r="M13208" s="11"/>
      <c r="N13208" s="11"/>
      <c r="O13208" s="11"/>
      <c r="P13208" s="11"/>
    </row>
    <row r="13209" spans="8:16" x14ac:dyDescent="0.25">
      <c r="H13209" s="12"/>
      <c r="I13209" s="12"/>
      <c r="J13209" s="12"/>
      <c r="K13209" s="12"/>
      <c r="L13209" s="12"/>
      <c r="M13209" s="11"/>
      <c r="N13209" s="11"/>
      <c r="O13209" s="11"/>
      <c r="P13209" s="11"/>
    </row>
    <row r="13210" spans="8:16" x14ac:dyDescent="0.25">
      <c r="H13210" s="12"/>
      <c r="I13210" s="12"/>
      <c r="J13210" s="12"/>
      <c r="K13210" s="12"/>
      <c r="L13210" s="12"/>
      <c r="M13210" s="11"/>
      <c r="N13210" s="11"/>
      <c r="O13210" s="11"/>
      <c r="P13210" s="11"/>
    </row>
    <row r="13211" spans="8:16" x14ac:dyDescent="0.25">
      <c r="H13211" s="12"/>
      <c r="I13211" s="12"/>
      <c r="J13211" s="12"/>
      <c r="K13211" s="12"/>
      <c r="L13211" s="12"/>
      <c r="M13211" s="11"/>
      <c r="N13211" s="11"/>
      <c r="O13211" s="11"/>
      <c r="P13211" s="11"/>
    </row>
    <row r="13212" spans="8:16" x14ac:dyDescent="0.25">
      <c r="H13212" s="12"/>
      <c r="I13212" s="12"/>
      <c r="J13212" s="12"/>
      <c r="K13212" s="12"/>
      <c r="L13212" s="12"/>
      <c r="M13212" s="11"/>
      <c r="N13212" s="11"/>
      <c r="O13212" s="11"/>
      <c r="P13212" s="11"/>
    </row>
    <row r="13213" spans="8:16" x14ac:dyDescent="0.25">
      <c r="H13213" s="12"/>
      <c r="I13213" s="12"/>
      <c r="J13213" s="12"/>
      <c r="K13213" s="12"/>
      <c r="L13213" s="12"/>
      <c r="M13213" s="11"/>
      <c r="N13213" s="11"/>
      <c r="O13213" s="11"/>
      <c r="P13213" s="11"/>
    </row>
    <row r="13214" spans="8:16" x14ac:dyDescent="0.25">
      <c r="H13214" s="12"/>
      <c r="I13214" s="12"/>
      <c r="J13214" s="12"/>
      <c r="K13214" s="12"/>
      <c r="L13214" s="12"/>
      <c r="M13214" s="11"/>
      <c r="N13214" s="11"/>
      <c r="O13214" s="11"/>
      <c r="P13214" s="11"/>
    </row>
    <row r="13215" spans="8:16" x14ac:dyDescent="0.25">
      <c r="H13215" s="12"/>
      <c r="I13215" s="12"/>
      <c r="J13215" s="12"/>
      <c r="K13215" s="12"/>
      <c r="L13215" s="12"/>
      <c r="M13215" s="11"/>
      <c r="N13215" s="11"/>
      <c r="O13215" s="11"/>
      <c r="P13215" s="11"/>
    </row>
    <row r="13216" spans="8:16" x14ac:dyDescent="0.25">
      <c r="H13216" s="12"/>
      <c r="I13216" s="12"/>
      <c r="J13216" s="12"/>
      <c r="K13216" s="12"/>
      <c r="L13216" s="12"/>
      <c r="M13216" s="11"/>
      <c r="N13216" s="11"/>
      <c r="O13216" s="11"/>
      <c r="P13216" s="11"/>
    </row>
    <row r="13217" spans="8:16" x14ac:dyDescent="0.25">
      <c r="H13217" s="12"/>
      <c r="I13217" s="12"/>
      <c r="J13217" s="12"/>
      <c r="K13217" s="12"/>
      <c r="L13217" s="12"/>
      <c r="M13217" s="11"/>
      <c r="N13217" s="11"/>
      <c r="O13217" s="11"/>
      <c r="P13217" s="11"/>
    </row>
    <row r="13218" spans="8:16" x14ac:dyDescent="0.25">
      <c r="H13218" s="12"/>
      <c r="I13218" s="12"/>
      <c r="J13218" s="12"/>
      <c r="K13218" s="12"/>
      <c r="L13218" s="12"/>
      <c r="M13218" s="11"/>
      <c r="N13218" s="11"/>
      <c r="O13218" s="11"/>
      <c r="P13218" s="11"/>
    </row>
    <row r="13219" spans="8:16" x14ac:dyDescent="0.25">
      <c r="H13219" s="12"/>
      <c r="I13219" s="12"/>
      <c r="J13219" s="12"/>
      <c r="K13219" s="12"/>
      <c r="L13219" s="12"/>
      <c r="M13219" s="11"/>
      <c r="N13219" s="11"/>
      <c r="O13219" s="11"/>
      <c r="P13219" s="11"/>
    </row>
    <row r="13220" spans="8:16" x14ac:dyDescent="0.25">
      <c r="H13220" s="12"/>
      <c r="I13220" s="12"/>
      <c r="J13220" s="12"/>
      <c r="K13220" s="12"/>
      <c r="L13220" s="12"/>
      <c r="M13220" s="11"/>
      <c r="N13220" s="11"/>
      <c r="O13220" s="11"/>
      <c r="P13220" s="11"/>
    </row>
    <row r="13221" spans="8:16" x14ac:dyDescent="0.25">
      <c r="H13221" s="12"/>
      <c r="I13221" s="12"/>
      <c r="J13221" s="12"/>
      <c r="K13221" s="12"/>
      <c r="L13221" s="12"/>
      <c r="M13221" s="11"/>
      <c r="N13221" s="11"/>
      <c r="O13221" s="11"/>
      <c r="P13221" s="11"/>
    </row>
    <row r="13222" spans="8:16" x14ac:dyDescent="0.25">
      <c r="H13222" s="12"/>
      <c r="I13222" s="12"/>
      <c r="J13222" s="12"/>
      <c r="K13222" s="12"/>
      <c r="L13222" s="12"/>
      <c r="M13222" s="11"/>
      <c r="N13222" s="11"/>
      <c r="O13222" s="11"/>
      <c r="P13222" s="11"/>
    </row>
    <row r="13223" spans="8:16" x14ac:dyDescent="0.25">
      <c r="H13223" s="12"/>
      <c r="I13223" s="12"/>
      <c r="J13223" s="12"/>
      <c r="K13223" s="12"/>
      <c r="L13223" s="12"/>
      <c r="M13223" s="11"/>
      <c r="N13223" s="11"/>
      <c r="O13223" s="11"/>
      <c r="P13223" s="11"/>
    </row>
    <row r="13224" spans="8:16" x14ac:dyDescent="0.25">
      <c r="H13224" s="12"/>
      <c r="I13224" s="12"/>
      <c r="J13224" s="12"/>
      <c r="K13224" s="12"/>
      <c r="L13224" s="12"/>
      <c r="M13224" s="11"/>
      <c r="N13224" s="11"/>
      <c r="O13224" s="11"/>
      <c r="P13224" s="11"/>
    </row>
    <row r="13225" spans="8:16" x14ac:dyDescent="0.25">
      <c r="H13225" s="12"/>
      <c r="I13225" s="12"/>
      <c r="J13225" s="12"/>
      <c r="K13225" s="12"/>
      <c r="L13225" s="12"/>
      <c r="M13225" s="11"/>
      <c r="N13225" s="11"/>
      <c r="O13225" s="11"/>
      <c r="P13225" s="11"/>
    </row>
    <row r="13226" spans="8:16" x14ac:dyDescent="0.25">
      <c r="H13226" s="12"/>
      <c r="I13226" s="12"/>
      <c r="J13226" s="12"/>
      <c r="K13226" s="12"/>
      <c r="L13226" s="12"/>
      <c r="M13226" s="11"/>
      <c r="N13226" s="11"/>
      <c r="O13226" s="11"/>
      <c r="P13226" s="11"/>
    </row>
    <row r="13227" spans="8:16" x14ac:dyDescent="0.25">
      <c r="H13227" s="12"/>
      <c r="I13227" s="12"/>
      <c r="J13227" s="12"/>
      <c r="K13227" s="12"/>
      <c r="L13227" s="12"/>
      <c r="M13227" s="11"/>
      <c r="N13227" s="11"/>
      <c r="O13227" s="11"/>
      <c r="P13227" s="11"/>
    </row>
    <row r="13228" spans="8:16" x14ac:dyDescent="0.25">
      <c r="H13228" s="12"/>
      <c r="I13228" s="12"/>
      <c r="J13228" s="12"/>
      <c r="K13228" s="12"/>
      <c r="L13228" s="12"/>
      <c r="M13228" s="11"/>
      <c r="N13228" s="11"/>
      <c r="O13228" s="11"/>
      <c r="P13228" s="11"/>
    </row>
    <row r="13229" spans="8:16" x14ac:dyDescent="0.25">
      <c r="H13229" s="12"/>
      <c r="I13229" s="12"/>
      <c r="J13229" s="12"/>
      <c r="K13229" s="12"/>
      <c r="L13229" s="12"/>
      <c r="M13229" s="11"/>
      <c r="N13229" s="11"/>
      <c r="O13229" s="11"/>
      <c r="P13229" s="11"/>
    </row>
    <row r="13230" spans="8:16" x14ac:dyDescent="0.25">
      <c r="H13230" s="12"/>
      <c r="I13230" s="12"/>
      <c r="J13230" s="12"/>
      <c r="K13230" s="12"/>
      <c r="L13230" s="12"/>
      <c r="M13230" s="11"/>
      <c r="N13230" s="11"/>
      <c r="O13230" s="11"/>
      <c r="P13230" s="11"/>
    </row>
    <row r="13231" spans="8:16" x14ac:dyDescent="0.25">
      <c r="H13231" s="12"/>
      <c r="I13231" s="12"/>
      <c r="J13231" s="12"/>
      <c r="K13231" s="12"/>
      <c r="L13231" s="12"/>
      <c r="M13231" s="11"/>
      <c r="N13231" s="11"/>
      <c r="O13231" s="11"/>
      <c r="P13231" s="11"/>
    </row>
    <row r="13232" spans="8:16" x14ac:dyDescent="0.25">
      <c r="H13232" s="12"/>
      <c r="I13232" s="12"/>
      <c r="J13232" s="12"/>
      <c r="K13232" s="12"/>
      <c r="L13232" s="12"/>
      <c r="M13232" s="11"/>
      <c r="N13232" s="11"/>
      <c r="O13232" s="11"/>
      <c r="P13232" s="11"/>
    </row>
    <row r="13233" spans="8:16" x14ac:dyDescent="0.25">
      <c r="H13233" s="12"/>
      <c r="I13233" s="12"/>
      <c r="J13233" s="12"/>
      <c r="K13233" s="12"/>
      <c r="L13233" s="12"/>
      <c r="M13233" s="11"/>
      <c r="N13233" s="11"/>
      <c r="O13233" s="11"/>
      <c r="P13233" s="11"/>
    </row>
    <row r="13234" spans="8:16" x14ac:dyDescent="0.25">
      <c r="H13234" s="12"/>
      <c r="I13234" s="12"/>
      <c r="J13234" s="12"/>
      <c r="K13234" s="12"/>
      <c r="L13234" s="12"/>
      <c r="M13234" s="11"/>
      <c r="N13234" s="11"/>
      <c r="O13234" s="11"/>
      <c r="P13234" s="11"/>
    </row>
    <row r="13235" spans="8:16" x14ac:dyDescent="0.25">
      <c r="H13235" s="12"/>
      <c r="I13235" s="12"/>
      <c r="J13235" s="12"/>
      <c r="K13235" s="12"/>
      <c r="L13235" s="12"/>
      <c r="M13235" s="11"/>
      <c r="N13235" s="11"/>
      <c r="O13235" s="11"/>
      <c r="P13235" s="11"/>
    </row>
    <row r="13236" spans="8:16" x14ac:dyDescent="0.25">
      <c r="H13236" s="12"/>
      <c r="I13236" s="12"/>
      <c r="J13236" s="12"/>
      <c r="K13236" s="12"/>
      <c r="L13236" s="12"/>
      <c r="M13236" s="11"/>
      <c r="N13236" s="11"/>
      <c r="O13236" s="11"/>
      <c r="P13236" s="11"/>
    </row>
    <row r="13237" spans="8:16" x14ac:dyDescent="0.25">
      <c r="H13237" s="12"/>
      <c r="I13237" s="12"/>
      <c r="J13237" s="12"/>
      <c r="K13237" s="12"/>
      <c r="L13237" s="12"/>
      <c r="M13237" s="11"/>
      <c r="N13237" s="11"/>
      <c r="O13237" s="11"/>
      <c r="P13237" s="11"/>
    </row>
    <row r="13238" spans="8:16" x14ac:dyDescent="0.25">
      <c r="H13238" s="12"/>
      <c r="I13238" s="12"/>
      <c r="J13238" s="12"/>
      <c r="K13238" s="12"/>
      <c r="L13238" s="12"/>
      <c r="M13238" s="11"/>
      <c r="N13238" s="11"/>
      <c r="O13238" s="11"/>
      <c r="P13238" s="11"/>
    </row>
    <row r="13239" spans="8:16" x14ac:dyDescent="0.25">
      <c r="H13239" s="12"/>
      <c r="I13239" s="12"/>
      <c r="J13239" s="12"/>
      <c r="K13239" s="12"/>
      <c r="L13239" s="12"/>
      <c r="M13239" s="11"/>
      <c r="N13239" s="11"/>
      <c r="O13239" s="11"/>
      <c r="P13239" s="11"/>
    </row>
    <row r="13240" spans="8:16" x14ac:dyDescent="0.25">
      <c r="H13240" s="12"/>
      <c r="I13240" s="12"/>
      <c r="J13240" s="12"/>
      <c r="K13240" s="12"/>
      <c r="L13240" s="12"/>
      <c r="M13240" s="11"/>
      <c r="N13240" s="11"/>
      <c r="O13240" s="11"/>
      <c r="P13240" s="11"/>
    </row>
    <row r="13241" spans="8:16" x14ac:dyDescent="0.25">
      <c r="H13241" s="12"/>
      <c r="I13241" s="12"/>
      <c r="J13241" s="12"/>
      <c r="K13241" s="12"/>
      <c r="L13241" s="12"/>
      <c r="M13241" s="11"/>
      <c r="N13241" s="11"/>
      <c r="O13241" s="11"/>
      <c r="P13241" s="11"/>
    </row>
    <row r="13242" spans="8:16" x14ac:dyDescent="0.25">
      <c r="H13242" s="12"/>
      <c r="I13242" s="12"/>
      <c r="J13242" s="12"/>
      <c r="K13242" s="12"/>
      <c r="L13242" s="12"/>
      <c r="M13242" s="11"/>
      <c r="N13242" s="11"/>
      <c r="O13242" s="11"/>
      <c r="P13242" s="11"/>
    </row>
    <row r="13243" spans="8:16" x14ac:dyDescent="0.25">
      <c r="H13243" s="12"/>
      <c r="I13243" s="12"/>
      <c r="J13243" s="12"/>
      <c r="K13243" s="12"/>
      <c r="L13243" s="12"/>
      <c r="M13243" s="11"/>
      <c r="N13243" s="11"/>
      <c r="O13243" s="11"/>
      <c r="P13243" s="11"/>
    </row>
    <row r="13244" spans="8:16" x14ac:dyDescent="0.25">
      <c r="H13244" s="12"/>
      <c r="I13244" s="12"/>
      <c r="J13244" s="12"/>
      <c r="K13244" s="12"/>
      <c r="L13244" s="12"/>
      <c r="M13244" s="11"/>
      <c r="N13244" s="11"/>
      <c r="O13244" s="11"/>
      <c r="P13244" s="11"/>
    </row>
    <row r="13245" spans="8:16" x14ac:dyDescent="0.25">
      <c r="H13245" s="12"/>
      <c r="I13245" s="12"/>
      <c r="J13245" s="12"/>
      <c r="K13245" s="12"/>
      <c r="L13245" s="12"/>
      <c r="M13245" s="11"/>
      <c r="N13245" s="11"/>
      <c r="O13245" s="11"/>
      <c r="P13245" s="11"/>
    </row>
    <row r="13246" spans="8:16" x14ac:dyDescent="0.25">
      <c r="H13246" s="12"/>
      <c r="I13246" s="12"/>
      <c r="J13246" s="12"/>
      <c r="K13246" s="12"/>
      <c r="L13246" s="12"/>
      <c r="M13246" s="11"/>
      <c r="N13246" s="11"/>
      <c r="O13246" s="11"/>
      <c r="P13246" s="11"/>
    </row>
    <row r="13247" spans="8:16" x14ac:dyDescent="0.25">
      <c r="H13247" s="12"/>
      <c r="I13247" s="12"/>
      <c r="J13247" s="12"/>
      <c r="K13247" s="12"/>
      <c r="L13247" s="12"/>
      <c r="M13247" s="11"/>
      <c r="N13247" s="11"/>
      <c r="O13247" s="11"/>
      <c r="P13247" s="11"/>
    </row>
    <row r="13248" spans="8:16" x14ac:dyDescent="0.25">
      <c r="H13248" s="12"/>
      <c r="I13248" s="12"/>
      <c r="J13248" s="12"/>
      <c r="K13248" s="12"/>
      <c r="L13248" s="12"/>
      <c r="M13248" s="11"/>
      <c r="N13248" s="11"/>
      <c r="O13248" s="11"/>
      <c r="P13248" s="11"/>
    </row>
    <row r="13249" spans="8:16" x14ac:dyDescent="0.25">
      <c r="H13249" s="12"/>
      <c r="I13249" s="12"/>
      <c r="J13249" s="12"/>
      <c r="K13249" s="12"/>
      <c r="L13249" s="12"/>
      <c r="M13249" s="11"/>
      <c r="N13249" s="11"/>
      <c r="O13249" s="11"/>
      <c r="P13249" s="11"/>
    </row>
    <row r="13250" spans="8:16" x14ac:dyDescent="0.25">
      <c r="H13250" s="12"/>
      <c r="I13250" s="12"/>
      <c r="J13250" s="12"/>
      <c r="K13250" s="12"/>
      <c r="L13250" s="12"/>
      <c r="M13250" s="11"/>
      <c r="N13250" s="11"/>
      <c r="O13250" s="11"/>
      <c r="P13250" s="11"/>
    </row>
    <row r="13251" spans="8:16" x14ac:dyDescent="0.25">
      <c r="H13251" s="12"/>
      <c r="I13251" s="12"/>
      <c r="J13251" s="12"/>
      <c r="K13251" s="12"/>
      <c r="L13251" s="12"/>
      <c r="M13251" s="11"/>
      <c r="N13251" s="11"/>
      <c r="O13251" s="11"/>
      <c r="P13251" s="11"/>
    </row>
    <row r="13252" spans="8:16" x14ac:dyDescent="0.25">
      <c r="H13252" s="12"/>
      <c r="I13252" s="12"/>
      <c r="J13252" s="12"/>
      <c r="K13252" s="12"/>
      <c r="L13252" s="12"/>
      <c r="M13252" s="11"/>
      <c r="N13252" s="11"/>
      <c r="O13252" s="11"/>
      <c r="P13252" s="11"/>
    </row>
    <row r="13253" spans="8:16" x14ac:dyDescent="0.25">
      <c r="H13253" s="12"/>
      <c r="I13253" s="12"/>
      <c r="J13253" s="12"/>
      <c r="K13253" s="12"/>
      <c r="L13253" s="12"/>
      <c r="M13253" s="11"/>
      <c r="N13253" s="11"/>
      <c r="O13253" s="11"/>
      <c r="P13253" s="11"/>
    </row>
    <row r="13254" spans="8:16" x14ac:dyDescent="0.25">
      <c r="H13254" s="12"/>
      <c r="I13254" s="12"/>
      <c r="J13254" s="12"/>
      <c r="K13254" s="12"/>
      <c r="L13254" s="12"/>
      <c r="M13254" s="11"/>
      <c r="N13254" s="11"/>
      <c r="O13254" s="11"/>
      <c r="P13254" s="11"/>
    </row>
    <row r="13255" spans="8:16" x14ac:dyDescent="0.25">
      <c r="H13255" s="12"/>
      <c r="I13255" s="12"/>
      <c r="J13255" s="12"/>
      <c r="K13255" s="12"/>
      <c r="L13255" s="12"/>
      <c r="M13255" s="11"/>
      <c r="N13255" s="11"/>
      <c r="O13255" s="11"/>
      <c r="P13255" s="11"/>
    </row>
    <row r="13256" spans="8:16" x14ac:dyDescent="0.25">
      <c r="H13256" s="12"/>
      <c r="I13256" s="12"/>
      <c r="J13256" s="12"/>
      <c r="K13256" s="12"/>
      <c r="L13256" s="12"/>
      <c r="M13256" s="11"/>
      <c r="N13256" s="11"/>
      <c r="O13256" s="11"/>
      <c r="P13256" s="11"/>
    </row>
    <row r="13257" spans="8:16" x14ac:dyDescent="0.25">
      <c r="H13257" s="12"/>
      <c r="I13257" s="12"/>
      <c r="J13257" s="12"/>
      <c r="K13257" s="12"/>
      <c r="L13257" s="12"/>
      <c r="M13257" s="11"/>
      <c r="N13257" s="11"/>
      <c r="O13257" s="11"/>
      <c r="P13257" s="11"/>
    </row>
    <row r="13258" spans="8:16" x14ac:dyDescent="0.25">
      <c r="H13258" s="12"/>
      <c r="I13258" s="12"/>
      <c r="J13258" s="12"/>
      <c r="K13258" s="12"/>
      <c r="L13258" s="12"/>
      <c r="M13258" s="11"/>
      <c r="N13258" s="11"/>
      <c r="O13258" s="11"/>
      <c r="P13258" s="11"/>
    </row>
    <row r="13259" spans="8:16" x14ac:dyDescent="0.25">
      <c r="H13259" s="12"/>
      <c r="I13259" s="12"/>
      <c r="J13259" s="12"/>
      <c r="K13259" s="12"/>
      <c r="L13259" s="12"/>
      <c r="M13259" s="11"/>
      <c r="N13259" s="11"/>
      <c r="O13259" s="11"/>
      <c r="P13259" s="11"/>
    </row>
    <row r="13260" spans="8:16" x14ac:dyDescent="0.25">
      <c r="H13260" s="12"/>
      <c r="I13260" s="12"/>
      <c r="J13260" s="12"/>
      <c r="K13260" s="12"/>
      <c r="L13260" s="12"/>
      <c r="M13260" s="11"/>
      <c r="N13260" s="11"/>
      <c r="O13260" s="11"/>
      <c r="P13260" s="11"/>
    </row>
    <row r="13261" spans="8:16" x14ac:dyDescent="0.25">
      <c r="H13261" s="12"/>
      <c r="I13261" s="12"/>
      <c r="J13261" s="12"/>
      <c r="K13261" s="12"/>
      <c r="L13261" s="12"/>
      <c r="M13261" s="11"/>
      <c r="N13261" s="11"/>
      <c r="O13261" s="11"/>
      <c r="P13261" s="11"/>
    </row>
    <row r="13262" spans="8:16" x14ac:dyDescent="0.25">
      <c r="H13262" s="12"/>
      <c r="I13262" s="12"/>
      <c r="J13262" s="12"/>
      <c r="K13262" s="12"/>
      <c r="L13262" s="12"/>
      <c r="M13262" s="11"/>
      <c r="N13262" s="11"/>
      <c r="O13262" s="11"/>
      <c r="P13262" s="11"/>
    </row>
    <row r="13263" spans="8:16" x14ac:dyDescent="0.25">
      <c r="H13263" s="12"/>
      <c r="I13263" s="12"/>
      <c r="J13263" s="12"/>
      <c r="K13263" s="12"/>
      <c r="L13263" s="12"/>
      <c r="M13263" s="11"/>
      <c r="N13263" s="11"/>
      <c r="O13263" s="11"/>
      <c r="P13263" s="11"/>
    </row>
    <row r="13264" spans="8:16" x14ac:dyDescent="0.25">
      <c r="H13264" s="12"/>
      <c r="I13264" s="12"/>
      <c r="J13264" s="12"/>
      <c r="K13264" s="12"/>
      <c r="L13264" s="12"/>
      <c r="M13264" s="11"/>
      <c r="N13264" s="11"/>
      <c r="O13264" s="11"/>
      <c r="P13264" s="11"/>
    </row>
    <row r="13265" spans="8:16" x14ac:dyDescent="0.25">
      <c r="H13265" s="12"/>
      <c r="I13265" s="12"/>
      <c r="J13265" s="12"/>
      <c r="K13265" s="12"/>
      <c r="L13265" s="12"/>
      <c r="M13265" s="11"/>
      <c r="N13265" s="11"/>
      <c r="O13265" s="11"/>
      <c r="P13265" s="11"/>
    </row>
    <row r="13266" spans="8:16" x14ac:dyDescent="0.25">
      <c r="H13266" s="12"/>
      <c r="I13266" s="12"/>
      <c r="J13266" s="12"/>
      <c r="K13266" s="12"/>
      <c r="L13266" s="12"/>
      <c r="M13266" s="11"/>
      <c r="N13266" s="11"/>
      <c r="O13266" s="11"/>
      <c r="P13266" s="11"/>
    </row>
    <row r="13267" spans="8:16" x14ac:dyDescent="0.25">
      <c r="H13267" s="12"/>
      <c r="I13267" s="12"/>
      <c r="J13267" s="12"/>
      <c r="K13267" s="12"/>
      <c r="L13267" s="12"/>
      <c r="M13267" s="11"/>
      <c r="N13267" s="11"/>
      <c r="O13267" s="11"/>
      <c r="P13267" s="11"/>
    </row>
    <row r="13268" spans="8:16" x14ac:dyDescent="0.25">
      <c r="H13268" s="12"/>
      <c r="I13268" s="12"/>
      <c r="J13268" s="12"/>
      <c r="K13268" s="12"/>
      <c r="L13268" s="12"/>
      <c r="M13268" s="11"/>
      <c r="N13268" s="11"/>
      <c r="O13268" s="11"/>
      <c r="P13268" s="11"/>
    </row>
    <row r="13269" spans="8:16" x14ac:dyDescent="0.25">
      <c r="H13269" s="12"/>
      <c r="I13269" s="12"/>
      <c r="J13269" s="12"/>
      <c r="K13269" s="12"/>
      <c r="L13269" s="12"/>
      <c r="M13269" s="11"/>
      <c r="N13269" s="11"/>
      <c r="O13269" s="11"/>
      <c r="P13269" s="11"/>
    </row>
    <row r="13270" spans="8:16" x14ac:dyDescent="0.25">
      <c r="H13270" s="12"/>
      <c r="I13270" s="12"/>
      <c r="J13270" s="12"/>
      <c r="K13270" s="12"/>
      <c r="L13270" s="12"/>
      <c r="M13270" s="11"/>
      <c r="N13270" s="11"/>
      <c r="O13270" s="11"/>
      <c r="P13270" s="11"/>
    </row>
    <row r="13271" spans="8:16" x14ac:dyDescent="0.25">
      <c r="H13271" s="12"/>
      <c r="I13271" s="12"/>
      <c r="J13271" s="12"/>
      <c r="K13271" s="12"/>
      <c r="L13271" s="12"/>
      <c r="M13271" s="11"/>
      <c r="N13271" s="11"/>
      <c r="O13271" s="11"/>
      <c r="P13271" s="11"/>
    </row>
    <row r="13272" spans="8:16" x14ac:dyDescent="0.25">
      <c r="H13272" s="12"/>
      <c r="I13272" s="12"/>
      <c r="J13272" s="12"/>
      <c r="K13272" s="12"/>
      <c r="L13272" s="12"/>
      <c r="M13272" s="11"/>
      <c r="N13272" s="11"/>
      <c r="O13272" s="11"/>
      <c r="P13272" s="11"/>
    </row>
    <row r="13273" spans="8:16" x14ac:dyDescent="0.25">
      <c r="H13273" s="12"/>
      <c r="I13273" s="12"/>
      <c r="J13273" s="12"/>
      <c r="K13273" s="12"/>
      <c r="L13273" s="12"/>
      <c r="M13273" s="11"/>
      <c r="N13273" s="11"/>
      <c r="O13273" s="11"/>
      <c r="P13273" s="11"/>
    </row>
    <row r="13274" spans="8:16" x14ac:dyDescent="0.25">
      <c r="H13274" s="12"/>
      <c r="I13274" s="12"/>
      <c r="J13274" s="12"/>
      <c r="K13274" s="12"/>
      <c r="L13274" s="12"/>
      <c r="M13274" s="11"/>
      <c r="N13274" s="11"/>
      <c r="O13274" s="11"/>
      <c r="P13274" s="11"/>
    </row>
    <row r="13275" spans="8:16" x14ac:dyDescent="0.25">
      <c r="H13275" s="12"/>
      <c r="I13275" s="12"/>
      <c r="J13275" s="12"/>
      <c r="K13275" s="12"/>
      <c r="L13275" s="12"/>
      <c r="M13275" s="11"/>
      <c r="N13275" s="11"/>
      <c r="O13275" s="11"/>
      <c r="P13275" s="11"/>
    </row>
    <row r="13276" spans="8:16" x14ac:dyDescent="0.25">
      <c r="H13276" s="12"/>
      <c r="I13276" s="12"/>
      <c r="J13276" s="12"/>
      <c r="K13276" s="12"/>
      <c r="L13276" s="12"/>
      <c r="M13276" s="11"/>
      <c r="N13276" s="11"/>
      <c r="O13276" s="11"/>
      <c r="P13276" s="11"/>
    </row>
    <row r="13277" spans="8:16" x14ac:dyDescent="0.25">
      <c r="H13277" s="12"/>
      <c r="I13277" s="12"/>
      <c r="J13277" s="12"/>
      <c r="K13277" s="12"/>
      <c r="L13277" s="12"/>
      <c r="M13277" s="11"/>
      <c r="N13277" s="11"/>
      <c r="O13277" s="11"/>
      <c r="P13277" s="11"/>
    </row>
    <row r="13278" spans="8:16" x14ac:dyDescent="0.25">
      <c r="H13278" s="12"/>
      <c r="I13278" s="12"/>
      <c r="J13278" s="12"/>
      <c r="K13278" s="12"/>
      <c r="L13278" s="12"/>
      <c r="M13278" s="11"/>
      <c r="N13278" s="11"/>
      <c r="O13278" s="11"/>
      <c r="P13278" s="11"/>
    </row>
    <row r="13279" spans="8:16" x14ac:dyDescent="0.25">
      <c r="H13279" s="12"/>
      <c r="I13279" s="12"/>
      <c r="J13279" s="12"/>
      <c r="K13279" s="12"/>
      <c r="L13279" s="12"/>
      <c r="M13279" s="11"/>
      <c r="N13279" s="11"/>
      <c r="O13279" s="11"/>
      <c r="P13279" s="11"/>
    </row>
    <row r="13280" spans="8:16" x14ac:dyDescent="0.25">
      <c r="H13280" s="12"/>
      <c r="I13280" s="12"/>
      <c r="J13280" s="12"/>
      <c r="K13280" s="12"/>
      <c r="L13280" s="12"/>
      <c r="M13280" s="11"/>
      <c r="N13280" s="11"/>
      <c r="O13280" s="11"/>
      <c r="P13280" s="11"/>
    </row>
    <row r="13281" spans="8:16" x14ac:dyDescent="0.25">
      <c r="H13281" s="12"/>
      <c r="I13281" s="12"/>
      <c r="J13281" s="12"/>
      <c r="K13281" s="12"/>
      <c r="L13281" s="12"/>
      <c r="M13281" s="11"/>
      <c r="N13281" s="11"/>
      <c r="O13281" s="11"/>
      <c r="P13281" s="11"/>
    </row>
    <row r="13282" spans="8:16" x14ac:dyDescent="0.25">
      <c r="H13282" s="12"/>
      <c r="I13282" s="12"/>
      <c r="J13282" s="12"/>
      <c r="K13282" s="12"/>
      <c r="L13282" s="12"/>
      <c r="M13282" s="11"/>
      <c r="N13282" s="11"/>
      <c r="O13282" s="11"/>
      <c r="P13282" s="11"/>
    </row>
    <row r="13283" spans="8:16" x14ac:dyDescent="0.25">
      <c r="H13283" s="12"/>
      <c r="I13283" s="12"/>
      <c r="J13283" s="12"/>
      <c r="K13283" s="12"/>
      <c r="L13283" s="12"/>
      <c r="M13283" s="11"/>
      <c r="N13283" s="11"/>
      <c r="O13283" s="11"/>
      <c r="P13283" s="11"/>
    </row>
    <row r="13284" spans="8:16" x14ac:dyDescent="0.25">
      <c r="H13284" s="12"/>
      <c r="I13284" s="12"/>
      <c r="J13284" s="12"/>
      <c r="K13284" s="12"/>
      <c r="L13284" s="12"/>
      <c r="M13284" s="11"/>
      <c r="N13284" s="11"/>
      <c r="O13284" s="11"/>
      <c r="P13284" s="11"/>
    </row>
    <row r="13285" spans="8:16" x14ac:dyDescent="0.25">
      <c r="H13285" s="12"/>
      <c r="I13285" s="12"/>
      <c r="J13285" s="12"/>
      <c r="K13285" s="12"/>
      <c r="L13285" s="12"/>
      <c r="M13285" s="11"/>
      <c r="N13285" s="11"/>
      <c r="O13285" s="11"/>
      <c r="P13285" s="11"/>
    </row>
    <row r="13286" spans="8:16" x14ac:dyDescent="0.25">
      <c r="H13286" s="12"/>
      <c r="I13286" s="12"/>
      <c r="J13286" s="12"/>
      <c r="K13286" s="12"/>
      <c r="L13286" s="12"/>
      <c r="M13286" s="11"/>
      <c r="N13286" s="11"/>
      <c r="O13286" s="11"/>
      <c r="P13286" s="11"/>
    </row>
    <row r="13287" spans="8:16" x14ac:dyDescent="0.25">
      <c r="H13287" s="12"/>
      <c r="I13287" s="12"/>
      <c r="J13287" s="12"/>
      <c r="K13287" s="12"/>
      <c r="L13287" s="12"/>
      <c r="M13287" s="11"/>
      <c r="N13287" s="11"/>
      <c r="O13287" s="11"/>
      <c r="P13287" s="11"/>
    </row>
    <row r="13288" spans="8:16" x14ac:dyDescent="0.25">
      <c r="H13288" s="12"/>
      <c r="I13288" s="12"/>
      <c r="J13288" s="12"/>
      <c r="K13288" s="12"/>
      <c r="L13288" s="12"/>
      <c r="M13288" s="11"/>
      <c r="N13288" s="11"/>
      <c r="O13288" s="11"/>
      <c r="P13288" s="11"/>
    </row>
    <row r="13289" spans="8:16" x14ac:dyDescent="0.25">
      <c r="H13289" s="12"/>
      <c r="I13289" s="12"/>
      <c r="J13289" s="12"/>
      <c r="K13289" s="12"/>
      <c r="L13289" s="12"/>
      <c r="M13289" s="11"/>
      <c r="N13289" s="11"/>
      <c r="O13289" s="11"/>
      <c r="P13289" s="11"/>
    </row>
    <row r="13290" spans="8:16" x14ac:dyDescent="0.25">
      <c r="H13290" s="12"/>
      <c r="I13290" s="12"/>
      <c r="J13290" s="12"/>
      <c r="K13290" s="12"/>
      <c r="L13290" s="12"/>
      <c r="M13290" s="11"/>
      <c r="N13290" s="11"/>
      <c r="O13290" s="11"/>
      <c r="P13290" s="11"/>
    </row>
    <row r="13291" spans="8:16" x14ac:dyDescent="0.25">
      <c r="H13291" s="12"/>
      <c r="I13291" s="12"/>
      <c r="J13291" s="12"/>
      <c r="K13291" s="12"/>
      <c r="L13291" s="12"/>
      <c r="M13291" s="11"/>
      <c r="N13291" s="11"/>
      <c r="O13291" s="11"/>
      <c r="P13291" s="11"/>
    </row>
    <row r="13292" spans="8:16" x14ac:dyDescent="0.25">
      <c r="H13292" s="12"/>
      <c r="I13292" s="12"/>
      <c r="J13292" s="12"/>
      <c r="K13292" s="12"/>
      <c r="L13292" s="12"/>
      <c r="M13292" s="11"/>
      <c r="N13292" s="11"/>
      <c r="O13292" s="11"/>
      <c r="P13292" s="11"/>
    </row>
    <row r="13293" spans="8:16" x14ac:dyDescent="0.25">
      <c r="H13293" s="12"/>
      <c r="I13293" s="12"/>
      <c r="J13293" s="12"/>
      <c r="K13293" s="12"/>
      <c r="L13293" s="12"/>
      <c r="M13293" s="11"/>
      <c r="N13293" s="11"/>
      <c r="O13293" s="11"/>
      <c r="P13293" s="11"/>
    </row>
    <row r="13294" spans="8:16" x14ac:dyDescent="0.25">
      <c r="H13294" s="12"/>
      <c r="I13294" s="12"/>
      <c r="J13294" s="12"/>
      <c r="K13294" s="12"/>
      <c r="L13294" s="12"/>
      <c r="M13294" s="11"/>
      <c r="N13294" s="11"/>
      <c r="O13294" s="11"/>
      <c r="P13294" s="11"/>
    </row>
    <row r="13295" spans="8:16" x14ac:dyDescent="0.25">
      <c r="H13295" s="12"/>
      <c r="I13295" s="12"/>
      <c r="J13295" s="12"/>
      <c r="K13295" s="12"/>
      <c r="L13295" s="12"/>
      <c r="M13295" s="11"/>
      <c r="N13295" s="11"/>
      <c r="O13295" s="11"/>
      <c r="P13295" s="11"/>
    </row>
    <row r="13296" spans="8:16" x14ac:dyDescent="0.25">
      <c r="H13296" s="12"/>
      <c r="I13296" s="12"/>
      <c r="J13296" s="12"/>
      <c r="K13296" s="12"/>
      <c r="L13296" s="12"/>
      <c r="M13296" s="11"/>
      <c r="N13296" s="11"/>
      <c r="O13296" s="11"/>
      <c r="P13296" s="11"/>
    </row>
    <row r="13297" spans="8:16" x14ac:dyDescent="0.25">
      <c r="H13297" s="12"/>
      <c r="I13297" s="12"/>
      <c r="J13297" s="12"/>
      <c r="K13297" s="12"/>
      <c r="L13297" s="12"/>
      <c r="M13297" s="11"/>
      <c r="N13297" s="11"/>
      <c r="O13297" s="11"/>
      <c r="P13297" s="11"/>
    </row>
    <row r="13298" spans="8:16" x14ac:dyDescent="0.25">
      <c r="H13298" s="12"/>
      <c r="I13298" s="12"/>
      <c r="J13298" s="12"/>
      <c r="K13298" s="12"/>
      <c r="L13298" s="12"/>
      <c r="M13298" s="11"/>
      <c r="N13298" s="11"/>
      <c r="O13298" s="11"/>
      <c r="P13298" s="11"/>
    </row>
    <row r="13299" spans="8:16" x14ac:dyDescent="0.25">
      <c r="H13299" s="12"/>
      <c r="I13299" s="12"/>
      <c r="J13299" s="12"/>
      <c r="K13299" s="12"/>
      <c r="L13299" s="12"/>
      <c r="M13299" s="11"/>
      <c r="N13299" s="11"/>
      <c r="O13299" s="11"/>
      <c r="P13299" s="11"/>
    </row>
    <row r="13300" spans="8:16" x14ac:dyDescent="0.25">
      <c r="H13300" s="12"/>
      <c r="I13300" s="12"/>
      <c r="J13300" s="12"/>
      <c r="K13300" s="12"/>
      <c r="L13300" s="12"/>
      <c r="M13300" s="11"/>
      <c r="N13300" s="11"/>
      <c r="O13300" s="11"/>
      <c r="P13300" s="11"/>
    </row>
    <row r="13301" spans="8:16" x14ac:dyDescent="0.25">
      <c r="H13301" s="12"/>
      <c r="I13301" s="12"/>
      <c r="J13301" s="12"/>
      <c r="K13301" s="12"/>
      <c r="L13301" s="12"/>
      <c r="M13301" s="11"/>
      <c r="N13301" s="11"/>
      <c r="O13301" s="11"/>
      <c r="P13301" s="11"/>
    </row>
    <row r="13302" spans="8:16" x14ac:dyDescent="0.25">
      <c r="H13302" s="12"/>
      <c r="I13302" s="12"/>
      <c r="J13302" s="12"/>
      <c r="K13302" s="12"/>
      <c r="L13302" s="12"/>
      <c r="M13302" s="11"/>
      <c r="N13302" s="11"/>
      <c r="O13302" s="11"/>
      <c r="P13302" s="11"/>
    </row>
    <row r="13303" spans="8:16" x14ac:dyDescent="0.25">
      <c r="H13303" s="12"/>
      <c r="I13303" s="12"/>
      <c r="J13303" s="12"/>
      <c r="K13303" s="12"/>
      <c r="L13303" s="12"/>
      <c r="M13303" s="11"/>
      <c r="N13303" s="11"/>
      <c r="O13303" s="11"/>
      <c r="P13303" s="11"/>
    </row>
    <row r="13304" spans="8:16" x14ac:dyDescent="0.25">
      <c r="H13304" s="12"/>
      <c r="I13304" s="12"/>
      <c r="J13304" s="12"/>
      <c r="K13304" s="12"/>
      <c r="L13304" s="12"/>
      <c r="M13304" s="11"/>
      <c r="N13304" s="11"/>
      <c r="O13304" s="11"/>
      <c r="P13304" s="11"/>
    </row>
    <row r="13305" spans="8:16" x14ac:dyDescent="0.25">
      <c r="H13305" s="12"/>
      <c r="I13305" s="12"/>
      <c r="J13305" s="12"/>
      <c r="K13305" s="12"/>
      <c r="L13305" s="12"/>
      <c r="M13305" s="11"/>
      <c r="N13305" s="11"/>
      <c r="O13305" s="11"/>
      <c r="P13305" s="11"/>
    </row>
    <row r="13306" spans="8:16" x14ac:dyDescent="0.25">
      <c r="H13306" s="12"/>
      <c r="I13306" s="12"/>
      <c r="J13306" s="12"/>
      <c r="K13306" s="12"/>
      <c r="L13306" s="12"/>
      <c r="M13306" s="11"/>
      <c r="N13306" s="11"/>
      <c r="O13306" s="11"/>
      <c r="P13306" s="11"/>
    </row>
    <row r="13307" spans="8:16" x14ac:dyDescent="0.25">
      <c r="H13307" s="12"/>
      <c r="I13307" s="12"/>
      <c r="J13307" s="12"/>
      <c r="K13307" s="12"/>
      <c r="L13307" s="12"/>
      <c r="M13307" s="11"/>
      <c r="N13307" s="11"/>
      <c r="O13307" s="11"/>
      <c r="P13307" s="11"/>
    </row>
    <row r="13308" spans="8:16" x14ac:dyDescent="0.25">
      <c r="H13308" s="12"/>
      <c r="I13308" s="12"/>
      <c r="J13308" s="12"/>
      <c r="K13308" s="12"/>
      <c r="L13308" s="12"/>
      <c r="M13308" s="11"/>
      <c r="N13308" s="11"/>
      <c r="O13308" s="11"/>
      <c r="P13308" s="11"/>
    </row>
    <row r="13309" spans="8:16" x14ac:dyDescent="0.25">
      <c r="H13309" s="12"/>
      <c r="I13309" s="12"/>
      <c r="J13309" s="12"/>
      <c r="K13309" s="12"/>
      <c r="L13309" s="12"/>
      <c r="M13309" s="11"/>
      <c r="N13309" s="11"/>
      <c r="O13309" s="11"/>
      <c r="P13309" s="11"/>
    </row>
    <row r="13310" spans="8:16" x14ac:dyDescent="0.25">
      <c r="H13310" s="12"/>
      <c r="I13310" s="12"/>
      <c r="J13310" s="12"/>
      <c r="K13310" s="12"/>
      <c r="L13310" s="12"/>
      <c r="M13310" s="11"/>
      <c r="N13310" s="11"/>
      <c r="O13310" s="11"/>
      <c r="P13310" s="11"/>
    </row>
    <row r="13311" spans="8:16" x14ac:dyDescent="0.25">
      <c r="H13311" s="12"/>
      <c r="I13311" s="12"/>
      <c r="J13311" s="12"/>
      <c r="K13311" s="12"/>
      <c r="L13311" s="12"/>
      <c r="M13311" s="11"/>
      <c r="N13311" s="11"/>
      <c r="O13311" s="11"/>
      <c r="P13311" s="11"/>
    </row>
    <row r="13312" spans="8:16" x14ac:dyDescent="0.25">
      <c r="H13312" s="12"/>
      <c r="I13312" s="12"/>
      <c r="J13312" s="12"/>
      <c r="K13312" s="12"/>
      <c r="L13312" s="12"/>
      <c r="M13312" s="11"/>
      <c r="N13312" s="11"/>
      <c r="O13312" s="11"/>
      <c r="P13312" s="11"/>
    </row>
    <row r="13313" spans="8:16" x14ac:dyDescent="0.25">
      <c r="H13313" s="12"/>
      <c r="I13313" s="12"/>
      <c r="J13313" s="12"/>
      <c r="K13313" s="12"/>
      <c r="L13313" s="12"/>
      <c r="M13313" s="11"/>
      <c r="N13313" s="11"/>
      <c r="O13313" s="11"/>
      <c r="P13313" s="11"/>
    </row>
    <row r="13314" spans="8:16" x14ac:dyDescent="0.25">
      <c r="H13314" s="12"/>
      <c r="I13314" s="12"/>
      <c r="J13314" s="12"/>
      <c r="K13314" s="12"/>
      <c r="L13314" s="12"/>
      <c r="M13314" s="11"/>
      <c r="N13314" s="11"/>
      <c r="O13314" s="11"/>
      <c r="P13314" s="11"/>
    </row>
    <row r="13315" spans="8:16" x14ac:dyDescent="0.25">
      <c r="H13315" s="12"/>
      <c r="I13315" s="12"/>
      <c r="J13315" s="12"/>
      <c r="K13315" s="12"/>
      <c r="L13315" s="12"/>
      <c r="M13315" s="11"/>
      <c r="N13315" s="11"/>
      <c r="O13315" s="11"/>
      <c r="P13315" s="11"/>
    </row>
    <row r="13316" spans="8:16" x14ac:dyDescent="0.25">
      <c r="H13316" s="12"/>
      <c r="I13316" s="12"/>
      <c r="J13316" s="12"/>
      <c r="K13316" s="12"/>
      <c r="L13316" s="12"/>
      <c r="M13316" s="11"/>
      <c r="N13316" s="11"/>
      <c r="O13316" s="11"/>
      <c r="P13316" s="11"/>
    </row>
    <row r="13317" spans="8:16" x14ac:dyDescent="0.25">
      <c r="H13317" s="12"/>
      <c r="I13317" s="12"/>
      <c r="J13317" s="12"/>
      <c r="K13317" s="12"/>
      <c r="L13317" s="12"/>
      <c r="M13317" s="11"/>
      <c r="N13317" s="11"/>
      <c r="O13317" s="11"/>
      <c r="P13317" s="11"/>
    </row>
    <row r="13318" spans="8:16" x14ac:dyDescent="0.25">
      <c r="H13318" s="12"/>
      <c r="I13318" s="12"/>
      <c r="J13318" s="12"/>
      <c r="K13318" s="12"/>
      <c r="L13318" s="12"/>
      <c r="M13318" s="11"/>
      <c r="N13318" s="11"/>
      <c r="O13318" s="11"/>
      <c r="P13318" s="11"/>
    </row>
    <row r="13319" spans="8:16" x14ac:dyDescent="0.25">
      <c r="H13319" s="12"/>
      <c r="I13319" s="12"/>
      <c r="J13319" s="12"/>
      <c r="K13319" s="12"/>
      <c r="L13319" s="12"/>
      <c r="M13319" s="11"/>
      <c r="N13319" s="11"/>
      <c r="O13319" s="11"/>
      <c r="P13319" s="11"/>
    </row>
    <row r="13320" spans="8:16" x14ac:dyDescent="0.25">
      <c r="H13320" s="12"/>
      <c r="I13320" s="12"/>
      <c r="J13320" s="12"/>
      <c r="K13320" s="12"/>
      <c r="L13320" s="12"/>
      <c r="M13320" s="11"/>
      <c r="N13320" s="11"/>
      <c r="O13320" s="11"/>
      <c r="P13320" s="11"/>
    </row>
    <row r="13321" spans="8:16" x14ac:dyDescent="0.25">
      <c r="H13321" s="12"/>
      <c r="I13321" s="12"/>
      <c r="J13321" s="12"/>
      <c r="K13321" s="12"/>
      <c r="L13321" s="12"/>
      <c r="M13321" s="11"/>
      <c r="N13321" s="11"/>
      <c r="O13321" s="11"/>
      <c r="P13321" s="11"/>
    </row>
    <row r="13322" spans="8:16" x14ac:dyDescent="0.25">
      <c r="H13322" s="12"/>
      <c r="I13322" s="12"/>
      <c r="J13322" s="12"/>
      <c r="K13322" s="12"/>
      <c r="L13322" s="12"/>
      <c r="M13322" s="11"/>
      <c r="N13322" s="11"/>
      <c r="O13322" s="11"/>
      <c r="P13322" s="11"/>
    </row>
    <row r="13323" spans="8:16" x14ac:dyDescent="0.25">
      <c r="H13323" s="12"/>
      <c r="I13323" s="12"/>
      <c r="J13323" s="12"/>
      <c r="K13323" s="12"/>
      <c r="L13323" s="12"/>
      <c r="M13323" s="11"/>
      <c r="N13323" s="11"/>
      <c r="O13323" s="11"/>
      <c r="P13323" s="11"/>
    </row>
    <row r="13324" spans="8:16" x14ac:dyDescent="0.25">
      <c r="H13324" s="12"/>
      <c r="I13324" s="12"/>
      <c r="J13324" s="12"/>
      <c r="K13324" s="12"/>
      <c r="L13324" s="12"/>
      <c r="M13324" s="11"/>
      <c r="N13324" s="11"/>
      <c r="O13324" s="11"/>
      <c r="P13324" s="11"/>
    </row>
    <row r="13325" spans="8:16" x14ac:dyDescent="0.25">
      <c r="H13325" s="12"/>
      <c r="I13325" s="12"/>
      <c r="J13325" s="12"/>
      <c r="K13325" s="12"/>
      <c r="L13325" s="12"/>
      <c r="M13325" s="11"/>
      <c r="N13325" s="11"/>
      <c r="O13325" s="11"/>
      <c r="P13325" s="11"/>
    </row>
    <row r="13326" spans="8:16" x14ac:dyDescent="0.25">
      <c r="H13326" s="12"/>
      <c r="I13326" s="12"/>
      <c r="J13326" s="12"/>
      <c r="K13326" s="12"/>
      <c r="L13326" s="12"/>
      <c r="M13326" s="11"/>
      <c r="N13326" s="11"/>
      <c r="O13326" s="11"/>
      <c r="P13326" s="11"/>
    </row>
    <row r="13327" spans="8:16" x14ac:dyDescent="0.25">
      <c r="H13327" s="12"/>
      <c r="I13327" s="12"/>
      <c r="J13327" s="12"/>
      <c r="K13327" s="12"/>
      <c r="L13327" s="12"/>
      <c r="M13327" s="11"/>
      <c r="N13327" s="11"/>
      <c r="O13327" s="11"/>
      <c r="P13327" s="11"/>
    </row>
    <row r="13328" spans="8:16" x14ac:dyDescent="0.25">
      <c r="H13328" s="12"/>
      <c r="I13328" s="12"/>
      <c r="J13328" s="12"/>
      <c r="K13328" s="12"/>
      <c r="L13328" s="12"/>
      <c r="M13328" s="11"/>
      <c r="N13328" s="11"/>
      <c r="O13328" s="11"/>
      <c r="P13328" s="11"/>
    </row>
    <row r="13329" spans="8:16" x14ac:dyDescent="0.25">
      <c r="H13329" s="12"/>
      <c r="I13329" s="12"/>
      <c r="J13329" s="12"/>
      <c r="K13329" s="12"/>
      <c r="L13329" s="12"/>
      <c r="M13329" s="11"/>
      <c r="N13329" s="11"/>
      <c r="O13329" s="11"/>
      <c r="P13329" s="11"/>
    </row>
    <row r="13330" spans="8:16" x14ac:dyDescent="0.25">
      <c r="H13330" s="12"/>
      <c r="I13330" s="12"/>
      <c r="J13330" s="12"/>
      <c r="K13330" s="12"/>
      <c r="L13330" s="12"/>
      <c r="M13330" s="11"/>
      <c r="N13330" s="11"/>
      <c r="O13330" s="11"/>
      <c r="P13330" s="11"/>
    </row>
    <row r="13331" spans="8:16" x14ac:dyDescent="0.25">
      <c r="H13331" s="12"/>
      <c r="I13331" s="12"/>
      <c r="J13331" s="12"/>
      <c r="K13331" s="12"/>
      <c r="L13331" s="12"/>
      <c r="M13331" s="11"/>
      <c r="N13331" s="11"/>
      <c r="O13331" s="11"/>
      <c r="P13331" s="11"/>
    </row>
    <row r="13332" spans="8:16" x14ac:dyDescent="0.25">
      <c r="H13332" s="12"/>
      <c r="I13332" s="12"/>
      <c r="J13332" s="12"/>
      <c r="K13332" s="12"/>
      <c r="L13332" s="12"/>
      <c r="M13332" s="11"/>
      <c r="N13332" s="11"/>
      <c r="O13332" s="11"/>
      <c r="P13332" s="11"/>
    </row>
    <row r="13333" spans="8:16" x14ac:dyDescent="0.25">
      <c r="H13333" s="12"/>
      <c r="I13333" s="12"/>
      <c r="J13333" s="12"/>
      <c r="K13333" s="12"/>
      <c r="L13333" s="12"/>
      <c r="M13333" s="11"/>
      <c r="N13333" s="11"/>
      <c r="O13333" s="11"/>
      <c r="P13333" s="11"/>
    </row>
    <row r="13334" spans="8:16" x14ac:dyDescent="0.25">
      <c r="H13334" s="12"/>
      <c r="I13334" s="12"/>
      <c r="J13334" s="12"/>
      <c r="K13334" s="12"/>
      <c r="L13334" s="12"/>
      <c r="M13334" s="11"/>
      <c r="N13334" s="11"/>
      <c r="O13334" s="11"/>
      <c r="P13334" s="11"/>
    </row>
    <row r="13335" spans="8:16" x14ac:dyDescent="0.25">
      <c r="H13335" s="12"/>
      <c r="I13335" s="12"/>
      <c r="J13335" s="12"/>
      <c r="K13335" s="12"/>
      <c r="L13335" s="12"/>
      <c r="M13335" s="11"/>
      <c r="N13335" s="11"/>
      <c r="O13335" s="11"/>
      <c r="P13335" s="11"/>
    </row>
    <row r="13336" spans="8:16" x14ac:dyDescent="0.25">
      <c r="H13336" s="12"/>
      <c r="I13336" s="12"/>
      <c r="J13336" s="12"/>
      <c r="K13336" s="12"/>
      <c r="L13336" s="12"/>
      <c r="M13336" s="11"/>
      <c r="N13336" s="11"/>
      <c r="O13336" s="11"/>
      <c r="P13336" s="11"/>
    </row>
    <row r="13337" spans="8:16" x14ac:dyDescent="0.25">
      <c r="H13337" s="12"/>
      <c r="I13337" s="12"/>
      <c r="J13337" s="12"/>
      <c r="K13337" s="12"/>
      <c r="L13337" s="12"/>
      <c r="M13337" s="11"/>
      <c r="N13337" s="11"/>
      <c r="O13337" s="11"/>
      <c r="P13337" s="11"/>
    </row>
    <row r="13338" spans="8:16" x14ac:dyDescent="0.25">
      <c r="H13338" s="12"/>
      <c r="I13338" s="12"/>
      <c r="J13338" s="12"/>
      <c r="K13338" s="12"/>
      <c r="L13338" s="12"/>
      <c r="M13338" s="11"/>
      <c r="N13338" s="11"/>
      <c r="O13338" s="11"/>
      <c r="P13338" s="11"/>
    </row>
    <row r="13339" spans="8:16" x14ac:dyDescent="0.25">
      <c r="H13339" s="12"/>
      <c r="I13339" s="12"/>
      <c r="J13339" s="12"/>
      <c r="K13339" s="12"/>
      <c r="L13339" s="12"/>
      <c r="M13339" s="11"/>
      <c r="N13339" s="11"/>
      <c r="O13339" s="11"/>
      <c r="P13339" s="11"/>
    </row>
    <row r="13340" spans="8:16" x14ac:dyDescent="0.25">
      <c r="H13340" s="12"/>
      <c r="I13340" s="12"/>
      <c r="J13340" s="12"/>
      <c r="K13340" s="12"/>
      <c r="L13340" s="12"/>
      <c r="M13340" s="11"/>
      <c r="N13340" s="11"/>
      <c r="O13340" s="11"/>
      <c r="P13340" s="11"/>
    </row>
    <row r="13341" spans="8:16" x14ac:dyDescent="0.25">
      <c r="H13341" s="12"/>
      <c r="I13341" s="12"/>
      <c r="J13341" s="12"/>
      <c r="K13341" s="12"/>
      <c r="L13341" s="12"/>
      <c r="M13341" s="11"/>
      <c r="N13341" s="11"/>
      <c r="O13341" s="11"/>
      <c r="P13341" s="11"/>
    </row>
    <row r="13342" spans="8:16" x14ac:dyDescent="0.25">
      <c r="H13342" s="12"/>
      <c r="I13342" s="12"/>
      <c r="J13342" s="12"/>
      <c r="K13342" s="12"/>
      <c r="L13342" s="12"/>
      <c r="M13342" s="11"/>
      <c r="N13342" s="11"/>
      <c r="O13342" s="11"/>
      <c r="P13342" s="11"/>
    </row>
    <row r="13343" spans="8:16" x14ac:dyDescent="0.25">
      <c r="H13343" s="12"/>
      <c r="I13343" s="12"/>
      <c r="J13343" s="12"/>
      <c r="K13343" s="12"/>
      <c r="L13343" s="12"/>
      <c r="M13343" s="11"/>
      <c r="N13343" s="11"/>
      <c r="O13343" s="11"/>
      <c r="P13343" s="11"/>
    </row>
    <row r="13344" spans="8:16" x14ac:dyDescent="0.25">
      <c r="H13344" s="12"/>
      <c r="I13344" s="12"/>
      <c r="J13344" s="12"/>
      <c r="K13344" s="12"/>
      <c r="L13344" s="12"/>
      <c r="M13344" s="11"/>
      <c r="N13344" s="11"/>
      <c r="O13344" s="11"/>
      <c r="P13344" s="11"/>
    </row>
    <row r="13345" spans="8:16" x14ac:dyDescent="0.25">
      <c r="H13345" s="12"/>
      <c r="I13345" s="12"/>
      <c r="J13345" s="12"/>
      <c r="K13345" s="12"/>
      <c r="L13345" s="12"/>
      <c r="M13345" s="11"/>
      <c r="N13345" s="11"/>
      <c r="O13345" s="11"/>
      <c r="P13345" s="11"/>
    </row>
    <row r="13346" spans="8:16" x14ac:dyDescent="0.25">
      <c r="H13346" s="12"/>
      <c r="I13346" s="12"/>
      <c r="J13346" s="12"/>
      <c r="K13346" s="12"/>
      <c r="L13346" s="12"/>
      <c r="M13346" s="11"/>
      <c r="N13346" s="11"/>
      <c r="O13346" s="11"/>
      <c r="P13346" s="11"/>
    </row>
    <row r="13347" spans="8:16" x14ac:dyDescent="0.25">
      <c r="H13347" s="12"/>
      <c r="I13347" s="12"/>
      <c r="J13347" s="12"/>
      <c r="K13347" s="12"/>
      <c r="L13347" s="12"/>
      <c r="M13347" s="11"/>
      <c r="N13347" s="11"/>
      <c r="O13347" s="11"/>
      <c r="P13347" s="11"/>
    </row>
    <row r="13348" spans="8:16" x14ac:dyDescent="0.25">
      <c r="H13348" s="12"/>
      <c r="I13348" s="12"/>
      <c r="J13348" s="12"/>
      <c r="K13348" s="12"/>
      <c r="L13348" s="12"/>
      <c r="M13348" s="11"/>
      <c r="N13348" s="11"/>
      <c r="O13348" s="11"/>
      <c r="P13348" s="11"/>
    </row>
    <row r="13349" spans="8:16" x14ac:dyDescent="0.25">
      <c r="H13349" s="12"/>
      <c r="I13349" s="12"/>
      <c r="J13349" s="12"/>
      <c r="K13349" s="12"/>
      <c r="L13349" s="12"/>
      <c r="M13349" s="11"/>
      <c r="N13349" s="11"/>
      <c r="O13349" s="11"/>
      <c r="P13349" s="11"/>
    </row>
    <row r="13350" spans="8:16" x14ac:dyDescent="0.25">
      <c r="H13350" s="12"/>
      <c r="I13350" s="12"/>
      <c r="J13350" s="12"/>
      <c r="K13350" s="12"/>
      <c r="L13350" s="12"/>
      <c r="M13350" s="11"/>
      <c r="N13350" s="11"/>
      <c r="O13350" s="11"/>
      <c r="P13350" s="11"/>
    </row>
    <row r="13351" spans="8:16" x14ac:dyDescent="0.25">
      <c r="H13351" s="12"/>
      <c r="I13351" s="12"/>
      <c r="J13351" s="12"/>
      <c r="K13351" s="12"/>
      <c r="L13351" s="12"/>
      <c r="M13351" s="11"/>
      <c r="N13351" s="11"/>
      <c r="O13351" s="11"/>
      <c r="P13351" s="11"/>
    </row>
    <row r="13352" spans="8:16" x14ac:dyDescent="0.25">
      <c r="H13352" s="12"/>
      <c r="I13352" s="12"/>
      <c r="J13352" s="12"/>
      <c r="K13352" s="12"/>
      <c r="L13352" s="12"/>
      <c r="M13352" s="11"/>
      <c r="N13352" s="11"/>
      <c r="O13352" s="11"/>
      <c r="P13352" s="11"/>
    </row>
    <row r="13353" spans="8:16" x14ac:dyDescent="0.25">
      <c r="H13353" s="12"/>
      <c r="I13353" s="12"/>
      <c r="J13353" s="12"/>
      <c r="K13353" s="12"/>
      <c r="L13353" s="12"/>
      <c r="M13353" s="11"/>
      <c r="N13353" s="11"/>
      <c r="O13353" s="11"/>
      <c r="P13353" s="11"/>
    </row>
    <row r="13354" spans="8:16" x14ac:dyDescent="0.25">
      <c r="H13354" s="12"/>
      <c r="I13354" s="12"/>
      <c r="J13354" s="12"/>
      <c r="K13354" s="12"/>
      <c r="L13354" s="12"/>
      <c r="M13354" s="11"/>
      <c r="N13354" s="11"/>
      <c r="O13354" s="11"/>
      <c r="P13354" s="11"/>
    </row>
    <row r="13355" spans="8:16" x14ac:dyDescent="0.25">
      <c r="H13355" s="12"/>
      <c r="I13355" s="12"/>
      <c r="J13355" s="12"/>
      <c r="K13355" s="12"/>
      <c r="L13355" s="12"/>
      <c r="M13355" s="11"/>
      <c r="N13355" s="11"/>
      <c r="O13355" s="11"/>
      <c r="P13355" s="11"/>
    </row>
    <row r="13356" spans="8:16" x14ac:dyDescent="0.25">
      <c r="H13356" s="12"/>
      <c r="I13356" s="12"/>
      <c r="J13356" s="12"/>
      <c r="K13356" s="12"/>
      <c r="L13356" s="12"/>
      <c r="M13356" s="11"/>
      <c r="N13356" s="11"/>
      <c r="O13356" s="11"/>
      <c r="P13356" s="11"/>
    </row>
    <row r="13357" spans="8:16" x14ac:dyDescent="0.25">
      <c r="H13357" s="12"/>
      <c r="I13357" s="12"/>
      <c r="J13357" s="12"/>
      <c r="K13357" s="12"/>
      <c r="L13357" s="12"/>
      <c r="M13357" s="11"/>
      <c r="N13357" s="11"/>
      <c r="O13357" s="11"/>
      <c r="P13357" s="11"/>
    </row>
    <row r="13358" spans="8:16" x14ac:dyDescent="0.25">
      <c r="H13358" s="12"/>
      <c r="I13358" s="12"/>
      <c r="J13358" s="12"/>
      <c r="K13358" s="12"/>
      <c r="L13358" s="12"/>
      <c r="M13358" s="11"/>
      <c r="N13358" s="11"/>
      <c r="O13358" s="11"/>
      <c r="P13358" s="11"/>
    </row>
    <row r="13359" spans="8:16" x14ac:dyDescent="0.25">
      <c r="H13359" s="12"/>
      <c r="I13359" s="12"/>
      <c r="J13359" s="12"/>
      <c r="K13359" s="12"/>
      <c r="L13359" s="12"/>
      <c r="M13359" s="11"/>
      <c r="N13359" s="11"/>
      <c r="O13359" s="11"/>
      <c r="P13359" s="11"/>
    </row>
    <row r="13360" spans="8:16" x14ac:dyDescent="0.25">
      <c r="H13360" s="12"/>
      <c r="I13360" s="12"/>
      <c r="J13360" s="12"/>
      <c r="K13360" s="12"/>
      <c r="L13360" s="12"/>
      <c r="M13360" s="11"/>
      <c r="N13360" s="11"/>
      <c r="O13360" s="11"/>
      <c r="P13360" s="11"/>
    </row>
    <row r="13361" spans="8:16" x14ac:dyDescent="0.25">
      <c r="H13361" s="12"/>
      <c r="I13361" s="12"/>
      <c r="J13361" s="12"/>
      <c r="K13361" s="12"/>
      <c r="L13361" s="12"/>
      <c r="M13361" s="11"/>
      <c r="N13361" s="11"/>
      <c r="O13361" s="11"/>
      <c r="P13361" s="11"/>
    </row>
    <row r="13362" spans="8:16" x14ac:dyDescent="0.25">
      <c r="H13362" s="12"/>
      <c r="I13362" s="12"/>
      <c r="J13362" s="12"/>
      <c r="K13362" s="12"/>
      <c r="L13362" s="12"/>
      <c r="M13362" s="11"/>
      <c r="N13362" s="11"/>
      <c r="O13362" s="11"/>
      <c r="P13362" s="11"/>
    </row>
    <row r="13363" spans="8:16" x14ac:dyDescent="0.25">
      <c r="H13363" s="12"/>
      <c r="I13363" s="12"/>
      <c r="J13363" s="12"/>
      <c r="K13363" s="12"/>
      <c r="L13363" s="12"/>
      <c r="M13363" s="11"/>
      <c r="N13363" s="11"/>
      <c r="O13363" s="11"/>
      <c r="P13363" s="11"/>
    </row>
    <row r="13364" spans="8:16" x14ac:dyDescent="0.25">
      <c r="H13364" s="12"/>
      <c r="I13364" s="12"/>
      <c r="J13364" s="12"/>
      <c r="K13364" s="12"/>
      <c r="L13364" s="12"/>
      <c r="M13364" s="11"/>
      <c r="N13364" s="11"/>
      <c r="O13364" s="11"/>
      <c r="P13364" s="11"/>
    </row>
    <row r="13365" spans="8:16" x14ac:dyDescent="0.25">
      <c r="H13365" s="12"/>
      <c r="I13365" s="12"/>
      <c r="J13365" s="12"/>
      <c r="K13365" s="12"/>
      <c r="L13365" s="12"/>
      <c r="M13365" s="11"/>
      <c r="N13365" s="11"/>
      <c r="O13365" s="11"/>
      <c r="P13365" s="11"/>
    </row>
    <row r="13366" spans="8:16" x14ac:dyDescent="0.25">
      <c r="H13366" s="12"/>
      <c r="I13366" s="12"/>
      <c r="J13366" s="12"/>
      <c r="K13366" s="12"/>
      <c r="L13366" s="12"/>
      <c r="M13366" s="11"/>
      <c r="N13366" s="11"/>
      <c r="O13366" s="11"/>
      <c r="P13366" s="11"/>
    </row>
    <row r="13367" spans="8:16" x14ac:dyDescent="0.25">
      <c r="H13367" s="12"/>
      <c r="I13367" s="12"/>
      <c r="J13367" s="12"/>
      <c r="K13367" s="12"/>
      <c r="L13367" s="12"/>
      <c r="M13367" s="11"/>
      <c r="N13367" s="11"/>
      <c r="O13367" s="11"/>
      <c r="P13367" s="11"/>
    </row>
    <row r="13368" spans="8:16" x14ac:dyDescent="0.25">
      <c r="H13368" s="12"/>
      <c r="I13368" s="12"/>
      <c r="J13368" s="12"/>
      <c r="K13368" s="12"/>
      <c r="L13368" s="12"/>
      <c r="M13368" s="11"/>
      <c r="N13368" s="11"/>
      <c r="O13368" s="11"/>
      <c r="P13368" s="11"/>
    </row>
    <row r="13369" spans="8:16" x14ac:dyDescent="0.25">
      <c r="H13369" s="12"/>
      <c r="I13369" s="12"/>
      <c r="J13369" s="12"/>
      <c r="K13369" s="12"/>
      <c r="L13369" s="12"/>
      <c r="M13369" s="11"/>
      <c r="N13369" s="11"/>
      <c r="O13369" s="11"/>
      <c r="P13369" s="11"/>
    </row>
    <row r="13370" spans="8:16" x14ac:dyDescent="0.25">
      <c r="H13370" s="12"/>
      <c r="I13370" s="12"/>
      <c r="J13370" s="12"/>
      <c r="K13370" s="12"/>
      <c r="L13370" s="12"/>
      <c r="M13370" s="11"/>
      <c r="N13370" s="11"/>
      <c r="O13370" s="11"/>
      <c r="P13370" s="11"/>
    </row>
    <row r="13371" spans="8:16" x14ac:dyDescent="0.25">
      <c r="H13371" s="12"/>
      <c r="I13371" s="12"/>
      <c r="J13371" s="12"/>
      <c r="K13371" s="12"/>
      <c r="L13371" s="12"/>
      <c r="M13371" s="11"/>
      <c r="N13371" s="11"/>
      <c r="O13371" s="11"/>
      <c r="P13371" s="11"/>
    </row>
    <row r="13372" spans="8:16" x14ac:dyDescent="0.25">
      <c r="H13372" s="12"/>
      <c r="I13372" s="12"/>
      <c r="J13372" s="12"/>
      <c r="K13372" s="12"/>
      <c r="L13372" s="12"/>
      <c r="M13372" s="11"/>
      <c r="N13372" s="11"/>
      <c r="O13372" s="11"/>
      <c r="P13372" s="11"/>
    </row>
    <row r="13373" spans="8:16" x14ac:dyDescent="0.25">
      <c r="H13373" s="12"/>
      <c r="I13373" s="12"/>
      <c r="J13373" s="12"/>
      <c r="K13373" s="12"/>
      <c r="L13373" s="12"/>
      <c r="M13373" s="11"/>
      <c r="N13373" s="11"/>
      <c r="O13373" s="11"/>
      <c r="P13373" s="11"/>
    </row>
    <row r="13374" spans="8:16" x14ac:dyDescent="0.25">
      <c r="H13374" s="12"/>
      <c r="I13374" s="12"/>
      <c r="J13374" s="12"/>
      <c r="K13374" s="12"/>
      <c r="L13374" s="12"/>
      <c r="M13374" s="11"/>
      <c r="N13374" s="11"/>
      <c r="O13374" s="11"/>
      <c r="P13374" s="11"/>
    </row>
    <row r="13375" spans="8:16" x14ac:dyDescent="0.25">
      <c r="H13375" s="12"/>
      <c r="I13375" s="12"/>
      <c r="J13375" s="12"/>
      <c r="K13375" s="12"/>
      <c r="L13375" s="12"/>
      <c r="M13375" s="11"/>
      <c r="N13375" s="11"/>
      <c r="O13375" s="11"/>
      <c r="P13375" s="11"/>
    </row>
    <row r="13376" spans="8:16" x14ac:dyDescent="0.25">
      <c r="H13376" s="12"/>
      <c r="I13376" s="12"/>
      <c r="J13376" s="12"/>
      <c r="K13376" s="12"/>
      <c r="L13376" s="12"/>
      <c r="M13376" s="11"/>
      <c r="N13376" s="11"/>
      <c r="O13376" s="11"/>
      <c r="P13376" s="11"/>
    </row>
    <row r="13377" spans="8:16" x14ac:dyDescent="0.25">
      <c r="H13377" s="12"/>
      <c r="I13377" s="12"/>
      <c r="J13377" s="12"/>
      <c r="K13377" s="12"/>
      <c r="L13377" s="12"/>
      <c r="M13377" s="11"/>
      <c r="N13377" s="11"/>
      <c r="O13377" s="11"/>
      <c r="P13377" s="11"/>
    </row>
    <row r="13378" spans="8:16" x14ac:dyDescent="0.25">
      <c r="H13378" s="12"/>
      <c r="I13378" s="12"/>
      <c r="J13378" s="12"/>
      <c r="K13378" s="12"/>
      <c r="L13378" s="12"/>
      <c r="M13378" s="11"/>
      <c r="N13378" s="11"/>
      <c r="O13378" s="11"/>
      <c r="P13378" s="11"/>
    </row>
    <row r="13379" spans="8:16" x14ac:dyDescent="0.25">
      <c r="H13379" s="12"/>
      <c r="I13379" s="12"/>
      <c r="J13379" s="12"/>
      <c r="K13379" s="12"/>
      <c r="L13379" s="12"/>
      <c r="M13379" s="11"/>
      <c r="N13379" s="11"/>
      <c r="O13379" s="11"/>
      <c r="P13379" s="11"/>
    </row>
    <row r="13380" spans="8:16" x14ac:dyDescent="0.25">
      <c r="H13380" s="12"/>
      <c r="I13380" s="12"/>
      <c r="J13380" s="12"/>
      <c r="K13380" s="12"/>
      <c r="L13380" s="12"/>
      <c r="M13380" s="11"/>
      <c r="N13380" s="11"/>
      <c r="O13380" s="11"/>
      <c r="P13380" s="11"/>
    </row>
    <row r="13381" spans="8:16" x14ac:dyDescent="0.25">
      <c r="H13381" s="12"/>
      <c r="I13381" s="12"/>
      <c r="J13381" s="12"/>
      <c r="K13381" s="12"/>
      <c r="L13381" s="12"/>
      <c r="M13381" s="11"/>
      <c r="N13381" s="11"/>
      <c r="O13381" s="11"/>
      <c r="P13381" s="11"/>
    </row>
    <row r="13382" spans="8:16" x14ac:dyDescent="0.25">
      <c r="H13382" s="12"/>
      <c r="I13382" s="12"/>
      <c r="J13382" s="12"/>
      <c r="K13382" s="12"/>
      <c r="L13382" s="12"/>
      <c r="M13382" s="11"/>
      <c r="N13382" s="11"/>
      <c r="O13382" s="11"/>
      <c r="P13382" s="11"/>
    </row>
    <row r="13383" spans="8:16" x14ac:dyDescent="0.25">
      <c r="H13383" s="12"/>
      <c r="I13383" s="12"/>
      <c r="J13383" s="12"/>
      <c r="K13383" s="12"/>
      <c r="L13383" s="12"/>
      <c r="M13383" s="11"/>
      <c r="N13383" s="11"/>
      <c r="O13383" s="11"/>
      <c r="P13383" s="11"/>
    </row>
    <row r="13384" spans="8:16" x14ac:dyDescent="0.25">
      <c r="H13384" s="12"/>
      <c r="I13384" s="12"/>
      <c r="J13384" s="12"/>
      <c r="K13384" s="12"/>
      <c r="L13384" s="12"/>
      <c r="M13384" s="11"/>
      <c r="N13384" s="11"/>
      <c r="O13384" s="11"/>
      <c r="P13384" s="11"/>
    </row>
    <row r="13385" spans="8:16" x14ac:dyDescent="0.25">
      <c r="H13385" s="12"/>
      <c r="I13385" s="12"/>
      <c r="J13385" s="12"/>
      <c r="K13385" s="12"/>
      <c r="L13385" s="12"/>
      <c r="M13385" s="11"/>
      <c r="N13385" s="11"/>
      <c r="O13385" s="11"/>
      <c r="P13385" s="11"/>
    </row>
    <row r="13386" spans="8:16" x14ac:dyDescent="0.25">
      <c r="H13386" s="12"/>
      <c r="I13386" s="12"/>
      <c r="J13386" s="12"/>
      <c r="K13386" s="12"/>
      <c r="L13386" s="12"/>
      <c r="M13386" s="11"/>
      <c r="N13386" s="11"/>
      <c r="O13386" s="11"/>
      <c r="P13386" s="11"/>
    </row>
    <row r="13387" spans="8:16" x14ac:dyDescent="0.25">
      <c r="H13387" s="12"/>
      <c r="I13387" s="12"/>
      <c r="J13387" s="12"/>
      <c r="K13387" s="12"/>
      <c r="L13387" s="12"/>
      <c r="M13387" s="11"/>
      <c r="N13387" s="11"/>
      <c r="O13387" s="11"/>
      <c r="P13387" s="11"/>
    </row>
    <row r="13388" spans="8:16" x14ac:dyDescent="0.25">
      <c r="H13388" s="12"/>
      <c r="I13388" s="12"/>
      <c r="J13388" s="12"/>
      <c r="K13388" s="12"/>
      <c r="L13388" s="12"/>
      <c r="M13388" s="11"/>
      <c r="N13388" s="11"/>
      <c r="O13388" s="11"/>
      <c r="P13388" s="11"/>
    </row>
    <row r="13389" spans="8:16" x14ac:dyDescent="0.25">
      <c r="H13389" s="12"/>
      <c r="I13389" s="12"/>
      <c r="J13389" s="12"/>
      <c r="K13389" s="12"/>
      <c r="L13389" s="12"/>
      <c r="M13389" s="11"/>
      <c r="N13389" s="11"/>
      <c r="O13389" s="11"/>
      <c r="P13389" s="11"/>
    </row>
    <row r="13390" spans="8:16" x14ac:dyDescent="0.25">
      <c r="H13390" s="12"/>
      <c r="I13390" s="12"/>
      <c r="J13390" s="12"/>
      <c r="K13390" s="12"/>
      <c r="L13390" s="12"/>
      <c r="M13390" s="11"/>
      <c r="N13390" s="11"/>
      <c r="O13390" s="11"/>
      <c r="P13390" s="11"/>
    </row>
    <row r="13391" spans="8:16" x14ac:dyDescent="0.25">
      <c r="H13391" s="12"/>
      <c r="I13391" s="12"/>
      <c r="J13391" s="12"/>
      <c r="K13391" s="12"/>
      <c r="L13391" s="12"/>
      <c r="M13391" s="11"/>
      <c r="N13391" s="11"/>
      <c r="O13391" s="11"/>
      <c r="P13391" s="11"/>
    </row>
    <row r="13392" spans="8:16" x14ac:dyDescent="0.25">
      <c r="H13392" s="12"/>
      <c r="I13392" s="12"/>
      <c r="J13392" s="12"/>
      <c r="K13392" s="12"/>
      <c r="L13392" s="12"/>
      <c r="M13392" s="11"/>
      <c r="N13392" s="11"/>
      <c r="O13392" s="11"/>
      <c r="P13392" s="11"/>
    </row>
    <row r="13393" spans="8:16" x14ac:dyDescent="0.25">
      <c r="H13393" s="12"/>
      <c r="I13393" s="12"/>
      <c r="J13393" s="12"/>
      <c r="K13393" s="12"/>
      <c r="L13393" s="12"/>
      <c r="M13393" s="11"/>
      <c r="N13393" s="11"/>
      <c r="O13393" s="11"/>
      <c r="P13393" s="11"/>
    </row>
    <row r="13394" spans="8:16" x14ac:dyDescent="0.25">
      <c r="H13394" s="12"/>
      <c r="I13394" s="12"/>
      <c r="J13394" s="12"/>
      <c r="K13394" s="12"/>
      <c r="L13394" s="12"/>
      <c r="M13394" s="11"/>
      <c r="N13394" s="11"/>
      <c r="O13394" s="11"/>
      <c r="P13394" s="11"/>
    </row>
    <row r="13395" spans="8:16" x14ac:dyDescent="0.25">
      <c r="H13395" s="12"/>
      <c r="I13395" s="12"/>
      <c r="J13395" s="12"/>
      <c r="K13395" s="12"/>
      <c r="L13395" s="12"/>
      <c r="M13395" s="11"/>
      <c r="N13395" s="11"/>
      <c r="O13395" s="11"/>
      <c r="P13395" s="11"/>
    </row>
    <row r="13396" spans="8:16" x14ac:dyDescent="0.25">
      <c r="H13396" s="12"/>
      <c r="I13396" s="12"/>
      <c r="J13396" s="12"/>
      <c r="K13396" s="12"/>
      <c r="L13396" s="12"/>
      <c r="M13396" s="11"/>
      <c r="N13396" s="11"/>
      <c r="O13396" s="11"/>
      <c r="P13396" s="11"/>
    </row>
    <row r="13397" spans="8:16" x14ac:dyDescent="0.25">
      <c r="H13397" s="12"/>
      <c r="I13397" s="12"/>
      <c r="J13397" s="12"/>
      <c r="K13397" s="12"/>
      <c r="L13397" s="12"/>
      <c r="M13397" s="11"/>
      <c r="N13397" s="11"/>
      <c r="O13397" s="11"/>
      <c r="P13397" s="11"/>
    </row>
    <row r="13398" spans="8:16" x14ac:dyDescent="0.25">
      <c r="H13398" s="12"/>
      <c r="I13398" s="12"/>
      <c r="J13398" s="12"/>
      <c r="K13398" s="12"/>
      <c r="L13398" s="12"/>
      <c r="M13398" s="11"/>
      <c r="N13398" s="11"/>
      <c r="O13398" s="11"/>
      <c r="P13398" s="11"/>
    </row>
    <row r="13399" spans="8:16" x14ac:dyDescent="0.25">
      <c r="H13399" s="12"/>
      <c r="I13399" s="12"/>
      <c r="J13399" s="12"/>
      <c r="K13399" s="12"/>
      <c r="L13399" s="12"/>
      <c r="M13399" s="11"/>
      <c r="N13399" s="11"/>
      <c r="O13399" s="11"/>
      <c r="P13399" s="11"/>
    </row>
    <row r="13400" spans="8:16" x14ac:dyDescent="0.25">
      <c r="H13400" s="12"/>
      <c r="I13400" s="12"/>
      <c r="J13400" s="12"/>
      <c r="K13400" s="12"/>
      <c r="L13400" s="12"/>
      <c r="M13400" s="11"/>
      <c r="N13400" s="11"/>
      <c r="O13400" s="11"/>
      <c r="P13400" s="11"/>
    </row>
    <row r="13401" spans="8:16" x14ac:dyDescent="0.25">
      <c r="H13401" s="12"/>
      <c r="I13401" s="12"/>
      <c r="J13401" s="12"/>
      <c r="K13401" s="12"/>
      <c r="L13401" s="12"/>
      <c r="M13401" s="11"/>
      <c r="N13401" s="11"/>
      <c r="O13401" s="11"/>
      <c r="P13401" s="11"/>
    </row>
    <row r="13402" spans="8:16" x14ac:dyDescent="0.25">
      <c r="H13402" s="12"/>
      <c r="I13402" s="12"/>
      <c r="J13402" s="12"/>
      <c r="K13402" s="12"/>
      <c r="L13402" s="12"/>
      <c r="M13402" s="11"/>
      <c r="N13402" s="11"/>
      <c r="O13402" s="11"/>
      <c r="P13402" s="11"/>
    </row>
    <row r="13403" spans="8:16" x14ac:dyDescent="0.25">
      <c r="H13403" s="12"/>
      <c r="I13403" s="12"/>
      <c r="J13403" s="12"/>
      <c r="K13403" s="12"/>
      <c r="L13403" s="12"/>
      <c r="M13403" s="11"/>
      <c r="N13403" s="11"/>
      <c r="O13403" s="11"/>
      <c r="P13403" s="11"/>
    </row>
    <row r="13404" spans="8:16" x14ac:dyDescent="0.25">
      <c r="H13404" s="12"/>
      <c r="I13404" s="12"/>
      <c r="J13404" s="12"/>
      <c r="K13404" s="12"/>
      <c r="L13404" s="12"/>
      <c r="M13404" s="11"/>
      <c r="N13404" s="11"/>
      <c r="O13404" s="11"/>
      <c r="P13404" s="11"/>
    </row>
    <row r="13405" spans="8:16" x14ac:dyDescent="0.25">
      <c r="H13405" s="12"/>
      <c r="I13405" s="12"/>
      <c r="J13405" s="12"/>
      <c r="K13405" s="12"/>
      <c r="L13405" s="12"/>
      <c r="M13405" s="11"/>
      <c r="N13405" s="11"/>
      <c r="O13405" s="11"/>
      <c r="P13405" s="11"/>
    </row>
    <row r="13406" spans="8:16" x14ac:dyDescent="0.25">
      <c r="H13406" s="12"/>
      <c r="I13406" s="12"/>
      <c r="J13406" s="12"/>
      <c r="K13406" s="12"/>
      <c r="L13406" s="12"/>
      <c r="M13406" s="11"/>
      <c r="N13406" s="11"/>
      <c r="O13406" s="11"/>
      <c r="P13406" s="11"/>
    </row>
    <row r="13407" spans="8:16" x14ac:dyDescent="0.25">
      <c r="H13407" s="12"/>
      <c r="I13407" s="12"/>
      <c r="J13407" s="12"/>
      <c r="K13407" s="12"/>
      <c r="L13407" s="12"/>
      <c r="M13407" s="11"/>
      <c r="N13407" s="11"/>
      <c r="O13407" s="11"/>
      <c r="P13407" s="11"/>
    </row>
    <row r="13408" spans="8:16" x14ac:dyDescent="0.25">
      <c r="H13408" s="12"/>
      <c r="I13408" s="12"/>
      <c r="J13408" s="12"/>
      <c r="K13408" s="12"/>
      <c r="L13408" s="12"/>
      <c r="M13408" s="11"/>
      <c r="N13408" s="11"/>
      <c r="O13408" s="11"/>
      <c r="P13408" s="11"/>
    </row>
    <row r="13409" spans="8:16" x14ac:dyDescent="0.25">
      <c r="H13409" s="12"/>
      <c r="I13409" s="12"/>
      <c r="J13409" s="12"/>
      <c r="K13409" s="12"/>
      <c r="L13409" s="12"/>
      <c r="M13409" s="11"/>
      <c r="N13409" s="11"/>
      <c r="O13409" s="11"/>
      <c r="P13409" s="11"/>
    </row>
    <row r="13410" spans="8:16" x14ac:dyDescent="0.25">
      <c r="H13410" s="12"/>
      <c r="I13410" s="12"/>
      <c r="J13410" s="12"/>
      <c r="K13410" s="12"/>
      <c r="L13410" s="12"/>
      <c r="M13410" s="11"/>
      <c r="N13410" s="11"/>
      <c r="O13410" s="11"/>
      <c r="P13410" s="11"/>
    </row>
    <row r="13411" spans="8:16" x14ac:dyDescent="0.25">
      <c r="H13411" s="12"/>
      <c r="I13411" s="12"/>
      <c r="J13411" s="12"/>
      <c r="K13411" s="12"/>
      <c r="L13411" s="12"/>
      <c r="M13411" s="11"/>
      <c r="N13411" s="11"/>
      <c r="O13411" s="11"/>
      <c r="P13411" s="11"/>
    </row>
    <row r="13412" spans="8:16" x14ac:dyDescent="0.25">
      <c r="H13412" s="12"/>
      <c r="I13412" s="12"/>
      <c r="J13412" s="12"/>
      <c r="K13412" s="12"/>
      <c r="L13412" s="12"/>
      <c r="M13412" s="11"/>
      <c r="N13412" s="11"/>
      <c r="O13412" s="11"/>
      <c r="P13412" s="11"/>
    </row>
    <row r="13413" spans="8:16" x14ac:dyDescent="0.25">
      <c r="H13413" s="12"/>
      <c r="I13413" s="12"/>
      <c r="J13413" s="12"/>
      <c r="K13413" s="12"/>
      <c r="L13413" s="12"/>
      <c r="M13413" s="11"/>
      <c r="N13413" s="11"/>
      <c r="O13413" s="11"/>
      <c r="P13413" s="11"/>
    </row>
    <row r="13414" spans="8:16" x14ac:dyDescent="0.25">
      <c r="H13414" s="12"/>
      <c r="I13414" s="12"/>
      <c r="J13414" s="12"/>
      <c r="K13414" s="12"/>
      <c r="L13414" s="12"/>
      <c r="M13414" s="11"/>
      <c r="N13414" s="11"/>
      <c r="O13414" s="11"/>
      <c r="P13414" s="11"/>
    </row>
    <row r="13415" spans="8:16" x14ac:dyDescent="0.25">
      <c r="H13415" s="12"/>
      <c r="I13415" s="12"/>
      <c r="J13415" s="12"/>
      <c r="K13415" s="12"/>
      <c r="L13415" s="12"/>
      <c r="M13415" s="11"/>
      <c r="N13415" s="11"/>
      <c r="O13415" s="11"/>
      <c r="P13415" s="11"/>
    </row>
    <row r="13416" spans="8:16" x14ac:dyDescent="0.25">
      <c r="H13416" s="12"/>
      <c r="I13416" s="12"/>
      <c r="J13416" s="12"/>
      <c r="K13416" s="12"/>
      <c r="L13416" s="12"/>
      <c r="M13416" s="11"/>
      <c r="N13416" s="11"/>
      <c r="O13416" s="11"/>
      <c r="P13416" s="11"/>
    </row>
    <row r="13417" spans="8:16" x14ac:dyDescent="0.25">
      <c r="H13417" s="12"/>
      <c r="I13417" s="12"/>
      <c r="J13417" s="12"/>
      <c r="K13417" s="12"/>
      <c r="L13417" s="12"/>
      <c r="M13417" s="11"/>
      <c r="N13417" s="11"/>
      <c r="O13417" s="11"/>
      <c r="P13417" s="11"/>
    </row>
    <row r="13418" spans="8:16" x14ac:dyDescent="0.25">
      <c r="H13418" s="12"/>
      <c r="I13418" s="12"/>
      <c r="J13418" s="12"/>
      <c r="K13418" s="12"/>
      <c r="L13418" s="12"/>
      <c r="M13418" s="11"/>
      <c r="N13418" s="11"/>
      <c r="O13418" s="11"/>
      <c r="P13418" s="11"/>
    </row>
    <row r="13419" spans="8:16" x14ac:dyDescent="0.25">
      <c r="H13419" s="12"/>
      <c r="I13419" s="12"/>
      <c r="J13419" s="12"/>
      <c r="K13419" s="12"/>
      <c r="L13419" s="12"/>
      <c r="M13419" s="11"/>
      <c r="N13419" s="11"/>
      <c r="O13419" s="11"/>
      <c r="P13419" s="11"/>
    </row>
    <row r="13420" spans="8:16" x14ac:dyDescent="0.25">
      <c r="H13420" s="12"/>
      <c r="I13420" s="12"/>
      <c r="J13420" s="12"/>
      <c r="K13420" s="12"/>
      <c r="L13420" s="12"/>
      <c r="M13420" s="11"/>
      <c r="N13420" s="11"/>
      <c r="O13420" s="11"/>
      <c r="P13420" s="11"/>
    </row>
    <row r="13421" spans="8:16" x14ac:dyDescent="0.25">
      <c r="H13421" s="12"/>
      <c r="I13421" s="12"/>
      <c r="J13421" s="12"/>
      <c r="K13421" s="12"/>
      <c r="L13421" s="12"/>
      <c r="M13421" s="11"/>
      <c r="N13421" s="11"/>
      <c r="O13421" s="11"/>
      <c r="P13421" s="11"/>
    </row>
    <row r="13422" spans="8:16" x14ac:dyDescent="0.25">
      <c r="H13422" s="12"/>
      <c r="I13422" s="12"/>
      <c r="J13422" s="12"/>
      <c r="K13422" s="12"/>
      <c r="L13422" s="12"/>
      <c r="M13422" s="11"/>
      <c r="N13422" s="11"/>
      <c r="O13422" s="11"/>
      <c r="P13422" s="11"/>
    </row>
    <row r="13423" spans="8:16" x14ac:dyDescent="0.25">
      <c r="H13423" s="12"/>
      <c r="I13423" s="12"/>
      <c r="J13423" s="12"/>
      <c r="K13423" s="12"/>
      <c r="L13423" s="12"/>
      <c r="M13423" s="11"/>
      <c r="N13423" s="11"/>
      <c r="O13423" s="11"/>
      <c r="P13423" s="11"/>
    </row>
    <row r="13424" spans="8:16" x14ac:dyDescent="0.25">
      <c r="H13424" s="12"/>
      <c r="I13424" s="12"/>
      <c r="J13424" s="12"/>
      <c r="K13424" s="12"/>
      <c r="L13424" s="12"/>
      <c r="M13424" s="11"/>
      <c r="N13424" s="11"/>
      <c r="O13424" s="11"/>
      <c r="P13424" s="11"/>
    </row>
    <row r="13425" spans="8:16" x14ac:dyDescent="0.25">
      <c r="H13425" s="12"/>
      <c r="I13425" s="12"/>
      <c r="J13425" s="12"/>
      <c r="K13425" s="12"/>
      <c r="L13425" s="12"/>
      <c r="M13425" s="11"/>
      <c r="N13425" s="11"/>
      <c r="O13425" s="11"/>
      <c r="P13425" s="11"/>
    </row>
    <row r="13426" spans="8:16" x14ac:dyDescent="0.25">
      <c r="H13426" s="12"/>
      <c r="I13426" s="12"/>
      <c r="J13426" s="12"/>
      <c r="K13426" s="12"/>
      <c r="L13426" s="12"/>
      <c r="M13426" s="11"/>
      <c r="N13426" s="11"/>
      <c r="O13426" s="11"/>
      <c r="P13426" s="11"/>
    </row>
    <row r="13427" spans="8:16" x14ac:dyDescent="0.25">
      <c r="H13427" s="12"/>
      <c r="I13427" s="12"/>
      <c r="J13427" s="12"/>
      <c r="K13427" s="12"/>
      <c r="L13427" s="12"/>
      <c r="M13427" s="11"/>
      <c r="N13427" s="11"/>
      <c r="O13427" s="11"/>
      <c r="P13427" s="11"/>
    </row>
    <row r="13428" spans="8:16" x14ac:dyDescent="0.25">
      <c r="H13428" s="12"/>
      <c r="I13428" s="12"/>
      <c r="J13428" s="12"/>
      <c r="K13428" s="12"/>
      <c r="L13428" s="12"/>
      <c r="M13428" s="11"/>
      <c r="N13428" s="11"/>
      <c r="O13428" s="11"/>
      <c r="P13428" s="11"/>
    </row>
    <row r="13429" spans="8:16" x14ac:dyDescent="0.25">
      <c r="H13429" s="12"/>
      <c r="I13429" s="12"/>
      <c r="J13429" s="12"/>
      <c r="K13429" s="12"/>
      <c r="L13429" s="12"/>
      <c r="M13429" s="11"/>
      <c r="N13429" s="11"/>
      <c r="O13429" s="11"/>
      <c r="P13429" s="11"/>
    </row>
    <row r="13430" spans="8:16" x14ac:dyDescent="0.25">
      <c r="H13430" s="12"/>
      <c r="I13430" s="12"/>
      <c r="J13430" s="12"/>
      <c r="K13430" s="12"/>
      <c r="L13430" s="12"/>
      <c r="M13430" s="11"/>
      <c r="N13430" s="11"/>
      <c r="O13430" s="11"/>
      <c r="P13430" s="11"/>
    </row>
    <row r="13431" spans="8:16" x14ac:dyDescent="0.25">
      <c r="H13431" s="12"/>
      <c r="I13431" s="12"/>
      <c r="J13431" s="12"/>
      <c r="K13431" s="12"/>
      <c r="L13431" s="12"/>
      <c r="M13431" s="11"/>
      <c r="N13431" s="11"/>
      <c r="O13431" s="11"/>
      <c r="P13431" s="11"/>
    </row>
    <row r="13432" spans="8:16" x14ac:dyDescent="0.25">
      <c r="H13432" s="12"/>
      <c r="I13432" s="12"/>
      <c r="J13432" s="12"/>
      <c r="K13432" s="12"/>
      <c r="L13432" s="12"/>
      <c r="M13432" s="11"/>
      <c r="N13432" s="11"/>
      <c r="O13432" s="11"/>
      <c r="P13432" s="11"/>
    </row>
    <row r="13433" spans="8:16" x14ac:dyDescent="0.25">
      <c r="H13433" s="12"/>
      <c r="I13433" s="12"/>
      <c r="J13433" s="12"/>
      <c r="K13433" s="12"/>
      <c r="L13433" s="12"/>
      <c r="M13433" s="11"/>
      <c r="N13433" s="11"/>
      <c r="O13433" s="11"/>
      <c r="P13433" s="11"/>
    </row>
    <row r="13434" spans="8:16" x14ac:dyDescent="0.25">
      <c r="H13434" s="12"/>
      <c r="I13434" s="12"/>
      <c r="J13434" s="12"/>
      <c r="K13434" s="12"/>
      <c r="L13434" s="12"/>
      <c r="M13434" s="11"/>
      <c r="N13434" s="11"/>
      <c r="O13434" s="11"/>
      <c r="P13434" s="11"/>
    </row>
    <row r="13435" spans="8:16" x14ac:dyDescent="0.25">
      <c r="H13435" s="12"/>
      <c r="I13435" s="12"/>
      <c r="J13435" s="12"/>
      <c r="K13435" s="12"/>
      <c r="L13435" s="12"/>
      <c r="M13435" s="11"/>
      <c r="N13435" s="11"/>
      <c r="O13435" s="11"/>
      <c r="P13435" s="11"/>
    </row>
    <row r="13436" spans="8:16" x14ac:dyDescent="0.25">
      <c r="H13436" s="12"/>
      <c r="I13436" s="12"/>
      <c r="J13436" s="12"/>
      <c r="K13436" s="12"/>
      <c r="L13436" s="12"/>
      <c r="M13436" s="11"/>
      <c r="N13436" s="11"/>
      <c r="O13436" s="11"/>
      <c r="P13436" s="11"/>
    </row>
    <row r="13437" spans="8:16" x14ac:dyDescent="0.25">
      <c r="H13437" s="12"/>
      <c r="I13437" s="12"/>
      <c r="J13437" s="12"/>
      <c r="K13437" s="12"/>
      <c r="L13437" s="12"/>
      <c r="M13437" s="11"/>
      <c r="N13437" s="11"/>
      <c r="O13437" s="11"/>
      <c r="P13437" s="11"/>
    </row>
    <row r="13438" spans="8:16" x14ac:dyDescent="0.25">
      <c r="H13438" s="12"/>
      <c r="I13438" s="12"/>
      <c r="J13438" s="12"/>
      <c r="K13438" s="12"/>
      <c r="L13438" s="12"/>
      <c r="M13438" s="11"/>
      <c r="N13438" s="11"/>
      <c r="O13438" s="11"/>
      <c r="P13438" s="11"/>
    </row>
    <row r="13439" spans="8:16" x14ac:dyDescent="0.25">
      <c r="H13439" s="12"/>
      <c r="I13439" s="12"/>
      <c r="J13439" s="12"/>
      <c r="K13439" s="12"/>
      <c r="L13439" s="12"/>
      <c r="M13439" s="11"/>
      <c r="N13439" s="11"/>
      <c r="O13439" s="11"/>
      <c r="P13439" s="11"/>
    </row>
    <row r="13440" spans="8:16" x14ac:dyDescent="0.25">
      <c r="H13440" s="12"/>
      <c r="I13440" s="12"/>
      <c r="J13440" s="12"/>
      <c r="K13440" s="12"/>
      <c r="L13440" s="12"/>
      <c r="M13440" s="11"/>
      <c r="N13440" s="11"/>
      <c r="O13440" s="11"/>
      <c r="P13440" s="11"/>
    </row>
    <row r="13441" spans="8:16" x14ac:dyDescent="0.25">
      <c r="H13441" s="12"/>
      <c r="I13441" s="12"/>
      <c r="J13441" s="12"/>
      <c r="K13441" s="12"/>
      <c r="L13441" s="12"/>
      <c r="M13441" s="11"/>
      <c r="N13441" s="11"/>
      <c r="O13441" s="11"/>
      <c r="P13441" s="11"/>
    </row>
    <row r="13442" spans="8:16" x14ac:dyDescent="0.25">
      <c r="H13442" s="12"/>
      <c r="I13442" s="12"/>
      <c r="J13442" s="12"/>
      <c r="K13442" s="12"/>
      <c r="L13442" s="12"/>
      <c r="M13442" s="11"/>
      <c r="N13442" s="11"/>
      <c r="O13442" s="11"/>
      <c r="P13442" s="11"/>
    </row>
    <row r="13443" spans="8:16" x14ac:dyDescent="0.25">
      <c r="H13443" s="12"/>
      <c r="I13443" s="12"/>
      <c r="J13443" s="12"/>
      <c r="K13443" s="12"/>
      <c r="L13443" s="12"/>
      <c r="M13443" s="11"/>
      <c r="N13443" s="11"/>
      <c r="O13443" s="11"/>
      <c r="P13443" s="11"/>
    </row>
    <row r="13444" spans="8:16" x14ac:dyDescent="0.25">
      <c r="H13444" s="12"/>
      <c r="I13444" s="12"/>
      <c r="J13444" s="12"/>
      <c r="K13444" s="12"/>
      <c r="L13444" s="12"/>
      <c r="M13444" s="11"/>
      <c r="N13444" s="11"/>
      <c r="O13444" s="11"/>
      <c r="P13444" s="11"/>
    </row>
    <row r="13445" spans="8:16" x14ac:dyDescent="0.25">
      <c r="H13445" s="12"/>
      <c r="I13445" s="12"/>
      <c r="J13445" s="12"/>
      <c r="K13445" s="12"/>
      <c r="L13445" s="12"/>
      <c r="M13445" s="11"/>
      <c r="N13445" s="11"/>
      <c r="O13445" s="11"/>
      <c r="P13445" s="11"/>
    </row>
    <row r="13446" spans="8:16" x14ac:dyDescent="0.25">
      <c r="H13446" s="12"/>
      <c r="I13446" s="12"/>
      <c r="J13446" s="12"/>
      <c r="K13446" s="12"/>
      <c r="L13446" s="12"/>
      <c r="M13446" s="11"/>
      <c r="N13446" s="11"/>
      <c r="O13446" s="11"/>
      <c r="P13446" s="11"/>
    </row>
    <row r="13447" spans="8:16" x14ac:dyDescent="0.25">
      <c r="H13447" s="12"/>
      <c r="I13447" s="12"/>
      <c r="J13447" s="12"/>
      <c r="K13447" s="12"/>
      <c r="L13447" s="12"/>
      <c r="M13447" s="11"/>
      <c r="N13447" s="11"/>
      <c r="O13447" s="11"/>
      <c r="P13447" s="11"/>
    </row>
    <row r="13448" spans="8:16" x14ac:dyDescent="0.25">
      <c r="H13448" s="12"/>
      <c r="I13448" s="12"/>
      <c r="J13448" s="12"/>
      <c r="K13448" s="12"/>
      <c r="L13448" s="12"/>
      <c r="M13448" s="11"/>
      <c r="N13448" s="11"/>
      <c r="O13448" s="11"/>
      <c r="P13448" s="11"/>
    </row>
    <row r="13449" spans="8:16" x14ac:dyDescent="0.25">
      <c r="H13449" s="12"/>
      <c r="I13449" s="12"/>
      <c r="J13449" s="12"/>
      <c r="K13449" s="12"/>
      <c r="L13449" s="12"/>
      <c r="M13449" s="11"/>
      <c r="N13449" s="11"/>
      <c r="O13449" s="11"/>
      <c r="P13449" s="11"/>
    </row>
    <row r="13450" spans="8:16" x14ac:dyDescent="0.25">
      <c r="H13450" s="12"/>
      <c r="I13450" s="12"/>
      <c r="J13450" s="12"/>
      <c r="K13450" s="12"/>
      <c r="L13450" s="12"/>
      <c r="M13450" s="11"/>
      <c r="N13450" s="11"/>
      <c r="O13450" s="11"/>
      <c r="P13450" s="11"/>
    </row>
    <row r="13451" spans="8:16" x14ac:dyDescent="0.25">
      <c r="H13451" s="12"/>
      <c r="I13451" s="12"/>
      <c r="J13451" s="12"/>
      <c r="K13451" s="12"/>
      <c r="L13451" s="12"/>
      <c r="M13451" s="11"/>
      <c r="N13451" s="11"/>
      <c r="O13451" s="11"/>
      <c r="P13451" s="11"/>
    </row>
    <row r="13452" spans="8:16" x14ac:dyDescent="0.25">
      <c r="H13452" s="12"/>
      <c r="I13452" s="12"/>
      <c r="J13452" s="12"/>
      <c r="K13452" s="12"/>
      <c r="L13452" s="12"/>
      <c r="M13452" s="11"/>
      <c r="N13452" s="11"/>
      <c r="O13452" s="11"/>
      <c r="P13452" s="11"/>
    </row>
    <row r="13453" spans="8:16" x14ac:dyDescent="0.25">
      <c r="H13453" s="12"/>
      <c r="I13453" s="12"/>
      <c r="J13453" s="12"/>
      <c r="K13453" s="12"/>
      <c r="L13453" s="12"/>
      <c r="M13453" s="11"/>
      <c r="N13453" s="11"/>
      <c r="O13453" s="11"/>
      <c r="P13453" s="11"/>
    </row>
    <row r="13454" spans="8:16" x14ac:dyDescent="0.25">
      <c r="H13454" s="12"/>
      <c r="I13454" s="12"/>
      <c r="J13454" s="12"/>
      <c r="K13454" s="12"/>
      <c r="L13454" s="12"/>
      <c r="M13454" s="11"/>
      <c r="N13454" s="11"/>
      <c r="O13454" s="11"/>
      <c r="P13454" s="11"/>
    </row>
    <row r="13455" spans="8:16" x14ac:dyDescent="0.25">
      <c r="H13455" s="12"/>
      <c r="I13455" s="12"/>
      <c r="J13455" s="12"/>
      <c r="K13455" s="12"/>
      <c r="L13455" s="12"/>
      <c r="M13455" s="11"/>
      <c r="N13455" s="11"/>
      <c r="O13455" s="11"/>
      <c r="P13455" s="11"/>
    </row>
    <row r="13456" spans="8:16" x14ac:dyDescent="0.25">
      <c r="H13456" s="12"/>
      <c r="I13456" s="12"/>
      <c r="J13456" s="12"/>
      <c r="K13456" s="12"/>
      <c r="L13456" s="12"/>
      <c r="M13456" s="11"/>
      <c r="N13456" s="11"/>
      <c r="O13456" s="11"/>
      <c r="P13456" s="11"/>
    </row>
    <row r="13457" spans="8:16" x14ac:dyDescent="0.25">
      <c r="H13457" s="12"/>
      <c r="I13457" s="12"/>
      <c r="J13457" s="12"/>
      <c r="K13457" s="12"/>
      <c r="L13457" s="12"/>
      <c r="M13457" s="11"/>
      <c r="N13457" s="11"/>
      <c r="O13457" s="11"/>
      <c r="P13457" s="11"/>
    </row>
    <row r="13458" spans="8:16" x14ac:dyDescent="0.25">
      <c r="H13458" s="12"/>
      <c r="I13458" s="12"/>
      <c r="J13458" s="12"/>
      <c r="K13458" s="12"/>
      <c r="L13458" s="12"/>
      <c r="M13458" s="11"/>
      <c r="N13458" s="11"/>
      <c r="O13458" s="11"/>
      <c r="P13458" s="11"/>
    </row>
    <row r="13459" spans="8:16" x14ac:dyDescent="0.25">
      <c r="H13459" s="12"/>
      <c r="I13459" s="12"/>
      <c r="J13459" s="12"/>
      <c r="K13459" s="12"/>
      <c r="L13459" s="12"/>
      <c r="M13459" s="11"/>
      <c r="N13459" s="11"/>
      <c r="O13459" s="11"/>
      <c r="P13459" s="11"/>
    </row>
    <row r="13460" spans="8:16" x14ac:dyDescent="0.25">
      <c r="H13460" s="12"/>
      <c r="I13460" s="12"/>
      <c r="J13460" s="12"/>
      <c r="K13460" s="12"/>
      <c r="L13460" s="12"/>
      <c r="M13460" s="11"/>
      <c r="N13460" s="11"/>
      <c r="O13460" s="11"/>
      <c r="P13460" s="11"/>
    </row>
    <row r="13461" spans="8:16" x14ac:dyDescent="0.25">
      <c r="H13461" s="12"/>
      <c r="I13461" s="12"/>
      <c r="J13461" s="12"/>
      <c r="K13461" s="12"/>
      <c r="L13461" s="12"/>
      <c r="M13461" s="11"/>
      <c r="N13461" s="11"/>
      <c r="O13461" s="11"/>
      <c r="P13461" s="11"/>
    </row>
    <row r="13462" spans="8:16" x14ac:dyDescent="0.25">
      <c r="H13462" s="12"/>
      <c r="I13462" s="12"/>
      <c r="J13462" s="12"/>
      <c r="K13462" s="12"/>
      <c r="L13462" s="12"/>
      <c r="M13462" s="11"/>
      <c r="N13462" s="11"/>
      <c r="O13462" s="11"/>
      <c r="P13462" s="11"/>
    </row>
    <row r="13463" spans="8:16" x14ac:dyDescent="0.25">
      <c r="H13463" s="12"/>
      <c r="I13463" s="12"/>
      <c r="J13463" s="12"/>
      <c r="K13463" s="12"/>
      <c r="L13463" s="12"/>
      <c r="M13463" s="11"/>
      <c r="N13463" s="11"/>
      <c r="O13463" s="11"/>
      <c r="P13463" s="11"/>
    </row>
    <row r="13464" spans="8:16" x14ac:dyDescent="0.25">
      <c r="H13464" s="12"/>
      <c r="I13464" s="12"/>
      <c r="J13464" s="12"/>
      <c r="K13464" s="12"/>
      <c r="L13464" s="12"/>
      <c r="M13464" s="11"/>
      <c r="N13464" s="11"/>
      <c r="O13464" s="11"/>
      <c r="P13464" s="11"/>
    </row>
    <row r="13465" spans="8:16" x14ac:dyDescent="0.25">
      <c r="H13465" s="12"/>
      <c r="I13465" s="12"/>
      <c r="J13465" s="12"/>
      <c r="K13465" s="12"/>
      <c r="L13465" s="12"/>
      <c r="M13465" s="11"/>
      <c r="N13465" s="11"/>
      <c r="O13465" s="11"/>
      <c r="P13465" s="11"/>
    </row>
    <row r="13466" spans="8:16" x14ac:dyDescent="0.25">
      <c r="H13466" s="12"/>
      <c r="I13466" s="12"/>
      <c r="J13466" s="12"/>
      <c r="K13466" s="12"/>
      <c r="L13466" s="12"/>
      <c r="M13466" s="11"/>
      <c r="N13466" s="11"/>
      <c r="O13466" s="11"/>
      <c r="P13466" s="11"/>
    </row>
    <row r="13467" spans="8:16" x14ac:dyDescent="0.25">
      <c r="H13467" s="12"/>
      <c r="I13467" s="12"/>
      <c r="J13467" s="12"/>
      <c r="K13467" s="12"/>
      <c r="L13467" s="12"/>
      <c r="M13467" s="11"/>
      <c r="N13467" s="11"/>
      <c r="O13467" s="11"/>
      <c r="P13467" s="11"/>
    </row>
    <row r="13468" spans="8:16" x14ac:dyDescent="0.25">
      <c r="H13468" s="12"/>
      <c r="I13468" s="12"/>
      <c r="J13468" s="12"/>
      <c r="K13468" s="12"/>
      <c r="L13468" s="12"/>
      <c r="M13468" s="11"/>
      <c r="N13468" s="11"/>
      <c r="O13468" s="11"/>
      <c r="P13468" s="11"/>
    </row>
    <row r="13469" spans="8:16" x14ac:dyDescent="0.25">
      <c r="H13469" s="12"/>
      <c r="I13469" s="12"/>
      <c r="J13469" s="12"/>
      <c r="K13469" s="12"/>
      <c r="L13469" s="12"/>
      <c r="M13469" s="11"/>
      <c r="N13469" s="11"/>
      <c r="O13469" s="11"/>
      <c r="P13469" s="11"/>
    </row>
    <row r="13470" spans="8:16" x14ac:dyDescent="0.25">
      <c r="H13470" s="12"/>
      <c r="I13470" s="12"/>
      <c r="J13470" s="12"/>
      <c r="K13470" s="12"/>
      <c r="L13470" s="12"/>
      <c r="M13470" s="11"/>
      <c r="N13470" s="11"/>
      <c r="O13470" s="11"/>
      <c r="P13470" s="11"/>
    </row>
    <row r="13471" spans="8:16" x14ac:dyDescent="0.25">
      <c r="H13471" s="12"/>
      <c r="I13471" s="12"/>
      <c r="J13471" s="12"/>
      <c r="K13471" s="12"/>
      <c r="L13471" s="12"/>
      <c r="M13471" s="11"/>
      <c r="N13471" s="11"/>
      <c r="O13471" s="11"/>
      <c r="P13471" s="11"/>
    </row>
    <row r="13472" spans="8:16" x14ac:dyDescent="0.25">
      <c r="H13472" s="12"/>
      <c r="I13472" s="12"/>
      <c r="J13472" s="12"/>
      <c r="K13472" s="12"/>
      <c r="L13472" s="12"/>
      <c r="M13472" s="11"/>
      <c r="N13472" s="11"/>
      <c r="O13472" s="11"/>
      <c r="P13472" s="11"/>
    </row>
    <row r="13473" spans="8:16" x14ac:dyDescent="0.25">
      <c r="H13473" s="12"/>
      <c r="I13473" s="12"/>
      <c r="J13473" s="12"/>
      <c r="K13473" s="12"/>
      <c r="L13473" s="12"/>
      <c r="M13473" s="11"/>
      <c r="N13473" s="11"/>
      <c r="O13473" s="11"/>
      <c r="P13473" s="11"/>
    </row>
    <row r="13474" spans="8:16" x14ac:dyDescent="0.25">
      <c r="H13474" s="12"/>
      <c r="I13474" s="12"/>
      <c r="J13474" s="12"/>
      <c r="K13474" s="12"/>
      <c r="L13474" s="12"/>
      <c r="M13474" s="11"/>
      <c r="N13474" s="11"/>
      <c r="O13474" s="11"/>
      <c r="P13474" s="11"/>
    </row>
    <row r="13475" spans="8:16" x14ac:dyDescent="0.25">
      <c r="H13475" s="12"/>
      <c r="I13475" s="12"/>
      <c r="J13475" s="12"/>
      <c r="K13475" s="12"/>
      <c r="L13475" s="12"/>
      <c r="M13475" s="11"/>
      <c r="N13475" s="11"/>
      <c r="O13475" s="11"/>
      <c r="P13475" s="11"/>
    </row>
    <row r="13476" spans="8:16" x14ac:dyDescent="0.25">
      <c r="H13476" s="12"/>
      <c r="I13476" s="12"/>
      <c r="J13476" s="12"/>
      <c r="K13476" s="12"/>
      <c r="L13476" s="12"/>
      <c r="M13476" s="11"/>
      <c r="N13476" s="11"/>
      <c r="O13476" s="11"/>
      <c r="P13476" s="11"/>
    </row>
    <row r="13477" spans="8:16" x14ac:dyDescent="0.25">
      <c r="H13477" s="12"/>
      <c r="I13477" s="12"/>
      <c r="J13477" s="12"/>
      <c r="K13477" s="12"/>
      <c r="L13477" s="12"/>
      <c r="M13477" s="11"/>
      <c r="N13477" s="11"/>
      <c r="O13477" s="11"/>
      <c r="P13477" s="11"/>
    </row>
    <row r="13478" spans="8:16" x14ac:dyDescent="0.25">
      <c r="H13478" s="12"/>
      <c r="I13478" s="12"/>
      <c r="J13478" s="12"/>
      <c r="K13478" s="12"/>
      <c r="L13478" s="12"/>
      <c r="M13478" s="11"/>
      <c r="N13478" s="11"/>
      <c r="O13478" s="11"/>
      <c r="P13478" s="11"/>
    </row>
    <row r="13479" spans="8:16" x14ac:dyDescent="0.25">
      <c r="H13479" s="12"/>
      <c r="I13479" s="12"/>
      <c r="J13479" s="12"/>
      <c r="K13479" s="12"/>
      <c r="L13479" s="12"/>
      <c r="M13479" s="11"/>
      <c r="N13479" s="11"/>
      <c r="O13479" s="11"/>
      <c r="P13479" s="11"/>
    </row>
    <row r="13480" spans="8:16" x14ac:dyDescent="0.25">
      <c r="H13480" s="12"/>
      <c r="I13480" s="12"/>
      <c r="J13480" s="12"/>
      <c r="K13480" s="12"/>
      <c r="L13480" s="12"/>
      <c r="M13480" s="11"/>
      <c r="N13480" s="11"/>
      <c r="O13480" s="11"/>
      <c r="P13480" s="11"/>
    </row>
    <row r="13481" spans="8:16" x14ac:dyDescent="0.25">
      <c r="H13481" s="12"/>
      <c r="I13481" s="12"/>
      <c r="J13481" s="12"/>
      <c r="K13481" s="12"/>
      <c r="L13481" s="12"/>
      <c r="M13481" s="11"/>
      <c r="N13481" s="11"/>
      <c r="O13481" s="11"/>
      <c r="P13481" s="11"/>
    </row>
    <row r="13482" spans="8:16" x14ac:dyDescent="0.25">
      <c r="H13482" s="12"/>
      <c r="I13482" s="12"/>
      <c r="J13482" s="12"/>
      <c r="K13482" s="12"/>
      <c r="L13482" s="12"/>
      <c r="M13482" s="11"/>
      <c r="N13482" s="11"/>
      <c r="O13482" s="11"/>
      <c r="P13482" s="11"/>
    </row>
    <row r="13483" spans="8:16" x14ac:dyDescent="0.25">
      <c r="H13483" s="12"/>
      <c r="I13483" s="12"/>
      <c r="J13483" s="12"/>
      <c r="K13483" s="12"/>
      <c r="L13483" s="12"/>
      <c r="M13483" s="11"/>
      <c r="N13483" s="11"/>
      <c r="O13483" s="11"/>
      <c r="P13483" s="11"/>
    </row>
    <row r="13484" spans="8:16" x14ac:dyDescent="0.25">
      <c r="H13484" s="12"/>
      <c r="I13484" s="12"/>
      <c r="J13484" s="12"/>
      <c r="K13484" s="12"/>
      <c r="L13484" s="12"/>
      <c r="M13484" s="11"/>
      <c r="N13484" s="11"/>
      <c r="O13484" s="11"/>
      <c r="P13484" s="11"/>
    </row>
    <row r="13485" spans="8:16" x14ac:dyDescent="0.25">
      <c r="H13485" s="12"/>
      <c r="I13485" s="12"/>
      <c r="J13485" s="12"/>
      <c r="K13485" s="12"/>
      <c r="L13485" s="12"/>
      <c r="M13485" s="11"/>
      <c r="N13485" s="11"/>
      <c r="O13485" s="11"/>
      <c r="P13485" s="11"/>
    </row>
    <row r="13486" spans="8:16" x14ac:dyDescent="0.25">
      <c r="H13486" s="12"/>
      <c r="I13486" s="12"/>
      <c r="J13486" s="12"/>
      <c r="K13486" s="12"/>
      <c r="L13486" s="12"/>
      <c r="M13486" s="11"/>
      <c r="N13486" s="11"/>
      <c r="O13486" s="11"/>
      <c r="P13486" s="11"/>
    </row>
    <row r="13487" spans="8:16" x14ac:dyDescent="0.25">
      <c r="H13487" s="12"/>
      <c r="I13487" s="12"/>
      <c r="J13487" s="12"/>
      <c r="K13487" s="12"/>
      <c r="L13487" s="12"/>
      <c r="M13487" s="11"/>
      <c r="N13487" s="11"/>
      <c r="O13487" s="11"/>
      <c r="P13487" s="11"/>
    </row>
    <row r="13488" spans="8:16" x14ac:dyDescent="0.25">
      <c r="H13488" s="12"/>
      <c r="I13488" s="12"/>
      <c r="J13488" s="12"/>
      <c r="K13488" s="12"/>
      <c r="L13488" s="12"/>
      <c r="M13488" s="11"/>
      <c r="N13488" s="11"/>
      <c r="O13488" s="11"/>
      <c r="P13488" s="11"/>
    </row>
    <row r="13489" spans="8:16" x14ac:dyDescent="0.25">
      <c r="H13489" s="12"/>
      <c r="I13489" s="12"/>
      <c r="J13489" s="12"/>
      <c r="K13489" s="12"/>
      <c r="L13489" s="12"/>
      <c r="M13489" s="11"/>
      <c r="N13489" s="11"/>
      <c r="O13489" s="11"/>
      <c r="P13489" s="11"/>
    </row>
    <row r="13490" spans="8:16" x14ac:dyDescent="0.25">
      <c r="H13490" s="12"/>
      <c r="I13490" s="12"/>
      <c r="J13490" s="12"/>
      <c r="K13490" s="12"/>
      <c r="L13490" s="12"/>
      <c r="M13490" s="11"/>
      <c r="N13490" s="11"/>
      <c r="O13490" s="11"/>
      <c r="P13490" s="11"/>
    </row>
    <row r="13491" spans="8:16" x14ac:dyDescent="0.25">
      <c r="H13491" s="12"/>
      <c r="I13491" s="12"/>
      <c r="J13491" s="12"/>
      <c r="K13491" s="12"/>
      <c r="L13491" s="12"/>
      <c r="M13491" s="11"/>
      <c r="N13491" s="11"/>
      <c r="O13491" s="11"/>
      <c r="P13491" s="11"/>
    </row>
    <row r="13492" spans="8:16" x14ac:dyDescent="0.25">
      <c r="H13492" s="12"/>
      <c r="I13492" s="12"/>
      <c r="J13492" s="12"/>
      <c r="K13492" s="12"/>
      <c r="L13492" s="12"/>
      <c r="M13492" s="11"/>
      <c r="N13492" s="11"/>
      <c r="O13492" s="11"/>
      <c r="P13492" s="11"/>
    </row>
    <row r="13493" spans="8:16" x14ac:dyDescent="0.25">
      <c r="H13493" s="12"/>
      <c r="I13493" s="12"/>
      <c r="J13493" s="12"/>
      <c r="K13493" s="12"/>
      <c r="L13493" s="12"/>
      <c r="M13493" s="11"/>
      <c r="N13493" s="11"/>
      <c r="O13493" s="11"/>
      <c r="P13493" s="11"/>
    </row>
    <row r="13494" spans="8:16" x14ac:dyDescent="0.25">
      <c r="H13494" s="12"/>
      <c r="I13494" s="12"/>
      <c r="J13494" s="12"/>
      <c r="K13494" s="12"/>
      <c r="L13494" s="12"/>
      <c r="M13494" s="11"/>
      <c r="N13494" s="11"/>
      <c r="O13494" s="11"/>
      <c r="P13494" s="11"/>
    </row>
    <row r="13495" spans="8:16" x14ac:dyDescent="0.25">
      <c r="H13495" s="12"/>
      <c r="I13495" s="12"/>
      <c r="J13495" s="12"/>
      <c r="K13495" s="12"/>
      <c r="L13495" s="12"/>
      <c r="M13495" s="11"/>
      <c r="N13495" s="11"/>
      <c r="O13495" s="11"/>
      <c r="P13495" s="11"/>
    </row>
    <row r="13496" spans="8:16" x14ac:dyDescent="0.25">
      <c r="H13496" s="12"/>
      <c r="I13496" s="12"/>
      <c r="J13496" s="12"/>
      <c r="K13496" s="12"/>
      <c r="L13496" s="12"/>
      <c r="M13496" s="11"/>
      <c r="N13496" s="11"/>
      <c r="O13496" s="11"/>
      <c r="P13496" s="11"/>
    </row>
    <row r="13497" spans="8:16" x14ac:dyDescent="0.25">
      <c r="H13497" s="12"/>
      <c r="I13497" s="12"/>
      <c r="J13497" s="12"/>
      <c r="K13497" s="12"/>
      <c r="L13497" s="12"/>
      <c r="M13497" s="11"/>
      <c r="N13497" s="11"/>
      <c r="O13497" s="11"/>
      <c r="P13497" s="11"/>
    </row>
    <row r="13498" spans="8:16" x14ac:dyDescent="0.25">
      <c r="H13498" s="12"/>
      <c r="I13498" s="12"/>
      <c r="J13498" s="12"/>
      <c r="K13498" s="12"/>
      <c r="L13498" s="12"/>
      <c r="M13498" s="11"/>
      <c r="N13498" s="11"/>
      <c r="O13498" s="11"/>
      <c r="P13498" s="11"/>
    </row>
    <row r="13499" spans="8:16" x14ac:dyDescent="0.25">
      <c r="H13499" s="12"/>
      <c r="I13499" s="12"/>
      <c r="J13499" s="12"/>
      <c r="K13499" s="12"/>
      <c r="L13499" s="12"/>
      <c r="M13499" s="11"/>
      <c r="N13499" s="11"/>
      <c r="O13499" s="11"/>
      <c r="P13499" s="11"/>
    </row>
    <row r="13500" spans="8:16" x14ac:dyDescent="0.25">
      <c r="H13500" s="12"/>
      <c r="I13500" s="12"/>
      <c r="J13500" s="12"/>
      <c r="K13500" s="12"/>
      <c r="L13500" s="12"/>
      <c r="M13500" s="11"/>
      <c r="N13500" s="11"/>
      <c r="O13500" s="11"/>
      <c r="P13500" s="11"/>
    </row>
    <row r="13501" spans="8:16" x14ac:dyDescent="0.25">
      <c r="H13501" s="12"/>
      <c r="I13501" s="12"/>
      <c r="J13501" s="12"/>
      <c r="K13501" s="12"/>
      <c r="L13501" s="12"/>
      <c r="M13501" s="11"/>
      <c r="N13501" s="11"/>
      <c r="O13501" s="11"/>
      <c r="P13501" s="11"/>
    </row>
    <row r="13502" spans="8:16" x14ac:dyDescent="0.25">
      <c r="H13502" s="12"/>
      <c r="I13502" s="12"/>
      <c r="J13502" s="12"/>
      <c r="K13502" s="12"/>
      <c r="L13502" s="12"/>
      <c r="M13502" s="11"/>
      <c r="N13502" s="11"/>
      <c r="O13502" s="11"/>
      <c r="P13502" s="11"/>
    </row>
    <row r="13503" spans="8:16" x14ac:dyDescent="0.25">
      <c r="H13503" s="12"/>
      <c r="I13503" s="12"/>
      <c r="J13503" s="12"/>
      <c r="K13503" s="12"/>
      <c r="L13503" s="12"/>
      <c r="M13503" s="11"/>
      <c r="N13503" s="11"/>
      <c r="O13503" s="11"/>
      <c r="P13503" s="11"/>
    </row>
    <row r="13504" spans="8:16" x14ac:dyDescent="0.25">
      <c r="H13504" s="12"/>
      <c r="I13504" s="12"/>
      <c r="J13504" s="12"/>
      <c r="K13504" s="12"/>
      <c r="L13504" s="12"/>
      <c r="M13504" s="11"/>
      <c r="N13504" s="11"/>
      <c r="O13504" s="11"/>
      <c r="P13504" s="11"/>
    </row>
    <row r="13505" spans="8:16" x14ac:dyDescent="0.25">
      <c r="H13505" s="12"/>
      <c r="I13505" s="12"/>
      <c r="J13505" s="12"/>
      <c r="K13505" s="12"/>
      <c r="L13505" s="12"/>
      <c r="M13505" s="11"/>
      <c r="N13505" s="11"/>
      <c r="O13505" s="11"/>
      <c r="P13505" s="11"/>
    </row>
    <row r="13506" spans="8:16" x14ac:dyDescent="0.25">
      <c r="H13506" s="12"/>
      <c r="I13506" s="12"/>
      <c r="J13506" s="12"/>
      <c r="K13506" s="12"/>
      <c r="L13506" s="12"/>
      <c r="M13506" s="11"/>
      <c r="N13506" s="11"/>
      <c r="O13506" s="11"/>
      <c r="P13506" s="11"/>
    </row>
    <row r="13507" spans="8:16" x14ac:dyDescent="0.25">
      <c r="H13507" s="12"/>
      <c r="I13507" s="12"/>
      <c r="J13507" s="12"/>
      <c r="K13507" s="12"/>
      <c r="L13507" s="12"/>
      <c r="M13507" s="11"/>
      <c r="N13507" s="11"/>
      <c r="O13507" s="11"/>
      <c r="P13507" s="11"/>
    </row>
    <row r="13508" spans="8:16" x14ac:dyDescent="0.25">
      <c r="H13508" s="12"/>
      <c r="I13508" s="12"/>
      <c r="J13508" s="12"/>
      <c r="K13508" s="12"/>
      <c r="L13508" s="12"/>
      <c r="M13508" s="11"/>
      <c r="N13508" s="11"/>
      <c r="O13508" s="11"/>
      <c r="P13508" s="11"/>
    </row>
    <row r="13509" spans="8:16" x14ac:dyDescent="0.25">
      <c r="H13509" s="12"/>
      <c r="I13509" s="12"/>
      <c r="J13509" s="12"/>
      <c r="K13509" s="12"/>
      <c r="L13509" s="12"/>
      <c r="M13509" s="11"/>
      <c r="N13509" s="11"/>
      <c r="O13509" s="11"/>
      <c r="P13509" s="11"/>
    </row>
    <row r="13510" spans="8:16" x14ac:dyDescent="0.25">
      <c r="H13510" s="12"/>
      <c r="I13510" s="12"/>
      <c r="J13510" s="12"/>
      <c r="K13510" s="12"/>
      <c r="L13510" s="12"/>
      <c r="M13510" s="11"/>
      <c r="N13510" s="11"/>
      <c r="O13510" s="11"/>
      <c r="P13510" s="11"/>
    </row>
    <row r="13511" spans="8:16" x14ac:dyDescent="0.25">
      <c r="H13511" s="12"/>
      <c r="I13511" s="12"/>
      <c r="J13511" s="12"/>
      <c r="K13511" s="12"/>
      <c r="L13511" s="12"/>
      <c r="M13511" s="11"/>
      <c r="N13511" s="11"/>
      <c r="O13511" s="11"/>
      <c r="P13511" s="11"/>
    </row>
    <row r="13512" spans="8:16" x14ac:dyDescent="0.25">
      <c r="H13512" s="12"/>
      <c r="I13512" s="12"/>
      <c r="J13512" s="12"/>
      <c r="K13512" s="12"/>
      <c r="L13512" s="12"/>
      <c r="M13512" s="11"/>
      <c r="N13512" s="11"/>
      <c r="O13512" s="11"/>
      <c r="P13512" s="11"/>
    </row>
    <row r="13513" spans="8:16" x14ac:dyDescent="0.25">
      <c r="H13513" s="12"/>
      <c r="I13513" s="12"/>
      <c r="J13513" s="12"/>
      <c r="K13513" s="12"/>
      <c r="L13513" s="12"/>
      <c r="M13513" s="11"/>
      <c r="N13513" s="11"/>
      <c r="O13513" s="11"/>
      <c r="P13513" s="11"/>
    </row>
    <row r="13514" spans="8:16" x14ac:dyDescent="0.25">
      <c r="H13514" s="12"/>
      <c r="I13514" s="12"/>
      <c r="J13514" s="12"/>
      <c r="K13514" s="12"/>
      <c r="L13514" s="12"/>
      <c r="M13514" s="11"/>
      <c r="N13514" s="11"/>
      <c r="O13514" s="11"/>
      <c r="P13514" s="11"/>
    </row>
    <row r="13515" spans="8:16" x14ac:dyDescent="0.25">
      <c r="H13515" s="12"/>
      <c r="I13515" s="12"/>
      <c r="J13515" s="12"/>
      <c r="K13515" s="12"/>
      <c r="L13515" s="12"/>
      <c r="M13515" s="11"/>
      <c r="N13515" s="11"/>
      <c r="O13515" s="11"/>
      <c r="P13515" s="11"/>
    </row>
    <row r="13516" spans="8:16" x14ac:dyDescent="0.25">
      <c r="H13516" s="12"/>
      <c r="I13516" s="12"/>
      <c r="J13516" s="12"/>
      <c r="K13516" s="12"/>
      <c r="L13516" s="12"/>
      <c r="M13516" s="11"/>
      <c r="N13516" s="11"/>
      <c r="O13516" s="11"/>
      <c r="P13516" s="11"/>
    </row>
    <row r="13517" spans="8:16" x14ac:dyDescent="0.25">
      <c r="H13517" s="12"/>
      <c r="I13517" s="12"/>
      <c r="J13517" s="12"/>
      <c r="K13517" s="12"/>
      <c r="L13517" s="12"/>
      <c r="M13517" s="11"/>
      <c r="N13517" s="11"/>
      <c r="O13517" s="11"/>
      <c r="P13517" s="11"/>
    </row>
    <row r="13518" spans="8:16" x14ac:dyDescent="0.25">
      <c r="H13518" s="12"/>
      <c r="I13518" s="12"/>
      <c r="J13518" s="12"/>
      <c r="K13518" s="12"/>
      <c r="L13518" s="12"/>
      <c r="M13518" s="11"/>
      <c r="N13518" s="11"/>
      <c r="O13518" s="11"/>
      <c r="P13518" s="11"/>
    </row>
    <row r="13519" spans="8:16" x14ac:dyDescent="0.25">
      <c r="H13519" s="12"/>
      <c r="I13519" s="12"/>
      <c r="J13519" s="12"/>
      <c r="K13519" s="12"/>
      <c r="L13519" s="12"/>
      <c r="M13519" s="11"/>
      <c r="N13519" s="11"/>
      <c r="O13519" s="11"/>
      <c r="P13519" s="11"/>
    </row>
    <row r="13520" spans="8:16" x14ac:dyDescent="0.25">
      <c r="H13520" s="12"/>
      <c r="I13520" s="12"/>
      <c r="J13520" s="12"/>
      <c r="K13520" s="12"/>
      <c r="L13520" s="12"/>
      <c r="M13520" s="11"/>
      <c r="N13520" s="11"/>
      <c r="O13520" s="11"/>
      <c r="P13520" s="11"/>
    </row>
    <row r="13521" spans="8:16" x14ac:dyDescent="0.25">
      <c r="H13521" s="12"/>
      <c r="I13521" s="12"/>
      <c r="J13521" s="12"/>
      <c r="K13521" s="12"/>
      <c r="L13521" s="12"/>
      <c r="M13521" s="11"/>
      <c r="N13521" s="11"/>
      <c r="O13521" s="11"/>
      <c r="P13521" s="11"/>
    </row>
    <row r="13522" spans="8:16" x14ac:dyDescent="0.25">
      <c r="H13522" s="12"/>
      <c r="I13522" s="12"/>
      <c r="J13522" s="12"/>
      <c r="K13522" s="12"/>
      <c r="L13522" s="12"/>
      <c r="M13522" s="11"/>
      <c r="N13522" s="11"/>
      <c r="O13522" s="11"/>
      <c r="P13522" s="11"/>
    </row>
    <row r="13523" spans="8:16" x14ac:dyDescent="0.25">
      <c r="H13523" s="12"/>
      <c r="I13523" s="12"/>
      <c r="J13523" s="12"/>
      <c r="K13523" s="12"/>
      <c r="L13523" s="12"/>
      <c r="M13523" s="11"/>
      <c r="N13523" s="11"/>
      <c r="O13523" s="11"/>
      <c r="P13523" s="11"/>
    </row>
    <row r="13524" spans="8:16" x14ac:dyDescent="0.25">
      <c r="H13524" s="12"/>
      <c r="I13524" s="12"/>
      <c r="J13524" s="12"/>
      <c r="K13524" s="12"/>
      <c r="L13524" s="12"/>
      <c r="M13524" s="11"/>
      <c r="N13524" s="11"/>
      <c r="O13524" s="11"/>
      <c r="P13524" s="11"/>
    </row>
    <row r="13525" spans="8:16" x14ac:dyDescent="0.25">
      <c r="H13525" s="12"/>
      <c r="I13525" s="12"/>
      <c r="J13525" s="12"/>
      <c r="K13525" s="12"/>
      <c r="L13525" s="12"/>
      <c r="M13525" s="11"/>
      <c r="N13525" s="11"/>
      <c r="O13525" s="11"/>
      <c r="P13525" s="11"/>
    </row>
    <row r="13526" spans="8:16" x14ac:dyDescent="0.25">
      <c r="H13526" s="12"/>
      <c r="I13526" s="12"/>
      <c r="J13526" s="12"/>
      <c r="K13526" s="12"/>
      <c r="L13526" s="12"/>
      <c r="M13526" s="11"/>
      <c r="N13526" s="11"/>
      <c r="O13526" s="11"/>
      <c r="P13526" s="11"/>
    </row>
    <row r="13527" spans="8:16" x14ac:dyDescent="0.25">
      <c r="H13527" s="12"/>
      <c r="I13527" s="12"/>
      <c r="J13527" s="12"/>
      <c r="K13527" s="12"/>
      <c r="L13527" s="12"/>
      <c r="M13527" s="11"/>
      <c r="N13527" s="11"/>
      <c r="O13527" s="11"/>
      <c r="P13527" s="11"/>
    </row>
    <row r="13528" spans="8:16" x14ac:dyDescent="0.25">
      <c r="H13528" s="12"/>
      <c r="I13528" s="12"/>
      <c r="J13528" s="12"/>
      <c r="K13528" s="12"/>
      <c r="L13528" s="12"/>
      <c r="M13528" s="11"/>
      <c r="N13528" s="11"/>
      <c r="O13528" s="11"/>
      <c r="P13528" s="11"/>
    </row>
    <row r="13529" spans="8:16" x14ac:dyDescent="0.25">
      <c r="H13529" s="12"/>
      <c r="I13529" s="12"/>
      <c r="J13529" s="12"/>
      <c r="K13529" s="12"/>
      <c r="L13529" s="12"/>
      <c r="M13529" s="11"/>
      <c r="N13529" s="11"/>
      <c r="O13529" s="11"/>
      <c r="P13529" s="11"/>
    </row>
    <row r="13530" spans="8:16" x14ac:dyDescent="0.25">
      <c r="H13530" s="12"/>
      <c r="I13530" s="12"/>
      <c r="J13530" s="12"/>
      <c r="K13530" s="12"/>
      <c r="L13530" s="12"/>
      <c r="M13530" s="11"/>
      <c r="N13530" s="11"/>
      <c r="O13530" s="11"/>
      <c r="P13530" s="11"/>
    </row>
    <row r="13531" spans="8:16" x14ac:dyDescent="0.25">
      <c r="H13531" s="12"/>
      <c r="I13531" s="12"/>
      <c r="J13531" s="12"/>
      <c r="K13531" s="12"/>
      <c r="L13531" s="12"/>
      <c r="M13531" s="11"/>
      <c r="N13531" s="11"/>
      <c r="O13531" s="11"/>
      <c r="P13531" s="11"/>
    </row>
    <row r="13532" spans="8:16" x14ac:dyDescent="0.25">
      <c r="H13532" s="12"/>
      <c r="I13532" s="12"/>
      <c r="J13532" s="12"/>
      <c r="K13532" s="12"/>
      <c r="L13532" s="12"/>
      <c r="M13532" s="11"/>
      <c r="N13532" s="11"/>
      <c r="O13532" s="11"/>
      <c r="P13532" s="11"/>
    </row>
    <row r="13533" spans="8:16" x14ac:dyDescent="0.25">
      <c r="H13533" s="12"/>
      <c r="I13533" s="12"/>
      <c r="J13533" s="12"/>
      <c r="K13533" s="12"/>
      <c r="L13533" s="12"/>
      <c r="M13533" s="11"/>
      <c r="N13533" s="11"/>
      <c r="O13533" s="11"/>
      <c r="P13533" s="11"/>
    </row>
    <row r="13534" spans="8:16" x14ac:dyDescent="0.25">
      <c r="H13534" s="12"/>
      <c r="I13534" s="12"/>
      <c r="J13534" s="12"/>
      <c r="K13534" s="12"/>
      <c r="L13534" s="12"/>
      <c r="M13534" s="11"/>
      <c r="N13534" s="11"/>
      <c r="O13534" s="11"/>
      <c r="P13534" s="11"/>
    </row>
    <row r="13535" spans="8:16" x14ac:dyDescent="0.25">
      <c r="H13535" s="12"/>
      <c r="I13535" s="12"/>
      <c r="J13535" s="12"/>
      <c r="K13535" s="12"/>
      <c r="L13535" s="12"/>
      <c r="M13535" s="11"/>
      <c r="N13535" s="11"/>
      <c r="O13535" s="11"/>
      <c r="P13535" s="11"/>
    </row>
    <row r="13536" spans="8:16" x14ac:dyDescent="0.25">
      <c r="H13536" s="12"/>
      <c r="I13536" s="12"/>
      <c r="J13536" s="12"/>
      <c r="K13536" s="12"/>
      <c r="L13536" s="12"/>
      <c r="M13536" s="11"/>
      <c r="N13536" s="11"/>
      <c r="O13536" s="11"/>
      <c r="P13536" s="11"/>
    </row>
    <row r="13537" spans="8:16" x14ac:dyDescent="0.25">
      <c r="H13537" s="12"/>
      <c r="I13537" s="12"/>
      <c r="J13537" s="12"/>
      <c r="K13537" s="12"/>
      <c r="L13537" s="12"/>
      <c r="M13537" s="11"/>
      <c r="N13537" s="11"/>
      <c r="O13537" s="11"/>
      <c r="P13537" s="11"/>
    </row>
    <row r="13538" spans="8:16" x14ac:dyDescent="0.25">
      <c r="H13538" s="12"/>
      <c r="I13538" s="12"/>
      <c r="J13538" s="12"/>
      <c r="K13538" s="12"/>
      <c r="L13538" s="12"/>
      <c r="M13538" s="11"/>
      <c r="N13538" s="11"/>
      <c r="O13538" s="11"/>
      <c r="P13538" s="11"/>
    </row>
    <row r="13539" spans="8:16" x14ac:dyDescent="0.25">
      <c r="H13539" s="12"/>
      <c r="I13539" s="12"/>
      <c r="J13539" s="12"/>
      <c r="K13539" s="12"/>
      <c r="L13539" s="12"/>
      <c r="M13539" s="11"/>
      <c r="N13539" s="11"/>
      <c r="O13539" s="11"/>
      <c r="P13539" s="11"/>
    </row>
    <row r="13540" spans="8:16" x14ac:dyDescent="0.25">
      <c r="H13540" s="12"/>
      <c r="I13540" s="12"/>
      <c r="J13540" s="12"/>
      <c r="K13540" s="12"/>
      <c r="L13540" s="12"/>
      <c r="M13540" s="11"/>
      <c r="N13540" s="11"/>
      <c r="O13540" s="11"/>
      <c r="P13540" s="11"/>
    </row>
    <row r="13541" spans="8:16" x14ac:dyDescent="0.25">
      <c r="H13541" s="12"/>
      <c r="I13541" s="12"/>
      <c r="J13541" s="12"/>
      <c r="K13541" s="12"/>
      <c r="L13541" s="12"/>
      <c r="M13541" s="11"/>
      <c r="N13541" s="11"/>
      <c r="O13541" s="11"/>
      <c r="P13541" s="11"/>
    </row>
    <row r="13542" spans="8:16" x14ac:dyDescent="0.25">
      <c r="H13542" s="12"/>
      <c r="I13542" s="12"/>
      <c r="J13542" s="12"/>
      <c r="K13542" s="12"/>
      <c r="L13542" s="12"/>
      <c r="M13542" s="11"/>
      <c r="N13542" s="11"/>
      <c r="O13542" s="11"/>
      <c r="P13542" s="11"/>
    </row>
    <row r="13543" spans="8:16" x14ac:dyDescent="0.25">
      <c r="H13543" s="12"/>
      <c r="I13543" s="12"/>
      <c r="J13543" s="12"/>
      <c r="K13543" s="12"/>
      <c r="L13543" s="12"/>
      <c r="M13543" s="11"/>
      <c r="N13543" s="11"/>
      <c r="O13543" s="11"/>
      <c r="P13543" s="11"/>
    </row>
    <row r="13544" spans="8:16" x14ac:dyDescent="0.25">
      <c r="H13544" s="12"/>
      <c r="I13544" s="12"/>
      <c r="J13544" s="12"/>
      <c r="K13544" s="12"/>
      <c r="L13544" s="12"/>
      <c r="M13544" s="11"/>
      <c r="N13544" s="11"/>
      <c r="O13544" s="11"/>
      <c r="P13544" s="11"/>
    </row>
    <row r="13545" spans="8:16" x14ac:dyDescent="0.25">
      <c r="H13545" s="12"/>
      <c r="I13545" s="12"/>
      <c r="J13545" s="12"/>
      <c r="K13545" s="12"/>
      <c r="L13545" s="12"/>
      <c r="M13545" s="11"/>
      <c r="N13545" s="11"/>
      <c r="O13545" s="11"/>
      <c r="P13545" s="11"/>
    </row>
    <row r="13546" spans="8:16" x14ac:dyDescent="0.25">
      <c r="H13546" s="12"/>
      <c r="I13546" s="12"/>
      <c r="J13546" s="12"/>
      <c r="K13546" s="12"/>
      <c r="L13546" s="12"/>
      <c r="M13546" s="11"/>
      <c r="N13546" s="11"/>
      <c r="O13546" s="11"/>
      <c r="P13546" s="11"/>
    </row>
    <row r="13547" spans="8:16" x14ac:dyDescent="0.25">
      <c r="H13547" s="12"/>
      <c r="I13547" s="12"/>
      <c r="J13547" s="12"/>
      <c r="K13547" s="12"/>
      <c r="L13547" s="12"/>
      <c r="M13547" s="11"/>
      <c r="N13547" s="11"/>
      <c r="O13547" s="11"/>
      <c r="P13547" s="11"/>
    </row>
    <row r="13548" spans="8:16" x14ac:dyDescent="0.25">
      <c r="H13548" s="12"/>
      <c r="I13548" s="12"/>
      <c r="J13548" s="12"/>
      <c r="K13548" s="12"/>
      <c r="L13548" s="12"/>
      <c r="M13548" s="11"/>
      <c r="N13548" s="11"/>
      <c r="O13548" s="11"/>
      <c r="P13548" s="11"/>
    </row>
    <row r="13549" spans="8:16" x14ac:dyDescent="0.25">
      <c r="H13549" s="12"/>
      <c r="I13549" s="12"/>
      <c r="J13549" s="12"/>
      <c r="K13549" s="12"/>
      <c r="L13549" s="12"/>
      <c r="M13549" s="11"/>
      <c r="N13549" s="11"/>
      <c r="O13549" s="11"/>
      <c r="P13549" s="11"/>
    </row>
    <row r="13550" spans="8:16" x14ac:dyDescent="0.25">
      <c r="H13550" s="12"/>
      <c r="I13550" s="12"/>
      <c r="J13550" s="12"/>
      <c r="K13550" s="12"/>
      <c r="L13550" s="12"/>
      <c r="M13550" s="11"/>
      <c r="N13550" s="11"/>
      <c r="O13550" s="11"/>
      <c r="P13550" s="11"/>
    </row>
    <row r="13551" spans="8:16" x14ac:dyDescent="0.25">
      <c r="H13551" s="12"/>
      <c r="I13551" s="12"/>
      <c r="J13551" s="12"/>
      <c r="K13551" s="12"/>
      <c r="L13551" s="12"/>
      <c r="M13551" s="11"/>
      <c r="N13551" s="11"/>
      <c r="O13551" s="11"/>
      <c r="P13551" s="11"/>
    </row>
    <row r="13552" spans="8:16" x14ac:dyDescent="0.25">
      <c r="H13552" s="12"/>
      <c r="I13552" s="12"/>
      <c r="J13552" s="12"/>
      <c r="K13552" s="12"/>
      <c r="L13552" s="12"/>
      <c r="M13552" s="11"/>
      <c r="N13552" s="11"/>
      <c r="O13552" s="11"/>
      <c r="P13552" s="11"/>
    </row>
    <row r="13553" spans="8:16" x14ac:dyDescent="0.25">
      <c r="H13553" s="12"/>
      <c r="I13553" s="12"/>
      <c r="J13553" s="12"/>
      <c r="K13553" s="12"/>
      <c r="L13553" s="12"/>
      <c r="M13553" s="11"/>
      <c r="N13553" s="11"/>
      <c r="O13553" s="11"/>
      <c r="P13553" s="11"/>
    </row>
    <row r="13554" spans="8:16" x14ac:dyDescent="0.25">
      <c r="H13554" s="12"/>
      <c r="I13554" s="12"/>
      <c r="J13554" s="12"/>
      <c r="K13554" s="12"/>
      <c r="L13554" s="12"/>
      <c r="M13554" s="11"/>
      <c r="N13554" s="11"/>
      <c r="O13554" s="11"/>
      <c r="P13554" s="11"/>
    </row>
    <row r="13555" spans="8:16" x14ac:dyDescent="0.25">
      <c r="H13555" s="12"/>
      <c r="I13555" s="12"/>
      <c r="J13555" s="12"/>
      <c r="K13555" s="12"/>
      <c r="L13555" s="12"/>
      <c r="M13555" s="11"/>
      <c r="N13555" s="11"/>
      <c r="O13555" s="11"/>
      <c r="P13555" s="11"/>
    </row>
    <row r="13556" spans="8:16" x14ac:dyDescent="0.25">
      <c r="H13556" s="12"/>
      <c r="I13556" s="12"/>
      <c r="J13556" s="12"/>
      <c r="K13556" s="12"/>
      <c r="L13556" s="12"/>
      <c r="M13556" s="11"/>
      <c r="N13556" s="11"/>
      <c r="O13556" s="11"/>
      <c r="P13556" s="11"/>
    </row>
    <row r="13557" spans="8:16" x14ac:dyDescent="0.25">
      <c r="H13557" s="12"/>
      <c r="I13557" s="12"/>
      <c r="J13557" s="12"/>
      <c r="K13557" s="12"/>
      <c r="L13557" s="12"/>
      <c r="M13557" s="11"/>
      <c r="N13557" s="11"/>
      <c r="O13557" s="11"/>
      <c r="P13557" s="11"/>
    </row>
    <row r="13558" spans="8:16" x14ac:dyDescent="0.25">
      <c r="H13558" s="12"/>
      <c r="I13558" s="12"/>
      <c r="J13558" s="12"/>
      <c r="K13558" s="12"/>
      <c r="L13558" s="12"/>
      <c r="M13558" s="11"/>
      <c r="N13558" s="11"/>
      <c r="O13558" s="11"/>
      <c r="P13558" s="11"/>
    </row>
    <row r="13559" spans="8:16" x14ac:dyDescent="0.25">
      <c r="H13559" s="12"/>
      <c r="I13559" s="12"/>
      <c r="J13559" s="12"/>
      <c r="K13559" s="12"/>
      <c r="L13559" s="12"/>
      <c r="M13559" s="11"/>
      <c r="N13559" s="11"/>
      <c r="O13559" s="11"/>
      <c r="P13559" s="11"/>
    </row>
    <row r="13560" spans="8:16" x14ac:dyDescent="0.25">
      <c r="H13560" s="12"/>
      <c r="I13560" s="12"/>
      <c r="J13560" s="12"/>
      <c r="K13560" s="12"/>
      <c r="L13560" s="12"/>
      <c r="M13560" s="11"/>
      <c r="N13560" s="11"/>
      <c r="O13560" s="11"/>
      <c r="P13560" s="11"/>
    </row>
    <row r="13561" spans="8:16" x14ac:dyDescent="0.25">
      <c r="H13561" s="12"/>
      <c r="I13561" s="12"/>
      <c r="J13561" s="12"/>
      <c r="K13561" s="12"/>
      <c r="L13561" s="12"/>
      <c r="M13561" s="11"/>
      <c r="N13561" s="11"/>
      <c r="O13561" s="11"/>
      <c r="P13561" s="11"/>
    </row>
    <row r="13562" spans="8:16" x14ac:dyDescent="0.25">
      <c r="H13562" s="12"/>
      <c r="I13562" s="12"/>
      <c r="J13562" s="12"/>
      <c r="K13562" s="12"/>
      <c r="L13562" s="12"/>
      <c r="M13562" s="11"/>
      <c r="N13562" s="11"/>
      <c r="O13562" s="11"/>
      <c r="P13562" s="11"/>
    </row>
    <row r="13563" spans="8:16" x14ac:dyDescent="0.25">
      <c r="H13563" s="12"/>
      <c r="I13563" s="12"/>
      <c r="J13563" s="12"/>
      <c r="K13563" s="12"/>
      <c r="L13563" s="12"/>
      <c r="M13563" s="11"/>
      <c r="N13563" s="11"/>
      <c r="O13563" s="11"/>
      <c r="P13563" s="11"/>
    </row>
    <row r="13564" spans="8:16" x14ac:dyDescent="0.25">
      <c r="H13564" s="12"/>
      <c r="I13564" s="12"/>
      <c r="J13564" s="12"/>
      <c r="K13564" s="12"/>
      <c r="L13564" s="12"/>
      <c r="M13564" s="11"/>
      <c r="N13564" s="11"/>
      <c r="O13564" s="11"/>
      <c r="P13564" s="11"/>
    </row>
    <row r="13565" spans="8:16" x14ac:dyDescent="0.25">
      <c r="H13565" s="12"/>
      <c r="I13565" s="12"/>
      <c r="J13565" s="12"/>
      <c r="K13565" s="12"/>
      <c r="L13565" s="12"/>
      <c r="M13565" s="11"/>
      <c r="N13565" s="11"/>
      <c r="O13565" s="11"/>
      <c r="P13565" s="11"/>
    </row>
    <row r="13566" spans="8:16" x14ac:dyDescent="0.25">
      <c r="H13566" s="12"/>
      <c r="I13566" s="12"/>
      <c r="J13566" s="12"/>
      <c r="K13566" s="12"/>
      <c r="L13566" s="12"/>
      <c r="M13566" s="11"/>
      <c r="N13566" s="11"/>
      <c r="O13566" s="11"/>
      <c r="P13566" s="11"/>
    </row>
    <row r="13567" spans="8:16" x14ac:dyDescent="0.25">
      <c r="H13567" s="12"/>
      <c r="I13567" s="12"/>
      <c r="J13567" s="12"/>
      <c r="K13567" s="12"/>
      <c r="L13567" s="12"/>
      <c r="M13567" s="11"/>
      <c r="N13567" s="11"/>
      <c r="O13567" s="11"/>
      <c r="P13567" s="11"/>
    </row>
    <row r="13568" spans="8:16" x14ac:dyDescent="0.25">
      <c r="H13568" s="12"/>
      <c r="I13568" s="12"/>
      <c r="J13568" s="12"/>
      <c r="K13568" s="12"/>
      <c r="L13568" s="12"/>
      <c r="M13568" s="11"/>
      <c r="N13568" s="11"/>
      <c r="O13568" s="11"/>
      <c r="P13568" s="11"/>
    </row>
    <row r="13569" spans="8:16" x14ac:dyDescent="0.25">
      <c r="H13569" s="12"/>
      <c r="I13569" s="12"/>
      <c r="J13569" s="12"/>
      <c r="K13569" s="12"/>
      <c r="L13569" s="12"/>
      <c r="M13569" s="11"/>
      <c r="N13569" s="11"/>
      <c r="O13569" s="11"/>
      <c r="P13569" s="11"/>
    </row>
    <row r="13570" spans="8:16" x14ac:dyDescent="0.25">
      <c r="H13570" s="12"/>
      <c r="I13570" s="12"/>
      <c r="J13570" s="12"/>
      <c r="K13570" s="12"/>
      <c r="L13570" s="12"/>
      <c r="M13570" s="11"/>
      <c r="N13570" s="11"/>
      <c r="O13570" s="11"/>
      <c r="P13570" s="11"/>
    </row>
    <row r="13571" spans="8:16" x14ac:dyDescent="0.25">
      <c r="H13571" s="12"/>
      <c r="I13571" s="12"/>
      <c r="J13571" s="12"/>
      <c r="K13571" s="12"/>
      <c r="L13571" s="12"/>
      <c r="M13571" s="11"/>
      <c r="N13571" s="11"/>
      <c r="O13571" s="11"/>
      <c r="P13571" s="11"/>
    </row>
    <row r="13572" spans="8:16" x14ac:dyDescent="0.25">
      <c r="H13572" s="12"/>
      <c r="I13572" s="12"/>
      <c r="J13572" s="12"/>
      <c r="K13572" s="12"/>
      <c r="L13572" s="12"/>
      <c r="M13572" s="11"/>
      <c r="N13572" s="11"/>
      <c r="O13572" s="11"/>
      <c r="P13572" s="11"/>
    </row>
    <row r="13573" spans="8:16" x14ac:dyDescent="0.25">
      <c r="H13573" s="12"/>
      <c r="I13573" s="12"/>
      <c r="J13573" s="12"/>
      <c r="K13573" s="12"/>
      <c r="L13573" s="12"/>
      <c r="M13573" s="11"/>
      <c r="N13573" s="11"/>
      <c r="O13573" s="11"/>
      <c r="P13573" s="11"/>
    </row>
    <row r="13574" spans="8:16" x14ac:dyDescent="0.25">
      <c r="H13574" s="12"/>
      <c r="I13574" s="12"/>
      <c r="J13574" s="12"/>
      <c r="K13574" s="12"/>
      <c r="L13574" s="12"/>
      <c r="M13574" s="11"/>
      <c r="N13574" s="11"/>
      <c r="O13574" s="11"/>
      <c r="P13574" s="11"/>
    </row>
    <row r="13575" spans="8:16" x14ac:dyDescent="0.25">
      <c r="H13575" s="12"/>
      <c r="I13575" s="12"/>
      <c r="J13575" s="12"/>
      <c r="K13575" s="12"/>
      <c r="L13575" s="12"/>
      <c r="M13575" s="11"/>
      <c r="N13575" s="11"/>
      <c r="O13575" s="11"/>
      <c r="P13575" s="11"/>
    </row>
    <row r="13576" spans="8:16" x14ac:dyDescent="0.25">
      <c r="H13576" s="12"/>
      <c r="I13576" s="12"/>
      <c r="J13576" s="12"/>
      <c r="K13576" s="12"/>
      <c r="L13576" s="12"/>
      <c r="M13576" s="11"/>
      <c r="N13576" s="11"/>
      <c r="O13576" s="11"/>
      <c r="P13576" s="11"/>
    </row>
    <row r="13577" spans="8:16" x14ac:dyDescent="0.25">
      <c r="H13577" s="12"/>
      <c r="I13577" s="12"/>
      <c r="J13577" s="12"/>
      <c r="K13577" s="12"/>
      <c r="L13577" s="12"/>
      <c r="M13577" s="11"/>
      <c r="N13577" s="11"/>
      <c r="O13577" s="11"/>
      <c r="P13577" s="11"/>
    </row>
    <row r="13578" spans="8:16" x14ac:dyDescent="0.25">
      <c r="H13578" s="12"/>
      <c r="I13578" s="12"/>
      <c r="J13578" s="12"/>
      <c r="K13578" s="12"/>
      <c r="L13578" s="12"/>
      <c r="M13578" s="11"/>
      <c r="N13578" s="11"/>
      <c r="O13578" s="11"/>
      <c r="P13578" s="11"/>
    </row>
    <row r="13579" spans="8:16" x14ac:dyDescent="0.25">
      <c r="H13579" s="12"/>
      <c r="I13579" s="12"/>
      <c r="J13579" s="12"/>
      <c r="K13579" s="12"/>
      <c r="L13579" s="12"/>
      <c r="M13579" s="11"/>
      <c r="N13579" s="11"/>
      <c r="O13579" s="11"/>
      <c r="P13579" s="11"/>
    </row>
    <row r="13580" spans="8:16" x14ac:dyDescent="0.25">
      <c r="H13580" s="12"/>
      <c r="I13580" s="12"/>
      <c r="J13580" s="12"/>
      <c r="K13580" s="12"/>
      <c r="L13580" s="12"/>
      <c r="M13580" s="11"/>
      <c r="N13580" s="11"/>
      <c r="O13580" s="11"/>
      <c r="P13580" s="11"/>
    </row>
    <row r="13581" spans="8:16" x14ac:dyDescent="0.25">
      <c r="H13581" s="12"/>
      <c r="I13581" s="12"/>
      <c r="J13581" s="12"/>
      <c r="K13581" s="12"/>
      <c r="L13581" s="12"/>
      <c r="M13581" s="11"/>
      <c r="N13581" s="11"/>
      <c r="O13581" s="11"/>
      <c r="P13581" s="11"/>
    </row>
    <row r="13582" spans="8:16" x14ac:dyDescent="0.25">
      <c r="H13582" s="12"/>
      <c r="I13582" s="12"/>
      <c r="J13582" s="12"/>
      <c r="K13582" s="12"/>
      <c r="L13582" s="12"/>
      <c r="M13582" s="11"/>
      <c r="N13582" s="11"/>
      <c r="O13582" s="11"/>
      <c r="P13582" s="11"/>
    </row>
    <row r="13583" spans="8:16" x14ac:dyDescent="0.25">
      <c r="H13583" s="12"/>
      <c r="I13583" s="12"/>
      <c r="J13583" s="12"/>
      <c r="K13583" s="12"/>
      <c r="L13583" s="12"/>
      <c r="M13583" s="11"/>
      <c r="N13583" s="11"/>
      <c r="O13583" s="11"/>
      <c r="P13583" s="11"/>
    </row>
    <row r="13584" spans="8:16" x14ac:dyDescent="0.25">
      <c r="H13584" s="12"/>
      <c r="I13584" s="12"/>
      <c r="J13584" s="12"/>
      <c r="K13584" s="12"/>
      <c r="L13584" s="12"/>
      <c r="M13584" s="11"/>
      <c r="N13584" s="11"/>
      <c r="O13584" s="11"/>
      <c r="P13584" s="11"/>
    </row>
    <row r="13585" spans="8:16" x14ac:dyDescent="0.25">
      <c r="H13585" s="12"/>
      <c r="I13585" s="12"/>
      <c r="J13585" s="12"/>
      <c r="K13585" s="12"/>
      <c r="L13585" s="12"/>
      <c r="M13585" s="11"/>
      <c r="N13585" s="11"/>
      <c r="O13585" s="11"/>
      <c r="P13585" s="11"/>
    </row>
    <row r="13586" spans="8:16" x14ac:dyDescent="0.25">
      <c r="H13586" s="12"/>
      <c r="I13586" s="12"/>
      <c r="J13586" s="12"/>
      <c r="K13586" s="12"/>
      <c r="L13586" s="12"/>
      <c r="M13586" s="11"/>
      <c r="N13586" s="11"/>
      <c r="O13586" s="11"/>
      <c r="P13586" s="11"/>
    </row>
    <row r="13587" spans="8:16" x14ac:dyDescent="0.25">
      <c r="H13587" s="12"/>
      <c r="I13587" s="12"/>
      <c r="J13587" s="12"/>
      <c r="K13587" s="12"/>
      <c r="L13587" s="12"/>
      <c r="M13587" s="11"/>
      <c r="N13587" s="11"/>
      <c r="O13587" s="11"/>
      <c r="P13587" s="11"/>
    </row>
    <row r="13588" spans="8:16" x14ac:dyDescent="0.25">
      <c r="H13588" s="12"/>
      <c r="I13588" s="12"/>
      <c r="J13588" s="12"/>
      <c r="K13588" s="12"/>
      <c r="L13588" s="12"/>
      <c r="M13588" s="11"/>
      <c r="N13588" s="11"/>
      <c r="O13588" s="11"/>
      <c r="P13588" s="11"/>
    </row>
    <row r="13589" spans="8:16" x14ac:dyDescent="0.25">
      <c r="H13589" s="12"/>
      <c r="I13589" s="12"/>
      <c r="J13589" s="12"/>
      <c r="K13589" s="12"/>
      <c r="L13589" s="12"/>
      <c r="M13589" s="11"/>
      <c r="N13589" s="11"/>
      <c r="O13589" s="11"/>
      <c r="P13589" s="11"/>
    </row>
    <row r="13590" spans="8:16" x14ac:dyDescent="0.25">
      <c r="H13590" s="12"/>
      <c r="I13590" s="12"/>
      <c r="J13590" s="12"/>
      <c r="K13590" s="12"/>
      <c r="L13590" s="12"/>
      <c r="M13590" s="11"/>
      <c r="N13590" s="11"/>
      <c r="O13590" s="11"/>
      <c r="P13590" s="11"/>
    </row>
    <row r="13591" spans="8:16" x14ac:dyDescent="0.25">
      <c r="H13591" s="12"/>
      <c r="I13591" s="12"/>
      <c r="J13591" s="12"/>
      <c r="K13591" s="12"/>
      <c r="L13591" s="12"/>
      <c r="M13591" s="11"/>
      <c r="N13591" s="11"/>
      <c r="O13591" s="11"/>
      <c r="P13591" s="11"/>
    </row>
    <row r="13592" spans="8:16" x14ac:dyDescent="0.25">
      <c r="H13592" s="12"/>
      <c r="I13592" s="12"/>
      <c r="J13592" s="12"/>
      <c r="K13592" s="12"/>
      <c r="L13592" s="12"/>
      <c r="M13592" s="11"/>
      <c r="N13592" s="11"/>
      <c r="O13592" s="11"/>
      <c r="P13592" s="11"/>
    </row>
    <row r="13593" spans="8:16" x14ac:dyDescent="0.25">
      <c r="H13593" s="12"/>
      <c r="I13593" s="12"/>
      <c r="J13593" s="12"/>
      <c r="K13593" s="12"/>
      <c r="L13593" s="12"/>
      <c r="M13593" s="11"/>
      <c r="N13593" s="11"/>
      <c r="O13593" s="11"/>
      <c r="P13593" s="11"/>
    </row>
    <row r="13594" spans="8:16" x14ac:dyDescent="0.25">
      <c r="H13594" s="12"/>
      <c r="I13594" s="12"/>
      <c r="J13594" s="12"/>
      <c r="K13594" s="12"/>
      <c r="L13594" s="12"/>
      <c r="M13594" s="11"/>
      <c r="N13594" s="11"/>
      <c r="O13594" s="11"/>
      <c r="P13594" s="11"/>
    </row>
    <row r="13595" spans="8:16" x14ac:dyDescent="0.25">
      <c r="H13595" s="12"/>
      <c r="I13595" s="12"/>
      <c r="J13595" s="12"/>
      <c r="K13595" s="12"/>
      <c r="L13595" s="12"/>
      <c r="M13595" s="11"/>
      <c r="N13595" s="11"/>
      <c r="O13595" s="11"/>
      <c r="P13595" s="11"/>
    </row>
    <row r="13596" spans="8:16" x14ac:dyDescent="0.25">
      <c r="H13596" s="12"/>
      <c r="I13596" s="12"/>
      <c r="J13596" s="12"/>
      <c r="K13596" s="12"/>
      <c r="L13596" s="12"/>
      <c r="M13596" s="11"/>
      <c r="N13596" s="11"/>
      <c r="O13596" s="11"/>
      <c r="P13596" s="11"/>
    </row>
    <row r="13597" spans="8:16" x14ac:dyDescent="0.25">
      <c r="H13597" s="12"/>
      <c r="I13597" s="12"/>
      <c r="J13597" s="12"/>
      <c r="K13597" s="12"/>
      <c r="L13597" s="12"/>
      <c r="M13597" s="11"/>
      <c r="N13597" s="11"/>
      <c r="O13597" s="11"/>
      <c r="P13597" s="11"/>
    </row>
    <row r="13598" spans="8:16" x14ac:dyDescent="0.25">
      <c r="H13598" s="12"/>
      <c r="I13598" s="12"/>
      <c r="J13598" s="12"/>
      <c r="K13598" s="12"/>
      <c r="L13598" s="12"/>
      <c r="M13598" s="11"/>
      <c r="N13598" s="11"/>
      <c r="O13598" s="11"/>
      <c r="P13598" s="11"/>
    </row>
    <row r="13599" spans="8:16" x14ac:dyDescent="0.25">
      <c r="H13599" s="12"/>
      <c r="I13599" s="12"/>
      <c r="J13599" s="12"/>
      <c r="K13599" s="12"/>
      <c r="L13599" s="12"/>
      <c r="M13599" s="11"/>
      <c r="N13599" s="11"/>
      <c r="O13599" s="11"/>
      <c r="P13599" s="11"/>
    </row>
    <row r="13600" spans="8:16" x14ac:dyDescent="0.25">
      <c r="H13600" s="12"/>
      <c r="I13600" s="12"/>
      <c r="J13600" s="12"/>
      <c r="K13600" s="12"/>
      <c r="L13600" s="12"/>
      <c r="M13600" s="11"/>
      <c r="N13600" s="11"/>
      <c r="O13600" s="11"/>
      <c r="P13600" s="11"/>
    </row>
    <row r="13601" spans="8:16" x14ac:dyDescent="0.25">
      <c r="H13601" s="12"/>
      <c r="I13601" s="12"/>
      <c r="J13601" s="12"/>
      <c r="K13601" s="12"/>
      <c r="L13601" s="12"/>
      <c r="M13601" s="11"/>
      <c r="N13601" s="11"/>
      <c r="O13601" s="11"/>
      <c r="P13601" s="11"/>
    </row>
    <row r="13602" spans="8:16" x14ac:dyDescent="0.25">
      <c r="H13602" s="12"/>
      <c r="I13602" s="12"/>
      <c r="J13602" s="12"/>
      <c r="K13602" s="12"/>
      <c r="L13602" s="12"/>
      <c r="M13602" s="11"/>
      <c r="N13602" s="11"/>
      <c r="O13602" s="11"/>
      <c r="P13602" s="11"/>
    </row>
    <row r="13603" spans="8:16" x14ac:dyDescent="0.25">
      <c r="H13603" s="12"/>
      <c r="I13603" s="12"/>
      <c r="J13603" s="12"/>
      <c r="K13603" s="12"/>
      <c r="L13603" s="12"/>
      <c r="M13603" s="11"/>
      <c r="N13603" s="11"/>
      <c r="O13603" s="11"/>
      <c r="P13603" s="11"/>
    </row>
    <row r="13604" spans="8:16" x14ac:dyDescent="0.25">
      <c r="H13604" s="12"/>
      <c r="I13604" s="12"/>
      <c r="J13604" s="12"/>
      <c r="K13604" s="12"/>
      <c r="L13604" s="12"/>
      <c r="M13604" s="11"/>
      <c r="N13604" s="11"/>
      <c r="O13604" s="11"/>
      <c r="P13604" s="11"/>
    </row>
    <row r="13605" spans="8:16" x14ac:dyDescent="0.25">
      <c r="H13605" s="12"/>
      <c r="I13605" s="12"/>
      <c r="J13605" s="12"/>
      <c r="K13605" s="12"/>
      <c r="L13605" s="12"/>
      <c r="M13605" s="11"/>
      <c r="N13605" s="11"/>
      <c r="O13605" s="11"/>
      <c r="P13605" s="11"/>
    </row>
    <row r="13606" spans="8:16" x14ac:dyDescent="0.25">
      <c r="H13606" s="12"/>
      <c r="I13606" s="12"/>
      <c r="J13606" s="12"/>
      <c r="K13606" s="12"/>
      <c r="L13606" s="12"/>
      <c r="M13606" s="11"/>
      <c r="N13606" s="11"/>
      <c r="O13606" s="11"/>
      <c r="P13606" s="11"/>
    </row>
    <row r="13607" spans="8:16" x14ac:dyDescent="0.25">
      <c r="H13607" s="12"/>
      <c r="I13607" s="12"/>
      <c r="J13607" s="12"/>
      <c r="K13607" s="12"/>
      <c r="L13607" s="12"/>
      <c r="M13607" s="11"/>
      <c r="N13607" s="11"/>
      <c r="O13607" s="11"/>
      <c r="P13607" s="11"/>
    </row>
    <row r="13608" spans="8:16" x14ac:dyDescent="0.25">
      <c r="H13608" s="12"/>
      <c r="I13608" s="12"/>
      <c r="J13608" s="12"/>
      <c r="K13608" s="12"/>
      <c r="L13608" s="12"/>
      <c r="M13608" s="11"/>
      <c r="N13608" s="11"/>
      <c r="O13608" s="11"/>
      <c r="P13608" s="11"/>
    </row>
    <row r="13609" spans="8:16" x14ac:dyDescent="0.25">
      <c r="H13609" s="12"/>
      <c r="I13609" s="12"/>
      <c r="J13609" s="12"/>
      <c r="K13609" s="12"/>
      <c r="L13609" s="12"/>
      <c r="M13609" s="11"/>
      <c r="N13609" s="11"/>
      <c r="O13609" s="11"/>
      <c r="P13609" s="11"/>
    </row>
    <row r="13610" spans="8:16" x14ac:dyDescent="0.25">
      <c r="H13610" s="12"/>
      <c r="I13610" s="12"/>
      <c r="J13610" s="12"/>
      <c r="K13610" s="12"/>
      <c r="L13610" s="12"/>
      <c r="M13610" s="11"/>
      <c r="N13610" s="11"/>
      <c r="O13610" s="11"/>
      <c r="P13610" s="11"/>
    </row>
    <row r="13611" spans="8:16" x14ac:dyDescent="0.25">
      <c r="H13611" s="12"/>
      <c r="I13611" s="12"/>
      <c r="J13611" s="12"/>
      <c r="K13611" s="12"/>
      <c r="L13611" s="12"/>
      <c r="M13611" s="11"/>
      <c r="N13611" s="11"/>
      <c r="O13611" s="11"/>
      <c r="P13611" s="11"/>
    </row>
    <row r="13612" spans="8:16" x14ac:dyDescent="0.25">
      <c r="H13612" s="12"/>
      <c r="I13612" s="12"/>
      <c r="J13612" s="12"/>
      <c r="K13612" s="12"/>
      <c r="L13612" s="12"/>
      <c r="M13612" s="11"/>
      <c r="N13612" s="11"/>
      <c r="O13612" s="11"/>
      <c r="P13612" s="11"/>
    </row>
    <row r="13613" spans="8:16" x14ac:dyDescent="0.25">
      <c r="H13613" s="12"/>
      <c r="I13613" s="12"/>
      <c r="J13613" s="12"/>
      <c r="K13613" s="12"/>
      <c r="L13613" s="12"/>
      <c r="M13613" s="11"/>
      <c r="N13613" s="11"/>
      <c r="O13613" s="11"/>
      <c r="P13613" s="11"/>
    </row>
    <row r="13614" spans="8:16" x14ac:dyDescent="0.25">
      <c r="H13614" s="12"/>
      <c r="I13614" s="12"/>
      <c r="J13614" s="12"/>
      <c r="K13614" s="12"/>
      <c r="L13614" s="12"/>
      <c r="M13614" s="11"/>
      <c r="N13614" s="11"/>
      <c r="O13614" s="11"/>
      <c r="P13614" s="11"/>
    </row>
    <row r="13615" spans="8:16" x14ac:dyDescent="0.25">
      <c r="H13615" s="12"/>
      <c r="I13615" s="12"/>
      <c r="J13615" s="12"/>
      <c r="K13615" s="12"/>
      <c r="L13615" s="12"/>
      <c r="M13615" s="11"/>
      <c r="N13615" s="11"/>
      <c r="O13615" s="11"/>
      <c r="P13615" s="11"/>
    </row>
    <row r="13616" spans="8:16" x14ac:dyDescent="0.25">
      <c r="H13616" s="12"/>
      <c r="I13616" s="12"/>
      <c r="J13616" s="12"/>
      <c r="K13616" s="12"/>
      <c r="L13616" s="12"/>
      <c r="M13616" s="11"/>
      <c r="N13616" s="11"/>
      <c r="O13616" s="11"/>
      <c r="P13616" s="11"/>
    </row>
    <row r="13617" spans="8:16" x14ac:dyDescent="0.25">
      <c r="H13617" s="12"/>
      <c r="I13617" s="12"/>
      <c r="J13617" s="12"/>
      <c r="K13617" s="12"/>
      <c r="L13617" s="12"/>
      <c r="M13617" s="11"/>
      <c r="N13617" s="11"/>
      <c r="O13617" s="11"/>
      <c r="P13617" s="11"/>
    </row>
    <row r="13618" spans="8:16" x14ac:dyDescent="0.25">
      <c r="H13618" s="12"/>
      <c r="I13618" s="12"/>
      <c r="J13618" s="12"/>
      <c r="K13618" s="12"/>
      <c r="L13618" s="12"/>
      <c r="M13618" s="11"/>
      <c r="N13618" s="11"/>
      <c r="O13618" s="11"/>
      <c r="P13618" s="11"/>
    </row>
    <row r="13619" spans="8:16" x14ac:dyDescent="0.25">
      <c r="H13619" s="12"/>
      <c r="I13619" s="12"/>
      <c r="J13619" s="12"/>
      <c r="K13619" s="12"/>
      <c r="L13619" s="12"/>
      <c r="M13619" s="11"/>
      <c r="N13619" s="11"/>
      <c r="O13619" s="11"/>
      <c r="P13619" s="11"/>
    </row>
    <row r="13620" spans="8:16" x14ac:dyDescent="0.25">
      <c r="H13620" s="12"/>
      <c r="I13620" s="12"/>
      <c r="J13620" s="12"/>
      <c r="K13620" s="12"/>
      <c r="L13620" s="12"/>
      <c r="M13620" s="11"/>
      <c r="N13620" s="11"/>
      <c r="O13620" s="11"/>
      <c r="P13620" s="11"/>
    </row>
    <row r="13621" spans="8:16" x14ac:dyDescent="0.25">
      <c r="H13621" s="12"/>
      <c r="I13621" s="12"/>
      <c r="J13621" s="12"/>
      <c r="K13621" s="12"/>
      <c r="L13621" s="12"/>
      <c r="M13621" s="11"/>
      <c r="N13621" s="11"/>
      <c r="O13621" s="11"/>
      <c r="P13621" s="11"/>
    </row>
    <row r="13622" spans="8:16" x14ac:dyDescent="0.25">
      <c r="H13622" s="12"/>
      <c r="I13622" s="12"/>
      <c r="J13622" s="12"/>
      <c r="K13622" s="12"/>
      <c r="L13622" s="12"/>
      <c r="M13622" s="11"/>
      <c r="N13622" s="11"/>
      <c r="O13622" s="11"/>
      <c r="P13622" s="11"/>
    </row>
    <row r="13623" spans="8:16" x14ac:dyDescent="0.25">
      <c r="H13623" s="12"/>
      <c r="I13623" s="12"/>
      <c r="J13623" s="12"/>
      <c r="K13623" s="12"/>
      <c r="L13623" s="12"/>
      <c r="M13623" s="11"/>
      <c r="N13623" s="11"/>
      <c r="O13623" s="11"/>
      <c r="P13623" s="11"/>
    </row>
    <row r="13624" spans="8:16" x14ac:dyDescent="0.25">
      <c r="H13624" s="12"/>
      <c r="I13624" s="12"/>
      <c r="J13624" s="12"/>
      <c r="K13624" s="12"/>
      <c r="L13624" s="12"/>
      <c r="M13624" s="11"/>
      <c r="N13624" s="11"/>
      <c r="O13624" s="11"/>
      <c r="P13624" s="11"/>
    </row>
    <row r="13625" spans="8:16" x14ac:dyDescent="0.25">
      <c r="H13625" s="12"/>
      <c r="I13625" s="12"/>
      <c r="J13625" s="12"/>
      <c r="K13625" s="12"/>
      <c r="L13625" s="12"/>
      <c r="M13625" s="11"/>
      <c r="N13625" s="11"/>
      <c r="O13625" s="11"/>
      <c r="P13625" s="11"/>
    </row>
    <row r="13626" spans="8:16" x14ac:dyDescent="0.25">
      <c r="H13626" s="12"/>
      <c r="I13626" s="12"/>
      <c r="J13626" s="12"/>
      <c r="K13626" s="12"/>
      <c r="L13626" s="12"/>
      <c r="M13626" s="11"/>
      <c r="N13626" s="11"/>
      <c r="O13626" s="11"/>
      <c r="P13626" s="11"/>
    </row>
    <row r="13627" spans="8:16" x14ac:dyDescent="0.25">
      <c r="H13627" s="12"/>
      <c r="I13627" s="12"/>
      <c r="J13627" s="12"/>
      <c r="K13627" s="12"/>
      <c r="L13627" s="12"/>
      <c r="M13627" s="11"/>
      <c r="N13627" s="11"/>
      <c r="O13627" s="11"/>
      <c r="P13627" s="11"/>
    </row>
    <row r="13628" spans="8:16" x14ac:dyDescent="0.25">
      <c r="H13628" s="12"/>
      <c r="I13628" s="12"/>
      <c r="J13628" s="12"/>
      <c r="K13628" s="12"/>
      <c r="L13628" s="12"/>
      <c r="M13628" s="11"/>
      <c r="N13628" s="11"/>
      <c r="O13628" s="11"/>
      <c r="P13628" s="11"/>
    </row>
    <row r="13629" spans="8:16" x14ac:dyDescent="0.25">
      <c r="H13629" s="12"/>
      <c r="I13629" s="12"/>
      <c r="J13629" s="12"/>
      <c r="K13629" s="12"/>
      <c r="L13629" s="12"/>
      <c r="M13629" s="11"/>
      <c r="N13629" s="11"/>
      <c r="O13629" s="11"/>
      <c r="P13629" s="11"/>
    </row>
    <row r="13630" spans="8:16" x14ac:dyDescent="0.25">
      <c r="H13630" s="12"/>
      <c r="I13630" s="12"/>
      <c r="J13630" s="12"/>
      <c r="K13630" s="12"/>
      <c r="L13630" s="12"/>
      <c r="M13630" s="11"/>
      <c r="N13630" s="11"/>
      <c r="O13630" s="11"/>
      <c r="P13630" s="11"/>
    </row>
    <row r="13631" spans="8:16" x14ac:dyDescent="0.25">
      <c r="H13631" s="12"/>
      <c r="I13631" s="12"/>
      <c r="J13631" s="12"/>
      <c r="K13631" s="12"/>
      <c r="L13631" s="12"/>
      <c r="M13631" s="11"/>
      <c r="N13631" s="11"/>
      <c r="O13631" s="11"/>
      <c r="P13631" s="11"/>
    </row>
    <row r="13632" spans="8:16" x14ac:dyDescent="0.25">
      <c r="H13632" s="12"/>
      <c r="I13632" s="12"/>
      <c r="J13632" s="12"/>
      <c r="K13632" s="12"/>
      <c r="L13632" s="12"/>
      <c r="M13632" s="11"/>
      <c r="N13632" s="11"/>
      <c r="O13632" s="11"/>
      <c r="P13632" s="11"/>
    </row>
    <row r="13633" spans="8:16" x14ac:dyDescent="0.25">
      <c r="H13633" s="12"/>
      <c r="I13633" s="12"/>
      <c r="J13633" s="12"/>
      <c r="K13633" s="12"/>
      <c r="L13633" s="12"/>
      <c r="M13633" s="11"/>
      <c r="N13633" s="11"/>
      <c r="O13633" s="11"/>
      <c r="P13633" s="11"/>
    </row>
    <row r="13634" spans="8:16" x14ac:dyDescent="0.25">
      <c r="H13634" s="12"/>
      <c r="I13634" s="12"/>
      <c r="J13634" s="12"/>
      <c r="K13634" s="12"/>
      <c r="L13634" s="12"/>
      <c r="M13634" s="11"/>
      <c r="N13634" s="11"/>
      <c r="O13634" s="11"/>
      <c r="P13634" s="11"/>
    </row>
    <row r="13635" spans="8:16" x14ac:dyDescent="0.25">
      <c r="H13635" s="12"/>
      <c r="I13635" s="12"/>
      <c r="J13635" s="12"/>
      <c r="K13635" s="12"/>
      <c r="L13635" s="12"/>
      <c r="M13635" s="11"/>
      <c r="N13635" s="11"/>
      <c r="O13635" s="11"/>
      <c r="P13635" s="11"/>
    </row>
    <row r="13636" spans="8:16" x14ac:dyDescent="0.25">
      <c r="H13636" s="12"/>
      <c r="I13636" s="12"/>
      <c r="J13636" s="12"/>
      <c r="K13636" s="12"/>
      <c r="L13636" s="12"/>
      <c r="M13636" s="11"/>
      <c r="N13636" s="11"/>
      <c r="O13636" s="11"/>
      <c r="P13636" s="11"/>
    </row>
    <row r="13637" spans="8:16" x14ac:dyDescent="0.25">
      <c r="H13637" s="12"/>
      <c r="I13637" s="12"/>
      <c r="J13637" s="12"/>
      <c r="K13637" s="12"/>
      <c r="L13637" s="12"/>
      <c r="M13637" s="11"/>
      <c r="N13637" s="11"/>
      <c r="O13637" s="11"/>
      <c r="P13637" s="11"/>
    </row>
    <row r="13638" spans="8:16" x14ac:dyDescent="0.25">
      <c r="H13638" s="12"/>
      <c r="I13638" s="12"/>
      <c r="J13638" s="12"/>
      <c r="K13638" s="12"/>
      <c r="L13638" s="12"/>
      <c r="M13638" s="11"/>
      <c r="N13638" s="11"/>
      <c r="O13638" s="11"/>
      <c r="P13638" s="11"/>
    </row>
    <row r="13639" spans="8:16" x14ac:dyDescent="0.25">
      <c r="H13639" s="12"/>
      <c r="I13639" s="12"/>
      <c r="J13639" s="12"/>
      <c r="K13639" s="12"/>
      <c r="L13639" s="12"/>
      <c r="M13639" s="11"/>
      <c r="N13639" s="11"/>
      <c r="O13639" s="11"/>
      <c r="P13639" s="11"/>
    </row>
    <row r="13640" spans="8:16" x14ac:dyDescent="0.25">
      <c r="H13640" s="12"/>
      <c r="I13640" s="12"/>
      <c r="J13640" s="12"/>
      <c r="K13640" s="12"/>
      <c r="L13640" s="12"/>
      <c r="M13640" s="11"/>
      <c r="N13640" s="11"/>
      <c r="O13640" s="11"/>
      <c r="P13640" s="11"/>
    </row>
    <row r="13641" spans="8:16" x14ac:dyDescent="0.25">
      <c r="H13641" s="12"/>
      <c r="I13641" s="12"/>
      <c r="J13641" s="12"/>
      <c r="K13641" s="12"/>
      <c r="L13641" s="12"/>
      <c r="M13641" s="11"/>
      <c r="N13641" s="11"/>
      <c r="O13641" s="11"/>
      <c r="P13641" s="11"/>
    </row>
    <row r="13642" spans="8:16" x14ac:dyDescent="0.25">
      <c r="H13642" s="12"/>
      <c r="I13642" s="12"/>
      <c r="J13642" s="12"/>
      <c r="K13642" s="12"/>
      <c r="L13642" s="12"/>
      <c r="M13642" s="11"/>
      <c r="N13642" s="11"/>
      <c r="O13642" s="11"/>
      <c r="P13642" s="11"/>
    </row>
    <row r="13643" spans="8:16" x14ac:dyDescent="0.25">
      <c r="H13643" s="12"/>
      <c r="I13643" s="12"/>
      <c r="J13643" s="12"/>
      <c r="K13643" s="12"/>
      <c r="L13643" s="12"/>
      <c r="M13643" s="11"/>
      <c r="N13643" s="11"/>
      <c r="O13643" s="11"/>
      <c r="P13643" s="11"/>
    </row>
    <row r="13644" spans="8:16" x14ac:dyDescent="0.25">
      <c r="H13644" s="12"/>
      <c r="I13644" s="12"/>
      <c r="J13644" s="12"/>
      <c r="K13644" s="12"/>
      <c r="L13644" s="12"/>
      <c r="M13644" s="11"/>
      <c r="N13644" s="11"/>
      <c r="O13644" s="11"/>
      <c r="P13644" s="11"/>
    </row>
    <row r="13645" spans="8:16" x14ac:dyDescent="0.25">
      <c r="H13645" s="12"/>
      <c r="I13645" s="12"/>
      <c r="J13645" s="12"/>
      <c r="K13645" s="12"/>
      <c r="L13645" s="12"/>
      <c r="M13645" s="11"/>
      <c r="N13645" s="11"/>
      <c r="O13645" s="11"/>
      <c r="P13645" s="11"/>
    </row>
    <row r="13646" spans="8:16" x14ac:dyDescent="0.25">
      <c r="H13646" s="12"/>
      <c r="I13646" s="12"/>
      <c r="J13646" s="12"/>
      <c r="K13646" s="12"/>
      <c r="L13646" s="12"/>
      <c r="M13646" s="11"/>
      <c r="N13646" s="11"/>
      <c r="O13646" s="11"/>
      <c r="P13646" s="11"/>
    </row>
    <row r="13647" spans="8:16" x14ac:dyDescent="0.25">
      <c r="H13647" s="12"/>
      <c r="I13647" s="12"/>
      <c r="J13647" s="12"/>
      <c r="K13647" s="12"/>
      <c r="L13647" s="12"/>
      <c r="M13647" s="11"/>
      <c r="N13647" s="11"/>
      <c r="O13647" s="11"/>
      <c r="P13647" s="11"/>
    </row>
    <row r="13648" spans="8:16" x14ac:dyDescent="0.25">
      <c r="H13648" s="12"/>
      <c r="I13648" s="12"/>
      <c r="J13648" s="12"/>
      <c r="K13648" s="12"/>
      <c r="L13648" s="12"/>
      <c r="M13648" s="11"/>
      <c r="N13648" s="11"/>
      <c r="O13648" s="11"/>
      <c r="P13648" s="11"/>
    </row>
    <row r="13649" spans="8:16" x14ac:dyDescent="0.25">
      <c r="H13649" s="12"/>
      <c r="I13649" s="12"/>
      <c r="J13649" s="12"/>
      <c r="K13649" s="12"/>
      <c r="L13649" s="12"/>
      <c r="M13649" s="11"/>
      <c r="N13649" s="11"/>
      <c r="O13649" s="11"/>
      <c r="P13649" s="11"/>
    </row>
    <row r="13650" spans="8:16" x14ac:dyDescent="0.25">
      <c r="H13650" s="12"/>
      <c r="I13650" s="12"/>
      <c r="J13650" s="12"/>
      <c r="K13650" s="12"/>
      <c r="L13650" s="12"/>
      <c r="M13650" s="11"/>
      <c r="N13650" s="11"/>
      <c r="O13650" s="11"/>
      <c r="P13650" s="11"/>
    </row>
    <row r="13651" spans="8:16" x14ac:dyDescent="0.25">
      <c r="H13651" s="12"/>
      <c r="I13651" s="12"/>
      <c r="J13651" s="12"/>
      <c r="K13651" s="12"/>
      <c r="L13651" s="12"/>
      <c r="M13651" s="11"/>
      <c r="N13651" s="11"/>
      <c r="O13651" s="11"/>
      <c r="P13651" s="11"/>
    </row>
    <row r="13652" spans="8:16" x14ac:dyDescent="0.25">
      <c r="H13652" s="12"/>
      <c r="I13652" s="12"/>
      <c r="J13652" s="12"/>
      <c r="K13652" s="12"/>
      <c r="L13652" s="12"/>
      <c r="M13652" s="11"/>
      <c r="N13652" s="11"/>
      <c r="O13652" s="11"/>
      <c r="P13652" s="11"/>
    </row>
    <row r="13653" spans="8:16" x14ac:dyDescent="0.25">
      <c r="H13653" s="12"/>
      <c r="I13653" s="12"/>
      <c r="J13653" s="12"/>
      <c r="K13653" s="12"/>
      <c r="L13653" s="12"/>
      <c r="M13653" s="11"/>
      <c r="N13653" s="11"/>
      <c r="O13653" s="11"/>
      <c r="P13653" s="11"/>
    </row>
    <row r="13654" spans="8:16" x14ac:dyDescent="0.25">
      <c r="H13654" s="12"/>
      <c r="I13654" s="12"/>
      <c r="J13654" s="12"/>
      <c r="K13654" s="12"/>
      <c r="L13654" s="12"/>
      <c r="M13654" s="11"/>
      <c r="N13654" s="11"/>
      <c r="O13654" s="11"/>
      <c r="P13654" s="11"/>
    </row>
    <row r="13655" spans="8:16" x14ac:dyDescent="0.25">
      <c r="H13655" s="12"/>
      <c r="I13655" s="12"/>
      <c r="J13655" s="12"/>
      <c r="K13655" s="12"/>
      <c r="L13655" s="12"/>
      <c r="M13655" s="11"/>
      <c r="N13655" s="11"/>
      <c r="O13655" s="11"/>
      <c r="P13655" s="11"/>
    </row>
    <row r="13656" spans="8:16" x14ac:dyDescent="0.25">
      <c r="H13656" s="12"/>
      <c r="I13656" s="12"/>
      <c r="J13656" s="12"/>
      <c r="K13656" s="12"/>
      <c r="L13656" s="12"/>
      <c r="M13656" s="11"/>
      <c r="N13656" s="11"/>
      <c r="O13656" s="11"/>
      <c r="P13656" s="11"/>
    </row>
    <row r="13657" spans="8:16" x14ac:dyDescent="0.25">
      <c r="H13657" s="12"/>
      <c r="I13657" s="12"/>
      <c r="J13657" s="12"/>
      <c r="K13657" s="12"/>
      <c r="L13657" s="12"/>
      <c r="M13657" s="11"/>
      <c r="N13657" s="11"/>
      <c r="O13657" s="11"/>
      <c r="P13657" s="11"/>
    </row>
    <row r="13658" spans="8:16" x14ac:dyDescent="0.25">
      <c r="H13658" s="12"/>
      <c r="I13658" s="12"/>
      <c r="J13658" s="12"/>
      <c r="K13658" s="12"/>
      <c r="L13658" s="12"/>
      <c r="M13658" s="11"/>
      <c r="N13658" s="11"/>
      <c r="O13658" s="11"/>
      <c r="P13658" s="11"/>
    </row>
    <row r="13659" spans="8:16" x14ac:dyDescent="0.25">
      <c r="H13659" s="12"/>
      <c r="I13659" s="12"/>
      <c r="J13659" s="12"/>
      <c r="K13659" s="12"/>
      <c r="L13659" s="12"/>
      <c r="M13659" s="11"/>
      <c r="N13659" s="11"/>
      <c r="O13659" s="11"/>
      <c r="P13659" s="11"/>
    </row>
    <row r="13660" spans="8:16" x14ac:dyDescent="0.25">
      <c r="H13660" s="12"/>
      <c r="I13660" s="12"/>
      <c r="J13660" s="12"/>
      <c r="K13660" s="12"/>
      <c r="L13660" s="12"/>
      <c r="M13660" s="11"/>
      <c r="N13660" s="11"/>
      <c r="O13660" s="11"/>
      <c r="P13660" s="11"/>
    </row>
    <row r="13661" spans="8:16" x14ac:dyDescent="0.25">
      <c r="H13661" s="12"/>
      <c r="I13661" s="12"/>
      <c r="J13661" s="12"/>
      <c r="K13661" s="12"/>
      <c r="L13661" s="12"/>
      <c r="M13661" s="11"/>
      <c r="N13661" s="11"/>
      <c r="O13661" s="11"/>
      <c r="P13661" s="11"/>
    </row>
    <row r="13662" spans="8:16" x14ac:dyDescent="0.25">
      <c r="H13662" s="12"/>
      <c r="I13662" s="12"/>
      <c r="J13662" s="12"/>
      <c r="K13662" s="12"/>
      <c r="L13662" s="12"/>
      <c r="M13662" s="11"/>
      <c r="N13662" s="11"/>
      <c r="O13662" s="11"/>
      <c r="P13662" s="11"/>
    </row>
    <row r="13663" spans="8:16" x14ac:dyDescent="0.25">
      <c r="H13663" s="12"/>
      <c r="I13663" s="12"/>
      <c r="J13663" s="12"/>
      <c r="K13663" s="12"/>
      <c r="L13663" s="12"/>
      <c r="M13663" s="11"/>
      <c r="N13663" s="11"/>
      <c r="O13663" s="11"/>
      <c r="P13663" s="11"/>
    </row>
    <row r="13664" spans="8:16" x14ac:dyDescent="0.25">
      <c r="H13664" s="12"/>
      <c r="I13664" s="12"/>
      <c r="J13664" s="12"/>
      <c r="K13664" s="12"/>
      <c r="L13664" s="12"/>
      <c r="M13664" s="11"/>
      <c r="N13664" s="11"/>
      <c r="O13664" s="11"/>
      <c r="P13664" s="11"/>
    </row>
    <row r="13665" spans="8:16" x14ac:dyDescent="0.25">
      <c r="H13665" s="12"/>
      <c r="I13665" s="12"/>
      <c r="J13665" s="12"/>
      <c r="K13665" s="12"/>
      <c r="L13665" s="12"/>
      <c r="M13665" s="11"/>
      <c r="N13665" s="11"/>
      <c r="O13665" s="11"/>
      <c r="P13665" s="11"/>
    </row>
    <row r="13666" spans="8:16" x14ac:dyDescent="0.25">
      <c r="H13666" s="12"/>
      <c r="I13666" s="12"/>
      <c r="J13666" s="12"/>
      <c r="K13666" s="12"/>
      <c r="L13666" s="12"/>
      <c r="M13666" s="11"/>
      <c r="N13666" s="11"/>
      <c r="O13666" s="11"/>
      <c r="P13666" s="11"/>
    </row>
    <row r="13667" spans="8:16" x14ac:dyDescent="0.25">
      <c r="H13667" s="12"/>
      <c r="I13667" s="12"/>
      <c r="J13667" s="12"/>
      <c r="K13667" s="12"/>
      <c r="L13667" s="12"/>
      <c r="M13667" s="11"/>
      <c r="N13667" s="11"/>
      <c r="O13667" s="11"/>
      <c r="P13667" s="11"/>
    </row>
    <row r="13668" spans="8:16" x14ac:dyDescent="0.25">
      <c r="H13668" s="12"/>
      <c r="I13668" s="12"/>
      <c r="J13668" s="12"/>
      <c r="K13668" s="12"/>
      <c r="L13668" s="12"/>
      <c r="M13668" s="11"/>
      <c r="N13668" s="11"/>
      <c r="O13668" s="11"/>
      <c r="P13668" s="11"/>
    </row>
    <row r="13669" spans="8:16" x14ac:dyDescent="0.25">
      <c r="H13669" s="12"/>
      <c r="I13669" s="12"/>
      <c r="J13669" s="12"/>
      <c r="K13669" s="12"/>
      <c r="L13669" s="12"/>
      <c r="M13669" s="11"/>
      <c r="N13669" s="11"/>
      <c r="O13669" s="11"/>
      <c r="P13669" s="11"/>
    </row>
    <row r="13670" spans="8:16" x14ac:dyDescent="0.25">
      <c r="H13670" s="12"/>
      <c r="I13670" s="12"/>
      <c r="J13670" s="12"/>
      <c r="K13670" s="12"/>
      <c r="L13670" s="12"/>
      <c r="M13670" s="11"/>
      <c r="N13670" s="11"/>
      <c r="O13670" s="11"/>
      <c r="P13670" s="11"/>
    </row>
    <row r="13671" spans="8:16" x14ac:dyDescent="0.25">
      <c r="H13671" s="12"/>
      <c r="I13671" s="12"/>
      <c r="J13671" s="12"/>
      <c r="K13671" s="12"/>
      <c r="L13671" s="12"/>
      <c r="M13671" s="11"/>
      <c r="N13671" s="11"/>
      <c r="O13671" s="11"/>
      <c r="P13671" s="11"/>
    </row>
    <row r="13672" spans="8:16" x14ac:dyDescent="0.25">
      <c r="H13672" s="12"/>
      <c r="I13672" s="12"/>
      <c r="J13672" s="12"/>
      <c r="K13672" s="12"/>
      <c r="L13672" s="12"/>
      <c r="M13672" s="11"/>
      <c r="N13672" s="11"/>
      <c r="O13672" s="11"/>
      <c r="P13672" s="11"/>
    </row>
    <row r="13673" spans="8:16" x14ac:dyDescent="0.25">
      <c r="H13673" s="12"/>
      <c r="I13673" s="12"/>
      <c r="J13673" s="12"/>
      <c r="K13673" s="12"/>
      <c r="L13673" s="12"/>
      <c r="M13673" s="11"/>
      <c r="N13673" s="11"/>
      <c r="O13673" s="11"/>
      <c r="P13673" s="11"/>
    </row>
    <row r="13674" spans="8:16" x14ac:dyDescent="0.25">
      <c r="H13674" s="12"/>
      <c r="I13674" s="12"/>
      <c r="J13674" s="12"/>
      <c r="K13674" s="12"/>
      <c r="L13674" s="12"/>
      <c r="M13674" s="11"/>
      <c r="N13674" s="11"/>
      <c r="O13674" s="11"/>
      <c r="P13674" s="11"/>
    </row>
    <row r="13675" spans="8:16" x14ac:dyDescent="0.25">
      <c r="H13675" s="12"/>
      <c r="I13675" s="12"/>
      <c r="J13675" s="12"/>
      <c r="K13675" s="12"/>
      <c r="L13675" s="12"/>
      <c r="M13675" s="11"/>
      <c r="N13675" s="11"/>
      <c r="O13675" s="11"/>
      <c r="P13675" s="11"/>
    </row>
    <row r="13676" spans="8:16" x14ac:dyDescent="0.25">
      <c r="H13676" s="12"/>
      <c r="I13676" s="12"/>
      <c r="J13676" s="12"/>
      <c r="K13676" s="12"/>
      <c r="L13676" s="12"/>
      <c r="M13676" s="11"/>
      <c r="N13676" s="11"/>
      <c r="O13676" s="11"/>
      <c r="P13676" s="11"/>
    </row>
    <row r="13677" spans="8:16" x14ac:dyDescent="0.25">
      <c r="H13677" s="12"/>
      <c r="I13677" s="12"/>
      <c r="J13677" s="12"/>
      <c r="K13677" s="12"/>
      <c r="L13677" s="12"/>
      <c r="M13677" s="11"/>
      <c r="N13677" s="11"/>
      <c r="O13677" s="11"/>
      <c r="P13677" s="11"/>
    </row>
    <row r="13678" spans="8:16" x14ac:dyDescent="0.25">
      <c r="H13678" s="12"/>
      <c r="I13678" s="12"/>
      <c r="J13678" s="12"/>
      <c r="K13678" s="12"/>
      <c r="L13678" s="12"/>
      <c r="M13678" s="11"/>
      <c r="N13678" s="11"/>
      <c r="O13678" s="11"/>
      <c r="P13678" s="11"/>
    </row>
    <row r="13679" spans="8:16" x14ac:dyDescent="0.25">
      <c r="H13679" s="12"/>
      <c r="I13679" s="12"/>
      <c r="J13679" s="12"/>
      <c r="K13679" s="12"/>
      <c r="L13679" s="12"/>
      <c r="M13679" s="11"/>
      <c r="N13679" s="11"/>
      <c r="O13679" s="11"/>
      <c r="P13679" s="11"/>
    </row>
    <row r="13680" spans="8:16" x14ac:dyDescent="0.25">
      <c r="H13680" s="12"/>
      <c r="I13680" s="12"/>
      <c r="J13680" s="12"/>
      <c r="K13680" s="12"/>
      <c r="L13680" s="12"/>
      <c r="M13680" s="11"/>
      <c r="N13680" s="11"/>
      <c r="O13680" s="11"/>
      <c r="P13680" s="11"/>
    </row>
    <row r="13681" spans="8:16" x14ac:dyDescent="0.25">
      <c r="H13681" s="12"/>
      <c r="I13681" s="12"/>
      <c r="J13681" s="12"/>
      <c r="K13681" s="12"/>
      <c r="L13681" s="12"/>
      <c r="M13681" s="11"/>
      <c r="N13681" s="11"/>
      <c r="O13681" s="11"/>
      <c r="P13681" s="11"/>
    </row>
    <row r="13682" spans="8:16" x14ac:dyDescent="0.25">
      <c r="H13682" s="12"/>
      <c r="I13682" s="12"/>
      <c r="J13682" s="12"/>
      <c r="K13682" s="12"/>
      <c r="L13682" s="12"/>
      <c r="M13682" s="11"/>
      <c r="N13682" s="11"/>
      <c r="O13682" s="11"/>
      <c r="P13682" s="11"/>
    </row>
    <row r="13683" spans="8:16" x14ac:dyDescent="0.25">
      <c r="H13683" s="12"/>
      <c r="I13683" s="12"/>
      <c r="J13683" s="12"/>
      <c r="K13683" s="12"/>
      <c r="L13683" s="12"/>
      <c r="M13683" s="11"/>
      <c r="N13683" s="11"/>
      <c r="O13683" s="11"/>
      <c r="P13683" s="11"/>
    </row>
    <row r="13684" spans="8:16" x14ac:dyDescent="0.25">
      <c r="H13684" s="12"/>
      <c r="I13684" s="12"/>
      <c r="J13684" s="12"/>
      <c r="K13684" s="12"/>
      <c r="L13684" s="12"/>
      <c r="M13684" s="11"/>
      <c r="N13684" s="11"/>
      <c r="O13684" s="11"/>
      <c r="P13684" s="11"/>
    </row>
    <row r="13685" spans="8:16" x14ac:dyDescent="0.25">
      <c r="H13685" s="12"/>
      <c r="I13685" s="12"/>
      <c r="J13685" s="12"/>
      <c r="K13685" s="12"/>
      <c r="L13685" s="12"/>
      <c r="M13685" s="11"/>
      <c r="N13685" s="11"/>
      <c r="O13685" s="11"/>
      <c r="P13685" s="11"/>
    </row>
    <row r="13686" spans="8:16" x14ac:dyDescent="0.25">
      <c r="H13686" s="12"/>
      <c r="I13686" s="12"/>
      <c r="J13686" s="12"/>
      <c r="K13686" s="12"/>
      <c r="L13686" s="12"/>
      <c r="M13686" s="11"/>
      <c r="N13686" s="11"/>
      <c r="O13686" s="11"/>
      <c r="P13686" s="11"/>
    </row>
    <row r="13687" spans="8:16" x14ac:dyDescent="0.25">
      <c r="H13687" s="12"/>
      <c r="I13687" s="12"/>
      <c r="J13687" s="12"/>
      <c r="K13687" s="12"/>
      <c r="L13687" s="12"/>
      <c r="M13687" s="11"/>
      <c r="N13687" s="11"/>
      <c r="O13687" s="11"/>
      <c r="P13687" s="11"/>
    </row>
    <row r="13688" spans="8:16" x14ac:dyDescent="0.25">
      <c r="H13688" s="12"/>
      <c r="I13688" s="12"/>
      <c r="J13688" s="12"/>
      <c r="K13688" s="12"/>
      <c r="L13688" s="12"/>
      <c r="M13688" s="11"/>
      <c r="N13688" s="11"/>
      <c r="O13688" s="11"/>
      <c r="P13688" s="11"/>
    </row>
    <row r="13689" spans="8:16" x14ac:dyDescent="0.25">
      <c r="H13689" s="12"/>
      <c r="I13689" s="12"/>
      <c r="J13689" s="12"/>
      <c r="K13689" s="12"/>
      <c r="L13689" s="12"/>
      <c r="M13689" s="11"/>
      <c r="N13689" s="11"/>
      <c r="O13689" s="11"/>
      <c r="P13689" s="11"/>
    </row>
    <row r="13690" spans="8:16" x14ac:dyDescent="0.25">
      <c r="H13690" s="12"/>
      <c r="I13690" s="12"/>
      <c r="J13690" s="12"/>
      <c r="K13690" s="12"/>
      <c r="L13690" s="12"/>
      <c r="M13690" s="11"/>
      <c r="N13690" s="11"/>
      <c r="O13690" s="11"/>
      <c r="P13690" s="11"/>
    </row>
    <row r="13691" spans="8:16" x14ac:dyDescent="0.25">
      <c r="H13691" s="12"/>
      <c r="I13691" s="12"/>
      <c r="J13691" s="12"/>
      <c r="K13691" s="12"/>
      <c r="L13691" s="12"/>
      <c r="M13691" s="11"/>
      <c r="N13691" s="11"/>
      <c r="O13691" s="11"/>
      <c r="P13691" s="11"/>
    </row>
    <row r="13692" spans="8:16" x14ac:dyDescent="0.25">
      <c r="H13692" s="12"/>
      <c r="I13692" s="12"/>
      <c r="J13692" s="12"/>
      <c r="K13692" s="12"/>
      <c r="L13692" s="12"/>
      <c r="M13692" s="11"/>
      <c r="N13692" s="11"/>
      <c r="O13692" s="11"/>
      <c r="P13692" s="11"/>
    </row>
    <row r="13693" spans="8:16" x14ac:dyDescent="0.25">
      <c r="H13693" s="12"/>
      <c r="I13693" s="12"/>
      <c r="J13693" s="12"/>
      <c r="K13693" s="12"/>
      <c r="L13693" s="12"/>
      <c r="M13693" s="11"/>
      <c r="N13693" s="11"/>
      <c r="O13693" s="11"/>
      <c r="P13693" s="11"/>
    </row>
    <row r="13694" spans="8:16" x14ac:dyDescent="0.25">
      <c r="H13694" s="12"/>
      <c r="I13694" s="12"/>
      <c r="J13694" s="12"/>
      <c r="K13694" s="12"/>
      <c r="L13694" s="12"/>
      <c r="M13694" s="11"/>
      <c r="N13694" s="11"/>
      <c r="O13694" s="11"/>
      <c r="P13694" s="11"/>
    </row>
    <row r="13695" spans="8:16" x14ac:dyDescent="0.25">
      <c r="H13695" s="12"/>
      <c r="I13695" s="12"/>
      <c r="J13695" s="12"/>
      <c r="K13695" s="12"/>
      <c r="L13695" s="12"/>
      <c r="M13695" s="11"/>
      <c r="N13695" s="11"/>
      <c r="O13695" s="11"/>
      <c r="P13695" s="11"/>
    </row>
    <row r="13696" spans="8:16" x14ac:dyDescent="0.25">
      <c r="H13696" s="12"/>
      <c r="I13696" s="12"/>
      <c r="J13696" s="12"/>
      <c r="K13696" s="12"/>
      <c r="L13696" s="12"/>
      <c r="M13696" s="11"/>
      <c r="N13696" s="11"/>
      <c r="O13696" s="11"/>
      <c r="P13696" s="11"/>
    </row>
    <row r="13697" spans="8:16" x14ac:dyDescent="0.25">
      <c r="H13697" s="12"/>
      <c r="I13697" s="12"/>
      <c r="J13697" s="12"/>
      <c r="K13697" s="12"/>
      <c r="L13697" s="12"/>
      <c r="M13697" s="11"/>
      <c r="N13697" s="11"/>
      <c r="O13697" s="11"/>
      <c r="P13697" s="11"/>
    </row>
    <row r="13698" spans="8:16" x14ac:dyDescent="0.25">
      <c r="H13698" s="12"/>
      <c r="I13698" s="12"/>
      <c r="J13698" s="12"/>
      <c r="K13698" s="12"/>
      <c r="L13698" s="12"/>
      <c r="M13698" s="11"/>
      <c r="N13698" s="11"/>
      <c r="O13698" s="11"/>
      <c r="P13698" s="11"/>
    </row>
    <row r="13699" spans="8:16" x14ac:dyDescent="0.25">
      <c r="H13699" s="12"/>
      <c r="I13699" s="12"/>
      <c r="J13699" s="12"/>
      <c r="K13699" s="12"/>
      <c r="L13699" s="12"/>
      <c r="M13699" s="11"/>
      <c r="N13699" s="11"/>
      <c r="O13699" s="11"/>
      <c r="P13699" s="11"/>
    </row>
    <row r="13700" spans="8:16" x14ac:dyDescent="0.25">
      <c r="H13700" s="12"/>
      <c r="I13700" s="12"/>
      <c r="J13700" s="12"/>
      <c r="K13700" s="12"/>
      <c r="L13700" s="12"/>
      <c r="M13700" s="11"/>
      <c r="N13700" s="11"/>
      <c r="O13700" s="11"/>
      <c r="P13700" s="11"/>
    </row>
    <row r="13701" spans="8:16" x14ac:dyDescent="0.25">
      <c r="H13701" s="12"/>
      <c r="I13701" s="12"/>
      <c r="J13701" s="12"/>
      <c r="K13701" s="12"/>
      <c r="L13701" s="12"/>
      <c r="M13701" s="11"/>
      <c r="N13701" s="11"/>
      <c r="O13701" s="11"/>
      <c r="P13701" s="11"/>
    </row>
    <row r="13702" spans="8:16" x14ac:dyDescent="0.25">
      <c r="H13702" s="12"/>
      <c r="I13702" s="12"/>
      <c r="J13702" s="12"/>
      <c r="K13702" s="12"/>
      <c r="L13702" s="12"/>
      <c r="M13702" s="11"/>
      <c r="N13702" s="11"/>
      <c r="O13702" s="11"/>
      <c r="P13702" s="11"/>
    </row>
    <row r="13703" spans="8:16" x14ac:dyDescent="0.25">
      <c r="H13703" s="12"/>
      <c r="I13703" s="12"/>
      <c r="J13703" s="12"/>
      <c r="K13703" s="12"/>
      <c r="L13703" s="12"/>
      <c r="M13703" s="11"/>
      <c r="N13703" s="11"/>
      <c r="O13703" s="11"/>
      <c r="P13703" s="11"/>
    </row>
    <row r="13704" spans="8:16" x14ac:dyDescent="0.25">
      <c r="H13704" s="12"/>
      <c r="I13704" s="12"/>
      <c r="J13704" s="12"/>
      <c r="K13704" s="12"/>
      <c r="L13704" s="12"/>
      <c r="M13704" s="11"/>
      <c r="N13704" s="11"/>
      <c r="O13704" s="11"/>
      <c r="P13704" s="11"/>
    </row>
    <row r="13705" spans="8:16" x14ac:dyDescent="0.25">
      <c r="H13705" s="12"/>
      <c r="I13705" s="12"/>
      <c r="J13705" s="12"/>
      <c r="K13705" s="12"/>
      <c r="L13705" s="12"/>
      <c r="M13705" s="11"/>
      <c r="N13705" s="11"/>
      <c r="O13705" s="11"/>
      <c r="P13705" s="11"/>
    </row>
    <row r="13706" spans="8:16" x14ac:dyDescent="0.25">
      <c r="H13706" s="12"/>
      <c r="I13706" s="12"/>
      <c r="J13706" s="12"/>
      <c r="K13706" s="12"/>
      <c r="L13706" s="12"/>
      <c r="M13706" s="11"/>
      <c r="N13706" s="11"/>
      <c r="O13706" s="11"/>
      <c r="P13706" s="11"/>
    </row>
    <row r="13707" spans="8:16" x14ac:dyDescent="0.25">
      <c r="H13707" s="12"/>
      <c r="I13707" s="12"/>
      <c r="J13707" s="12"/>
      <c r="K13707" s="12"/>
      <c r="L13707" s="12"/>
      <c r="M13707" s="11"/>
      <c r="N13707" s="11"/>
      <c r="O13707" s="11"/>
      <c r="P13707" s="11"/>
    </row>
    <row r="13708" spans="8:16" x14ac:dyDescent="0.25">
      <c r="H13708" s="12"/>
      <c r="I13708" s="12"/>
      <c r="J13708" s="12"/>
      <c r="K13708" s="12"/>
      <c r="L13708" s="12"/>
      <c r="M13708" s="11"/>
      <c r="N13708" s="11"/>
      <c r="O13708" s="11"/>
      <c r="P13708" s="11"/>
    </row>
    <row r="13709" spans="8:16" x14ac:dyDescent="0.25">
      <c r="H13709" s="12"/>
      <c r="I13709" s="12"/>
      <c r="J13709" s="12"/>
      <c r="K13709" s="12"/>
      <c r="L13709" s="12"/>
      <c r="M13709" s="11"/>
      <c r="N13709" s="11"/>
      <c r="O13709" s="11"/>
      <c r="P13709" s="11"/>
    </row>
    <row r="13710" spans="8:16" x14ac:dyDescent="0.25">
      <c r="H13710" s="12"/>
      <c r="I13710" s="12"/>
      <c r="J13710" s="12"/>
      <c r="K13710" s="12"/>
      <c r="L13710" s="12"/>
      <c r="M13710" s="11"/>
      <c r="N13710" s="11"/>
      <c r="O13710" s="11"/>
      <c r="P13710" s="11"/>
    </row>
    <row r="13711" spans="8:16" x14ac:dyDescent="0.25">
      <c r="H13711" s="12"/>
      <c r="I13711" s="12"/>
      <c r="J13711" s="12"/>
      <c r="K13711" s="12"/>
      <c r="L13711" s="12"/>
      <c r="M13711" s="11"/>
      <c r="N13711" s="11"/>
      <c r="O13711" s="11"/>
      <c r="P13711" s="11"/>
    </row>
    <row r="13712" spans="8:16" x14ac:dyDescent="0.25">
      <c r="H13712" s="12"/>
      <c r="I13712" s="12"/>
      <c r="J13712" s="12"/>
      <c r="K13712" s="12"/>
      <c r="L13712" s="12"/>
      <c r="M13712" s="11"/>
      <c r="N13712" s="11"/>
      <c r="O13712" s="11"/>
      <c r="P13712" s="11"/>
    </row>
    <row r="13713" spans="8:16" x14ac:dyDescent="0.25">
      <c r="H13713" s="12"/>
      <c r="I13713" s="12"/>
      <c r="J13713" s="12"/>
      <c r="K13713" s="12"/>
      <c r="L13713" s="12"/>
      <c r="M13713" s="11"/>
      <c r="N13713" s="11"/>
      <c r="O13713" s="11"/>
      <c r="P13713" s="11"/>
    </row>
    <row r="13714" spans="8:16" x14ac:dyDescent="0.25">
      <c r="H13714" s="12"/>
      <c r="I13714" s="12"/>
      <c r="J13714" s="12"/>
      <c r="K13714" s="12"/>
      <c r="L13714" s="12"/>
      <c r="M13714" s="11"/>
      <c r="N13714" s="11"/>
      <c r="O13714" s="11"/>
      <c r="P13714" s="11"/>
    </row>
    <row r="13715" spans="8:16" x14ac:dyDescent="0.25">
      <c r="H13715" s="12"/>
      <c r="I13715" s="12"/>
      <c r="J13715" s="12"/>
      <c r="K13715" s="12"/>
      <c r="L13715" s="12"/>
      <c r="M13715" s="11"/>
      <c r="N13715" s="11"/>
      <c r="O13715" s="11"/>
      <c r="P13715" s="11"/>
    </row>
    <row r="13716" spans="8:16" x14ac:dyDescent="0.25">
      <c r="H13716" s="12"/>
      <c r="I13716" s="12"/>
      <c r="J13716" s="12"/>
      <c r="K13716" s="12"/>
      <c r="L13716" s="12"/>
      <c r="M13716" s="11"/>
      <c r="N13716" s="11"/>
      <c r="O13716" s="11"/>
      <c r="P13716" s="11"/>
    </row>
    <row r="13717" spans="8:16" x14ac:dyDescent="0.25">
      <c r="H13717" s="12"/>
      <c r="I13717" s="12"/>
      <c r="J13717" s="12"/>
      <c r="K13717" s="12"/>
      <c r="L13717" s="12"/>
      <c r="M13717" s="11"/>
      <c r="N13717" s="11"/>
      <c r="O13717" s="11"/>
      <c r="P13717" s="11"/>
    </row>
    <row r="13718" spans="8:16" x14ac:dyDescent="0.25">
      <c r="H13718" s="12"/>
      <c r="I13718" s="12"/>
      <c r="J13718" s="12"/>
      <c r="K13718" s="12"/>
      <c r="L13718" s="12"/>
      <c r="M13718" s="11"/>
      <c r="N13718" s="11"/>
      <c r="O13718" s="11"/>
      <c r="P13718" s="11"/>
    </row>
    <row r="13719" spans="8:16" x14ac:dyDescent="0.25">
      <c r="H13719" s="12"/>
      <c r="I13719" s="12"/>
      <c r="J13719" s="12"/>
      <c r="K13719" s="12"/>
      <c r="L13719" s="12"/>
      <c r="M13719" s="11"/>
      <c r="N13719" s="11"/>
      <c r="O13719" s="11"/>
      <c r="P13719" s="11"/>
    </row>
    <row r="13720" spans="8:16" x14ac:dyDescent="0.25">
      <c r="H13720" s="12"/>
      <c r="I13720" s="12"/>
      <c r="J13720" s="12"/>
      <c r="K13720" s="12"/>
      <c r="L13720" s="12"/>
      <c r="M13720" s="11"/>
      <c r="N13720" s="11"/>
      <c r="O13720" s="11"/>
      <c r="P13720" s="11"/>
    </row>
    <row r="13721" spans="8:16" x14ac:dyDescent="0.25">
      <c r="H13721" s="12"/>
      <c r="I13721" s="12"/>
      <c r="J13721" s="12"/>
      <c r="K13721" s="12"/>
      <c r="L13721" s="12"/>
      <c r="M13721" s="11"/>
      <c r="N13721" s="11"/>
      <c r="O13721" s="11"/>
      <c r="P13721" s="11"/>
    </row>
    <row r="13722" spans="8:16" x14ac:dyDescent="0.25">
      <c r="H13722" s="12"/>
      <c r="I13722" s="12"/>
      <c r="J13722" s="12"/>
      <c r="K13722" s="12"/>
      <c r="L13722" s="12"/>
      <c r="M13722" s="11"/>
      <c r="N13722" s="11"/>
      <c r="O13722" s="11"/>
      <c r="P13722" s="11"/>
    </row>
    <row r="13723" spans="8:16" x14ac:dyDescent="0.25">
      <c r="H13723" s="12"/>
      <c r="I13723" s="12"/>
      <c r="J13723" s="12"/>
      <c r="K13723" s="12"/>
      <c r="L13723" s="12"/>
      <c r="M13723" s="11"/>
      <c r="N13723" s="11"/>
      <c r="O13723" s="11"/>
      <c r="P13723" s="11"/>
    </row>
    <row r="13724" spans="8:16" x14ac:dyDescent="0.25">
      <c r="H13724" s="12"/>
      <c r="I13724" s="12"/>
      <c r="J13724" s="12"/>
      <c r="K13724" s="12"/>
      <c r="L13724" s="12"/>
      <c r="M13724" s="11"/>
      <c r="N13724" s="11"/>
      <c r="O13724" s="11"/>
      <c r="P13724" s="11"/>
    </row>
    <row r="13725" spans="8:16" x14ac:dyDescent="0.25">
      <c r="H13725" s="12"/>
      <c r="I13725" s="12"/>
      <c r="J13725" s="12"/>
      <c r="K13725" s="12"/>
      <c r="L13725" s="12"/>
      <c r="M13725" s="11"/>
      <c r="N13725" s="11"/>
      <c r="O13725" s="11"/>
      <c r="P13725" s="11"/>
    </row>
    <row r="13726" spans="8:16" x14ac:dyDescent="0.25">
      <c r="H13726" s="12"/>
      <c r="I13726" s="12"/>
      <c r="J13726" s="12"/>
      <c r="K13726" s="12"/>
      <c r="L13726" s="12"/>
      <c r="M13726" s="11"/>
      <c r="N13726" s="11"/>
      <c r="O13726" s="11"/>
      <c r="P13726" s="11"/>
    </row>
    <row r="13727" spans="8:16" x14ac:dyDescent="0.25">
      <c r="H13727" s="12"/>
      <c r="I13727" s="12"/>
      <c r="J13727" s="12"/>
      <c r="K13727" s="12"/>
      <c r="L13727" s="12"/>
      <c r="M13727" s="11"/>
      <c r="N13727" s="11"/>
      <c r="O13727" s="11"/>
      <c r="P13727" s="11"/>
    </row>
    <row r="13728" spans="8:16" x14ac:dyDescent="0.25">
      <c r="H13728" s="12"/>
      <c r="I13728" s="12"/>
      <c r="J13728" s="12"/>
      <c r="K13728" s="12"/>
      <c r="L13728" s="12"/>
      <c r="M13728" s="11"/>
      <c r="N13728" s="11"/>
      <c r="O13728" s="11"/>
      <c r="P13728" s="11"/>
    </row>
    <row r="13729" spans="8:16" x14ac:dyDescent="0.25">
      <c r="H13729" s="12"/>
      <c r="I13729" s="12"/>
      <c r="J13729" s="12"/>
      <c r="K13729" s="12"/>
      <c r="L13729" s="12"/>
      <c r="M13729" s="11"/>
      <c r="N13729" s="11"/>
      <c r="O13729" s="11"/>
      <c r="P13729" s="11"/>
    </row>
    <row r="13730" spans="8:16" x14ac:dyDescent="0.25">
      <c r="H13730" s="12"/>
      <c r="I13730" s="12"/>
      <c r="J13730" s="12"/>
      <c r="K13730" s="12"/>
      <c r="L13730" s="12"/>
      <c r="M13730" s="11"/>
      <c r="N13730" s="11"/>
      <c r="O13730" s="11"/>
      <c r="P13730" s="11"/>
    </row>
    <row r="13731" spans="8:16" x14ac:dyDescent="0.25">
      <c r="H13731" s="12"/>
      <c r="I13731" s="12"/>
      <c r="J13731" s="12"/>
      <c r="K13731" s="12"/>
      <c r="L13731" s="12"/>
      <c r="M13731" s="11"/>
      <c r="N13731" s="11"/>
      <c r="O13731" s="11"/>
      <c r="P13731" s="11"/>
    </row>
    <row r="13732" spans="8:16" x14ac:dyDescent="0.25">
      <c r="H13732" s="12"/>
      <c r="I13732" s="12"/>
      <c r="J13732" s="12"/>
      <c r="K13732" s="12"/>
      <c r="L13732" s="12"/>
      <c r="M13732" s="11"/>
      <c r="N13732" s="11"/>
      <c r="O13732" s="11"/>
      <c r="P13732" s="11"/>
    </row>
    <row r="13733" spans="8:16" x14ac:dyDescent="0.25">
      <c r="H13733" s="12"/>
      <c r="I13733" s="12"/>
      <c r="J13733" s="12"/>
      <c r="K13733" s="12"/>
      <c r="L13733" s="12"/>
      <c r="M13733" s="11"/>
      <c r="N13733" s="11"/>
      <c r="O13733" s="11"/>
      <c r="P13733" s="11"/>
    </row>
    <row r="13734" spans="8:16" x14ac:dyDescent="0.25">
      <c r="H13734" s="12"/>
      <c r="I13734" s="12"/>
      <c r="J13734" s="12"/>
      <c r="K13734" s="12"/>
      <c r="L13734" s="12"/>
      <c r="M13734" s="11"/>
      <c r="N13734" s="11"/>
      <c r="O13734" s="11"/>
      <c r="P13734" s="11"/>
    </row>
    <row r="13735" spans="8:16" x14ac:dyDescent="0.25">
      <c r="H13735" s="12"/>
      <c r="I13735" s="12"/>
      <c r="J13735" s="12"/>
      <c r="K13735" s="12"/>
      <c r="L13735" s="12"/>
      <c r="M13735" s="11"/>
      <c r="N13735" s="11"/>
      <c r="O13735" s="11"/>
      <c r="P13735" s="11"/>
    </row>
    <row r="13736" spans="8:16" x14ac:dyDescent="0.25">
      <c r="H13736" s="12"/>
      <c r="I13736" s="12"/>
      <c r="J13736" s="12"/>
      <c r="K13736" s="12"/>
      <c r="L13736" s="12"/>
      <c r="M13736" s="11"/>
      <c r="N13736" s="11"/>
      <c r="O13736" s="11"/>
      <c r="P13736" s="11"/>
    </row>
    <row r="13737" spans="8:16" x14ac:dyDescent="0.25">
      <c r="H13737" s="12"/>
      <c r="I13737" s="12"/>
      <c r="J13737" s="12"/>
      <c r="K13737" s="12"/>
      <c r="L13737" s="12"/>
      <c r="M13737" s="11"/>
      <c r="N13737" s="11"/>
      <c r="O13737" s="11"/>
      <c r="P13737" s="11"/>
    </row>
    <row r="13738" spans="8:16" x14ac:dyDescent="0.25">
      <c r="H13738" s="12"/>
      <c r="I13738" s="12"/>
      <c r="J13738" s="12"/>
      <c r="K13738" s="12"/>
      <c r="L13738" s="12"/>
      <c r="M13738" s="11"/>
      <c r="N13738" s="11"/>
      <c r="O13738" s="11"/>
      <c r="P13738" s="11"/>
    </row>
    <row r="13739" spans="8:16" x14ac:dyDescent="0.25">
      <c r="H13739" s="12"/>
      <c r="I13739" s="12"/>
      <c r="J13739" s="12"/>
      <c r="K13739" s="12"/>
      <c r="L13739" s="12"/>
      <c r="M13739" s="11"/>
      <c r="N13739" s="11"/>
      <c r="O13739" s="11"/>
      <c r="P13739" s="11"/>
    </row>
    <row r="13740" spans="8:16" x14ac:dyDescent="0.25">
      <c r="H13740" s="12"/>
      <c r="I13740" s="12"/>
      <c r="J13740" s="12"/>
      <c r="K13740" s="12"/>
      <c r="L13740" s="12"/>
      <c r="M13740" s="11"/>
      <c r="N13740" s="11"/>
      <c r="O13740" s="11"/>
      <c r="P13740" s="11"/>
    </row>
    <row r="13741" spans="8:16" x14ac:dyDescent="0.25">
      <c r="H13741" s="12"/>
      <c r="I13741" s="12"/>
      <c r="J13741" s="12"/>
      <c r="K13741" s="12"/>
      <c r="L13741" s="12"/>
      <c r="M13741" s="11"/>
      <c r="N13741" s="11"/>
      <c r="O13741" s="11"/>
      <c r="P13741" s="11"/>
    </row>
    <row r="13742" spans="8:16" x14ac:dyDescent="0.25">
      <c r="H13742" s="12"/>
      <c r="I13742" s="12"/>
      <c r="J13742" s="12"/>
      <c r="K13742" s="12"/>
      <c r="L13742" s="12"/>
      <c r="M13742" s="11"/>
      <c r="N13742" s="11"/>
      <c r="O13742" s="11"/>
      <c r="P13742" s="11"/>
    </row>
    <row r="13743" spans="8:16" x14ac:dyDescent="0.25">
      <c r="H13743" s="12"/>
      <c r="I13743" s="12"/>
      <c r="J13743" s="12"/>
      <c r="K13743" s="12"/>
      <c r="L13743" s="12"/>
      <c r="M13743" s="11"/>
      <c r="N13743" s="11"/>
      <c r="O13743" s="11"/>
      <c r="P13743" s="11"/>
    </row>
    <row r="13744" spans="8:16" x14ac:dyDescent="0.25">
      <c r="H13744" s="12"/>
      <c r="I13744" s="12"/>
      <c r="J13744" s="12"/>
      <c r="K13744" s="12"/>
      <c r="L13744" s="12"/>
      <c r="M13744" s="11"/>
      <c r="N13744" s="11"/>
      <c r="O13744" s="11"/>
      <c r="P13744" s="11"/>
    </row>
    <row r="13745" spans="8:16" x14ac:dyDescent="0.25">
      <c r="H13745" s="12"/>
      <c r="I13745" s="12"/>
      <c r="J13745" s="12"/>
      <c r="K13745" s="12"/>
      <c r="L13745" s="12"/>
      <c r="M13745" s="11"/>
      <c r="N13745" s="11"/>
      <c r="O13745" s="11"/>
      <c r="P13745" s="11"/>
    </row>
    <row r="13746" spans="8:16" x14ac:dyDescent="0.25">
      <c r="H13746" s="12"/>
      <c r="I13746" s="12"/>
      <c r="J13746" s="12"/>
      <c r="K13746" s="12"/>
      <c r="L13746" s="12"/>
      <c r="M13746" s="11"/>
      <c r="N13746" s="11"/>
      <c r="O13746" s="11"/>
      <c r="P13746" s="11"/>
    </row>
    <row r="13747" spans="8:16" x14ac:dyDescent="0.25">
      <c r="H13747" s="12"/>
      <c r="I13747" s="12"/>
      <c r="J13747" s="12"/>
      <c r="K13747" s="12"/>
      <c r="L13747" s="12"/>
      <c r="M13747" s="11"/>
      <c r="N13747" s="11"/>
      <c r="O13747" s="11"/>
      <c r="P13747" s="11"/>
    </row>
    <row r="13748" spans="8:16" x14ac:dyDescent="0.25">
      <c r="H13748" s="12"/>
      <c r="I13748" s="12"/>
      <c r="J13748" s="12"/>
      <c r="K13748" s="12"/>
      <c r="L13748" s="12"/>
      <c r="M13748" s="11"/>
      <c r="N13748" s="11"/>
      <c r="O13748" s="11"/>
      <c r="P13748" s="11"/>
    </row>
    <row r="13749" spans="8:16" x14ac:dyDescent="0.25">
      <c r="H13749" s="12"/>
      <c r="I13749" s="12"/>
      <c r="J13749" s="12"/>
      <c r="K13749" s="12"/>
      <c r="L13749" s="12"/>
      <c r="M13749" s="11"/>
      <c r="N13749" s="11"/>
      <c r="O13749" s="11"/>
      <c r="P13749" s="11"/>
    </row>
    <row r="13750" spans="8:16" x14ac:dyDescent="0.25">
      <c r="H13750" s="12"/>
      <c r="I13750" s="12"/>
      <c r="J13750" s="12"/>
      <c r="K13750" s="12"/>
      <c r="L13750" s="12"/>
      <c r="M13750" s="11"/>
      <c r="N13750" s="11"/>
      <c r="O13750" s="11"/>
      <c r="P13750" s="11"/>
    </row>
    <row r="13751" spans="8:16" x14ac:dyDescent="0.25">
      <c r="H13751" s="12"/>
      <c r="I13751" s="12"/>
      <c r="J13751" s="12"/>
      <c r="K13751" s="12"/>
      <c r="L13751" s="12"/>
      <c r="M13751" s="11"/>
      <c r="N13751" s="11"/>
      <c r="O13751" s="11"/>
      <c r="P13751" s="11"/>
    </row>
    <row r="13752" spans="8:16" x14ac:dyDescent="0.25">
      <c r="H13752" s="12"/>
      <c r="I13752" s="12"/>
      <c r="J13752" s="12"/>
      <c r="K13752" s="12"/>
      <c r="L13752" s="12"/>
      <c r="M13752" s="11"/>
      <c r="N13752" s="11"/>
      <c r="O13752" s="11"/>
      <c r="P13752" s="11"/>
    </row>
    <row r="13753" spans="8:16" x14ac:dyDescent="0.25">
      <c r="H13753" s="12"/>
      <c r="I13753" s="12"/>
      <c r="J13753" s="12"/>
      <c r="K13753" s="12"/>
      <c r="L13753" s="12"/>
      <c r="M13753" s="11"/>
      <c r="N13753" s="11"/>
      <c r="O13753" s="11"/>
      <c r="P13753" s="11"/>
    </row>
    <row r="13754" spans="8:16" x14ac:dyDescent="0.25">
      <c r="H13754" s="12"/>
      <c r="I13754" s="12"/>
      <c r="J13754" s="12"/>
      <c r="K13754" s="12"/>
      <c r="L13754" s="12"/>
      <c r="M13754" s="11"/>
      <c r="N13754" s="11"/>
      <c r="O13754" s="11"/>
      <c r="P13754" s="11"/>
    </row>
    <row r="13755" spans="8:16" x14ac:dyDescent="0.25">
      <c r="H13755" s="12"/>
      <c r="I13755" s="12"/>
      <c r="J13755" s="12"/>
      <c r="K13755" s="12"/>
      <c r="L13755" s="12"/>
      <c r="M13755" s="11"/>
      <c r="N13755" s="11"/>
      <c r="O13755" s="11"/>
      <c r="P13755" s="11"/>
    </row>
    <row r="13756" spans="8:16" x14ac:dyDescent="0.25">
      <c r="H13756" s="12"/>
      <c r="I13756" s="12"/>
      <c r="J13756" s="12"/>
      <c r="K13756" s="12"/>
      <c r="L13756" s="12"/>
      <c r="M13756" s="11"/>
      <c r="N13756" s="11"/>
      <c r="O13756" s="11"/>
      <c r="P13756" s="11"/>
    </row>
    <row r="13757" spans="8:16" x14ac:dyDescent="0.25">
      <c r="H13757" s="12"/>
      <c r="I13757" s="12"/>
      <c r="J13757" s="12"/>
      <c r="K13757" s="12"/>
      <c r="L13757" s="12"/>
      <c r="M13757" s="11"/>
      <c r="N13757" s="11"/>
      <c r="O13757" s="11"/>
      <c r="P13757" s="11"/>
    </row>
    <row r="13758" spans="8:16" x14ac:dyDescent="0.25">
      <c r="H13758" s="12"/>
      <c r="I13758" s="12"/>
      <c r="J13758" s="12"/>
      <c r="K13758" s="12"/>
      <c r="L13758" s="12"/>
      <c r="M13758" s="11"/>
      <c r="N13758" s="11"/>
      <c r="O13758" s="11"/>
      <c r="P13758" s="11"/>
    </row>
    <row r="13759" spans="8:16" x14ac:dyDescent="0.25">
      <c r="H13759" s="12"/>
      <c r="I13759" s="12"/>
      <c r="J13759" s="12"/>
      <c r="K13759" s="12"/>
      <c r="L13759" s="12"/>
      <c r="M13759" s="11"/>
      <c r="N13759" s="11"/>
      <c r="O13759" s="11"/>
      <c r="P13759" s="11"/>
    </row>
    <row r="13760" spans="8:16" x14ac:dyDescent="0.25">
      <c r="H13760" s="12"/>
      <c r="I13760" s="12"/>
      <c r="J13760" s="12"/>
      <c r="K13760" s="12"/>
      <c r="L13760" s="12"/>
      <c r="M13760" s="11"/>
      <c r="N13760" s="11"/>
      <c r="O13760" s="11"/>
      <c r="P13760" s="11"/>
    </row>
    <row r="13761" spans="8:16" x14ac:dyDescent="0.25">
      <c r="H13761" s="12"/>
      <c r="I13761" s="12"/>
      <c r="J13761" s="12"/>
      <c r="K13761" s="12"/>
      <c r="L13761" s="12"/>
      <c r="M13761" s="11"/>
      <c r="N13761" s="11"/>
      <c r="O13761" s="11"/>
      <c r="P13761" s="11"/>
    </row>
    <row r="13762" spans="8:16" x14ac:dyDescent="0.25">
      <c r="H13762" s="12"/>
      <c r="I13762" s="12"/>
      <c r="J13762" s="12"/>
      <c r="K13762" s="12"/>
      <c r="L13762" s="12"/>
      <c r="M13762" s="11"/>
      <c r="N13762" s="11"/>
      <c r="O13762" s="11"/>
      <c r="P13762" s="11"/>
    </row>
    <row r="13763" spans="8:16" x14ac:dyDescent="0.25">
      <c r="H13763" s="12"/>
      <c r="I13763" s="12"/>
      <c r="J13763" s="12"/>
      <c r="K13763" s="12"/>
      <c r="L13763" s="12"/>
      <c r="M13763" s="11"/>
      <c r="N13763" s="11"/>
      <c r="O13763" s="11"/>
      <c r="P13763" s="11"/>
    </row>
    <row r="13764" spans="8:16" x14ac:dyDescent="0.25">
      <c r="H13764" s="12"/>
      <c r="I13764" s="12"/>
      <c r="J13764" s="12"/>
      <c r="K13764" s="12"/>
      <c r="L13764" s="12"/>
      <c r="M13764" s="11"/>
      <c r="N13764" s="11"/>
      <c r="O13764" s="11"/>
      <c r="P13764" s="11"/>
    </row>
    <row r="13765" spans="8:16" x14ac:dyDescent="0.25">
      <c r="H13765" s="12"/>
      <c r="I13765" s="12"/>
      <c r="J13765" s="12"/>
      <c r="K13765" s="12"/>
      <c r="L13765" s="12"/>
      <c r="M13765" s="11"/>
      <c r="N13765" s="11"/>
      <c r="O13765" s="11"/>
      <c r="P13765" s="11"/>
    </row>
    <row r="13766" spans="8:16" x14ac:dyDescent="0.25">
      <c r="H13766" s="12"/>
      <c r="I13766" s="12"/>
      <c r="J13766" s="12"/>
      <c r="K13766" s="12"/>
      <c r="L13766" s="12"/>
      <c r="M13766" s="11"/>
      <c r="N13766" s="11"/>
      <c r="O13766" s="11"/>
      <c r="P13766" s="11"/>
    </row>
    <row r="13767" spans="8:16" x14ac:dyDescent="0.25">
      <c r="H13767" s="12"/>
      <c r="I13767" s="12"/>
      <c r="J13767" s="12"/>
      <c r="K13767" s="12"/>
      <c r="L13767" s="12"/>
      <c r="M13767" s="11"/>
      <c r="N13767" s="11"/>
      <c r="O13767" s="11"/>
      <c r="P13767" s="11"/>
    </row>
    <row r="13768" spans="8:16" x14ac:dyDescent="0.25">
      <c r="H13768" s="12"/>
      <c r="I13768" s="12"/>
      <c r="J13768" s="12"/>
      <c r="K13768" s="12"/>
      <c r="L13768" s="12"/>
      <c r="M13768" s="11"/>
      <c r="N13768" s="11"/>
      <c r="O13768" s="11"/>
      <c r="P13768" s="11"/>
    </row>
    <row r="13769" spans="8:16" x14ac:dyDescent="0.25">
      <c r="H13769" s="12"/>
      <c r="I13769" s="12"/>
      <c r="J13769" s="12"/>
      <c r="K13769" s="12"/>
      <c r="L13769" s="12"/>
      <c r="M13769" s="11"/>
      <c r="N13769" s="11"/>
      <c r="O13769" s="11"/>
      <c r="P13769" s="11"/>
    </row>
    <row r="13770" spans="8:16" x14ac:dyDescent="0.25">
      <c r="H13770" s="12"/>
      <c r="I13770" s="12"/>
      <c r="J13770" s="12"/>
      <c r="K13770" s="12"/>
      <c r="L13770" s="12"/>
      <c r="M13770" s="11"/>
      <c r="N13770" s="11"/>
      <c r="O13770" s="11"/>
      <c r="P13770" s="11"/>
    </row>
    <row r="13771" spans="8:16" x14ac:dyDescent="0.25">
      <c r="H13771" s="12"/>
      <c r="I13771" s="12"/>
      <c r="J13771" s="12"/>
      <c r="K13771" s="12"/>
      <c r="L13771" s="12"/>
      <c r="M13771" s="11"/>
      <c r="N13771" s="11"/>
      <c r="O13771" s="11"/>
      <c r="P13771" s="11"/>
    </row>
    <row r="13772" spans="8:16" x14ac:dyDescent="0.25">
      <c r="H13772" s="12"/>
      <c r="I13772" s="12"/>
      <c r="J13772" s="12"/>
      <c r="K13772" s="12"/>
      <c r="L13772" s="12"/>
      <c r="M13772" s="11"/>
      <c r="N13772" s="11"/>
      <c r="O13772" s="11"/>
      <c r="P13772" s="11"/>
    </row>
    <row r="13773" spans="8:16" x14ac:dyDescent="0.25">
      <c r="H13773" s="12"/>
      <c r="I13773" s="12"/>
      <c r="J13773" s="12"/>
      <c r="K13773" s="12"/>
      <c r="L13773" s="12"/>
      <c r="M13773" s="11"/>
      <c r="N13773" s="11"/>
      <c r="O13773" s="11"/>
      <c r="P13773" s="11"/>
    </row>
    <row r="13774" spans="8:16" x14ac:dyDescent="0.25">
      <c r="H13774" s="12"/>
      <c r="I13774" s="12"/>
      <c r="J13774" s="12"/>
      <c r="K13774" s="12"/>
      <c r="L13774" s="12"/>
      <c r="M13774" s="11"/>
      <c r="N13774" s="11"/>
      <c r="O13774" s="11"/>
      <c r="P13774" s="11"/>
    </row>
    <row r="13775" spans="8:16" x14ac:dyDescent="0.25">
      <c r="H13775" s="12"/>
      <c r="I13775" s="12"/>
      <c r="J13775" s="12"/>
      <c r="K13775" s="12"/>
      <c r="L13775" s="12"/>
      <c r="M13775" s="11"/>
      <c r="N13775" s="11"/>
      <c r="O13775" s="11"/>
      <c r="P13775" s="11"/>
    </row>
    <row r="13776" spans="8:16" x14ac:dyDescent="0.25">
      <c r="H13776" s="12"/>
      <c r="I13776" s="12"/>
      <c r="J13776" s="12"/>
      <c r="K13776" s="12"/>
      <c r="L13776" s="12"/>
      <c r="M13776" s="11"/>
      <c r="N13776" s="11"/>
      <c r="O13776" s="11"/>
      <c r="P13776" s="11"/>
    </row>
    <row r="13777" spans="8:16" x14ac:dyDescent="0.25">
      <c r="H13777" s="12"/>
      <c r="I13777" s="12"/>
      <c r="J13777" s="12"/>
      <c r="K13777" s="12"/>
      <c r="L13777" s="12"/>
      <c r="M13777" s="11"/>
      <c r="N13777" s="11"/>
      <c r="O13777" s="11"/>
      <c r="P13777" s="11"/>
    </row>
    <row r="13778" spans="8:16" x14ac:dyDescent="0.25">
      <c r="H13778" s="12"/>
      <c r="I13778" s="12"/>
      <c r="J13778" s="12"/>
      <c r="K13778" s="12"/>
      <c r="L13778" s="12"/>
      <c r="M13778" s="11"/>
      <c r="N13778" s="11"/>
      <c r="O13778" s="11"/>
      <c r="P13778" s="11"/>
    </row>
    <row r="13779" spans="8:16" x14ac:dyDescent="0.25">
      <c r="H13779" s="12"/>
      <c r="I13779" s="12"/>
      <c r="J13779" s="12"/>
      <c r="K13779" s="12"/>
      <c r="L13779" s="12"/>
      <c r="M13779" s="11"/>
      <c r="N13779" s="11"/>
      <c r="O13779" s="11"/>
      <c r="P13779" s="11"/>
    </row>
    <row r="13780" spans="8:16" x14ac:dyDescent="0.25">
      <c r="H13780" s="12"/>
      <c r="I13780" s="12"/>
      <c r="J13780" s="12"/>
      <c r="K13780" s="12"/>
      <c r="L13780" s="12"/>
      <c r="M13780" s="11"/>
      <c r="N13780" s="11"/>
      <c r="O13780" s="11"/>
      <c r="P13780" s="11"/>
    </row>
    <row r="13781" spans="8:16" x14ac:dyDescent="0.25">
      <c r="H13781" s="12"/>
      <c r="I13781" s="12"/>
      <c r="J13781" s="12"/>
      <c r="K13781" s="12"/>
      <c r="L13781" s="12"/>
      <c r="M13781" s="11"/>
      <c r="N13781" s="11"/>
      <c r="O13781" s="11"/>
      <c r="P13781" s="11"/>
    </row>
    <row r="13782" spans="8:16" x14ac:dyDescent="0.25">
      <c r="H13782" s="12"/>
      <c r="I13782" s="12"/>
      <c r="J13782" s="12"/>
      <c r="K13782" s="12"/>
      <c r="L13782" s="12"/>
      <c r="M13782" s="11"/>
      <c r="N13782" s="11"/>
      <c r="O13782" s="11"/>
      <c r="P13782" s="11"/>
    </row>
    <row r="13783" spans="8:16" x14ac:dyDescent="0.25">
      <c r="H13783" s="12"/>
      <c r="I13783" s="12"/>
      <c r="J13783" s="12"/>
      <c r="K13783" s="12"/>
      <c r="L13783" s="12"/>
      <c r="M13783" s="11"/>
      <c r="N13783" s="11"/>
      <c r="O13783" s="11"/>
      <c r="P13783" s="11"/>
    </row>
    <row r="13784" spans="8:16" x14ac:dyDescent="0.25">
      <c r="H13784" s="12"/>
      <c r="I13784" s="12"/>
      <c r="J13784" s="12"/>
      <c r="K13784" s="12"/>
      <c r="L13784" s="12"/>
      <c r="M13784" s="11"/>
      <c r="N13784" s="11"/>
      <c r="O13784" s="11"/>
      <c r="P13784" s="11"/>
    </row>
    <row r="13785" spans="8:16" x14ac:dyDescent="0.25">
      <c r="H13785" s="12"/>
      <c r="I13785" s="12"/>
      <c r="J13785" s="12"/>
      <c r="K13785" s="12"/>
      <c r="L13785" s="12"/>
      <c r="M13785" s="11"/>
      <c r="N13785" s="11"/>
      <c r="O13785" s="11"/>
      <c r="P13785" s="11"/>
    </row>
    <row r="13786" spans="8:16" x14ac:dyDescent="0.25">
      <c r="H13786" s="12"/>
      <c r="I13786" s="12"/>
      <c r="J13786" s="12"/>
      <c r="K13786" s="12"/>
      <c r="L13786" s="12"/>
      <c r="M13786" s="11"/>
      <c r="N13786" s="11"/>
      <c r="O13786" s="11"/>
      <c r="P13786" s="11"/>
    </row>
    <row r="13787" spans="8:16" x14ac:dyDescent="0.25">
      <c r="H13787" s="12"/>
      <c r="I13787" s="12"/>
      <c r="J13787" s="12"/>
      <c r="K13787" s="12"/>
      <c r="L13787" s="12"/>
      <c r="M13787" s="11"/>
      <c r="N13787" s="11"/>
      <c r="O13787" s="11"/>
      <c r="P13787" s="11"/>
    </row>
    <row r="13788" spans="8:16" x14ac:dyDescent="0.25">
      <c r="H13788" s="12"/>
      <c r="I13788" s="12"/>
      <c r="J13788" s="12"/>
      <c r="K13788" s="12"/>
      <c r="L13788" s="12"/>
      <c r="M13788" s="11"/>
      <c r="N13788" s="11"/>
      <c r="O13788" s="11"/>
      <c r="P13788" s="11"/>
    </row>
    <row r="13789" spans="8:16" x14ac:dyDescent="0.25">
      <c r="H13789" s="12"/>
      <c r="I13789" s="12"/>
      <c r="J13789" s="12"/>
      <c r="K13789" s="12"/>
      <c r="L13789" s="12"/>
      <c r="M13789" s="11"/>
      <c r="N13789" s="11"/>
      <c r="O13789" s="11"/>
      <c r="P13789" s="11"/>
    </row>
    <row r="13790" spans="8:16" x14ac:dyDescent="0.25">
      <c r="H13790" s="12"/>
      <c r="I13790" s="12"/>
      <c r="J13790" s="12"/>
      <c r="K13790" s="12"/>
      <c r="L13790" s="12"/>
      <c r="M13790" s="11"/>
      <c r="N13790" s="11"/>
      <c r="O13790" s="11"/>
      <c r="P13790" s="11"/>
    </row>
    <row r="13791" spans="8:16" x14ac:dyDescent="0.25">
      <c r="H13791" s="12"/>
      <c r="I13791" s="12"/>
      <c r="J13791" s="12"/>
      <c r="K13791" s="12"/>
      <c r="L13791" s="12"/>
      <c r="M13791" s="11"/>
      <c r="N13791" s="11"/>
      <c r="O13791" s="11"/>
      <c r="P13791" s="11"/>
    </row>
    <row r="13792" spans="8:16" x14ac:dyDescent="0.25">
      <c r="H13792" s="12"/>
      <c r="I13792" s="12"/>
      <c r="J13792" s="12"/>
      <c r="K13792" s="12"/>
      <c r="L13792" s="12"/>
      <c r="M13792" s="11"/>
      <c r="N13792" s="11"/>
      <c r="O13792" s="11"/>
      <c r="P13792" s="11"/>
    </row>
    <row r="13793" spans="8:16" x14ac:dyDescent="0.25">
      <c r="H13793" s="12"/>
      <c r="I13793" s="12"/>
      <c r="J13793" s="12"/>
      <c r="K13793" s="12"/>
      <c r="L13793" s="12"/>
      <c r="M13793" s="11"/>
      <c r="N13793" s="11"/>
      <c r="O13793" s="11"/>
      <c r="P13793" s="11"/>
    </row>
    <row r="13794" spans="8:16" x14ac:dyDescent="0.25">
      <c r="H13794" s="12"/>
      <c r="I13794" s="12"/>
      <c r="J13794" s="12"/>
      <c r="K13794" s="12"/>
      <c r="L13794" s="12"/>
      <c r="M13794" s="11"/>
      <c r="N13794" s="11"/>
      <c r="O13794" s="11"/>
      <c r="P13794" s="11"/>
    </row>
    <row r="13795" spans="8:16" x14ac:dyDescent="0.25">
      <c r="H13795" s="12"/>
      <c r="I13795" s="12"/>
      <c r="J13795" s="12"/>
      <c r="K13795" s="12"/>
      <c r="L13795" s="12"/>
      <c r="M13795" s="11"/>
      <c r="N13795" s="11"/>
      <c r="O13795" s="11"/>
      <c r="P13795" s="11"/>
    </row>
    <row r="13796" spans="8:16" x14ac:dyDescent="0.25">
      <c r="H13796" s="12"/>
      <c r="I13796" s="12"/>
      <c r="J13796" s="12"/>
      <c r="K13796" s="12"/>
      <c r="L13796" s="12"/>
      <c r="M13796" s="11"/>
      <c r="N13796" s="11"/>
      <c r="O13796" s="11"/>
      <c r="P13796" s="11"/>
    </row>
    <row r="13797" spans="8:16" x14ac:dyDescent="0.25">
      <c r="H13797" s="12"/>
      <c r="I13797" s="12"/>
      <c r="J13797" s="12"/>
      <c r="K13797" s="12"/>
      <c r="L13797" s="12"/>
      <c r="M13797" s="11"/>
      <c r="N13797" s="11"/>
      <c r="O13797" s="11"/>
      <c r="P13797" s="11"/>
    </row>
    <row r="13798" spans="8:16" x14ac:dyDescent="0.25">
      <c r="H13798" s="12"/>
      <c r="I13798" s="12"/>
      <c r="J13798" s="12"/>
      <c r="K13798" s="12"/>
      <c r="L13798" s="12"/>
      <c r="M13798" s="11"/>
      <c r="N13798" s="11"/>
      <c r="O13798" s="11"/>
      <c r="P13798" s="11"/>
    </row>
    <row r="13799" spans="8:16" x14ac:dyDescent="0.25">
      <c r="H13799" s="12"/>
      <c r="I13799" s="12"/>
      <c r="J13799" s="12"/>
      <c r="K13799" s="12"/>
      <c r="L13799" s="12"/>
      <c r="M13799" s="11"/>
      <c r="N13799" s="11"/>
      <c r="O13799" s="11"/>
      <c r="P13799" s="11"/>
    </row>
    <row r="13800" spans="8:16" x14ac:dyDescent="0.25">
      <c r="H13800" s="12"/>
      <c r="I13800" s="12"/>
      <c r="J13800" s="12"/>
      <c r="K13800" s="12"/>
      <c r="L13800" s="12"/>
      <c r="M13800" s="11"/>
      <c r="N13800" s="11"/>
      <c r="O13800" s="11"/>
      <c r="P13800" s="11"/>
    </row>
    <row r="13801" spans="8:16" x14ac:dyDescent="0.25">
      <c r="H13801" s="12"/>
      <c r="I13801" s="12"/>
      <c r="J13801" s="12"/>
      <c r="K13801" s="12"/>
      <c r="L13801" s="12"/>
      <c r="M13801" s="11"/>
      <c r="N13801" s="11"/>
      <c r="O13801" s="11"/>
      <c r="P13801" s="11"/>
    </row>
    <row r="13802" spans="8:16" x14ac:dyDescent="0.25">
      <c r="H13802" s="12"/>
      <c r="I13802" s="12"/>
      <c r="J13802" s="12"/>
      <c r="K13802" s="12"/>
      <c r="L13802" s="12"/>
      <c r="M13802" s="11"/>
      <c r="N13802" s="11"/>
      <c r="O13802" s="11"/>
      <c r="P13802" s="11"/>
    </row>
    <row r="13803" spans="8:16" x14ac:dyDescent="0.25">
      <c r="H13803" s="12"/>
      <c r="I13803" s="12"/>
      <c r="J13803" s="12"/>
      <c r="K13803" s="12"/>
      <c r="L13803" s="12"/>
      <c r="M13803" s="11"/>
      <c r="N13803" s="11"/>
      <c r="O13803" s="11"/>
      <c r="P13803" s="11"/>
    </row>
    <row r="13804" spans="8:16" x14ac:dyDescent="0.25">
      <c r="H13804" s="12"/>
      <c r="I13804" s="12"/>
      <c r="J13804" s="12"/>
      <c r="K13804" s="12"/>
      <c r="L13804" s="12"/>
      <c r="M13804" s="11"/>
      <c r="N13804" s="11"/>
      <c r="O13804" s="11"/>
      <c r="P13804" s="11"/>
    </row>
    <row r="13805" spans="8:16" x14ac:dyDescent="0.25">
      <c r="H13805" s="12"/>
      <c r="I13805" s="12"/>
      <c r="J13805" s="12"/>
      <c r="K13805" s="12"/>
      <c r="L13805" s="12"/>
      <c r="M13805" s="11"/>
      <c r="N13805" s="11"/>
      <c r="O13805" s="11"/>
      <c r="P13805" s="11"/>
    </row>
    <row r="13806" spans="8:16" x14ac:dyDescent="0.25">
      <c r="H13806" s="12"/>
      <c r="I13806" s="12"/>
      <c r="J13806" s="12"/>
      <c r="K13806" s="12"/>
      <c r="L13806" s="12"/>
      <c r="M13806" s="11"/>
      <c r="N13806" s="11"/>
      <c r="O13806" s="11"/>
      <c r="P13806" s="11"/>
    </row>
    <row r="13807" spans="8:16" x14ac:dyDescent="0.25">
      <c r="H13807" s="12"/>
      <c r="I13807" s="12"/>
      <c r="J13807" s="12"/>
      <c r="K13807" s="12"/>
      <c r="L13807" s="12"/>
      <c r="M13807" s="11"/>
      <c r="N13807" s="11"/>
      <c r="O13807" s="11"/>
      <c r="P13807" s="11"/>
    </row>
    <row r="13808" spans="8:16" x14ac:dyDescent="0.25">
      <c r="H13808" s="12"/>
      <c r="I13808" s="12"/>
      <c r="J13808" s="12"/>
      <c r="K13808" s="12"/>
      <c r="L13808" s="12"/>
      <c r="M13808" s="11"/>
      <c r="N13808" s="11"/>
      <c r="O13808" s="11"/>
      <c r="P13808" s="11"/>
    </row>
    <row r="13809" spans="8:16" x14ac:dyDescent="0.25">
      <c r="H13809" s="12"/>
      <c r="I13809" s="12"/>
      <c r="J13809" s="12"/>
      <c r="K13809" s="12"/>
      <c r="L13809" s="12"/>
      <c r="M13809" s="11"/>
      <c r="N13809" s="11"/>
      <c r="O13809" s="11"/>
      <c r="P13809" s="11"/>
    </row>
    <row r="13810" spans="8:16" x14ac:dyDescent="0.25">
      <c r="H13810" s="12"/>
      <c r="I13810" s="12"/>
      <c r="J13810" s="12"/>
      <c r="K13810" s="12"/>
      <c r="L13810" s="12"/>
      <c r="M13810" s="11"/>
      <c r="N13810" s="11"/>
      <c r="O13810" s="11"/>
      <c r="P13810" s="11"/>
    </row>
    <row r="13811" spans="8:16" x14ac:dyDescent="0.25">
      <c r="H13811" s="12"/>
      <c r="I13811" s="12"/>
      <c r="J13811" s="12"/>
      <c r="K13811" s="12"/>
      <c r="L13811" s="12"/>
      <c r="M13811" s="11"/>
      <c r="N13811" s="11"/>
      <c r="O13811" s="11"/>
      <c r="P13811" s="11"/>
    </row>
    <row r="13812" spans="8:16" x14ac:dyDescent="0.25">
      <c r="H13812" s="12"/>
      <c r="I13812" s="12"/>
      <c r="J13812" s="12"/>
      <c r="K13812" s="12"/>
      <c r="L13812" s="12"/>
      <c r="M13812" s="11"/>
      <c r="N13812" s="11"/>
      <c r="O13812" s="11"/>
      <c r="P13812" s="11"/>
    </row>
    <row r="13813" spans="8:16" x14ac:dyDescent="0.25">
      <c r="H13813" s="12"/>
      <c r="I13813" s="12"/>
      <c r="J13813" s="12"/>
      <c r="K13813" s="12"/>
      <c r="L13813" s="12"/>
      <c r="M13813" s="11"/>
      <c r="N13813" s="11"/>
      <c r="O13813" s="11"/>
      <c r="P13813" s="11"/>
    </row>
    <row r="13814" spans="8:16" x14ac:dyDescent="0.25">
      <c r="H13814" s="12"/>
      <c r="I13814" s="12"/>
      <c r="J13814" s="12"/>
      <c r="K13814" s="12"/>
      <c r="L13814" s="12"/>
      <c r="M13814" s="11"/>
      <c r="N13814" s="11"/>
      <c r="O13814" s="11"/>
      <c r="P13814" s="11"/>
    </row>
    <row r="13815" spans="8:16" x14ac:dyDescent="0.25">
      <c r="H13815" s="12"/>
      <c r="I13815" s="12"/>
      <c r="J13815" s="12"/>
      <c r="K13815" s="12"/>
      <c r="L13815" s="12"/>
      <c r="M13815" s="11"/>
      <c r="N13815" s="11"/>
      <c r="O13815" s="11"/>
      <c r="P13815" s="11"/>
    </row>
    <row r="13816" spans="8:16" x14ac:dyDescent="0.25">
      <c r="H13816" s="12"/>
      <c r="I13816" s="12"/>
      <c r="J13816" s="12"/>
      <c r="K13816" s="12"/>
      <c r="L13816" s="12"/>
      <c r="M13816" s="11"/>
      <c r="N13816" s="11"/>
      <c r="O13816" s="11"/>
      <c r="P13816" s="11"/>
    </row>
    <row r="13817" spans="8:16" x14ac:dyDescent="0.25">
      <c r="H13817" s="12"/>
      <c r="I13817" s="12"/>
      <c r="J13817" s="12"/>
      <c r="K13817" s="12"/>
      <c r="L13817" s="12"/>
      <c r="M13817" s="11"/>
      <c r="N13817" s="11"/>
      <c r="O13817" s="11"/>
      <c r="P13817" s="11"/>
    </row>
    <row r="13818" spans="8:16" x14ac:dyDescent="0.25">
      <c r="H13818" s="12"/>
      <c r="I13818" s="12"/>
      <c r="J13818" s="12"/>
      <c r="K13818" s="12"/>
      <c r="L13818" s="12"/>
      <c r="M13818" s="11"/>
      <c r="N13818" s="11"/>
      <c r="O13818" s="11"/>
      <c r="P13818" s="11"/>
    </row>
    <row r="13819" spans="8:16" x14ac:dyDescent="0.25">
      <c r="H13819" s="12"/>
      <c r="I13819" s="12"/>
      <c r="J13819" s="12"/>
      <c r="K13819" s="12"/>
      <c r="L13819" s="12"/>
      <c r="M13819" s="11"/>
      <c r="N13819" s="11"/>
      <c r="O13819" s="11"/>
      <c r="P13819" s="11"/>
    </row>
    <row r="13820" spans="8:16" x14ac:dyDescent="0.25">
      <c r="H13820" s="12"/>
      <c r="I13820" s="12"/>
      <c r="J13820" s="12"/>
      <c r="K13820" s="12"/>
      <c r="L13820" s="12"/>
      <c r="M13820" s="11"/>
      <c r="N13820" s="11"/>
      <c r="O13820" s="11"/>
      <c r="P13820" s="11"/>
    </row>
    <row r="13821" spans="8:16" x14ac:dyDescent="0.25">
      <c r="H13821" s="12"/>
      <c r="I13821" s="12"/>
      <c r="J13821" s="12"/>
      <c r="K13821" s="12"/>
      <c r="L13821" s="12"/>
      <c r="M13821" s="11"/>
      <c r="N13821" s="11"/>
      <c r="O13821" s="11"/>
      <c r="P13821" s="11"/>
    </row>
    <row r="13822" spans="8:16" x14ac:dyDescent="0.25">
      <c r="H13822" s="12"/>
      <c r="I13822" s="12"/>
      <c r="J13822" s="12"/>
      <c r="K13822" s="12"/>
      <c r="L13822" s="12"/>
      <c r="M13822" s="11"/>
      <c r="N13822" s="11"/>
      <c r="O13822" s="11"/>
      <c r="P13822" s="11"/>
    </row>
    <row r="13823" spans="8:16" x14ac:dyDescent="0.25">
      <c r="H13823" s="12"/>
      <c r="I13823" s="12"/>
      <c r="J13823" s="12"/>
      <c r="K13823" s="12"/>
      <c r="L13823" s="12"/>
      <c r="M13823" s="11"/>
      <c r="N13823" s="11"/>
      <c r="O13823" s="11"/>
      <c r="P13823" s="11"/>
    </row>
    <row r="13824" spans="8:16" x14ac:dyDescent="0.25">
      <c r="H13824" s="12"/>
      <c r="I13824" s="12"/>
      <c r="J13824" s="12"/>
      <c r="K13824" s="12"/>
      <c r="L13824" s="12"/>
      <c r="M13824" s="11"/>
      <c r="N13824" s="11"/>
      <c r="O13824" s="11"/>
      <c r="P13824" s="11"/>
    </row>
    <row r="13825" spans="8:16" x14ac:dyDescent="0.25">
      <c r="H13825" s="12"/>
      <c r="I13825" s="12"/>
      <c r="J13825" s="12"/>
      <c r="K13825" s="12"/>
      <c r="L13825" s="12"/>
      <c r="M13825" s="11"/>
      <c r="N13825" s="11"/>
      <c r="O13825" s="11"/>
      <c r="P13825" s="11"/>
    </row>
    <row r="13826" spans="8:16" x14ac:dyDescent="0.25">
      <c r="H13826" s="12"/>
      <c r="I13826" s="12"/>
      <c r="J13826" s="12"/>
      <c r="K13826" s="12"/>
      <c r="L13826" s="12"/>
      <c r="M13826" s="11"/>
      <c r="N13826" s="11"/>
      <c r="O13826" s="11"/>
      <c r="P13826" s="11"/>
    </row>
    <row r="13827" spans="8:16" x14ac:dyDescent="0.25">
      <c r="H13827" s="12"/>
      <c r="I13827" s="12"/>
      <c r="J13827" s="12"/>
      <c r="K13827" s="12"/>
      <c r="L13827" s="12"/>
      <c r="M13827" s="11"/>
      <c r="N13827" s="11"/>
      <c r="O13827" s="11"/>
      <c r="P13827" s="11"/>
    </row>
    <row r="13828" spans="8:16" x14ac:dyDescent="0.25">
      <c r="H13828" s="12"/>
      <c r="I13828" s="12"/>
      <c r="J13828" s="12"/>
      <c r="K13828" s="12"/>
      <c r="L13828" s="12"/>
      <c r="M13828" s="11"/>
      <c r="N13828" s="11"/>
      <c r="O13828" s="11"/>
      <c r="P13828" s="11"/>
    </row>
    <row r="13829" spans="8:16" x14ac:dyDescent="0.25">
      <c r="H13829" s="12"/>
      <c r="I13829" s="12"/>
      <c r="J13829" s="12"/>
      <c r="K13829" s="12"/>
      <c r="L13829" s="12"/>
      <c r="M13829" s="11"/>
      <c r="N13829" s="11"/>
      <c r="O13829" s="11"/>
      <c r="P13829" s="11"/>
    </row>
    <row r="13830" spans="8:16" x14ac:dyDescent="0.25">
      <c r="H13830" s="12"/>
      <c r="I13830" s="12"/>
      <c r="J13830" s="12"/>
      <c r="K13830" s="12"/>
      <c r="L13830" s="12"/>
      <c r="M13830" s="11"/>
      <c r="N13830" s="11"/>
      <c r="O13830" s="11"/>
      <c r="P13830" s="11"/>
    </row>
    <row r="13831" spans="8:16" x14ac:dyDescent="0.25">
      <c r="H13831" s="12"/>
      <c r="I13831" s="12"/>
      <c r="J13831" s="12"/>
      <c r="K13831" s="12"/>
      <c r="L13831" s="12"/>
      <c r="M13831" s="11"/>
      <c r="N13831" s="11"/>
      <c r="O13831" s="11"/>
      <c r="P13831" s="11"/>
    </row>
    <row r="13832" spans="8:16" x14ac:dyDescent="0.25">
      <c r="H13832" s="12"/>
      <c r="I13832" s="12"/>
      <c r="J13832" s="12"/>
      <c r="K13832" s="12"/>
      <c r="L13832" s="12"/>
      <c r="M13832" s="11"/>
      <c r="N13832" s="11"/>
      <c r="O13832" s="11"/>
      <c r="P13832" s="11"/>
    </row>
    <row r="13833" spans="8:16" x14ac:dyDescent="0.25">
      <c r="H13833" s="12"/>
      <c r="I13833" s="12"/>
      <c r="J13833" s="12"/>
      <c r="K13833" s="12"/>
      <c r="L13833" s="12"/>
      <c r="M13833" s="11"/>
      <c r="N13833" s="11"/>
      <c r="O13833" s="11"/>
      <c r="P13833" s="11"/>
    </row>
    <row r="13834" spans="8:16" x14ac:dyDescent="0.25">
      <c r="H13834" s="12"/>
      <c r="I13834" s="12"/>
      <c r="J13834" s="12"/>
      <c r="K13834" s="12"/>
      <c r="L13834" s="12"/>
      <c r="M13834" s="11"/>
      <c r="N13834" s="11"/>
      <c r="O13834" s="11"/>
      <c r="P13834" s="11"/>
    </row>
    <row r="13835" spans="8:16" x14ac:dyDescent="0.25">
      <c r="H13835" s="12"/>
      <c r="I13835" s="12"/>
      <c r="J13835" s="12"/>
      <c r="K13835" s="12"/>
      <c r="L13835" s="12"/>
      <c r="M13835" s="11"/>
      <c r="N13835" s="11"/>
      <c r="O13835" s="11"/>
      <c r="P13835" s="11"/>
    </row>
    <row r="13836" spans="8:16" x14ac:dyDescent="0.25">
      <c r="H13836" s="12"/>
      <c r="I13836" s="12"/>
      <c r="J13836" s="12"/>
      <c r="K13836" s="12"/>
      <c r="L13836" s="12"/>
      <c r="M13836" s="11"/>
      <c r="N13836" s="11"/>
      <c r="O13836" s="11"/>
      <c r="P13836" s="11"/>
    </row>
    <row r="13837" spans="8:16" x14ac:dyDescent="0.25">
      <c r="H13837" s="12"/>
      <c r="I13837" s="12"/>
      <c r="J13837" s="12"/>
      <c r="K13837" s="12"/>
      <c r="L13837" s="12"/>
      <c r="M13837" s="11"/>
      <c r="N13837" s="11"/>
      <c r="O13837" s="11"/>
      <c r="P13837" s="11"/>
    </row>
    <row r="13838" spans="8:16" x14ac:dyDescent="0.25">
      <c r="H13838" s="12"/>
      <c r="I13838" s="12"/>
      <c r="J13838" s="12"/>
      <c r="K13838" s="12"/>
      <c r="L13838" s="12"/>
      <c r="M13838" s="11"/>
      <c r="N13838" s="11"/>
      <c r="O13838" s="11"/>
      <c r="P13838" s="11"/>
    </row>
    <row r="13839" spans="8:16" x14ac:dyDescent="0.25">
      <c r="H13839" s="12"/>
      <c r="I13839" s="12"/>
      <c r="J13839" s="12"/>
      <c r="K13839" s="12"/>
      <c r="L13839" s="12"/>
      <c r="M13839" s="11"/>
      <c r="N13839" s="11"/>
      <c r="O13839" s="11"/>
      <c r="P13839" s="11"/>
    </row>
    <row r="13840" spans="8:16" x14ac:dyDescent="0.25">
      <c r="H13840" s="12"/>
      <c r="I13840" s="12"/>
      <c r="J13840" s="12"/>
      <c r="K13840" s="12"/>
      <c r="L13840" s="12"/>
      <c r="M13840" s="11"/>
      <c r="N13840" s="11"/>
      <c r="O13840" s="11"/>
      <c r="P13840" s="11"/>
    </row>
    <row r="13841" spans="8:16" x14ac:dyDescent="0.25">
      <c r="H13841" s="12"/>
      <c r="I13841" s="12"/>
      <c r="J13841" s="12"/>
      <c r="K13841" s="12"/>
      <c r="L13841" s="12"/>
      <c r="M13841" s="11"/>
      <c r="N13841" s="11"/>
      <c r="O13841" s="11"/>
      <c r="P13841" s="11"/>
    </row>
    <row r="13842" spans="8:16" x14ac:dyDescent="0.25">
      <c r="H13842" s="12"/>
      <c r="I13842" s="12"/>
      <c r="J13842" s="12"/>
      <c r="K13842" s="12"/>
      <c r="L13842" s="12"/>
      <c r="M13842" s="11"/>
      <c r="N13842" s="11"/>
      <c r="O13842" s="11"/>
      <c r="P13842" s="11"/>
    </row>
    <row r="13843" spans="8:16" x14ac:dyDescent="0.25">
      <c r="H13843" s="12"/>
      <c r="I13843" s="12"/>
      <c r="J13843" s="12"/>
      <c r="K13843" s="12"/>
      <c r="L13843" s="12"/>
      <c r="M13843" s="11"/>
      <c r="N13843" s="11"/>
      <c r="O13843" s="11"/>
      <c r="P13843" s="11"/>
    </row>
    <row r="13844" spans="8:16" x14ac:dyDescent="0.25">
      <c r="H13844" s="12"/>
      <c r="I13844" s="12"/>
      <c r="J13844" s="12"/>
      <c r="K13844" s="12"/>
      <c r="L13844" s="12"/>
      <c r="M13844" s="11"/>
      <c r="N13844" s="11"/>
      <c r="O13844" s="11"/>
      <c r="P13844" s="11"/>
    </row>
    <row r="13845" spans="8:16" x14ac:dyDescent="0.25">
      <c r="H13845" s="12"/>
      <c r="I13845" s="12"/>
      <c r="J13845" s="12"/>
      <c r="K13845" s="12"/>
      <c r="L13845" s="12"/>
      <c r="M13845" s="11"/>
      <c r="N13845" s="11"/>
      <c r="O13845" s="11"/>
      <c r="P13845" s="11"/>
    </row>
    <row r="13846" spans="8:16" x14ac:dyDescent="0.25">
      <c r="H13846" s="12"/>
      <c r="I13846" s="12"/>
      <c r="J13846" s="12"/>
      <c r="K13846" s="12"/>
      <c r="L13846" s="12"/>
      <c r="M13846" s="11"/>
      <c r="N13846" s="11"/>
      <c r="O13846" s="11"/>
      <c r="P13846" s="11"/>
    </row>
    <row r="13847" spans="8:16" x14ac:dyDescent="0.25">
      <c r="H13847" s="12"/>
      <c r="I13847" s="12"/>
      <c r="J13847" s="12"/>
      <c r="K13847" s="12"/>
      <c r="L13847" s="12"/>
      <c r="M13847" s="11"/>
      <c r="N13847" s="11"/>
      <c r="O13847" s="11"/>
      <c r="P13847" s="11"/>
    </row>
    <row r="13848" spans="8:16" x14ac:dyDescent="0.25">
      <c r="H13848" s="12"/>
      <c r="I13848" s="12"/>
      <c r="J13848" s="12"/>
      <c r="K13848" s="12"/>
      <c r="L13848" s="12"/>
      <c r="M13848" s="11"/>
      <c r="N13848" s="11"/>
      <c r="O13848" s="11"/>
      <c r="P13848" s="11"/>
    </row>
    <row r="13849" spans="8:16" x14ac:dyDescent="0.25">
      <c r="H13849" s="12"/>
      <c r="I13849" s="12"/>
      <c r="J13849" s="12"/>
      <c r="K13849" s="12"/>
      <c r="L13849" s="12"/>
      <c r="M13849" s="11"/>
      <c r="N13849" s="11"/>
      <c r="O13849" s="11"/>
      <c r="P13849" s="11"/>
    </row>
    <row r="13850" spans="8:16" x14ac:dyDescent="0.25">
      <c r="H13850" s="12"/>
      <c r="I13850" s="12"/>
      <c r="J13850" s="12"/>
      <c r="K13850" s="12"/>
      <c r="L13850" s="12"/>
      <c r="M13850" s="11"/>
      <c r="N13850" s="11"/>
      <c r="O13850" s="11"/>
      <c r="P13850" s="11"/>
    </row>
    <row r="13851" spans="8:16" x14ac:dyDescent="0.25">
      <c r="H13851" s="12"/>
      <c r="I13851" s="12"/>
      <c r="J13851" s="12"/>
      <c r="K13851" s="12"/>
      <c r="L13851" s="12"/>
      <c r="M13851" s="11"/>
      <c r="N13851" s="11"/>
      <c r="O13851" s="11"/>
      <c r="P13851" s="11"/>
    </row>
    <row r="13852" spans="8:16" x14ac:dyDescent="0.25">
      <c r="H13852" s="12"/>
      <c r="I13852" s="12"/>
      <c r="J13852" s="12"/>
      <c r="K13852" s="12"/>
      <c r="L13852" s="12"/>
      <c r="M13852" s="11"/>
      <c r="N13852" s="11"/>
      <c r="O13852" s="11"/>
      <c r="P13852" s="11"/>
    </row>
    <row r="13853" spans="8:16" x14ac:dyDescent="0.25">
      <c r="H13853" s="12"/>
      <c r="I13853" s="12"/>
      <c r="J13853" s="12"/>
      <c r="K13853" s="12"/>
      <c r="L13853" s="12"/>
      <c r="M13853" s="11"/>
      <c r="N13853" s="11"/>
      <c r="O13853" s="11"/>
      <c r="P13853" s="11"/>
    </row>
    <row r="13854" spans="8:16" x14ac:dyDescent="0.25">
      <c r="H13854" s="12"/>
      <c r="I13854" s="12"/>
      <c r="J13854" s="12"/>
      <c r="K13854" s="12"/>
      <c r="L13854" s="12"/>
      <c r="M13854" s="11"/>
      <c r="N13854" s="11"/>
      <c r="O13854" s="11"/>
      <c r="P13854" s="11"/>
    </row>
    <row r="13855" spans="8:16" x14ac:dyDescent="0.25">
      <c r="H13855" s="12"/>
      <c r="I13855" s="12"/>
      <c r="J13855" s="12"/>
      <c r="K13855" s="12"/>
      <c r="L13855" s="12"/>
      <c r="M13855" s="11"/>
      <c r="N13855" s="11"/>
      <c r="O13855" s="11"/>
      <c r="P13855" s="11"/>
    </row>
    <row r="13856" spans="8:16" x14ac:dyDescent="0.25">
      <c r="H13856" s="12"/>
      <c r="I13856" s="12"/>
      <c r="J13856" s="12"/>
      <c r="K13856" s="12"/>
      <c r="L13856" s="12"/>
      <c r="M13856" s="11"/>
      <c r="N13856" s="11"/>
      <c r="O13856" s="11"/>
      <c r="P13856" s="11"/>
    </row>
    <row r="13857" spans="8:16" x14ac:dyDescent="0.25">
      <c r="H13857" s="12"/>
      <c r="I13857" s="12"/>
      <c r="J13857" s="12"/>
      <c r="K13857" s="12"/>
      <c r="L13857" s="12"/>
      <c r="M13857" s="11"/>
      <c r="N13857" s="11"/>
      <c r="O13857" s="11"/>
      <c r="P13857" s="11"/>
    </row>
    <row r="13858" spans="8:16" x14ac:dyDescent="0.25">
      <c r="H13858" s="12"/>
      <c r="I13858" s="12"/>
      <c r="J13858" s="12"/>
      <c r="K13858" s="12"/>
      <c r="L13858" s="12"/>
      <c r="M13858" s="11"/>
      <c r="N13858" s="11"/>
      <c r="O13858" s="11"/>
      <c r="P13858" s="11"/>
    </row>
    <row r="13859" spans="8:16" x14ac:dyDescent="0.25">
      <c r="H13859" s="12"/>
      <c r="I13859" s="12"/>
      <c r="J13859" s="12"/>
      <c r="K13859" s="12"/>
      <c r="L13859" s="12"/>
      <c r="M13859" s="11"/>
      <c r="N13859" s="11"/>
      <c r="O13859" s="11"/>
      <c r="P13859" s="11"/>
    </row>
    <row r="13860" spans="8:16" x14ac:dyDescent="0.25">
      <c r="H13860" s="12"/>
      <c r="I13860" s="12"/>
      <c r="J13860" s="12"/>
      <c r="K13860" s="12"/>
      <c r="L13860" s="12"/>
      <c r="M13860" s="11"/>
      <c r="N13860" s="11"/>
      <c r="O13860" s="11"/>
      <c r="P13860" s="11"/>
    </row>
    <row r="13861" spans="8:16" x14ac:dyDescent="0.25">
      <c r="H13861" s="12"/>
      <c r="I13861" s="12"/>
      <c r="J13861" s="12"/>
      <c r="K13861" s="12"/>
      <c r="L13861" s="12"/>
      <c r="M13861" s="11"/>
      <c r="N13861" s="11"/>
      <c r="O13861" s="11"/>
      <c r="P13861" s="11"/>
    </row>
    <row r="13862" spans="8:16" x14ac:dyDescent="0.25">
      <c r="H13862" s="12"/>
      <c r="I13862" s="12"/>
      <c r="J13862" s="12"/>
      <c r="K13862" s="12"/>
      <c r="L13862" s="12"/>
      <c r="M13862" s="11"/>
      <c r="N13862" s="11"/>
      <c r="O13862" s="11"/>
      <c r="P13862" s="11"/>
    </row>
    <row r="13863" spans="8:16" x14ac:dyDescent="0.25">
      <c r="H13863" s="12"/>
      <c r="I13863" s="12"/>
      <c r="J13863" s="12"/>
      <c r="K13863" s="12"/>
      <c r="L13863" s="12"/>
      <c r="M13863" s="11"/>
      <c r="N13863" s="11"/>
      <c r="O13863" s="11"/>
      <c r="P13863" s="11"/>
    </row>
    <row r="13864" spans="8:16" x14ac:dyDescent="0.25">
      <c r="H13864" s="12"/>
      <c r="I13864" s="12"/>
      <c r="J13864" s="12"/>
      <c r="K13864" s="12"/>
      <c r="L13864" s="12"/>
      <c r="M13864" s="11"/>
      <c r="N13864" s="11"/>
      <c r="O13864" s="11"/>
      <c r="P13864" s="11"/>
    </row>
    <row r="13865" spans="8:16" x14ac:dyDescent="0.25">
      <c r="H13865" s="12"/>
      <c r="I13865" s="12"/>
      <c r="J13865" s="12"/>
      <c r="K13865" s="12"/>
      <c r="L13865" s="12"/>
      <c r="M13865" s="11"/>
      <c r="N13865" s="11"/>
      <c r="O13865" s="11"/>
      <c r="P13865" s="11"/>
    </row>
    <row r="13866" spans="8:16" x14ac:dyDescent="0.25">
      <c r="H13866" s="12"/>
      <c r="I13866" s="12"/>
      <c r="J13866" s="12"/>
      <c r="K13866" s="12"/>
      <c r="L13866" s="12"/>
      <c r="M13866" s="11"/>
      <c r="N13866" s="11"/>
      <c r="O13866" s="11"/>
      <c r="P13866" s="11"/>
    </row>
    <row r="13867" spans="8:16" x14ac:dyDescent="0.25">
      <c r="H13867" s="12"/>
      <c r="I13867" s="12"/>
      <c r="J13867" s="12"/>
      <c r="K13867" s="12"/>
      <c r="L13867" s="12"/>
      <c r="M13867" s="11"/>
      <c r="N13867" s="11"/>
      <c r="O13867" s="11"/>
      <c r="P13867" s="11"/>
    </row>
    <row r="13868" spans="8:16" x14ac:dyDescent="0.25">
      <c r="H13868" s="12"/>
      <c r="I13868" s="12"/>
      <c r="J13868" s="12"/>
      <c r="K13868" s="12"/>
      <c r="L13868" s="12"/>
      <c r="M13868" s="11"/>
      <c r="N13868" s="11"/>
      <c r="O13868" s="11"/>
      <c r="P13868" s="11"/>
    </row>
    <row r="13869" spans="8:16" x14ac:dyDescent="0.25">
      <c r="H13869" s="12"/>
      <c r="I13869" s="12"/>
      <c r="J13869" s="12"/>
      <c r="K13869" s="12"/>
      <c r="L13869" s="12"/>
      <c r="M13869" s="11"/>
      <c r="N13869" s="11"/>
      <c r="O13869" s="11"/>
      <c r="P13869" s="11"/>
    </row>
    <row r="13870" spans="8:16" x14ac:dyDescent="0.25">
      <c r="H13870" s="12"/>
      <c r="I13870" s="12"/>
      <c r="J13870" s="12"/>
      <c r="K13870" s="12"/>
      <c r="L13870" s="12"/>
      <c r="M13870" s="11"/>
      <c r="N13870" s="11"/>
      <c r="O13870" s="11"/>
      <c r="P13870" s="11"/>
    </row>
    <row r="13871" spans="8:16" x14ac:dyDescent="0.25">
      <c r="H13871" s="12"/>
      <c r="I13871" s="12"/>
      <c r="J13871" s="12"/>
      <c r="K13871" s="12"/>
      <c r="L13871" s="12"/>
      <c r="M13871" s="11"/>
      <c r="N13871" s="11"/>
      <c r="O13871" s="11"/>
      <c r="P13871" s="11"/>
    </row>
    <row r="13872" spans="8:16" x14ac:dyDescent="0.25">
      <c r="H13872" s="12"/>
      <c r="I13872" s="12"/>
      <c r="J13872" s="12"/>
      <c r="K13872" s="12"/>
      <c r="L13872" s="12"/>
      <c r="M13872" s="11"/>
      <c r="N13872" s="11"/>
      <c r="O13872" s="11"/>
      <c r="P13872" s="11"/>
    </row>
    <row r="13873" spans="8:16" x14ac:dyDescent="0.25">
      <c r="H13873" s="12"/>
      <c r="I13873" s="12"/>
      <c r="J13873" s="12"/>
      <c r="K13873" s="12"/>
      <c r="L13873" s="12"/>
      <c r="M13873" s="11"/>
      <c r="N13873" s="11"/>
      <c r="O13873" s="11"/>
      <c r="P13873" s="11"/>
    </row>
    <row r="13874" spans="8:16" x14ac:dyDescent="0.25">
      <c r="H13874" s="12"/>
      <c r="I13874" s="12"/>
      <c r="J13874" s="12"/>
      <c r="K13874" s="12"/>
      <c r="L13874" s="12"/>
      <c r="M13874" s="11"/>
      <c r="N13874" s="11"/>
      <c r="O13874" s="11"/>
      <c r="P13874" s="11"/>
    </row>
    <row r="13875" spans="8:16" x14ac:dyDescent="0.25">
      <c r="H13875" s="12"/>
      <c r="I13875" s="12"/>
      <c r="J13875" s="12"/>
      <c r="K13875" s="12"/>
      <c r="L13875" s="12"/>
      <c r="M13875" s="11"/>
      <c r="N13875" s="11"/>
      <c r="O13875" s="11"/>
      <c r="P13875" s="11"/>
    </row>
    <row r="13876" spans="8:16" x14ac:dyDescent="0.25">
      <c r="H13876" s="12"/>
      <c r="I13876" s="12"/>
      <c r="J13876" s="12"/>
      <c r="K13876" s="12"/>
      <c r="L13876" s="12"/>
      <c r="M13876" s="11"/>
      <c r="N13876" s="11"/>
      <c r="O13876" s="11"/>
      <c r="P13876" s="11"/>
    </row>
    <row r="13877" spans="8:16" x14ac:dyDescent="0.25">
      <c r="H13877" s="12"/>
      <c r="I13877" s="12"/>
      <c r="J13877" s="12"/>
      <c r="K13877" s="12"/>
      <c r="L13877" s="12"/>
      <c r="M13877" s="11"/>
      <c r="N13877" s="11"/>
      <c r="O13877" s="11"/>
      <c r="P13877" s="11"/>
    </row>
    <row r="13878" spans="8:16" x14ac:dyDescent="0.25">
      <c r="H13878" s="12"/>
      <c r="I13878" s="12"/>
      <c r="J13878" s="12"/>
      <c r="K13878" s="12"/>
      <c r="L13878" s="12"/>
      <c r="M13878" s="11"/>
      <c r="N13878" s="11"/>
      <c r="O13878" s="11"/>
      <c r="P13878" s="11"/>
    </row>
    <row r="13879" spans="8:16" x14ac:dyDescent="0.25">
      <c r="H13879" s="12"/>
      <c r="I13879" s="12"/>
      <c r="J13879" s="12"/>
      <c r="K13879" s="12"/>
      <c r="L13879" s="12"/>
      <c r="M13879" s="11"/>
      <c r="N13879" s="11"/>
      <c r="O13879" s="11"/>
      <c r="P13879" s="11"/>
    </row>
    <row r="13880" spans="8:16" x14ac:dyDescent="0.25">
      <c r="H13880" s="12"/>
      <c r="I13880" s="12"/>
      <c r="J13880" s="12"/>
      <c r="K13880" s="12"/>
      <c r="L13880" s="12"/>
      <c r="M13880" s="11"/>
      <c r="N13880" s="11"/>
      <c r="O13880" s="11"/>
      <c r="P13880" s="11"/>
    </row>
    <row r="13881" spans="8:16" x14ac:dyDescent="0.25">
      <c r="H13881" s="12"/>
      <c r="I13881" s="12"/>
      <c r="J13881" s="12"/>
      <c r="K13881" s="12"/>
      <c r="L13881" s="12"/>
      <c r="M13881" s="11"/>
      <c r="N13881" s="11"/>
      <c r="O13881" s="11"/>
      <c r="P13881" s="11"/>
    </row>
    <row r="13882" spans="8:16" x14ac:dyDescent="0.25">
      <c r="H13882" s="12"/>
      <c r="I13882" s="12"/>
      <c r="J13882" s="12"/>
      <c r="K13882" s="12"/>
      <c r="L13882" s="12"/>
      <c r="M13882" s="11"/>
      <c r="N13882" s="11"/>
      <c r="O13882" s="11"/>
      <c r="P13882" s="11"/>
    </row>
    <row r="13883" spans="8:16" x14ac:dyDescent="0.25">
      <c r="H13883" s="12"/>
      <c r="I13883" s="12"/>
      <c r="J13883" s="12"/>
      <c r="K13883" s="12"/>
      <c r="L13883" s="12"/>
      <c r="M13883" s="11"/>
      <c r="N13883" s="11"/>
      <c r="O13883" s="11"/>
      <c r="P13883" s="11"/>
    </row>
    <row r="13884" spans="8:16" x14ac:dyDescent="0.25">
      <c r="H13884" s="12"/>
      <c r="I13884" s="12"/>
      <c r="J13884" s="12"/>
      <c r="K13884" s="12"/>
      <c r="L13884" s="12"/>
      <c r="M13884" s="11"/>
      <c r="N13884" s="11"/>
      <c r="O13884" s="11"/>
      <c r="P13884" s="11"/>
    </row>
    <row r="13885" spans="8:16" x14ac:dyDescent="0.25">
      <c r="H13885" s="12"/>
      <c r="I13885" s="12"/>
      <c r="J13885" s="12"/>
      <c r="K13885" s="12"/>
      <c r="L13885" s="12"/>
      <c r="M13885" s="11"/>
      <c r="N13885" s="11"/>
      <c r="O13885" s="11"/>
      <c r="P13885" s="11"/>
    </row>
    <row r="13886" spans="8:16" x14ac:dyDescent="0.25">
      <c r="H13886" s="12"/>
      <c r="I13886" s="12"/>
      <c r="J13886" s="12"/>
      <c r="K13886" s="12"/>
      <c r="L13886" s="12"/>
      <c r="M13886" s="11"/>
      <c r="N13886" s="11"/>
      <c r="O13886" s="11"/>
      <c r="P13886" s="11"/>
    </row>
    <row r="13887" spans="8:16" x14ac:dyDescent="0.25">
      <c r="H13887" s="12"/>
      <c r="I13887" s="12"/>
      <c r="J13887" s="12"/>
      <c r="K13887" s="12"/>
      <c r="L13887" s="12"/>
      <c r="M13887" s="11"/>
      <c r="N13887" s="11"/>
      <c r="O13887" s="11"/>
      <c r="P13887" s="11"/>
    </row>
    <row r="13888" spans="8:16" x14ac:dyDescent="0.25">
      <c r="H13888" s="12"/>
      <c r="I13888" s="12"/>
      <c r="J13888" s="12"/>
      <c r="K13888" s="12"/>
      <c r="L13888" s="12"/>
      <c r="M13888" s="11"/>
      <c r="N13888" s="11"/>
      <c r="O13888" s="11"/>
      <c r="P13888" s="11"/>
    </row>
    <row r="13889" spans="8:16" x14ac:dyDescent="0.25">
      <c r="H13889" s="12"/>
      <c r="I13889" s="12"/>
      <c r="J13889" s="12"/>
      <c r="K13889" s="12"/>
      <c r="L13889" s="12"/>
      <c r="M13889" s="11"/>
      <c r="N13889" s="11"/>
      <c r="O13889" s="11"/>
      <c r="P13889" s="11"/>
    </row>
    <row r="13890" spans="8:16" x14ac:dyDescent="0.25">
      <c r="H13890" s="12"/>
      <c r="I13890" s="12"/>
      <c r="J13890" s="12"/>
      <c r="K13890" s="12"/>
      <c r="L13890" s="12"/>
      <c r="M13890" s="11"/>
      <c r="N13890" s="11"/>
      <c r="O13890" s="11"/>
      <c r="P13890" s="11"/>
    </row>
    <row r="13891" spans="8:16" x14ac:dyDescent="0.25">
      <c r="H13891" s="12"/>
      <c r="I13891" s="12"/>
      <c r="J13891" s="12"/>
      <c r="K13891" s="12"/>
      <c r="L13891" s="12"/>
      <c r="M13891" s="11"/>
      <c r="N13891" s="11"/>
      <c r="O13891" s="11"/>
      <c r="P13891" s="11"/>
    </row>
    <row r="13892" spans="8:16" x14ac:dyDescent="0.25">
      <c r="H13892" s="12"/>
      <c r="I13892" s="12"/>
      <c r="J13892" s="12"/>
      <c r="K13892" s="12"/>
      <c r="L13892" s="12"/>
      <c r="M13892" s="11"/>
      <c r="N13892" s="11"/>
      <c r="O13892" s="11"/>
      <c r="P13892" s="11"/>
    </row>
    <row r="13893" spans="8:16" x14ac:dyDescent="0.25">
      <c r="H13893" s="12"/>
      <c r="I13893" s="12"/>
      <c r="J13893" s="12"/>
      <c r="K13893" s="12"/>
      <c r="L13893" s="12"/>
      <c r="M13893" s="11"/>
      <c r="N13893" s="11"/>
      <c r="O13893" s="11"/>
      <c r="P13893" s="11"/>
    </row>
    <row r="13894" spans="8:16" x14ac:dyDescent="0.25">
      <c r="H13894" s="12"/>
      <c r="I13894" s="12"/>
      <c r="J13894" s="12"/>
      <c r="K13894" s="12"/>
      <c r="L13894" s="12"/>
      <c r="M13894" s="11"/>
      <c r="N13894" s="11"/>
      <c r="O13894" s="11"/>
      <c r="P13894" s="11"/>
    </row>
    <row r="13895" spans="8:16" x14ac:dyDescent="0.25">
      <c r="H13895" s="12"/>
      <c r="I13895" s="12"/>
      <c r="J13895" s="12"/>
      <c r="K13895" s="12"/>
      <c r="L13895" s="12"/>
      <c r="M13895" s="11"/>
      <c r="N13895" s="11"/>
      <c r="O13895" s="11"/>
      <c r="P13895" s="11"/>
    </row>
    <row r="13896" spans="8:16" x14ac:dyDescent="0.25">
      <c r="H13896" s="12"/>
      <c r="I13896" s="12"/>
      <c r="J13896" s="12"/>
      <c r="K13896" s="12"/>
      <c r="L13896" s="12"/>
      <c r="M13896" s="11"/>
      <c r="N13896" s="11"/>
      <c r="O13896" s="11"/>
      <c r="P13896" s="11"/>
    </row>
    <row r="13897" spans="8:16" x14ac:dyDescent="0.25">
      <c r="H13897" s="12"/>
      <c r="I13897" s="12"/>
      <c r="J13897" s="12"/>
      <c r="K13897" s="12"/>
      <c r="L13897" s="12"/>
      <c r="M13897" s="11"/>
      <c r="N13897" s="11"/>
      <c r="O13897" s="11"/>
      <c r="P13897" s="11"/>
    </row>
    <row r="13898" spans="8:16" x14ac:dyDescent="0.25">
      <c r="H13898" s="12"/>
      <c r="I13898" s="12"/>
      <c r="J13898" s="12"/>
      <c r="K13898" s="12"/>
      <c r="L13898" s="12"/>
      <c r="M13898" s="11"/>
      <c r="N13898" s="11"/>
      <c r="O13898" s="11"/>
      <c r="P13898" s="11"/>
    </row>
    <row r="13899" spans="8:16" x14ac:dyDescent="0.25">
      <c r="H13899" s="12"/>
      <c r="I13899" s="12"/>
      <c r="J13899" s="12"/>
      <c r="K13899" s="12"/>
      <c r="L13899" s="12"/>
      <c r="M13899" s="11"/>
      <c r="N13899" s="11"/>
      <c r="O13899" s="11"/>
      <c r="P13899" s="11"/>
    </row>
    <row r="13900" spans="8:16" x14ac:dyDescent="0.25">
      <c r="H13900" s="12"/>
      <c r="I13900" s="12"/>
      <c r="J13900" s="12"/>
      <c r="K13900" s="12"/>
      <c r="L13900" s="12"/>
      <c r="M13900" s="11"/>
      <c r="N13900" s="11"/>
      <c r="O13900" s="11"/>
      <c r="P13900" s="11"/>
    </row>
    <row r="13901" spans="8:16" x14ac:dyDescent="0.25">
      <c r="H13901" s="12"/>
      <c r="I13901" s="12"/>
      <c r="J13901" s="12"/>
      <c r="K13901" s="12"/>
      <c r="L13901" s="12"/>
      <c r="M13901" s="11"/>
      <c r="N13901" s="11"/>
      <c r="O13901" s="11"/>
      <c r="P13901" s="11"/>
    </row>
    <row r="13902" spans="8:16" x14ac:dyDescent="0.25">
      <c r="H13902" s="12"/>
      <c r="I13902" s="12"/>
      <c r="J13902" s="12"/>
      <c r="K13902" s="12"/>
      <c r="L13902" s="12"/>
      <c r="M13902" s="11"/>
      <c r="N13902" s="11"/>
      <c r="O13902" s="11"/>
      <c r="P13902" s="11"/>
    </row>
    <row r="13903" spans="8:16" x14ac:dyDescent="0.25">
      <c r="H13903" s="12"/>
      <c r="I13903" s="12"/>
      <c r="J13903" s="12"/>
      <c r="K13903" s="12"/>
      <c r="L13903" s="12"/>
      <c r="M13903" s="11"/>
      <c r="N13903" s="11"/>
      <c r="O13903" s="11"/>
      <c r="P13903" s="11"/>
    </row>
    <row r="13904" spans="8:16" x14ac:dyDescent="0.25">
      <c r="H13904" s="12"/>
      <c r="I13904" s="12"/>
      <c r="J13904" s="12"/>
      <c r="K13904" s="12"/>
      <c r="L13904" s="12"/>
      <c r="M13904" s="11"/>
      <c r="N13904" s="11"/>
      <c r="O13904" s="11"/>
      <c r="P13904" s="11"/>
    </row>
    <row r="13905" spans="8:16" x14ac:dyDescent="0.25">
      <c r="H13905" s="12"/>
      <c r="I13905" s="12"/>
      <c r="J13905" s="12"/>
      <c r="K13905" s="12"/>
      <c r="L13905" s="12"/>
      <c r="M13905" s="11"/>
      <c r="N13905" s="11"/>
      <c r="O13905" s="11"/>
      <c r="P13905" s="11"/>
    </row>
    <row r="13906" spans="8:16" x14ac:dyDescent="0.25">
      <c r="H13906" s="12"/>
      <c r="I13906" s="12"/>
      <c r="J13906" s="12"/>
      <c r="K13906" s="12"/>
      <c r="L13906" s="12"/>
      <c r="M13906" s="11"/>
      <c r="N13906" s="11"/>
      <c r="O13906" s="11"/>
      <c r="P13906" s="11"/>
    </row>
    <row r="13907" spans="8:16" x14ac:dyDescent="0.25">
      <c r="H13907" s="12"/>
      <c r="I13907" s="12"/>
      <c r="J13907" s="12"/>
      <c r="K13907" s="12"/>
      <c r="L13907" s="12"/>
      <c r="M13907" s="11"/>
      <c r="N13907" s="11"/>
      <c r="O13907" s="11"/>
      <c r="P13907" s="11"/>
    </row>
    <row r="13908" spans="8:16" x14ac:dyDescent="0.25">
      <c r="H13908" s="12"/>
      <c r="I13908" s="12"/>
      <c r="J13908" s="12"/>
      <c r="K13908" s="12"/>
      <c r="L13908" s="12"/>
      <c r="M13908" s="11"/>
      <c r="N13908" s="11"/>
      <c r="O13908" s="11"/>
      <c r="P13908" s="11"/>
    </row>
    <row r="13909" spans="8:16" x14ac:dyDescent="0.25">
      <c r="H13909" s="12"/>
      <c r="I13909" s="12"/>
      <c r="J13909" s="12"/>
      <c r="K13909" s="12"/>
      <c r="L13909" s="12"/>
      <c r="M13909" s="11"/>
      <c r="N13909" s="11"/>
      <c r="O13909" s="11"/>
      <c r="P13909" s="11"/>
    </row>
    <row r="13910" spans="8:16" x14ac:dyDescent="0.25">
      <c r="H13910" s="12"/>
      <c r="I13910" s="12"/>
      <c r="J13910" s="12"/>
      <c r="K13910" s="12"/>
      <c r="L13910" s="12"/>
      <c r="M13910" s="11"/>
      <c r="N13910" s="11"/>
      <c r="O13910" s="11"/>
      <c r="P13910" s="11"/>
    </row>
    <row r="13911" spans="8:16" x14ac:dyDescent="0.25">
      <c r="H13911" s="12"/>
      <c r="I13911" s="12"/>
      <c r="J13911" s="12"/>
      <c r="K13911" s="12"/>
      <c r="L13911" s="12"/>
      <c r="M13911" s="11"/>
      <c r="N13911" s="11"/>
      <c r="O13911" s="11"/>
      <c r="P13911" s="11"/>
    </row>
    <row r="13912" spans="8:16" x14ac:dyDescent="0.25">
      <c r="H13912" s="12"/>
      <c r="I13912" s="12"/>
      <c r="J13912" s="12"/>
      <c r="K13912" s="12"/>
      <c r="L13912" s="12"/>
      <c r="M13912" s="11"/>
      <c r="N13912" s="11"/>
      <c r="O13912" s="11"/>
      <c r="P13912" s="11"/>
    </row>
    <row r="13913" spans="8:16" x14ac:dyDescent="0.25">
      <c r="H13913" s="12"/>
      <c r="I13913" s="12"/>
      <c r="J13913" s="12"/>
      <c r="K13913" s="12"/>
      <c r="L13913" s="12"/>
      <c r="M13913" s="11"/>
      <c r="N13913" s="11"/>
      <c r="O13913" s="11"/>
      <c r="P13913" s="11"/>
    </row>
    <row r="13914" spans="8:16" x14ac:dyDescent="0.25">
      <c r="H13914" s="12"/>
      <c r="I13914" s="12"/>
      <c r="J13914" s="12"/>
      <c r="K13914" s="12"/>
      <c r="L13914" s="12"/>
      <c r="M13914" s="11"/>
      <c r="N13914" s="11"/>
      <c r="O13914" s="11"/>
      <c r="P13914" s="11"/>
    </row>
    <row r="13915" spans="8:16" x14ac:dyDescent="0.25">
      <c r="H13915" s="12"/>
      <c r="I13915" s="12"/>
      <c r="J13915" s="12"/>
      <c r="K13915" s="12"/>
      <c r="L13915" s="12"/>
      <c r="M13915" s="11"/>
      <c r="N13915" s="11"/>
      <c r="O13915" s="11"/>
      <c r="P13915" s="11"/>
    </row>
    <row r="13916" spans="8:16" x14ac:dyDescent="0.25">
      <c r="H13916" s="12"/>
      <c r="I13916" s="12"/>
      <c r="J13916" s="12"/>
      <c r="K13916" s="12"/>
      <c r="L13916" s="12"/>
      <c r="M13916" s="11"/>
      <c r="N13916" s="11"/>
      <c r="O13916" s="11"/>
      <c r="P13916" s="11"/>
    </row>
    <row r="13917" spans="8:16" x14ac:dyDescent="0.25">
      <c r="H13917" s="12"/>
      <c r="I13917" s="12"/>
      <c r="J13917" s="12"/>
      <c r="K13917" s="12"/>
      <c r="L13917" s="12"/>
      <c r="M13917" s="11"/>
      <c r="N13917" s="11"/>
      <c r="O13917" s="11"/>
      <c r="P13917" s="11"/>
    </row>
    <row r="13918" spans="8:16" x14ac:dyDescent="0.25">
      <c r="H13918" s="12"/>
      <c r="I13918" s="12"/>
      <c r="J13918" s="12"/>
      <c r="K13918" s="12"/>
      <c r="L13918" s="12"/>
      <c r="M13918" s="11"/>
      <c r="N13918" s="11"/>
      <c r="O13918" s="11"/>
      <c r="P13918" s="11"/>
    </row>
    <row r="13919" spans="8:16" x14ac:dyDescent="0.25">
      <c r="H13919" s="12"/>
      <c r="I13919" s="12"/>
      <c r="J13919" s="12"/>
      <c r="K13919" s="12"/>
      <c r="L13919" s="12"/>
      <c r="M13919" s="11"/>
      <c r="N13919" s="11"/>
      <c r="O13919" s="11"/>
      <c r="P13919" s="11"/>
    </row>
    <row r="13920" spans="8:16" x14ac:dyDescent="0.25">
      <c r="H13920" s="12"/>
      <c r="I13920" s="12"/>
      <c r="J13920" s="12"/>
      <c r="K13920" s="12"/>
      <c r="L13920" s="12"/>
      <c r="M13920" s="11"/>
      <c r="N13920" s="11"/>
      <c r="O13920" s="11"/>
      <c r="P13920" s="11"/>
    </row>
    <row r="13921" spans="8:16" x14ac:dyDescent="0.25">
      <c r="H13921" s="12"/>
      <c r="I13921" s="12"/>
      <c r="J13921" s="12"/>
      <c r="K13921" s="12"/>
      <c r="L13921" s="12"/>
      <c r="M13921" s="11"/>
      <c r="N13921" s="11"/>
      <c r="O13921" s="11"/>
      <c r="P13921" s="11"/>
    </row>
    <row r="13922" spans="8:16" x14ac:dyDescent="0.25">
      <c r="H13922" s="12"/>
      <c r="I13922" s="12"/>
      <c r="J13922" s="12"/>
      <c r="K13922" s="12"/>
      <c r="L13922" s="12"/>
      <c r="M13922" s="11"/>
      <c r="N13922" s="11"/>
      <c r="O13922" s="11"/>
      <c r="P13922" s="11"/>
    </row>
    <row r="13923" spans="8:16" x14ac:dyDescent="0.25">
      <c r="H13923" s="12"/>
      <c r="I13923" s="12"/>
      <c r="J13923" s="12"/>
      <c r="K13923" s="12"/>
      <c r="L13923" s="12"/>
      <c r="M13923" s="11"/>
      <c r="N13923" s="11"/>
      <c r="O13923" s="11"/>
      <c r="P13923" s="11"/>
    </row>
    <row r="13924" spans="8:16" x14ac:dyDescent="0.25">
      <c r="H13924" s="12"/>
      <c r="I13924" s="12"/>
      <c r="J13924" s="12"/>
      <c r="K13924" s="12"/>
      <c r="L13924" s="12"/>
      <c r="M13924" s="11"/>
      <c r="N13924" s="11"/>
      <c r="O13924" s="11"/>
      <c r="P13924" s="11"/>
    </row>
    <row r="13925" spans="8:16" x14ac:dyDescent="0.25">
      <c r="H13925" s="12"/>
      <c r="I13925" s="12"/>
      <c r="J13925" s="12"/>
      <c r="K13925" s="12"/>
      <c r="L13925" s="12"/>
      <c r="M13925" s="11"/>
      <c r="N13925" s="11"/>
      <c r="O13925" s="11"/>
      <c r="P13925" s="11"/>
    </row>
    <row r="13926" spans="8:16" x14ac:dyDescent="0.25">
      <c r="H13926" s="12"/>
      <c r="I13926" s="12"/>
      <c r="J13926" s="12"/>
      <c r="K13926" s="12"/>
      <c r="L13926" s="12"/>
      <c r="M13926" s="11"/>
      <c r="N13926" s="11"/>
      <c r="O13926" s="11"/>
      <c r="P13926" s="11"/>
    </row>
    <row r="13927" spans="8:16" x14ac:dyDescent="0.25">
      <c r="H13927" s="12"/>
      <c r="I13927" s="12"/>
      <c r="J13927" s="12"/>
      <c r="K13927" s="12"/>
      <c r="L13927" s="12"/>
      <c r="M13927" s="11"/>
      <c r="N13927" s="11"/>
      <c r="O13927" s="11"/>
      <c r="P13927" s="11"/>
    </row>
    <row r="13928" spans="8:16" x14ac:dyDescent="0.25">
      <c r="H13928" s="12"/>
      <c r="I13928" s="12"/>
      <c r="J13928" s="12"/>
      <c r="K13928" s="12"/>
      <c r="L13928" s="12"/>
      <c r="M13928" s="11"/>
      <c r="N13928" s="11"/>
      <c r="O13928" s="11"/>
      <c r="P13928" s="11"/>
    </row>
    <row r="13929" spans="8:16" x14ac:dyDescent="0.25">
      <c r="H13929" s="12"/>
      <c r="I13929" s="12"/>
      <c r="J13929" s="12"/>
      <c r="K13929" s="12"/>
      <c r="L13929" s="12"/>
      <c r="M13929" s="11"/>
      <c r="N13929" s="11"/>
      <c r="O13929" s="11"/>
      <c r="P13929" s="11"/>
    </row>
    <row r="13930" spans="8:16" x14ac:dyDescent="0.25">
      <c r="H13930" s="12"/>
      <c r="I13930" s="12"/>
      <c r="J13930" s="12"/>
      <c r="K13930" s="12"/>
      <c r="L13930" s="12"/>
      <c r="M13930" s="11"/>
      <c r="N13930" s="11"/>
      <c r="O13930" s="11"/>
      <c r="P13930" s="11"/>
    </row>
    <row r="13931" spans="8:16" x14ac:dyDescent="0.25">
      <c r="H13931" s="12"/>
      <c r="I13931" s="12"/>
      <c r="J13931" s="12"/>
      <c r="K13931" s="12"/>
      <c r="L13931" s="12"/>
      <c r="M13931" s="11"/>
      <c r="N13931" s="11"/>
      <c r="O13931" s="11"/>
      <c r="P13931" s="11"/>
    </row>
    <row r="13932" spans="8:16" x14ac:dyDescent="0.25">
      <c r="H13932" s="12"/>
      <c r="I13932" s="12"/>
      <c r="J13932" s="12"/>
      <c r="K13932" s="12"/>
      <c r="L13932" s="12"/>
      <c r="M13932" s="11"/>
      <c r="N13932" s="11"/>
      <c r="O13932" s="11"/>
      <c r="P13932" s="11"/>
    </row>
    <row r="13933" spans="8:16" x14ac:dyDescent="0.25">
      <c r="H13933" s="12"/>
      <c r="I13933" s="12"/>
      <c r="J13933" s="12"/>
      <c r="K13933" s="12"/>
      <c r="L13933" s="12"/>
      <c r="M13933" s="11"/>
      <c r="N13933" s="11"/>
      <c r="O13933" s="11"/>
      <c r="P13933" s="11"/>
    </row>
    <row r="13934" spans="8:16" x14ac:dyDescent="0.25">
      <c r="H13934" s="12"/>
      <c r="I13934" s="12"/>
      <c r="J13934" s="12"/>
      <c r="K13934" s="12"/>
      <c r="L13934" s="12"/>
      <c r="M13934" s="11"/>
      <c r="N13934" s="11"/>
      <c r="O13934" s="11"/>
      <c r="P13934" s="11"/>
    </row>
    <row r="13935" spans="8:16" x14ac:dyDescent="0.25">
      <c r="H13935" s="12"/>
      <c r="I13935" s="12"/>
      <c r="J13935" s="12"/>
      <c r="K13935" s="12"/>
      <c r="L13935" s="12"/>
      <c r="M13935" s="11"/>
      <c r="N13935" s="11"/>
      <c r="O13935" s="11"/>
      <c r="P13935" s="11"/>
    </row>
    <row r="13936" spans="8:16" x14ac:dyDescent="0.25">
      <c r="H13936" s="12"/>
      <c r="I13936" s="12"/>
      <c r="J13936" s="12"/>
      <c r="K13936" s="12"/>
      <c r="L13936" s="12"/>
      <c r="M13936" s="11"/>
      <c r="N13936" s="11"/>
      <c r="O13936" s="11"/>
      <c r="P13936" s="11"/>
    </row>
    <row r="13937" spans="8:16" x14ac:dyDescent="0.25">
      <c r="H13937" s="12"/>
      <c r="I13937" s="12"/>
      <c r="J13937" s="12"/>
      <c r="K13937" s="12"/>
      <c r="L13937" s="12"/>
      <c r="M13937" s="11"/>
      <c r="N13937" s="11"/>
      <c r="O13937" s="11"/>
      <c r="P13937" s="11"/>
    </row>
    <row r="13938" spans="8:16" x14ac:dyDescent="0.25">
      <c r="H13938" s="12"/>
      <c r="I13938" s="12"/>
      <c r="J13938" s="12"/>
      <c r="K13938" s="12"/>
      <c r="L13938" s="12"/>
      <c r="M13938" s="11"/>
      <c r="N13938" s="11"/>
      <c r="O13938" s="11"/>
      <c r="P13938" s="11"/>
    </row>
    <row r="13939" spans="8:16" x14ac:dyDescent="0.25">
      <c r="H13939" s="12"/>
      <c r="I13939" s="12"/>
      <c r="J13939" s="12"/>
      <c r="K13939" s="12"/>
      <c r="L13939" s="12"/>
      <c r="M13939" s="11"/>
      <c r="N13939" s="11"/>
      <c r="O13939" s="11"/>
      <c r="P13939" s="11"/>
    </row>
    <row r="13940" spans="8:16" x14ac:dyDescent="0.25">
      <c r="H13940" s="12"/>
      <c r="I13940" s="12"/>
      <c r="J13940" s="12"/>
      <c r="K13940" s="12"/>
      <c r="L13940" s="12"/>
      <c r="M13940" s="11"/>
      <c r="N13940" s="11"/>
      <c r="O13940" s="11"/>
      <c r="P13940" s="11"/>
    </row>
    <row r="13941" spans="8:16" x14ac:dyDescent="0.25">
      <c r="H13941" s="12"/>
      <c r="I13941" s="12"/>
      <c r="J13941" s="12"/>
      <c r="K13941" s="12"/>
      <c r="L13941" s="12"/>
      <c r="M13941" s="11"/>
      <c r="N13941" s="11"/>
      <c r="O13941" s="11"/>
      <c r="P13941" s="11"/>
    </row>
    <row r="13942" spans="8:16" x14ac:dyDescent="0.25">
      <c r="H13942" s="12"/>
      <c r="I13942" s="12"/>
      <c r="J13942" s="12"/>
      <c r="K13942" s="12"/>
      <c r="L13942" s="12"/>
      <c r="M13942" s="11"/>
      <c r="N13942" s="11"/>
      <c r="O13942" s="11"/>
      <c r="P13942" s="11"/>
    </row>
    <row r="13943" spans="8:16" x14ac:dyDescent="0.25">
      <c r="H13943" s="12"/>
      <c r="I13943" s="12"/>
      <c r="J13943" s="12"/>
      <c r="K13943" s="12"/>
      <c r="L13943" s="12"/>
      <c r="M13943" s="11"/>
      <c r="N13943" s="11"/>
      <c r="O13943" s="11"/>
      <c r="P13943" s="11"/>
    </row>
    <row r="13944" spans="8:16" x14ac:dyDescent="0.25">
      <c r="H13944" s="12"/>
      <c r="I13944" s="12"/>
      <c r="J13944" s="12"/>
      <c r="K13944" s="12"/>
      <c r="L13944" s="12"/>
      <c r="M13944" s="11"/>
      <c r="N13944" s="11"/>
      <c r="O13944" s="11"/>
      <c r="P13944" s="11"/>
    </row>
    <row r="13945" spans="8:16" x14ac:dyDescent="0.25">
      <c r="H13945" s="12"/>
      <c r="I13945" s="12"/>
      <c r="J13945" s="12"/>
      <c r="K13945" s="12"/>
      <c r="L13945" s="12"/>
      <c r="M13945" s="11"/>
      <c r="N13945" s="11"/>
      <c r="O13945" s="11"/>
      <c r="P13945" s="11"/>
    </row>
    <row r="13946" spans="8:16" x14ac:dyDescent="0.25">
      <c r="H13946" s="12"/>
      <c r="I13946" s="12"/>
      <c r="J13946" s="12"/>
      <c r="K13946" s="12"/>
      <c r="L13946" s="12"/>
      <c r="M13946" s="11"/>
      <c r="N13946" s="11"/>
      <c r="O13946" s="11"/>
      <c r="P13946" s="11"/>
    </row>
    <row r="13947" spans="8:16" x14ac:dyDescent="0.25">
      <c r="H13947" s="12"/>
      <c r="I13947" s="12"/>
      <c r="J13947" s="12"/>
      <c r="K13947" s="12"/>
      <c r="L13947" s="12"/>
      <c r="M13947" s="11"/>
      <c r="N13947" s="11"/>
      <c r="O13947" s="11"/>
      <c r="P13947" s="11"/>
    </row>
    <row r="13948" spans="8:16" x14ac:dyDescent="0.25">
      <c r="H13948" s="12"/>
      <c r="I13948" s="12"/>
      <c r="J13948" s="12"/>
      <c r="K13948" s="12"/>
      <c r="L13948" s="12"/>
      <c r="M13948" s="11"/>
      <c r="N13948" s="11"/>
      <c r="O13948" s="11"/>
      <c r="P13948" s="11"/>
    </row>
    <row r="13949" spans="8:16" x14ac:dyDescent="0.25">
      <c r="H13949" s="12"/>
      <c r="I13949" s="12"/>
      <c r="J13949" s="12"/>
      <c r="K13949" s="12"/>
      <c r="L13949" s="12"/>
      <c r="M13949" s="11"/>
      <c r="N13949" s="11"/>
      <c r="O13949" s="11"/>
      <c r="P13949" s="11"/>
    </row>
    <row r="13950" spans="8:16" x14ac:dyDescent="0.25">
      <c r="H13950" s="12"/>
      <c r="I13950" s="12"/>
      <c r="J13950" s="12"/>
      <c r="K13950" s="12"/>
      <c r="L13950" s="12"/>
      <c r="M13950" s="11"/>
      <c r="N13950" s="11"/>
      <c r="O13950" s="11"/>
      <c r="P13950" s="11"/>
    </row>
    <row r="13951" spans="8:16" x14ac:dyDescent="0.25">
      <c r="H13951" s="12"/>
      <c r="I13951" s="12"/>
      <c r="J13951" s="12"/>
      <c r="K13951" s="12"/>
      <c r="L13951" s="12"/>
      <c r="M13951" s="11"/>
      <c r="N13951" s="11"/>
      <c r="O13951" s="11"/>
      <c r="P13951" s="11"/>
    </row>
    <row r="13952" spans="8:16" x14ac:dyDescent="0.25">
      <c r="H13952" s="12"/>
      <c r="I13952" s="12"/>
      <c r="J13952" s="12"/>
      <c r="K13952" s="12"/>
      <c r="L13952" s="12"/>
      <c r="M13952" s="11"/>
      <c r="N13952" s="11"/>
      <c r="O13952" s="11"/>
      <c r="P13952" s="11"/>
    </row>
    <row r="13953" spans="8:16" x14ac:dyDescent="0.25">
      <c r="H13953" s="12"/>
      <c r="I13953" s="12"/>
      <c r="J13953" s="12"/>
      <c r="K13953" s="12"/>
      <c r="L13953" s="12"/>
      <c r="M13953" s="11"/>
      <c r="N13953" s="11"/>
      <c r="O13953" s="11"/>
      <c r="P13953" s="11"/>
    </row>
    <row r="13954" spans="8:16" x14ac:dyDescent="0.25">
      <c r="H13954" s="12"/>
      <c r="I13954" s="12"/>
      <c r="J13954" s="12"/>
      <c r="K13954" s="12"/>
      <c r="L13954" s="12"/>
      <c r="M13954" s="11"/>
      <c r="N13954" s="11"/>
      <c r="O13954" s="11"/>
      <c r="P13954" s="11"/>
    </row>
    <row r="13955" spans="8:16" x14ac:dyDescent="0.25">
      <c r="H13955" s="12"/>
      <c r="I13955" s="12"/>
      <c r="J13955" s="12"/>
      <c r="K13955" s="12"/>
      <c r="L13955" s="12"/>
      <c r="M13955" s="11"/>
      <c r="N13955" s="11"/>
      <c r="O13955" s="11"/>
      <c r="P13955" s="11"/>
    </row>
    <row r="13956" spans="8:16" x14ac:dyDescent="0.25">
      <c r="H13956" s="12"/>
      <c r="I13956" s="12"/>
      <c r="J13956" s="12"/>
      <c r="K13956" s="12"/>
      <c r="L13956" s="12"/>
      <c r="M13956" s="11"/>
      <c r="N13956" s="11"/>
      <c r="O13956" s="11"/>
      <c r="P13956" s="11"/>
    </row>
    <row r="13957" spans="8:16" x14ac:dyDescent="0.25">
      <c r="H13957" s="12"/>
      <c r="I13957" s="12"/>
      <c r="J13957" s="12"/>
      <c r="K13957" s="12"/>
      <c r="L13957" s="12"/>
      <c r="M13957" s="11"/>
      <c r="N13957" s="11"/>
      <c r="O13957" s="11"/>
      <c r="P13957" s="11"/>
    </row>
    <row r="13958" spans="8:16" x14ac:dyDescent="0.25">
      <c r="H13958" s="12"/>
      <c r="I13958" s="12"/>
      <c r="J13958" s="12"/>
      <c r="K13958" s="12"/>
      <c r="L13958" s="12"/>
      <c r="M13958" s="11"/>
      <c r="N13958" s="11"/>
      <c r="O13958" s="11"/>
      <c r="P13958" s="11"/>
    </row>
    <row r="13959" spans="8:16" x14ac:dyDescent="0.25">
      <c r="H13959" s="12"/>
      <c r="I13959" s="12"/>
      <c r="J13959" s="12"/>
      <c r="K13959" s="12"/>
      <c r="L13959" s="12"/>
      <c r="M13959" s="11"/>
      <c r="N13959" s="11"/>
      <c r="O13959" s="11"/>
      <c r="P13959" s="11"/>
    </row>
    <row r="13960" spans="8:16" x14ac:dyDescent="0.25">
      <c r="H13960" s="12"/>
      <c r="I13960" s="12"/>
      <c r="J13960" s="12"/>
      <c r="K13960" s="12"/>
      <c r="L13960" s="12"/>
      <c r="M13960" s="11"/>
      <c r="N13960" s="11"/>
      <c r="O13960" s="11"/>
      <c r="P13960" s="11"/>
    </row>
    <row r="13961" spans="8:16" x14ac:dyDescent="0.25">
      <c r="H13961" s="12"/>
      <c r="I13961" s="12"/>
      <c r="J13961" s="12"/>
      <c r="K13961" s="12"/>
      <c r="L13961" s="12"/>
      <c r="M13961" s="11"/>
      <c r="N13961" s="11"/>
      <c r="O13961" s="11"/>
      <c r="P13961" s="11"/>
    </row>
    <row r="13962" spans="8:16" x14ac:dyDescent="0.25">
      <c r="H13962" s="12"/>
      <c r="I13962" s="12"/>
      <c r="J13962" s="12"/>
      <c r="K13962" s="12"/>
      <c r="L13962" s="12"/>
      <c r="M13962" s="11"/>
      <c r="N13962" s="11"/>
      <c r="O13962" s="11"/>
      <c r="P13962" s="11"/>
    </row>
    <row r="13963" spans="8:16" x14ac:dyDescent="0.25">
      <c r="H13963" s="12"/>
      <c r="I13963" s="12"/>
      <c r="J13963" s="12"/>
      <c r="K13963" s="12"/>
      <c r="L13963" s="12"/>
      <c r="M13963" s="11"/>
      <c r="N13963" s="11"/>
      <c r="O13963" s="11"/>
      <c r="P13963" s="11"/>
    </row>
    <row r="13964" spans="8:16" x14ac:dyDescent="0.25">
      <c r="H13964" s="12"/>
      <c r="I13964" s="12"/>
      <c r="J13964" s="12"/>
      <c r="K13964" s="12"/>
      <c r="L13964" s="12"/>
      <c r="M13964" s="11"/>
      <c r="N13964" s="11"/>
      <c r="O13964" s="11"/>
      <c r="P13964" s="11"/>
    </row>
    <row r="13965" spans="8:16" x14ac:dyDescent="0.25">
      <c r="H13965" s="12"/>
      <c r="I13965" s="12"/>
      <c r="J13965" s="12"/>
      <c r="K13965" s="12"/>
      <c r="L13965" s="12"/>
      <c r="M13965" s="11"/>
      <c r="N13965" s="11"/>
      <c r="O13965" s="11"/>
      <c r="P13965" s="11"/>
    </row>
    <row r="13966" spans="8:16" x14ac:dyDescent="0.25">
      <c r="H13966" s="12"/>
      <c r="I13966" s="12"/>
      <c r="J13966" s="12"/>
      <c r="K13966" s="12"/>
      <c r="L13966" s="12"/>
      <c r="M13966" s="11"/>
      <c r="N13966" s="11"/>
      <c r="O13966" s="11"/>
      <c r="P13966" s="11"/>
    </row>
    <row r="13967" spans="8:16" x14ac:dyDescent="0.25">
      <c r="H13967" s="12"/>
      <c r="I13967" s="12"/>
      <c r="J13967" s="12"/>
      <c r="K13967" s="12"/>
      <c r="L13967" s="12"/>
      <c r="M13967" s="11"/>
      <c r="N13967" s="11"/>
      <c r="O13967" s="11"/>
      <c r="P13967" s="11"/>
    </row>
    <row r="13968" spans="8:16" x14ac:dyDescent="0.25">
      <c r="H13968" s="12"/>
      <c r="I13968" s="12"/>
      <c r="J13968" s="12"/>
      <c r="K13968" s="12"/>
      <c r="L13968" s="12"/>
      <c r="M13968" s="11"/>
      <c r="N13968" s="11"/>
      <c r="O13968" s="11"/>
      <c r="P13968" s="11"/>
    </row>
    <row r="13969" spans="8:16" x14ac:dyDescent="0.25">
      <c r="H13969" s="12"/>
      <c r="I13969" s="12"/>
      <c r="J13969" s="12"/>
      <c r="K13969" s="12"/>
      <c r="L13969" s="12"/>
      <c r="M13969" s="11"/>
      <c r="N13969" s="11"/>
      <c r="O13969" s="11"/>
      <c r="P13969" s="11"/>
    </row>
    <row r="13970" spans="8:16" x14ac:dyDescent="0.25">
      <c r="H13970" s="12"/>
      <c r="I13970" s="12"/>
      <c r="J13970" s="12"/>
      <c r="K13970" s="12"/>
      <c r="L13970" s="12"/>
      <c r="M13970" s="11"/>
      <c r="N13970" s="11"/>
      <c r="O13970" s="11"/>
      <c r="P13970" s="11"/>
    </row>
    <row r="13971" spans="8:16" x14ac:dyDescent="0.25">
      <c r="H13971" s="12"/>
      <c r="I13971" s="12"/>
      <c r="J13971" s="12"/>
      <c r="K13971" s="12"/>
      <c r="L13971" s="12"/>
      <c r="M13971" s="11"/>
      <c r="N13971" s="11"/>
      <c r="O13971" s="11"/>
      <c r="P13971" s="11"/>
    </row>
    <row r="13972" spans="8:16" x14ac:dyDescent="0.25">
      <c r="H13972" s="12"/>
      <c r="I13972" s="12"/>
      <c r="J13972" s="12"/>
      <c r="K13972" s="12"/>
      <c r="L13972" s="12"/>
      <c r="M13972" s="11"/>
      <c r="N13972" s="11"/>
      <c r="O13972" s="11"/>
      <c r="P13972" s="11"/>
    </row>
    <row r="13973" spans="8:16" x14ac:dyDescent="0.25">
      <c r="H13973" s="12"/>
      <c r="I13973" s="12"/>
      <c r="J13973" s="12"/>
      <c r="K13973" s="12"/>
      <c r="L13973" s="12"/>
      <c r="M13973" s="11"/>
      <c r="N13973" s="11"/>
      <c r="O13973" s="11"/>
      <c r="P13973" s="11"/>
    </row>
    <row r="13974" spans="8:16" x14ac:dyDescent="0.25">
      <c r="H13974" s="12"/>
      <c r="I13974" s="12"/>
      <c r="J13974" s="12"/>
      <c r="K13974" s="12"/>
      <c r="L13974" s="12"/>
      <c r="M13974" s="11"/>
      <c r="N13974" s="11"/>
      <c r="O13974" s="11"/>
      <c r="P13974" s="11"/>
    </row>
    <row r="13975" spans="8:16" x14ac:dyDescent="0.25">
      <c r="H13975" s="12"/>
      <c r="I13975" s="12"/>
      <c r="J13975" s="12"/>
      <c r="K13975" s="12"/>
      <c r="L13975" s="12"/>
      <c r="M13975" s="11"/>
      <c r="N13975" s="11"/>
      <c r="O13975" s="11"/>
      <c r="P13975" s="11"/>
    </row>
    <row r="13976" spans="8:16" x14ac:dyDescent="0.25">
      <c r="H13976" s="12"/>
      <c r="I13976" s="12"/>
      <c r="J13976" s="12"/>
      <c r="K13976" s="12"/>
      <c r="L13976" s="12"/>
      <c r="M13976" s="11"/>
      <c r="N13976" s="11"/>
      <c r="O13976" s="11"/>
      <c r="P13976" s="11"/>
    </row>
    <row r="13977" spans="8:16" x14ac:dyDescent="0.25">
      <c r="H13977" s="12"/>
      <c r="I13977" s="12"/>
      <c r="J13977" s="12"/>
      <c r="K13977" s="12"/>
      <c r="L13977" s="12"/>
      <c r="M13977" s="11"/>
      <c r="N13977" s="11"/>
      <c r="O13977" s="11"/>
      <c r="P13977" s="11"/>
    </row>
    <row r="13978" spans="8:16" x14ac:dyDescent="0.25">
      <c r="H13978" s="12"/>
      <c r="I13978" s="12"/>
      <c r="J13978" s="12"/>
      <c r="K13978" s="12"/>
      <c r="L13978" s="12"/>
      <c r="M13978" s="11"/>
      <c r="N13978" s="11"/>
      <c r="O13978" s="11"/>
      <c r="P13978" s="11"/>
    </row>
    <row r="13979" spans="8:16" x14ac:dyDescent="0.25">
      <c r="H13979" s="12"/>
      <c r="I13979" s="12"/>
      <c r="J13979" s="12"/>
      <c r="K13979" s="12"/>
      <c r="L13979" s="12"/>
      <c r="M13979" s="11"/>
      <c r="N13979" s="11"/>
      <c r="O13979" s="11"/>
      <c r="P13979" s="11"/>
    </row>
    <row r="13980" spans="8:16" x14ac:dyDescent="0.25">
      <c r="H13980" s="12"/>
      <c r="I13980" s="12"/>
      <c r="J13980" s="12"/>
      <c r="K13980" s="12"/>
      <c r="L13980" s="12"/>
      <c r="M13980" s="11"/>
      <c r="N13980" s="11"/>
      <c r="O13980" s="11"/>
      <c r="P13980" s="11"/>
    </row>
    <row r="13981" spans="8:16" x14ac:dyDescent="0.25">
      <c r="H13981" s="12"/>
      <c r="I13981" s="12"/>
      <c r="J13981" s="12"/>
      <c r="K13981" s="12"/>
      <c r="L13981" s="12"/>
      <c r="M13981" s="11"/>
      <c r="N13981" s="11"/>
      <c r="O13981" s="11"/>
      <c r="P13981" s="11"/>
    </row>
    <row r="13982" spans="8:16" x14ac:dyDescent="0.25">
      <c r="H13982" s="12"/>
      <c r="I13982" s="12"/>
      <c r="J13982" s="12"/>
      <c r="K13982" s="12"/>
      <c r="L13982" s="12"/>
      <c r="M13982" s="11"/>
      <c r="N13982" s="11"/>
      <c r="O13982" s="11"/>
      <c r="P13982" s="11"/>
    </row>
    <row r="13983" spans="8:16" x14ac:dyDescent="0.25">
      <c r="H13983" s="12"/>
      <c r="I13983" s="12"/>
      <c r="J13983" s="12"/>
      <c r="K13983" s="12"/>
      <c r="L13983" s="12"/>
      <c r="M13983" s="11"/>
      <c r="N13983" s="11"/>
      <c r="O13983" s="11"/>
      <c r="P13983" s="11"/>
    </row>
    <row r="13984" spans="8:16" x14ac:dyDescent="0.25">
      <c r="H13984" s="12"/>
      <c r="I13984" s="12"/>
      <c r="J13984" s="12"/>
      <c r="K13984" s="12"/>
      <c r="L13984" s="12"/>
      <c r="M13984" s="11"/>
      <c r="N13984" s="11"/>
      <c r="O13984" s="11"/>
      <c r="P13984" s="11"/>
    </row>
    <row r="13985" spans="8:16" x14ac:dyDescent="0.25">
      <c r="H13985" s="12"/>
      <c r="I13985" s="12"/>
      <c r="J13985" s="12"/>
      <c r="K13985" s="12"/>
      <c r="L13985" s="12"/>
      <c r="M13985" s="11"/>
      <c r="N13985" s="11"/>
      <c r="O13985" s="11"/>
      <c r="P13985" s="11"/>
    </row>
    <row r="13986" spans="8:16" x14ac:dyDescent="0.25">
      <c r="H13986" s="12"/>
      <c r="I13986" s="12"/>
      <c r="J13986" s="12"/>
      <c r="K13986" s="12"/>
      <c r="L13986" s="12"/>
      <c r="M13986" s="11"/>
      <c r="N13986" s="11"/>
      <c r="O13986" s="11"/>
      <c r="P13986" s="11"/>
    </row>
    <row r="13987" spans="8:16" x14ac:dyDescent="0.25">
      <c r="H13987" s="12"/>
      <c r="I13987" s="12"/>
      <c r="J13987" s="12"/>
      <c r="K13987" s="12"/>
      <c r="L13987" s="12"/>
      <c r="M13987" s="11"/>
      <c r="N13987" s="11"/>
      <c r="O13987" s="11"/>
      <c r="P13987" s="11"/>
    </row>
    <row r="13988" spans="8:16" x14ac:dyDescent="0.25">
      <c r="H13988" s="12"/>
      <c r="I13988" s="12"/>
      <c r="J13988" s="12"/>
      <c r="K13988" s="12"/>
      <c r="L13988" s="12"/>
      <c r="M13988" s="11"/>
      <c r="N13988" s="11"/>
      <c r="O13988" s="11"/>
      <c r="P13988" s="11"/>
    </row>
    <row r="13989" spans="8:16" x14ac:dyDescent="0.25">
      <c r="H13989" s="12"/>
      <c r="I13989" s="12"/>
      <c r="J13989" s="12"/>
      <c r="K13989" s="12"/>
      <c r="L13989" s="12"/>
      <c r="M13989" s="11"/>
      <c r="N13989" s="11"/>
      <c r="O13989" s="11"/>
      <c r="P13989" s="11"/>
    </row>
    <row r="13990" spans="8:16" x14ac:dyDescent="0.25">
      <c r="H13990" s="12"/>
      <c r="I13990" s="12"/>
      <c r="J13990" s="12"/>
      <c r="K13990" s="12"/>
      <c r="L13990" s="12"/>
      <c r="M13990" s="11"/>
      <c r="N13990" s="11"/>
      <c r="O13990" s="11"/>
      <c r="P13990" s="11"/>
    </row>
    <row r="13991" spans="8:16" x14ac:dyDescent="0.25">
      <c r="H13991" s="12"/>
      <c r="I13991" s="12"/>
      <c r="J13991" s="12"/>
      <c r="K13991" s="12"/>
      <c r="L13991" s="12"/>
      <c r="M13991" s="11"/>
      <c r="N13991" s="11"/>
      <c r="O13991" s="11"/>
      <c r="P13991" s="11"/>
    </row>
    <row r="13992" spans="8:16" x14ac:dyDescent="0.25">
      <c r="H13992" s="12"/>
      <c r="I13992" s="12"/>
      <c r="J13992" s="12"/>
      <c r="K13992" s="12"/>
      <c r="L13992" s="12"/>
      <c r="M13992" s="11"/>
      <c r="N13992" s="11"/>
      <c r="O13992" s="11"/>
      <c r="P13992" s="11"/>
    </row>
    <row r="13993" spans="8:16" x14ac:dyDescent="0.25">
      <c r="H13993" s="12"/>
      <c r="I13993" s="12"/>
      <c r="J13993" s="12"/>
      <c r="K13993" s="12"/>
      <c r="L13993" s="12"/>
      <c r="M13993" s="11"/>
      <c r="N13993" s="11"/>
      <c r="O13993" s="11"/>
      <c r="P13993" s="11"/>
    </row>
    <row r="13994" spans="8:16" x14ac:dyDescent="0.25">
      <c r="H13994" s="12"/>
      <c r="I13994" s="12"/>
      <c r="J13994" s="12"/>
      <c r="K13994" s="12"/>
      <c r="L13994" s="12"/>
      <c r="M13994" s="11"/>
      <c r="N13994" s="11"/>
      <c r="O13994" s="11"/>
      <c r="P13994" s="11"/>
    </row>
    <row r="13995" spans="8:16" x14ac:dyDescent="0.25">
      <c r="H13995" s="12"/>
      <c r="I13995" s="12"/>
      <c r="J13995" s="12"/>
      <c r="K13995" s="12"/>
      <c r="L13995" s="12"/>
      <c r="M13995" s="11"/>
      <c r="N13995" s="11"/>
      <c r="O13995" s="11"/>
      <c r="P13995" s="11"/>
    </row>
    <row r="13996" spans="8:16" x14ac:dyDescent="0.25">
      <c r="H13996" s="12"/>
      <c r="I13996" s="12"/>
      <c r="J13996" s="12"/>
      <c r="K13996" s="12"/>
      <c r="L13996" s="12"/>
      <c r="M13996" s="11"/>
      <c r="N13996" s="11"/>
      <c r="O13996" s="11"/>
      <c r="P13996" s="11"/>
    </row>
    <row r="13997" spans="8:16" x14ac:dyDescent="0.25">
      <c r="H13997" s="12"/>
      <c r="I13997" s="12"/>
      <c r="J13997" s="12"/>
      <c r="K13997" s="12"/>
      <c r="L13997" s="12"/>
      <c r="M13997" s="11"/>
      <c r="N13997" s="11"/>
      <c r="O13997" s="11"/>
      <c r="P13997" s="11"/>
    </row>
    <row r="13998" spans="8:16" x14ac:dyDescent="0.25">
      <c r="H13998" s="12"/>
      <c r="I13998" s="12"/>
      <c r="J13998" s="12"/>
      <c r="K13998" s="12"/>
      <c r="L13998" s="12"/>
      <c r="M13998" s="11"/>
      <c r="N13998" s="11"/>
      <c r="O13998" s="11"/>
      <c r="P13998" s="11"/>
    </row>
    <row r="13999" spans="8:16" x14ac:dyDescent="0.25">
      <c r="H13999" s="12"/>
      <c r="I13999" s="12"/>
      <c r="J13999" s="12"/>
      <c r="K13999" s="12"/>
      <c r="L13999" s="12"/>
      <c r="M13999" s="11"/>
      <c r="N13999" s="11"/>
      <c r="O13999" s="11"/>
      <c r="P13999" s="11"/>
    </row>
    <row r="14000" spans="8:16" x14ac:dyDescent="0.25">
      <c r="H14000" s="12"/>
      <c r="I14000" s="12"/>
      <c r="J14000" s="12"/>
      <c r="K14000" s="12"/>
      <c r="L14000" s="12"/>
      <c r="M14000" s="11"/>
      <c r="N14000" s="11"/>
      <c r="O14000" s="11"/>
      <c r="P14000" s="11"/>
    </row>
    <row r="14001" spans="8:16" x14ac:dyDescent="0.25">
      <c r="H14001" s="12"/>
      <c r="I14001" s="12"/>
      <c r="J14001" s="12"/>
      <c r="K14001" s="12"/>
      <c r="L14001" s="12"/>
      <c r="M14001" s="11"/>
      <c r="N14001" s="11"/>
      <c r="O14001" s="11"/>
      <c r="P14001" s="11"/>
    </row>
    <row r="14002" spans="8:16" x14ac:dyDescent="0.25">
      <c r="H14002" s="12"/>
      <c r="I14002" s="12"/>
      <c r="J14002" s="12"/>
      <c r="K14002" s="12"/>
      <c r="L14002" s="12"/>
      <c r="M14002" s="11"/>
      <c r="N14002" s="11"/>
      <c r="O14002" s="11"/>
      <c r="P14002" s="11"/>
    </row>
    <row r="14003" spans="8:16" x14ac:dyDescent="0.25">
      <c r="H14003" s="12"/>
      <c r="I14003" s="12"/>
      <c r="J14003" s="12"/>
      <c r="K14003" s="12"/>
      <c r="L14003" s="12"/>
      <c r="M14003" s="11"/>
      <c r="N14003" s="11"/>
      <c r="O14003" s="11"/>
      <c r="P14003" s="11"/>
    </row>
    <row r="14004" spans="8:16" x14ac:dyDescent="0.25">
      <c r="H14004" s="12"/>
      <c r="I14004" s="12"/>
      <c r="J14004" s="12"/>
      <c r="K14004" s="12"/>
      <c r="L14004" s="12"/>
      <c r="M14004" s="11"/>
      <c r="N14004" s="11"/>
      <c r="O14004" s="11"/>
      <c r="P14004" s="11"/>
    </row>
    <row r="14005" spans="8:16" x14ac:dyDescent="0.25">
      <c r="H14005" s="12"/>
      <c r="I14005" s="12"/>
      <c r="J14005" s="12"/>
      <c r="K14005" s="12"/>
      <c r="L14005" s="12"/>
      <c r="M14005" s="11"/>
      <c r="N14005" s="11"/>
      <c r="O14005" s="11"/>
      <c r="P14005" s="11"/>
    </row>
    <row r="14006" spans="8:16" x14ac:dyDescent="0.25">
      <c r="H14006" s="12"/>
      <c r="I14006" s="12"/>
      <c r="J14006" s="12"/>
      <c r="K14006" s="12"/>
      <c r="L14006" s="12"/>
      <c r="M14006" s="11"/>
      <c r="N14006" s="11"/>
      <c r="O14006" s="11"/>
      <c r="P14006" s="11"/>
    </row>
    <row r="14007" spans="8:16" x14ac:dyDescent="0.25">
      <c r="H14007" s="12"/>
      <c r="I14007" s="12"/>
      <c r="J14007" s="12"/>
      <c r="K14007" s="12"/>
      <c r="L14007" s="12"/>
      <c r="M14007" s="11"/>
      <c r="N14007" s="11"/>
      <c r="O14007" s="11"/>
      <c r="P14007" s="11"/>
    </row>
    <row r="14008" spans="8:16" x14ac:dyDescent="0.25">
      <c r="H14008" s="12"/>
      <c r="I14008" s="12"/>
      <c r="J14008" s="12"/>
      <c r="K14008" s="12"/>
      <c r="L14008" s="12"/>
      <c r="M14008" s="11"/>
      <c r="N14008" s="11"/>
      <c r="O14008" s="11"/>
      <c r="P14008" s="11"/>
    </row>
    <row r="14009" spans="8:16" x14ac:dyDescent="0.25">
      <c r="H14009" s="12"/>
      <c r="I14009" s="12"/>
      <c r="J14009" s="12"/>
      <c r="K14009" s="12"/>
      <c r="L14009" s="12"/>
      <c r="M14009" s="11"/>
      <c r="N14009" s="11"/>
      <c r="O14009" s="11"/>
      <c r="P14009" s="11"/>
    </row>
    <row r="14010" spans="8:16" x14ac:dyDescent="0.25">
      <c r="H14010" s="12"/>
      <c r="I14010" s="12"/>
      <c r="J14010" s="12"/>
      <c r="K14010" s="12"/>
      <c r="L14010" s="12"/>
      <c r="M14010" s="11"/>
      <c r="N14010" s="11"/>
      <c r="O14010" s="11"/>
      <c r="P14010" s="11"/>
    </row>
    <row r="14011" spans="8:16" x14ac:dyDescent="0.25">
      <c r="H14011" s="12"/>
      <c r="I14011" s="12"/>
      <c r="J14011" s="12"/>
      <c r="K14011" s="12"/>
      <c r="L14011" s="12"/>
      <c r="M14011" s="11"/>
      <c r="N14011" s="11"/>
      <c r="O14011" s="11"/>
      <c r="P14011" s="11"/>
    </row>
    <row r="14012" spans="8:16" x14ac:dyDescent="0.25">
      <c r="H14012" s="12"/>
      <c r="I14012" s="12"/>
      <c r="J14012" s="12"/>
      <c r="K14012" s="12"/>
      <c r="L14012" s="12"/>
      <c r="M14012" s="11"/>
      <c r="N14012" s="11"/>
      <c r="O14012" s="11"/>
      <c r="P14012" s="11"/>
    </row>
    <row r="14013" spans="8:16" x14ac:dyDescent="0.25">
      <c r="H14013" s="12"/>
      <c r="I14013" s="12"/>
      <c r="J14013" s="12"/>
      <c r="K14013" s="12"/>
      <c r="L14013" s="12"/>
      <c r="M14013" s="11"/>
      <c r="N14013" s="11"/>
      <c r="O14013" s="11"/>
      <c r="P14013" s="11"/>
    </row>
    <row r="14014" spans="8:16" x14ac:dyDescent="0.25">
      <c r="H14014" s="12"/>
      <c r="I14014" s="12"/>
      <c r="J14014" s="12"/>
      <c r="K14014" s="12"/>
      <c r="L14014" s="12"/>
      <c r="M14014" s="11"/>
      <c r="N14014" s="11"/>
      <c r="O14014" s="11"/>
      <c r="P14014" s="11"/>
    </row>
    <row r="14015" spans="8:16" x14ac:dyDescent="0.25">
      <c r="H14015" s="12"/>
      <c r="I14015" s="12"/>
      <c r="J14015" s="12"/>
      <c r="K14015" s="12"/>
      <c r="L14015" s="12"/>
      <c r="M14015" s="11"/>
      <c r="N14015" s="11"/>
      <c r="O14015" s="11"/>
      <c r="P14015" s="11"/>
    </row>
    <row r="14016" spans="8:16" x14ac:dyDescent="0.25">
      <c r="H14016" s="12"/>
      <c r="I14016" s="12"/>
      <c r="J14016" s="12"/>
      <c r="K14016" s="12"/>
      <c r="L14016" s="12"/>
      <c r="M14016" s="11"/>
      <c r="N14016" s="11"/>
      <c r="O14016" s="11"/>
      <c r="P14016" s="11"/>
    </row>
    <row r="14017" spans="8:16" x14ac:dyDescent="0.25">
      <c r="H14017" s="12"/>
      <c r="I14017" s="12"/>
      <c r="J14017" s="12"/>
      <c r="K14017" s="12"/>
      <c r="L14017" s="12"/>
      <c r="M14017" s="11"/>
      <c r="N14017" s="11"/>
      <c r="O14017" s="11"/>
      <c r="P14017" s="11"/>
    </row>
    <row r="14018" spans="8:16" x14ac:dyDescent="0.25">
      <c r="H14018" s="12"/>
      <c r="I14018" s="12"/>
      <c r="J14018" s="12"/>
      <c r="K14018" s="12"/>
      <c r="L14018" s="12"/>
      <c r="M14018" s="11"/>
      <c r="N14018" s="11"/>
      <c r="O14018" s="11"/>
      <c r="P14018" s="11"/>
    </row>
    <row r="14019" spans="8:16" x14ac:dyDescent="0.25">
      <c r="H14019" s="12"/>
      <c r="I14019" s="12"/>
      <c r="J14019" s="12"/>
      <c r="K14019" s="12"/>
      <c r="L14019" s="12"/>
      <c r="M14019" s="11"/>
      <c r="N14019" s="11"/>
      <c r="O14019" s="11"/>
      <c r="P14019" s="11"/>
    </row>
    <row r="14020" spans="8:16" x14ac:dyDescent="0.25">
      <c r="H14020" s="12"/>
      <c r="I14020" s="12"/>
      <c r="J14020" s="12"/>
      <c r="K14020" s="12"/>
      <c r="L14020" s="12"/>
      <c r="M14020" s="11"/>
      <c r="N14020" s="11"/>
      <c r="O14020" s="11"/>
      <c r="P14020" s="11"/>
    </row>
    <row r="14021" spans="8:16" x14ac:dyDescent="0.25">
      <c r="H14021" s="12"/>
      <c r="I14021" s="12"/>
      <c r="J14021" s="12"/>
      <c r="K14021" s="12"/>
      <c r="L14021" s="12"/>
      <c r="M14021" s="11"/>
      <c r="N14021" s="11"/>
      <c r="O14021" s="11"/>
      <c r="P14021" s="11"/>
    </row>
    <row r="14022" spans="8:16" x14ac:dyDescent="0.25">
      <c r="H14022" s="12"/>
      <c r="I14022" s="12"/>
      <c r="J14022" s="12"/>
      <c r="K14022" s="12"/>
      <c r="L14022" s="12"/>
      <c r="M14022" s="11"/>
      <c r="N14022" s="11"/>
      <c r="O14022" s="11"/>
      <c r="P14022" s="11"/>
    </row>
    <row r="14023" spans="8:16" x14ac:dyDescent="0.25">
      <c r="H14023" s="12"/>
      <c r="I14023" s="12"/>
      <c r="J14023" s="12"/>
      <c r="K14023" s="12"/>
      <c r="L14023" s="12"/>
      <c r="M14023" s="11"/>
      <c r="N14023" s="11"/>
      <c r="O14023" s="11"/>
      <c r="P14023" s="11"/>
    </row>
    <row r="14024" spans="8:16" x14ac:dyDescent="0.25">
      <c r="H14024" s="12"/>
      <c r="I14024" s="12"/>
      <c r="J14024" s="12"/>
      <c r="K14024" s="12"/>
      <c r="L14024" s="12"/>
      <c r="M14024" s="11"/>
      <c r="N14024" s="11"/>
      <c r="O14024" s="11"/>
      <c r="P14024" s="11"/>
    </row>
    <row r="14025" spans="8:16" x14ac:dyDescent="0.25">
      <c r="H14025" s="12"/>
      <c r="I14025" s="12"/>
      <c r="J14025" s="12"/>
      <c r="K14025" s="12"/>
      <c r="L14025" s="12"/>
      <c r="M14025" s="11"/>
      <c r="N14025" s="11"/>
      <c r="O14025" s="11"/>
      <c r="P14025" s="11"/>
    </row>
    <row r="14026" spans="8:16" x14ac:dyDescent="0.25">
      <c r="H14026" s="12"/>
      <c r="I14026" s="12"/>
      <c r="J14026" s="12"/>
      <c r="K14026" s="12"/>
      <c r="L14026" s="12"/>
      <c r="M14026" s="11"/>
      <c r="N14026" s="11"/>
      <c r="O14026" s="11"/>
      <c r="P14026" s="11"/>
    </row>
    <row r="14027" spans="8:16" x14ac:dyDescent="0.25">
      <c r="H14027" s="12"/>
      <c r="I14027" s="12"/>
      <c r="J14027" s="12"/>
      <c r="K14027" s="12"/>
      <c r="L14027" s="12"/>
      <c r="M14027" s="11"/>
      <c r="N14027" s="11"/>
      <c r="O14027" s="11"/>
      <c r="P14027" s="11"/>
    </row>
    <row r="14028" spans="8:16" x14ac:dyDescent="0.25">
      <c r="H14028" s="12"/>
      <c r="I14028" s="12"/>
      <c r="J14028" s="12"/>
      <c r="K14028" s="12"/>
      <c r="L14028" s="12"/>
      <c r="M14028" s="11"/>
      <c r="N14028" s="11"/>
      <c r="O14028" s="11"/>
      <c r="P14028" s="11"/>
    </row>
    <row r="14029" spans="8:16" x14ac:dyDescent="0.25">
      <c r="H14029" s="12"/>
      <c r="I14029" s="12"/>
      <c r="J14029" s="12"/>
      <c r="K14029" s="12"/>
      <c r="L14029" s="12"/>
      <c r="M14029" s="11"/>
      <c r="N14029" s="11"/>
      <c r="O14029" s="11"/>
      <c r="P14029" s="11"/>
    </row>
    <row r="14030" spans="8:16" x14ac:dyDescent="0.25">
      <c r="H14030" s="12"/>
      <c r="I14030" s="12"/>
      <c r="J14030" s="12"/>
      <c r="K14030" s="12"/>
      <c r="L14030" s="12"/>
      <c r="M14030" s="11"/>
      <c r="N14030" s="11"/>
      <c r="O14030" s="11"/>
      <c r="P14030" s="11"/>
    </row>
    <row r="14031" spans="8:16" x14ac:dyDescent="0.25">
      <c r="H14031" s="12"/>
      <c r="I14031" s="12"/>
      <c r="J14031" s="12"/>
      <c r="K14031" s="12"/>
      <c r="L14031" s="12"/>
      <c r="M14031" s="11"/>
      <c r="N14031" s="11"/>
      <c r="O14031" s="11"/>
      <c r="P14031" s="11"/>
    </row>
    <row r="14032" spans="8:16" x14ac:dyDescent="0.25">
      <c r="H14032" s="12"/>
      <c r="I14032" s="12"/>
      <c r="J14032" s="12"/>
      <c r="K14032" s="12"/>
      <c r="L14032" s="12"/>
      <c r="M14032" s="11"/>
      <c r="N14032" s="11"/>
      <c r="O14032" s="11"/>
      <c r="P14032" s="11"/>
    </row>
    <row r="14033" spans="8:16" x14ac:dyDescent="0.25">
      <c r="H14033" s="12"/>
      <c r="I14033" s="12"/>
      <c r="J14033" s="12"/>
      <c r="K14033" s="12"/>
      <c r="L14033" s="12"/>
      <c r="M14033" s="11"/>
      <c r="N14033" s="11"/>
      <c r="O14033" s="11"/>
      <c r="P14033" s="11"/>
    </row>
    <row r="14034" spans="8:16" x14ac:dyDescent="0.25">
      <c r="H14034" s="12"/>
      <c r="I14034" s="12"/>
      <c r="J14034" s="12"/>
      <c r="K14034" s="12"/>
      <c r="L14034" s="12"/>
      <c r="M14034" s="11"/>
      <c r="N14034" s="11"/>
      <c r="O14034" s="11"/>
      <c r="P14034" s="11"/>
    </row>
    <row r="14035" spans="8:16" x14ac:dyDescent="0.25">
      <c r="H14035" s="12"/>
      <c r="I14035" s="12"/>
      <c r="J14035" s="12"/>
      <c r="K14035" s="12"/>
      <c r="L14035" s="12"/>
      <c r="M14035" s="11"/>
      <c r="N14035" s="11"/>
      <c r="O14035" s="11"/>
      <c r="P14035" s="11"/>
    </row>
    <row r="14036" spans="8:16" x14ac:dyDescent="0.25">
      <c r="H14036" s="12"/>
      <c r="I14036" s="12"/>
      <c r="J14036" s="12"/>
      <c r="K14036" s="12"/>
      <c r="L14036" s="12"/>
      <c r="M14036" s="11"/>
      <c r="N14036" s="11"/>
      <c r="O14036" s="11"/>
      <c r="P14036" s="11"/>
    </row>
    <row r="14037" spans="8:16" x14ac:dyDescent="0.25">
      <c r="H14037" s="12"/>
      <c r="I14037" s="12"/>
      <c r="J14037" s="12"/>
      <c r="K14037" s="12"/>
      <c r="L14037" s="12"/>
      <c r="M14037" s="11"/>
      <c r="N14037" s="11"/>
      <c r="O14037" s="11"/>
      <c r="P14037" s="11"/>
    </row>
    <row r="14038" spans="8:16" x14ac:dyDescent="0.25">
      <c r="H14038" s="12"/>
      <c r="I14038" s="12"/>
      <c r="J14038" s="12"/>
      <c r="K14038" s="12"/>
      <c r="L14038" s="12"/>
      <c r="M14038" s="11"/>
      <c r="N14038" s="11"/>
      <c r="O14038" s="11"/>
      <c r="P14038" s="11"/>
    </row>
    <row r="14039" spans="8:16" x14ac:dyDescent="0.25">
      <c r="H14039" s="12"/>
      <c r="I14039" s="12"/>
      <c r="J14039" s="12"/>
      <c r="K14039" s="12"/>
      <c r="L14039" s="12"/>
      <c r="M14039" s="11"/>
      <c r="N14039" s="11"/>
      <c r="O14039" s="11"/>
      <c r="P14039" s="11"/>
    </row>
    <row r="14040" spans="8:16" x14ac:dyDescent="0.25">
      <c r="H14040" s="12"/>
      <c r="I14040" s="12"/>
      <c r="J14040" s="12"/>
      <c r="K14040" s="12"/>
      <c r="L14040" s="12"/>
      <c r="M14040" s="11"/>
      <c r="N14040" s="11"/>
      <c r="O14040" s="11"/>
      <c r="P14040" s="11"/>
    </row>
    <row r="14041" spans="8:16" x14ac:dyDescent="0.25">
      <c r="H14041" s="12"/>
      <c r="I14041" s="12"/>
      <c r="J14041" s="12"/>
      <c r="K14041" s="12"/>
      <c r="L14041" s="12"/>
      <c r="M14041" s="11"/>
      <c r="N14041" s="11"/>
      <c r="O14041" s="11"/>
      <c r="P14041" s="11"/>
    </row>
    <row r="14042" spans="8:16" x14ac:dyDescent="0.25">
      <c r="H14042" s="12"/>
      <c r="I14042" s="12"/>
      <c r="J14042" s="12"/>
      <c r="K14042" s="12"/>
      <c r="L14042" s="12"/>
      <c r="M14042" s="11"/>
      <c r="N14042" s="11"/>
      <c r="O14042" s="11"/>
      <c r="P14042" s="11"/>
    </row>
    <row r="14043" spans="8:16" x14ac:dyDescent="0.25">
      <c r="H14043" s="12"/>
      <c r="I14043" s="12"/>
      <c r="J14043" s="12"/>
      <c r="K14043" s="12"/>
      <c r="L14043" s="12"/>
      <c r="M14043" s="11"/>
      <c r="N14043" s="11"/>
      <c r="O14043" s="11"/>
      <c r="P14043" s="11"/>
    </row>
    <row r="14044" spans="8:16" x14ac:dyDescent="0.25">
      <c r="H14044" s="12"/>
      <c r="I14044" s="12"/>
      <c r="J14044" s="12"/>
      <c r="K14044" s="12"/>
      <c r="L14044" s="12"/>
      <c r="M14044" s="11"/>
      <c r="N14044" s="11"/>
      <c r="O14044" s="11"/>
      <c r="P14044" s="11"/>
    </row>
    <row r="14045" spans="8:16" x14ac:dyDescent="0.25">
      <c r="H14045" s="12"/>
      <c r="I14045" s="12"/>
      <c r="J14045" s="12"/>
      <c r="K14045" s="12"/>
      <c r="L14045" s="12"/>
      <c r="M14045" s="11"/>
      <c r="N14045" s="11"/>
      <c r="O14045" s="11"/>
      <c r="P14045" s="11"/>
    </row>
    <row r="14046" spans="8:16" x14ac:dyDescent="0.25">
      <c r="H14046" s="12"/>
      <c r="I14046" s="12"/>
      <c r="J14046" s="12"/>
      <c r="K14046" s="12"/>
      <c r="L14046" s="12"/>
      <c r="M14046" s="11"/>
      <c r="N14046" s="11"/>
      <c r="O14046" s="11"/>
      <c r="P14046" s="11"/>
    </row>
    <row r="14047" spans="8:16" x14ac:dyDescent="0.25">
      <c r="H14047" s="12"/>
      <c r="I14047" s="12"/>
      <c r="J14047" s="12"/>
      <c r="K14047" s="12"/>
      <c r="L14047" s="12"/>
      <c r="M14047" s="11"/>
      <c r="N14047" s="11"/>
      <c r="O14047" s="11"/>
      <c r="P14047" s="11"/>
    </row>
    <row r="14048" spans="8:16" x14ac:dyDescent="0.25">
      <c r="H14048" s="12"/>
      <c r="I14048" s="12"/>
      <c r="J14048" s="12"/>
      <c r="K14048" s="12"/>
      <c r="L14048" s="12"/>
      <c r="M14048" s="11"/>
      <c r="N14048" s="11"/>
      <c r="O14048" s="11"/>
      <c r="P14048" s="11"/>
    </row>
    <row r="14049" spans="8:16" x14ac:dyDescent="0.25">
      <c r="H14049" s="12"/>
      <c r="I14049" s="12"/>
      <c r="J14049" s="12"/>
      <c r="K14049" s="12"/>
      <c r="L14049" s="12"/>
      <c r="M14049" s="11"/>
      <c r="N14049" s="11"/>
      <c r="O14049" s="11"/>
      <c r="P14049" s="11"/>
    </row>
    <row r="14050" spans="8:16" x14ac:dyDescent="0.25">
      <c r="H14050" s="12"/>
      <c r="I14050" s="12"/>
      <c r="J14050" s="12"/>
      <c r="K14050" s="12"/>
      <c r="L14050" s="12"/>
      <c r="M14050" s="11"/>
      <c r="N14050" s="11"/>
      <c r="O14050" s="11"/>
      <c r="P14050" s="11"/>
    </row>
    <row r="14051" spans="8:16" x14ac:dyDescent="0.25">
      <c r="H14051" s="12"/>
      <c r="I14051" s="12"/>
      <c r="J14051" s="12"/>
      <c r="K14051" s="12"/>
      <c r="L14051" s="12"/>
      <c r="M14051" s="11"/>
      <c r="N14051" s="11"/>
      <c r="O14051" s="11"/>
      <c r="P14051" s="11"/>
    </row>
    <row r="14052" spans="8:16" x14ac:dyDescent="0.25">
      <c r="H14052" s="12"/>
      <c r="I14052" s="12"/>
      <c r="J14052" s="12"/>
      <c r="K14052" s="12"/>
      <c r="L14052" s="12"/>
      <c r="M14052" s="11"/>
      <c r="N14052" s="11"/>
      <c r="O14052" s="11"/>
      <c r="P14052" s="11"/>
    </row>
    <row r="14053" spans="8:16" x14ac:dyDescent="0.25">
      <c r="H14053" s="12"/>
      <c r="I14053" s="12"/>
      <c r="J14053" s="12"/>
      <c r="K14053" s="12"/>
      <c r="L14053" s="12"/>
      <c r="M14053" s="11"/>
      <c r="N14053" s="11"/>
      <c r="O14053" s="11"/>
      <c r="P14053" s="11"/>
    </row>
    <row r="14054" spans="8:16" x14ac:dyDescent="0.25">
      <c r="H14054" s="12"/>
      <c r="I14054" s="12"/>
      <c r="J14054" s="12"/>
      <c r="K14054" s="12"/>
      <c r="L14054" s="12"/>
      <c r="M14054" s="11"/>
      <c r="N14054" s="11"/>
      <c r="O14054" s="11"/>
      <c r="P14054" s="11"/>
    </row>
    <row r="14055" spans="8:16" x14ac:dyDescent="0.25">
      <c r="H14055" s="12"/>
      <c r="I14055" s="12"/>
      <c r="J14055" s="12"/>
      <c r="K14055" s="12"/>
      <c r="L14055" s="12"/>
      <c r="M14055" s="11"/>
      <c r="N14055" s="11"/>
      <c r="O14055" s="11"/>
      <c r="P14055" s="11"/>
    </row>
    <row r="14056" spans="8:16" x14ac:dyDescent="0.25">
      <c r="H14056" s="12"/>
      <c r="I14056" s="12"/>
      <c r="J14056" s="12"/>
      <c r="K14056" s="12"/>
      <c r="L14056" s="12"/>
      <c r="M14056" s="11"/>
      <c r="N14056" s="11"/>
      <c r="O14056" s="11"/>
      <c r="P14056" s="11"/>
    </row>
    <row r="14057" spans="8:16" x14ac:dyDescent="0.25">
      <c r="H14057" s="12"/>
      <c r="I14057" s="12"/>
      <c r="J14057" s="12"/>
      <c r="K14057" s="12"/>
      <c r="L14057" s="12"/>
      <c r="M14057" s="11"/>
      <c r="N14057" s="11"/>
      <c r="O14057" s="11"/>
      <c r="P14057" s="11"/>
    </row>
    <row r="14058" spans="8:16" x14ac:dyDescent="0.25">
      <c r="H14058" s="12"/>
      <c r="I14058" s="12"/>
      <c r="J14058" s="12"/>
      <c r="K14058" s="12"/>
      <c r="L14058" s="12"/>
      <c r="M14058" s="11"/>
      <c r="N14058" s="11"/>
      <c r="O14058" s="11"/>
      <c r="P14058" s="11"/>
    </row>
    <row r="14059" spans="8:16" x14ac:dyDescent="0.25">
      <c r="H14059" s="12"/>
      <c r="I14059" s="12"/>
      <c r="J14059" s="12"/>
      <c r="K14059" s="12"/>
      <c r="L14059" s="12"/>
      <c r="M14059" s="11"/>
      <c r="N14059" s="11"/>
      <c r="O14059" s="11"/>
      <c r="P14059" s="11"/>
    </row>
    <row r="14060" spans="8:16" x14ac:dyDescent="0.25">
      <c r="H14060" s="12"/>
      <c r="I14060" s="12"/>
      <c r="J14060" s="12"/>
      <c r="K14060" s="12"/>
      <c r="L14060" s="12"/>
      <c r="M14060" s="11"/>
      <c r="N14060" s="11"/>
      <c r="O14060" s="11"/>
      <c r="P14060" s="11"/>
    </row>
    <row r="14061" spans="8:16" x14ac:dyDescent="0.25">
      <c r="H14061" s="12"/>
      <c r="I14061" s="12"/>
      <c r="J14061" s="12"/>
      <c r="K14061" s="12"/>
      <c r="L14061" s="12"/>
      <c r="M14061" s="11"/>
      <c r="N14061" s="11"/>
      <c r="O14061" s="11"/>
      <c r="P14061" s="11"/>
    </row>
    <row r="14062" spans="8:16" x14ac:dyDescent="0.25">
      <c r="H14062" s="12"/>
      <c r="I14062" s="12"/>
      <c r="J14062" s="12"/>
      <c r="K14062" s="12"/>
      <c r="L14062" s="12"/>
      <c r="M14062" s="11"/>
      <c r="N14062" s="11"/>
      <c r="O14062" s="11"/>
      <c r="P14062" s="11"/>
    </row>
    <row r="14063" spans="8:16" x14ac:dyDescent="0.25">
      <c r="H14063" s="12"/>
      <c r="I14063" s="12"/>
      <c r="J14063" s="12"/>
      <c r="K14063" s="12"/>
      <c r="L14063" s="12"/>
      <c r="M14063" s="11"/>
      <c r="N14063" s="11"/>
      <c r="O14063" s="11"/>
      <c r="P14063" s="11"/>
    </row>
    <row r="14064" spans="8:16" x14ac:dyDescent="0.25">
      <c r="H14064" s="12"/>
      <c r="I14064" s="12"/>
      <c r="J14064" s="12"/>
      <c r="K14064" s="12"/>
      <c r="L14064" s="12"/>
      <c r="M14064" s="11"/>
      <c r="N14064" s="11"/>
      <c r="O14064" s="11"/>
      <c r="P14064" s="11"/>
    </row>
    <row r="14065" spans="8:16" x14ac:dyDescent="0.25">
      <c r="H14065" s="12"/>
      <c r="I14065" s="12"/>
      <c r="J14065" s="12"/>
      <c r="K14065" s="12"/>
      <c r="L14065" s="12"/>
      <c r="M14065" s="11"/>
      <c r="N14065" s="11"/>
      <c r="O14065" s="11"/>
      <c r="P14065" s="11"/>
    </row>
    <row r="14066" spans="8:16" x14ac:dyDescent="0.25">
      <c r="H14066" s="12"/>
      <c r="I14066" s="12"/>
      <c r="J14066" s="12"/>
      <c r="K14066" s="12"/>
      <c r="L14066" s="12"/>
      <c r="M14066" s="11"/>
      <c r="N14066" s="11"/>
      <c r="O14066" s="11"/>
      <c r="P14066" s="11"/>
    </row>
    <row r="14067" spans="8:16" x14ac:dyDescent="0.25">
      <c r="H14067" s="12"/>
      <c r="I14067" s="12"/>
      <c r="J14067" s="12"/>
      <c r="K14067" s="12"/>
      <c r="L14067" s="12"/>
      <c r="M14067" s="11"/>
      <c r="N14067" s="11"/>
      <c r="O14067" s="11"/>
      <c r="P14067" s="11"/>
    </row>
    <row r="14068" spans="8:16" x14ac:dyDescent="0.25">
      <c r="H14068" s="12"/>
      <c r="I14068" s="12"/>
      <c r="J14068" s="12"/>
      <c r="K14068" s="12"/>
      <c r="L14068" s="12"/>
      <c r="M14068" s="11"/>
      <c r="N14068" s="11"/>
      <c r="O14068" s="11"/>
      <c r="P14068" s="11"/>
    </row>
    <row r="14069" spans="8:16" x14ac:dyDescent="0.25">
      <c r="H14069" s="12"/>
      <c r="I14069" s="12"/>
      <c r="J14069" s="12"/>
      <c r="K14069" s="12"/>
      <c r="L14069" s="12"/>
      <c r="M14069" s="11"/>
      <c r="N14069" s="11"/>
      <c r="O14069" s="11"/>
      <c r="P14069" s="11"/>
    </row>
    <row r="14070" spans="8:16" x14ac:dyDescent="0.25">
      <c r="H14070" s="12"/>
      <c r="I14070" s="12"/>
      <c r="J14070" s="12"/>
      <c r="K14070" s="12"/>
      <c r="L14070" s="12"/>
      <c r="M14070" s="11"/>
      <c r="N14070" s="11"/>
      <c r="O14070" s="11"/>
      <c r="P14070" s="11"/>
    </row>
    <row r="14071" spans="8:16" x14ac:dyDescent="0.25">
      <c r="H14071" s="12"/>
      <c r="I14071" s="12"/>
      <c r="J14071" s="12"/>
      <c r="K14071" s="12"/>
      <c r="L14071" s="12"/>
      <c r="M14071" s="11"/>
      <c r="N14071" s="11"/>
      <c r="O14071" s="11"/>
      <c r="P14071" s="11"/>
    </row>
    <row r="14072" spans="8:16" x14ac:dyDescent="0.25">
      <c r="H14072" s="12"/>
      <c r="I14072" s="12"/>
      <c r="J14072" s="12"/>
      <c r="K14072" s="12"/>
      <c r="L14072" s="12"/>
      <c r="M14072" s="11"/>
      <c r="N14072" s="11"/>
      <c r="O14072" s="11"/>
      <c r="P14072" s="11"/>
    </row>
    <row r="14073" spans="8:16" x14ac:dyDescent="0.25">
      <c r="H14073" s="12"/>
      <c r="I14073" s="12"/>
      <c r="J14073" s="12"/>
      <c r="K14073" s="12"/>
      <c r="L14073" s="12"/>
      <c r="M14073" s="11"/>
      <c r="N14073" s="11"/>
      <c r="O14073" s="11"/>
      <c r="P14073" s="11"/>
    </row>
    <row r="14074" spans="8:16" x14ac:dyDescent="0.25">
      <c r="H14074" s="12"/>
      <c r="I14074" s="12"/>
      <c r="J14074" s="12"/>
      <c r="K14074" s="12"/>
      <c r="L14074" s="12"/>
      <c r="M14074" s="11"/>
      <c r="N14074" s="11"/>
      <c r="O14074" s="11"/>
      <c r="P14074" s="11"/>
    </row>
    <row r="14075" spans="8:16" x14ac:dyDescent="0.25">
      <c r="H14075" s="12"/>
      <c r="I14075" s="12"/>
      <c r="J14075" s="12"/>
      <c r="K14075" s="12"/>
      <c r="L14075" s="12"/>
      <c r="M14075" s="11"/>
      <c r="N14075" s="11"/>
      <c r="O14075" s="11"/>
      <c r="P14075" s="11"/>
    </row>
    <row r="14076" spans="8:16" x14ac:dyDescent="0.25">
      <c r="H14076" s="12"/>
      <c r="I14076" s="12"/>
      <c r="J14076" s="12"/>
      <c r="K14076" s="12"/>
      <c r="L14076" s="12"/>
      <c r="M14076" s="11"/>
      <c r="N14076" s="11"/>
      <c r="O14076" s="11"/>
      <c r="P14076" s="11"/>
    </row>
    <row r="14077" spans="8:16" x14ac:dyDescent="0.25">
      <c r="H14077" s="12"/>
      <c r="I14077" s="12"/>
      <c r="J14077" s="12"/>
      <c r="K14077" s="12"/>
      <c r="L14077" s="12"/>
      <c r="M14077" s="11"/>
      <c r="N14077" s="11"/>
      <c r="O14077" s="11"/>
      <c r="P14077" s="11"/>
    </row>
    <row r="14078" spans="8:16" x14ac:dyDescent="0.25">
      <c r="H14078" s="12"/>
      <c r="I14078" s="12"/>
      <c r="J14078" s="12"/>
      <c r="K14078" s="12"/>
      <c r="L14078" s="12"/>
      <c r="M14078" s="11"/>
      <c r="N14078" s="11"/>
      <c r="O14078" s="11"/>
      <c r="P14078" s="11"/>
    </row>
    <row r="14079" spans="8:16" x14ac:dyDescent="0.25">
      <c r="H14079" s="12"/>
      <c r="I14079" s="12"/>
      <c r="J14079" s="12"/>
      <c r="K14079" s="12"/>
      <c r="L14079" s="12"/>
      <c r="M14079" s="11"/>
      <c r="N14079" s="11"/>
      <c r="O14079" s="11"/>
      <c r="P14079" s="11"/>
    </row>
    <row r="14080" spans="8:16" x14ac:dyDescent="0.25">
      <c r="H14080" s="12"/>
      <c r="I14080" s="12"/>
      <c r="J14080" s="12"/>
      <c r="K14080" s="12"/>
      <c r="L14080" s="12"/>
      <c r="M14080" s="11"/>
      <c r="N14080" s="11"/>
      <c r="O14080" s="11"/>
      <c r="P14080" s="11"/>
    </row>
    <row r="14081" spans="8:16" x14ac:dyDescent="0.25">
      <c r="H14081" s="12"/>
      <c r="I14081" s="12"/>
      <c r="J14081" s="12"/>
      <c r="K14081" s="12"/>
      <c r="L14081" s="12"/>
      <c r="M14081" s="11"/>
      <c r="N14081" s="11"/>
      <c r="O14081" s="11"/>
      <c r="P14081" s="11"/>
    </row>
    <row r="14082" spans="8:16" x14ac:dyDescent="0.25">
      <c r="H14082" s="12"/>
      <c r="I14082" s="12"/>
      <c r="J14082" s="12"/>
      <c r="K14082" s="12"/>
      <c r="L14082" s="12"/>
      <c r="M14082" s="11"/>
      <c r="N14082" s="11"/>
      <c r="O14082" s="11"/>
      <c r="P14082" s="11"/>
    </row>
    <row r="14083" spans="8:16" x14ac:dyDescent="0.25">
      <c r="H14083" s="12"/>
      <c r="I14083" s="12"/>
      <c r="J14083" s="12"/>
      <c r="K14083" s="12"/>
      <c r="L14083" s="12"/>
      <c r="M14083" s="11"/>
      <c r="N14083" s="11"/>
      <c r="O14083" s="11"/>
      <c r="P14083" s="11"/>
    </row>
    <row r="14084" spans="8:16" x14ac:dyDescent="0.25">
      <c r="H14084" s="12"/>
      <c r="I14084" s="12"/>
      <c r="J14084" s="12"/>
      <c r="K14084" s="12"/>
      <c r="L14084" s="12"/>
      <c r="M14084" s="11"/>
      <c r="N14084" s="11"/>
      <c r="O14084" s="11"/>
      <c r="P14084" s="11"/>
    </row>
    <row r="14085" spans="8:16" x14ac:dyDescent="0.25">
      <c r="H14085" s="12"/>
      <c r="I14085" s="12"/>
      <c r="J14085" s="12"/>
      <c r="K14085" s="12"/>
      <c r="L14085" s="12"/>
      <c r="M14085" s="11"/>
      <c r="N14085" s="11"/>
      <c r="O14085" s="11"/>
      <c r="P14085" s="11"/>
    </row>
    <row r="14086" spans="8:16" x14ac:dyDescent="0.25">
      <c r="H14086" s="12"/>
      <c r="I14086" s="12"/>
      <c r="J14086" s="12"/>
      <c r="K14086" s="12"/>
      <c r="L14086" s="12"/>
      <c r="M14086" s="11"/>
      <c r="N14086" s="11"/>
      <c r="O14086" s="11"/>
      <c r="P14086" s="11"/>
    </row>
    <row r="14087" spans="8:16" x14ac:dyDescent="0.25">
      <c r="H14087" s="12"/>
      <c r="I14087" s="12"/>
      <c r="J14087" s="12"/>
      <c r="K14087" s="12"/>
      <c r="L14087" s="12"/>
      <c r="M14087" s="11"/>
      <c r="N14087" s="11"/>
      <c r="O14087" s="11"/>
      <c r="P14087" s="11"/>
    </row>
    <row r="14088" spans="8:16" x14ac:dyDescent="0.25">
      <c r="H14088" s="12"/>
      <c r="I14088" s="12"/>
      <c r="J14088" s="12"/>
      <c r="K14088" s="12"/>
      <c r="L14088" s="12"/>
      <c r="M14088" s="11"/>
      <c r="N14088" s="11"/>
      <c r="O14088" s="11"/>
      <c r="P14088" s="11"/>
    </row>
    <row r="14089" spans="8:16" x14ac:dyDescent="0.25">
      <c r="H14089" s="12"/>
      <c r="I14089" s="12"/>
      <c r="J14089" s="12"/>
      <c r="K14089" s="12"/>
      <c r="L14089" s="12"/>
      <c r="M14089" s="11"/>
      <c r="N14089" s="11"/>
      <c r="O14089" s="11"/>
      <c r="P14089" s="11"/>
    </row>
    <row r="14090" spans="8:16" x14ac:dyDescent="0.25">
      <c r="H14090" s="12"/>
      <c r="I14090" s="12"/>
      <c r="J14090" s="12"/>
      <c r="K14090" s="12"/>
      <c r="L14090" s="12"/>
      <c r="M14090" s="11"/>
      <c r="N14090" s="11"/>
      <c r="O14090" s="11"/>
      <c r="P14090" s="11"/>
    </row>
    <row r="14091" spans="8:16" x14ac:dyDescent="0.25">
      <c r="H14091" s="12"/>
      <c r="I14091" s="12"/>
      <c r="J14091" s="12"/>
      <c r="K14091" s="12"/>
      <c r="L14091" s="12"/>
      <c r="M14091" s="11"/>
      <c r="N14091" s="11"/>
      <c r="O14091" s="11"/>
      <c r="P14091" s="11"/>
    </row>
    <row r="14092" spans="8:16" x14ac:dyDescent="0.25">
      <c r="H14092" s="12"/>
      <c r="I14092" s="12"/>
      <c r="J14092" s="12"/>
      <c r="K14092" s="12"/>
      <c r="L14092" s="12"/>
      <c r="M14092" s="11"/>
      <c r="N14092" s="11"/>
      <c r="O14092" s="11"/>
      <c r="P14092" s="11"/>
    </row>
    <row r="14093" spans="8:16" x14ac:dyDescent="0.25">
      <c r="H14093" s="12"/>
      <c r="I14093" s="12"/>
      <c r="J14093" s="12"/>
      <c r="K14093" s="12"/>
      <c r="L14093" s="12"/>
      <c r="M14093" s="11"/>
      <c r="N14093" s="11"/>
      <c r="O14093" s="11"/>
      <c r="P14093" s="11"/>
    </row>
    <row r="14094" spans="8:16" x14ac:dyDescent="0.25">
      <c r="H14094" s="12"/>
      <c r="I14094" s="12"/>
      <c r="J14094" s="12"/>
      <c r="K14094" s="12"/>
      <c r="L14094" s="12"/>
      <c r="M14094" s="11"/>
      <c r="N14094" s="11"/>
      <c r="O14094" s="11"/>
      <c r="P14094" s="11"/>
    </row>
    <row r="14095" spans="8:16" x14ac:dyDescent="0.25">
      <c r="H14095" s="12"/>
      <c r="I14095" s="12"/>
      <c r="J14095" s="12"/>
      <c r="K14095" s="12"/>
      <c r="L14095" s="12"/>
      <c r="M14095" s="11"/>
      <c r="N14095" s="11"/>
      <c r="O14095" s="11"/>
      <c r="P14095" s="11"/>
    </row>
    <row r="14096" spans="8:16" x14ac:dyDescent="0.25">
      <c r="H14096" s="12"/>
      <c r="I14096" s="12"/>
      <c r="J14096" s="12"/>
      <c r="K14096" s="12"/>
      <c r="L14096" s="12"/>
      <c r="M14096" s="11"/>
      <c r="N14096" s="11"/>
      <c r="O14096" s="11"/>
      <c r="P14096" s="11"/>
    </row>
    <row r="14097" spans="8:16" x14ac:dyDescent="0.25">
      <c r="H14097" s="12"/>
      <c r="I14097" s="12"/>
      <c r="J14097" s="12"/>
      <c r="K14097" s="12"/>
      <c r="L14097" s="12"/>
      <c r="M14097" s="11"/>
      <c r="N14097" s="11"/>
      <c r="O14097" s="11"/>
      <c r="P14097" s="11"/>
    </row>
    <row r="14098" spans="8:16" x14ac:dyDescent="0.25">
      <c r="H14098" s="12"/>
      <c r="I14098" s="12"/>
      <c r="J14098" s="12"/>
      <c r="K14098" s="12"/>
      <c r="L14098" s="12"/>
      <c r="M14098" s="11"/>
      <c r="N14098" s="11"/>
      <c r="O14098" s="11"/>
      <c r="P14098" s="11"/>
    </row>
    <row r="14099" spans="8:16" x14ac:dyDescent="0.25">
      <c r="H14099" s="12"/>
      <c r="I14099" s="12"/>
      <c r="J14099" s="12"/>
      <c r="K14099" s="12"/>
      <c r="L14099" s="12"/>
      <c r="M14099" s="11"/>
      <c r="N14099" s="11"/>
      <c r="O14099" s="11"/>
      <c r="P14099" s="11"/>
    </row>
    <row r="14100" spans="8:16" x14ac:dyDescent="0.25">
      <c r="H14100" s="12"/>
      <c r="I14100" s="12"/>
      <c r="J14100" s="12"/>
      <c r="K14100" s="12"/>
      <c r="L14100" s="12"/>
      <c r="M14100" s="11"/>
      <c r="N14100" s="11"/>
      <c r="O14100" s="11"/>
      <c r="P14100" s="11"/>
    </row>
    <row r="14101" spans="8:16" x14ac:dyDescent="0.25">
      <c r="H14101" s="12"/>
      <c r="I14101" s="12"/>
      <c r="J14101" s="12"/>
      <c r="K14101" s="12"/>
      <c r="L14101" s="12"/>
      <c r="M14101" s="11"/>
      <c r="N14101" s="11"/>
      <c r="O14101" s="11"/>
      <c r="P14101" s="11"/>
    </row>
    <row r="14102" spans="8:16" x14ac:dyDescent="0.25">
      <c r="H14102" s="12"/>
      <c r="I14102" s="12"/>
      <c r="J14102" s="12"/>
      <c r="K14102" s="12"/>
      <c r="L14102" s="12"/>
      <c r="M14102" s="11"/>
      <c r="N14102" s="11"/>
      <c r="O14102" s="11"/>
      <c r="P14102" s="11"/>
    </row>
    <row r="14103" spans="8:16" x14ac:dyDescent="0.25">
      <c r="H14103" s="12"/>
      <c r="I14103" s="12"/>
      <c r="J14103" s="12"/>
      <c r="K14103" s="12"/>
      <c r="L14103" s="12"/>
      <c r="M14103" s="11"/>
      <c r="N14103" s="11"/>
      <c r="O14103" s="11"/>
      <c r="P14103" s="11"/>
    </row>
    <row r="14104" spans="8:16" x14ac:dyDescent="0.25">
      <c r="H14104" s="12"/>
      <c r="I14104" s="12"/>
      <c r="J14104" s="12"/>
      <c r="K14104" s="12"/>
      <c r="L14104" s="12"/>
      <c r="M14104" s="11"/>
      <c r="N14104" s="11"/>
      <c r="O14104" s="11"/>
      <c r="P14104" s="11"/>
    </row>
    <row r="14105" spans="8:16" x14ac:dyDescent="0.25">
      <c r="H14105" s="12"/>
      <c r="I14105" s="12"/>
      <c r="J14105" s="12"/>
      <c r="K14105" s="12"/>
      <c r="L14105" s="12"/>
      <c r="M14105" s="11"/>
      <c r="N14105" s="11"/>
      <c r="O14105" s="11"/>
      <c r="P14105" s="11"/>
    </row>
    <row r="14106" spans="8:16" x14ac:dyDescent="0.25">
      <c r="H14106" s="12"/>
      <c r="I14106" s="12"/>
      <c r="J14106" s="12"/>
      <c r="K14106" s="12"/>
      <c r="L14106" s="12"/>
      <c r="M14106" s="11"/>
      <c r="N14106" s="11"/>
      <c r="O14106" s="11"/>
      <c r="P14106" s="11"/>
    </row>
    <row r="14107" spans="8:16" x14ac:dyDescent="0.25">
      <c r="H14107" s="12"/>
      <c r="I14107" s="12"/>
      <c r="J14107" s="12"/>
      <c r="K14107" s="12"/>
      <c r="L14107" s="12"/>
      <c r="M14107" s="11"/>
      <c r="N14107" s="11"/>
      <c r="O14107" s="11"/>
      <c r="P14107" s="11"/>
    </row>
    <row r="14108" spans="8:16" x14ac:dyDescent="0.25">
      <c r="H14108" s="12"/>
      <c r="I14108" s="12"/>
      <c r="J14108" s="12"/>
      <c r="K14108" s="12"/>
      <c r="L14108" s="12"/>
      <c r="M14108" s="11"/>
      <c r="N14108" s="11"/>
      <c r="O14108" s="11"/>
      <c r="P14108" s="11"/>
    </row>
    <row r="14109" spans="8:16" x14ac:dyDescent="0.25">
      <c r="H14109" s="12"/>
      <c r="I14109" s="12"/>
      <c r="J14109" s="12"/>
      <c r="K14109" s="12"/>
      <c r="L14109" s="12"/>
      <c r="M14109" s="11"/>
      <c r="N14109" s="11"/>
      <c r="O14109" s="11"/>
      <c r="P14109" s="11"/>
    </row>
    <row r="14110" spans="8:16" x14ac:dyDescent="0.25">
      <c r="H14110" s="12"/>
      <c r="I14110" s="12"/>
      <c r="J14110" s="12"/>
      <c r="K14110" s="12"/>
      <c r="L14110" s="12"/>
      <c r="M14110" s="11"/>
      <c r="N14110" s="11"/>
      <c r="O14110" s="11"/>
      <c r="P14110" s="11"/>
    </row>
    <row r="14111" spans="8:16" x14ac:dyDescent="0.25">
      <c r="H14111" s="12"/>
      <c r="I14111" s="12"/>
      <c r="J14111" s="12"/>
      <c r="K14111" s="12"/>
      <c r="L14111" s="12"/>
      <c r="M14111" s="11"/>
      <c r="N14111" s="11"/>
      <c r="O14111" s="11"/>
      <c r="P14111" s="11"/>
    </row>
    <row r="14112" spans="8:16" x14ac:dyDescent="0.25">
      <c r="H14112" s="12"/>
      <c r="I14112" s="12"/>
      <c r="J14112" s="12"/>
      <c r="K14112" s="12"/>
      <c r="L14112" s="12"/>
      <c r="M14112" s="11"/>
      <c r="N14112" s="11"/>
      <c r="O14112" s="11"/>
      <c r="P14112" s="11"/>
    </row>
    <row r="14113" spans="8:16" x14ac:dyDescent="0.25">
      <c r="H14113" s="12"/>
      <c r="I14113" s="12"/>
      <c r="J14113" s="12"/>
      <c r="K14113" s="12"/>
      <c r="L14113" s="12"/>
      <c r="M14113" s="11"/>
      <c r="N14113" s="11"/>
      <c r="O14113" s="11"/>
      <c r="P14113" s="11"/>
    </row>
    <row r="14114" spans="8:16" x14ac:dyDescent="0.25">
      <c r="H14114" s="12"/>
      <c r="I14114" s="12"/>
      <c r="J14114" s="12"/>
      <c r="K14114" s="12"/>
      <c r="L14114" s="12"/>
      <c r="M14114" s="11"/>
      <c r="N14114" s="11"/>
      <c r="O14114" s="11"/>
      <c r="P14114" s="11"/>
    </row>
    <row r="14115" spans="8:16" x14ac:dyDescent="0.25">
      <c r="H14115" s="12"/>
      <c r="I14115" s="12"/>
      <c r="J14115" s="12"/>
      <c r="K14115" s="12"/>
      <c r="L14115" s="12"/>
      <c r="M14115" s="11"/>
      <c r="N14115" s="11"/>
      <c r="O14115" s="11"/>
      <c r="P14115" s="11"/>
    </row>
    <row r="14116" spans="8:16" x14ac:dyDescent="0.25">
      <c r="H14116" s="12"/>
      <c r="I14116" s="12"/>
      <c r="J14116" s="12"/>
      <c r="K14116" s="12"/>
      <c r="L14116" s="12"/>
      <c r="M14116" s="11"/>
      <c r="N14116" s="11"/>
      <c r="O14116" s="11"/>
      <c r="P14116" s="11"/>
    </row>
    <row r="14117" spans="8:16" x14ac:dyDescent="0.25">
      <c r="H14117" s="12"/>
      <c r="I14117" s="12"/>
      <c r="J14117" s="12"/>
      <c r="K14117" s="12"/>
      <c r="L14117" s="12"/>
      <c r="M14117" s="11"/>
      <c r="N14117" s="11"/>
      <c r="O14117" s="11"/>
      <c r="P14117" s="11"/>
    </row>
    <row r="14118" spans="8:16" x14ac:dyDescent="0.25">
      <c r="H14118" s="12"/>
      <c r="I14118" s="12"/>
      <c r="J14118" s="12"/>
      <c r="K14118" s="12"/>
      <c r="L14118" s="12"/>
      <c r="M14118" s="11"/>
      <c r="N14118" s="11"/>
      <c r="O14118" s="11"/>
      <c r="P14118" s="11"/>
    </row>
    <row r="14119" spans="8:16" x14ac:dyDescent="0.25">
      <c r="H14119" s="12"/>
      <c r="I14119" s="12"/>
      <c r="J14119" s="12"/>
      <c r="K14119" s="12"/>
      <c r="L14119" s="12"/>
      <c r="M14119" s="11"/>
      <c r="N14119" s="11"/>
      <c r="O14119" s="11"/>
      <c r="P14119" s="11"/>
    </row>
    <row r="14120" spans="8:16" x14ac:dyDescent="0.25">
      <c r="H14120" s="12"/>
      <c r="I14120" s="12"/>
      <c r="J14120" s="12"/>
      <c r="K14120" s="12"/>
      <c r="L14120" s="12"/>
      <c r="M14120" s="11"/>
      <c r="N14120" s="11"/>
      <c r="O14120" s="11"/>
      <c r="P14120" s="11"/>
    </row>
    <row r="14121" spans="8:16" x14ac:dyDescent="0.25">
      <c r="H14121" s="12"/>
      <c r="I14121" s="12"/>
      <c r="J14121" s="12"/>
      <c r="K14121" s="12"/>
      <c r="L14121" s="12"/>
      <c r="M14121" s="11"/>
      <c r="N14121" s="11"/>
      <c r="O14121" s="11"/>
      <c r="P14121" s="11"/>
    </row>
    <row r="14122" spans="8:16" x14ac:dyDescent="0.25">
      <c r="H14122" s="12"/>
      <c r="I14122" s="12"/>
      <c r="J14122" s="12"/>
      <c r="K14122" s="12"/>
      <c r="L14122" s="12"/>
      <c r="M14122" s="11"/>
      <c r="N14122" s="11"/>
      <c r="O14122" s="11"/>
      <c r="P14122" s="11"/>
    </row>
    <row r="14123" spans="8:16" x14ac:dyDescent="0.25">
      <c r="H14123" s="12"/>
      <c r="I14123" s="12"/>
      <c r="J14123" s="12"/>
      <c r="K14123" s="12"/>
      <c r="L14123" s="12"/>
      <c r="M14123" s="11"/>
      <c r="N14123" s="11"/>
      <c r="O14123" s="11"/>
      <c r="P14123" s="11"/>
    </row>
    <row r="14124" spans="8:16" x14ac:dyDescent="0.25">
      <c r="H14124" s="12"/>
      <c r="I14124" s="12"/>
      <c r="J14124" s="12"/>
      <c r="K14124" s="12"/>
      <c r="L14124" s="12"/>
      <c r="M14124" s="11"/>
      <c r="N14124" s="11"/>
      <c r="O14124" s="11"/>
      <c r="P14124" s="11"/>
    </row>
    <row r="14125" spans="8:16" x14ac:dyDescent="0.25">
      <c r="H14125" s="12"/>
      <c r="I14125" s="12"/>
      <c r="J14125" s="12"/>
      <c r="K14125" s="12"/>
      <c r="L14125" s="12"/>
      <c r="M14125" s="11"/>
      <c r="N14125" s="11"/>
      <c r="O14125" s="11"/>
      <c r="P14125" s="11"/>
    </row>
    <row r="14126" spans="8:16" x14ac:dyDescent="0.25">
      <c r="H14126" s="12"/>
      <c r="I14126" s="12"/>
      <c r="J14126" s="12"/>
      <c r="K14126" s="12"/>
      <c r="L14126" s="12"/>
      <c r="M14126" s="11"/>
      <c r="N14126" s="11"/>
      <c r="O14126" s="11"/>
      <c r="P14126" s="11"/>
    </row>
    <row r="14127" spans="8:16" x14ac:dyDescent="0.25">
      <c r="H14127" s="12"/>
      <c r="I14127" s="12"/>
      <c r="J14127" s="12"/>
      <c r="K14127" s="12"/>
      <c r="L14127" s="12"/>
      <c r="M14127" s="11"/>
      <c r="N14127" s="11"/>
      <c r="O14127" s="11"/>
      <c r="P14127" s="11"/>
    </row>
    <row r="14128" spans="8:16" x14ac:dyDescent="0.25">
      <c r="H14128" s="12"/>
      <c r="I14128" s="12"/>
      <c r="J14128" s="12"/>
      <c r="K14128" s="12"/>
      <c r="L14128" s="12"/>
      <c r="M14128" s="11"/>
      <c r="N14128" s="11"/>
      <c r="O14128" s="11"/>
      <c r="P14128" s="11"/>
    </row>
    <row r="14129" spans="8:16" x14ac:dyDescent="0.25">
      <c r="H14129" s="12"/>
      <c r="I14129" s="12"/>
      <c r="J14129" s="12"/>
      <c r="K14129" s="12"/>
      <c r="L14129" s="12"/>
      <c r="M14129" s="11"/>
      <c r="N14129" s="11"/>
      <c r="O14129" s="11"/>
      <c r="P14129" s="11"/>
    </row>
    <row r="14130" spans="8:16" x14ac:dyDescent="0.25">
      <c r="H14130" s="12"/>
      <c r="I14130" s="12"/>
      <c r="J14130" s="12"/>
      <c r="K14130" s="12"/>
      <c r="L14130" s="12"/>
      <c r="M14130" s="11"/>
      <c r="N14130" s="11"/>
      <c r="O14130" s="11"/>
      <c r="P14130" s="11"/>
    </row>
    <row r="14131" spans="8:16" x14ac:dyDescent="0.25">
      <c r="H14131" s="12"/>
      <c r="I14131" s="12"/>
      <c r="J14131" s="12"/>
      <c r="K14131" s="12"/>
      <c r="L14131" s="12"/>
      <c r="M14131" s="11"/>
      <c r="N14131" s="11"/>
      <c r="O14131" s="11"/>
      <c r="P14131" s="11"/>
    </row>
    <row r="14132" spans="8:16" x14ac:dyDescent="0.25">
      <c r="H14132" s="12"/>
      <c r="I14132" s="12"/>
      <c r="J14132" s="12"/>
      <c r="K14132" s="12"/>
      <c r="L14132" s="12"/>
      <c r="M14132" s="11"/>
      <c r="N14132" s="11"/>
      <c r="O14132" s="11"/>
      <c r="P14132" s="11"/>
    </row>
    <row r="14133" spans="8:16" x14ac:dyDescent="0.25">
      <c r="H14133" s="12"/>
      <c r="I14133" s="12"/>
      <c r="J14133" s="12"/>
      <c r="K14133" s="12"/>
      <c r="L14133" s="12"/>
      <c r="M14133" s="11"/>
      <c r="N14133" s="11"/>
      <c r="O14133" s="11"/>
      <c r="P14133" s="11"/>
    </row>
    <row r="14134" spans="8:16" x14ac:dyDescent="0.25">
      <c r="H14134" s="12"/>
      <c r="I14134" s="12"/>
      <c r="J14134" s="12"/>
      <c r="K14134" s="12"/>
      <c r="L14134" s="12"/>
      <c r="M14134" s="11"/>
      <c r="N14134" s="11"/>
      <c r="O14134" s="11"/>
      <c r="P14134" s="11"/>
    </row>
    <row r="14135" spans="8:16" x14ac:dyDescent="0.25">
      <c r="H14135" s="12"/>
      <c r="I14135" s="12"/>
      <c r="J14135" s="12"/>
      <c r="K14135" s="12"/>
      <c r="L14135" s="12"/>
      <c r="M14135" s="11"/>
      <c r="N14135" s="11"/>
      <c r="O14135" s="11"/>
      <c r="P14135" s="11"/>
    </row>
    <row r="14136" spans="8:16" x14ac:dyDescent="0.25">
      <c r="H14136" s="12"/>
      <c r="I14136" s="12"/>
      <c r="J14136" s="12"/>
      <c r="K14136" s="12"/>
      <c r="L14136" s="12"/>
      <c r="M14136" s="11"/>
      <c r="N14136" s="11"/>
      <c r="O14136" s="11"/>
      <c r="P14136" s="11"/>
    </row>
    <row r="14137" spans="8:16" x14ac:dyDescent="0.25">
      <c r="H14137" s="12"/>
      <c r="I14137" s="12"/>
      <c r="J14137" s="12"/>
      <c r="K14137" s="12"/>
      <c r="L14137" s="12"/>
      <c r="M14137" s="11"/>
      <c r="N14137" s="11"/>
      <c r="O14137" s="11"/>
      <c r="P14137" s="11"/>
    </row>
    <row r="14138" spans="8:16" x14ac:dyDescent="0.25">
      <c r="H14138" s="12"/>
      <c r="I14138" s="12"/>
      <c r="J14138" s="12"/>
      <c r="K14138" s="12"/>
      <c r="L14138" s="12"/>
      <c r="M14138" s="11"/>
      <c r="N14138" s="11"/>
      <c r="O14138" s="11"/>
      <c r="P14138" s="11"/>
    </row>
    <row r="14139" spans="8:16" x14ac:dyDescent="0.25">
      <c r="H14139" s="12"/>
      <c r="I14139" s="12"/>
      <c r="J14139" s="12"/>
      <c r="K14139" s="12"/>
      <c r="L14139" s="12"/>
      <c r="M14139" s="11"/>
      <c r="N14139" s="11"/>
      <c r="O14139" s="11"/>
      <c r="P14139" s="11"/>
    </row>
    <row r="14140" spans="8:16" x14ac:dyDescent="0.25">
      <c r="H14140" s="12"/>
      <c r="I14140" s="12"/>
      <c r="J14140" s="12"/>
      <c r="K14140" s="12"/>
      <c r="L14140" s="12"/>
      <c r="M14140" s="11"/>
      <c r="N14140" s="11"/>
      <c r="O14140" s="11"/>
      <c r="P14140" s="11"/>
    </row>
    <row r="14141" spans="8:16" x14ac:dyDescent="0.25">
      <c r="H14141" s="12"/>
      <c r="I14141" s="12"/>
      <c r="J14141" s="12"/>
      <c r="K14141" s="12"/>
      <c r="L14141" s="12"/>
      <c r="M14141" s="11"/>
      <c r="N14141" s="11"/>
      <c r="O14141" s="11"/>
      <c r="P14141" s="11"/>
    </row>
    <row r="14142" spans="8:16" x14ac:dyDescent="0.25">
      <c r="H14142" s="12"/>
      <c r="I14142" s="12"/>
      <c r="J14142" s="12"/>
      <c r="K14142" s="12"/>
      <c r="L14142" s="12"/>
      <c r="M14142" s="11"/>
      <c r="N14142" s="11"/>
      <c r="O14142" s="11"/>
      <c r="P14142" s="11"/>
    </row>
    <row r="14143" spans="8:16" x14ac:dyDescent="0.25">
      <c r="H14143" s="12"/>
      <c r="I14143" s="12"/>
      <c r="J14143" s="12"/>
      <c r="K14143" s="12"/>
      <c r="L14143" s="12"/>
      <c r="M14143" s="11"/>
      <c r="N14143" s="11"/>
      <c r="O14143" s="11"/>
      <c r="P14143" s="11"/>
    </row>
    <row r="14144" spans="8:16" x14ac:dyDescent="0.25">
      <c r="H14144" s="12"/>
      <c r="I14144" s="12"/>
      <c r="J14144" s="12"/>
      <c r="K14144" s="12"/>
      <c r="L14144" s="12"/>
      <c r="M14144" s="11"/>
      <c r="N14144" s="11"/>
      <c r="O14144" s="11"/>
      <c r="P14144" s="11"/>
    </row>
    <row r="14145" spans="8:16" x14ac:dyDescent="0.25">
      <c r="H14145" s="12"/>
      <c r="I14145" s="12"/>
      <c r="J14145" s="12"/>
      <c r="K14145" s="12"/>
      <c r="L14145" s="12"/>
      <c r="M14145" s="11"/>
      <c r="N14145" s="11"/>
      <c r="O14145" s="11"/>
      <c r="P14145" s="11"/>
    </row>
    <row r="14146" spans="8:16" x14ac:dyDescent="0.25">
      <c r="H14146" s="12"/>
      <c r="I14146" s="12"/>
      <c r="J14146" s="12"/>
      <c r="K14146" s="12"/>
      <c r="L14146" s="12"/>
      <c r="M14146" s="11"/>
      <c r="N14146" s="11"/>
      <c r="O14146" s="11"/>
      <c r="P14146" s="11"/>
    </row>
    <row r="14147" spans="8:16" x14ac:dyDescent="0.25">
      <c r="H14147" s="12"/>
      <c r="I14147" s="12"/>
      <c r="J14147" s="12"/>
      <c r="K14147" s="12"/>
      <c r="L14147" s="12"/>
      <c r="M14147" s="11"/>
      <c r="N14147" s="11"/>
      <c r="O14147" s="11"/>
      <c r="P14147" s="11"/>
    </row>
    <row r="14148" spans="8:16" x14ac:dyDescent="0.25">
      <c r="H14148" s="12"/>
      <c r="I14148" s="12"/>
      <c r="J14148" s="12"/>
      <c r="K14148" s="12"/>
      <c r="L14148" s="12"/>
      <c r="M14148" s="11"/>
      <c r="N14148" s="11"/>
      <c r="O14148" s="11"/>
      <c r="P14148" s="11"/>
    </row>
    <row r="14149" spans="8:16" x14ac:dyDescent="0.25">
      <c r="H14149" s="12"/>
      <c r="I14149" s="12"/>
      <c r="J14149" s="12"/>
      <c r="K14149" s="12"/>
      <c r="L14149" s="12"/>
      <c r="M14149" s="11"/>
      <c r="N14149" s="11"/>
      <c r="O14149" s="11"/>
      <c r="P14149" s="11"/>
    </row>
    <row r="14150" spans="8:16" x14ac:dyDescent="0.25">
      <c r="H14150" s="12"/>
      <c r="I14150" s="12"/>
      <c r="J14150" s="12"/>
      <c r="K14150" s="12"/>
      <c r="L14150" s="12"/>
      <c r="M14150" s="11"/>
      <c r="N14150" s="11"/>
      <c r="O14150" s="11"/>
      <c r="P14150" s="11"/>
    </row>
    <row r="14151" spans="8:16" x14ac:dyDescent="0.25">
      <c r="H14151" s="12"/>
      <c r="I14151" s="12"/>
      <c r="J14151" s="12"/>
      <c r="K14151" s="12"/>
      <c r="L14151" s="12"/>
      <c r="M14151" s="11"/>
      <c r="N14151" s="11"/>
      <c r="O14151" s="11"/>
      <c r="P14151" s="11"/>
    </row>
    <row r="14152" spans="8:16" x14ac:dyDescent="0.25">
      <c r="H14152" s="12"/>
      <c r="I14152" s="12"/>
      <c r="J14152" s="12"/>
      <c r="K14152" s="12"/>
      <c r="L14152" s="12"/>
      <c r="M14152" s="11"/>
      <c r="N14152" s="11"/>
      <c r="O14152" s="11"/>
      <c r="P14152" s="11"/>
    </row>
    <row r="14153" spans="8:16" x14ac:dyDescent="0.25">
      <c r="H14153" s="12"/>
      <c r="I14153" s="12"/>
      <c r="J14153" s="12"/>
      <c r="K14153" s="12"/>
      <c r="L14153" s="12"/>
      <c r="M14153" s="11"/>
      <c r="N14153" s="11"/>
      <c r="O14153" s="11"/>
      <c r="P14153" s="11"/>
    </row>
    <row r="14154" spans="8:16" x14ac:dyDescent="0.25">
      <c r="H14154" s="12"/>
      <c r="I14154" s="12"/>
      <c r="J14154" s="12"/>
      <c r="K14154" s="12"/>
      <c r="L14154" s="12"/>
      <c r="M14154" s="11"/>
      <c r="N14154" s="11"/>
      <c r="O14154" s="11"/>
      <c r="P14154" s="11"/>
    </row>
    <row r="14155" spans="8:16" x14ac:dyDescent="0.25">
      <c r="H14155" s="12"/>
      <c r="I14155" s="12"/>
      <c r="J14155" s="12"/>
      <c r="K14155" s="12"/>
      <c r="L14155" s="12"/>
      <c r="M14155" s="11"/>
      <c r="N14155" s="11"/>
      <c r="O14155" s="11"/>
      <c r="P14155" s="11"/>
    </row>
    <row r="14156" spans="8:16" x14ac:dyDescent="0.25">
      <c r="H14156" s="12"/>
      <c r="I14156" s="12"/>
      <c r="J14156" s="12"/>
      <c r="K14156" s="12"/>
      <c r="L14156" s="12"/>
      <c r="M14156" s="11"/>
      <c r="N14156" s="11"/>
      <c r="O14156" s="11"/>
      <c r="P14156" s="11"/>
    </row>
    <row r="14157" spans="8:16" x14ac:dyDescent="0.25">
      <c r="H14157" s="12"/>
      <c r="I14157" s="12"/>
      <c r="J14157" s="12"/>
      <c r="K14157" s="12"/>
      <c r="L14157" s="12"/>
      <c r="M14157" s="11"/>
      <c r="N14157" s="11"/>
      <c r="O14157" s="11"/>
      <c r="P14157" s="11"/>
    </row>
    <row r="14158" spans="8:16" x14ac:dyDescent="0.25">
      <c r="H14158" s="12"/>
      <c r="I14158" s="12"/>
      <c r="J14158" s="12"/>
      <c r="K14158" s="12"/>
      <c r="L14158" s="12"/>
      <c r="M14158" s="11"/>
      <c r="N14158" s="11"/>
      <c r="O14158" s="11"/>
      <c r="P14158" s="11"/>
    </row>
    <row r="14159" spans="8:16" x14ac:dyDescent="0.25">
      <c r="H14159" s="12"/>
      <c r="I14159" s="12"/>
      <c r="J14159" s="12"/>
      <c r="K14159" s="12"/>
      <c r="L14159" s="12"/>
      <c r="M14159" s="11"/>
      <c r="N14159" s="11"/>
      <c r="O14159" s="11"/>
      <c r="P14159" s="11"/>
    </row>
    <row r="14160" spans="8:16" x14ac:dyDescent="0.25">
      <c r="H14160" s="12"/>
      <c r="I14160" s="12"/>
      <c r="J14160" s="12"/>
      <c r="K14160" s="12"/>
      <c r="L14160" s="12"/>
      <c r="M14160" s="11"/>
      <c r="N14160" s="11"/>
      <c r="O14160" s="11"/>
      <c r="P14160" s="11"/>
    </row>
    <row r="14161" spans="8:16" x14ac:dyDescent="0.25">
      <c r="H14161" s="12"/>
      <c r="I14161" s="12"/>
      <c r="J14161" s="12"/>
      <c r="K14161" s="12"/>
      <c r="L14161" s="12"/>
      <c r="M14161" s="11"/>
      <c r="N14161" s="11"/>
      <c r="O14161" s="11"/>
      <c r="P14161" s="11"/>
    </row>
    <row r="14162" spans="8:16" x14ac:dyDescent="0.25">
      <c r="H14162" s="12"/>
      <c r="I14162" s="12"/>
      <c r="J14162" s="12"/>
      <c r="K14162" s="12"/>
      <c r="L14162" s="12"/>
      <c r="M14162" s="11"/>
      <c r="N14162" s="11"/>
      <c r="O14162" s="11"/>
      <c r="P14162" s="11"/>
    </row>
    <row r="14163" spans="8:16" x14ac:dyDescent="0.25">
      <c r="H14163" s="12"/>
      <c r="I14163" s="12"/>
      <c r="J14163" s="12"/>
      <c r="K14163" s="12"/>
      <c r="L14163" s="12"/>
      <c r="M14163" s="11"/>
      <c r="N14163" s="11"/>
      <c r="O14163" s="11"/>
      <c r="P14163" s="11"/>
    </row>
    <row r="14164" spans="8:16" x14ac:dyDescent="0.25">
      <c r="H14164" s="12"/>
      <c r="I14164" s="12"/>
      <c r="J14164" s="12"/>
      <c r="K14164" s="12"/>
      <c r="L14164" s="12"/>
      <c r="M14164" s="11"/>
      <c r="N14164" s="11"/>
      <c r="O14164" s="11"/>
      <c r="P14164" s="11"/>
    </row>
    <row r="14165" spans="8:16" x14ac:dyDescent="0.25">
      <c r="H14165" s="12"/>
      <c r="I14165" s="12"/>
      <c r="J14165" s="12"/>
      <c r="K14165" s="12"/>
      <c r="L14165" s="12"/>
      <c r="M14165" s="11"/>
      <c r="N14165" s="11"/>
      <c r="O14165" s="11"/>
      <c r="P14165" s="11"/>
    </row>
    <row r="14166" spans="8:16" x14ac:dyDescent="0.25">
      <c r="H14166" s="12"/>
      <c r="I14166" s="12"/>
      <c r="J14166" s="12"/>
      <c r="K14166" s="12"/>
      <c r="L14166" s="12"/>
      <c r="M14166" s="11"/>
      <c r="N14166" s="11"/>
      <c r="O14166" s="11"/>
      <c r="P14166" s="11"/>
    </row>
    <row r="14167" spans="8:16" x14ac:dyDescent="0.25">
      <c r="H14167" s="12"/>
      <c r="I14167" s="12"/>
      <c r="J14167" s="12"/>
      <c r="K14167" s="12"/>
      <c r="L14167" s="12"/>
      <c r="M14167" s="11"/>
      <c r="N14167" s="11"/>
      <c r="O14167" s="11"/>
      <c r="P14167" s="11"/>
    </row>
    <row r="14168" spans="8:16" x14ac:dyDescent="0.25">
      <c r="H14168" s="12"/>
      <c r="I14168" s="12"/>
      <c r="J14168" s="12"/>
      <c r="K14168" s="12"/>
      <c r="L14168" s="12"/>
      <c r="M14168" s="11"/>
      <c r="N14168" s="11"/>
      <c r="O14168" s="11"/>
      <c r="P14168" s="11"/>
    </row>
    <row r="14169" spans="8:16" x14ac:dyDescent="0.25">
      <c r="H14169" s="12"/>
      <c r="I14169" s="12"/>
      <c r="J14169" s="12"/>
      <c r="K14169" s="12"/>
      <c r="L14169" s="12"/>
      <c r="M14169" s="11"/>
      <c r="N14169" s="11"/>
      <c r="O14169" s="11"/>
      <c r="P14169" s="11"/>
    </row>
    <row r="14170" spans="8:16" x14ac:dyDescent="0.25">
      <c r="H14170" s="12"/>
      <c r="I14170" s="12"/>
      <c r="J14170" s="12"/>
      <c r="K14170" s="12"/>
      <c r="L14170" s="12"/>
      <c r="M14170" s="11"/>
      <c r="N14170" s="11"/>
      <c r="O14170" s="11"/>
      <c r="P14170" s="11"/>
    </row>
    <row r="14171" spans="8:16" x14ac:dyDescent="0.25">
      <c r="H14171" s="12"/>
      <c r="I14171" s="12"/>
      <c r="J14171" s="12"/>
      <c r="K14171" s="12"/>
      <c r="L14171" s="12"/>
      <c r="M14171" s="11"/>
      <c r="N14171" s="11"/>
      <c r="O14171" s="11"/>
      <c r="P14171" s="11"/>
    </row>
    <row r="14172" spans="8:16" x14ac:dyDescent="0.25">
      <c r="H14172" s="12"/>
      <c r="I14172" s="12"/>
      <c r="J14172" s="12"/>
      <c r="K14172" s="12"/>
      <c r="L14172" s="12"/>
      <c r="M14172" s="11"/>
      <c r="N14172" s="11"/>
      <c r="O14172" s="11"/>
      <c r="P14172" s="11"/>
    </row>
    <row r="14173" spans="8:16" x14ac:dyDescent="0.25">
      <c r="H14173" s="12"/>
      <c r="I14173" s="12"/>
      <c r="J14173" s="12"/>
      <c r="K14173" s="12"/>
      <c r="L14173" s="12"/>
      <c r="M14173" s="11"/>
      <c r="N14173" s="11"/>
      <c r="O14173" s="11"/>
      <c r="P14173" s="11"/>
    </row>
    <row r="14174" spans="8:16" x14ac:dyDescent="0.25">
      <c r="H14174" s="12"/>
      <c r="I14174" s="12"/>
      <c r="J14174" s="12"/>
      <c r="K14174" s="12"/>
      <c r="L14174" s="12"/>
      <c r="M14174" s="11"/>
      <c r="N14174" s="11"/>
      <c r="O14174" s="11"/>
      <c r="P14174" s="11"/>
    </row>
    <row r="14175" spans="8:16" x14ac:dyDescent="0.25">
      <c r="H14175" s="12"/>
      <c r="I14175" s="12"/>
      <c r="J14175" s="12"/>
      <c r="K14175" s="12"/>
      <c r="L14175" s="12"/>
      <c r="M14175" s="11"/>
      <c r="N14175" s="11"/>
      <c r="O14175" s="11"/>
      <c r="P14175" s="11"/>
    </row>
    <row r="14176" spans="8:16" x14ac:dyDescent="0.25">
      <c r="H14176" s="12"/>
      <c r="I14176" s="12"/>
      <c r="J14176" s="12"/>
      <c r="K14176" s="12"/>
      <c r="L14176" s="12"/>
      <c r="M14176" s="11"/>
      <c r="N14176" s="11"/>
      <c r="O14176" s="11"/>
      <c r="P14176" s="11"/>
    </row>
    <row r="14177" spans="8:16" x14ac:dyDescent="0.25">
      <c r="H14177" s="12"/>
      <c r="I14177" s="12"/>
      <c r="J14177" s="12"/>
      <c r="K14177" s="12"/>
      <c r="L14177" s="12"/>
      <c r="M14177" s="11"/>
      <c r="N14177" s="11"/>
      <c r="O14177" s="11"/>
      <c r="P14177" s="11"/>
    </row>
    <row r="14178" spans="8:16" x14ac:dyDescent="0.25">
      <c r="H14178" s="12"/>
      <c r="I14178" s="12"/>
      <c r="J14178" s="12"/>
      <c r="K14178" s="12"/>
      <c r="L14178" s="12"/>
      <c r="M14178" s="11"/>
      <c r="N14178" s="11"/>
      <c r="O14178" s="11"/>
      <c r="P14178" s="11"/>
    </row>
    <row r="14179" spans="8:16" x14ac:dyDescent="0.25">
      <c r="H14179" s="12"/>
      <c r="I14179" s="12"/>
      <c r="J14179" s="12"/>
      <c r="K14179" s="12"/>
      <c r="L14179" s="12"/>
      <c r="M14179" s="11"/>
      <c r="N14179" s="11"/>
      <c r="O14179" s="11"/>
      <c r="P14179" s="11"/>
    </row>
    <row r="14180" spans="8:16" x14ac:dyDescent="0.25">
      <c r="H14180" s="12"/>
      <c r="I14180" s="12"/>
      <c r="J14180" s="12"/>
      <c r="K14180" s="12"/>
      <c r="L14180" s="12"/>
      <c r="M14180" s="11"/>
      <c r="N14180" s="11"/>
      <c r="O14180" s="11"/>
      <c r="P14180" s="11"/>
    </row>
    <row r="14181" spans="8:16" x14ac:dyDescent="0.25">
      <c r="H14181" s="12"/>
      <c r="I14181" s="12"/>
      <c r="J14181" s="12"/>
      <c r="K14181" s="12"/>
      <c r="L14181" s="12"/>
      <c r="M14181" s="11"/>
      <c r="N14181" s="11"/>
      <c r="O14181" s="11"/>
      <c r="P14181" s="11"/>
    </row>
    <row r="14182" spans="8:16" x14ac:dyDescent="0.25">
      <c r="H14182" s="12"/>
      <c r="I14182" s="12"/>
      <c r="J14182" s="12"/>
      <c r="K14182" s="12"/>
      <c r="L14182" s="12"/>
      <c r="M14182" s="11"/>
      <c r="N14182" s="11"/>
      <c r="O14182" s="11"/>
      <c r="P14182" s="11"/>
    </row>
    <row r="14183" spans="8:16" x14ac:dyDescent="0.25">
      <c r="H14183" s="12"/>
      <c r="I14183" s="12"/>
      <c r="J14183" s="12"/>
      <c r="K14183" s="12"/>
      <c r="L14183" s="12"/>
      <c r="M14183" s="11"/>
      <c r="N14183" s="11"/>
      <c r="O14183" s="11"/>
      <c r="P14183" s="11"/>
    </row>
    <row r="14184" spans="8:16" x14ac:dyDescent="0.25">
      <c r="H14184" s="12"/>
      <c r="I14184" s="12"/>
      <c r="J14184" s="12"/>
      <c r="K14184" s="12"/>
      <c r="L14184" s="12"/>
      <c r="M14184" s="11"/>
      <c r="N14184" s="11"/>
      <c r="O14184" s="11"/>
      <c r="P14184" s="11"/>
    </row>
    <row r="14185" spans="8:16" x14ac:dyDescent="0.25">
      <c r="H14185" s="12"/>
      <c r="I14185" s="12"/>
      <c r="J14185" s="12"/>
      <c r="K14185" s="12"/>
      <c r="L14185" s="12"/>
      <c r="M14185" s="11"/>
      <c r="N14185" s="11"/>
      <c r="O14185" s="11"/>
      <c r="P14185" s="11"/>
    </row>
    <row r="14186" spans="8:16" x14ac:dyDescent="0.25">
      <c r="H14186" s="12"/>
      <c r="I14186" s="12"/>
      <c r="J14186" s="12"/>
      <c r="K14186" s="12"/>
      <c r="L14186" s="12"/>
      <c r="M14186" s="11"/>
      <c r="N14186" s="11"/>
      <c r="O14186" s="11"/>
      <c r="P14186" s="11"/>
    </row>
    <row r="14187" spans="8:16" x14ac:dyDescent="0.25">
      <c r="H14187" s="12"/>
      <c r="I14187" s="12"/>
      <c r="J14187" s="12"/>
      <c r="K14187" s="12"/>
      <c r="L14187" s="12"/>
      <c r="M14187" s="11"/>
      <c r="N14187" s="11"/>
      <c r="O14187" s="11"/>
      <c r="P14187" s="11"/>
    </row>
    <row r="14188" spans="8:16" x14ac:dyDescent="0.25">
      <c r="H14188" s="12"/>
      <c r="I14188" s="12"/>
      <c r="J14188" s="12"/>
      <c r="K14188" s="12"/>
      <c r="L14188" s="12"/>
      <c r="M14188" s="11"/>
      <c r="N14188" s="11"/>
      <c r="O14188" s="11"/>
      <c r="P14188" s="11"/>
    </row>
    <row r="14189" spans="8:16" x14ac:dyDescent="0.25">
      <c r="H14189" s="12"/>
      <c r="I14189" s="12"/>
      <c r="J14189" s="12"/>
      <c r="K14189" s="12"/>
      <c r="L14189" s="12"/>
      <c r="M14189" s="11"/>
      <c r="N14189" s="11"/>
      <c r="O14189" s="11"/>
      <c r="P14189" s="11"/>
    </row>
    <row r="14190" spans="8:16" x14ac:dyDescent="0.25">
      <c r="H14190" s="12"/>
      <c r="I14190" s="12"/>
      <c r="J14190" s="12"/>
      <c r="K14190" s="12"/>
      <c r="L14190" s="12"/>
      <c r="M14190" s="11"/>
      <c r="N14190" s="11"/>
      <c r="O14190" s="11"/>
      <c r="P14190" s="11"/>
    </row>
    <row r="14191" spans="8:16" x14ac:dyDescent="0.25">
      <c r="H14191" s="12"/>
      <c r="I14191" s="12"/>
      <c r="J14191" s="12"/>
      <c r="K14191" s="12"/>
      <c r="L14191" s="12"/>
      <c r="M14191" s="11"/>
      <c r="N14191" s="11"/>
      <c r="O14191" s="11"/>
      <c r="P14191" s="11"/>
    </row>
    <row r="14192" spans="8:16" x14ac:dyDescent="0.25">
      <c r="H14192" s="12"/>
      <c r="I14192" s="12"/>
      <c r="J14192" s="12"/>
      <c r="K14192" s="12"/>
      <c r="L14192" s="12"/>
      <c r="M14192" s="11"/>
      <c r="N14192" s="11"/>
      <c r="O14192" s="11"/>
      <c r="P14192" s="11"/>
    </row>
    <row r="14193" spans="8:16" x14ac:dyDescent="0.25">
      <c r="H14193" s="12"/>
      <c r="I14193" s="12"/>
      <c r="J14193" s="12"/>
      <c r="K14193" s="12"/>
      <c r="L14193" s="12"/>
      <c r="M14193" s="11"/>
      <c r="N14193" s="11"/>
      <c r="O14193" s="11"/>
      <c r="P14193" s="11"/>
    </row>
    <row r="14194" spans="8:16" x14ac:dyDescent="0.25">
      <c r="H14194" s="12"/>
      <c r="I14194" s="12"/>
      <c r="J14194" s="12"/>
      <c r="K14194" s="12"/>
      <c r="L14194" s="12"/>
      <c r="M14194" s="11"/>
      <c r="N14194" s="11"/>
      <c r="O14194" s="11"/>
      <c r="P14194" s="11"/>
    </row>
    <row r="14195" spans="8:16" x14ac:dyDescent="0.25">
      <c r="H14195" s="12"/>
      <c r="I14195" s="12"/>
      <c r="J14195" s="12"/>
      <c r="K14195" s="12"/>
      <c r="L14195" s="12"/>
      <c r="M14195" s="11"/>
      <c r="N14195" s="11"/>
      <c r="O14195" s="11"/>
      <c r="P14195" s="11"/>
    </row>
    <row r="14196" spans="8:16" x14ac:dyDescent="0.25">
      <c r="H14196" s="12"/>
      <c r="I14196" s="12"/>
      <c r="J14196" s="12"/>
      <c r="K14196" s="12"/>
      <c r="L14196" s="12"/>
      <c r="M14196" s="11"/>
      <c r="N14196" s="11"/>
      <c r="O14196" s="11"/>
      <c r="P14196" s="11"/>
    </row>
    <row r="14197" spans="8:16" x14ac:dyDescent="0.25">
      <c r="H14197" s="12"/>
      <c r="I14197" s="12"/>
      <c r="J14197" s="12"/>
      <c r="K14197" s="12"/>
      <c r="L14197" s="12"/>
      <c r="M14197" s="11"/>
      <c r="N14197" s="11"/>
      <c r="O14197" s="11"/>
      <c r="P14197" s="11"/>
    </row>
    <row r="14198" spans="8:16" x14ac:dyDescent="0.25">
      <c r="H14198" s="12"/>
      <c r="I14198" s="12"/>
      <c r="J14198" s="12"/>
      <c r="K14198" s="12"/>
      <c r="L14198" s="12"/>
      <c r="M14198" s="11"/>
      <c r="N14198" s="11"/>
      <c r="O14198" s="11"/>
      <c r="P14198" s="11"/>
    </row>
    <row r="14199" spans="8:16" x14ac:dyDescent="0.25">
      <c r="H14199" s="12"/>
      <c r="I14199" s="12"/>
      <c r="J14199" s="12"/>
      <c r="K14199" s="12"/>
      <c r="L14199" s="12"/>
      <c r="M14199" s="11"/>
      <c r="N14199" s="11"/>
      <c r="O14199" s="11"/>
      <c r="P14199" s="11"/>
    </row>
    <row r="14200" spans="8:16" x14ac:dyDescent="0.25">
      <c r="H14200" s="12"/>
      <c r="I14200" s="12"/>
      <c r="J14200" s="12"/>
      <c r="K14200" s="12"/>
      <c r="L14200" s="12"/>
      <c r="M14200" s="11"/>
      <c r="N14200" s="11"/>
      <c r="O14200" s="11"/>
      <c r="P14200" s="11"/>
    </row>
    <row r="14201" spans="8:16" x14ac:dyDescent="0.25">
      <c r="H14201" s="12"/>
      <c r="I14201" s="12"/>
      <c r="J14201" s="12"/>
      <c r="K14201" s="12"/>
      <c r="L14201" s="12"/>
      <c r="M14201" s="11"/>
      <c r="N14201" s="11"/>
      <c r="O14201" s="11"/>
      <c r="P14201" s="11"/>
    </row>
    <row r="14202" spans="8:16" x14ac:dyDescent="0.25">
      <c r="H14202" s="12"/>
      <c r="I14202" s="12"/>
      <c r="J14202" s="12"/>
      <c r="K14202" s="12"/>
      <c r="L14202" s="12"/>
      <c r="M14202" s="11"/>
      <c r="N14202" s="11"/>
      <c r="O14202" s="11"/>
      <c r="P14202" s="11"/>
    </row>
    <row r="14203" spans="8:16" x14ac:dyDescent="0.25">
      <c r="H14203" s="12"/>
      <c r="I14203" s="12"/>
      <c r="J14203" s="12"/>
      <c r="K14203" s="12"/>
      <c r="L14203" s="12"/>
      <c r="M14203" s="11"/>
      <c r="N14203" s="11"/>
      <c r="O14203" s="11"/>
      <c r="P14203" s="11"/>
    </row>
    <row r="14204" spans="8:16" x14ac:dyDescent="0.25">
      <c r="H14204" s="12"/>
      <c r="I14204" s="12"/>
      <c r="J14204" s="12"/>
      <c r="K14204" s="12"/>
      <c r="L14204" s="12"/>
      <c r="M14204" s="11"/>
      <c r="N14204" s="11"/>
      <c r="O14204" s="11"/>
      <c r="P14204" s="11"/>
    </row>
    <row r="14205" spans="8:16" x14ac:dyDescent="0.25">
      <c r="H14205" s="12"/>
      <c r="I14205" s="12"/>
      <c r="J14205" s="12"/>
      <c r="K14205" s="12"/>
      <c r="L14205" s="12"/>
      <c r="M14205" s="11"/>
      <c r="N14205" s="11"/>
      <c r="O14205" s="11"/>
      <c r="P14205" s="11"/>
    </row>
    <row r="14206" spans="8:16" x14ac:dyDescent="0.25">
      <c r="H14206" s="12"/>
      <c r="I14206" s="12"/>
      <c r="J14206" s="12"/>
      <c r="K14206" s="12"/>
      <c r="L14206" s="12"/>
      <c r="M14206" s="11"/>
      <c r="N14206" s="11"/>
      <c r="O14206" s="11"/>
      <c r="P14206" s="11"/>
    </row>
    <row r="14207" spans="8:16" x14ac:dyDescent="0.25">
      <c r="H14207" s="12"/>
      <c r="I14207" s="12"/>
      <c r="J14207" s="12"/>
      <c r="K14207" s="12"/>
      <c r="L14207" s="12"/>
      <c r="M14207" s="11"/>
      <c r="N14207" s="11"/>
      <c r="O14207" s="11"/>
      <c r="P14207" s="11"/>
    </row>
    <row r="14208" spans="8:16" x14ac:dyDescent="0.25">
      <c r="H14208" s="12"/>
      <c r="I14208" s="12"/>
      <c r="J14208" s="12"/>
      <c r="K14208" s="12"/>
      <c r="L14208" s="12"/>
      <c r="M14208" s="11"/>
      <c r="N14208" s="11"/>
      <c r="O14208" s="11"/>
      <c r="P14208" s="11"/>
    </row>
    <row r="14209" spans="8:16" x14ac:dyDescent="0.25">
      <c r="H14209" s="12"/>
      <c r="I14209" s="12"/>
      <c r="J14209" s="12"/>
      <c r="K14209" s="12"/>
      <c r="L14209" s="12"/>
      <c r="M14209" s="11"/>
      <c r="N14209" s="11"/>
      <c r="O14209" s="11"/>
      <c r="P14209" s="11"/>
    </row>
    <row r="14210" spans="8:16" x14ac:dyDescent="0.25">
      <c r="H14210" s="12"/>
      <c r="I14210" s="12"/>
      <c r="J14210" s="12"/>
      <c r="K14210" s="12"/>
      <c r="L14210" s="12"/>
      <c r="M14210" s="11"/>
      <c r="N14210" s="11"/>
      <c r="O14210" s="11"/>
      <c r="P14210" s="11"/>
    </row>
    <row r="14211" spans="8:16" x14ac:dyDescent="0.25">
      <c r="H14211" s="12"/>
      <c r="I14211" s="12"/>
      <c r="J14211" s="12"/>
      <c r="K14211" s="12"/>
      <c r="L14211" s="12"/>
      <c r="M14211" s="11"/>
      <c r="N14211" s="11"/>
      <c r="O14211" s="11"/>
      <c r="P14211" s="11"/>
    </row>
    <row r="14212" spans="8:16" x14ac:dyDescent="0.25">
      <c r="H14212" s="12"/>
      <c r="I14212" s="12"/>
      <c r="J14212" s="12"/>
      <c r="K14212" s="12"/>
      <c r="L14212" s="12"/>
      <c r="M14212" s="11"/>
      <c r="N14212" s="11"/>
      <c r="O14212" s="11"/>
      <c r="P14212" s="11"/>
    </row>
    <row r="14213" spans="8:16" x14ac:dyDescent="0.25">
      <c r="H14213" s="12"/>
      <c r="I14213" s="12"/>
      <c r="J14213" s="12"/>
      <c r="K14213" s="12"/>
      <c r="L14213" s="12"/>
      <c r="M14213" s="11"/>
      <c r="N14213" s="11"/>
      <c r="O14213" s="11"/>
      <c r="P14213" s="11"/>
    </row>
    <row r="14214" spans="8:16" x14ac:dyDescent="0.25">
      <c r="H14214" s="12"/>
      <c r="I14214" s="12"/>
      <c r="J14214" s="12"/>
      <c r="K14214" s="12"/>
      <c r="L14214" s="12"/>
      <c r="M14214" s="11"/>
      <c r="N14214" s="11"/>
      <c r="O14214" s="11"/>
      <c r="P14214" s="11"/>
    </row>
    <row r="14215" spans="8:16" x14ac:dyDescent="0.25">
      <c r="H14215" s="12"/>
      <c r="I14215" s="12"/>
      <c r="J14215" s="12"/>
      <c r="K14215" s="12"/>
      <c r="L14215" s="12"/>
      <c r="M14215" s="11"/>
      <c r="N14215" s="11"/>
      <c r="O14215" s="11"/>
      <c r="P14215" s="11"/>
    </row>
    <row r="14216" spans="8:16" x14ac:dyDescent="0.25">
      <c r="H14216" s="12"/>
      <c r="I14216" s="12"/>
      <c r="J14216" s="12"/>
      <c r="K14216" s="12"/>
      <c r="L14216" s="12"/>
      <c r="M14216" s="11"/>
      <c r="N14216" s="11"/>
      <c r="O14216" s="11"/>
      <c r="P14216" s="11"/>
    </row>
    <row r="14217" spans="8:16" x14ac:dyDescent="0.25">
      <c r="H14217" s="12"/>
      <c r="I14217" s="12"/>
      <c r="J14217" s="12"/>
      <c r="K14217" s="12"/>
      <c r="L14217" s="12"/>
      <c r="M14217" s="11"/>
      <c r="N14217" s="11"/>
      <c r="O14217" s="11"/>
      <c r="P14217" s="11"/>
    </row>
    <row r="14218" spans="8:16" x14ac:dyDescent="0.25">
      <c r="H14218" s="12"/>
      <c r="I14218" s="12"/>
      <c r="J14218" s="12"/>
      <c r="K14218" s="12"/>
      <c r="L14218" s="12"/>
      <c r="M14218" s="11"/>
      <c r="N14218" s="11"/>
      <c r="O14218" s="11"/>
      <c r="P14218" s="11"/>
    </row>
    <row r="14219" spans="8:16" x14ac:dyDescent="0.25">
      <c r="H14219" s="12"/>
      <c r="I14219" s="12"/>
      <c r="J14219" s="12"/>
      <c r="K14219" s="12"/>
      <c r="L14219" s="12"/>
      <c r="M14219" s="11"/>
      <c r="N14219" s="11"/>
      <c r="O14219" s="11"/>
      <c r="P14219" s="11"/>
    </row>
    <row r="14220" spans="8:16" x14ac:dyDescent="0.25">
      <c r="H14220" s="12"/>
      <c r="I14220" s="12"/>
      <c r="J14220" s="12"/>
      <c r="K14220" s="12"/>
      <c r="L14220" s="12"/>
      <c r="M14220" s="11"/>
      <c r="N14220" s="11"/>
      <c r="O14220" s="11"/>
      <c r="P14220" s="11"/>
    </row>
    <row r="14221" spans="8:16" x14ac:dyDescent="0.25">
      <c r="H14221" s="12"/>
      <c r="I14221" s="12"/>
      <c r="J14221" s="12"/>
      <c r="K14221" s="12"/>
      <c r="L14221" s="12"/>
      <c r="M14221" s="11"/>
      <c r="N14221" s="11"/>
      <c r="O14221" s="11"/>
      <c r="P14221" s="11"/>
    </row>
    <row r="14222" spans="8:16" x14ac:dyDescent="0.25">
      <c r="H14222" s="12"/>
      <c r="I14222" s="12"/>
      <c r="J14222" s="12"/>
      <c r="K14222" s="12"/>
      <c r="L14222" s="12"/>
      <c r="M14222" s="11"/>
      <c r="N14222" s="11"/>
      <c r="O14222" s="11"/>
      <c r="P14222" s="11"/>
    </row>
    <row r="14223" spans="8:16" x14ac:dyDescent="0.25">
      <c r="H14223" s="12"/>
      <c r="I14223" s="12"/>
      <c r="J14223" s="12"/>
      <c r="K14223" s="12"/>
      <c r="L14223" s="12"/>
      <c r="M14223" s="11"/>
      <c r="N14223" s="11"/>
      <c r="O14223" s="11"/>
      <c r="P14223" s="11"/>
    </row>
    <row r="14224" spans="8:16" x14ac:dyDescent="0.25">
      <c r="H14224" s="12"/>
      <c r="I14224" s="12"/>
      <c r="J14224" s="12"/>
      <c r="K14224" s="12"/>
      <c r="L14224" s="12"/>
      <c r="M14224" s="11"/>
      <c r="N14224" s="11"/>
      <c r="O14224" s="11"/>
      <c r="P14224" s="11"/>
    </row>
    <row r="14225" spans="8:16" x14ac:dyDescent="0.25">
      <c r="H14225" s="12"/>
      <c r="I14225" s="12"/>
      <c r="J14225" s="12"/>
      <c r="K14225" s="12"/>
      <c r="L14225" s="12"/>
      <c r="M14225" s="11"/>
      <c r="N14225" s="11"/>
      <c r="O14225" s="11"/>
      <c r="P14225" s="11"/>
    </row>
    <row r="14226" spans="8:16" x14ac:dyDescent="0.25">
      <c r="H14226" s="12"/>
      <c r="I14226" s="12"/>
      <c r="J14226" s="12"/>
      <c r="K14226" s="12"/>
      <c r="L14226" s="12"/>
      <c r="M14226" s="11"/>
      <c r="N14226" s="11"/>
      <c r="O14226" s="11"/>
      <c r="P14226" s="11"/>
    </row>
    <row r="14227" spans="8:16" x14ac:dyDescent="0.25">
      <c r="H14227" s="12"/>
      <c r="I14227" s="12"/>
      <c r="J14227" s="12"/>
      <c r="K14227" s="12"/>
      <c r="L14227" s="12"/>
      <c r="M14227" s="11"/>
      <c r="N14227" s="11"/>
      <c r="O14227" s="11"/>
      <c r="P14227" s="11"/>
    </row>
    <row r="14228" spans="8:16" x14ac:dyDescent="0.25">
      <c r="H14228" s="12"/>
      <c r="I14228" s="12"/>
      <c r="J14228" s="12"/>
      <c r="K14228" s="12"/>
      <c r="L14228" s="12"/>
      <c r="M14228" s="11"/>
      <c r="N14228" s="11"/>
      <c r="O14228" s="11"/>
      <c r="P14228" s="11"/>
    </row>
    <row r="14229" spans="8:16" x14ac:dyDescent="0.25">
      <c r="H14229" s="12"/>
      <c r="I14229" s="12"/>
      <c r="J14229" s="12"/>
      <c r="K14229" s="12"/>
      <c r="L14229" s="12"/>
      <c r="M14229" s="11"/>
      <c r="N14229" s="11"/>
      <c r="O14229" s="11"/>
      <c r="P14229" s="11"/>
    </row>
    <row r="14230" spans="8:16" x14ac:dyDescent="0.25">
      <c r="H14230" s="12"/>
      <c r="I14230" s="12"/>
      <c r="J14230" s="12"/>
      <c r="K14230" s="12"/>
      <c r="L14230" s="12"/>
      <c r="M14230" s="11"/>
      <c r="N14230" s="11"/>
      <c r="O14230" s="11"/>
      <c r="P14230" s="11"/>
    </row>
    <row r="14231" spans="8:16" x14ac:dyDescent="0.25">
      <c r="H14231" s="12"/>
      <c r="I14231" s="12"/>
      <c r="J14231" s="12"/>
      <c r="K14231" s="12"/>
      <c r="L14231" s="12"/>
      <c r="M14231" s="11"/>
      <c r="N14231" s="11"/>
      <c r="O14231" s="11"/>
      <c r="P14231" s="11"/>
    </row>
    <row r="14232" spans="8:16" x14ac:dyDescent="0.25">
      <c r="H14232" s="12"/>
      <c r="I14232" s="12"/>
      <c r="J14232" s="12"/>
      <c r="K14232" s="12"/>
      <c r="L14232" s="12"/>
      <c r="M14232" s="11"/>
      <c r="N14232" s="11"/>
      <c r="O14232" s="11"/>
      <c r="P14232" s="11"/>
    </row>
    <row r="14233" spans="8:16" x14ac:dyDescent="0.25">
      <c r="H14233" s="12"/>
      <c r="I14233" s="12"/>
      <c r="J14233" s="12"/>
      <c r="K14233" s="12"/>
      <c r="L14233" s="12"/>
      <c r="M14233" s="11"/>
      <c r="N14233" s="11"/>
      <c r="O14233" s="11"/>
      <c r="P14233" s="11"/>
    </row>
    <row r="14234" spans="8:16" x14ac:dyDescent="0.25">
      <c r="H14234" s="12"/>
      <c r="I14234" s="12"/>
      <c r="J14234" s="12"/>
      <c r="K14234" s="12"/>
      <c r="L14234" s="12"/>
      <c r="M14234" s="11"/>
      <c r="N14234" s="11"/>
      <c r="O14234" s="11"/>
      <c r="P14234" s="11"/>
    </row>
    <row r="14235" spans="8:16" x14ac:dyDescent="0.25">
      <c r="H14235" s="12"/>
      <c r="I14235" s="12"/>
      <c r="J14235" s="12"/>
      <c r="K14235" s="12"/>
      <c r="L14235" s="12"/>
      <c r="M14235" s="11"/>
      <c r="N14235" s="11"/>
      <c r="O14235" s="11"/>
      <c r="P14235" s="11"/>
    </row>
    <row r="14236" spans="8:16" x14ac:dyDescent="0.25">
      <c r="H14236" s="12"/>
      <c r="I14236" s="12"/>
      <c r="J14236" s="12"/>
      <c r="K14236" s="12"/>
      <c r="L14236" s="12"/>
      <c r="M14236" s="11"/>
      <c r="N14236" s="11"/>
      <c r="O14236" s="11"/>
      <c r="P14236" s="11"/>
    </row>
    <row r="14237" spans="8:16" x14ac:dyDescent="0.25">
      <c r="H14237" s="12"/>
      <c r="I14237" s="12"/>
      <c r="J14237" s="12"/>
      <c r="K14237" s="12"/>
      <c r="L14237" s="12"/>
      <c r="M14237" s="11"/>
      <c r="N14237" s="11"/>
      <c r="O14237" s="11"/>
      <c r="P14237" s="11"/>
    </row>
    <row r="14238" spans="8:16" x14ac:dyDescent="0.25">
      <c r="H14238" s="12"/>
      <c r="I14238" s="12"/>
      <c r="J14238" s="12"/>
      <c r="K14238" s="12"/>
      <c r="L14238" s="12"/>
      <c r="M14238" s="11"/>
      <c r="N14238" s="11"/>
      <c r="O14238" s="11"/>
      <c r="P14238" s="11"/>
    </row>
    <row r="14239" spans="8:16" x14ac:dyDescent="0.25">
      <c r="H14239" s="12"/>
      <c r="I14239" s="12"/>
      <c r="J14239" s="12"/>
      <c r="K14239" s="12"/>
      <c r="L14239" s="12"/>
      <c r="M14239" s="11"/>
      <c r="N14239" s="11"/>
      <c r="O14239" s="11"/>
      <c r="P14239" s="11"/>
    </row>
    <row r="14240" spans="8:16" x14ac:dyDescent="0.25">
      <c r="H14240" s="12"/>
      <c r="I14240" s="12"/>
      <c r="J14240" s="12"/>
      <c r="K14240" s="12"/>
      <c r="L14240" s="12"/>
      <c r="M14240" s="11"/>
      <c r="N14240" s="11"/>
      <c r="O14240" s="11"/>
      <c r="P14240" s="11"/>
    </row>
    <row r="14241" spans="8:16" x14ac:dyDescent="0.25">
      <c r="H14241" s="12"/>
      <c r="I14241" s="12"/>
      <c r="J14241" s="12"/>
      <c r="K14241" s="12"/>
      <c r="L14241" s="12"/>
      <c r="M14241" s="11"/>
      <c r="N14241" s="11"/>
      <c r="O14241" s="11"/>
      <c r="P14241" s="11"/>
    </row>
    <row r="14242" spans="8:16" x14ac:dyDescent="0.25">
      <c r="H14242" s="12"/>
      <c r="I14242" s="12"/>
      <c r="J14242" s="12"/>
      <c r="K14242" s="12"/>
      <c r="L14242" s="12"/>
      <c r="M14242" s="11"/>
      <c r="N14242" s="11"/>
      <c r="O14242" s="11"/>
      <c r="P14242" s="11"/>
    </row>
    <row r="14243" spans="8:16" x14ac:dyDescent="0.25">
      <c r="H14243" s="12"/>
      <c r="I14243" s="12"/>
      <c r="J14243" s="12"/>
      <c r="K14243" s="12"/>
      <c r="L14243" s="12"/>
      <c r="M14243" s="11"/>
      <c r="N14243" s="11"/>
      <c r="O14243" s="11"/>
      <c r="P14243" s="11"/>
    </row>
    <row r="14244" spans="8:16" x14ac:dyDescent="0.25">
      <c r="H14244" s="12"/>
      <c r="I14244" s="12"/>
      <c r="J14244" s="12"/>
      <c r="K14244" s="12"/>
      <c r="L14244" s="12"/>
      <c r="M14244" s="11"/>
      <c r="N14244" s="11"/>
      <c r="O14244" s="11"/>
      <c r="P14244" s="11"/>
    </row>
    <row r="14245" spans="8:16" x14ac:dyDescent="0.25">
      <c r="H14245" s="12"/>
      <c r="I14245" s="12"/>
      <c r="J14245" s="12"/>
      <c r="K14245" s="12"/>
      <c r="L14245" s="12"/>
      <c r="M14245" s="11"/>
      <c r="N14245" s="11"/>
      <c r="O14245" s="11"/>
      <c r="P14245" s="11"/>
    </row>
    <row r="14246" spans="8:16" x14ac:dyDescent="0.25">
      <c r="H14246" s="12"/>
      <c r="I14246" s="12"/>
      <c r="J14246" s="12"/>
      <c r="K14246" s="12"/>
      <c r="L14246" s="12"/>
      <c r="M14246" s="11"/>
      <c r="N14246" s="11"/>
      <c r="O14246" s="11"/>
      <c r="P14246" s="11"/>
    </row>
    <row r="14247" spans="8:16" x14ac:dyDescent="0.25">
      <c r="H14247" s="12"/>
      <c r="I14247" s="12"/>
      <c r="J14247" s="12"/>
      <c r="K14247" s="12"/>
      <c r="L14247" s="12"/>
      <c r="M14247" s="11"/>
      <c r="N14247" s="11"/>
      <c r="O14247" s="11"/>
      <c r="P14247" s="11"/>
    </row>
    <row r="14248" spans="8:16" x14ac:dyDescent="0.25">
      <c r="H14248" s="12"/>
      <c r="I14248" s="12"/>
      <c r="J14248" s="12"/>
      <c r="K14248" s="12"/>
      <c r="L14248" s="12"/>
      <c r="M14248" s="11"/>
      <c r="N14248" s="11"/>
      <c r="O14248" s="11"/>
      <c r="P14248" s="11"/>
    </row>
    <row r="14249" spans="8:16" x14ac:dyDescent="0.25">
      <c r="H14249" s="12"/>
      <c r="I14249" s="12"/>
      <c r="J14249" s="12"/>
      <c r="K14249" s="12"/>
      <c r="L14249" s="12"/>
      <c r="M14249" s="11"/>
      <c r="N14249" s="11"/>
      <c r="O14249" s="11"/>
      <c r="P14249" s="11"/>
    </row>
    <row r="14250" spans="8:16" x14ac:dyDescent="0.25">
      <c r="H14250" s="12"/>
      <c r="I14250" s="12"/>
      <c r="J14250" s="12"/>
      <c r="K14250" s="12"/>
      <c r="L14250" s="12"/>
      <c r="M14250" s="11"/>
      <c r="N14250" s="11"/>
      <c r="O14250" s="11"/>
      <c r="P14250" s="11"/>
    </row>
    <row r="14251" spans="8:16" x14ac:dyDescent="0.25">
      <c r="H14251" s="12"/>
      <c r="I14251" s="12"/>
      <c r="J14251" s="12"/>
      <c r="K14251" s="12"/>
      <c r="L14251" s="12"/>
      <c r="M14251" s="11"/>
      <c r="N14251" s="11"/>
      <c r="O14251" s="11"/>
      <c r="P14251" s="11"/>
    </row>
    <row r="14252" spans="8:16" x14ac:dyDescent="0.25">
      <c r="H14252" s="12"/>
      <c r="I14252" s="12"/>
      <c r="J14252" s="12"/>
      <c r="K14252" s="12"/>
      <c r="L14252" s="12"/>
      <c r="M14252" s="11"/>
      <c r="N14252" s="11"/>
      <c r="O14252" s="11"/>
      <c r="P14252" s="11"/>
    </row>
    <row r="14253" spans="8:16" x14ac:dyDescent="0.25">
      <c r="H14253" s="12"/>
      <c r="I14253" s="12"/>
      <c r="J14253" s="12"/>
      <c r="K14253" s="12"/>
      <c r="L14253" s="12"/>
      <c r="M14253" s="11"/>
      <c r="N14253" s="11"/>
      <c r="O14253" s="11"/>
      <c r="P14253" s="11"/>
    </row>
    <row r="14254" spans="8:16" x14ac:dyDescent="0.25">
      <c r="H14254" s="12"/>
      <c r="I14254" s="12"/>
      <c r="J14254" s="12"/>
      <c r="K14254" s="12"/>
      <c r="L14254" s="12"/>
      <c r="M14254" s="11"/>
      <c r="N14254" s="11"/>
      <c r="O14254" s="11"/>
      <c r="P14254" s="11"/>
    </row>
    <row r="14255" spans="8:16" x14ac:dyDescent="0.25">
      <c r="H14255" s="12"/>
      <c r="I14255" s="12"/>
      <c r="J14255" s="12"/>
      <c r="K14255" s="12"/>
      <c r="L14255" s="12"/>
      <c r="M14255" s="11"/>
      <c r="N14255" s="11"/>
      <c r="O14255" s="11"/>
      <c r="P14255" s="11"/>
    </row>
    <row r="14256" spans="8:16" x14ac:dyDescent="0.25">
      <c r="H14256" s="12"/>
      <c r="I14256" s="12"/>
      <c r="J14256" s="12"/>
      <c r="K14256" s="12"/>
      <c r="L14256" s="12"/>
      <c r="M14256" s="11"/>
      <c r="N14256" s="11"/>
      <c r="O14256" s="11"/>
      <c r="P14256" s="11"/>
    </row>
    <row r="14257" spans="8:16" x14ac:dyDescent="0.25">
      <c r="H14257" s="12"/>
      <c r="I14257" s="12"/>
      <c r="J14257" s="12"/>
      <c r="K14257" s="12"/>
      <c r="L14257" s="12"/>
      <c r="M14257" s="11"/>
      <c r="N14257" s="11"/>
      <c r="O14257" s="11"/>
      <c r="P14257" s="11"/>
    </row>
    <row r="14258" spans="8:16" x14ac:dyDescent="0.25">
      <c r="H14258" s="12"/>
      <c r="I14258" s="12"/>
      <c r="J14258" s="12"/>
      <c r="K14258" s="12"/>
      <c r="L14258" s="12"/>
      <c r="M14258" s="11"/>
      <c r="N14258" s="11"/>
      <c r="O14258" s="11"/>
      <c r="P14258" s="11"/>
    </row>
    <row r="14259" spans="8:16" x14ac:dyDescent="0.25">
      <c r="H14259" s="12"/>
      <c r="I14259" s="12"/>
      <c r="J14259" s="12"/>
      <c r="K14259" s="12"/>
      <c r="L14259" s="12"/>
      <c r="M14259" s="11"/>
      <c r="N14259" s="11"/>
      <c r="O14259" s="11"/>
      <c r="P14259" s="11"/>
    </row>
    <row r="14260" spans="8:16" x14ac:dyDescent="0.25">
      <c r="H14260" s="12"/>
      <c r="I14260" s="12"/>
      <c r="J14260" s="12"/>
      <c r="K14260" s="12"/>
      <c r="L14260" s="12"/>
      <c r="M14260" s="11"/>
      <c r="N14260" s="11"/>
      <c r="O14260" s="11"/>
      <c r="P14260" s="11"/>
    </row>
    <row r="14261" spans="8:16" x14ac:dyDescent="0.25">
      <c r="H14261" s="12"/>
      <c r="I14261" s="12"/>
      <c r="J14261" s="12"/>
      <c r="K14261" s="12"/>
      <c r="L14261" s="12"/>
      <c r="M14261" s="11"/>
      <c r="N14261" s="11"/>
      <c r="O14261" s="11"/>
      <c r="P14261" s="11"/>
    </row>
    <row r="14262" spans="8:16" x14ac:dyDescent="0.25">
      <c r="H14262" s="12"/>
      <c r="I14262" s="12"/>
      <c r="J14262" s="12"/>
      <c r="K14262" s="12"/>
      <c r="L14262" s="12"/>
      <c r="M14262" s="11"/>
      <c r="N14262" s="11"/>
      <c r="O14262" s="11"/>
      <c r="P14262" s="11"/>
    </row>
    <row r="14263" spans="8:16" x14ac:dyDescent="0.25">
      <c r="H14263" s="12"/>
      <c r="I14263" s="12"/>
      <c r="J14263" s="12"/>
      <c r="K14263" s="12"/>
      <c r="L14263" s="12"/>
      <c r="M14263" s="11"/>
      <c r="N14263" s="11"/>
      <c r="O14263" s="11"/>
      <c r="P14263" s="11"/>
    </row>
    <row r="14264" spans="8:16" x14ac:dyDescent="0.25">
      <c r="H14264" s="12"/>
      <c r="I14264" s="12"/>
      <c r="J14264" s="12"/>
      <c r="K14264" s="12"/>
      <c r="L14264" s="12"/>
      <c r="M14264" s="11"/>
      <c r="N14264" s="11"/>
      <c r="O14264" s="11"/>
      <c r="P14264" s="11"/>
    </row>
    <row r="14265" spans="8:16" x14ac:dyDescent="0.25">
      <c r="H14265" s="12"/>
      <c r="I14265" s="12"/>
      <c r="J14265" s="12"/>
      <c r="K14265" s="12"/>
      <c r="L14265" s="12"/>
      <c r="M14265" s="11"/>
      <c r="N14265" s="11"/>
      <c r="O14265" s="11"/>
      <c r="P14265" s="11"/>
    </row>
    <row r="14266" spans="8:16" x14ac:dyDescent="0.25">
      <c r="H14266" s="12"/>
      <c r="I14266" s="12"/>
      <c r="J14266" s="12"/>
      <c r="K14266" s="12"/>
      <c r="L14266" s="12"/>
      <c r="M14266" s="11"/>
      <c r="N14266" s="11"/>
      <c r="O14266" s="11"/>
      <c r="P14266" s="11"/>
    </row>
    <row r="14267" spans="8:16" x14ac:dyDescent="0.25">
      <c r="H14267" s="12"/>
      <c r="I14267" s="12"/>
      <c r="J14267" s="12"/>
      <c r="K14267" s="12"/>
      <c r="L14267" s="12"/>
      <c r="M14267" s="11"/>
      <c r="N14267" s="11"/>
      <c r="O14267" s="11"/>
      <c r="P14267" s="11"/>
    </row>
    <row r="14268" spans="8:16" x14ac:dyDescent="0.25">
      <c r="H14268" s="12"/>
      <c r="I14268" s="12"/>
      <c r="J14268" s="12"/>
      <c r="K14268" s="12"/>
      <c r="L14268" s="12"/>
      <c r="M14268" s="11"/>
      <c r="N14268" s="11"/>
      <c r="O14268" s="11"/>
      <c r="P14268" s="11"/>
    </row>
    <row r="14269" spans="8:16" x14ac:dyDescent="0.25">
      <c r="H14269" s="12"/>
      <c r="I14269" s="12"/>
      <c r="J14269" s="12"/>
      <c r="K14269" s="12"/>
      <c r="L14269" s="12"/>
      <c r="M14269" s="11"/>
      <c r="N14269" s="11"/>
      <c r="O14269" s="11"/>
      <c r="P14269" s="11"/>
    </row>
    <row r="14270" spans="8:16" x14ac:dyDescent="0.25">
      <c r="H14270" s="12"/>
      <c r="I14270" s="12"/>
      <c r="J14270" s="12"/>
      <c r="K14270" s="12"/>
      <c r="L14270" s="12"/>
      <c r="M14270" s="11"/>
      <c r="N14270" s="11"/>
      <c r="O14270" s="11"/>
      <c r="P14270" s="11"/>
    </row>
    <row r="14271" spans="8:16" x14ac:dyDescent="0.25">
      <c r="H14271" s="12"/>
      <c r="I14271" s="12"/>
      <c r="J14271" s="12"/>
      <c r="K14271" s="12"/>
      <c r="L14271" s="12"/>
      <c r="M14271" s="11"/>
      <c r="N14271" s="11"/>
      <c r="O14271" s="11"/>
      <c r="P14271" s="11"/>
    </row>
    <row r="14272" spans="8:16" x14ac:dyDescent="0.25">
      <c r="H14272" s="12"/>
      <c r="I14272" s="12"/>
      <c r="J14272" s="12"/>
      <c r="K14272" s="12"/>
      <c r="L14272" s="12"/>
      <c r="M14272" s="11"/>
      <c r="N14272" s="11"/>
      <c r="O14272" s="11"/>
      <c r="P14272" s="11"/>
    </row>
    <row r="14273" spans="8:16" x14ac:dyDescent="0.25">
      <c r="H14273" s="12"/>
      <c r="I14273" s="12"/>
      <c r="J14273" s="12"/>
      <c r="K14273" s="12"/>
      <c r="L14273" s="12"/>
      <c r="M14273" s="11"/>
      <c r="N14273" s="11"/>
      <c r="O14273" s="11"/>
      <c r="P14273" s="11"/>
    </row>
    <row r="14274" spans="8:16" x14ac:dyDescent="0.25">
      <c r="H14274" s="12"/>
      <c r="I14274" s="12"/>
      <c r="J14274" s="12"/>
      <c r="K14274" s="12"/>
      <c r="L14274" s="12"/>
      <c r="M14274" s="11"/>
      <c r="N14274" s="11"/>
      <c r="O14274" s="11"/>
      <c r="P14274" s="11"/>
    </row>
    <row r="14275" spans="8:16" x14ac:dyDescent="0.25">
      <c r="H14275" s="12"/>
      <c r="I14275" s="12"/>
      <c r="J14275" s="12"/>
      <c r="K14275" s="12"/>
      <c r="L14275" s="12"/>
      <c r="M14275" s="11"/>
      <c r="N14275" s="11"/>
      <c r="O14275" s="11"/>
      <c r="P14275" s="11"/>
    </row>
    <row r="14276" spans="8:16" x14ac:dyDescent="0.25">
      <c r="H14276" s="12"/>
      <c r="I14276" s="12"/>
      <c r="J14276" s="12"/>
      <c r="K14276" s="12"/>
      <c r="L14276" s="12"/>
      <c r="M14276" s="11"/>
      <c r="N14276" s="11"/>
      <c r="O14276" s="11"/>
      <c r="P14276" s="11"/>
    </row>
    <row r="14277" spans="8:16" x14ac:dyDescent="0.25">
      <c r="H14277" s="12"/>
      <c r="I14277" s="12"/>
      <c r="J14277" s="12"/>
      <c r="K14277" s="12"/>
      <c r="L14277" s="12"/>
      <c r="M14277" s="11"/>
      <c r="N14277" s="11"/>
      <c r="O14277" s="11"/>
      <c r="P14277" s="11"/>
    </row>
    <row r="14278" spans="8:16" x14ac:dyDescent="0.25">
      <c r="H14278" s="12"/>
      <c r="I14278" s="12"/>
      <c r="J14278" s="12"/>
      <c r="K14278" s="12"/>
      <c r="L14278" s="12"/>
      <c r="M14278" s="11"/>
      <c r="N14278" s="11"/>
      <c r="O14278" s="11"/>
      <c r="P14278" s="11"/>
    </row>
    <row r="14279" spans="8:16" x14ac:dyDescent="0.25">
      <c r="H14279" s="12"/>
      <c r="I14279" s="12"/>
      <c r="J14279" s="12"/>
      <c r="K14279" s="12"/>
      <c r="L14279" s="12"/>
      <c r="M14279" s="11"/>
      <c r="N14279" s="11"/>
      <c r="O14279" s="11"/>
      <c r="P14279" s="11"/>
    </row>
    <row r="14280" spans="8:16" x14ac:dyDescent="0.25">
      <c r="H14280" s="12"/>
      <c r="I14280" s="12"/>
      <c r="J14280" s="12"/>
      <c r="K14280" s="12"/>
      <c r="L14280" s="12"/>
      <c r="M14280" s="11"/>
      <c r="N14280" s="11"/>
      <c r="O14280" s="11"/>
      <c r="P14280" s="11"/>
    </row>
    <row r="14281" spans="8:16" x14ac:dyDescent="0.25">
      <c r="H14281" s="12"/>
      <c r="I14281" s="12"/>
      <c r="J14281" s="12"/>
      <c r="K14281" s="12"/>
      <c r="L14281" s="12"/>
      <c r="M14281" s="11"/>
      <c r="N14281" s="11"/>
      <c r="O14281" s="11"/>
      <c r="P14281" s="11"/>
    </row>
    <row r="14282" spans="8:16" x14ac:dyDescent="0.25">
      <c r="H14282" s="12"/>
      <c r="I14282" s="12"/>
      <c r="J14282" s="12"/>
      <c r="K14282" s="12"/>
      <c r="L14282" s="12"/>
      <c r="M14282" s="11"/>
      <c r="N14282" s="11"/>
      <c r="O14282" s="11"/>
      <c r="P14282" s="11"/>
    </row>
    <row r="14283" spans="8:16" x14ac:dyDescent="0.25">
      <c r="H14283" s="12"/>
      <c r="I14283" s="12"/>
      <c r="J14283" s="12"/>
      <c r="K14283" s="12"/>
      <c r="L14283" s="12"/>
      <c r="M14283" s="11"/>
      <c r="N14283" s="11"/>
      <c r="O14283" s="11"/>
      <c r="P14283" s="11"/>
    </row>
    <row r="14284" spans="8:16" x14ac:dyDescent="0.25">
      <c r="H14284" s="12"/>
      <c r="I14284" s="12"/>
      <c r="J14284" s="12"/>
      <c r="K14284" s="12"/>
      <c r="L14284" s="12"/>
      <c r="M14284" s="11"/>
      <c r="N14284" s="11"/>
      <c r="O14284" s="11"/>
      <c r="P14284" s="11"/>
    </row>
    <row r="14285" spans="8:16" x14ac:dyDescent="0.25">
      <c r="H14285" s="12"/>
      <c r="I14285" s="12"/>
      <c r="J14285" s="12"/>
      <c r="K14285" s="12"/>
      <c r="L14285" s="12"/>
      <c r="M14285" s="11"/>
      <c r="N14285" s="11"/>
      <c r="O14285" s="11"/>
      <c r="P14285" s="11"/>
    </row>
    <row r="14286" spans="8:16" x14ac:dyDescent="0.25">
      <c r="H14286" s="12"/>
      <c r="I14286" s="12"/>
      <c r="J14286" s="12"/>
      <c r="K14286" s="12"/>
      <c r="L14286" s="12"/>
      <c r="M14286" s="11"/>
      <c r="N14286" s="11"/>
      <c r="O14286" s="11"/>
      <c r="P14286" s="11"/>
    </row>
    <row r="14287" spans="8:16" x14ac:dyDescent="0.25">
      <c r="H14287" s="12"/>
      <c r="I14287" s="12"/>
      <c r="J14287" s="12"/>
      <c r="K14287" s="12"/>
      <c r="L14287" s="12"/>
      <c r="M14287" s="11"/>
      <c r="N14287" s="11"/>
      <c r="O14287" s="11"/>
      <c r="P14287" s="11"/>
    </row>
    <row r="14288" spans="8:16" x14ac:dyDescent="0.25">
      <c r="H14288" s="12"/>
      <c r="I14288" s="12"/>
      <c r="J14288" s="12"/>
      <c r="K14288" s="12"/>
      <c r="L14288" s="12"/>
      <c r="M14288" s="11"/>
      <c r="N14288" s="11"/>
      <c r="O14288" s="11"/>
      <c r="P14288" s="11"/>
    </row>
    <row r="14289" spans="8:16" x14ac:dyDescent="0.25">
      <c r="H14289" s="12"/>
      <c r="I14289" s="12"/>
      <c r="J14289" s="12"/>
      <c r="K14289" s="12"/>
      <c r="L14289" s="12"/>
      <c r="M14289" s="11"/>
      <c r="N14289" s="11"/>
      <c r="O14289" s="11"/>
      <c r="P14289" s="11"/>
    </row>
    <row r="14290" spans="8:16" x14ac:dyDescent="0.25">
      <c r="H14290" s="12"/>
      <c r="I14290" s="12"/>
      <c r="J14290" s="12"/>
      <c r="K14290" s="12"/>
      <c r="L14290" s="12"/>
      <c r="M14290" s="11"/>
      <c r="N14290" s="11"/>
      <c r="O14290" s="11"/>
      <c r="P14290" s="11"/>
    </row>
    <row r="14291" spans="8:16" x14ac:dyDescent="0.25">
      <c r="H14291" s="12"/>
      <c r="I14291" s="12"/>
      <c r="J14291" s="12"/>
      <c r="K14291" s="12"/>
      <c r="L14291" s="12"/>
      <c r="M14291" s="11"/>
      <c r="N14291" s="11"/>
      <c r="O14291" s="11"/>
      <c r="P14291" s="11"/>
    </row>
    <row r="14292" spans="8:16" x14ac:dyDescent="0.25">
      <c r="H14292" s="12"/>
      <c r="I14292" s="12"/>
      <c r="J14292" s="12"/>
      <c r="K14292" s="12"/>
      <c r="L14292" s="12"/>
      <c r="M14292" s="11"/>
      <c r="N14292" s="11"/>
      <c r="O14292" s="11"/>
      <c r="P14292" s="11"/>
    </row>
    <row r="14293" spans="8:16" x14ac:dyDescent="0.25">
      <c r="H14293" s="12"/>
      <c r="I14293" s="12"/>
      <c r="J14293" s="12"/>
      <c r="K14293" s="12"/>
      <c r="L14293" s="12"/>
      <c r="M14293" s="11"/>
      <c r="N14293" s="11"/>
      <c r="O14293" s="11"/>
      <c r="P14293" s="11"/>
    </row>
    <row r="14294" spans="8:16" x14ac:dyDescent="0.25">
      <c r="H14294" s="12"/>
      <c r="I14294" s="12"/>
      <c r="J14294" s="12"/>
      <c r="K14294" s="12"/>
      <c r="L14294" s="12"/>
      <c r="M14294" s="11"/>
      <c r="N14294" s="11"/>
      <c r="O14294" s="11"/>
      <c r="P14294" s="11"/>
    </row>
    <row r="14295" spans="8:16" x14ac:dyDescent="0.25">
      <c r="H14295" s="12"/>
      <c r="I14295" s="12"/>
      <c r="J14295" s="12"/>
      <c r="K14295" s="12"/>
      <c r="L14295" s="12"/>
      <c r="M14295" s="11"/>
      <c r="N14295" s="11"/>
      <c r="O14295" s="11"/>
      <c r="P14295" s="11"/>
    </row>
    <row r="14296" spans="8:16" x14ac:dyDescent="0.25">
      <c r="H14296" s="12"/>
      <c r="I14296" s="12"/>
      <c r="J14296" s="12"/>
      <c r="K14296" s="12"/>
      <c r="L14296" s="12"/>
      <c r="M14296" s="11"/>
      <c r="N14296" s="11"/>
      <c r="O14296" s="11"/>
      <c r="P14296" s="11"/>
    </row>
    <row r="14297" spans="8:16" x14ac:dyDescent="0.25">
      <c r="H14297" s="12"/>
      <c r="I14297" s="12"/>
      <c r="J14297" s="12"/>
      <c r="K14297" s="12"/>
      <c r="L14297" s="12"/>
      <c r="M14297" s="11"/>
      <c r="N14297" s="11"/>
      <c r="O14297" s="11"/>
      <c r="P14297" s="11"/>
    </row>
    <row r="14298" spans="8:16" x14ac:dyDescent="0.25">
      <c r="H14298" s="12"/>
      <c r="I14298" s="12"/>
      <c r="J14298" s="12"/>
      <c r="K14298" s="12"/>
      <c r="L14298" s="12"/>
      <c r="M14298" s="11"/>
      <c r="N14298" s="11"/>
      <c r="O14298" s="11"/>
      <c r="P14298" s="11"/>
    </row>
    <row r="14299" spans="8:16" x14ac:dyDescent="0.25">
      <c r="H14299" s="12"/>
      <c r="I14299" s="12"/>
      <c r="J14299" s="12"/>
      <c r="K14299" s="12"/>
      <c r="L14299" s="12"/>
      <c r="M14299" s="11"/>
      <c r="N14299" s="11"/>
      <c r="O14299" s="11"/>
      <c r="P14299" s="11"/>
    </row>
    <row r="14300" spans="8:16" x14ac:dyDescent="0.25">
      <c r="H14300" s="12"/>
      <c r="I14300" s="12"/>
      <c r="J14300" s="12"/>
      <c r="K14300" s="12"/>
      <c r="L14300" s="12"/>
      <c r="M14300" s="11"/>
      <c r="N14300" s="11"/>
      <c r="O14300" s="11"/>
      <c r="P14300" s="11"/>
    </row>
    <row r="14301" spans="8:16" x14ac:dyDescent="0.25">
      <c r="H14301" s="12"/>
      <c r="I14301" s="12"/>
      <c r="J14301" s="12"/>
      <c r="K14301" s="12"/>
      <c r="L14301" s="12"/>
      <c r="M14301" s="11"/>
      <c r="N14301" s="11"/>
      <c r="O14301" s="11"/>
      <c r="P14301" s="11"/>
    </row>
    <row r="14302" spans="8:16" x14ac:dyDescent="0.25">
      <c r="H14302" s="12"/>
      <c r="I14302" s="12"/>
      <c r="J14302" s="12"/>
      <c r="K14302" s="12"/>
      <c r="L14302" s="12"/>
      <c r="M14302" s="11"/>
      <c r="N14302" s="11"/>
      <c r="O14302" s="11"/>
      <c r="P14302" s="11"/>
    </row>
    <row r="14303" spans="8:16" x14ac:dyDescent="0.25">
      <c r="H14303" s="12"/>
      <c r="I14303" s="12"/>
      <c r="J14303" s="12"/>
      <c r="K14303" s="12"/>
      <c r="L14303" s="12"/>
      <c r="M14303" s="11"/>
      <c r="N14303" s="11"/>
      <c r="O14303" s="11"/>
      <c r="P14303" s="11"/>
    </row>
    <row r="14304" spans="8:16" x14ac:dyDescent="0.25">
      <c r="H14304" s="12"/>
      <c r="I14304" s="12"/>
      <c r="J14304" s="12"/>
      <c r="K14304" s="12"/>
      <c r="L14304" s="12"/>
      <c r="M14304" s="11"/>
      <c r="N14304" s="11"/>
      <c r="O14304" s="11"/>
      <c r="P14304" s="11"/>
    </row>
    <row r="14305" spans="8:16" x14ac:dyDescent="0.25">
      <c r="H14305" s="12"/>
      <c r="I14305" s="12"/>
      <c r="J14305" s="12"/>
      <c r="K14305" s="12"/>
      <c r="L14305" s="12"/>
      <c r="M14305" s="11"/>
      <c r="N14305" s="11"/>
      <c r="O14305" s="11"/>
      <c r="P14305" s="11"/>
    </row>
    <row r="14306" spans="8:16" x14ac:dyDescent="0.25">
      <c r="H14306" s="12"/>
      <c r="I14306" s="12"/>
      <c r="J14306" s="12"/>
      <c r="K14306" s="12"/>
      <c r="L14306" s="12"/>
      <c r="M14306" s="11"/>
      <c r="N14306" s="11"/>
      <c r="O14306" s="11"/>
      <c r="P14306" s="11"/>
    </row>
    <row r="14307" spans="8:16" x14ac:dyDescent="0.25">
      <c r="H14307" s="12"/>
      <c r="I14307" s="12"/>
      <c r="J14307" s="12"/>
      <c r="K14307" s="12"/>
      <c r="L14307" s="12"/>
      <c r="M14307" s="11"/>
      <c r="N14307" s="11"/>
      <c r="O14307" s="11"/>
      <c r="P14307" s="11"/>
    </row>
    <row r="14308" spans="8:16" x14ac:dyDescent="0.25">
      <c r="H14308" s="12"/>
      <c r="I14308" s="12"/>
      <c r="J14308" s="12"/>
      <c r="K14308" s="12"/>
      <c r="L14308" s="12"/>
      <c r="M14308" s="11"/>
      <c r="N14308" s="11"/>
      <c r="O14308" s="11"/>
      <c r="P14308" s="11"/>
    </row>
    <row r="14309" spans="8:16" x14ac:dyDescent="0.25">
      <c r="H14309" s="12"/>
      <c r="I14309" s="12"/>
      <c r="J14309" s="12"/>
      <c r="K14309" s="12"/>
      <c r="L14309" s="12"/>
      <c r="M14309" s="11"/>
      <c r="N14309" s="11"/>
      <c r="O14309" s="11"/>
      <c r="P14309" s="11"/>
    </row>
    <row r="14310" spans="8:16" x14ac:dyDescent="0.25">
      <c r="H14310" s="12"/>
      <c r="I14310" s="12"/>
      <c r="J14310" s="12"/>
      <c r="K14310" s="12"/>
      <c r="L14310" s="12"/>
      <c r="M14310" s="11"/>
      <c r="N14310" s="11"/>
      <c r="O14310" s="11"/>
      <c r="P14310" s="11"/>
    </row>
    <row r="14311" spans="8:16" x14ac:dyDescent="0.25">
      <c r="H14311" s="12"/>
      <c r="I14311" s="12"/>
      <c r="J14311" s="12"/>
      <c r="K14311" s="12"/>
      <c r="L14311" s="12"/>
      <c r="M14311" s="11"/>
      <c r="N14311" s="11"/>
      <c r="O14311" s="11"/>
      <c r="P14311" s="11"/>
    </row>
    <row r="14312" spans="8:16" x14ac:dyDescent="0.25">
      <c r="H14312" s="12"/>
      <c r="I14312" s="12"/>
      <c r="J14312" s="12"/>
      <c r="K14312" s="12"/>
      <c r="L14312" s="12"/>
      <c r="M14312" s="11"/>
      <c r="N14312" s="11"/>
      <c r="O14312" s="11"/>
      <c r="P14312" s="11"/>
    </row>
    <row r="14313" spans="8:16" x14ac:dyDescent="0.25">
      <c r="H14313" s="12"/>
      <c r="I14313" s="12"/>
      <c r="J14313" s="12"/>
      <c r="K14313" s="12"/>
      <c r="L14313" s="12"/>
      <c r="M14313" s="11"/>
      <c r="N14313" s="11"/>
      <c r="O14313" s="11"/>
      <c r="P14313" s="11"/>
    </row>
    <row r="14314" spans="8:16" x14ac:dyDescent="0.25">
      <c r="H14314" s="12"/>
      <c r="I14314" s="12"/>
      <c r="J14314" s="12"/>
      <c r="K14314" s="12"/>
      <c r="L14314" s="12"/>
      <c r="M14314" s="11"/>
      <c r="N14314" s="11"/>
      <c r="O14314" s="11"/>
      <c r="P14314" s="11"/>
    </row>
    <row r="14315" spans="8:16" x14ac:dyDescent="0.25">
      <c r="H14315" s="12"/>
      <c r="I14315" s="12"/>
      <c r="J14315" s="12"/>
      <c r="K14315" s="12"/>
      <c r="L14315" s="12"/>
      <c r="M14315" s="11"/>
      <c r="N14315" s="11"/>
      <c r="O14315" s="11"/>
      <c r="P14315" s="11"/>
    </row>
    <row r="14316" spans="8:16" x14ac:dyDescent="0.25">
      <c r="H14316" s="12"/>
      <c r="I14316" s="12"/>
      <c r="J14316" s="12"/>
      <c r="K14316" s="12"/>
      <c r="L14316" s="12"/>
      <c r="M14316" s="11"/>
      <c r="N14316" s="11"/>
      <c r="O14316" s="11"/>
      <c r="P14316" s="11"/>
    </row>
    <row r="14317" spans="8:16" x14ac:dyDescent="0.25">
      <c r="H14317" s="12"/>
      <c r="I14317" s="12"/>
      <c r="J14317" s="12"/>
      <c r="K14317" s="12"/>
      <c r="L14317" s="12"/>
      <c r="M14317" s="11"/>
      <c r="N14317" s="11"/>
      <c r="O14317" s="11"/>
      <c r="P14317" s="11"/>
    </row>
    <row r="14318" spans="8:16" x14ac:dyDescent="0.25">
      <c r="H14318" s="12"/>
      <c r="I14318" s="12"/>
      <c r="J14318" s="12"/>
      <c r="K14318" s="12"/>
      <c r="L14318" s="12"/>
      <c r="M14318" s="11"/>
      <c r="N14318" s="11"/>
      <c r="O14318" s="11"/>
      <c r="P14318" s="11"/>
    </row>
    <row r="14319" spans="8:16" x14ac:dyDescent="0.25">
      <c r="H14319" s="12"/>
      <c r="I14319" s="12"/>
      <c r="J14319" s="12"/>
      <c r="K14319" s="12"/>
      <c r="L14319" s="12"/>
      <c r="M14319" s="11"/>
      <c r="N14319" s="11"/>
      <c r="O14319" s="11"/>
      <c r="P14319" s="11"/>
    </row>
    <row r="14320" spans="8:16" x14ac:dyDescent="0.25">
      <c r="H14320" s="12"/>
      <c r="I14320" s="12"/>
      <c r="J14320" s="12"/>
      <c r="K14320" s="12"/>
      <c r="L14320" s="12"/>
      <c r="M14320" s="11"/>
      <c r="N14320" s="11"/>
      <c r="O14320" s="11"/>
      <c r="P14320" s="11"/>
    </row>
    <row r="14321" spans="8:16" x14ac:dyDescent="0.25">
      <c r="H14321" s="12"/>
      <c r="I14321" s="12"/>
      <c r="J14321" s="12"/>
      <c r="K14321" s="12"/>
      <c r="L14321" s="12"/>
      <c r="M14321" s="11"/>
      <c r="N14321" s="11"/>
      <c r="O14321" s="11"/>
      <c r="P14321" s="11"/>
    </row>
    <row r="14322" spans="8:16" x14ac:dyDescent="0.25">
      <c r="H14322" s="12"/>
      <c r="I14322" s="12"/>
      <c r="J14322" s="12"/>
      <c r="K14322" s="12"/>
      <c r="L14322" s="12"/>
      <c r="M14322" s="11"/>
      <c r="N14322" s="11"/>
      <c r="O14322" s="11"/>
      <c r="P14322" s="11"/>
    </row>
    <row r="14323" spans="8:16" x14ac:dyDescent="0.25">
      <c r="H14323" s="12"/>
      <c r="I14323" s="12"/>
      <c r="J14323" s="12"/>
      <c r="K14323" s="12"/>
      <c r="L14323" s="12"/>
      <c r="M14323" s="11"/>
      <c r="N14323" s="11"/>
      <c r="O14323" s="11"/>
      <c r="P14323" s="11"/>
    </row>
    <row r="14324" spans="8:16" x14ac:dyDescent="0.25">
      <c r="H14324" s="12"/>
      <c r="I14324" s="12"/>
      <c r="J14324" s="12"/>
      <c r="K14324" s="12"/>
      <c r="L14324" s="12"/>
      <c r="M14324" s="11"/>
      <c r="N14324" s="11"/>
      <c r="O14324" s="11"/>
      <c r="P14324" s="11"/>
    </row>
    <row r="14325" spans="8:16" x14ac:dyDescent="0.25">
      <c r="H14325" s="12"/>
      <c r="I14325" s="12"/>
      <c r="J14325" s="12"/>
      <c r="K14325" s="12"/>
      <c r="L14325" s="12"/>
      <c r="M14325" s="11"/>
      <c r="N14325" s="11"/>
      <c r="O14325" s="11"/>
      <c r="P14325" s="11"/>
    </row>
    <row r="14326" spans="8:16" x14ac:dyDescent="0.25">
      <c r="H14326" s="12"/>
      <c r="I14326" s="12"/>
      <c r="J14326" s="12"/>
      <c r="K14326" s="12"/>
      <c r="L14326" s="12"/>
      <c r="M14326" s="11"/>
      <c r="N14326" s="11"/>
      <c r="O14326" s="11"/>
      <c r="P14326" s="11"/>
    </row>
    <row r="14327" spans="8:16" x14ac:dyDescent="0.25">
      <c r="H14327" s="12"/>
      <c r="I14327" s="12"/>
      <c r="J14327" s="12"/>
      <c r="K14327" s="12"/>
      <c r="L14327" s="12"/>
      <c r="M14327" s="11"/>
      <c r="N14327" s="11"/>
      <c r="O14327" s="11"/>
      <c r="P14327" s="11"/>
    </row>
    <row r="14328" spans="8:16" x14ac:dyDescent="0.25">
      <c r="H14328" s="12"/>
      <c r="I14328" s="12"/>
      <c r="J14328" s="12"/>
      <c r="K14328" s="12"/>
      <c r="L14328" s="12"/>
      <c r="M14328" s="11"/>
      <c r="N14328" s="11"/>
      <c r="O14328" s="11"/>
      <c r="P14328" s="11"/>
    </row>
    <row r="14329" spans="8:16" x14ac:dyDescent="0.25">
      <c r="H14329" s="12"/>
      <c r="I14329" s="12"/>
      <c r="J14329" s="12"/>
      <c r="K14329" s="12"/>
      <c r="L14329" s="12"/>
      <c r="M14329" s="11"/>
      <c r="N14329" s="11"/>
      <c r="O14329" s="11"/>
      <c r="P14329" s="11"/>
    </row>
    <row r="14330" spans="8:16" x14ac:dyDescent="0.25">
      <c r="H14330" s="12"/>
      <c r="I14330" s="12"/>
      <c r="J14330" s="12"/>
      <c r="K14330" s="12"/>
      <c r="L14330" s="12"/>
      <c r="M14330" s="11"/>
      <c r="N14330" s="11"/>
      <c r="O14330" s="11"/>
      <c r="P14330" s="11"/>
    </row>
    <row r="14331" spans="8:16" x14ac:dyDescent="0.25">
      <c r="H14331" s="12"/>
      <c r="I14331" s="12"/>
      <c r="J14331" s="12"/>
      <c r="K14331" s="12"/>
      <c r="L14331" s="12"/>
      <c r="M14331" s="11"/>
      <c r="N14331" s="11"/>
      <c r="O14331" s="11"/>
      <c r="P14331" s="11"/>
    </row>
    <row r="14332" spans="8:16" x14ac:dyDescent="0.25">
      <c r="H14332" s="12"/>
      <c r="I14332" s="12"/>
      <c r="J14332" s="12"/>
      <c r="K14332" s="12"/>
      <c r="L14332" s="12"/>
      <c r="M14332" s="11"/>
      <c r="N14332" s="11"/>
      <c r="O14332" s="11"/>
      <c r="P14332" s="11"/>
    </row>
    <row r="14333" spans="8:16" x14ac:dyDescent="0.25">
      <c r="H14333" s="12"/>
      <c r="I14333" s="12"/>
      <c r="J14333" s="12"/>
      <c r="K14333" s="12"/>
      <c r="L14333" s="12"/>
      <c r="M14333" s="11"/>
      <c r="N14333" s="11"/>
      <c r="O14333" s="11"/>
      <c r="P14333" s="11"/>
    </row>
    <row r="14334" spans="8:16" x14ac:dyDescent="0.25">
      <c r="H14334" s="12"/>
      <c r="I14334" s="12"/>
      <c r="J14334" s="12"/>
      <c r="K14334" s="12"/>
      <c r="L14334" s="12"/>
      <c r="M14334" s="11"/>
      <c r="N14334" s="11"/>
      <c r="O14334" s="11"/>
      <c r="P14334" s="11"/>
    </row>
    <row r="14335" spans="8:16" x14ac:dyDescent="0.25">
      <c r="H14335" s="12"/>
      <c r="I14335" s="12"/>
      <c r="J14335" s="12"/>
      <c r="K14335" s="12"/>
      <c r="L14335" s="12"/>
      <c r="M14335" s="11"/>
      <c r="N14335" s="11"/>
      <c r="O14335" s="11"/>
      <c r="P14335" s="11"/>
    </row>
    <row r="14336" spans="8:16" x14ac:dyDescent="0.25">
      <c r="H14336" s="12"/>
      <c r="I14336" s="12"/>
      <c r="J14336" s="12"/>
      <c r="K14336" s="12"/>
      <c r="L14336" s="12"/>
      <c r="M14336" s="11"/>
      <c r="N14336" s="11"/>
      <c r="O14336" s="11"/>
      <c r="P14336" s="11"/>
    </row>
    <row r="14337" spans="8:16" x14ac:dyDescent="0.25">
      <c r="H14337" s="12"/>
      <c r="I14337" s="12"/>
      <c r="J14337" s="12"/>
      <c r="K14337" s="12"/>
      <c r="L14337" s="12"/>
      <c r="M14337" s="11"/>
      <c r="N14337" s="11"/>
      <c r="O14337" s="11"/>
      <c r="P14337" s="11"/>
    </row>
    <row r="14338" spans="8:16" x14ac:dyDescent="0.25">
      <c r="H14338" s="12"/>
      <c r="I14338" s="12"/>
      <c r="J14338" s="12"/>
      <c r="K14338" s="12"/>
      <c r="L14338" s="12"/>
      <c r="M14338" s="11"/>
      <c r="N14338" s="11"/>
      <c r="O14338" s="11"/>
      <c r="P14338" s="11"/>
    </row>
    <row r="14339" spans="8:16" x14ac:dyDescent="0.25">
      <c r="H14339" s="12"/>
      <c r="I14339" s="12"/>
      <c r="J14339" s="12"/>
      <c r="K14339" s="12"/>
      <c r="L14339" s="12"/>
      <c r="M14339" s="11"/>
      <c r="N14339" s="11"/>
      <c r="O14339" s="11"/>
      <c r="P14339" s="11"/>
    </row>
    <row r="14340" spans="8:16" x14ac:dyDescent="0.25">
      <c r="H14340" s="12"/>
      <c r="I14340" s="12"/>
      <c r="J14340" s="12"/>
      <c r="K14340" s="12"/>
      <c r="L14340" s="12"/>
      <c r="M14340" s="11"/>
      <c r="N14340" s="11"/>
      <c r="O14340" s="11"/>
      <c r="P14340" s="11"/>
    </row>
    <row r="14341" spans="8:16" x14ac:dyDescent="0.25">
      <c r="H14341" s="12"/>
      <c r="I14341" s="12"/>
      <c r="J14341" s="12"/>
      <c r="K14341" s="12"/>
      <c r="L14341" s="12"/>
      <c r="M14341" s="11"/>
      <c r="N14341" s="11"/>
      <c r="O14341" s="11"/>
      <c r="P14341" s="11"/>
    </row>
    <row r="14342" spans="8:16" x14ac:dyDescent="0.25">
      <c r="H14342" s="12"/>
      <c r="I14342" s="12"/>
      <c r="J14342" s="12"/>
      <c r="K14342" s="12"/>
      <c r="L14342" s="12"/>
      <c r="M14342" s="11"/>
      <c r="N14342" s="11"/>
      <c r="O14342" s="11"/>
      <c r="P14342" s="11"/>
    </row>
    <row r="14343" spans="8:16" x14ac:dyDescent="0.25">
      <c r="H14343" s="12"/>
      <c r="I14343" s="12"/>
      <c r="J14343" s="12"/>
      <c r="K14343" s="12"/>
      <c r="L14343" s="12"/>
      <c r="M14343" s="11"/>
      <c r="N14343" s="11"/>
      <c r="O14343" s="11"/>
      <c r="P14343" s="11"/>
    </row>
    <row r="14344" spans="8:16" x14ac:dyDescent="0.25">
      <c r="H14344" s="12"/>
      <c r="I14344" s="12"/>
      <c r="J14344" s="12"/>
      <c r="K14344" s="12"/>
      <c r="L14344" s="12"/>
      <c r="M14344" s="11"/>
      <c r="N14344" s="11"/>
      <c r="O14344" s="11"/>
      <c r="P14344" s="11"/>
    </row>
    <row r="14345" spans="8:16" x14ac:dyDescent="0.25">
      <c r="H14345" s="12"/>
      <c r="I14345" s="12"/>
      <c r="J14345" s="12"/>
      <c r="K14345" s="12"/>
      <c r="L14345" s="12"/>
      <c r="M14345" s="11"/>
      <c r="N14345" s="11"/>
      <c r="O14345" s="11"/>
      <c r="P14345" s="11"/>
    </row>
    <row r="14346" spans="8:16" x14ac:dyDescent="0.25">
      <c r="H14346" s="12"/>
      <c r="I14346" s="12"/>
      <c r="J14346" s="12"/>
      <c r="K14346" s="12"/>
      <c r="L14346" s="12"/>
      <c r="M14346" s="11"/>
      <c r="N14346" s="11"/>
      <c r="O14346" s="11"/>
      <c r="P14346" s="11"/>
    </row>
    <row r="14347" spans="8:16" x14ac:dyDescent="0.25">
      <c r="H14347" s="12"/>
      <c r="I14347" s="12"/>
      <c r="J14347" s="12"/>
      <c r="K14347" s="12"/>
      <c r="L14347" s="12"/>
      <c r="M14347" s="11"/>
      <c r="N14347" s="11"/>
      <c r="O14347" s="11"/>
      <c r="P14347" s="11"/>
    </row>
    <row r="14348" spans="8:16" x14ac:dyDescent="0.25">
      <c r="H14348" s="12"/>
      <c r="I14348" s="12"/>
      <c r="J14348" s="12"/>
      <c r="K14348" s="12"/>
      <c r="L14348" s="12"/>
      <c r="M14348" s="11"/>
      <c r="N14348" s="11"/>
      <c r="O14348" s="11"/>
      <c r="P14348" s="11"/>
    </row>
    <row r="14349" spans="8:16" x14ac:dyDescent="0.25">
      <c r="H14349" s="12"/>
      <c r="I14349" s="12"/>
      <c r="J14349" s="12"/>
      <c r="K14349" s="12"/>
      <c r="L14349" s="12"/>
      <c r="M14349" s="11"/>
      <c r="N14349" s="11"/>
      <c r="O14349" s="11"/>
      <c r="P14349" s="11"/>
    </row>
    <row r="14350" spans="8:16" x14ac:dyDescent="0.25">
      <c r="H14350" s="12"/>
      <c r="I14350" s="12"/>
      <c r="J14350" s="12"/>
      <c r="K14350" s="12"/>
      <c r="L14350" s="12"/>
      <c r="M14350" s="11"/>
      <c r="N14350" s="11"/>
      <c r="O14350" s="11"/>
      <c r="P14350" s="11"/>
    </row>
    <row r="14351" spans="8:16" x14ac:dyDescent="0.25">
      <c r="H14351" s="12"/>
      <c r="I14351" s="12"/>
      <c r="J14351" s="12"/>
      <c r="K14351" s="12"/>
      <c r="L14351" s="12"/>
      <c r="M14351" s="11"/>
      <c r="N14351" s="11"/>
      <c r="O14351" s="11"/>
      <c r="P14351" s="11"/>
    </row>
    <row r="14352" spans="8:16" x14ac:dyDescent="0.25">
      <c r="H14352" s="12"/>
      <c r="I14352" s="12"/>
      <c r="J14352" s="12"/>
      <c r="K14352" s="12"/>
      <c r="L14352" s="12"/>
      <c r="M14352" s="11"/>
      <c r="N14352" s="11"/>
      <c r="O14352" s="11"/>
      <c r="P14352" s="11"/>
    </row>
    <row r="14353" spans="8:16" x14ac:dyDescent="0.25">
      <c r="H14353" s="12"/>
      <c r="I14353" s="12"/>
      <c r="J14353" s="12"/>
      <c r="K14353" s="12"/>
      <c r="L14353" s="12"/>
      <c r="M14353" s="11"/>
      <c r="N14353" s="11"/>
      <c r="O14353" s="11"/>
      <c r="P14353" s="11"/>
    </row>
    <row r="14354" spans="8:16" x14ac:dyDescent="0.25">
      <c r="H14354" s="12"/>
      <c r="I14354" s="12"/>
      <c r="J14354" s="12"/>
      <c r="K14354" s="12"/>
      <c r="L14354" s="12"/>
      <c r="M14354" s="11"/>
      <c r="N14354" s="11"/>
      <c r="O14354" s="11"/>
      <c r="P14354" s="11"/>
    </row>
    <row r="14355" spans="8:16" x14ac:dyDescent="0.25">
      <c r="H14355" s="12"/>
      <c r="I14355" s="12"/>
      <c r="J14355" s="12"/>
      <c r="K14355" s="12"/>
      <c r="L14355" s="12"/>
      <c r="M14355" s="11"/>
      <c r="N14355" s="11"/>
      <c r="O14355" s="11"/>
      <c r="P14355" s="11"/>
    </row>
    <row r="14356" spans="8:16" x14ac:dyDescent="0.25">
      <c r="H14356" s="12"/>
      <c r="I14356" s="12"/>
      <c r="J14356" s="12"/>
      <c r="K14356" s="12"/>
      <c r="L14356" s="12"/>
      <c r="M14356" s="11"/>
      <c r="N14356" s="11"/>
      <c r="O14356" s="11"/>
      <c r="P14356" s="11"/>
    </row>
    <row r="14357" spans="8:16" x14ac:dyDescent="0.25">
      <c r="H14357" s="12"/>
      <c r="I14357" s="12"/>
      <c r="J14357" s="12"/>
      <c r="K14357" s="12"/>
      <c r="L14357" s="12"/>
      <c r="M14357" s="11"/>
      <c r="N14357" s="11"/>
      <c r="O14357" s="11"/>
      <c r="P14357" s="11"/>
    </row>
    <row r="14358" spans="8:16" x14ac:dyDescent="0.25">
      <c r="H14358" s="12"/>
      <c r="I14358" s="12"/>
      <c r="J14358" s="12"/>
      <c r="K14358" s="12"/>
      <c r="L14358" s="12"/>
      <c r="M14358" s="11"/>
      <c r="N14358" s="11"/>
      <c r="O14358" s="11"/>
      <c r="P14358" s="11"/>
    </row>
    <row r="14359" spans="8:16" x14ac:dyDescent="0.25">
      <c r="H14359" s="12"/>
      <c r="I14359" s="12"/>
      <c r="J14359" s="12"/>
      <c r="K14359" s="12"/>
      <c r="L14359" s="12"/>
      <c r="M14359" s="11"/>
      <c r="N14359" s="11"/>
      <c r="O14359" s="11"/>
      <c r="P14359" s="11"/>
    </row>
    <row r="14360" spans="8:16" x14ac:dyDescent="0.25">
      <c r="H14360" s="12"/>
      <c r="I14360" s="12"/>
      <c r="J14360" s="12"/>
      <c r="K14360" s="12"/>
      <c r="L14360" s="12"/>
      <c r="M14360" s="11"/>
      <c r="N14360" s="11"/>
      <c r="O14360" s="11"/>
      <c r="P14360" s="11"/>
    </row>
    <row r="14361" spans="8:16" x14ac:dyDescent="0.25">
      <c r="H14361" s="12"/>
      <c r="I14361" s="12"/>
      <c r="J14361" s="12"/>
      <c r="K14361" s="12"/>
      <c r="L14361" s="12"/>
      <c r="M14361" s="11"/>
      <c r="N14361" s="11"/>
      <c r="O14361" s="11"/>
      <c r="P14361" s="11"/>
    </row>
    <row r="14362" spans="8:16" x14ac:dyDescent="0.25">
      <c r="H14362" s="12"/>
      <c r="I14362" s="12"/>
      <c r="J14362" s="12"/>
      <c r="K14362" s="12"/>
      <c r="L14362" s="12"/>
      <c r="M14362" s="11"/>
      <c r="N14362" s="11"/>
      <c r="O14362" s="11"/>
      <c r="P14362" s="11"/>
    </row>
    <row r="14363" spans="8:16" x14ac:dyDescent="0.25">
      <c r="H14363" s="12"/>
      <c r="I14363" s="12"/>
      <c r="J14363" s="12"/>
      <c r="K14363" s="12"/>
      <c r="L14363" s="12"/>
      <c r="M14363" s="11"/>
      <c r="N14363" s="11"/>
      <c r="O14363" s="11"/>
      <c r="P14363" s="11"/>
    </row>
    <row r="14364" spans="8:16" x14ac:dyDescent="0.25">
      <c r="H14364" s="12"/>
      <c r="I14364" s="12"/>
      <c r="J14364" s="12"/>
      <c r="K14364" s="12"/>
      <c r="L14364" s="12"/>
      <c r="M14364" s="11"/>
      <c r="N14364" s="11"/>
      <c r="O14364" s="11"/>
      <c r="P14364" s="11"/>
    </row>
    <row r="14365" spans="8:16" x14ac:dyDescent="0.25">
      <c r="H14365" s="12"/>
      <c r="I14365" s="12"/>
      <c r="J14365" s="12"/>
      <c r="K14365" s="12"/>
      <c r="L14365" s="12"/>
      <c r="M14365" s="11"/>
      <c r="N14365" s="11"/>
      <c r="O14365" s="11"/>
      <c r="P14365" s="11"/>
    </row>
    <row r="14366" spans="8:16" x14ac:dyDescent="0.25">
      <c r="H14366" s="12"/>
      <c r="I14366" s="12"/>
      <c r="J14366" s="12"/>
      <c r="K14366" s="12"/>
      <c r="L14366" s="12"/>
      <c r="M14366" s="11"/>
      <c r="N14366" s="11"/>
      <c r="O14366" s="11"/>
      <c r="P14366" s="11"/>
    </row>
    <row r="14367" spans="8:16" x14ac:dyDescent="0.25">
      <c r="H14367" s="12"/>
      <c r="I14367" s="12"/>
      <c r="J14367" s="12"/>
      <c r="K14367" s="12"/>
      <c r="L14367" s="12"/>
      <c r="M14367" s="11"/>
      <c r="N14367" s="11"/>
      <c r="O14367" s="11"/>
      <c r="P14367" s="11"/>
    </row>
    <row r="14368" spans="8:16" x14ac:dyDescent="0.25">
      <c r="H14368" s="12"/>
      <c r="I14368" s="12"/>
      <c r="J14368" s="12"/>
      <c r="K14368" s="12"/>
      <c r="L14368" s="12"/>
      <c r="M14368" s="11"/>
      <c r="N14368" s="11"/>
      <c r="O14368" s="11"/>
      <c r="P14368" s="11"/>
    </row>
    <row r="14369" spans="8:16" x14ac:dyDescent="0.25">
      <c r="H14369" s="12"/>
      <c r="I14369" s="12"/>
      <c r="J14369" s="12"/>
      <c r="K14369" s="12"/>
      <c r="L14369" s="12"/>
      <c r="M14369" s="11"/>
      <c r="N14369" s="11"/>
      <c r="O14369" s="11"/>
      <c r="P14369" s="11"/>
    </row>
    <row r="14370" spans="8:16" x14ac:dyDescent="0.25">
      <c r="H14370" s="12"/>
      <c r="I14370" s="12"/>
      <c r="J14370" s="12"/>
      <c r="K14370" s="12"/>
      <c r="L14370" s="12"/>
      <c r="M14370" s="11"/>
      <c r="N14370" s="11"/>
      <c r="O14370" s="11"/>
      <c r="P14370" s="11"/>
    </row>
    <row r="14371" spans="8:16" x14ac:dyDescent="0.25">
      <c r="H14371" s="12"/>
      <c r="I14371" s="12"/>
      <c r="J14371" s="12"/>
      <c r="K14371" s="12"/>
      <c r="L14371" s="12"/>
      <c r="M14371" s="11"/>
      <c r="N14371" s="11"/>
      <c r="O14371" s="11"/>
      <c r="P14371" s="11"/>
    </row>
    <row r="14372" spans="8:16" x14ac:dyDescent="0.25">
      <c r="H14372" s="12"/>
      <c r="I14372" s="12"/>
      <c r="J14372" s="12"/>
      <c r="K14372" s="12"/>
      <c r="L14372" s="12"/>
      <c r="M14372" s="11"/>
      <c r="N14372" s="11"/>
      <c r="O14372" s="11"/>
      <c r="P14372" s="11"/>
    </row>
    <row r="14373" spans="8:16" x14ac:dyDescent="0.25">
      <c r="H14373" s="12"/>
      <c r="I14373" s="12"/>
      <c r="J14373" s="12"/>
      <c r="K14373" s="12"/>
      <c r="L14373" s="12"/>
      <c r="M14373" s="11"/>
      <c r="N14373" s="11"/>
      <c r="O14373" s="11"/>
      <c r="P14373" s="11"/>
    </row>
    <row r="14374" spans="8:16" x14ac:dyDescent="0.25">
      <c r="H14374" s="12"/>
      <c r="I14374" s="12"/>
      <c r="J14374" s="12"/>
      <c r="K14374" s="12"/>
      <c r="L14374" s="12"/>
      <c r="M14374" s="11"/>
      <c r="N14374" s="11"/>
      <c r="O14374" s="11"/>
      <c r="P14374" s="11"/>
    </row>
    <row r="14375" spans="8:16" x14ac:dyDescent="0.25">
      <c r="H14375" s="12"/>
      <c r="I14375" s="12"/>
      <c r="J14375" s="12"/>
      <c r="K14375" s="12"/>
      <c r="L14375" s="12"/>
      <c r="M14375" s="11"/>
      <c r="N14375" s="11"/>
      <c r="O14375" s="11"/>
      <c r="P14375" s="11"/>
    </row>
    <row r="14376" spans="8:16" x14ac:dyDescent="0.25">
      <c r="H14376" s="12"/>
      <c r="I14376" s="12"/>
      <c r="J14376" s="12"/>
      <c r="K14376" s="12"/>
      <c r="L14376" s="12"/>
      <c r="M14376" s="11"/>
      <c r="N14376" s="11"/>
      <c r="O14376" s="11"/>
      <c r="P14376" s="11"/>
    </row>
    <row r="14377" spans="8:16" x14ac:dyDescent="0.25">
      <c r="H14377" s="12"/>
      <c r="I14377" s="12"/>
      <c r="J14377" s="12"/>
      <c r="K14377" s="12"/>
      <c r="L14377" s="12"/>
      <c r="M14377" s="11"/>
      <c r="N14377" s="11"/>
      <c r="O14377" s="11"/>
      <c r="P14377" s="11"/>
    </row>
    <row r="14378" spans="8:16" x14ac:dyDescent="0.25">
      <c r="H14378" s="12"/>
      <c r="I14378" s="12"/>
      <c r="J14378" s="12"/>
      <c r="K14378" s="12"/>
      <c r="L14378" s="12"/>
      <c r="M14378" s="11"/>
      <c r="N14378" s="11"/>
      <c r="O14378" s="11"/>
      <c r="P14378" s="11"/>
    </row>
    <row r="14379" spans="8:16" x14ac:dyDescent="0.25">
      <c r="H14379" s="12"/>
      <c r="I14379" s="12"/>
      <c r="J14379" s="12"/>
      <c r="K14379" s="12"/>
      <c r="L14379" s="12"/>
      <c r="M14379" s="11"/>
      <c r="N14379" s="11"/>
      <c r="O14379" s="11"/>
      <c r="P14379" s="11"/>
    </row>
    <row r="14380" spans="8:16" x14ac:dyDescent="0.25">
      <c r="H14380" s="12"/>
      <c r="I14380" s="12"/>
      <c r="J14380" s="12"/>
      <c r="K14380" s="12"/>
      <c r="L14380" s="12"/>
      <c r="M14380" s="11"/>
      <c r="N14380" s="11"/>
      <c r="O14380" s="11"/>
      <c r="P14380" s="11"/>
    </row>
    <row r="14381" spans="8:16" x14ac:dyDescent="0.25">
      <c r="H14381" s="12"/>
      <c r="I14381" s="12"/>
      <c r="J14381" s="12"/>
      <c r="K14381" s="12"/>
      <c r="L14381" s="12"/>
      <c r="M14381" s="11"/>
      <c r="N14381" s="11"/>
      <c r="O14381" s="11"/>
      <c r="P14381" s="11"/>
    </row>
    <row r="14382" spans="8:16" x14ac:dyDescent="0.25">
      <c r="H14382" s="12"/>
      <c r="I14382" s="12"/>
      <c r="J14382" s="12"/>
      <c r="K14382" s="12"/>
      <c r="L14382" s="12"/>
      <c r="M14382" s="11"/>
      <c r="N14382" s="11"/>
      <c r="O14382" s="11"/>
      <c r="P14382" s="11"/>
    </row>
    <row r="14383" spans="8:16" x14ac:dyDescent="0.25">
      <c r="H14383" s="12"/>
      <c r="I14383" s="12"/>
      <c r="J14383" s="12"/>
      <c r="K14383" s="12"/>
      <c r="L14383" s="12"/>
      <c r="M14383" s="11"/>
      <c r="N14383" s="11"/>
      <c r="O14383" s="11"/>
      <c r="P14383" s="11"/>
    </row>
    <row r="14384" spans="8:16" x14ac:dyDescent="0.25">
      <c r="H14384" s="12"/>
      <c r="I14384" s="12"/>
      <c r="J14384" s="12"/>
      <c r="K14384" s="12"/>
      <c r="L14384" s="12"/>
      <c r="M14384" s="11"/>
      <c r="N14384" s="11"/>
      <c r="O14384" s="11"/>
      <c r="P14384" s="11"/>
    </row>
    <row r="14385" spans="8:16" x14ac:dyDescent="0.25">
      <c r="H14385" s="12"/>
      <c r="I14385" s="12"/>
      <c r="J14385" s="12"/>
      <c r="K14385" s="12"/>
      <c r="L14385" s="12"/>
      <c r="M14385" s="11"/>
      <c r="N14385" s="11"/>
      <c r="O14385" s="11"/>
      <c r="P14385" s="11"/>
    </row>
    <row r="14386" spans="8:16" x14ac:dyDescent="0.25">
      <c r="H14386" s="12"/>
      <c r="I14386" s="12"/>
      <c r="J14386" s="12"/>
      <c r="K14386" s="12"/>
      <c r="L14386" s="12"/>
      <c r="M14386" s="11"/>
      <c r="N14386" s="11"/>
      <c r="O14386" s="11"/>
      <c r="P14386" s="11"/>
    </row>
    <row r="14387" spans="8:16" x14ac:dyDescent="0.25">
      <c r="H14387" s="12"/>
      <c r="I14387" s="12"/>
      <c r="J14387" s="12"/>
      <c r="K14387" s="12"/>
      <c r="L14387" s="12"/>
      <c r="M14387" s="11"/>
      <c r="N14387" s="11"/>
      <c r="O14387" s="11"/>
      <c r="P14387" s="11"/>
    </row>
    <row r="14388" spans="8:16" x14ac:dyDescent="0.25">
      <c r="H14388" s="12"/>
      <c r="I14388" s="12"/>
      <c r="J14388" s="12"/>
      <c r="K14388" s="12"/>
      <c r="L14388" s="12"/>
      <c r="M14388" s="11"/>
      <c r="N14388" s="11"/>
      <c r="O14388" s="11"/>
      <c r="P14388" s="11"/>
    </row>
    <row r="14389" spans="8:16" x14ac:dyDescent="0.25">
      <c r="H14389" s="12"/>
      <c r="I14389" s="12"/>
      <c r="J14389" s="12"/>
      <c r="K14389" s="12"/>
      <c r="L14389" s="12"/>
      <c r="M14389" s="11"/>
      <c r="N14389" s="11"/>
      <c r="O14389" s="11"/>
      <c r="P14389" s="11"/>
    </row>
    <row r="14390" spans="8:16" x14ac:dyDescent="0.25">
      <c r="H14390" s="12"/>
      <c r="I14390" s="12"/>
      <c r="J14390" s="12"/>
      <c r="K14390" s="12"/>
      <c r="L14390" s="12"/>
      <c r="M14390" s="11"/>
      <c r="N14390" s="11"/>
      <c r="O14390" s="11"/>
      <c r="P14390" s="11"/>
    </row>
    <row r="14391" spans="8:16" x14ac:dyDescent="0.25">
      <c r="H14391" s="12"/>
      <c r="I14391" s="12"/>
      <c r="J14391" s="12"/>
      <c r="K14391" s="12"/>
      <c r="L14391" s="12"/>
      <c r="M14391" s="11"/>
      <c r="N14391" s="11"/>
      <c r="O14391" s="11"/>
      <c r="P14391" s="11"/>
    </row>
    <row r="14392" spans="8:16" x14ac:dyDescent="0.25">
      <c r="H14392" s="12"/>
      <c r="I14392" s="12"/>
      <c r="J14392" s="12"/>
      <c r="K14392" s="12"/>
      <c r="L14392" s="12"/>
      <c r="M14392" s="11"/>
      <c r="N14392" s="11"/>
      <c r="O14392" s="11"/>
      <c r="P14392" s="11"/>
    </row>
    <row r="14393" spans="8:16" x14ac:dyDescent="0.25">
      <c r="H14393" s="12"/>
      <c r="I14393" s="12"/>
      <c r="J14393" s="12"/>
      <c r="K14393" s="12"/>
      <c r="L14393" s="12"/>
      <c r="M14393" s="11"/>
      <c r="N14393" s="11"/>
      <c r="O14393" s="11"/>
      <c r="P14393" s="11"/>
    </row>
    <row r="14394" spans="8:16" x14ac:dyDescent="0.25">
      <c r="H14394" s="12"/>
      <c r="I14394" s="12"/>
      <c r="J14394" s="12"/>
      <c r="K14394" s="12"/>
      <c r="L14394" s="12"/>
      <c r="M14394" s="11"/>
      <c r="N14394" s="11"/>
      <c r="O14394" s="11"/>
      <c r="P14394" s="11"/>
    </row>
    <row r="14395" spans="8:16" x14ac:dyDescent="0.25">
      <c r="H14395" s="12"/>
      <c r="I14395" s="12"/>
      <c r="J14395" s="12"/>
      <c r="K14395" s="12"/>
      <c r="L14395" s="12"/>
      <c r="M14395" s="11"/>
      <c r="N14395" s="11"/>
      <c r="O14395" s="11"/>
      <c r="P14395" s="11"/>
    </row>
    <row r="14396" spans="8:16" x14ac:dyDescent="0.25">
      <c r="H14396" s="12"/>
      <c r="I14396" s="12"/>
      <c r="J14396" s="12"/>
      <c r="K14396" s="12"/>
      <c r="L14396" s="12"/>
      <c r="M14396" s="11"/>
      <c r="N14396" s="11"/>
      <c r="O14396" s="11"/>
      <c r="P14396" s="11"/>
    </row>
    <row r="14397" spans="8:16" x14ac:dyDescent="0.25">
      <c r="H14397" s="12"/>
      <c r="I14397" s="12"/>
      <c r="J14397" s="12"/>
      <c r="K14397" s="12"/>
      <c r="L14397" s="12"/>
      <c r="M14397" s="11"/>
      <c r="N14397" s="11"/>
      <c r="O14397" s="11"/>
      <c r="P14397" s="11"/>
    </row>
    <row r="14398" spans="8:16" x14ac:dyDescent="0.25">
      <c r="H14398" s="12"/>
      <c r="I14398" s="12"/>
      <c r="J14398" s="12"/>
      <c r="K14398" s="12"/>
      <c r="L14398" s="12"/>
      <c r="M14398" s="11"/>
      <c r="N14398" s="11"/>
      <c r="O14398" s="11"/>
      <c r="P14398" s="11"/>
    </row>
    <row r="14399" spans="8:16" x14ac:dyDescent="0.25">
      <c r="H14399" s="12"/>
      <c r="I14399" s="12"/>
      <c r="J14399" s="12"/>
      <c r="K14399" s="12"/>
      <c r="L14399" s="12"/>
      <c r="M14399" s="11"/>
      <c r="N14399" s="11"/>
      <c r="O14399" s="11"/>
      <c r="P14399" s="11"/>
    </row>
    <row r="14400" spans="8:16" x14ac:dyDescent="0.25">
      <c r="H14400" s="12"/>
      <c r="I14400" s="12"/>
      <c r="J14400" s="12"/>
      <c r="K14400" s="12"/>
      <c r="L14400" s="12"/>
      <c r="M14400" s="11"/>
      <c r="N14400" s="11"/>
      <c r="O14400" s="11"/>
      <c r="P14400" s="11"/>
    </row>
    <row r="14401" spans="8:16" x14ac:dyDescent="0.25">
      <c r="H14401" s="12"/>
      <c r="I14401" s="12"/>
      <c r="J14401" s="12"/>
      <c r="K14401" s="12"/>
      <c r="L14401" s="12"/>
      <c r="M14401" s="11"/>
      <c r="N14401" s="11"/>
      <c r="O14401" s="11"/>
      <c r="P14401" s="11"/>
    </row>
    <row r="14402" spans="8:16" x14ac:dyDescent="0.25">
      <c r="H14402" s="12"/>
      <c r="I14402" s="12"/>
      <c r="J14402" s="12"/>
      <c r="K14402" s="12"/>
      <c r="L14402" s="12"/>
      <c r="M14402" s="11"/>
      <c r="N14402" s="11"/>
      <c r="O14402" s="11"/>
      <c r="P14402" s="11"/>
    </row>
    <row r="14403" spans="8:16" x14ac:dyDescent="0.25">
      <c r="H14403" s="12"/>
      <c r="I14403" s="12"/>
      <c r="J14403" s="12"/>
      <c r="K14403" s="12"/>
      <c r="L14403" s="12"/>
      <c r="M14403" s="11"/>
      <c r="N14403" s="11"/>
      <c r="O14403" s="11"/>
      <c r="P14403" s="11"/>
    </row>
    <row r="14404" spans="8:16" x14ac:dyDescent="0.25">
      <c r="H14404" s="12"/>
      <c r="I14404" s="12"/>
      <c r="J14404" s="12"/>
      <c r="K14404" s="12"/>
      <c r="L14404" s="12"/>
      <c r="M14404" s="11"/>
      <c r="N14404" s="11"/>
      <c r="O14404" s="11"/>
      <c r="P14404" s="11"/>
    </row>
    <row r="14405" spans="8:16" x14ac:dyDescent="0.25">
      <c r="H14405" s="12"/>
      <c r="I14405" s="12"/>
      <c r="J14405" s="12"/>
      <c r="K14405" s="12"/>
      <c r="L14405" s="12"/>
      <c r="M14405" s="11"/>
      <c r="N14405" s="11"/>
      <c r="O14405" s="11"/>
      <c r="P14405" s="11"/>
    </row>
    <row r="14406" spans="8:16" x14ac:dyDescent="0.25">
      <c r="H14406" s="12"/>
      <c r="I14406" s="12"/>
      <c r="J14406" s="12"/>
      <c r="K14406" s="12"/>
      <c r="L14406" s="12"/>
      <c r="M14406" s="11"/>
      <c r="N14406" s="11"/>
      <c r="O14406" s="11"/>
      <c r="P14406" s="11"/>
    </row>
    <row r="14407" spans="8:16" x14ac:dyDescent="0.25">
      <c r="H14407" s="12"/>
      <c r="I14407" s="12"/>
      <c r="J14407" s="12"/>
      <c r="K14407" s="12"/>
      <c r="L14407" s="12"/>
      <c r="M14407" s="11"/>
      <c r="N14407" s="11"/>
      <c r="O14407" s="11"/>
      <c r="P14407" s="11"/>
    </row>
    <row r="14408" spans="8:16" x14ac:dyDescent="0.25">
      <c r="H14408" s="12"/>
      <c r="I14408" s="12"/>
      <c r="J14408" s="12"/>
      <c r="K14408" s="12"/>
      <c r="L14408" s="12"/>
      <c r="M14408" s="11"/>
      <c r="N14408" s="11"/>
      <c r="O14408" s="11"/>
      <c r="P14408" s="11"/>
    </row>
    <row r="14409" spans="8:16" x14ac:dyDescent="0.25">
      <c r="H14409" s="12"/>
      <c r="I14409" s="12"/>
      <c r="J14409" s="12"/>
      <c r="K14409" s="12"/>
      <c r="L14409" s="12"/>
      <c r="M14409" s="11"/>
      <c r="N14409" s="11"/>
      <c r="O14409" s="11"/>
      <c r="P14409" s="11"/>
    </row>
    <row r="14410" spans="8:16" x14ac:dyDescent="0.25">
      <c r="H14410" s="12"/>
      <c r="I14410" s="12"/>
      <c r="J14410" s="12"/>
      <c r="K14410" s="12"/>
      <c r="L14410" s="12"/>
      <c r="M14410" s="11"/>
      <c r="N14410" s="11"/>
      <c r="O14410" s="11"/>
      <c r="P14410" s="11"/>
    </row>
    <row r="14411" spans="8:16" x14ac:dyDescent="0.25">
      <c r="H14411" s="12"/>
      <c r="I14411" s="12"/>
      <c r="J14411" s="12"/>
      <c r="K14411" s="12"/>
      <c r="L14411" s="12"/>
      <c r="M14411" s="11"/>
      <c r="N14411" s="11"/>
      <c r="O14411" s="11"/>
      <c r="P14411" s="11"/>
    </row>
    <row r="14412" spans="8:16" x14ac:dyDescent="0.25">
      <c r="H14412" s="12"/>
      <c r="I14412" s="12"/>
      <c r="J14412" s="12"/>
      <c r="K14412" s="12"/>
      <c r="L14412" s="12"/>
      <c r="M14412" s="11"/>
      <c r="N14412" s="11"/>
      <c r="O14412" s="11"/>
      <c r="P14412" s="11"/>
    </row>
    <row r="14413" spans="8:16" x14ac:dyDescent="0.25">
      <c r="H14413" s="12"/>
      <c r="I14413" s="12"/>
      <c r="J14413" s="12"/>
      <c r="K14413" s="12"/>
      <c r="L14413" s="12"/>
      <c r="M14413" s="11"/>
      <c r="N14413" s="11"/>
      <c r="O14413" s="11"/>
      <c r="P14413" s="11"/>
    </row>
    <row r="14414" spans="8:16" x14ac:dyDescent="0.25">
      <c r="H14414" s="12"/>
      <c r="I14414" s="12"/>
      <c r="J14414" s="12"/>
      <c r="K14414" s="12"/>
      <c r="L14414" s="12"/>
      <c r="M14414" s="11"/>
      <c r="N14414" s="11"/>
      <c r="O14414" s="11"/>
      <c r="P14414" s="11"/>
    </row>
    <row r="14415" spans="8:16" x14ac:dyDescent="0.25">
      <c r="H14415" s="12"/>
      <c r="I14415" s="12"/>
      <c r="J14415" s="12"/>
      <c r="K14415" s="12"/>
      <c r="L14415" s="12"/>
      <c r="M14415" s="11"/>
      <c r="N14415" s="11"/>
      <c r="O14415" s="11"/>
      <c r="P14415" s="11"/>
    </row>
    <row r="14416" spans="8:16" x14ac:dyDescent="0.25">
      <c r="H14416" s="12"/>
      <c r="I14416" s="12"/>
      <c r="J14416" s="12"/>
      <c r="K14416" s="12"/>
      <c r="L14416" s="12"/>
      <c r="M14416" s="11"/>
      <c r="N14416" s="11"/>
      <c r="O14416" s="11"/>
      <c r="P14416" s="11"/>
    </row>
    <row r="14417" spans="8:16" x14ac:dyDescent="0.25">
      <c r="H14417" s="12"/>
      <c r="I14417" s="12"/>
      <c r="J14417" s="12"/>
      <c r="K14417" s="12"/>
      <c r="L14417" s="12"/>
      <c r="M14417" s="11"/>
      <c r="N14417" s="11"/>
      <c r="O14417" s="11"/>
      <c r="P14417" s="11"/>
    </row>
    <row r="14418" spans="8:16" x14ac:dyDescent="0.25">
      <c r="H14418" s="12"/>
      <c r="I14418" s="12"/>
      <c r="J14418" s="12"/>
      <c r="K14418" s="12"/>
      <c r="L14418" s="12"/>
      <c r="M14418" s="11"/>
      <c r="N14418" s="11"/>
      <c r="O14418" s="11"/>
      <c r="P14418" s="11"/>
    </row>
    <row r="14419" spans="8:16" x14ac:dyDescent="0.25">
      <c r="H14419" s="12"/>
      <c r="I14419" s="12"/>
      <c r="J14419" s="12"/>
      <c r="K14419" s="12"/>
      <c r="L14419" s="12"/>
      <c r="M14419" s="11"/>
      <c r="N14419" s="11"/>
      <c r="O14419" s="11"/>
      <c r="P14419" s="11"/>
    </row>
    <row r="14420" spans="8:16" x14ac:dyDescent="0.25">
      <c r="H14420" s="12"/>
      <c r="I14420" s="12"/>
      <c r="J14420" s="12"/>
      <c r="K14420" s="12"/>
      <c r="L14420" s="12"/>
      <c r="M14420" s="11"/>
      <c r="N14420" s="11"/>
      <c r="O14420" s="11"/>
      <c r="P14420" s="11"/>
    </row>
    <row r="14421" spans="8:16" x14ac:dyDescent="0.25">
      <c r="H14421" s="12"/>
      <c r="I14421" s="12"/>
      <c r="J14421" s="12"/>
      <c r="K14421" s="12"/>
      <c r="L14421" s="12"/>
      <c r="M14421" s="11"/>
      <c r="N14421" s="11"/>
      <c r="O14421" s="11"/>
      <c r="P14421" s="11"/>
    </row>
    <row r="14422" spans="8:16" x14ac:dyDescent="0.25">
      <c r="H14422" s="12"/>
      <c r="I14422" s="12"/>
      <c r="J14422" s="12"/>
      <c r="K14422" s="12"/>
      <c r="L14422" s="12"/>
      <c r="M14422" s="11"/>
      <c r="N14422" s="11"/>
      <c r="O14422" s="11"/>
      <c r="P14422" s="11"/>
    </row>
    <row r="14423" spans="8:16" x14ac:dyDescent="0.25">
      <c r="H14423" s="12"/>
      <c r="I14423" s="12"/>
      <c r="J14423" s="12"/>
      <c r="K14423" s="12"/>
      <c r="L14423" s="12"/>
      <c r="M14423" s="11"/>
      <c r="N14423" s="11"/>
      <c r="O14423" s="11"/>
      <c r="P14423" s="11"/>
    </row>
    <row r="14424" spans="8:16" x14ac:dyDescent="0.25">
      <c r="H14424" s="12"/>
      <c r="I14424" s="12"/>
      <c r="J14424" s="12"/>
      <c r="K14424" s="12"/>
      <c r="L14424" s="12"/>
      <c r="M14424" s="11"/>
      <c r="N14424" s="11"/>
      <c r="O14424" s="11"/>
      <c r="P14424" s="11"/>
    </row>
    <row r="14425" spans="8:16" x14ac:dyDescent="0.25">
      <c r="H14425" s="12"/>
      <c r="I14425" s="12"/>
      <c r="J14425" s="12"/>
      <c r="K14425" s="12"/>
      <c r="L14425" s="12"/>
      <c r="M14425" s="11"/>
      <c r="N14425" s="11"/>
      <c r="O14425" s="11"/>
      <c r="P14425" s="11"/>
    </row>
    <row r="14426" spans="8:16" x14ac:dyDescent="0.25">
      <c r="H14426" s="12"/>
      <c r="I14426" s="12"/>
      <c r="J14426" s="12"/>
      <c r="K14426" s="12"/>
      <c r="L14426" s="12"/>
      <c r="M14426" s="11"/>
      <c r="N14426" s="11"/>
      <c r="O14426" s="11"/>
      <c r="P14426" s="11"/>
    </row>
    <row r="14427" spans="8:16" x14ac:dyDescent="0.25">
      <c r="H14427" s="12"/>
      <c r="I14427" s="12"/>
      <c r="J14427" s="12"/>
      <c r="K14427" s="12"/>
      <c r="L14427" s="12"/>
      <c r="M14427" s="11"/>
      <c r="N14427" s="11"/>
      <c r="O14427" s="11"/>
      <c r="P14427" s="11"/>
    </row>
    <row r="14428" spans="8:16" x14ac:dyDescent="0.25">
      <c r="H14428" s="12"/>
      <c r="I14428" s="12"/>
      <c r="J14428" s="12"/>
      <c r="K14428" s="12"/>
      <c r="L14428" s="12"/>
      <c r="M14428" s="11"/>
      <c r="N14428" s="11"/>
      <c r="O14428" s="11"/>
      <c r="P14428" s="11"/>
    </row>
    <row r="14429" spans="8:16" x14ac:dyDescent="0.25">
      <c r="H14429" s="12"/>
      <c r="I14429" s="12"/>
      <c r="J14429" s="12"/>
      <c r="K14429" s="12"/>
      <c r="L14429" s="12"/>
      <c r="M14429" s="11"/>
      <c r="N14429" s="11"/>
      <c r="O14429" s="11"/>
      <c r="P14429" s="11"/>
    </row>
    <row r="14430" spans="8:16" x14ac:dyDescent="0.25">
      <c r="H14430" s="12"/>
      <c r="I14430" s="12"/>
      <c r="J14430" s="12"/>
      <c r="K14430" s="12"/>
      <c r="L14430" s="12"/>
      <c r="M14430" s="11"/>
      <c r="N14430" s="11"/>
      <c r="O14430" s="11"/>
      <c r="P14430" s="11"/>
    </row>
    <row r="14431" spans="8:16" x14ac:dyDescent="0.25">
      <c r="H14431" s="12"/>
      <c r="I14431" s="12"/>
      <c r="J14431" s="12"/>
      <c r="K14431" s="12"/>
      <c r="L14431" s="12"/>
      <c r="M14431" s="11"/>
      <c r="N14431" s="11"/>
      <c r="O14431" s="11"/>
      <c r="P14431" s="11"/>
    </row>
    <row r="14432" spans="8:16" x14ac:dyDescent="0.25">
      <c r="H14432" s="12"/>
      <c r="I14432" s="12"/>
      <c r="J14432" s="12"/>
      <c r="K14432" s="12"/>
      <c r="L14432" s="12"/>
      <c r="M14432" s="11"/>
      <c r="N14432" s="11"/>
      <c r="O14432" s="11"/>
      <c r="P14432" s="11"/>
    </row>
    <row r="14433" spans="8:16" x14ac:dyDescent="0.25">
      <c r="H14433" s="12"/>
      <c r="I14433" s="12"/>
      <c r="J14433" s="12"/>
      <c r="K14433" s="12"/>
      <c r="L14433" s="12"/>
      <c r="M14433" s="11"/>
      <c r="N14433" s="11"/>
      <c r="O14433" s="11"/>
      <c r="P14433" s="11"/>
    </row>
    <row r="14434" spans="8:16" x14ac:dyDescent="0.25">
      <c r="H14434" s="12"/>
      <c r="I14434" s="12"/>
      <c r="J14434" s="12"/>
      <c r="K14434" s="12"/>
      <c r="L14434" s="12"/>
      <c r="M14434" s="11"/>
      <c r="N14434" s="11"/>
      <c r="O14434" s="11"/>
      <c r="P14434" s="11"/>
    </row>
    <row r="14435" spans="8:16" x14ac:dyDescent="0.25">
      <c r="H14435" s="12"/>
      <c r="I14435" s="12"/>
      <c r="J14435" s="12"/>
      <c r="K14435" s="12"/>
      <c r="L14435" s="12"/>
      <c r="M14435" s="11"/>
      <c r="N14435" s="11"/>
      <c r="O14435" s="11"/>
      <c r="P14435" s="11"/>
    </row>
    <row r="14436" spans="8:16" x14ac:dyDescent="0.25">
      <c r="H14436" s="12"/>
      <c r="I14436" s="12"/>
      <c r="J14436" s="12"/>
      <c r="K14436" s="12"/>
      <c r="L14436" s="12"/>
      <c r="M14436" s="11"/>
      <c r="N14436" s="11"/>
      <c r="O14436" s="11"/>
      <c r="P14436" s="11"/>
    </row>
    <row r="14437" spans="8:16" x14ac:dyDescent="0.25">
      <c r="H14437" s="12"/>
      <c r="I14437" s="12"/>
      <c r="J14437" s="12"/>
      <c r="K14437" s="12"/>
      <c r="L14437" s="12"/>
      <c r="M14437" s="11"/>
      <c r="N14437" s="11"/>
      <c r="O14437" s="11"/>
      <c r="P14437" s="11"/>
    </row>
    <row r="14438" spans="8:16" x14ac:dyDescent="0.25">
      <c r="H14438" s="12"/>
      <c r="I14438" s="12"/>
      <c r="J14438" s="12"/>
      <c r="K14438" s="12"/>
      <c r="L14438" s="12"/>
      <c r="M14438" s="11"/>
      <c r="N14438" s="11"/>
      <c r="O14438" s="11"/>
      <c r="P14438" s="11"/>
    </row>
    <row r="14439" spans="8:16" x14ac:dyDescent="0.25">
      <c r="H14439" s="12"/>
      <c r="I14439" s="12"/>
      <c r="J14439" s="12"/>
      <c r="K14439" s="12"/>
      <c r="L14439" s="12"/>
      <c r="M14439" s="11"/>
      <c r="N14439" s="11"/>
      <c r="O14439" s="11"/>
      <c r="P14439" s="11"/>
    </row>
    <row r="14440" spans="8:16" x14ac:dyDescent="0.25">
      <c r="H14440" s="12"/>
      <c r="I14440" s="12"/>
      <c r="J14440" s="12"/>
      <c r="K14440" s="12"/>
      <c r="L14440" s="12"/>
      <c r="M14440" s="11"/>
      <c r="N14440" s="11"/>
      <c r="O14440" s="11"/>
      <c r="P14440" s="11"/>
    </row>
    <row r="14441" spans="8:16" x14ac:dyDescent="0.25">
      <c r="H14441" s="12"/>
      <c r="I14441" s="12"/>
      <c r="J14441" s="12"/>
      <c r="K14441" s="12"/>
      <c r="L14441" s="12"/>
      <c r="M14441" s="11"/>
      <c r="N14441" s="11"/>
      <c r="O14441" s="11"/>
      <c r="P14441" s="11"/>
    </row>
    <row r="14442" spans="8:16" x14ac:dyDescent="0.25">
      <c r="H14442" s="12"/>
      <c r="I14442" s="12"/>
      <c r="J14442" s="12"/>
      <c r="K14442" s="12"/>
      <c r="L14442" s="12"/>
      <c r="M14442" s="11"/>
      <c r="N14442" s="11"/>
      <c r="O14442" s="11"/>
      <c r="P14442" s="11"/>
    </row>
    <row r="14443" spans="8:16" x14ac:dyDescent="0.25">
      <c r="H14443" s="12"/>
      <c r="I14443" s="12"/>
      <c r="J14443" s="12"/>
      <c r="K14443" s="12"/>
      <c r="L14443" s="12"/>
      <c r="M14443" s="11"/>
      <c r="N14443" s="11"/>
      <c r="O14443" s="11"/>
      <c r="P14443" s="11"/>
    </row>
    <row r="14444" spans="8:16" x14ac:dyDescent="0.25">
      <c r="H14444" s="12"/>
      <c r="I14444" s="12"/>
      <c r="J14444" s="12"/>
      <c r="K14444" s="12"/>
      <c r="L14444" s="12"/>
      <c r="M14444" s="11"/>
      <c r="N14444" s="11"/>
      <c r="O14444" s="11"/>
      <c r="P14444" s="11"/>
    </row>
    <row r="14445" spans="8:16" x14ac:dyDescent="0.25">
      <c r="H14445" s="12"/>
      <c r="I14445" s="12"/>
      <c r="J14445" s="12"/>
      <c r="K14445" s="12"/>
      <c r="L14445" s="12"/>
      <c r="M14445" s="11"/>
      <c r="N14445" s="11"/>
      <c r="O14445" s="11"/>
      <c r="P14445" s="11"/>
    </row>
    <row r="14446" spans="8:16" x14ac:dyDescent="0.25">
      <c r="H14446" s="12"/>
      <c r="I14446" s="12"/>
      <c r="J14446" s="12"/>
      <c r="K14446" s="12"/>
      <c r="L14446" s="12"/>
      <c r="M14446" s="11"/>
      <c r="N14446" s="11"/>
      <c r="O14446" s="11"/>
      <c r="P14446" s="11"/>
    </row>
    <row r="14447" spans="8:16" x14ac:dyDescent="0.25">
      <c r="H14447" s="12"/>
      <c r="I14447" s="12"/>
      <c r="J14447" s="12"/>
      <c r="K14447" s="12"/>
      <c r="L14447" s="12"/>
      <c r="M14447" s="11"/>
      <c r="N14447" s="11"/>
      <c r="O14447" s="11"/>
      <c r="P14447" s="11"/>
    </row>
    <row r="14448" spans="8:16" x14ac:dyDescent="0.25">
      <c r="H14448" s="12"/>
      <c r="I14448" s="12"/>
      <c r="J14448" s="12"/>
      <c r="K14448" s="12"/>
      <c r="L14448" s="12"/>
      <c r="M14448" s="11"/>
      <c r="N14448" s="11"/>
      <c r="O14448" s="11"/>
      <c r="P14448" s="11"/>
    </row>
    <row r="14449" spans="8:16" x14ac:dyDescent="0.25">
      <c r="H14449" s="12"/>
      <c r="I14449" s="12"/>
      <c r="J14449" s="12"/>
      <c r="K14449" s="12"/>
      <c r="L14449" s="12"/>
      <c r="M14449" s="11"/>
      <c r="N14449" s="11"/>
      <c r="O14449" s="11"/>
      <c r="P14449" s="11"/>
    </row>
    <row r="14450" spans="8:16" x14ac:dyDescent="0.25">
      <c r="H14450" s="12"/>
      <c r="I14450" s="12"/>
      <c r="J14450" s="12"/>
      <c r="K14450" s="12"/>
      <c r="L14450" s="12"/>
      <c r="M14450" s="11"/>
      <c r="N14450" s="11"/>
      <c r="O14450" s="11"/>
      <c r="P14450" s="11"/>
    </row>
    <row r="14451" spans="8:16" x14ac:dyDescent="0.25">
      <c r="H14451" s="12"/>
      <c r="I14451" s="12"/>
      <c r="J14451" s="12"/>
      <c r="K14451" s="12"/>
      <c r="L14451" s="12"/>
      <c r="M14451" s="11"/>
      <c r="N14451" s="11"/>
      <c r="O14451" s="11"/>
      <c r="P14451" s="11"/>
    </row>
    <row r="14452" spans="8:16" x14ac:dyDescent="0.25">
      <c r="H14452" s="12"/>
      <c r="I14452" s="12"/>
      <c r="J14452" s="12"/>
      <c r="K14452" s="12"/>
      <c r="L14452" s="12"/>
      <c r="M14452" s="11"/>
      <c r="N14452" s="11"/>
      <c r="O14452" s="11"/>
      <c r="P14452" s="11"/>
    </row>
    <row r="14453" spans="8:16" x14ac:dyDescent="0.25">
      <c r="H14453" s="12"/>
      <c r="I14453" s="12"/>
      <c r="J14453" s="12"/>
      <c r="K14453" s="12"/>
      <c r="L14453" s="12"/>
      <c r="M14453" s="11"/>
      <c r="N14453" s="11"/>
      <c r="O14453" s="11"/>
      <c r="P14453" s="11"/>
    </row>
    <row r="14454" spans="8:16" x14ac:dyDescent="0.25">
      <c r="H14454" s="12"/>
      <c r="I14454" s="12"/>
      <c r="J14454" s="12"/>
      <c r="K14454" s="12"/>
      <c r="L14454" s="12"/>
      <c r="M14454" s="11"/>
      <c r="N14454" s="11"/>
      <c r="O14454" s="11"/>
      <c r="P14454" s="11"/>
    </row>
    <row r="14455" spans="8:16" x14ac:dyDescent="0.25">
      <c r="H14455" s="12"/>
      <c r="I14455" s="12"/>
      <c r="J14455" s="12"/>
      <c r="K14455" s="12"/>
      <c r="L14455" s="12"/>
      <c r="M14455" s="11"/>
      <c r="N14455" s="11"/>
      <c r="O14455" s="11"/>
      <c r="P14455" s="11"/>
    </row>
    <row r="14456" spans="8:16" x14ac:dyDescent="0.25">
      <c r="H14456" s="12"/>
      <c r="I14456" s="12"/>
      <c r="J14456" s="12"/>
      <c r="K14456" s="12"/>
      <c r="L14456" s="12"/>
      <c r="M14456" s="11"/>
      <c r="N14456" s="11"/>
      <c r="O14456" s="11"/>
      <c r="P14456" s="11"/>
    </row>
    <row r="14457" spans="8:16" x14ac:dyDescent="0.25">
      <c r="H14457" s="12"/>
      <c r="I14457" s="12"/>
      <c r="J14457" s="12"/>
      <c r="K14457" s="12"/>
      <c r="L14457" s="12"/>
      <c r="M14457" s="11"/>
      <c r="N14457" s="11"/>
      <c r="O14457" s="11"/>
      <c r="P14457" s="11"/>
    </row>
    <row r="14458" spans="8:16" x14ac:dyDescent="0.25">
      <c r="H14458" s="12"/>
      <c r="I14458" s="12"/>
      <c r="J14458" s="12"/>
      <c r="K14458" s="12"/>
      <c r="L14458" s="12"/>
      <c r="M14458" s="11"/>
      <c r="N14458" s="11"/>
      <c r="O14458" s="11"/>
      <c r="P14458" s="11"/>
    </row>
    <row r="14459" spans="8:16" x14ac:dyDescent="0.25">
      <c r="H14459" s="12"/>
      <c r="I14459" s="12"/>
      <c r="J14459" s="12"/>
      <c r="K14459" s="12"/>
      <c r="L14459" s="12"/>
      <c r="M14459" s="11"/>
      <c r="N14459" s="11"/>
      <c r="O14459" s="11"/>
      <c r="P14459" s="11"/>
    </row>
    <row r="14460" spans="8:16" x14ac:dyDescent="0.25">
      <c r="H14460" s="12"/>
      <c r="I14460" s="12"/>
      <c r="J14460" s="12"/>
      <c r="K14460" s="12"/>
      <c r="L14460" s="12"/>
      <c r="M14460" s="11"/>
      <c r="N14460" s="11"/>
      <c r="O14460" s="11"/>
      <c r="P14460" s="11"/>
    </row>
    <row r="14461" spans="8:16" x14ac:dyDescent="0.25">
      <c r="H14461" s="12"/>
      <c r="I14461" s="12"/>
      <c r="J14461" s="12"/>
      <c r="K14461" s="12"/>
      <c r="L14461" s="12"/>
      <c r="M14461" s="11"/>
      <c r="N14461" s="11"/>
      <c r="O14461" s="11"/>
      <c r="P14461" s="11"/>
    </row>
    <row r="14462" spans="8:16" x14ac:dyDescent="0.25">
      <c r="H14462" s="12"/>
      <c r="I14462" s="12"/>
      <c r="J14462" s="12"/>
      <c r="K14462" s="12"/>
      <c r="L14462" s="12"/>
      <c r="M14462" s="11"/>
      <c r="N14462" s="11"/>
      <c r="O14462" s="11"/>
      <c r="P14462" s="11"/>
    </row>
    <row r="14463" spans="8:16" x14ac:dyDescent="0.25">
      <c r="H14463" s="12"/>
      <c r="I14463" s="12"/>
      <c r="J14463" s="12"/>
      <c r="K14463" s="12"/>
      <c r="L14463" s="12"/>
      <c r="M14463" s="11"/>
      <c r="N14463" s="11"/>
      <c r="O14463" s="11"/>
      <c r="P14463" s="11"/>
    </row>
    <row r="14464" spans="8:16" x14ac:dyDescent="0.25">
      <c r="H14464" s="12"/>
      <c r="I14464" s="12"/>
      <c r="J14464" s="12"/>
      <c r="K14464" s="12"/>
      <c r="L14464" s="12"/>
      <c r="M14464" s="11"/>
      <c r="N14464" s="11"/>
      <c r="O14464" s="11"/>
      <c r="P14464" s="11"/>
    </row>
    <row r="14465" spans="8:16" x14ac:dyDescent="0.25">
      <c r="H14465" s="12"/>
      <c r="I14465" s="12"/>
      <c r="J14465" s="12"/>
      <c r="K14465" s="12"/>
      <c r="L14465" s="12"/>
      <c r="M14465" s="11"/>
      <c r="N14465" s="11"/>
      <c r="O14465" s="11"/>
      <c r="P14465" s="11"/>
    </row>
    <row r="14466" spans="8:16" x14ac:dyDescent="0.25">
      <c r="H14466" s="12"/>
      <c r="I14466" s="12"/>
      <c r="J14466" s="12"/>
      <c r="K14466" s="12"/>
      <c r="L14466" s="12"/>
      <c r="M14466" s="11"/>
      <c r="N14466" s="11"/>
      <c r="O14466" s="11"/>
      <c r="P14466" s="11"/>
    </row>
    <row r="14467" spans="8:16" x14ac:dyDescent="0.25">
      <c r="H14467" s="12"/>
      <c r="I14467" s="12"/>
      <c r="J14467" s="12"/>
      <c r="K14467" s="12"/>
      <c r="L14467" s="12"/>
      <c r="M14467" s="11"/>
      <c r="N14467" s="11"/>
      <c r="O14467" s="11"/>
      <c r="P14467" s="11"/>
    </row>
    <row r="14468" spans="8:16" x14ac:dyDescent="0.25">
      <c r="H14468" s="12"/>
      <c r="I14468" s="12"/>
      <c r="J14468" s="12"/>
      <c r="K14468" s="12"/>
      <c r="L14468" s="12"/>
      <c r="M14468" s="11"/>
      <c r="N14468" s="11"/>
      <c r="O14468" s="11"/>
      <c r="P14468" s="11"/>
    </row>
    <row r="14469" spans="8:16" x14ac:dyDescent="0.25">
      <c r="H14469" s="12"/>
      <c r="I14469" s="12"/>
      <c r="J14469" s="12"/>
      <c r="K14469" s="12"/>
      <c r="L14469" s="12"/>
      <c r="M14469" s="11"/>
      <c r="N14469" s="11"/>
      <c r="O14469" s="11"/>
      <c r="P14469" s="11"/>
    </row>
    <row r="14470" spans="8:16" x14ac:dyDescent="0.25">
      <c r="H14470" s="12"/>
      <c r="I14470" s="12"/>
      <c r="J14470" s="12"/>
      <c r="K14470" s="12"/>
      <c r="L14470" s="12"/>
      <c r="M14470" s="11"/>
      <c r="N14470" s="11"/>
      <c r="O14470" s="11"/>
      <c r="P14470" s="11"/>
    </row>
    <row r="14471" spans="8:16" x14ac:dyDescent="0.25">
      <c r="H14471" s="12"/>
      <c r="I14471" s="12"/>
      <c r="J14471" s="12"/>
      <c r="K14471" s="12"/>
      <c r="L14471" s="12"/>
      <c r="M14471" s="11"/>
      <c r="N14471" s="11"/>
      <c r="O14471" s="11"/>
      <c r="P14471" s="11"/>
    </row>
    <row r="14472" spans="8:16" x14ac:dyDescent="0.25">
      <c r="H14472" s="12"/>
      <c r="I14472" s="12"/>
      <c r="J14472" s="12"/>
      <c r="K14472" s="12"/>
      <c r="L14472" s="12"/>
      <c r="M14472" s="11"/>
      <c r="N14472" s="11"/>
      <c r="O14472" s="11"/>
      <c r="P14472" s="11"/>
    </row>
    <row r="14473" spans="8:16" x14ac:dyDescent="0.25">
      <c r="H14473" s="12"/>
      <c r="I14473" s="12"/>
      <c r="J14473" s="12"/>
      <c r="K14473" s="12"/>
      <c r="L14473" s="12"/>
      <c r="M14473" s="11"/>
      <c r="N14473" s="11"/>
      <c r="O14473" s="11"/>
      <c r="P14473" s="11"/>
    </row>
    <row r="14474" spans="8:16" x14ac:dyDescent="0.25">
      <c r="H14474" s="12"/>
      <c r="I14474" s="12"/>
      <c r="J14474" s="12"/>
      <c r="K14474" s="12"/>
      <c r="L14474" s="12"/>
      <c r="M14474" s="11"/>
      <c r="N14474" s="11"/>
      <c r="O14474" s="11"/>
      <c r="P14474" s="11"/>
    </row>
    <row r="14475" spans="8:16" x14ac:dyDescent="0.25">
      <c r="H14475" s="12"/>
      <c r="I14475" s="12"/>
      <c r="J14475" s="12"/>
      <c r="K14475" s="12"/>
      <c r="L14475" s="12"/>
      <c r="M14475" s="11"/>
      <c r="N14475" s="11"/>
      <c r="O14475" s="11"/>
      <c r="P14475" s="11"/>
    </row>
    <row r="14476" spans="8:16" x14ac:dyDescent="0.25">
      <c r="H14476" s="12"/>
      <c r="I14476" s="12"/>
      <c r="J14476" s="12"/>
      <c r="K14476" s="12"/>
      <c r="L14476" s="12"/>
      <c r="M14476" s="11"/>
      <c r="N14476" s="11"/>
      <c r="O14476" s="11"/>
      <c r="P14476" s="11"/>
    </row>
    <row r="14477" spans="8:16" x14ac:dyDescent="0.25">
      <c r="H14477" s="12"/>
      <c r="I14477" s="12"/>
      <c r="J14477" s="12"/>
      <c r="K14477" s="12"/>
      <c r="L14477" s="12"/>
      <c r="M14477" s="11"/>
      <c r="N14477" s="11"/>
      <c r="O14477" s="11"/>
      <c r="P14477" s="11"/>
    </row>
    <row r="14478" spans="8:16" x14ac:dyDescent="0.25">
      <c r="H14478" s="12"/>
      <c r="I14478" s="12"/>
      <c r="J14478" s="12"/>
      <c r="K14478" s="12"/>
      <c r="L14478" s="12"/>
      <c r="M14478" s="11"/>
      <c r="N14478" s="11"/>
      <c r="O14478" s="11"/>
      <c r="P14478" s="11"/>
    </row>
    <row r="14479" spans="8:16" x14ac:dyDescent="0.25">
      <c r="H14479" s="12"/>
      <c r="I14479" s="12"/>
      <c r="J14479" s="12"/>
      <c r="K14479" s="12"/>
      <c r="L14479" s="12"/>
      <c r="M14479" s="11"/>
      <c r="N14479" s="11"/>
      <c r="O14479" s="11"/>
      <c r="P14479" s="11"/>
    </row>
    <row r="14480" spans="8:16" x14ac:dyDescent="0.25">
      <c r="H14480" s="12"/>
      <c r="I14480" s="12"/>
      <c r="J14480" s="12"/>
      <c r="K14480" s="12"/>
      <c r="L14480" s="12"/>
      <c r="M14480" s="11"/>
      <c r="N14480" s="11"/>
      <c r="O14480" s="11"/>
      <c r="P14480" s="11"/>
    </row>
    <row r="14481" spans="8:16" x14ac:dyDescent="0.25">
      <c r="H14481" s="12"/>
      <c r="I14481" s="12"/>
      <c r="J14481" s="12"/>
      <c r="K14481" s="12"/>
      <c r="L14481" s="12"/>
      <c r="M14481" s="11"/>
      <c r="N14481" s="11"/>
      <c r="O14481" s="11"/>
      <c r="P14481" s="11"/>
    </row>
    <row r="14482" spans="8:16" x14ac:dyDescent="0.25">
      <c r="H14482" s="12"/>
      <c r="I14482" s="12"/>
      <c r="J14482" s="12"/>
      <c r="K14482" s="12"/>
      <c r="L14482" s="12"/>
      <c r="M14482" s="11"/>
      <c r="N14482" s="11"/>
      <c r="O14482" s="11"/>
      <c r="P14482" s="11"/>
    </row>
    <row r="14483" spans="8:16" x14ac:dyDescent="0.25">
      <c r="H14483" s="12"/>
      <c r="I14483" s="12"/>
      <c r="J14483" s="12"/>
      <c r="K14483" s="12"/>
      <c r="L14483" s="12"/>
      <c r="M14483" s="11"/>
      <c r="N14483" s="11"/>
      <c r="O14483" s="11"/>
      <c r="P14483" s="11"/>
    </row>
    <row r="14484" spans="8:16" x14ac:dyDescent="0.25">
      <c r="H14484" s="12"/>
      <c r="I14484" s="12"/>
      <c r="J14484" s="12"/>
      <c r="K14484" s="12"/>
      <c r="L14484" s="12"/>
      <c r="M14484" s="11"/>
      <c r="N14484" s="11"/>
      <c r="O14484" s="11"/>
      <c r="P14484" s="11"/>
    </row>
    <row r="14485" spans="8:16" x14ac:dyDescent="0.25">
      <c r="H14485" s="12"/>
      <c r="I14485" s="12"/>
      <c r="J14485" s="12"/>
      <c r="K14485" s="12"/>
      <c r="L14485" s="12"/>
      <c r="M14485" s="11"/>
      <c r="N14485" s="11"/>
      <c r="O14485" s="11"/>
      <c r="P14485" s="11"/>
    </row>
    <row r="14486" spans="8:16" x14ac:dyDescent="0.25">
      <c r="H14486" s="12"/>
      <c r="I14486" s="12"/>
      <c r="J14486" s="12"/>
      <c r="K14486" s="12"/>
      <c r="L14486" s="12"/>
      <c r="M14486" s="11"/>
      <c r="N14486" s="11"/>
      <c r="O14486" s="11"/>
      <c r="P14486" s="11"/>
    </row>
    <row r="14487" spans="8:16" x14ac:dyDescent="0.25">
      <c r="H14487" s="12"/>
      <c r="I14487" s="12"/>
      <c r="J14487" s="12"/>
      <c r="K14487" s="12"/>
      <c r="L14487" s="12"/>
      <c r="M14487" s="11"/>
      <c r="N14487" s="11"/>
      <c r="O14487" s="11"/>
      <c r="P14487" s="11"/>
    </row>
    <row r="14488" spans="8:16" x14ac:dyDescent="0.25">
      <c r="H14488" s="12"/>
      <c r="I14488" s="12"/>
      <c r="J14488" s="12"/>
      <c r="K14488" s="12"/>
      <c r="L14488" s="12"/>
      <c r="M14488" s="11"/>
      <c r="N14488" s="11"/>
      <c r="O14488" s="11"/>
      <c r="P14488" s="11"/>
    </row>
    <row r="14489" spans="8:16" x14ac:dyDescent="0.25">
      <c r="H14489" s="12"/>
      <c r="I14489" s="12"/>
      <c r="J14489" s="12"/>
      <c r="K14489" s="12"/>
      <c r="L14489" s="12"/>
      <c r="M14489" s="11"/>
      <c r="N14489" s="11"/>
      <c r="O14489" s="11"/>
      <c r="P14489" s="11"/>
    </row>
    <row r="14490" spans="8:16" x14ac:dyDescent="0.25">
      <c r="H14490" s="12"/>
      <c r="I14490" s="12"/>
      <c r="J14490" s="12"/>
      <c r="K14490" s="12"/>
      <c r="L14490" s="12"/>
      <c r="M14490" s="11"/>
      <c r="N14490" s="11"/>
      <c r="O14490" s="11"/>
      <c r="P14490" s="11"/>
    </row>
    <row r="14491" spans="8:16" x14ac:dyDescent="0.25">
      <c r="H14491" s="12"/>
      <c r="I14491" s="12"/>
      <c r="J14491" s="12"/>
      <c r="K14491" s="12"/>
      <c r="L14491" s="12"/>
      <c r="M14491" s="11"/>
      <c r="N14491" s="11"/>
      <c r="O14491" s="11"/>
      <c r="P14491" s="11"/>
    </row>
    <row r="14492" spans="8:16" x14ac:dyDescent="0.25">
      <c r="H14492" s="12"/>
      <c r="I14492" s="12"/>
      <c r="J14492" s="12"/>
      <c r="K14492" s="12"/>
      <c r="L14492" s="12"/>
      <c r="M14492" s="11"/>
      <c r="N14492" s="11"/>
      <c r="O14492" s="11"/>
      <c r="P14492" s="11"/>
    </row>
    <row r="14493" spans="8:16" x14ac:dyDescent="0.25">
      <c r="H14493" s="12"/>
      <c r="I14493" s="12"/>
      <c r="J14493" s="12"/>
      <c r="K14493" s="12"/>
      <c r="L14493" s="12"/>
      <c r="M14493" s="11"/>
      <c r="N14493" s="11"/>
      <c r="O14493" s="11"/>
      <c r="P14493" s="11"/>
    </row>
    <row r="14494" spans="8:16" x14ac:dyDescent="0.25">
      <c r="H14494" s="12"/>
      <c r="I14494" s="12"/>
      <c r="J14494" s="12"/>
      <c r="K14494" s="12"/>
      <c r="L14494" s="12"/>
      <c r="M14494" s="11"/>
      <c r="N14494" s="11"/>
      <c r="O14494" s="11"/>
      <c r="P14494" s="11"/>
    </row>
    <row r="14495" spans="8:16" x14ac:dyDescent="0.25">
      <c r="H14495" s="12"/>
      <c r="I14495" s="12"/>
      <c r="J14495" s="12"/>
      <c r="K14495" s="12"/>
      <c r="L14495" s="12"/>
      <c r="M14495" s="11"/>
      <c r="N14495" s="11"/>
      <c r="O14495" s="11"/>
      <c r="P14495" s="11"/>
    </row>
    <row r="14496" spans="8:16" x14ac:dyDescent="0.25">
      <c r="H14496" s="12"/>
      <c r="I14496" s="12"/>
      <c r="J14496" s="12"/>
      <c r="K14496" s="12"/>
      <c r="L14496" s="12"/>
      <c r="M14496" s="11"/>
      <c r="N14496" s="11"/>
      <c r="O14496" s="11"/>
      <c r="P14496" s="11"/>
    </row>
    <row r="14497" spans="8:16" x14ac:dyDescent="0.25">
      <c r="H14497" s="12"/>
      <c r="I14497" s="12"/>
      <c r="J14497" s="12"/>
      <c r="K14497" s="12"/>
      <c r="L14497" s="12"/>
      <c r="M14497" s="11"/>
      <c r="N14497" s="11"/>
      <c r="O14497" s="11"/>
      <c r="P14497" s="11"/>
    </row>
    <row r="14498" spans="8:16" x14ac:dyDescent="0.25">
      <c r="H14498" s="12"/>
      <c r="I14498" s="12"/>
      <c r="J14498" s="12"/>
      <c r="K14498" s="12"/>
      <c r="L14498" s="12"/>
      <c r="M14498" s="11"/>
      <c r="N14498" s="11"/>
      <c r="O14498" s="11"/>
      <c r="P14498" s="11"/>
    </row>
    <row r="14499" spans="8:16" x14ac:dyDescent="0.25">
      <c r="H14499" s="12"/>
      <c r="I14499" s="12"/>
      <c r="J14499" s="12"/>
      <c r="K14499" s="12"/>
      <c r="L14499" s="12"/>
      <c r="M14499" s="11"/>
      <c r="N14499" s="11"/>
      <c r="O14499" s="11"/>
      <c r="P14499" s="11"/>
    </row>
    <row r="14500" spans="8:16" x14ac:dyDescent="0.25">
      <c r="H14500" s="12"/>
      <c r="I14500" s="12"/>
      <c r="J14500" s="12"/>
      <c r="K14500" s="12"/>
      <c r="L14500" s="12"/>
      <c r="M14500" s="11"/>
      <c r="N14500" s="11"/>
      <c r="O14500" s="11"/>
      <c r="P14500" s="11"/>
    </row>
    <row r="14501" spans="8:16" x14ac:dyDescent="0.25">
      <c r="H14501" s="12"/>
      <c r="I14501" s="12"/>
      <c r="J14501" s="12"/>
      <c r="K14501" s="12"/>
      <c r="L14501" s="12"/>
      <c r="M14501" s="11"/>
      <c r="N14501" s="11"/>
      <c r="O14501" s="11"/>
      <c r="P14501" s="11"/>
    </row>
    <row r="14502" spans="8:16" x14ac:dyDescent="0.25">
      <c r="H14502" s="12"/>
      <c r="I14502" s="12"/>
      <c r="J14502" s="12"/>
      <c r="K14502" s="12"/>
      <c r="L14502" s="12"/>
      <c r="M14502" s="11"/>
      <c r="N14502" s="11"/>
      <c r="O14502" s="11"/>
      <c r="P14502" s="11"/>
    </row>
    <row r="14503" spans="8:16" x14ac:dyDescent="0.25">
      <c r="H14503" s="12"/>
      <c r="I14503" s="12"/>
      <c r="J14503" s="12"/>
      <c r="K14503" s="12"/>
      <c r="L14503" s="12"/>
      <c r="M14503" s="11"/>
      <c r="N14503" s="11"/>
      <c r="O14503" s="11"/>
      <c r="P14503" s="11"/>
    </row>
    <row r="14504" spans="8:16" x14ac:dyDescent="0.25">
      <c r="H14504" s="12"/>
      <c r="I14504" s="12"/>
      <c r="J14504" s="12"/>
      <c r="K14504" s="12"/>
      <c r="L14504" s="12"/>
      <c r="M14504" s="11"/>
      <c r="N14504" s="11"/>
      <c r="O14504" s="11"/>
      <c r="P14504" s="11"/>
    </row>
    <row r="14505" spans="8:16" x14ac:dyDescent="0.25">
      <c r="H14505" s="12"/>
      <c r="I14505" s="12"/>
      <c r="J14505" s="12"/>
      <c r="K14505" s="12"/>
      <c r="L14505" s="12"/>
      <c r="M14505" s="11"/>
      <c r="N14505" s="11"/>
      <c r="O14505" s="11"/>
      <c r="P14505" s="11"/>
    </row>
    <row r="14506" spans="8:16" x14ac:dyDescent="0.25">
      <c r="H14506" s="12"/>
      <c r="I14506" s="12"/>
      <c r="J14506" s="12"/>
      <c r="K14506" s="12"/>
      <c r="L14506" s="12"/>
      <c r="M14506" s="11"/>
      <c r="N14506" s="11"/>
      <c r="O14506" s="11"/>
      <c r="P14506" s="11"/>
    </row>
    <row r="14507" spans="8:16" x14ac:dyDescent="0.25">
      <c r="H14507" s="12"/>
      <c r="I14507" s="12"/>
      <c r="J14507" s="12"/>
      <c r="K14507" s="12"/>
      <c r="L14507" s="12"/>
      <c r="M14507" s="11"/>
      <c r="N14507" s="11"/>
      <c r="O14507" s="11"/>
      <c r="P14507" s="11"/>
    </row>
    <row r="14508" spans="8:16" x14ac:dyDescent="0.25">
      <c r="H14508" s="12"/>
      <c r="I14508" s="12"/>
      <c r="J14508" s="12"/>
      <c r="K14508" s="12"/>
      <c r="L14508" s="12"/>
      <c r="M14508" s="11"/>
      <c r="N14508" s="11"/>
      <c r="O14508" s="11"/>
      <c r="P14508" s="11"/>
    </row>
    <row r="14509" spans="8:16" x14ac:dyDescent="0.25">
      <c r="H14509" s="12"/>
      <c r="I14509" s="12"/>
      <c r="J14509" s="12"/>
      <c r="K14509" s="12"/>
      <c r="L14509" s="12"/>
      <c r="M14509" s="11"/>
      <c r="N14509" s="11"/>
      <c r="O14509" s="11"/>
      <c r="P14509" s="11"/>
    </row>
    <row r="14510" spans="8:16" x14ac:dyDescent="0.25">
      <c r="H14510" s="12"/>
      <c r="I14510" s="12"/>
      <c r="J14510" s="12"/>
      <c r="K14510" s="12"/>
      <c r="L14510" s="12"/>
      <c r="M14510" s="11"/>
      <c r="N14510" s="11"/>
      <c r="O14510" s="11"/>
      <c r="P14510" s="11"/>
    </row>
    <row r="14511" spans="8:16" x14ac:dyDescent="0.25">
      <c r="H14511" s="12"/>
      <c r="I14511" s="12"/>
      <c r="J14511" s="12"/>
      <c r="K14511" s="12"/>
      <c r="L14511" s="12"/>
      <c r="M14511" s="11"/>
      <c r="N14511" s="11"/>
      <c r="O14511" s="11"/>
      <c r="P14511" s="11"/>
    </row>
    <row r="14512" spans="8:16" x14ac:dyDescent="0.25">
      <c r="H14512" s="12"/>
      <c r="I14512" s="12"/>
      <c r="J14512" s="12"/>
      <c r="K14512" s="12"/>
      <c r="L14512" s="12"/>
      <c r="M14512" s="11"/>
      <c r="N14512" s="11"/>
      <c r="O14512" s="11"/>
      <c r="P14512" s="11"/>
    </row>
    <row r="14513" spans="8:16" x14ac:dyDescent="0.25">
      <c r="H14513" s="12"/>
      <c r="I14513" s="12"/>
      <c r="J14513" s="12"/>
      <c r="K14513" s="12"/>
      <c r="L14513" s="12"/>
      <c r="M14513" s="11"/>
      <c r="N14513" s="11"/>
      <c r="O14513" s="11"/>
      <c r="P14513" s="11"/>
    </row>
    <row r="14514" spans="8:16" x14ac:dyDescent="0.25">
      <c r="H14514" s="12"/>
      <c r="I14514" s="12"/>
      <c r="J14514" s="12"/>
      <c r="K14514" s="12"/>
      <c r="L14514" s="12"/>
      <c r="M14514" s="11"/>
      <c r="N14514" s="11"/>
      <c r="O14514" s="11"/>
      <c r="P14514" s="11"/>
    </row>
    <row r="14515" spans="8:16" x14ac:dyDescent="0.25">
      <c r="H14515" s="12"/>
      <c r="I14515" s="12"/>
      <c r="J14515" s="12"/>
      <c r="K14515" s="12"/>
      <c r="L14515" s="12"/>
      <c r="M14515" s="11"/>
      <c r="N14515" s="11"/>
      <c r="O14515" s="11"/>
      <c r="P14515" s="11"/>
    </row>
    <row r="14516" spans="8:16" x14ac:dyDescent="0.25">
      <c r="H14516" s="12"/>
      <c r="I14516" s="12"/>
      <c r="J14516" s="12"/>
      <c r="K14516" s="12"/>
      <c r="L14516" s="12"/>
      <c r="M14516" s="11"/>
      <c r="N14516" s="11"/>
      <c r="O14516" s="11"/>
      <c r="P14516" s="11"/>
    </row>
    <row r="14517" spans="8:16" x14ac:dyDescent="0.25">
      <c r="H14517" s="12"/>
      <c r="I14517" s="12"/>
      <c r="J14517" s="12"/>
      <c r="K14517" s="12"/>
      <c r="L14517" s="12"/>
      <c r="M14517" s="11"/>
      <c r="N14517" s="11"/>
      <c r="O14517" s="11"/>
      <c r="P14517" s="11"/>
    </row>
    <row r="14518" spans="8:16" x14ac:dyDescent="0.25">
      <c r="H14518" s="12"/>
      <c r="I14518" s="12"/>
      <c r="J14518" s="12"/>
      <c r="K14518" s="12"/>
      <c r="L14518" s="12"/>
      <c r="M14518" s="11"/>
      <c r="N14518" s="11"/>
      <c r="O14518" s="11"/>
      <c r="P14518" s="11"/>
    </row>
    <row r="14519" spans="8:16" x14ac:dyDescent="0.25">
      <c r="H14519" s="12"/>
      <c r="I14519" s="12"/>
      <c r="J14519" s="12"/>
      <c r="K14519" s="12"/>
      <c r="L14519" s="12"/>
      <c r="M14519" s="11"/>
      <c r="N14519" s="11"/>
      <c r="O14519" s="11"/>
      <c r="P14519" s="11"/>
    </row>
    <row r="14520" spans="8:16" x14ac:dyDescent="0.25">
      <c r="H14520" s="12"/>
      <c r="I14520" s="12"/>
      <c r="J14520" s="12"/>
      <c r="K14520" s="12"/>
      <c r="L14520" s="12"/>
      <c r="M14520" s="11"/>
      <c r="N14520" s="11"/>
      <c r="O14520" s="11"/>
      <c r="P14520" s="11"/>
    </row>
    <row r="14521" spans="8:16" x14ac:dyDescent="0.25">
      <c r="H14521" s="12"/>
      <c r="I14521" s="12"/>
      <c r="J14521" s="12"/>
      <c r="K14521" s="12"/>
      <c r="L14521" s="12"/>
      <c r="M14521" s="11"/>
      <c r="N14521" s="11"/>
      <c r="O14521" s="11"/>
      <c r="P14521" s="11"/>
    </row>
    <row r="14522" spans="8:16" x14ac:dyDescent="0.25">
      <c r="H14522" s="12"/>
      <c r="I14522" s="12"/>
      <c r="J14522" s="12"/>
      <c r="K14522" s="12"/>
      <c r="L14522" s="12"/>
      <c r="M14522" s="11"/>
      <c r="N14522" s="11"/>
      <c r="O14522" s="11"/>
      <c r="P14522" s="11"/>
    </row>
    <row r="14523" spans="8:16" x14ac:dyDescent="0.25">
      <c r="H14523" s="12"/>
      <c r="I14523" s="12"/>
      <c r="J14523" s="12"/>
      <c r="K14523" s="12"/>
      <c r="L14523" s="12"/>
      <c r="M14523" s="11"/>
      <c r="N14523" s="11"/>
      <c r="O14523" s="11"/>
      <c r="P14523" s="11"/>
    </row>
    <row r="14524" spans="8:16" x14ac:dyDescent="0.25">
      <c r="H14524" s="12"/>
      <c r="I14524" s="12"/>
      <c r="J14524" s="12"/>
      <c r="K14524" s="12"/>
      <c r="L14524" s="12"/>
      <c r="M14524" s="11"/>
      <c r="N14524" s="11"/>
      <c r="O14524" s="11"/>
      <c r="P14524" s="11"/>
    </row>
    <row r="14525" spans="8:16" x14ac:dyDescent="0.25">
      <c r="H14525" s="12"/>
      <c r="I14525" s="12"/>
      <c r="J14525" s="12"/>
      <c r="K14525" s="12"/>
      <c r="L14525" s="12"/>
      <c r="M14525" s="11"/>
      <c r="N14525" s="11"/>
      <c r="O14525" s="11"/>
      <c r="P14525" s="11"/>
    </row>
    <row r="14526" spans="8:16" x14ac:dyDescent="0.25">
      <c r="H14526" s="12"/>
      <c r="I14526" s="12"/>
      <c r="J14526" s="12"/>
      <c r="K14526" s="12"/>
      <c r="L14526" s="12"/>
      <c r="M14526" s="11"/>
      <c r="N14526" s="11"/>
      <c r="O14526" s="11"/>
      <c r="P14526" s="11"/>
    </row>
    <row r="14527" spans="8:16" x14ac:dyDescent="0.25">
      <c r="H14527" s="12"/>
      <c r="I14527" s="12"/>
      <c r="J14527" s="12"/>
      <c r="K14527" s="12"/>
      <c r="L14527" s="12"/>
      <c r="M14527" s="11"/>
      <c r="N14527" s="11"/>
      <c r="O14527" s="11"/>
      <c r="P14527" s="11"/>
    </row>
    <row r="14528" spans="8:16" x14ac:dyDescent="0.25">
      <c r="H14528" s="12"/>
      <c r="I14528" s="12"/>
      <c r="J14528" s="12"/>
      <c r="K14528" s="12"/>
      <c r="L14528" s="12"/>
      <c r="M14528" s="11"/>
      <c r="N14528" s="11"/>
      <c r="O14528" s="11"/>
      <c r="P14528" s="11"/>
    </row>
    <row r="14529" spans="8:16" x14ac:dyDescent="0.25">
      <c r="H14529" s="12"/>
      <c r="I14529" s="12"/>
      <c r="J14529" s="12"/>
      <c r="K14529" s="12"/>
      <c r="L14529" s="12"/>
      <c r="M14529" s="11"/>
      <c r="N14529" s="11"/>
      <c r="O14529" s="11"/>
      <c r="P14529" s="11"/>
    </row>
    <row r="14530" spans="8:16" x14ac:dyDescent="0.25">
      <c r="H14530" s="12"/>
      <c r="I14530" s="12"/>
      <c r="J14530" s="12"/>
      <c r="K14530" s="12"/>
      <c r="L14530" s="12"/>
      <c r="M14530" s="11"/>
      <c r="N14530" s="11"/>
      <c r="O14530" s="11"/>
      <c r="P14530" s="11"/>
    </row>
    <row r="14531" spans="8:16" x14ac:dyDescent="0.25">
      <c r="H14531" s="12"/>
      <c r="I14531" s="12"/>
      <c r="J14531" s="12"/>
      <c r="K14531" s="12"/>
      <c r="L14531" s="12"/>
      <c r="M14531" s="11"/>
      <c r="N14531" s="11"/>
      <c r="O14531" s="11"/>
      <c r="P14531" s="11"/>
    </row>
    <row r="14532" spans="8:16" x14ac:dyDescent="0.25">
      <c r="H14532" s="12"/>
      <c r="I14532" s="12"/>
      <c r="J14532" s="12"/>
      <c r="K14532" s="12"/>
      <c r="L14532" s="12"/>
      <c r="M14532" s="11"/>
      <c r="N14532" s="11"/>
      <c r="O14532" s="11"/>
      <c r="P14532" s="11"/>
    </row>
    <row r="14533" spans="8:16" x14ac:dyDescent="0.25">
      <c r="H14533" s="12"/>
      <c r="I14533" s="12"/>
      <c r="J14533" s="12"/>
      <c r="K14533" s="12"/>
      <c r="L14533" s="12"/>
      <c r="M14533" s="11"/>
      <c r="N14533" s="11"/>
      <c r="O14533" s="11"/>
      <c r="P14533" s="11"/>
    </row>
    <row r="14534" spans="8:16" x14ac:dyDescent="0.25">
      <c r="H14534" s="12"/>
      <c r="I14534" s="12"/>
      <c r="J14534" s="12"/>
      <c r="K14534" s="12"/>
      <c r="L14534" s="12"/>
      <c r="M14534" s="11"/>
      <c r="N14534" s="11"/>
      <c r="O14534" s="11"/>
      <c r="P14534" s="11"/>
    </row>
    <row r="14535" spans="8:16" x14ac:dyDescent="0.25">
      <c r="H14535" s="12"/>
      <c r="I14535" s="12"/>
      <c r="J14535" s="12"/>
      <c r="K14535" s="12"/>
      <c r="L14535" s="12"/>
      <c r="M14535" s="11"/>
      <c r="N14535" s="11"/>
      <c r="O14535" s="11"/>
      <c r="P14535" s="11"/>
    </row>
    <row r="14536" spans="8:16" x14ac:dyDescent="0.25">
      <c r="H14536" s="12"/>
      <c r="I14536" s="12"/>
      <c r="J14536" s="12"/>
      <c r="K14536" s="12"/>
      <c r="L14536" s="12"/>
      <c r="M14536" s="11"/>
      <c r="N14536" s="11"/>
      <c r="O14536" s="11"/>
      <c r="P14536" s="11"/>
    </row>
    <row r="14537" spans="8:16" x14ac:dyDescent="0.25">
      <c r="H14537" s="12"/>
      <c r="I14537" s="12"/>
      <c r="J14537" s="12"/>
      <c r="K14537" s="12"/>
      <c r="L14537" s="12"/>
      <c r="M14537" s="11"/>
      <c r="N14537" s="11"/>
      <c r="O14537" s="11"/>
      <c r="P14537" s="11"/>
    </row>
    <row r="14538" spans="8:16" x14ac:dyDescent="0.25">
      <c r="H14538" s="12"/>
      <c r="I14538" s="12"/>
      <c r="J14538" s="12"/>
      <c r="K14538" s="12"/>
      <c r="L14538" s="12"/>
      <c r="M14538" s="11"/>
      <c r="N14538" s="11"/>
      <c r="O14538" s="11"/>
      <c r="P14538" s="11"/>
    </row>
    <row r="14539" spans="8:16" x14ac:dyDescent="0.25">
      <c r="H14539" s="12"/>
      <c r="I14539" s="12"/>
      <c r="J14539" s="12"/>
      <c r="K14539" s="12"/>
      <c r="L14539" s="12"/>
      <c r="M14539" s="11"/>
      <c r="N14539" s="11"/>
      <c r="O14539" s="11"/>
      <c r="P14539" s="11"/>
    </row>
    <row r="14540" spans="8:16" x14ac:dyDescent="0.25">
      <c r="H14540" s="12"/>
      <c r="I14540" s="12"/>
      <c r="J14540" s="12"/>
      <c r="K14540" s="12"/>
      <c r="L14540" s="12"/>
      <c r="M14540" s="11"/>
      <c r="N14540" s="11"/>
      <c r="O14540" s="11"/>
      <c r="P14540" s="11"/>
    </row>
    <row r="14541" spans="8:16" x14ac:dyDescent="0.25">
      <c r="H14541" s="12"/>
      <c r="I14541" s="12"/>
      <c r="J14541" s="12"/>
      <c r="K14541" s="12"/>
      <c r="L14541" s="12"/>
      <c r="M14541" s="11"/>
      <c r="N14541" s="11"/>
      <c r="O14541" s="11"/>
      <c r="P14541" s="11"/>
    </row>
    <row r="14542" spans="8:16" x14ac:dyDescent="0.25">
      <c r="H14542" s="12"/>
      <c r="I14542" s="12"/>
      <c r="J14542" s="12"/>
      <c r="K14542" s="12"/>
      <c r="L14542" s="12"/>
      <c r="M14542" s="11"/>
      <c r="N14542" s="11"/>
      <c r="O14542" s="11"/>
      <c r="P14542" s="11"/>
    </row>
    <row r="14543" spans="8:16" x14ac:dyDescent="0.25">
      <c r="H14543" s="12"/>
      <c r="I14543" s="12"/>
      <c r="J14543" s="12"/>
      <c r="K14543" s="12"/>
      <c r="L14543" s="12"/>
      <c r="M14543" s="11"/>
      <c r="N14543" s="11"/>
      <c r="O14543" s="11"/>
      <c r="P14543" s="11"/>
    </row>
    <row r="14544" spans="8:16" x14ac:dyDescent="0.25">
      <c r="H14544" s="12"/>
      <c r="I14544" s="12"/>
      <c r="J14544" s="12"/>
      <c r="K14544" s="12"/>
      <c r="L14544" s="12"/>
      <c r="M14544" s="11"/>
      <c r="N14544" s="11"/>
      <c r="O14544" s="11"/>
      <c r="P14544" s="11"/>
    </row>
    <row r="14545" spans="8:16" x14ac:dyDescent="0.25">
      <c r="H14545" s="12"/>
      <c r="I14545" s="12"/>
      <c r="J14545" s="12"/>
      <c r="K14545" s="12"/>
      <c r="L14545" s="12"/>
      <c r="M14545" s="11"/>
      <c r="N14545" s="11"/>
      <c r="O14545" s="11"/>
      <c r="P14545" s="11"/>
    </row>
    <row r="14546" spans="8:16" x14ac:dyDescent="0.25">
      <c r="H14546" s="12"/>
      <c r="I14546" s="12"/>
      <c r="J14546" s="12"/>
      <c r="K14546" s="12"/>
      <c r="L14546" s="12"/>
      <c r="M14546" s="11"/>
      <c r="N14546" s="11"/>
      <c r="O14546" s="11"/>
      <c r="P14546" s="11"/>
    </row>
    <row r="14547" spans="8:16" x14ac:dyDescent="0.25">
      <c r="H14547" s="12"/>
      <c r="I14547" s="12"/>
      <c r="J14547" s="12"/>
      <c r="K14547" s="12"/>
      <c r="L14547" s="12"/>
      <c r="M14547" s="11"/>
      <c r="N14547" s="11"/>
      <c r="O14547" s="11"/>
      <c r="P14547" s="11"/>
    </row>
    <row r="14548" spans="8:16" x14ac:dyDescent="0.25">
      <c r="H14548" s="12"/>
      <c r="I14548" s="12"/>
      <c r="J14548" s="12"/>
      <c r="K14548" s="12"/>
      <c r="L14548" s="12"/>
      <c r="M14548" s="11"/>
      <c r="N14548" s="11"/>
      <c r="O14548" s="11"/>
      <c r="P14548" s="11"/>
    </row>
    <row r="14549" spans="8:16" x14ac:dyDescent="0.25">
      <c r="H14549" s="12"/>
      <c r="I14549" s="12"/>
      <c r="J14549" s="12"/>
      <c r="K14549" s="12"/>
      <c r="L14549" s="12"/>
      <c r="M14549" s="11"/>
      <c r="N14549" s="11"/>
      <c r="O14549" s="11"/>
      <c r="P14549" s="11"/>
    </row>
    <row r="14550" spans="8:16" x14ac:dyDescent="0.25">
      <c r="H14550" s="12"/>
      <c r="I14550" s="12"/>
      <c r="J14550" s="12"/>
      <c r="K14550" s="12"/>
      <c r="L14550" s="12"/>
      <c r="M14550" s="11"/>
      <c r="N14550" s="11"/>
      <c r="O14550" s="11"/>
      <c r="P14550" s="11"/>
    </row>
    <row r="14551" spans="8:16" x14ac:dyDescent="0.25">
      <c r="H14551" s="12"/>
      <c r="I14551" s="12"/>
      <c r="J14551" s="12"/>
      <c r="K14551" s="12"/>
      <c r="L14551" s="12"/>
      <c r="M14551" s="11"/>
      <c r="N14551" s="11"/>
      <c r="O14551" s="11"/>
      <c r="P14551" s="11"/>
    </row>
    <row r="14552" spans="8:16" x14ac:dyDescent="0.25">
      <c r="H14552" s="12"/>
      <c r="I14552" s="12"/>
      <c r="J14552" s="12"/>
      <c r="K14552" s="12"/>
      <c r="L14552" s="12"/>
      <c r="M14552" s="11"/>
      <c r="N14552" s="11"/>
      <c r="O14552" s="11"/>
      <c r="P14552" s="11"/>
    </row>
    <row r="14553" spans="8:16" x14ac:dyDescent="0.25">
      <c r="H14553" s="12"/>
      <c r="I14553" s="12"/>
      <c r="J14553" s="12"/>
      <c r="K14553" s="12"/>
      <c r="L14553" s="12"/>
      <c r="M14553" s="11"/>
      <c r="N14553" s="11"/>
      <c r="O14553" s="11"/>
      <c r="P14553" s="11"/>
    </row>
    <row r="14554" spans="8:16" x14ac:dyDescent="0.25">
      <c r="H14554" s="12"/>
      <c r="I14554" s="12"/>
      <c r="J14554" s="12"/>
      <c r="K14554" s="12"/>
      <c r="L14554" s="12"/>
      <c r="M14554" s="11"/>
      <c r="N14554" s="11"/>
      <c r="O14554" s="11"/>
      <c r="P14554" s="11"/>
    </row>
    <row r="14555" spans="8:16" x14ac:dyDescent="0.25">
      <c r="H14555" s="12"/>
      <c r="I14555" s="12"/>
      <c r="J14555" s="12"/>
      <c r="K14555" s="12"/>
      <c r="L14555" s="12"/>
      <c r="M14555" s="11"/>
      <c r="N14555" s="11"/>
      <c r="O14555" s="11"/>
      <c r="P14555" s="11"/>
    </row>
    <row r="14556" spans="8:16" x14ac:dyDescent="0.25">
      <c r="H14556" s="12"/>
      <c r="I14556" s="12"/>
      <c r="J14556" s="12"/>
      <c r="K14556" s="12"/>
      <c r="L14556" s="12"/>
      <c r="M14556" s="11"/>
      <c r="N14556" s="11"/>
      <c r="O14556" s="11"/>
      <c r="P14556" s="11"/>
    </row>
    <row r="14557" spans="8:16" x14ac:dyDescent="0.25">
      <c r="H14557" s="12"/>
      <c r="I14557" s="12"/>
      <c r="J14557" s="12"/>
      <c r="K14557" s="12"/>
      <c r="L14557" s="12"/>
      <c r="M14557" s="11"/>
      <c r="N14557" s="11"/>
      <c r="O14557" s="11"/>
      <c r="P14557" s="11"/>
    </row>
    <row r="14558" spans="8:16" x14ac:dyDescent="0.25">
      <c r="H14558" s="12"/>
      <c r="I14558" s="12"/>
      <c r="J14558" s="12"/>
      <c r="K14558" s="12"/>
      <c r="L14558" s="12"/>
      <c r="M14558" s="11"/>
      <c r="N14558" s="11"/>
      <c r="O14558" s="11"/>
      <c r="P14558" s="11"/>
    </row>
    <row r="14559" spans="8:16" x14ac:dyDescent="0.25">
      <c r="H14559" s="12"/>
      <c r="I14559" s="12"/>
      <c r="J14559" s="12"/>
      <c r="K14559" s="12"/>
      <c r="L14559" s="12"/>
      <c r="M14559" s="11"/>
      <c r="N14559" s="11"/>
      <c r="O14559" s="11"/>
      <c r="P14559" s="11"/>
    </row>
    <row r="14560" spans="8:16" x14ac:dyDescent="0.25">
      <c r="H14560" s="12"/>
      <c r="I14560" s="12"/>
      <c r="J14560" s="12"/>
      <c r="K14560" s="12"/>
      <c r="L14560" s="12"/>
      <c r="M14560" s="11"/>
      <c r="N14560" s="11"/>
      <c r="O14560" s="11"/>
      <c r="P14560" s="11"/>
    </row>
    <row r="14561" spans="8:16" x14ac:dyDescent="0.25">
      <c r="H14561" s="12"/>
      <c r="I14561" s="12"/>
      <c r="J14561" s="12"/>
      <c r="K14561" s="12"/>
      <c r="L14561" s="12"/>
      <c r="M14561" s="11"/>
      <c r="N14561" s="11"/>
      <c r="O14561" s="11"/>
      <c r="P14561" s="11"/>
    </row>
    <row r="14562" spans="8:16" x14ac:dyDescent="0.25">
      <c r="H14562" s="12"/>
      <c r="I14562" s="12"/>
      <c r="J14562" s="12"/>
      <c r="K14562" s="12"/>
      <c r="L14562" s="12"/>
      <c r="M14562" s="11"/>
      <c r="N14562" s="11"/>
      <c r="O14562" s="11"/>
      <c r="P14562" s="11"/>
    </row>
    <row r="14563" spans="8:16" x14ac:dyDescent="0.25">
      <c r="H14563" s="12"/>
      <c r="I14563" s="12"/>
      <c r="J14563" s="12"/>
      <c r="K14563" s="12"/>
      <c r="L14563" s="12"/>
      <c r="M14563" s="11"/>
      <c r="N14563" s="11"/>
      <c r="O14563" s="11"/>
      <c r="P14563" s="11"/>
    </row>
    <row r="14564" spans="8:16" x14ac:dyDescent="0.25">
      <c r="H14564" s="12"/>
      <c r="I14564" s="12"/>
      <c r="J14564" s="12"/>
      <c r="K14564" s="12"/>
      <c r="L14564" s="12"/>
      <c r="M14564" s="11"/>
      <c r="N14564" s="11"/>
      <c r="O14564" s="11"/>
      <c r="P14564" s="11"/>
    </row>
    <row r="14565" spans="8:16" x14ac:dyDescent="0.25">
      <c r="H14565" s="12"/>
      <c r="I14565" s="12"/>
      <c r="J14565" s="12"/>
      <c r="K14565" s="12"/>
      <c r="L14565" s="12"/>
      <c r="M14565" s="11"/>
      <c r="N14565" s="11"/>
      <c r="O14565" s="11"/>
      <c r="P14565" s="11"/>
    </row>
    <row r="14566" spans="8:16" x14ac:dyDescent="0.25">
      <c r="H14566" s="12"/>
      <c r="I14566" s="12"/>
      <c r="J14566" s="12"/>
      <c r="K14566" s="12"/>
      <c r="L14566" s="12"/>
      <c r="M14566" s="11"/>
      <c r="N14566" s="11"/>
      <c r="O14566" s="11"/>
      <c r="P14566" s="11"/>
    </row>
    <row r="14567" spans="8:16" x14ac:dyDescent="0.25">
      <c r="H14567" s="12"/>
      <c r="I14567" s="12"/>
      <c r="J14567" s="12"/>
      <c r="K14567" s="12"/>
      <c r="L14567" s="12"/>
      <c r="M14567" s="11"/>
      <c r="N14567" s="11"/>
      <c r="O14567" s="11"/>
      <c r="P14567" s="11"/>
    </row>
    <row r="14568" spans="8:16" x14ac:dyDescent="0.25">
      <c r="H14568" s="12"/>
      <c r="I14568" s="12"/>
      <c r="J14568" s="12"/>
      <c r="K14568" s="12"/>
      <c r="L14568" s="12"/>
      <c r="M14568" s="11"/>
      <c r="N14568" s="11"/>
      <c r="O14568" s="11"/>
      <c r="P14568" s="11"/>
    </row>
    <row r="14569" spans="8:16" x14ac:dyDescent="0.25">
      <c r="H14569" s="12"/>
      <c r="I14569" s="12"/>
      <c r="J14569" s="12"/>
      <c r="K14569" s="12"/>
      <c r="L14569" s="12"/>
      <c r="M14569" s="11"/>
      <c r="N14569" s="11"/>
      <c r="O14569" s="11"/>
      <c r="P14569" s="11"/>
    </row>
    <row r="14570" spans="8:16" x14ac:dyDescent="0.25">
      <c r="H14570" s="12"/>
      <c r="I14570" s="12"/>
      <c r="J14570" s="12"/>
      <c r="K14570" s="12"/>
      <c r="L14570" s="12"/>
      <c r="M14570" s="11"/>
      <c r="N14570" s="11"/>
      <c r="O14570" s="11"/>
      <c r="P14570" s="11"/>
    </row>
    <row r="14571" spans="8:16" x14ac:dyDescent="0.25">
      <c r="H14571" s="12"/>
      <c r="I14571" s="12"/>
      <c r="J14571" s="12"/>
      <c r="K14571" s="12"/>
      <c r="L14571" s="12"/>
      <c r="M14571" s="11"/>
      <c r="N14571" s="11"/>
      <c r="O14571" s="11"/>
      <c r="P14571" s="11"/>
    </row>
    <row r="14572" spans="8:16" x14ac:dyDescent="0.25">
      <c r="H14572" s="12"/>
      <c r="I14572" s="12"/>
      <c r="J14572" s="12"/>
      <c r="K14572" s="12"/>
      <c r="L14572" s="12"/>
      <c r="M14572" s="11"/>
      <c r="N14572" s="11"/>
      <c r="O14572" s="11"/>
      <c r="P14572" s="11"/>
    </row>
    <row r="14573" spans="8:16" x14ac:dyDescent="0.25">
      <c r="H14573" s="12"/>
      <c r="I14573" s="12"/>
      <c r="J14573" s="12"/>
      <c r="K14573" s="12"/>
      <c r="L14573" s="12"/>
      <c r="M14573" s="11"/>
      <c r="N14573" s="11"/>
      <c r="O14573" s="11"/>
      <c r="P14573" s="11"/>
    </row>
    <row r="14574" spans="8:16" x14ac:dyDescent="0.25">
      <c r="H14574" s="12"/>
      <c r="I14574" s="12"/>
      <c r="J14574" s="12"/>
      <c r="K14574" s="12"/>
      <c r="L14574" s="12"/>
      <c r="M14574" s="11"/>
      <c r="N14574" s="11"/>
      <c r="O14574" s="11"/>
      <c r="P14574" s="11"/>
    </row>
    <row r="14575" spans="8:16" x14ac:dyDescent="0.25">
      <c r="H14575" s="12"/>
      <c r="I14575" s="12"/>
      <c r="J14575" s="12"/>
      <c r="K14575" s="12"/>
      <c r="L14575" s="12"/>
      <c r="M14575" s="11"/>
      <c r="N14575" s="11"/>
      <c r="O14575" s="11"/>
      <c r="P14575" s="11"/>
    </row>
    <row r="14576" spans="8:16" x14ac:dyDescent="0.25">
      <c r="H14576" s="12"/>
      <c r="I14576" s="12"/>
      <c r="J14576" s="12"/>
      <c r="K14576" s="12"/>
      <c r="L14576" s="12"/>
      <c r="M14576" s="11"/>
      <c r="N14576" s="11"/>
      <c r="O14576" s="11"/>
      <c r="P14576" s="11"/>
    </row>
    <row r="14577" spans="8:16" x14ac:dyDescent="0.25">
      <c r="H14577" s="12"/>
      <c r="I14577" s="12"/>
      <c r="J14577" s="12"/>
      <c r="K14577" s="12"/>
      <c r="L14577" s="12"/>
      <c r="M14577" s="11"/>
      <c r="N14577" s="11"/>
      <c r="O14577" s="11"/>
      <c r="P14577" s="11"/>
    </row>
    <row r="14578" spans="8:16" x14ac:dyDescent="0.25">
      <c r="H14578" s="12"/>
      <c r="I14578" s="12"/>
      <c r="J14578" s="12"/>
      <c r="K14578" s="12"/>
      <c r="L14578" s="12"/>
      <c r="M14578" s="11"/>
      <c r="N14578" s="11"/>
      <c r="O14578" s="11"/>
      <c r="P14578" s="11"/>
    </row>
    <row r="14579" spans="8:16" x14ac:dyDescent="0.25">
      <c r="H14579" s="12"/>
      <c r="I14579" s="12"/>
      <c r="J14579" s="12"/>
      <c r="K14579" s="12"/>
      <c r="L14579" s="12"/>
      <c r="M14579" s="11"/>
      <c r="N14579" s="11"/>
      <c r="O14579" s="11"/>
      <c r="P14579" s="11"/>
    </row>
    <row r="14580" spans="8:16" x14ac:dyDescent="0.25">
      <c r="H14580" s="12"/>
      <c r="I14580" s="12"/>
      <c r="J14580" s="12"/>
      <c r="K14580" s="12"/>
      <c r="L14580" s="12"/>
      <c r="M14580" s="11"/>
      <c r="N14580" s="11"/>
      <c r="O14580" s="11"/>
      <c r="P14580" s="11"/>
    </row>
    <row r="14581" spans="8:16" x14ac:dyDescent="0.25">
      <c r="H14581" s="12"/>
      <c r="I14581" s="12"/>
      <c r="J14581" s="12"/>
      <c r="K14581" s="12"/>
      <c r="L14581" s="12"/>
      <c r="M14581" s="11"/>
      <c r="N14581" s="11"/>
      <c r="O14581" s="11"/>
      <c r="P14581" s="11"/>
    </row>
    <row r="14582" spans="8:16" x14ac:dyDescent="0.25">
      <c r="H14582" s="12"/>
      <c r="I14582" s="12"/>
      <c r="J14582" s="12"/>
      <c r="K14582" s="12"/>
      <c r="L14582" s="12"/>
      <c r="M14582" s="11"/>
      <c r="N14582" s="11"/>
      <c r="O14582" s="11"/>
      <c r="P14582" s="11"/>
    </row>
    <row r="14583" spans="8:16" x14ac:dyDescent="0.25">
      <c r="H14583" s="12"/>
      <c r="I14583" s="12"/>
      <c r="J14583" s="12"/>
      <c r="K14583" s="12"/>
      <c r="L14583" s="12"/>
      <c r="M14583" s="11"/>
      <c r="N14583" s="11"/>
      <c r="O14583" s="11"/>
      <c r="P14583" s="11"/>
    </row>
    <row r="14584" spans="8:16" x14ac:dyDescent="0.25">
      <c r="H14584" s="12"/>
      <c r="I14584" s="12"/>
      <c r="J14584" s="12"/>
      <c r="K14584" s="12"/>
      <c r="L14584" s="12"/>
      <c r="M14584" s="11"/>
      <c r="N14584" s="11"/>
      <c r="O14584" s="11"/>
      <c r="P14584" s="11"/>
    </row>
    <row r="14585" spans="8:16" x14ac:dyDescent="0.25">
      <c r="H14585" s="12"/>
      <c r="I14585" s="12"/>
      <c r="J14585" s="12"/>
      <c r="K14585" s="12"/>
      <c r="L14585" s="12"/>
      <c r="M14585" s="11"/>
      <c r="N14585" s="11"/>
      <c r="O14585" s="11"/>
      <c r="P14585" s="11"/>
    </row>
    <row r="14586" spans="8:16" x14ac:dyDescent="0.25">
      <c r="H14586" s="12"/>
      <c r="I14586" s="12"/>
      <c r="J14586" s="12"/>
      <c r="K14586" s="12"/>
      <c r="L14586" s="12"/>
      <c r="M14586" s="11"/>
      <c r="N14586" s="11"/>
      <c r="O14586" s="11"/>
      <c r="P14586" s="11"/>
    </row>
    <row r="14587" spans="8:16" x14ac:dyDescent="0.25">
      <c r="H14587" s="12"/>
      <c r="I14587" s="12"/>
      <c r="J14587" s="12"/>
      <c r="K14587" s="12"/>
      <c r="L14587" s="12"/>
      <c r="M14587" s="11"/>
      <c r="N14587" s="11"/>
      <c r="O14587" s="11"/>
      <c r="P14587" s="11"/>
    </row>
    <row r="14588" spans="8:16" x14ac:dyDescent="0.25">
      <c r="H14588" s="12"/>
      <c r="I14588" s="12"/>
      <c r="J14588" s="12"/>
      <c r="K14588" s="12"/>
      <c r="L14588" s="12"/>
      <c r="M14588" s="11"/>
      <c r="N14588" s="11"/>
      <c r="O14588" s="11"/>
      <c r="P14588" s="11"/>
    </row>
    <row r="14589" spans="8:16" x14ac:dyDescent="0.25">
      <c r="H14589" s="12"/>
      <c r="I14589" s="12"/>
      <c r="J14589" s="12"/>
      <c r="K14589" s="12"/>
      <c r="L14589" s="12"/>
      <c r="M14589" s="11"/>
      <c r="N14589" s="11"/>
      <c r="O14589" s="11"/>
      <c r="P14589" s="11"/>
    </row>
    <row r="14590" spans="8:16" x14ac:dyDescent="0.25">
      <c r="H14590" s="12"/>
      <c r="I14590" s="12"/>
      <c r="J14590" s="12"/>
      <c r="K14590" s="12"/>
      <c r="L14590" s="12"/>
      <c r="M14590" s="11"/>
      <c r="N14590" s="11"/>
      <c r="O14590" s="11"/>
      <c r="P14590" s="11"/>
    </row>
    <row r="14591" spans="8:16" x14ac:dyDescent="0.25">
      <c r="H14591" s="12"/>
      <c r="I14591" s="12"/>
      <c r="J14591" s="12"/>
      <c r="K14591" s="12"/>
      <c r="L14591" s="12"/>
      <c r="M14591" s="11"/>
      <c r="N14591" s="11"/>
      <c r="O14591" s="11"/>
      <c r="P14591" s="11"/>
    </row>
    <row r="14592" spans="8:16" x14ac:dyDescent="0.25">
      <c r="H14592" s="12"/>
      <c r="I14592" s="12"/>
      <c r="J14592" s="12"/>
      <c r="K14592" s="12"/>
      <c r="L14592" s="12"/>
      <c r="M14592" s="11"/>
      <c r="N14592" s="11"/>
      <c r="O14592" s="11"/>
      <c r="P14592" s="11"/>
    </row>
    <row r="14593" spans="8:16" x14ac:dyDescent="0.25">
      <c r="H14593" s="12"/>
      <c r="I14593" s="12"/>
      <c r="J14593" s="12"/>
      <c r="K14593" s="12"/>
      <c r="L14593" s="12"/>
      <c r="M14593" s="11"/>
      <c r="N14593" s="11"/>
      <c r="O14593" s="11"/>
      <c r="P14593" s="11"/>
    </row>
    <row r="14594" spans="8:16" x14ac:dyDescent="0.25">
      <c r="H14594" s="12"/>
      <c r="I14594" s="12"/>
      <c r="J14594" s="12"/>
      <c r="K14594" s="12"/>
      <c r="L14594" s="12"/>
      <c r="M14594" s="11"/>
      <c r="N14594" s="11"/>
      <c r="O14594" s="11"/>
      <c r="P14594" s="11"/>
    </row>
    <row r="14595" spans="8:16" x14ac:dyDescent="0.25">
      <c r="H14595" s="12"/>
      <c r="I14595" s="12"/>
      <c r="J14595" s="12"/>
      <c r="K14595" s="12"/>
      <c r="L14595" s="12"/>
      <c r="M14595" s="11"/>
      <c r="N14595" s="11"/>
      <c r="O14595" s="11"/>
      <c r="P14595" s="11"/>
    </row>
    <row r="14596" spans="8:16" x14ac:dyDescent="0.25">
      <c r="H14596" s="12"/>
      <c r="I14596" s="12"/>
      <c r="J14596" s="12"/>
      <c r="K14596" s="12"/>
      <c r="L14596" s="12"/>
      <c r="M14596" s="11"/>
      <c r="N14596" s="11"/>
      <c r="O14596" s="11"/>
      <c r="P14596" s="11"/>
    </row>
    <row r="14597" spans="8:16" x14ac:dyDescent="0.25">
      <c r="H14597" s="12"/>
      <c r="I14597" s="12"/>
      <c r="J14597" s="12"/>
      <c r="K14597" s="12"/>
      <c r="L14597" s="12"/>
      <c r="M14597" s="11"/>
      <c r="N14597" s="11"/>
      <c r="O14597" s="11"/>
      <c r="P14597" s="11"/>
    </row>
    <row r="14598" spans="8:16" x14ac:dyDescent="0.25">
      <c r="H14598" s="12"/>
      <c r="I14598" s="12"/>
      <c r="J14598" s="12"/>
      <c r="K14598" s="12"/>
      <c r="L14598" s="12"/>
      <c r="M14598" s="11"/>
      <c r="N14598" s="11"/>
      <c r="O14598" s="11"/>
      <c r="P14598" s="11"/>
    </row>
    <row r="14599" spans="8:16" x14ac:dyDescent="0.25">
      <c r="H14599" s="12"/>
      <c r="I14599" s="12"/>
      <c r="J14599" s="12"/>
      <c r="K14599" s="12"/>
      <c r="L14599" s="12"/>
      <c r="M14599" s="11"/>
      <c r="N14599" s="11"/>
      <c r="O14599" s="11"/>
      <c r="P14599" s="11"/>
    </row>
    <row r="14600" spans="8:16" x14ac:dyDescent="0.25">
      <c r="H14600" s="12"/>
      <c r="I14600" s="12"/>
      <c r="J14600" s="12"/>
      <c r="K14600" s="12"/>
      <c r="L14600" s="12"/>
      <c r="M14600" s="11"/>
      <c r="N14600" s="11"/>
      <c r="O14600" s="11"/>
      <c r="P14600" s="11"/>
    </row>
    <row r="14601" spans="8:16" x14ac:dyDescent="0.25">
      <c r="H14601" s="12"/>
      <c r="I14601" s="12"/>
      <c r="J14601" s="12"/>
      <c r="K14601" s="12"/>
      <c r="L14601" s="12"/>
      <c r="M14601" s="11"/>
      <c r="N14601" s="11"/>
      <c r="O14601" s="11"/>
      <c r="P14601" s="11"/>
    </row>
    <row r="14602" spans="8:16" x14ac:dyDescent="0.25">
      <c r="H14602" s="12"/>
      <c r="I14602" s="12"/>
      <c r="J14602" s="12"/>
      <c r="K14602" s="12"/>
      <c r="L14602" s="12"/>
      <c r="M14602" s="11"/>
      <c r="N14602" s="11"/>
      <c r="O14602" s="11"/>
      <c r="P14602" s="11"/>
    </row>
    <row r="14603" spans="8:16" x14ac:dyDescent="0.25">
      <c r="H14603" s="12"/>
      <c r="I14603" s="12"/>
      <c r="J14603" s="12"/>
      <c r="K14603" s="12"/>
      <c r="L14603" s="12"/>
      <c r="M14603" s="11"/>
      <c r="N14603" s="11"/>
      <c r="O14603" s="11"/>
      <c r="P14603" s="11"/>
    </row>
    <row r="14604" spans="8:16" x14ac:dyDescent="0.25">
      <c r="H14604" s="12"/>
      <c r="I14604" s="12"/>
      <c r="J14604" s="12"/>
      <c r="K14604" s="12"/>
      <c r="L14604" s="12"/>
      <c r="M14604" s="11"/>
      <c r="N14604" s="11"/>
      <c r="O14604" s="11"/>
      <c r="P14604" s="11"/>
    </row>
    <row r="14605" spans="8:16" x14ac:dyDescent="0.25">
      <c r="H14605" s="12"/>
      <c r="I14605" s="12"/>
      <c r="J14605" s="12"/>
      <c r="K14605" s="12"/>
      <c r="L14605" s="12"/>
      <c r="M14605" s="11"/>
      <c r="N14605" s="11"/>
      <c r="O14605" s="11"/>
      <c r="P14605" s="11"/>
    </row>
    <row r="14606" spans="8:16" x14ac:dyDescent="0.25">
      <c r="H14606" s="12"/>
      <c r="I14606" s="12"/>
      <c r="J14606" s="12"/>
      <c r="K14606" s="12"/>
      <c r="L14606" s="12"/>
      <c r="M14606" s="11"/>
      <c r="N14606" s="11"/>
      <c r="O14606" s="11"/>
      <c r="P14606" s="11"/>
    </row>
    <row r="14607" spans="8:16" x14ac:dyDescent="0.25">
      <c r="H14607" s="12"/>
      <c r="I14607" s="12"/>
      <c r="J14607" s="12"/>
      <c r="K14607" s="12"/>
      <c r="L14607" s="12"/>
      <c r="M14607" s="11"/>
      <c r="N14607" s="11"/>
      <c r="O14607" s="11"/>
      <c r="P14607" s="11"/>
    </row>
    <row r="14608" spans="8:16" x14ac:dyDescent="0.25">
      <c r="H14608" s="12"/>
      <c r="I14608" s="12"/>
      <c r="J14608" s="12"/>
      <c r="K14608" s="12"/>
      <c r="L14608" s="12"/>
      <c r="M14608" s="11"/>
      <c r="N14608" s="11"/>
      <c r="O14608" s="11"/>
      <c r="P14608" s="11"/>
    </row>
    <row r="14609" spans="8:16" x14ac:dyDescent="0.25">
      <c r="H14609" s="12"/>
      <c r="I14609" s="12"/>
      <c r="J14609" s="12"/>
      <c r="K14609" s="12"/>
      <c r="L14609" s="12"/>
      <c r="M14609" s="11"/>
      <c r="N14609" s="11"/>
      <c r="O14609" s="11"/>
      <c r="P14609" s="11"/>
    </row>
    <row r="14610" spans="8:16" x14ac:dyDescent="0.25">
      <c r="H14610" s="12"/>
      <c r="I14610" s="12"/>
      <c r="J14610" s="12"/>
      <c r="K14610" s="12"/>
      <c r="L14610" s="12"/>
      <c r="M14610" s="11"/>
      <c r="N14610" s="11"/>
      <c r="O14610" s="11"/>
      <c r="P14610" s="11"/>
    </row>
    <row r="14611" spans="8:16" x14ac:dyDescent="0.25">
      <c r="H14611" s="12"/>
      <c r="I14611" s="12"/>
      <c r="J14611" s="12"/>
      <c r="K14611" s="12"/>
      <c r="L14611" s="12"/>
      <c r="M14611" s="11"/>
      <c r="N14611" s="11"/>
      <c r="O14611" s="11"/>
      <c r="P14611" s="11"/>
    </row>
    <row r="14612" spans="8:16" x14ac:dyDescent="0.25">
      <c r="H14612" s="12"/>
      <c r="I14612" s="12"/>
      <c r="J14612" s="12"/>
      <c r="K14612" s="12"/>
      <c r="L14612" s="12"/>
      <c r="M14612" s="11"/>
      <c r="N14612" s="11"/>
      <c r="O14612" s="11"/>
      <c r="P14612" s="11"/>
    </row>
    <row r="14613" spans="8:16" x14ac:dyDescent="0.25">
      <c r="H14613" s="12"/>
      <c r="I14613" s="12"/>
      <c r="J14613" s="12"/>
      <c r="K14613" s="12"/>
      <c r="L14613" s="12"/>
      <c r="M14613" s="11"/>
      <c r="N14613" s="11"/>
      <c r="O14613" s="11"/>
      <c r="P14613" s="11"/>
    </row>
    <row r="14614" spans="8:16" x14ac:dyDescent="0.25">
      <c r="H14614" s="12"/>
      <c r="I14614" s="12"/>
      <c r="J14614" s="12"/>
      <c r="K14614" s="12"/>
      <c r="L14614" s="12"/>
      <c r="M14614" s="11"/>
      <c r="N14614" s="11"/>
      <c r="O14614" s="11"/>
      <c r="P14614" s="11"/>
    </row>
    <row r="14615" spans="8:16" x14ac:dyDescent="0.25">
      <c r="H14615" s="12"/>
      <c r="I14615" s="12"/>
      <c r="J14615" s="12"/>
      <c r="K14615" s="12"/>
      <c r="L14615" s="12"/>
      <c r="M14615" s="11"/>
      <c r="N14615" s="11"/>
      <c r="O14615" s="11"/>
      <c r="P14615" s="11"/>
    </row>
    <row r="14616" spans="8:16" x14ac:dyDescent="0.25">
      <c r="H14616" s="12"/>
      <c r="I14616" s="12"/>
      <c r="J14616" s="12"/>
      <c r="K14616" s="12"/>
      <c r="L14616" s="12"/>
      <c r="M14616" s="11"/>
      <c r="N14616" s="11"/>
      <c r="O14616" s="11"/>
      <c r="P14616" s="11"/>
    </row>
    <row r="14617" spans="8:16" x14ac:dyDescent="0.25">
      <c r="H14617" s="12"/>
      <c r="I14617" s="12"/>
      <c r="J14617" s="12"/>
      <c r="K14617" s="12"/>
      <c r="L14617" s="12"/>
      <c r="M14617" s="11"/>
      <c r="N14617" s="11"/>
      <c r="O14617" s="11"/>
      <c r="P14617" s="11"/>
    </row>
    <row r="14618" spans="8:16" x14ac:dyDescent="0.25">
      <c r="H14618" s="12"/>
      <c r="I14618" s="12"/>
      <c r="J14618" s="12"/>
      <c r="K14618" s="12"/>
      <c r="L14618" s="12"/>
      <c r="M14618" s="11"/>
      <c r="N14618" s="11"/>
      <c r="O14618" s="11"/>
      <c r="P14618" s="11"/>
    </row>
    <row r="14619" spans="8:16" x14ac:dyDescent="0.25">
      <c r="H14619" s="12"/>
      <c r="I14619" s="12"/>
      <c r="J14619" s="12"/>
      <c r="K14619" s="12"/>
      <c r="L14619" s="12"/>
      <c r="M14619" s="11"/>
      <c r="N14619" s="11"/>
      <c r="O14619" s="11"/>
      <c r="P14619" s="11"/>
    </row>
    <row r="14620" spans="8:16" x14ac:dyDescent="0.25">
      <c r="H14620" s="12"/>
      <c r="I14620" s="12"/>
      <c r="J14620" s="12"/>
      <c r="K14620" s="12"/>
      <c r="L14620" s="12"/>
      <c r="M14620" s="11"/>
      <c r="N14620" s="11"/>
      <c r="O14620" s="11"/>
      <c r="P14620" s="11"/>
    </row>
    <row r="14621" spans="8:16" x14ac:dyDescent="0.25">
      <c r="H14621" s="12"/>
      <c r="I14621" s="12"/>
      <c r="J14621" s="12"/>
      <c r="K14621" s="12"/>
      <c r="L14621" s="12"/>
      <c r="M14621" s="11"/>
      <c r="N14621" s="11"/>
      <c r="O14621" s="11"/>
      <c r="P14621" s="11"/>
    </row>
    <row r="14622" spans="8:16" x14ac:dyDescent="0.25">
      <c r="H14622" s="12"/>
      <c r="I14622" s="12"/>
      <c r="J14622" s="12"/>
      <c r="K14622" s="12"/>
      <c r="L14622" s="12"/>
      <c r="M14622" s="11"/>
      <c r="N14622" s="11"/>
      <c r="O14622" s="11"/>
      <c r="P14622" s="11"/>
    </row>
    <row r="14623" spans="8:16" x14ac:dyDescent="0.25">
      <c r="H14623" s="12"/>
      <c r="I14623" s="12"/>
      <c r="J14623" s="12"/>
      <c r="K14623" s="12"/>
      <c r="L14623" s="12"/>
      <c r="M14623" s="11"/>
      <c r="N14623" s="11"/>
      <c r="O14623" s="11"/>
      <c r="P14623" s="11"/>
    </row>
    <row r="14624" spans="8:16" x14ac:dyDescent="0.25">
      <c r="H14624" s="12"/>
      <c r="I14624" s="12"/>
      <c r="J14624" s="12"/>
      <c r="K14624" s="12"/>
      <c r="L14624" s="12"/>
      <c r="M14624" s="11"/>
      <c r="N14624" s="11"/>
      <c r="O14624" s="11"/>
      <c r="P14624" s="11"/>
    </row>
    <row r="14625" spans="8:16" x14ac:dyDescent="0.25">
      <c r="H14625" s="12"/>
      <c r="I14625" s="12"/>
      <c r="J14625" s="12"/>
      <c r="K14625" s="12"/>
      <c r="L14625" s="12"/>
      <c r="M14625" s="11"/>
      <c r="N14625" s="11"/>
      <c r="O14625" s="11"/>
      <c r="P14625" s="11"/>
    </row>
    <row r="14626" spans="8:16" x14ac:dyDescent="0.25">
      <c r="H14626" s="12"/>
      <c r="I14626" s="12"/>
      <c r="J14626" s="12"/>
      <c r="K14626" s="12"/>
      <c r="L14626" s="12"/>
      <c r="M14626" s="11"/>
      <c r="N14626" s="11"/>
      <c r="O14626" s="11"/>
      <c r="P14626" s="11"/>
    </row>
    <row r="14627" spans="8:16" x14ac:dyDescent="0.25">
      <c r="H14627" s="12"/>
      <c r="I14627" s="12"/>
      <c r="J14627" s="12"/>
      <c r="K14627" s="12"/>
      <c r="L14627" s="12"/>
      <c r="M14627" s="11"/>
      <c r="N14627" s="11"/>
      <c r="O14627" s="11"/>
      <c r="P14627" s="11"/>
    </row>
    <row r="14628" spans="8:16" x14ac:dyDescent="0.25">
      <c r="H14628" s="12"/>
      <c r="I14628" s="12"/>
      <c r="J14628" s="12"/>
      <c r="K14628" s="12"/>
      <c r="L14628" s="12"/>
      <c r="M14628" s="11"/>
      <c r="N14628" s="11"/>
      <c r="O14628" s="11"/>
      <c r="P14628" s="11"/>
    </row>
    <row r="14629" spans="8:16" x14ac:dyDescent="0.25">
      <c r="H14629" s="12"/>
      <c r="I14629" s="12"/>
      <c r="J14629" s="12"/>
      <c r="K14629" s="12"/>
      <c r="L14629" s="12"/>
      <c r="M14629" s="11"/>
      <c r="N14629" s="11"/>
      <c r="O14629" s="11"/>
      <c r="P14629" s="11"/>
    </row>
    <row r="14630" spans="8:16" x14ac:dyDescent="0.25">
      <c r="H14630" s="12"/>
      <c r="I14630" s="12"/>
      <c r="J14630" s="12"/>
      <c r="K14630" s="12"/>
      <c r="L14630" s="12"/>
      <c r="M14630" s="11"/>
      <c r="N14630" s="11"/>
      <c r="O14630" s="11"/>
      <c r="P14630" s="11"/>
    </row>
    <row r="14631" spans="8:16" x14ac:dyDescent="0.25">
      <c r="H14631" s="12"/>
      <c r="I14631" s="12"/>
      <c r="J14631" s="12"/>
      <c r="K14631" s="12"/>
      <c r="L14631" s="12"/>
      <c r="M14631" s="11"/>
      <c r="N14631" s="11"/>
      <c r="O14631" s="11"/>
      <c r="P14631" s="11"/>
    </row>
    <row r="14632" spans="8:16" x14ac:dyDescent="0.25">
      <c r="H14632" s="12"/>
      <c r="I14632" s="12"/>
      <c r="J14632" s="12"/>
      <c r="K14632" s="12"/>
      <c r="L14632" s="12"/>
      <c r="M14632" s="11"/>
      <c r="N14632" s="11"/>
      <c r="O14632" s="11"/>
      <c r="P14632" s="11"/>
    </row>
    <row r="14633" spans="8:16" x14ac:dyDescent="0.25">
      <c r="H14633" s="12"/>
      <c r="I14633" s="12"/>
      <c r="J14633" s="12"/>
      <c r="K14633" s="12"/>
      <c r="L14633" s="12"/>
      <c r="M14633" s="11"/>
      <c r="N14633" s="11"/>
      <c r="O14633" s="11"/>
      <c r="P14633" s="11"/>
    </row>
    <row r="14634" spans="8:16" x14ac:dyDescent="0.25">
      <c r="H14634" s="12"/>
      <c r="I14634" s="12"/>
      <c r="J14634" s="12"/>
      <c r="K14634" s="12"/>
      <c r="L14634" s="12"/>
      <c r="M14634" s="11"/>
      <c r="N14634" s="11"/>
      <c r="O14634" s="11"/>
      <c r="P14634" s="11"/>
    </row>
    <row r="14635" spans="8:16" x14ac:dyDescent="0.25">
      <c r="H14635" s="12"/>
      <c r="I14635" s="12"/>
      <c r="J14635" s="12"/>
      <c r="K14635" s="12"/>
      <c r="L14635" s="12"/>
      <c r="M14635" s="11"/>
      <c r="N14635" s="11"/>
      <c r="O14635" s="11"/>
      <c r="P14635" s="11"/>
    </row>
    <row r="14636" spans="8:16" x14ac:dyDescent="0.25">
      <c r="H14636" s="12"/>
      <c r="I14636" s="12"/>
      <c r="J14636" s="12"/>
      <c r="K14636" s="12"/>
      <c r="L14636" s="12"/>
      <c r="M14636" s="11"/>
      <c r="N14636" s="11"/>
      <c r="O14636" s="11"/>
      <c r="P14636" s="11"/>
    </row>
    <row r="14637" spans="8:16" x14ac:dyDescent="0.25">
      <c r="H14637" s="12"/>
      <c r="I14637" s="12"/>
      <c r="J14637" s="12"/>
      <c r="K14637" s="12"/>
      <c r="L14637" s="12"/>
      <c r="M14637" s="11"/>
      <c r="N14637" s="11"/>
      <c r="O14637" s="11"/>
      <c r="P14637" s="11"/>
    </row>
    <row r="14638" spans="8:16" x14ac:dyDescent="0.25">
      <c r="H14638" s="12"/>
      <c r="I14638" s="12"/>
      <c r="J14638" s="12"/>
      <c r="K14638" s="12"/>
      <c r="L14638" s="12"/>
      <c r="M14638" s="11"/>
      <c r="N14638" s="11"/>
      <c r="O14638" s="11"/>
      <c r="P14638" s="11"/>
    </row>
    <row r="14639" spans="8:16" x14ac:dyDescent="0.25">
      <c r="H14639" s="12"/>
      <c r="I14639" s="12"/>
      <c r="J14639" s="12"/>
      <c r="K14639" s="12"/>
      <c r="L14639" s="12"/>
      <c r="M14639" s="11"/>
      <c r="N14639" s="11"/>
      <c r="O14639" s="11"/>
      <c r="P14639" s="11"/>
    </row>
    <row r="14640" spans="8:16" x14ac:dyDescent="0.25">
      <c r="H14640" s="12"/>
      <c r="I14640" s="12"/>
      <c r="J14640" s="12"/>
      <c r="K14640" s="12"/>
      <c r="L14640" s="12"/>
      <c r="M14640" s="11"/>
      <c r="N14640" s="11"/>
      <c r="O14640" s="11"/>
      <c r="P14640" s="11"/>
    </row>
    <row r="14641" spans="8:16" x14ac:dyDescent="0.25">
      <c r="H14641" s="12"/>
      <c r="I14641" s="12"/>
      <c r="J14641" s="12"/>
      <c r="K14641" s="12"/>
      <c r="L14641" s="12"/>
      <c r="M14641" s="11"/>
      <c r="N14641" s="11"/>
      <c r="O14641" s="11"/>
      <c r="P14641" s="11"/>
    </row>
    <row r="14642" spans="8:16" x14ac:dyDescent="0.25">
      <c r="H14642" s="12"/>
      <c r="I14642" s="12"/>
      <c r="J14642" s="12"/>
      <c r="K14642" s="12"/>
      <c r="L14642" s="12"/>
      <c r="M14642" s="11"/>
      <c r="N14642" s="11"/>
      <c r="O14642" s="11"/>
      <c r="P14642" s="11"/>
    </row>
    <row r="14643" spans="8:16" x14ac:dyDescent="0.25">
      <c r="H14643" s="12"/>
      <c r="I14643" s="12"/>
      <c r="J14643" s="12"/>
      <c r="K14643" s="12"/>
      <c r="L14643" s="12"/>
      <c r="M14643" s="11"/>
      <c r="N14643" s="11"/>
      <c r="O14643" s="11"/>
      <c r="P14643" s="11"/>
    </row>
    <row r="14644" spans="8:16" x14ac:dyDescent="0.25">
      <c r="H14644" s="12"/>
      <c r="I14644" s="12"/>
      <c r="J14644" s="12"/>
      <c r="K14644" s="12"/>
      <c r="L14644" s="12"/>
      <c r="M14644" s="11"/>
      <c r="N14644" s="11"/>
      <c r="O14644" s="11"/>
      <c r="P14644" s="11"/>
    </row>
    <row r="14645" spans="8:16" x14ac:dyDescent="0.25">
      <c r="H14645" s="12"/>
      <c r="I14645" s="12"/>
      <c r="J14645" s="12"/>
      <c r="K14645" s="12"/>
      <c r="L14645" s="12"/>
      <c r="M14645" s="11"/>
      <c r="N14645" s="11"/>
      <c r="O14645" s="11"/>
      <c r="P14645" s="11"/>
    </row>
    <row r="14646" spans="8:16" x14ac:dyDescent="0.25">
      <c r="H14646" s="12"/>
      <c r="I14646" s="12"/>
      <c r="J14646" s="12"/>
      <c r="K14646" s="12"/>
      <c r="L14646" s="12"/>
      <c r="M14646" s="11"/>
      <c r="N14646" s="11"/>
      <c r="O14646" s="11"/>
      <c r="P14646" s="11"/>
    </row>
    <row r="14647" spans="8:16" x14ac:dyDescent="0.25">
      <c r="H14647" s="12"/>
      <c r="I14647" s="12"/>
      <c r="J14647" s="12"/>
      <c r="K14647" s="12"/>
      <c r="L14647" s="12"/>
      <c r="M14647" s="11"/>
      <c r="N14647" s="11"/>
      <c r="O14647" s="11"/>
      <c r="P14647" s="11"/>
    </row>
    <row r="14648" spans="8:16" x14ac:dyDescent="0.25">
      <c r="H14648" s="12"/>
      <c r="I14648" s="12"/>
      <c r="J14648" s="12"/>
      <c r="K14648" s="12"/>
      <c r="L14648" s="12"/>
      <c r="M14648" s="11"/>
      <c r="N14648" s="11"/>
      <c r="O14648" s="11"/>
      <c r="P14648" s="11"/>
    </row>
    <row r="14649" spans="8:16" x14ac:dyDescent="0.25">
      <c r="H14649" s="12"/>
      <c r="I14649" s="12"/>
      <c r="J14649" s="12"/>
      <c r="K14649" s="12"/>
      <c r="L14649" s="12"/>
      <c r="M14649" s="11"/>
      <c r="N14649" s="11"/>
      <c r="O14649" s="11"/>
      <c r="P14649" s="11"/>
    </row>
    <row r="14650" spans="8:16" x14ac:dyDescent="0.25">
      <c r="H14650" s="12"/>
      <c r="I14650" s="12"/>
      <c r="J14650" s="12"/>
      <c r="K14650" s="12"/>
      <c r="L14650" s="12"/>
      <c r="M14650" s="11"/>
      <c r="N14650" s="11"/>
      <c r="O14650" s="11"/>
      <c r="P14650" s="11"/>
    </row>
    <row r="14651" spans="8:16" x14ac:dyDescent="0.25">
      <c r="H14651" s="12"/>
      <c r="I14651" s="12"/>
      <c r="J14651" s="12"/>
      <c r="K14651" s="12"/>
      <c r="L14651" s="12"/>
      <c r="M14651" s="11"/>
      <c r="N14651" s="11"/>
      <c r="O14651" s="11"/>
      <c r="P14651" s="11"/>
    </row>
    <row r="14652" spans="8:16" x14ac:dyDescent="0.25">
      <c r="H14652" s="12"/>
      <c r="I14652" s="12"/>
      <c r="J14652" s="12"/>
      <c r="K14652" s="12"/>
      <c r="L14652" s="12"/>
      <c r="M14652" s="11"/>
      <c r="N14652" s="11"/>
      <c r="O14652" s="11"/>
      <c r="P14652" s="11"/>
    </row>
    <row r="14653" spans="8:16" x14ac:dyDescent="0.25">
      <c r="H14653" s="12"/>
      <c r="I14653" s="12"/>
      <c r="J14653" s="12"/>
      <c r="K14653" s="12"/>
      <c r="L14653" s="12"/>
      <c r="M14653" s="11"/>
      <c r="N14653" s="11"/>
      <c r="O14653" s="11"/>
      <c r="P14653" s="11"/>
    </row>
    <row r="14654" spans="8:16" x14ac:dyDescent="0.25">
      <c r="H14654" s="12"/>
      <c r="I14654" s="12"/>
      <c r="J14654" s="12"/>
      <c r="K14654" s="12"/>
      <c r="L14654" s="12"/>
      <c r="M14654" s="11"/>
      <c r="N14654" s="11"/>
      <c r="O14654" s="11"/>
      <c r="P14654" s="11"/>
    </row>
    <row r="14655" spans="8:16" x14ac:dyDescent="0.25">
      <c r="H14655" s="12"/>
      <c r="I14655" s="12"/>
      <c r="J14655" s="12"/>
      <c r="K14655" s="12"/>
      <c r="L14655" s="12"/>
      <c r="M14655" s="11"/>
      <c r="N14655" s="11"/>
      <c r="O14655" s="11"/>
      <c r="P14655" s="11"/>
    </row>
    <row r="14656" spans="8:16" x14ac:dyDescent="0.25">
      <c r="H14656" s="12"/>
      <c r="I14656" s="12"/>
      <c r="J14656" s="12"/>
      <c r="K14656" s="12"/>
      <c r="L14656" s="12"/>
      <c r="M14656" s="11"/>
      <c r="N14656" s="11"/>
      <c r="O14656" s="11"/>
      <c r="P14656" s="11"/>
    </row>
    <row r="14657" spans="8:16" x14ac:dyDescent="0.25">
      <c r="H14657" s="12"/>
      <c r="I14657" s="12"/>
      <c r="J14657" s="12"/>
      <c r="K14657" s="12"/>
      <c r="L14657" s="12"/>
      <c r="M14657" s="11"/>
      <c r="N14657" s="11"/>
      <c r="O14657" s="11"/>
      <c r="P14657" s="11"/>
    </row>
    <row r="14658" spans="8:16" x14ac:dyDescent="0.25">
      <c r="H14658" s="12"/>
      <c r="I14658" s="12"/>
      <c r="J14658" s="12"/>
      <c r="K14658" s="12"/>
      <c r="L14658" s="12"/>
      <c r="M14658" s="11"/>
      <c r="N14658" s="11"/>
      <c r="O14658" s="11"/>
      <c r="P14658" s="11"/>
    </row>
    <row r="14659" spans="8:16" x14ac:dyDescent="0.25">
      <c r="H14659" s="12"/>
      <c r="I14659" s="12"/>
      <c r="J14659" s="12"/>
      <c r="K14659" s="12"/>
      <c r="L14659" s="12"/>
      <c r="M14659" s="11"/>
      <c r="N14659" s="11"/>
      <c r="O14659" s="11"/>
      <c r="P14659" s="11"/>
    </row>
    <row r="14660" spans="8:16" x14ac:dyDescent="0.25">
      <c r="H14660" s="12"/>
      <c r="I14660" s="12"/>
      <c r="J14660" s="12"/>
      <c r="K14660" s="12"/>
      <c r="L14660" s="12"/>
      <c r="M14660" s="11"/>
      <c r="N14660" s="11"/>
      <c r="O14660" s="11"/>
      <c r="P14660" s="11"/>
    </row>
    <row r="14661" spans="8:16" x14ac:dyDescent="0.25">
      <c r="H14661" s="12"/>
      <c r="I14661" s="12"/>
      <c r="J14661" s="12"/>
      <c r="K14661" s="12"/>
      <c r="L14661" s="12"/>
      <c r="M14661" s="11"/>
      <c r="N14661" s="11"/>
      <c r="O14661" s="11"/>
      <c r="P14661" s="11"/>
    </row>
    <row r="14662" spans="8:16" x14ac:dyDescent="0.25">
      <c r="H14662" s="12"/>
      <c r="I14662" s="12"/>
      <c r="J14662" s="12"/>
      <c r="K14662" s="12"/>
      <c r="L14662" s="12"/>
      <c r="M14662" s="11"/>
      <c r="N14662" s="11"/>
      <c r="O14662" s="11"/>
      <c r="P14662" s="11"/>
    </row>
    <row r="14663" spans="8:16" x14ac:dyDescent="0.25">
      <c r="H14663" s="12"/>
      <c r="I14663" s="12"/>
      <c r="J14663" s="12"/>
      <c r="K14663" s="12"/>
      <c r="L14663" s="12"/>
      <c r="M14663" s="11"/>
      <c r="N14663" s="11"/>
      <c r="O14663" s="11"/>
      <c r="P14663" s="11"/>
    </row>
    <row r="14664" spans="8:16" x14ac:dyDescent="0.25">
      <c r="H14664" s="12"/>
      <c r="I14664" s="12"/>
      <c r="J14664" s="12"/>
      <c r="K14664" s="12"/>
      <c r="L14664" s="12"/>
      <c r="M14664" s="11"/>
      <c r="N14664" s="11"/>
      <c r="O14664" s="11"/>
      <c r="P14664" s="11"/>
    </row>
    <row r="14665" spans="8:16" x14ac:dyDescent="0.25">
      <c r="H14665" s="12"/>
      <c r="I14665" s="12"/>
      <c r="J14665" s="12"/>
      <c r="K14665" s="12"/>
      <c r="L14665" s="12"/>
      <c r="M14665" s="11"/>
      <c r="N14665" s="11"/>
      <c r="O14665" s="11"/>
      <c r="P14665" s="11"/>
    </row>
    <row r="14666" spans="8:16" x14ac:dyDescent="0.25">
      <c r="H14666" s="12"/>
      <c r="I14666" s="12"/>
      <c r="J14666" s="12"/>
      <c r="K14666" s="12"/>
      <c r="L14666" s="12"/>
      <c r="M14666" s="11"/>
      <c r="N14666" s="11"/>
      <c r="O14666" s="11"/>
      <c r="P14666" s="11"/>
    </row>
    <row r="14667" spans="8:16" x14ac:dyDescent="0.25">
      <c r="H14667" s="12"/>
      <c r="I14667" s="12"/>
      <c r="J14667" s="12"/>
      <c r="K14667" s="12"/>
      <c r="L14667" s="12"/>
      <c r="M14667" s="11"/>
      <c r="N14667" s="11"/>
      <c r="O14667" s="11"/>
      <c r="P14667" s="11"/>
    </row>
    <row r="14668" spans="8:16" x14ac:dyDescent="0.25">
      <c r="H14668" s="12"/>
      <c r="I14668" s="12"/>
      <c r="J14668" s="12"/>
      <c r="K14668" s="12"/>
      <c r="L14668" s="12"/>
      <c r="M14668" s="11"/>
      <c r="N14668" s="11"/>
      <c r="O14668" s="11"/>
      <c r="P14668" s="11"/>
    </row>
    <row r="14669" spans="8:16" x14ac:dyDescent="0.25">
      <c r="H14669" s="12"/>
      <c r="I14669" s="12"/>
      <c r="J14669" s="12"/>
      <c r="K14669" s="12"/>
      <c r="L14669" s="12"/>
      <c r="M14669" s="11"/>
      <c r="N14669" s="11"/>
      <c r="O14669" s="11"/>
      <c r="P14669" s="11"/>
    </row>
    <row r="14670" spans="8:16" x14ac:dyDescent="0.25">
      <c r="H14670" s="12"/>
      <c r="I14670" s="12"/>
      <c r="J14670" s="12"/>
      <c r="K14670" s="12"/>
      <c r="L14670" s="12"/>
      <c r="M14670" s="11"/>
      <c r="N14670" s="11"/>
      <c r="O14670" s="11"/>
      <c r="P14670" s="11"/>
    </row>
    <row r="14671" spans="8:16" x14ac:dyDescent="0.25">
      <c r="H14671" s="12"/>
      <c r="I14671" s="12"/>
      <c r="J14671" s="12"/>
      <c r="K14671" s="12"/>
      <c r="L14671" s="12"/>
      <c r="M14671" s="11"/>
      <c r="N14671" s="11"/>
      <c r="O14671" s="11"/>
      <c r="P14671" s="11"/>
    </row>
    <row r="14672" spans="8:16" x14ac:dyDescent="0.25">
      <c r="H14672" s="12"/>
      <c r="I14672" s="12"/>
      <c r="J14672" s="12"/>
      <c r="K14672" s="12"/>
      <c r="L14672" s="12"/>
      <c r="M14672" s="11"/>
      <c r="N14672" s="11"/>
      <c r="O14672" s="11"/>
      <c r="P14672" s="11"/>
    </row>
    <row r="14673" spans="8:16" x14ac:dyDescent="0.25">
      <c r="H14673" s="12"/>
      <c r="I14673" s="12"/>
      <c r="J14673" s="12"/>
      <c r="K14673" s="12"/>
      <c r="L14673" s="12"/>
      <c r="M14673" s="11"/>
      <c r="N14673" s="11"/>
      <c r="O14673" s="11"/>
      <c r="P14673" s="11"/>
    </row>
    <row r="14674" spans="8:16" x14ac:dyDescent="0.25">
      <c r="H14674" s="12"/>
      <c r="I14674" s="12"/>
      <c r="J14674" s="12"/>
      <c r="K14674" s="12"/>
      <c r="L14674" s="12"/>
      <c r="M14674" s="11"/>
      <c r="N14674" s="11"/>
      <c r="O14674" s="11"/>
      <c r="P14674" s="11"/>
    </row>
    <row r="14675" spans="8:16" x14ac:dyDescent="0.25">
      <c r="H14675" s="12"/>
      <c r="I14675" s="12"/>
      <c r="J14675" s="12"/>
      <c r="K14675" s="12"/>
      <c r="L14675" s="12"/>
      <c r="M14675" s="11"/>
      <c r="N14675" s="11"/>
      <c r="O14675" s="11"/>
      <c r="P14675" s="11"/>
    </row>
    <row r="14676" spans="8:16" x14ac:dyDescent="0.25">
      <c r="H14676" s="12"/>
      <c r="I14676" s="12"/>
      <c r="J14676" s="12"/>
      <c r="K14676" s="12"/>
      <c r="L14676" s="12"/>
      <c r="M14676" s="11"/>
      <c r="N14676" s="11"/>
      <c r="O14676" s="11"/>
      <c r="P14676" s="11"/>
    </row>
    <row r="14677" spans="8:16" x14ac:dyDescent="0.25">
      <c r="H14677" s="12"/>
      <c r="I14677" s="12"/>
      <c r="J14677" s="12"/>
      <c r="K14677" s="12"/>
      <c r="L14677" s="12"/>
      <c r="M14677" s="11"/>
      <c r="N14677" s="11"/>
      <c r="O14677" s="11"/>
      <c r="P14677" s="11"/>
    </row>
    <row r="14678" spans="8:16" x14ac:dyDescent="0.25">
      <c r="H14678" s="12"/>
      <c r="I14678" s="12"/>
      <c r="J14678" s="12"/>
      <c r="K14678" s="12"/>
      <c r="L14678" s="12"/>
      <c r="M14678" s="11"/>
      <c r="N14678" s="11"/>
      <c r="O14678" s="11"/>
      <c r="P14678" s="11"/>
    </row>
    <row r="14679" spans="8:16" x14ac:dyDescent="0.25">
      <c r="H14679" s="12"/>
      <c r="I14679" s="12"/>
      <c r="J14679" s="12"/>
      <c r="K14679" s="12"/>
      <c r="L14679" s="12"/>
      <c r="M14679" s="11"/>
      <c r="N14679" s="11"/>
      <c r="O14679" s="11"/>
      <c r="P14679" s="11"/>
    </row>
    <row r="14680" spans="8:16" x14ac:dyDescent="0.25">
      <c r="H14680" s="12"/>
      <c r="I14680" s="12"/>
      <c r="J14680" s="12"/>
      <c r="K14680" s="12"/>
      <c r="L14680" s="12"/>
      <c r="M14680" s="11"/>
      <c r="N14680" s="11"/>
      <c r="O14680" s="11"/>
      <c r="P14680" s="11"/>
    </row>
    <row r="14681" spans="8:16" x14ac:dyDescent="0.25">
      <c r="H14681" s="12"/>
      <c r="I14681" s="12"/>
      <c r="J14681" s="12"/>
      <c r="K14681" s="12"/>
      <c r="L14681" s="12"/>
      <c r="M14681" s="11"/>
      <c r="N14681" s="11"/>
      <c r="O14681" s="11"/>
      <c r="P14681" s="11"/>
    </row>
    <row r="14682" spans="8:16" x14ac:dyDescent="0.25">
      <c r="H14682" s="12"/>
      <c r="I14682" s="12"/>
      <c r="J14682" s="12"/>
      <c r="K14682" s="12"/>
      <c r="L14682" s="12"/>
      <c r="M14682" s="11"/>
      <c r="N14682" s="11"/>
      <c r="O14682" s="11"/>
      <c r="P14682" s="11"/>
    </row>
    <row r="14683" spans="8:16" x14ac:dyDescent="0.25">
      <c r="H14683" s="12"/>
      <c r="I14683" s="12"/>
      <c r="J14683" s="12"/>
      <c r="K14683" s="12"/>
      <c r="L14683" s="12"/>
      <c r="M14683" s="11"/>
      <c r="N14683" s="11"/>
      <c r="O14683" s="11"/>
      <c r="P14683" s="11"/>
    </row>
    <row r="14684" spans="8:16" x14ac:dyDescent="0.25">
      <c r="H14684" s="12"/>
      <c r="I14684" s="12"/>
      <c r="J14684" s="12"/>
      <c r="K14684" s="12"/>
      <c r="L14684" s="12"/>
      <c r="M14684" s="11"/>
      <c r="N14684" s="11"/>
      <c r="O14684" s="11"/>
      <c r="P14684" s="11"/>
    </row>
    <row r="14685" spans="8:16" x14ac:dyDescent="0.25">
      <c r="H14685" s="12"/>
      <c r="I14685" s="12"/>
      <c r="J14685" s="12"/>
      <c r="K14685" s="12"/>
      <c r="L14685" s="12"/>
      <c r="M14685" s="11"/>
      <c r="N14685" s="11"/>
      <c r="O14685" s="11"/>
      <c r="P14685" s="11"/>
    </row>
    <row r="14686" spans="8:16" x14ac:dyDescent="0.25">
      <c r="H14686" s="12"/>
      <c r="I14686" s="12"/>
      <c r="J14686" s="12"/>
      <c r="K14686" s="12"/>
      <c r="L14686" s="12"/>
      <c r="M14686" s="11"/>
      <c r="N14686" s="11"/>
      <c r="O14686" s="11"/>
      <c r="P14686" s="11"/>
    </row>
    <row r="14687" spans="8:16" x14ac:dyDescent="0.25">
      <c r="H14687" s="12"/>
      <c r="I14687" s="12"/>
      <c r="J14687" s="12"/>
      <c r="K14687" s="12"/>
      <c r="L14687" s="12"/>
      <c r="M14687" s="11"/>
      <c r="N14687" s="11"/>
      <c r="O14687" s="11"/>
      <c r="P14687" s="11"/>
    </row>
    <row r="14688" spans="8:16" x14ac:dyDescent="0.25">
      <c r="H14688" s="12"/>
      <c r="I14688" s="12"/>
      <c r="J14688" s="12"/>
      <c r="K14688" s="12"/>
      <c r="L14688" s="12"/>
      <c r="M14688" s="11"/>
      <c r="N14688" s="11"/>
      <c r="O14688" s="11"/>
      <c r="P14688" s="11"/>
    </row>
    <row r="14689" spans="8:16" x14ac:dyDescent="0.25">
      <c r="H14689" s="12"/>
      <c r="I14689" s="12"/>
      <c r="J14689" s="12"/>
      <c r="K14689" s="12"/>
      <c r="L14689" s="12"/>
      <c r="M14689" s="11"/>
      <c r="N14689" s="11"/>
      <c r="O14689" s="11"/>
      <c r="P14689" s="11"/>
    </row>
    <row r="14690" spans="8:16" x14ac:dyDescent="0.25">
      <c r="H14690" s="12"/>
      <c r="I14690" s="12"/>
      <c r="J14690" s="12"/>
      <c r="K14690" s="12"/>
      <c r="L14690" s="12"/>
      <c r="M14690" s="11"/>
      <c r="N14690" s="11"/>
      <c r="O14690" s="11"/>
      <c r="P14690" s="11"/>
    </row>
    <row r="14691" spans="8:16" x14ac:dyDescent="0.25">
      <c r="H14691" s="12"/>
      <c r="I14691" s="12"/>
      <c r="J14691" s="12"/>
      <c r="K14691" s="12"/>
      <c r="L14691" s="12"/>
      <c r="M14691" s="11"/>
      <c r="N14691" s="11"/>
      <c r="O14691" s="11"/>
      <c r="P14691" s="11"/>
    </row>
    <row r="14692" spans="8:16" x14ac:dyDescent="0.25">
      <c r="H14692" s="12"/>
      <c r="I14692" s="12"/>
      <c r="J14692" s="12"/>
      <c r="K14692" s="12"/>
      <c r="L14692" s="12"/>
      <c r="M14692" s="11"/>
      <c r="N14692" s="11"/>
      <c r="O14692" s="11"/>
      <c r="P14692" s="11"/>
    </row>
    <row r="14693" spans="8:16" x14ac:dyDescent="0.25">
      <c r="H14693" s="12"/>
      <c r="I14693" s="12"/>
      <c r="J14693" s="12"/>
      <c r="K14693" s="12"/>
      <c r="L14693" s="12"/>
      <c r="M14693" s="11"/>
      <c r="N14693" s="11"/>
      <c r="O14693" s="11"/>
      <c r="P14693" s="11"/>
    </row>
    <row r="14694" spans="8:16" x14ac:dyDescent="0.25">
      <c r="H14694" s="12"/>
      <c r="I14694" s="12"/>
      <c r="J14694" s="12"/>
      <c r="K14694" s="12"/>
      <c r="L14694" s="12"/>
      <c r="M14694" s="11"/>
      <c r="N14694" s="11"/>
      <c r="O14694" s="11"/>
      <c r="P14694" s="11"/>
    </row>
    <row r="14695" spans="8:16" x14ac:dyDescent="0.25">
      <c r="H14695" s="12"/>
      <c r="I14695" s="12"/>
      <c r="J14695" s="12"/>
      <c r="K14695" s="12"/>
      <c r="L14695" s="12"/>
      <c r="M14695" s="11"/>
      <c r="N14695" s="11"/>
      <c r="O14695" s="11"/>
      <c r="P14695" s="11"/>
    </row>
    <row r="14696" spans="8:16" x14ac:dyDescent="0.25">
      <c r="H14696" s="12"/>
      <c r="I14696" s="12"/>
      <c r="J14696" s="12"/>
      <c r="K14696" s="12"/>
      <c r="L14696" s="12"/>
      <c r="M14696" s="11"/>
      <c r="N14696" s="11"/>
      <c r="O14696" s="11"/>
      <c r="P14696" s="11"/>
    </row>
    <row r="14697" spans="8:16" x14ac:dyDescent="0.25">
      <c r="H14697" s="12"/>
      <c r="I14697" s="12"/>
      <c r="J14697" s="12"/>
      <c r="K14697" s="12"/>
      <c r="L14697" s="12"/>
      <c r="M14697" s="11"/>
      <c r="N14697" s="11"/>
      <c r="O14697" s="11"/>
      <c r="P14697" s="11"/>
    </row>
    <row r="14698" spans="8:16" x14ac:dyDescent="0.25">
      <c r="H14698" s="12"/>
      <c r="I14698" s="12"/>
      <c r="J14698" s="12"/>
      <c r="K14698" s="12"/>
      <c r="L14698" s="12"/>
      <c r="M14698" s="11"/>
      <c r="N14698" s="11"/>
      <c r="O14698" s="11"/>
      <c r="P14698" s="11"/>
    </row>
    <row r="14699" spans="8:16" x14ac:dyDescent="0.25">
      <c r="H14699" s="12"/>
      <c r="I14699" s="12"/>
      <c r="J14699" s="12"/>
      <c r="K14699" s="12"/>
      <c r="L14699" s="12"/>
      <c r="M14699" s="11"/>
      <c r="N14699" s="11"/>
      <c r="O14699" s="11"/>
      <c r="P14699" s="11"/>
    </row>
    <row r="14700" spans="8:16" x14ac:dyDescent="0.25">
      <c r="H14700" s="12"/>
      <c r="I14700" s="12"/>
      <c r="J14700" s="12"/>
      <c r="K14700" s="12"/>
      <c r="L14700" s="12"/>
      <c r="M14700" s="11"/>
      <c r="N14700" s="11"/>
      <c r="O14700" s="11"/>
      <c r="P14700" s="11"/>
    </row>
    <row r="14701" spans="8:16" x14ac:dyDescent="0.25">
      <c r="H14701" s="12"/>
      <c r="I14701" s="12"/>
      <c r="J14701" s="12"/>
      <c r="K14701" s="12"/>
      <c r="L14701" s="12"/>
      <c r="M14701" s="11"/>
      <c r="N14701" s="11"/>
      <c r="O14701" s="11"/>
      <c r="P14701" s="11"/>
    </row>
    <row r="14702" spans="8:16" x14ac:dyDescent="0.25">
      <c r="H14702" s="12"/>
      <c r="I14702" s="12"/>
      <c r="J14702" s="12"/>
      <c r="K14702" s="12"/>
      <c r="L14702" s="12"/>
      <c r="M14702" s="11"/>
      <c r="N14702" s="11"/>
      <c r="O14702" s="11"/>
      <c r="P14702" s="11"/>
    </row>
    <row r="14703" spans="8:16" x14ac:dyDescent="0.25">
      <c r="H14703" s="12"/>
      <c r="I14703" s="12"/>
      <c r="J14703" s="12"/>
      <c r="K14703" s="12"/>
      <c r="L14703" s="12"/>
      <c r="M14703" s="11"/>
      <c r="N14703" s="11"/>
      <c r="O14703" s="11"/>
      <c r="P14703" s="11"/>
    </row>
    <row r="14704" spans="8:16" x14ac:dyDescent="0.25">
      <c r="H14704" s="12"/>
      <c r="I14704" s="12"/>
      <c r="J14704" s="12"/>
      <c r="K14704" s="12"/>
      <c r="L14704" s="12"/>
      <c r="M14704" s="11"/>
      <c r="N14704" s="11"/>
      <c r="O14704" s="11"/>
      <c r="P14704" s="11"/>
    </row>
    <row r="14705" spans="8:16" x14ac:dyDescent="0.25">
      <c r="H14705" s="12"/>
      <c r="I14705" s="12"/>
      <c r="J14705" s="12"/>
      <c r="K14705" s="12"/>
      <c r="L14705" s="12"/>
      <c r="M14705" s="11"/>
      <c r="N14705" s="11"/>
      <c r="O14705" s="11"/>
      <c r="P14705" s="11"/>
    </row>
    <row r="14706" spans="8:16" x14ac:dyDescent="0.25">
      <c r="H14706" s="12"/>
      <c r="I14706" s="12"/>
      <c r="J14706" s="12"/>
      <c r="K14706" s="12"/>
      <c r="L14706" s="12"/>
      <c r="M14706" s="11"/>
      <c r="N14706" s="11"/>
      <c r="O14706" s="11"/>
      <c r="P14706" s="11"/>
    </row>
    <row r="14707" spans="8:16" x14ac:dyDescent="0.25">
      <c r="H14707" s="12"/>
      <c r="I14707" s="12"/>
      <c r="J14707" s="12"/>
      <c r="K14707" s="12"/>
      <c r="L14707" s="12"/>
      <c r="M14707" s="11"/>
      <c r="N14707" s="11"/>
      <c r="O14707" s="11"/>
      <c r="P14707" s="11"/>
    </row>
    <row r="14708" spans="8:16" x14ac:dyDescent="0.25">
      <c r="H14708" s="12"/>
      <c r="I14708" s="12"/>
      <c r="J14708" s="12"/>
      <c r="K14708" s="12"/>
      <c r="L14708" s="12"/>
      <c r="M14708" s="11"/>
      <c r="N14708" s="11"/>
      <c r="O14708" s="11"/>
      <c r="P14708" s="11"/>
    </row>
    <row r="14709" spans="8:16" x14ac:dyDescent="0.25">
      <c r="H14709" s="12"/>
      <c r="I14709" s="12"/>
      <c r="J14709" s="12"/>
      <c r="K14709" s="12"/>
      <c r="L14709" s="12"/>
      <c r="M14709" s="11"/>
      <c r="N14709" s="11"/>
      <c r="O14709" s="11"/>
      <c r="P14709" s="11"/>
    </row>
    <row r="14710" spans="8:16" x14ac:dyDescent="0.25">
      <c r="H14710" s="12"/>
      <c r="I14710" s="12"/>
      <c r="J14710" s="12"/>
      <c r="K14710" s="12"/>
      <c r="L14710" s="12"/>
      <c r="M14710" s="11"/>
      <c r="N14710" s="11"/>
      <c r="O14710" s="11"/>
      <c r="P14710" s="11"/>
    </row>
    <row r="14711" spans="8:16" x14ac:dyDescent="0.25">
      <c r="H14711" s="12"/>
      <c r="I14711" s="12"/>
      <c r="J14711" s="12"/>
      <c r="K14711" s="12"/>
      <c r="L14711" s="12"/>
      <c r="M14711" s="11"/>
      <c r="N14711" s="11"/>
      <c r="O14711" s="11"/>
      <c r="P14711" s="11"/>
    </row>
    <row r="14712" spans="8:16" x14ac:dyDescent="0.25">
      <c r="H14712" s="12"/>
      <c r="I14712" s="12"/>
      <c r="J14712" s="12"/>
      <c r="K14712" s="12"/>
      <c r="L14712" s="12"/>
      <c r="M14712" s="11"/>
      <c r="N14712" s="11"/>
      <c r="O14712" s="11"/>
      <c r="P14712" s="11"/>
    </row>
    <row r="14713" spans="8:16" x14ac:dyDescent="0.25">
      <c r="H14713" s="12"/>
      <c r="I14713" s="12"/>
      <c r="J14713" s="12"/>
      <c r="K14713" s="12"/>
      <c r="L14713" s="12"/>
      <c r="M14713" s="11"/>
      <c r="N14713" s="11"/>
      <c r="O14713" s="11"/>
      <c r="P14713" s="11"/>
    </row>
    <row r="14714" spans="8:16" x14ac:dyDescent="0.25">
      <c r="H14714" s="12"/>
      <c r="I14714" s="12"/>
      <c r="J14714" s="12"/>
      <c r="K14714" s="12"/>
      <c r="L14714" s="12"/>
      <c r="M14714" s="11"/>
      <c r="N14714" s="11"/>
      <c r="O14714" s="11"/>
      <c r="P14714" s="11"/>
    </row>
    <row r="14715" spans="8:16" x14ac:dyDescent="0.25">
      <c r="H14715" s="12"/>
      <c r="I14715" s="12"/>
      <c r="J14715" s="12"/>
      <c r="K14715" s="12"/>
      <c r="L14715" s="12"/>
      <c r="M14715" s="11"/>
      <c r="N14715" s="11"/>
      <c r="O14715" s="11"/>
      <c r="P14715" s="11"/>
    </row>
    <row r="14716" spans="8:16" x14ac:dyDescent="0.25">
      <c r="H14716" s="12"/>
      <c r="I14716" s="12"/>
      <c r="J14716" s="12"/>
      <c r="K14716" s="12"/>
      <c r="L14716" s="12"/>
      <c r="M14716" s="11"/>
      <c r="N14716" s="11"/>
      <c r="O14716" s="11"/>
      <c r="P14716" s="11"/>
    </row>
    <row r="14717" spans="8:16" x14ac:dyDescent="0.25">
      <c r="H14717" s="12"/>
      <c r="I14717" s="12"/>
      <c r="J14717" s="12"/>
      <c r="K14717" s="12"/>
      <c r="L14717" s="12"/>
      <c r="M14717" s="11"/>
      <c r="N14717" s="11"/>
      <c r="O14717" s="11"/>
      <c r="P14717" s="11"/>
    </row>
    <row r="14718" spans="8:16" x14ac:dyDescent="0.25">
      <c r="H14718" s="12"/>
      <c r="I14718" s="12"/>
      <c r="J14718" s="12"/>
      <c r="K14718" s="12"/>
      <c r="L14718" s="12"/>
      <c r="M14718" s="11"/>
      <c r="N14718" s="11"/>
      <c r="O14718" s="11"/>
      <c r="P14718" s="11"/>
    </row>
    <row r="14719" spans="8:16" x14ac:dyDescent="0.25">
      <c r="H14719" s="12"/>
      <c r="I14719" s="12"/>
      <c r="J14719" s="12"/>
      <c r="K14719" s="12"/>
      <c r="L14719" s="12"/>
      <c r="M14719" s="11"/>
      <c r="N14719" s="11"/>
      <c r="O14719" s="11"/>
      <c r="P14719" s="11"/>
    </row>
    <row r="14720" spans="8:16" x14ac:dyDescent="0.25">
      <c r="H14720" s="12"/>
      <c r="I14720" s="12"/>
      <c r="J14720" s="12"/>
      <c r="K14720" s="12"/>
      <c r="L14720" s="12"/>
      <c r="M14720" s="11"/>
      <c r="N14720" s="11"/>
      <c r="O14720" s="11"/>
      <c r="P14720" s="11"/>
    </row>
    <row r="14721" spans="8:16" x14ac:dyDescent="0.25">
      <c r="H14721" s="12"/>
      <c r="I14721" s="12"/>
      <c r="J14721" s="12"/>
      <c r="K14721" s="12"/>
      <c r="L14721" s="12"/>
      <c r="M14721" s="11"/>
      <c r="N14721" s="11"/>
      <c r="O14721" s="11"/>
      <c r="P14721" s="11"/>
    </row>
    <row r="14722" spans="8:16" x14ac:dyDescent="0.25">
      <c r="H14722" s="12"/>
      <c r="I14722" s="12"/>
      <c r="J14722" s="12"/>
      <c r="K14722" s="12"/>
      <c r="L14722" s="12"/>
      <c r="M14722" s="11"/>
      <c r="N14722" s="11"/>
      <c r="O14722" s="11"/>
      <c r="P14722" s="11"/>
    </row>
    <row r="14723" spans="8:16" x14ac:dyDescent="0.25">
      <c r="H14723" s="12"/>
      <c r="I14723" s="12"/>
      <c r="J14723" s="12"/>
      <c r="K14723" s="12"/>
      <c r="L14723" s="12"/>
      <c r="M14723" s="11"/>
      <c r="N14723" s="11"/>
      <c r="O14723" s="11"/>
      <c r="P14723" s="11"/>
    </row>
    <row r="14724" spans="8:16" x14ac:dyDescent="0.25">
      <c r="H14724" s="12"/>
      <c r="I14724" s="12"/>
      <c r="J14724" s="12"/>
      <c r="K14724" s="12"/>
      <c r="L14724" s="12"/>
      <c r="M14724" s="11"/>
      <c r="N14724" s="11"/>
      <c r="O14724" s="11"/>
      <c r="P14724" s="11"/>
    </row>
    <row r="14725" spans="8:16" x14ac:dyDescent="0.25">
      <c r="H14725" s="12"/>
      <c r="I14725" s="12"/>
      <c r="J14725" s="12"/>
      <c r="K14725" s="12"/>
      <c r="L14725" s="12"/>
      <c r="M14725" s="11"/>
      <c r="N14725" s="11"/>
      <c r="O14725" s="11"/>
      <c r="P14725" s="11"/>
    </row>
    <row r="14726" spans="8:16" x14ac:dyDescent="0.25">
      <c r="H14726" s="12"/>
      <c r="I14726" s="12"/>
      <c r="J14726" s="12"/>
      <c r="K14726" s="12"/>
      <c r="L14726" s="12"/>
      <c r="M14726" s="11"/>
      <c r="N14726" s="11"/>
      <c r="O14726" s="11"/>
      <c r="P14726" s="11"/>
    </row>
    <row r="14727" spans="8:16" x14ac:dyDescent="0.25">
      <c r="H14727" s="12"/>
      <c r="I14727" s="12"/>
      <c r="J14727" s="12"/>
      <c r="K14727" s="12"/>
      <c r="L14727" s="12"/>
      <c r="M14727" s="11"/>
      <c r="N14727" s="11"/>
      <c r="O14727" s="11"/>
      <c r="P14727" s="11"/>
    </row>
    <row r="14728" spans="8:16" x14ac:dyDescent="0.25">
      <c r="H14728" s="12"/>
      <c r="I14728" s="12"/>
      <c r="J14728" s="12"/>
      <c r="K14728" s="12"/>
      <c r="L14728" s="12"/>
      <c r="M14728" s="11"/>
      <c r="N14728" s="11"/>
      <c r="O14728" s="11"/>
      <c r="P14728" s="11"/>
    </row>
    <row r="14729" spans="8:16" x14ac:dyDescent="0.25">
      <c r="H14729" s="12"/>
      <c r="I14729" s="12"/>
      <c r="J14729" s="12"/>
      <c r="K14729" s="12"/>
      <c r="L14729" s="12"/>
      <c r="M14729" s="11"/>
      <c r="N14729" s="11"/>
      <c r="O14729" s="11"/>
      <c r="P14729" s="11"/>
    </row>
    <row r="14730" spans="8:16" x14ac:dyDescent="0.25">
      <c r="H14730" s="12"/>
      <c r="I14730" s="12"/>
      <c r="J14730" s="12"/>
      <c r="K14730" s="12"/>
      <c r="L14730" s="12"/>
      <c r="M14730" s="11"/>
      <c r="N14730" s="11"/>
      <c r="O14730" s="11"/>
      <c r="P14730" s="11"/>
    </row>
    <row r="14731" spans="8:16" x14ac:dyDescent="0.25">
      <c r="H14731" s="12"/>
      <c r="I14731" s="12"/>
      <c r="J14731" s="12"/>
      <c r="K14731" s="12"/>
      <c r="L14731" s="12"/>
      <c r="M14731" s="11"/>
      <c r="N14731" s="11"/>
      <c r="O14731" s="11"/>
      <c r="P14731" s="11"/>
    </row>
    <row r="14732" spans="8:16" x14ac:dyDescent="0.25">
      <c r="H14732" s="12"/>
      <c r="I14732" s="12"/>
      <c r="J14732" s="12"/>
      <c r="K14732" s="12"/>
      <c r="L14732" s="12"/>
      <c r="M14732" s="11"/>
      <c r="N14732" s="11"/>
      <c r="O14732" s="11"/>
      <c r="P14732" s="11"/>
    </row>
    <row r="14733" spans="8:16" x14ac:dyDescent="0.25">
      <c r="H14733" s="12"/>
      <c r="I14733" s="12"/>
      <c r="J14733" s="12"/>
      <c r="K14733" s="12"/>
      <c r="L14733" s="12"/>
      <c r="M14733" s="11"/>
      <c r="N14733" s="11"/>
      <c r="O14733" s="11"/>
      <c r="P14733" s="11"/>
    </row>
    <row r="14734" spans="8:16" x14ac:dyDescent="0.25">
      <c r="H14734" s="12"/>
      <c r="I14734" s="12"/>
      <c r="J14734" s="12"/>
      <c r="K14734" s="12"/>
      <c r="L14734" s="12"/>
      <c r="M14734" s="11"/>
      <c r="N14734" s="11"/>
      <c r="O14734" s="11"/>
      <c r="P14734" s="11"/>
    </row>
    <row r="14735" spans="8:16" x14ac:dyDescent="0.25">
      <c r="H14735" s="12"/>
      <c r="I14735" s="12"/>
      <c r="J14735" s="12"/>
      <c r="K14735" s="12"/>
      <c r="L14735" s="12"/>
      <c r="M14735" s="11"/>
      <c r="N14735" s="11"/>
      <c r="O14735" s="11"/>
      <c r="P14735" s="11"/>
    </row>
    <row r="14736" spans="8:16" x14ac:dyDescent="0.25">
      <c r="H14736" s="12"/>
      <c r="I14736" s="12"/>
      <c r="J14736" s="12"/>
      <c r="K14736" s="12"/>
      <c r="L14736" s="12"/>
      <c r="M14736" s="11"/>
      <c r="N14736" s="11"/>
      <c r="O14736" s="11"/>
      <c r="P14736" s="11"/>
    </row>
    <row r="14737" spans="8:16" x14ac:dyDescent="0.25">
      <c r="H14737" s="12"/>
      <c r="I14737" s="12"/>
      <c r="J14737" s="12"/>
      <c r="K14737" s="12"/>
      <c r="L14737" s="12"/>
      <c r="M14737" s="11"/>
      <c r="N14737" s="11"/>
      <c r="O14737" s="11"/>
      <c r="P14737" s="11"/>
    </row>
    <row r="14738" spans="8:16" x14ac:dyDescent="0.25">
      <c r="H14738" s="12"/>
      <c r="I14738" s="12"/>
      <c r="J14738" s="12"/>
      <c r="K14738" s="12"/>
      <c r="L14738" s="12"/>
      <c r="M14738" s="11"/>
      <c r="N14738" s="11"/>
      <c r="O14738" s="11"/>
      <c r="P14738" s="11"/>
    </row>
    <row r="14739" spans="8:16" x14ac:dyDescent="0.25">
      <c r="H14739" s="12"/>
      <c r="I14739" s="12"/>
      <c r="J14739" s="12"/>
      <c r="K14739" s="12"/>
      <c r="L14739" s="12"/>
      <c r="M14739" s="11"/>
      <c r="N14739" s="11"/>
      <c r="O14739" s="11"/>
      <c r="P14739" s="11"/>
    </row>
    <row r="14740" spans="8:16" x14ac:dyDescent="0.25">
      <c r="H14740" s="12"/>
      <c r="I14740" s="12"/>
      <c r="J14740" s="12"/>
      <c r="K14740" s="12"/>
      <c r="L14740" s="12"/>
      <c r="M14740" s="11"/>
      <c r="N14740" s="11"/>
      <c r="O14740" s="11"/>
      <c r="P14740" s="11"/>
    </row>
    <row r="14741" spans="8:16" x14ac:dyDescent="0.25">
      <c r="H14741" s="12"/>
      <c r="I14741" s="12"/>
      <c r="J14741" s="12"/>
      <c r="K14741" s="12"/>
      <c r="L14741" s="12"/>
      <c r="M14741" s="11"/>
      <c r="N14741" s="11"/>
      <c r="O14741" s="11"/>
      <c r="P14741" s="11"/>
    </row>
    <row r="14742" spans="8:16" x14ac:dyDescent="0.25">
      <c r="H14742" s="12"/>
      <c r="I14742" s="12"/>
      <c r="J14742" s="12"/>
      <c r="K14742" s="12"/>
      <c r="L14742" s="12"/>
      <c r="M14742" s="11"/>
      <c r="N14742" s="11"/>
      <c r="O14742" s="11"/>
      <c r="P14742" s="11"/>
    </row>
    <row r="14743" spans="8:16" x14ac:dyDescent="0.25">
      <c r="H14743" s="12"/>
      <c r="I14743" s="12"/>
      <c r="J14743" s="12"/>
      <c r="K14743" s="12"/>
      <c r="L14743" s="12"/>
      <c r="M14743" s="11"/>
      <c r="N14743" s="11"/>
      <c r="O14743" s="11"/>
      <c r="P14743" s="11"/>
    </row>
    <row r="14744" spans="8:16" x14ac:dyDescent="0.25">
      <c r="H14744" s="12"/>
      <c r="I14744" s="12"/>
      <c r="J14744" s="12"/>
      <c r="K14744" s="12"/>
      <c r="L14744" s="12"/>
      <c r="M14744" s="11"/>
      <c r="N14744" s="11"/>
      <c r="O14744" s="11"/>
      <c r="P14744" s="11"/>
    </row>
    <row r="14745" spans="8:16" x14ac:dyDescent="0.25">
      <c r="H14745" s="12"/>
      <c r="I14745" s="12"/>
      <c r="J14745" s="12"/>
      <c r="K14745" s="12"/>
      <c r="L14745" s="12"/>
      <c r="M14745" s="11"/>
      <c r="N14745" s="11"/>
      <c r="O14745" s="11"/>
      <c r="P14745" s="11"/>
    </row>
    <row r="14746" spans="8:16" x14ac:dyDescent="0.25">
      <c r="H14746" s="12"/>
      <c r="I14746" s="12"/>
      <c r="J14746" s="12"/>
      <c r="K14746" s="12"/>
      <c r="L14746" s="12"/>
      <c r="M14746" s="11"/>
      <c r="N14746" s="11"/>
      <c r="O14746" s="11"/>
      <c r="P14746" s="11"/>
    </row>
    <row r="14747" spans="8:16" x14ac:dyDescent="0.25">
      <c r="H14747" s="12"/>
      <c r="I14747" s="12"/>
      <c r="J14747" s="12"/>
      <c r="K14747" s="12"/>
      <c r="L14747" s="12"/>
      <c r="M14747" s="11"/>
      <c r="N14747" s="11"/>
      <c r="O14747" s="11"/>
      <c r="P14747" s="11"/>
    </row>
    <row r="14748" spans="8:16" x14ac:dyDescent="0.25">
      <c r="H14748" s="12"/>
      <c r="I14748" s="12"/>
      <c r="J14748" s="12"/>
      <c r="K14748" s="12"/>
      <c r="L14748" s="12"/>
      <c r="M14748" s="11"/>
      <c r="N14748" s="11"/>
      <c r="O14748" s="11"/>
      <c r="P14748" s="11"/>
    </row>
    <row r="14749" spans="8:16" x14ac:dyDescent="0.25">
      <c r="H14749" s="12"/>
      <c r="I14749" s="12"/>
      <c r="J14749" s="12"/>
      <c r="K14749" s="12"/>
      <c r="L14749" s="12"/>
      <c r="M14749" s="11"/>
      <c r="N14749" s="11"/>
      <c r="O14749" s="11"/>
      <c r="P14749" s="11"/>
    </row>
    <row r="14750" spans="8:16" x14ac:dyDescent="0.25">
      <c r="H14750" s="12"/>
      <c r="I14750" s="12"/>
      <c r="J14750" s="12"/>
      <c r="K14750" s="12"/>
      <c r="L14750" s="12"/>
      <c r="M14750" s="11"/>
      <c r="N14750" s="11"/>
      <c r="O14750" s="11"/>
      <c r="P14750" s="11"/>
    </row>
    <row r="14751" spans="8:16" x14ac:dyDescent="0.25">
      <c r="H14751" s="12"/>
      <c r="I14751" s="12"/>
      <c r="J14751" s="12"/>
      <c r="K14751" s="12"/>
      <c r="L14751" s="12"/>
      <c r="M14751" s="11"/>
      <c r="N14751" s="11"/>
      <c r="O14751" s="11"/>
      <c r="P14751" s="11"/>
    </row>
    <row r="14752" spans="8:16" x14ac:dyDescent="0.25">
      <c r="H14752" s="12"/>
      <c r="I14752" s="12"/>
      <c r="J14752" s="12"/>
      <c r="K14752" s="12"/>
      <c r="L14752" s="12"/>
      <c r="M14752" s="11"/>
      <c r="N14752" s="11"/>
      <c r="O14752" s="11"/>
      <c r="P14752" s="11"/>
    </row>
    <row r="14753" spans="8:16" x14ac:dyDescent="0.25">
      <c r="H14753" s="12"/>
      <c r="I14753" s="12"/>
      <c r="J14753" s="12"/>
      <c r="K14753" s="12"/>
      <c r="L14753" s="12"/>
      <c r="M14753" s="11"/>
      <c r="N14753" s="11"/>
      <c r="O14753" s="11"/>
      <c r="P14753" s="11"/>
    </row>
    <row r="14754" spans="8:16" x14ac:dyDescent="0.25">
      <c r="H14754" s="12"/>
      <c r="I14754" s="12"/>
      <c r="J14754" s="12"/>
      <c r="K14754" s="12"/>
      <c r="L14754" s="12"/>
      <c r="M14754" s="11"/>
      <c r="N14754" s="11"/>
      <c r="O14754" s="11"/>
      <c r="P14754" s="11"/>
    </row>
    <row r="14755" spans="8:16" x14ac:dyDescent="0.25">
      <c r="H14755" s="12"/>
      <c r="I14755" s="12"/>
      <c r="J14755" s="12"/>
      <c r="K14755" s="12"/>
      <c r="L14755" s="12"/>
      <c r="M14755" s="11"/>
      <c r="N14755" s="11"/>
      <c r="O14755" s="11"/>
      <c r="P14755" s="11"/>
    </row>
    <row r="14756" spans="8:16" x14ac:dyDescent="0.25">
      <c r="H14756" s="12"/>
      <c r="I14756" s="12"/>
      <c r="J14756" s="12"/>
      <c r="K14756" s="12"/>
      <c r="L14756" s="12"/>
      <c r="M14756" s="11"/>
      <c r="N14756" s="11"/>
      <c r="O14756" s="11"/>
      <c r="P14756" s="11"/>
    </row>
    <row r="14757" spans="8:16" x14ac:dyDescent="0.25">
      <c r="H14757" s="12"/>
      <c r="I14757" s="12"/>
      <c r="J14757" s="12"/>
      <c r="K14757" s="12"/>
      <c r="L14757" s="12"/>
      <c r="M14757" s="11"/>
      <c r="N14757" s="11"/>
      <c r="O14757" s="11"/>
      <c r="P14757" s="11"/>
    </row>
    <row r="14758" spans="8:16" x14ac:dyDescent="0.25">
      <c r="H14758" s="12"/>
      <c r="I14758" s="12"/>
      <c r="J14758" s="12"/>
      <c r="K14758" s="12"/>
      <c r="L14758" s="12"/>
      <c r="M14758" s="11"/>
      <c r="N14758" s="11"/>
      <c r="O14758" s="11"/>
      <c r="P14758" s="11"/>
    </row>
    <row r="14759" spans="8:16" x14ac:dyDescent="0.25">
      <c r="H14759" s="12"/>
      <c r="I14759" s="12"/>
      <c r="J14759" s="12"/>
      <c r="K14759" s="12"/>
      <c r="L14759" s="12"/>
      <c r="M14759" s="11"/>
      <c r="N14759" s="11"/>
      <c r="O14759" s="11"/>
      <c r="P14759" s="11"/>
    </row>
    <row r="14760" spans="8:16" x14ac:dyDescent="0.25">
      <c r="H14760" s="12"/>
      <c r="I14760" s="12"/>
      <c r="J14760" s="12"/>
      <c r="K14760" s="12"/>
      <c r="L14760" s="12"/>
      <c r="M14760" s="11"/>
      <c r="N14760" s="11"/>
      <c r="O14760" s="11"/>
      <c r="P14760" s="11"/>
    </row>
    <row r="14761" spans="8:16" x14ac:dyDescent="0.25">
      <c r="H14761" s="12"/>
      <c r="I14761" s="12"/>
      <c r="J14761" s="12"/>
      <c r="K14761" s="12"/>
      <c r="L14761" s="12"/>
      <c r="M14761" s="11"/>
      <c r="N14761" s="11"/>
      <c r="O14761" s="11"/>
      <c r="P14761" s="11"/>
    </row>
    <row r="14762" spans="8:16" x14ac:dyDescent="0.25">
      <c r="H14762" s="12"/>
      <c r="I14762" s="12"/>
      <c r="J14762" s="12"/>
      <c r="K14762" s="12"/>
      <c r="L14762" s="12"/>
      <c r="M14762" s="11"/>
      <c r="N14762" s="11"/>
      <c r="O14762" s="11"/>
      <c r="P14762" s="11"/>
    </row>
    <row r="14763" spans="8:16" x14ac:dyDescent="0.25">
      <c r="H14763" s="12"/>
      <c r="I14763" s="12"/>
      <c r="J14763" s="12"/>
      <c r="K14763" s="12"/>
      <c r="L14763" s="12"/>
      <c r="M14763" s="11"/>
      <c r="N14763" s="11"/>
      <c r="O14763" s="11"/>
      <c r="P14763" s="11"/>
    </row>
    <row r="14764" spans="8:16" x14ac:dyDescent="0.25">
      <c r="H14764" s="12"/>
      <c r="I14764" s="12"/>
      <c r="J14764" s="12"/>
      <c r="K14764" s="12"/>
      <c r="L14764" s="12"/>
      <c r="M14764" s="11"/>
      <c r="N14764" s="11"/>
      <c r="O14764" s="11"/>
      <c r="P14764" s="11"/>
    </row>
    <row r="14765" spans="8:16" x14ac:dyDescent="0.25">
      <c r="H14765" s="12"/>
      <c r="I14765" s="12"/>
      <c r="J14765" s="12"/>
      <c r="K14765" s="12"/>
      <c r="L14765" s="12"/>
      <c r="M14765" s="11"/>
      <c r="N14765" s="11"/>
      <c r="O14765" s="11"/>
      <c r="P14765" s="11"/>
    </row>
    <row r="14766" spans="8:16" x14ac:dyDescent="0.25">
      <c r="H14766" s="12"/>
      <c r="I14766" s="12"/>
      <c r="J14766" s="12"/>
      <c r="K14766" s="12"/>
      <c r="L14766" s="12"/>
      <c r="M14766" s="11"/>
      <c r="N14766" s="11"/>
      <c r="O14766" s="11"/>
      <c r="P14766" s="11"/>
    </row>
    <row r="14767" spans="8:16" x14ac:dyDescent="0.25">
      <c r="H14767" s="12"/>
      <c r="I14767" s="12"/>
      <c r="J14767" s="12"/>
      <c r="K14767" s="12"/>
      <c r="L14767" s="12"/>
      <c r="M14767" s="11"/>
      <c r="N14767" s="11"/>
      <c r="O14767" s="11"/>
      <c r="P14767" s="11"/>
    </row>
    <row r="14768" spans="8:16" x14ac:dyDescent="0.25">
      <c r="H14768" s="12"/>
      <c r="I14768" s="12"/>
      <c r="J14768" s="12"/>
      <c r="K14768" s="12"/>
      <c r="L14768" s="12"/>
      <c r="M14768" s="11"/>
      <c r="N14768" s="11"/>
      <c r="O14768" s="11"/>
      <c r="P14768" s="11"/>
    </row>
    <row r="14769" spans="8:16" x14ac:dyDescent="0.25">
      <c r="H14769" s="12"/>
      <c r="I14769" s="12"/>
      <c r="J14769" s="12"/>
      <c r="K14769" s="12"/>
      <c r="L14769" s="12"/>
      <c r="M14769" s="11"/>
      <c r="N14769" s="11"/>
      <c r="O14769" s="11"/>
      <c r="P14769" s="11"/>
    </row>
    <row r="14770" spans="8:16" x14ac:dyDescent="0.25">
      <c r="H14770" s="12"/>
      <c r="I14770" s="12"/>
      <c r="J14770" s="12"/>
      <c r="K14770" s="12"/>
      <c r="L14770" s="12"/>
      <c r="M14770" s="11"/>
      <c r="N14770" s="11"/>
      <c r="O14770" s="11"/>
      <c r="P14770" s="11"/>
    </row>
    <row r="14771" spans="8:16" x14ac:dyDescent="0.25">
      <c r="H14771" s="12"/>
      <c r="I14771" s="12"/>
      <c r="J14771" s="12"/>
      <c r="K14771" s="12"/>
      <c r="L14771" s="12"/>
      <c r="M14771" s="11"/>
      <c r="N14771" s="11"/>
      <c r="O14771" s="11"/>
      <c r="P14771" s="11"/>
    </row>
    <row r="14772" spans="8:16" x14ac:dyDescent="0.25">
      <c r="H14772" s="12"/>
      <c r="I14772" s="12"/>
      <c r="J14772" s="12"/>
      <c r="K14772" s="12"/>
      <c r="L14772" s="12"/>
      <c r="M14772" s="11"/>
      <c r="N14772" s="11"/>
      <c r="O14772" s="11"/>
      <c r="P14772" s="11"/>
    </row>
    <row r="14773" spans="8:16" x14ac:dyDescent="0.25">
      <c r="H14773" s="12"/>
      <c r="I14773" s="12"/>
      <c r="J14773" s="12"/>
      <c r="K14773" s="12"/>
      <c r="L14773" s="12"/>
      <c r="M14773" s="11"/>
      <c r="N14773" s="11"/>
      <c r="O14773" s="11"/>
      <c r="P14773" s="11"/>
    </row>
    <row r="14774" spans="8:16" x14ac:dyDescent="0.25">
      <c r="H14774" s="12"/>
      <c r="I14774" s="12"/>
      <c r="J14774" s="12"/>
      <c r="K14774" s="12"/>
      <c r="L14774" s="12"/>
      <c r="M14774" s="11"/>
      <c r="N14774" s="11"/>
      <c r="O14774" s="11"/>
      <c r="P14774" s="11"/>
    </row>
    <row r="14775" spans="8:16" x14ac:dyDescent="0.25">
      <c r="H14775" s="12"/>
      <c r="I14775" s="12"/>
      <c r="J14775" s="12"/>
      <c r="K14775" s="12"/>
      <c r="L14775" s="12"/>
      <c r="M14775" s="11"/>
      <c r="N14775" s="11"/>
      <c r="O14775" s="11"/>
      <c r="P14775" s="11"/>
    </row>
    <row r="14776" spans="8:16" x14ac:dyDescent="0.25">
      <c r="H14776" s="12"/>
      <c r="I14776" s="12"/>
      <c r="J14776" s="12"/>
      <c r="K14776" s="12"/>
      <c r="L14776" s="12"/>
      <c r="M14776" s="11"/>
      <c r="N14776" s="11"/>
      <c r="O14776" s="11"/>
      <c r="P14776" s="11"/>
    </row>
    <row r="14777" spans="8:16" x14ac:dyDescent="0.25">
      <c r="H14777" s="12"/>
      <c r="I14777" s="12"/>
      <c r="J14777" s="12"/>
      <c r="K14777" s="12"/>
      <c r="L14777" s="12"/>
      <c r="M14777" s="11"/>
      <c r="N14777" s="11"/>
      <c r="O14777" s="11"/>
      <c r="P14777" s="11"/>
    </row>
    <row r="14778" spans="8:16" x14ac:dyDescent="0.25">
      <c r="H14778" s="12"/>
      <c r="I14778" s="12"/>
      <c r="J14778" s="12"/>
      <c r="K14778" s="12"/>
      <c r="L14778" s="12"/>
      <c r="M14778" s="11"/>
      <c r="N14778" s="11"/>
      <c r="O14778" s="11"/>
      <c r="P14778" s="11"/>
    </row>
    <row r="14779" spans="8:16" x14ac:dyDescent="0.25">
      <c r="H14779" s="12"/>
      <c r="I14779" s="12"/>
      <c r="J14779" s="12"/>
      <c r="K14779" s="12"/>
      <c r="L14779" s="12"/>
      <c r="M14779" s="11"/>
      <c r="N14779" s="11"/>
      <c r="O14779" s="11"/>
      <c r="P14779" s="11"/>
    </row>
    <row r="14780" spans="8:16" x14ac:dyDescent="0.25">
      <c r="H14780" s="12"/>
      <c r="I14780" s="12"/>
      <c r="J14780" s="12"/>
      <c r="K14780" s="12"/>
      <c r="L14780" s="12"/>
      <c r="M14780" s="11"/>
      <c r="N14780" s="11"/>
      <c r="O14780" s="11"/>
      <c r="P14780" s="11"/>
    </row>
    <row r="14781" spans="8:16" x14ac:dyDescent="0.25">
      <c r="H14781" s="12"/>
      <c r="I14781" s="12"/>
      <c r="J14781" s="12"/>
      <c r="K14781" s="12"/>
      <c r="L14781" s="12"/>
      <c r="M14781" s="11"/>
      <c r="N14781" s="11"/>
      <c r="O14781" s="11"/>
      <c r="P14781" s="11"/>
    </row>
    <row r="14782" spans="8:16" x14ac:dyDescent="0.25">
      <c r="H14782" s="12"/>
      <c r="I14782" s="12"/>
      <c r="J14782" s="12"/>
      <c r="K14782" s="12"/>
      <c r="L14782" s="12"/>
      <c r="M14782" s="11"/>
      <c r="N14782" s="11"/>
      <c r="O14782" s="11"/>
      <c r="P14782" s="11"/>
    </row>
    <row r="14783" spans="8:16" x14ac:dyDescent="0.25">
      <c r="H14783" s="12"/>
      <c r="I14783" s="12"/>
      <c r="J14783" s="12"/>
      <c r="K14783" s="12"/>
      <c r="L14783" s="12"/>
      <c r="M14783" s="11"/>
      <c r="N14783" s="11"/>
      <c r="O14783" s="11"/>
      <c r="P14783" s="11"/>
    </row>
    <row r="14784" spans="8:16" x14ac:dyDescent="0.25">
      <c r="H14784" s="12"/>
      <c r="I14784" s="12"/>
      <c r="J14784" s="12"/>
      <c r="K14784" s="12"/>
      <c r="L14784" s="12"/>
      <c r="M14784" s="11"/>
      <c r="N14784" s="11"/>
      <c r="O14784" s="11"/>
      <c r="P14784" s="11"/>
    </row>
    <row r="14785" spans="8:16" x14ac:dyDescent="0.25">
      <c r="H14785" s="12"/>
      <c r="I14785" s="12"/>
      <c r="J14785" s="12"/>
      <c r="K14785" s="12"/>
      <c r="L14785" s="12"/>
      <c r="M14785" s="11"/>
      <c r="N14785" s="11"/>
      <c r="O14785" s="11"/>
      <c r="P14785" s="11"/>
    </row>
    <row r="14786" spans="8:16" x14ac:dyDescent="0.25">
      <c r="H14786" s="12"/>
      <c r="I14786" s="12"/>
      <c r="J14786" s="12"/>
      <c r="K14786" s="12"/>
      <c r="L14786" s="12"/>
      <c r="M14786" s="11"/>
      <c r="N14786" s="11"/>
      <c r="O14786" s="11"/>
      <c r="P14786" s="11"/>
    </row>
    <row r="14787" spans="8:16" x14ac:dyDescent="0.25">
      <c r="H14787" s="12"/>
      <c r="I14787" s="12"/>
      <c r="J14787" s="12"/>
      <c r="K14787" s="12"/>
      <c r="L14787" s="12"/>
      <c r="M14787" s="11"/>
      <c r="N14787" s="11"/>
      <c r="O14787" s="11"/>
      <c r="P14787" s="11"/>
    </row>
    <row r="14788" spans="8:16" x14ac:dyDescent="0.25">
      <c r="H14788" s="12"/>
      <c r="I14788" s="12"/>
      <c r="J14788" s="12"/>
      <c r="K14788" s="12"/>
      <c r="L14788" s="12"/>
      <c r="M14788" s="11"/>
      <c r="N14788" s="11"/>
      <c r="O14788" s="11"/>
      <c r="P14788" s="11"/>
    </row>
    <row r="14789" spans="8:16" x14ac:dyDescent="0.25">
      <c r="H14789" s="12"/>
      <c r="I14789" s="12"/>
      <c r="J14789" s="12"/>
      <c r="K14789" s="12"/>
      <c r="L14789" s="12"/>
      <c r="M14789" s="11"/>
      <c r="N14789" s="11"/>
      <c r="O14789" s="11"/>
      <c r="P14789" s="11"/>
    </row>
    <row r="14790" spans="8:16" x14ac:dyDescent="0.25">
      <c r="H14790" s="12"/>
      <c r="I14790" s="12"/>
      <c r="J14790" s="12"/>
      <c r="K14790" s="12"/>
      <c r="L14790" s="12"/>
      <c r="M14790" s="11"/>
      <c r="N14790" s="11"/>
      <c r="O14790" s="11"/>
      <c r="P14790" s="11"/>
    </row>
    <row r="14791" spans="8:16" x14ac:dyDescent="0.25">
      <c r="H14791" s="12"/>
      <c r="I14791" s="12"/>
      <c r="J14791" s="12"/>
      <c r="K14791" s="12"/>
      <c r="L14791" s="12"/>
      <c r="M14791" s="11"/>
      <c r="N14791" s="11"/>
      <c r="O14791" s="11"/>
      <c r="P14791" s="11"/>
    </row>
    <row r="14792" spans="8:16" x14ac:dyDescent="0.25">
      <c r="H14792" s="12"/>
      <c r="I14792" s="12"/>
      <c r="J14792" s="12"/>
      <c r="K14792" s="12"/>
      <c r="L14792" s="12"/>
      <c r="M14792" s="11"/>
      <c r="N14792" s="11"/>
      <c r="O14792" s="11"/>
      <c r="P14792" s="11"/>
    </row>
    <row r="14793" spans="8:16" x14ac:dyDescent="0.25">
      <c r="H14793" s="12"/>
      <c r="I14793" s="12"/>
      <c r="J14793" s="12"/>
      <c r="K14793" s="12"/>
      <c r="L14793" s="12"/>
      <c r="M14793" s="11"/>
      <c r="N14793" s="11"/>
      <c r="O14793" s="11"/>
      <c r="P14793" s="11"/>
    </row>
    <row r="14794" spans="8:16" x14ac:dyDescent="0.25">
      <c r="H14794" s="12"/>
      <c r="I14794" s="12"/>
      <c r="J14794" s="12"/>
      <c r="K14794" s="12"/>
      <c r="L14794" s="12"/>
      <c r="M14794" s="11"/>
      <c r="N14794" s="11"/>
      <c r="O14794" s="11"/>
      <c r="P14794" s="11"/>
    </row>
    <row r="14795" spans="8:16" x14ac:dyDescent="0.25">
      <c r="H14795" s="12"/>
      <c r="I14795" s="12"/>
      <c r="J14795" s="12"/>
      <c r="K14795" s="12"/>
      <c r="L14795" s="12"/>
      <c r="M14795" s="11"/>
      <c r="N14795" s="11"/>
      <c r="O14795" s="11"/>
      <c r="P14795" s="11"/>
    </row>
    <row r="14796" spans="8:16" x14ac:dyDescent="0.25">
      <c r="H14796" s="12"/>
      <c r="I14796" s="12"/>
      <c r="J14796" s="12"/>
      <c r="K14796" s="12"/>
      <c r="L14796" s="12"/>
      <c r="M14796" s="11"/>
      <c r="N14796" s="11"/>
      <c r="O14796" s="11"/>
      <c r="P14796" s="11"/>
    </row>
    <row r="14797" spans="8:16" x14ac:dyDescent="0.25">
      <c r="H14797" s="12"/>
      <c r="I14797" s="12"/>
      <c r="J14797" s="12"/>
      <c r="K14797" s="12"/>
      <c r="L14797" s="12"/>
      <c r="M14797" s="11"/>
      <c r="N14797" s="11"/>
      <c r="O14797" s="11"/>
      <c r="P14797" s="11"/>
    </row>
    <row r="14798" spans="8:16" x14ac:dyDescent="0.25">
      <c r="H14798" s="12"/>
      <c r="I14798" s="12"/>
      <c r="J14798" s="12"/>
      <c r="K14798" s="12"/>
      <c r="L14798" s="12"/>
      <c r="M14798" s="11"/>
      <c r="N14798" s="11"/>
      <c r="O14798" s="11"/>
      <c r="P14798" s="11"/>
    </row>
    <row r="14799" spans="8:16" x14ac:dyDescent="0.25">
      <c r="H14799" s="12"/>
      <c r="I14799" s="12"/>
      <c r="J14799" s="12"/>
      <c r="K14799" s="12"/>
      <c r="L14799" s="12"/>
      <c r="M14799" s="11"/>
      <c r="N14799" s="11"/>
      <c r="O14799" s="11"/>
      <c r="P14799" s="11"/>
    </row>
    <row r="14800" spans="8:16" x14ac:dyDescent="0.25">
      <c r="H14800" s="12"/>
      <c r="I14800" s="12"/>
      <c r="J14800" s="12"/>
      <c r="K14800" s="12"/>
      <c r="L14800" s="12"/>
      <c r="M14800" s="11"/>
      <c r="N14800" s="11"/>
      <c r="O14800" s="11"/>
      <c r="P14800" s="11"/>
    </row>
    <row r="14801" spans="8:16" x14ac:dyDescent="0.25">
      <c r="H14801" s="12"/>
      <c r="I14801" s="12"/>
      <c r="J14801" s="12"/>
      <c r="K14801" s="12"/>
      <c r="L14801" s="12"/>
      <c r="M14801" s="11"/>
      <c r="N14801" s="11"/>
      <c r="O14801" s="11"/>
      <c r="P14801" s="11"/>
    </row>
    <row r="14802" spans="8:16" x14ac:dyDescent="0.25">
      <c r="H14802" s="12"/>
      <c r="I14802" s="12"/>
      <c r="J14802" s="12"/>
      <c r="K14802" s="12"/>
      <c r="L14802" s="12"/>
      <c r="M14802" s="11"/>
      <c r="N14802" s="11"/>
      <c r="O14802" s="11"/>
      <c r="P14802" s="11"/>
    </row>
    <row r="14803" spans="8:16" x14ac:dyDescent="0.25">
      <c r="H14803" s="12"/>
      <c r="I14803" s="12"/>
      <c r="J14803" s="12"/>
      <c r="K14803" s="12"/>
      <c r="L14803" s="12"/>
      <c r="M14803" s="11"/>
      <c r="N14803" s="11"/>
      <c r="O14803" s="11"/>
      <c r="P14803" s="11"/>
    </row>
    <row r="14804" spans="8:16" x14ac:dyDescent="0.25">
      <c r="H14804" s="12"/>
      <c r="I14804" s="12"/>
      <c r="J14804" s="12"/>
      <c r="K14804" s="12"/>
      <c r="L14804" s="12"/>
      <c r="M14804" s="11"/>
      <c r="N14804" s="11"/>
      <c r="O14804" s="11"/>
      <c r="P14804" s="11"/>
    </row>
    <row r="14805" spans="8:16" x14ac:dyDescent="0.25">
      <c r="H14805" s="12"/>
      <c r="I14805" s="12"/>
      <c r="J14805" s="12"/>
      <c r="K14805" s="12"/>
      <c r="L14805" s="12"/>
      <c r="M14805" s="11"/>
      <c r="N14805" s="11"/>
      <c r="O14805" s="11"/>
      <c r="P14805" s="11"/>
    </row>
    <row r="14806" spans="8:16" x14ac:dyDescent="0.25">
      <c r="H14806" s="12"/>
      <c r="I14806" s="12"/>
      <c r="J14806" s="12"/>
      <c r="K14806" s="12"/>
      <c r="L14806" s="12"/>
      <c r="M14806" s="11"/>
      <c r="N14806" s="11"/>
      <c r="O14806" s="11"/>
      <c r="P14806" s="11"/>
    </row>
    <row r="14807" spans="8:16" x14ac:dyDescent="0.25">
      <c r="H14807" s="12"/>
      <c r="I14807" s="12"/>
      <c r="J14807" s="12"/>
      <c r="K14807" s="12"/>
      <c r="L14807" s="12"/>
      <c r="M14807" s="11"/>
      <c r="N14807" s="11"/>
      <c r="O14807" s="11"/>
      <c r="P14807" s="11"/>
    </row>
    <row r="14808" spans="8:16" x14ac:dyDescent="0.25">
      <c r="H14808" s="12"/>
      <c r="I14808" s="12"/>
      <c r="J14808" s="12"/>
      <c r="K14808" s="12"/>
      <c r="L14808" s="12"/>
      <c r="M14808" s="11"/>
      <c r="N14808" s="11"/>
      <c r="O14808" s="11"/>
      <c r="P14808" s="11"/>
    </row>
    <row r="14809" spans="8:16" x14ac:dyDescent="0.25">
      <c r="H14809" s="12"/>
      <c r="I14809" s="12"/>
      <c r="J14809" s="12"/>
      <c r="K14809" s="12"/>
      <c r="L14809" s="12"/>
      <c r="M14809" s="11"/>
      <c r="N14809" s="11"/>
      <c r="O14809" s="11"/>
      <c r="P14809" s="11"/>
    </row>
    <row r="14810" spans="8:16" x14ac:dyDescent="0.25">
      <c r="H14810" s="12"/>
      <c r="I14810" s="12"/>
      <c r="J14810" s="12"/>
      <c r="K14810" s="12"/>
      <c r="L14810" s="12"/>
      <c r="M14810" s="11"/>
      <c r="N14810" s="11"/>
      <c r="O14810" s="11"/>
      <c r="P14810" s="11"/>
    </row>
    <row r="14811" spans="8:16" x14ac:dyDescent="0.25">
      <c r="H14811" s="12"/>
      <c r="I14811" s="12"/>
      <c r="J14811" s="12"/>
      <c r="K14811" s="12"/>
      <c r="L14811" s="12"/>
      <c r="M14811" s="11"/>
      <c r="N14811" s="11"/>
      <c r="O14811" s="11"/>
      <c r="P14811" s="11"/>
    </row>
    <row r="14812" spans="8:16" x14ac:dyDescent="0.25">
      <c r="H14812" s="12"/>
      <c r="I14812" s="12"/>
      <c r="J14812" s="12"/>
      <c r="K14812" s="12"/>
      <c r="L14812" s="12"/>
      <c r="M14812" s="11"/>
      <c r="N14812" s="11"/>
      <c r="O14812" s="11"/>
      <c r="P14812" s="11"/>
    </row>
    <row r="14813" spans="8:16" x14ac:dyDescent="0.25">
      <c r="H14813" s="12"/>
      <c r="I14813" s="12"/>
      <c r="J14813" s="12"/>
      <c r="K14813" s="12"/>
      <c r="L14813" s="12"/>
      <c r="M14813" s="11"/>
      <c r="N14813" s="11"/>
      <c r="O14813" s="11"/>
      <c r="P14813" s="11"/>
    </row>
    <row r="14814" spans="8:16" x14ac:dyDescent="0.25">
      <c r="H14814" s="12"/>
      <c r="I14814" s="12"/>
      <c r="J14814" s="12"/>
      <c r="K14814" s="12"/>
      <c r="L14814" s="12"/>
      <c r="M14814" s="11"/>
      <c r="N14814" s="11"/>
      <c r="O14814" s="11"/>
      <c r="P14814" s="11"/>
    </row>
    <row r="14815" spans="8:16" x14ac:dyDescent="0.25">
      <c r="H14815" s="12"/>
      <c r="I14815" s="12"/>
      <c r="J14815" s="12"/>
      <c r="K14815" s="12"/>
      <c r="L14815" s="12"/>
      <c r="M14815" s="11"/>
      <c r="N14815" s="11"/>
      <c r="O14815" s="11"/>
      <c r="P14815" s="11"/>
    </row>
    <row r="14816" spans="8:16" x14ac:dyDescent="0.25">
      <c r="H14816" s="12"/>
      <c r="I14816" s="12"/>
      <c r="J14816" s="12"/>
      <c r="K14816" s="12"/>
      <c r="L14816" s="12"/>
      <c r="M14816" s="11"/>
      <c r="N14816" s="11"/>
      <c r="O14816" s="11"/>
      <c r="P14816" s="11"/>
    </row>
    <row r="14817" spans="8:16" x14ac:dyDescent="0.25">
      <c r="H14817" s="12"/>
      <c r="I14817" s="12"/>
      <c r="J14817" s="12"/>
      <c r="K14817" s="12"/>
      <c r="L14817" s="12"/>
      <c r="M14817" s="11"/>
      <c r="N14817" s="11"/>
      <c r="O14817" s="11"/>
      <c r="P14817" s="11"/>
    </row>
    <row r="14818" spans="8:16" x14ac:dyDescent="0.25">
      <c r="H14818" s="12"/>
      <c r="I14818" s="12"/>
      <c r="J14818" s="12"/>
      <c r="K14818" s="12"/>
      <c r="L14818" s="12"/>
      <c r="M14818" s="11"/>
      <c r="N14818" s="11"/>
      <c r="O14818" s="11"/>
      <c r="P14818" s="11"/>
    </row>
    <row r="14819" spans="8:16" x14ac:dyDescent="0.25">
      <c r="H14819" s="12"/>
      <c r="I14819" s="12"/>
      <c r="J14819" s="12"/>
      <c r="K14819" s="12"/>
      <c r="L14819" s="12"/>
      <c r="M14819" s="11"/>
      <c r="N14819" s="11"/>
      <c r="O14819" s="11"/>
      <c r="P14819" s="11"/>
    </row>
    <row r="14820" spans="8:16" x14ac:dyDescent="0.25">
      <c r="H14820" s="12"/>
      <c r="I14820" s="12"/>
      <c r="J14820" s="12"/>
      <c r="K14820" s="12"/>
      <c r="L14820" s="12"/>
      <c r="M14820" s="11"/>
      <c r="N14820" s="11"/>
      <c r="O14820" s="11"/>
      <c r="P14820" s="11"/>
    </row>
    <row r="14821" spans="8:16" x14ac:dyDescent="0.25">
      <c r="H14821" s="12"/>
      <c r="I14821" s="12"/>
      <c r="J14821" s="12"/>
      <c r="K14821" s="12"/>
      <c r="L14821" s="12"/>
      <c r="M14821" s="11"/>
      <c r="N14821" s="11"/>
      <c r="O14821" s="11"/>
      <c r="P14821" s="11"/>
    </row>
    <row r="14822" spans="8:16" x14ac:dyDescent="0.25">
      <c r="H14822" s="12"/>
      <c r="I14822" s="12"/>
      <c r="J14822" s="12"/>
      <c r="K14822" s="12"/>
      <c r="L14822" s="12"/>
      <c r="M14822" s="11"/>
      <c r="N14822" s="11"/>
      <c r="O14822" s="11"/>
      <c r="P14822" s="11"/>
    </row>
    <row r="14823" spans="8:16" x14ac:dyDescent="0.25">
      <c r="H14823" s="12"/>
      <c r="I14823" s="12"/>
      <c r="J14823" s="12"/>
      <c r="K14823" s="12"/>
      <c r="L14823" s="12"/>
      <c r="M14823" s="11"/>
      <c r="N14823" s="11"/>
      <c r="O14823" s="11"/>
      <c r="P14823" s="11"/>
    </row>
    <row r="14824" spans="8:16" x14ac:dyDescent="0.25">
      <c r="H14824" s="12"/>
      <c r="I14824" s="12"/>
      <c r="J14824" s="12"/>
      <c r="K14824" s="12"/>
      <c r="L14824" s="12"/>
      <c r="M14824" s="11"/>
      <c r="N14824" s="11"/>
      <c r="O14824" s="11"/>
      <c r="P14824" s="11"/>
    </row>
    <row r="14825" spans="8:16" x14ac:dyDescent="0.25">
      <c r="H14825" s="12"/>
      <c r="I14825" s="12"/>
      <c r="J14825" s="12"/>
      <c r="K14825" s="12"/>
      <c r="L14825" s="12"/>
      <c r="M14825" s="11"/>
      <c r="N14825" s="11"/>
      <c r="O14825" s="11"/>
      <c r="P14825" s="11"/>
    </row>
    <row r="14826" spans="8:16" x14ac:dyDescent="0.25">
      <c r="H14826" s="12"/>
      <c r="I14826" s="12"/>
      <c r="J14826" s="12"/>
      <c r="K14826" s="12"/>
      <c r="L14826" s="12"/>
      <c r="M14826" s="11"/>
      <c r="N14826" s="11"/>
      <c r="O14826" s="11"/>
      <c r="P14826" s="11"/>
    </row>
    <row r="14827" spans="8:16" x14ac:dyDescent="0.25">
      <c r="H14827" s="12"/>
      <c r="I14827" s="12"/>
      <c r="J14827" s="12"/>
      <c r="K14827" s="12"/>
      <c r="L14827" s="12"/>
      <c r="M14827" s="11"/>
      <c r="N14827" s="11"/>
      <c r="O14827" s="11"/>
      <c r="P14827" s="11"/>
    </row>
    <row r="14828" spans="8:16" x14ac:dyDescent="0.25">
      <c r="H14828" s="12"/>
      <c r="I14828" s="12"/>
      <c r="J14828" s="12"/>
      <c r="K14828" s="12"/>
      <c r="L14828" s="12"/>
      <c r="M14828" s="11"/>
      <c r="N14828" s="11"/>
      <c r="O14828" s="11"/>
      <c r="P14828" s="11"/>
    </row>
    <row r="14829" spans="8:16" x14ac:dyDescent="0.25">
      <c r="H14829" s="12"/>
      <c r="I14829" s="12"/>
      <c r="J14829" s="12"/>
      <c r="K14829" s="12"/>
      <c r="L14829" s="12"/>
      <c r="M14829" s="11"/>
      <c r="N14829" s="11"/>
      <c r="O14829" s="11"/>
      <c r="P14829" s="11"/>
    </row>
    <row r="14830" spans="8:16" x14ac:dyDescent="0.25">
      <c r="H14830" s="12"/>
      <c r="I14830" s="12"/>
      <c r="J14830" s="12"/>
      <c r="K14830" s="12"/>
      <c r="L14830" s="12"/>
      <c r="M14830" s="11"/>
      <c r="N14830" s="11"/>
      <c r="O14830" s="11"/>
      <c r="P14830" s="11"/>
    </row>
    <row r="14831" spans="8:16" x14ac:dyDescent="0.25">
      <c r="H14831" s="12"/>
      <c r="I14831" s="12"/>
      <c r="J14831" s="12"/>
      <c r="K14831" s="12"/>
      <c r="L14831" s="12"/>
      <c r="M14831" s="11"/>
      <c r="N14831" s="11"/>
      <c r="O14831" s="11"/>
      <c r="P14831" s="11"/>
    </row>
    <row r="14832" spans="8:16" x14ac:dyDescent="0.25">
      <c r="H14832" s="12"/>
      <c r="I14832" s="12"/>
      <c r="J14832" s="12"/>
      <c r="K14832" s="12"/>
      <c r="L14832" s="12"/>
      <c r="M14832" s="11"/>
      <c r="N14832" s="11"/>
      <c r="O14832" s="11"/>
      <c r="P14832" s="11"/>
    </row>
    <row r="14833" spans="8:16" x14ac:dyDescent="0.25">
      <c r="H14833" s="12"/>
      <c r="I14833" s="12"/>
      <c r="J14833" s="12"/>
      <c r="K14833" s="12"/>
      <c r="L14833" s="12"/>
      <c r="M14833" s="11"/>
      <c r="N14833" s="11"/>
      <c r="O14833" s="11"/>
      <c r="P14833" s="11"/>
    </row>
    <row r="14834" spans="8:16" x14ac:dyDescent="0.25">
      <c r="H14834" s="12"/>
      <c r="I14834" s="12"/>
      <c r="J14834" s="12"/>
      <c r="K14834" s="12"/>
      <c r="L14834" s="12"/>
      <c r="M14834" s="11"/>
      <c r="N14834" s="11"/>
      <c r="O14834" s="11"/>
      <c r="P14834" s="11"/>
    </row>
    <row r="14835" spans="8:16" x14ac:dyDescent="0.25">
      <c r="H14835" s="12"/>
      <c r="I14835" s="12"/>
      <c r="J14835" s="12"/>
      <c r="K14835" s="12"/>
      <c r="L14835" s="12"/>
      <c r="M14835" s="11"/>
      <c r="N14835" s="11"/>
      <c r="O14835" s="11"/>
      <c r="P14835" s="11"/>
    </row>
    <row r="14836" spans="8:16" x14ac:dyDescent="0.25">
      <c r="H14836" s="12"/>
      <c r="I14836" s="12"/>
      <c r="J14836" s="12"/>
      <c r="K14836" s="12"/>
      <c r="L14836" s="12"/>
      <c r="M14836" s="11"/>
      <c r="N14836" s="11"/>
      <c r="O14836" s="11"/>
      <c r="P14836" s="11"/>
    </row>
    <row r="14837" spans="8:16" x14ac:dyDescent="0.25">
      <c r="H14837" s="12"/>
      <c r="I14837" s="12"/>
      <c r="J14837" s="12"/>
      <c r="K14837" s="12"/>
      <c r="L14837" s="12"/>
      <c r="M14837" s="11"/>
      <c r="N14837" s="11"/>
      <c r="O14837" s="11"/>
      <c r="P14837" s="11"/>
    </row>
    <row r="14838" spans="8:16" x14ac:dyDescent="0.25">
      <c r="H14838" s="12"/>
      <c r="I14838" s="12"/>
      <c r="J14838" s="12"/>
      <c r="K14838" s="12"/>
      <c r="L14838" s="12"/>
      <c r="M14838" s="11"/>
      <c r="N14838" s="11"/>
      <c r="O14838" s="11"/>
      <c r="P14838" s="11"/>
    </row>
    <row r="14839" spans="8:16" x14ac:dyDescent="0.25">
      <c r="H14839" s="12"/>
      <c r="I14839" s="12"/>
      <c r="J14839" s="12"/>
      <c r="K14839" s="12"/>
      <c r="L14839" s="12"/>
      <c r="M14839" s="11"/>
      <c r="N14839" s="11"/>
      <c r="O14839" s="11"/>
      <c r="P14839" s="11"/>
    </row>
    <row r="14840" spans="8:16" x14ac:dyDescent="0.25">
      <c r="H14840" s="12"/>
      <c r="I14840" s="12"/>
      <c r="J14840" s="12"/>
      <c r="K14840" s="12"/>
      <c r="L14840" s="12"/>
      <c r="M14840" s="11"/>
      <c r="N14840" s="11"/>
      <c r="O14840" s="11"/>
      <c r="P14840" s="11"/>
    </row>
    <row r="14841" spans="8:16" x14ac:dyDescent="0.25">
      <c r="H14841" s="12"/>
      <c r="I14841" s="12"/>
      <c r="J14841" s="12"/>
      <c r="K14841" s="12"/>
      <c r="L14841" s="12"/>
      <c r="M14841" s="11"/>
      <c r="N14841" s="11"/>
      <c r="O14841" s="11"/>
      <c r="P14841" s="11"/>
    </row>
    <row r="14842" spans="8:16" x14ac:dyDescent="0.25">
      <c r="H14842" s="12"/>
      <c r="I14842" s="12"/>
      <c r="J14842" s="12"/>
      <c r="K14842" s="12"/>
      <c r="L14842" s="12"/>
      <c r="M14842" s="11"/>
      <c r="N14842" s="11"/>
      <c r="O14842" s="11"/>
      <c r="P14842" s="11"/>
    </row>
    <row r="14843" spans="8:16" x14ac:dyDescent="0.25">
      <c r="H14843" s="12"/>
      <c r="I14843" s="12"/>
      <c r="J14843" s="12"/>
      <c r="K14843" s="12"/>
      <c r="L14843" s="12"/>
      <c r="M14843" s="11"/>
      <c r="N14843" s="11"/>
      <c r="O14843" s="11"/>
      <c r="P14843" s="11"/>
    </row>
    <row r="14844" spans="8:16" x14ac:dyDescent="0.25">
      <c r="H14844" s="12"/>
      <c r="I14844" s="12"/>
      <c r="J14844" s="12"/>
      <c r="K14844" s="12"/>
      <c r="L14844" s="12"/>
      <c r="M14844" s="11"/>
      <c r="N14844" s="11"/>
      <c r="O14844" s="11"/>
      <c r="P14844" s="11"/>
    </row>
    <row r="14845" spans="8:16" x14ac:dyDescent="0.25">
      <c r="H14845" s="12"/>
      <c r="I14845" s="12"/>
      <c r="J14845" s="12"/>
      <c r="K14845" s="12"/>
      <c r="L14845" s="12"/>
      <c r="M14845" s="11"/>
      <c r="N14845" s="11"/>
      <c r="O14845" s="11"/>
      <c r="P14845" s="11"/>
    </row>
    <row r="14846" spans="8:16" x14ac:dyDescent="0.25">
      <c r="H14846" s="12"/>
      <c r="I14846" s="12"/>
      <c r="J14846" s="12"/>
      <c r="K14846" s="12"/>
      <c r="L14846" s="12"/>
      <c r="M14846" s="11"/>
      <c r="N14846" s="11"/>
      <c r="O14846" s="11"/>
      <c r="P14846" s="11"/>
    </row>
    <row r="14847" spans="8:16" x14ac:dyDescent="0.25">
      <c r="H14847" s="12"/>
      <c r="I14847" s="12"/>
      <c r="J14847" s="12"/>
      <c r="K14847" s="12"/>
      <c r="L14847" s="12"/>
      <c r="M14847" s="11"/>
      <c r="N14847" s="11"/>
      <c r="O14847" s="11"/>
      <c r="P14847" s="11"/>
    </row>
    <row r="14848" spans="8:16" x14ac:dyDescent="0.25">
      <c r="H14848" s="12"/>
      <c r="I14848" s="12"/>
      <c r="J14848" s="12"/>
      <c r="K14848" s="12"/>
      <c r="L14848" s="12"/>
      <c r="M14848" s="11"/>
      <c r="N14848" s="11"/>
      <c r="O14848" s="11"/>
      <c r="P14848" s="11"/>
    </row>
    <row r="14849" spans="8:16" x14ac:dyDescent="0.25">
      <c r="H14849" s="12"/>
      <c r="I14849" s="12"/>
      <c r="J14849" s="12"/>
      <c r="K14849" s="12"/>
      <c r="L14849" s="12"/>
      <c r="M14849" s="11"/>
      <c r="N14849" s="11"/>
      <c r="O14849" s="11"/>
      <c r="P14849" s="11"/>
    </row>
    <row r="14850" spans="8:16" x14ac:dyDescent="0.25">
      <c r="H14850" s="12"/>
      <c r="I14850" s="12"/>
      <c r="J14850" s="12"/>
      <c r="K14850" s="12"/>
      <c r="L14850" s="12"/>
      <c r="M14850" s="11"/>
      <c r="N14850" s="11"/>
      <c r="O14850" s="11"/>
      <c r="P14850" s="11"/>
    </row>
    <row r="14851" spans="8:16" x14ac:dyDescent="0.25">
      <c r="H14851" s="12"/>
      <c r="I14851" s="12"/>
      <c r="J14851" s="12"/>
      <c r="K14851" s="12"/>
      <c r="L14851" s="12"/>
      <c r="M14851" s="11"/>
      <c r="N14851" s="11"/>
      <c r="O14851" s="11"/>
      <c r="P14851" s="11"/>
    </row>
    <row r="14852" spans="8:16" x14ac:dyDescent="0.25">
      <c r="H14852" s="12"/>
      <c r="I14852" s="12"/>
      <c r="J14852" s="12"/>
      <c r="K14852" s="12"/>
      <c r="L14852" s="12"/>
      <c r="M14852" s="11"/>
      <c r="N14852" s="11"/>
      <c r="O14852" s="11"/>
      <c r="P14852" s="11"/>
    </row>
    <row r="14853" spans="8:16" x14ac:dyDescent="0.25">
      <c r="H14853" s="12"/>
      <c r="I14853" s="12"/>
      <c r="J14853" s="12"/>
      <c r="K14853" s="12"/>
      <c r="L14853" s="12"/>
      <c r="M14853" s="11"/>
      <c r="N14853" s="11"/>
      <c r="O14853" s="11"/>
      <c r="P14853" s="11"/>
    </row>
    <row r="14854" spans="8:16" x14ac:dyDescent="0.25">
      <c r="H14854" s="12"/>
      <c r="I14854" s="12"/>
      <c r="J14854" s="12"/>
      <c r="K14854" s="12"/>
      <c r="L14854" s="12"/>
      <c r="M14854" s="11"/>
      <c r="N14854" s="11"/>
      <c r="O14854" s="11"/>
      <c r="P14854" s="11"/>
    </row>
    <row r="14855" spans="8:16" x14ac:dyDescent="0.25">
      <c r="H14855" s="12"/>
      <c r="I14855" s="12"/>
      <c r="J14855" s="12"/>
      <c r="K14855" s="12"/>
      <c r="L14855" s="12"/>
      <c r="M14855" s="11"/>
      <c r="N14855" s="11"/>
      <c r="O14855" s="11"/>
      <c r="P14855" s="11"/>
    </row>
    <row r="14856" spans="8:16" x14ac:dyDescent="0.25">
      <c r="H14856" s="12"/>
      <c r="I14856" s="12"/>
      <c r="J14856" s="12"/>
      <c r="K14856" s="12"/>
      <c r="L14856" s="12"/>
      <c r="M14856" s="11"/>
      <c r="N14856" s="11"/>
      <c r="O14856" s="11"/>
      <c r="P14856" s="11"/>
    </row>
    <row r="14857" spans="8:16" x14ac:dyDescent="0.25">
      <c r="H14857" s="12"/>
      <c r="I14857" s="12"/>
      <c r="J14857" s="12"/>
      <c r="K14857" s="12"/>
      <c r="L14857" s="12"/>
      <c r="M14857" s="11"/>
      <c r="N14857" s="11"/>
      <c r="O14857" s="11"/>
      <c r="P14857" s="11"/>
    </row>
    <row r="14858" spans="8:16" x14ac:dyDescent="0.25">
      <c r="H14858" s="12"/>
      <c r="I14858" s="12"/>
      <c r="J14858" s="12"/>
      <c r="K14858" s="12"/>
      <c r="L14858" s="12"/>
      <c r="M14858" s="11"/>
      <c r="N14858" s="11"/>
      <c r="O14858" s="11"/>
      <c r="P14858" s="11"/>
    </row>
    <row r="14859" spans="8:16" x14ac:dyDescent="0.25">
      <c r="H14859" s="12"/>
      <c r="I14859" s="12"/>
      <c r="J14859" s="12"/>
      <c r="K14859" s="12"/>
      <c r="L14859" s="12"/>
      <c r="M14859" s="11"/>
      <c r="N14859" s="11"/>
      <c r="O14859" s="11"/>
      <c r="P14859" s="11"/>
    </row>
    <row r="14860" spans="8:16" x14ac:dyDescent="0.25">
      <c r="H14860" s="12"/>
      <c r="I14860" s="12"/>
      <c r="J14860" s="12"/>
      <c r="K14860" s="12"/>
      <c r="L14860" s="12"/>
      <c r="M14860" s="11"/>
      <c r="N14860" s="11"/>
      <c r="O14860" s="11"/>
      <c r="P14860" s="11"/>
    </row>
    <row r="14861" spans="8:16" x14ac:dyDescent="0.25">
      <c r="H14861" s="12"/>
      <c r="I14861" s="12"/>
      <c r="J14861" s="12"/>
      <c r="K14861" s="12"/>
      <c r="L14861" s="12"/>
      <c r="M14861" s="11"/>
      <c r="N14861" s="11"/>
      <c r="O14861" s="11"/>
      <c r="P14861" s="11"/>
    </row>
    <row r="14862" spans="8:16" x14ac:dyDescent="0.25">
      <c r="H14862" s="12"/>
      <c r="I14862" s="12"/>
      <c r="J14862" s="12"/>
      <c r="K14862" s="12"/>
      <c r="L14862" s="12"/>
      <c r="M14862" s="11"/>
      <c r="N14862" s="11"/>
      <c r="O14862" s="11"/>
      <c r="P14862" s="11"/>
    </row>
    <row r="14863" spans="8:16" x14ac:dyDescent="0.25">
      <c r="H14863" s="12"/>
      <c r="I14863" s="12"/>
      <c r="J14863" s="12"/>
      <c r="K14863" s="12"/>
      <c r="L14863" s="12"/>
      <c r="M14863" s="11"/>
      <c r="N14863" s="11"/>
      <c r="O14863" s="11"/>
      <c r="P14863" s="11"/>
    </row>
    <row r="14864" spans="8:16" x14ac:dyDescent="0.25">
      <c r="H14864" s="12"/>
      <c r="I14864" s="12"/>
      <c r="J14864" s="12"/>
      <c r="K14864" s="12"/>
      <c r="L14864" s="12"/>
      <c r="M14864" s="11"/>
      <c r="N14864" s="11"/>
      <c r="O14864" s="11"/>
      <c r="P14864" s="11"/>
    </row>
    <row r="14865" spans="8:16" x14ac:dyDescent="0.25">
      <c r="H14865" s="12"/>
      <c r="I14865" s="12"/>
      <c r="J14865" s="12"/>
      <c r="K14865" s="12"/>
      <c r="L14865" s="12"/>
      <c r="M14865" s="11"/>
      <c r="N14865" s="11"/>
      <c r="O14865" s="11"/>
      <c r="P14865" s="11"/>
    </row>
    <row r="14866" spans="8:16" x14ac:dyDescent="0.25">
      <c r="H14866" s="12"/>
      <c r="I14866" s="12"/>
      <c r="J14866" s="12"/>
      <c r="K14866" s="12"/>
      <c r="L14866" s="12"/>
      <c r="M14866" s="11"/>
      <c r="N14866" s="11"/>
      <c r="O14866" s="11"/>
      <c r="P14866" s="11"/>
    </row>
    <row r="14867" spans="8:16" x14ac:dyDescent="0.25">
      <c r="H14867" s="12"/>
      <c r="I14867" s="12"/>
      <c r="J14867" s="12"/>
      <c r="K14867" s="12"/>
      <c r="L14867" s="12"/>
      <c r="M14867" s="11"/>
      <c r="N14867" s="11"/>
      <c r="O14867" s="11"/>
      <c r="P14867" s="11"/>
    </row>
    <row r="14868" spans="8:16" x14ac:dyDescent="0.25">
      <c r="H14868" s="12"/>
      <c r="I14868" s="12"/>
      <c r="J14868" s="12"/>
      <c r="K14868" s="12"/>
      <c r="L14868" s="12"/>
      <c r="M14868" s="11"/>
      <c r="N14868" s="11"/>
      <c r="O14868" s="11"/>
      <c r="P14868" s="11"/>
    </row>
    <row r="14869" spans="8:16" x14ac:dyDescent="0.25">
      <c r="H14869" s="12"/>
      <c r="I14869" s="12"/>
      <c r="J14869" s="12"/>
      <c r="K14869" s="12"/>
      <c r="L14869" s="12"/>
      <c r="M14869" s="11"/>
      <c r="N14869" s="11"/>
      <c r="O14869" s="11"/>
      <c r="P14869" s="11"/>
    </row>
    <row r="14870" spans="8:16" x14ac:dyDescent="0.25">
      <c r="H14870" s="12"/>
      <c r="I14870" s="12"/>
      <c r="J14870" s="12"/>
      <c r="K14870" s="12"/>
      <c r="L14870" s="12"/>
      <c r="M14870" s="11"/>
      <c r="N14870" s="11"/>
      <c r="O14870" s="11"/>
      <c r="P14870" s="11"/>
    </row>
    <row r="14871" spans="8:16" x14ac:dyDescent="0.25">
      <c r="H14871" s="12"/>
      <c r="I14871" s="12"/>
      <c r="J14871" s="12"/>
      <c r="K14871" s="12"/>
      <c r="L14871" s="12"/>
      <c r="M14871" s="11"/>
      <c r="N14871" s="11"/>
      <c r="O14871" s="11"/>
      <c r="P14871" s="11"/>
    </row>
    <row r="14872" spans="8:16" x14ac:dyDescent="0.25">
      <c r="H14872" s="12"/>
      <c r="I14872" s="12"/>
      <c r="J14872" s="12"/>
      <c r="K14872" s="12"/>
      <c r="L14872" s="12"/>
      <c r="M14872" s="11"/>
      <c r="N14872" s="11"/>
      <c r="O14872" s="11"/>
      <c r="P14872" s="11"/>
    </row>
    <row r="14873" spans="8:16" x14ac:dyDescent="0.25">
      <c r="H14873" s="12"/>
      <c r="I14873" s="12"/>
      <c r="J14873" s="12"/>
      <c r="K14873" s="12"/>
      <c r="L14873" s="12"/>
      <c r="M14873" s="11"/>
      <c r="N14873" s="11"/>
      <c r="O14873" s="11"/>
      <c r="P14873" s="11"/>
    </row>
    <row r="14874" spans="8:16" x14ac:dyDescent="0.25">
      <c r="H14874" s="12"/>
      <c r="I14874" s="12"/>
      <c r="J14874" s="12"/>
      <c r="K14874" s="12"/>
      <c r="L14874" s="12"/>
      <c r="M14874" s="11"/>
      <c r="N14874" s="11"/>
      <c r="O14874" s="11"/>
      <c r="P14874" s="11"/>
    </row>
    <row r="14875" spans="8:16" x14ac:dyDescent="0.25">
      <c r="H14875" s="12"/>
      <c r="I14875" s="12"/>
      <c r="J14875" s="12"/>
      <c r="K14875" s="12"/>
      <c r="L14875" s="12"/>
      <c r="M14875" s="11"/>
      <c r="N14875" s="11"/>
      <c r="O14875" s="11"/>
      <c r="P14875" s="11"/>
    </row>
    <row r="14876" spans="8:16" x14ac:dyDescent="0.25">
      <c r="H14876" s="12"/>
      <c r="I14876" s="12"/>
      <c r="J14876" s="12"/>
      <c r="K14876" s="12"/>
      <c r="L14876" s="12"/>
      <c r="M14876" s="11"/>
      <c r="N14876" s="11"/>
      <c r="O14876" s="11"/>
      <c r="P14876" s="11"/>
    </row>
    <row r="14877" spans="8:16" x14ac:dyDescent="0.25">
      <c r="H14877" s="12"/>
      <c r="I14877" s="12"/>
      <c r="J14877" s="12"/>
      <c r="K14877" s="12"/>
      <c r="L14877" s="12"/>
      <c r="M14877" s="11"/>
      <c r="N14877" s="11"/>
      <c r="O14877" s="11"/>
      <c r="P14877" s="11"/>
    </row>
    <row r="14878" spans="8:16" x14ac:dyDescent="0.25">
      <c r="H14878" s="12"/>
      <c r="I14878" s="12"/>
      <c r="J14878" s="12"/>
      <c r="K14878" s="12"/>
      <c r="L14878" s="12"/>
      <c r="M14878" s="11"/>
      <c r="N14878" s="11"/>
      <c r="O14878" s="11"/>
      <c r="P14878" s="11"/>
    </row>
    <row r="14879" spans="8:16" x14ac:dyDescent="0.25">
      <c r="H14879" s="12"/>
      <c r="I14879" s="12"/>
      <c r="J14879" s="12"/>
      <c r="K14879" s="12"/>
      <c r="L14879" s="12"/>
      <c r="M14879" s="11"/>
      <c r="N14879" s="11"/>
      <c r="O14879" s="11"/>
      <c r="P14879" s="11"/>
    </row>
    <row r="14880" spans="8:16" x14ac:dyDescent="0.25">
      <c r="H14880" s="12"/>
      <c r="I14880" s="12"/>
      <c r="J14880" s="12"/>
      <c r="K14880" s="12"/>
      <c r="L14880" s="12"/>
      <c r="M14880" s="11"/>
      <c r="N14880" s="11"/>
      <c r="O14880" s="11"/>
      <c r="P14880" s="11"/>
    </row>
    <row r="14881" spans="8:16" x14ac:dyDescent="0.25">
      <c r="H14881" s="12"/>
      <c r="I14881" s="12"/>
      <c r="J14881" s="12"/>
      <c r="K14881" s="12"/>
      <c r="L14881" s="12"/>
      <c r="M14881" s="11"/>
      <c r="N14881" s="11"/>
      <c r="O14881" s="11"/>
      <c r="P14881" s="11"/>
    </row>
    <row r="14882" spans="8:16" x14ac:dyDescent="0.25">
      <c r="H14882" s="12"/>
      <c r="I14882" s="12"/>
      <c r="J14882" s="12"/>
      <c r="K14882" s="12"/>
      <c r="L14882" s="12"/>
      <c r="M14882" s="11"/>
      <c r="N14882" s="11"/>
      <c r="O14882" s="11"/>
      <c r="P14882" s="11"/>
    </row>
    <row r="14883" spans="8:16" x14ac:dyDescent="0.25">
      <c r="H14883" s="12"/>
      <c r="I14883" s="12"/>
      <c r="J14883" s="12"/>
      <c r="K14883" s="12"/>
      <c r="L14883" s="12"/>
      <c r="M14883" s="11"/>
      <c r="N14883" s="11"/>
      <c r="O14883" s="11"/>
      <c r="P14883" s="11"/>
    </row>
    <row r="14884" spans="8:16" x14ac:dyDescent="0.25">
      <c r="H14884" s="12"/>
      <c r="I14884" s="12"/>
      <c r="J14884" s="12"/>
      <c r="K14884" s="12"/>
      <c r="L14884" s="12"/>
      <c r="M14884" s="11"/>
      <c r="N14884" s="11"/>
      <c r="O14884" s="11"/>
      <c r="P14884" s="11"/>
    </row>
    <row r="14885" spans="8:16" x14ac:dyDescent="0.25">
      <c r="H14885" s="12"/>
      <c r="I14885" s="12"/>
      <c r="J14885" s="12"/>
      <c r="K14885" s="12"/>
      <c r="L14885" s="12"/>
      <c r="M14885" s="11"/>
      <c r="N14885" s="11"/>
      <c r="O14885" s="11"/>
      <c r="P14885" s="11"/>
    </row>
    <row r="14886" spans="8:16" x14ac:dyDescent="0.25">
      <c r="H14886" s="12"/>
      <c r="I14886" s="12"/>
      <c r="J14886" s="12"/>
      <c r="K14886" s="12"/>
      <c r="L14886" s="12"/>
      <c r="M14886" s="11"/>
      <c r="N14886" s="11"/>
      <c r="O14886" s="11"/>
      <c r="P14886" s="11"/>
    </row>
    <row r="14887" spans="8:16" x14ac:dyDescent="0.25">
      <c r="H14887" s="12"/>
      <c r="I14887" s="12"/>
      <c r="J14887" s="12"/>
      <c r="K14887" s="12"/>
      <c r="L14887" s="12"/>
      <c r="M14887" s="11"/>
      <c r="N14887" s="11"/>
      <c r="O14887" s="11"/>
      <c r="P14887" s="11"/>
    </row>
    <row r="14888" spans="8:16" x14ac:dyDescent="0.25">
      <c r="H14888" s="12"/>
      <c r="I14888" s="12"/>
      <c r="J14888" s="12"/>
      <c r="K14888" s="12"/>
      <c r="L14888" s="12"/>
      <c r="M14888" s="11"/>
      <c r="N14888" s="11"/>
      <c r="O14888" s="11"/>
      <c r="P14888" s="11"/>
    </row>
    <row r="14889" spans="8:16" x14ac:dyDescent="0.25">
      <c r="H14889" s="12"/>
      <c r="I14889" s="12"/>
      <c r="J14889" s="12"/>
      <c r="K14889" s="12"/>
      <c r="L14889" s="12"/>
      <c r="M14889" s="11"/>
      <c r="N14889" s="11"/>
      <c r="O14889" s="11"/>
      <c r="P14889" s="11"/>
    </row>
    <row r="14890" spans="8:16" x14ac:dyDescent="0.25">
      <c r="H14890" s="12"/>
      <c r="I14890" s="12"/>
      <c r="J14890" s="12"/>
      <c r="K14890" s="12"/>
      <c r="L14890" s="12"/>
      <c r="M14890" s="11"/>
      <c r="N14890" s="11"/>
      <c r="O14890" s="11"/>
      <c r="P14890" s="11"/>
    </row>
    <row r="14891" spans="8:16" x14ac:dyDescent="0.25">
      <c r="H14891" s="12"/>
      <c r="I14891" s="12"/>
      <c r="J14891" s="12"/>
      <c r="K14891" s="12"/>
      <c r="L14891" s="12"/>
      <c r="M14891" s="11"/>
      <c r="N14891" s="11"/>
      <c r="O14891" s="11"/>
      <c r="P14891" s="11"/>
    </row>
    <row r="14892" spans="8:16" x14ac:dyDescent="0.25">
      <c r="H14892" s="12"/>
      <c r="I14892" s="12"/>
      <c r="J14892" s="12"/>
      <c r="K14892" s="12"/>
      <c r="L14892" s="12"/>
      <c r="M14892" s="11"/>
      <c r="N14892" s="11"/>
      <c r="O14892" s="11"/>
      <c r="P14892" s="11"/>
    </row>
    <row r="14893" spans="8:16" x14ac:dyDescent="0.25">
      <c r="H14893" s="12"/>
      <c r="I14893" s="12"/>
      <c r="J14893" s="12"/>
      <c r="K14893" s="12"/>
      <c r="L14893" s="12"/>
      <c r="M14893" s="11"/>
      <c r="N14893" s="11"/>
      <c r="O14893" s="11"/>
      <c r="P14893" s="11"/>
    </row>
    <row r="14894" spans="8:16" x14ac:dyDescent="0.25">
      <c r="H14894" s="12"/>
      <c r="I14894" s="12"/>
      <c r="J14894" s="12"/>
      <c r="K14894" s="12"/>
      <c r="L14894" s="12"/>
      <c r="M14894" s="11"/>
      <c r="N14894" s="11"/>
      <c r="O14894" s="11"/>
      <c r="P14894" s="11"/>
    </row>
    <row r="14895" spans="8:16" x14ac:dyDescent="0.25">
      <c r="H14895" s="12"/>
      <c r="I14895" s="12"/>
      <c r="J14895" s="12"/>
      <c r="K14895" s="12"/>
      <c r="L14895" s="12"/>
      <c r="M14895" s="11"/>
      <c r="N14895" s="11"/>
      <c r="O14895" s="11"/>
      <c r="P14895" s="11"/>
    </row>
    <row r="14896" spans="8:16" x14ac:dyDescent="0.25">
      <c r="H14896" s="12"/>
      <c r="I14896" s="12"/>
      <c r="J14896" s="12"/>
      <c r="K14896" s="12"/>
      <c r="L14896" s="12"/>
      <c r="M14896" s="11"/>
      <c r="N14896" s="11"/>
      <c r="O14896" s="11"/>
      <c r="P14896" s="11"/>
    </row>
    <row r="14897" spans="8:16" x14ac:dyDescent="0.25">
      <c r="H14897" s="12"/>
      <c r="I14897" s="12"/>
      <c r="J14897" s="12"/>
      <c r="K14897" s="12"/>
      <c r="L14897" s="12"/>
      <c r="M14897" s="11"/>
      <c r="N14897" s="11"/>
      <c r="O14897" s="11"/>
      <c r="P14897" s="11"/>
    </row>
    <row r="14898" spans="8:16" x14ac:dyDescent="0.25">
      <c r="H14898" s="12"/>
      <c r="I14898" s="12"/>
      <c r="J14898" s="12"/>
      <c r="K14898" s="12"/>
      <c r="L14898" s="12"/>
      <c r="M14898" s="11"/>
      <c r="N14898" s="11"/>
      <c r="O14898" s="11"/>
      <c r="P14898" s="11"/>
    </row>
    <row r="14899" spans="8:16" x14ac:dyDescent="0.25">
      <c r="H14899" s="12"/>
      <c r="I14899" s="12"/>
      <c r="J14899" s="12"/>
      <c r="K14899" s="12"/>
      <c r="L14899" s="12"/>
      <c r="M14899" s="11"/>
      <c r="N14899" s="11"/>
      <c r="O14899" s="11"/>
      <c r="P14899" s="11"/>
    </row>
    <row r="14900" spans="8:16" x14ac:dyDescent="0.25">
      <c r="H14900" s="12"/>
      <c r="I14900" s="12"/>
      <c r="J14900" s="12"/>
      <c r="K14900" s="12"/>
      <c r="L14900" s="12"/>
      <c r="M14900" s="11"/>
      <c r="N14900" s="11"/>
      <c r="O14900" s="11"/>
      <c r="P14900" s="11"/>
    </row>
    <row r="14901" spans="8:16" x14ac:dyDescent="0.25">
      <c r="H14901" s="12"/>
      <c r="I14901" s="12"/>
      <c r="J14901" s="12"/>
      <c r="K14901" s="12"/>
      <c r="L14901" s="12"/>
      <c r="M14901" s="11"/>
      <c r="N14901" s="11"/>
      <c r="O14901" s="11"/>
      <c r="P14901" s="11"/>
    </row>
    <row r="14902" spans="8:16" x14ac:dyDescent="0.25">
      <c r="H14902" s="12"/>
      <c r="I14902" s="12"/>
      <c r="J14902" s="12"/>
      <c r="K14902" s="12"/>
      <c r="L14902" s="12"/>
      <c r="M14902" s="11"/>
      <c r="N14902" s="11"/>
      <c r="O14902" s="11"/>
      <c r="P14902" s="11"/>
    </row>
    <row r="14903" spans="8:16" x14ac:dyDescent="0.25">
      <c r="H14903" s="12"/>
      <c r="I14903" s="12"/>
      <c r="J14903" s="12"/>
      <c r="K14903" s="12"/>
      <c r="L14903" s="12"/>
      <c r="M14903" s="11"/>
      <c r="N14903" s="11"/>
      <c r="O14903" s="11"/>
      <c r="P14903" s="11"/>
    </row>
    <row r="14904" spans="8:16" x14ac:dyDescent="0.25">
      <c r="H14904" s="12"/>
      <c r="I14904" s="12"/>
      <c r="J14904" s="12"/>
      <c r="K14904" s="12"/>
      <c r="L14904" s="12"/>
      <c r="M14904" s="11"/>
      <c r="N14904" s="11"/>
      <c r="O14904" s="11"/>
      <c r="P14904" s="11"/>
    </row>
    <row r="14905" spans="8:16" x14ac:dyDescent="0.25">
      <c r="H14905" s="12"/>
      <c r="I14905" s="12"/>
      <c r="J14905" s="12"/>
      <c r="K14905" s="12"/>
      <c r="L14905" s="12"/>
      <c r="M14905" s="11"/>
      <c r="N14905" s="11"/>
      <c r="O14905" s="11"/>
      <c r="P14905" s="11"/>
    </row>
    <row r="14906" spans="8:16" x14ac:dyDescent="0.25">
      <c r="H14906" s="12"/>
      <c r="I14906" s="12"/>
      <c r="J14906" s="12"/>
      <c r="K14906" s="12"/>
      <c r="L14906" s="12"/>
      <c r="M14906" s="11"/>
      <c r="N14906" s="11"/>
      <c r="O14906" s="11"/>
      <c r="P14906" s="11"/>
    </row>
    <row r="14907" spans="8:16" x14ac:dyDescent="0.25">
      <c r="H14907" s="12"/>
      <c r="I14907" s="12"/>
      <c r="J14907" s="12"/>
      <c r="K14907" s="12"/>
      <c r="L14907" s="12"/>
      <c r="M14907" s="11"/>
      <c r="N14907" s="11"/>
      <c r="O14907" s="11"/>
      <c r="P14907" s="11"/>
    </row>
    <row r="14908" spans="8:16" x14ac:dyDescent="0.25">
      <c r="H14908" s="12"/>
      <c r="I14908" s="12"/>
      <c r="J14908" s="12"/>
      <c r="K14908" s="12"/>
      <c r="L14908" s="12"/>
      <c r="M14908" s="11"/>
      <c r="N14908" s="11"/>
      <c r="O14908" s="11"/>
      <c r="P14908" s="11"/>
    </row>
    <row r="14909" spans="8:16" x14ac:dyDescent="0.25">
      <c r="H14909" s="12"/>
      <c r="I14909" s="12"/>
      <c r="J14909" s="12"/>
      <c r="K14909" s="12"/>
      <c r="L14909" s="12"/>
      <c r="M14909" s="11"/>
      <c r="N14909" s="11"/>
      <c r="O14909" s="11"/>
      <c r="P14909" s="11"/>
    </row>
    <row r="14910" spans="8:16" x14ac:dyDescent="0.25">
      <c r="H14910" s="12"/>
      <c r="I14910" s="12"/>
      <c r="J14910" s="12"/>
      <c r="K14910" s="12"/>
      <c r="L14910" s="12"/>
      <c r="M14910" s="11"/>
      <c r="N14910" s="11"/>
      <c r="O14910" s="11"/>
      <c r="P14910" s="11"/>
    </row>
    <row r="14911" spans="8:16" x14ac:dyDescent="0.25">
      <c r="H14911" s="12"/>
      <c r="I14911" s="12"/>
      <c r="J14911" s="12"/>
      <c r="K14911" s="12"/>
      <c r="L14911" s="12"/>
      <c r="M14911" s="11"/>
      <c r="N14911" s="11"/>
      <c r="O14911" s="11"/>
      <c r="P14911" s="11"/>
    </row>
    <row r="14912" spans="8:16" x14ac:dyDescent="0.25">
      <c r="H14912" s="12"/>
      <c r="I14912" s="12"/>
      <c r="J14912" s="12"/>
      <c r="K14912" s="12"/>
      <c r="L14912" s="12"/>
      <c r="M14912" s="11"/>
      <c r="N14912" s="11"/>
      <c r="O14912" s="11"/>
      <c r="P14912" s="11"/>
    </row>
    <row r="14913" spans="8:16" x14ac:dyDescent="0.25">
      <c r="H14913" s="12"/>
      <c r="I14913" s="12"/>
      <c r="J14913" s="12"/>
      <c r="K14913" s="12"/>
      <c r="L14913" s="12"/>
      <c r="M14913" s="11"/>
      <c r="N14913" s="11"/>
      <c r="O14913" s="11"/>
      <c r="P14913" s="11"/>
    </row>
    <row r="14914" spans="8:16" x14ac:dyDescent="0.25">
      <c r="H14914" s="12"/>
      <c r="I14914" s="12"/>
      <c r="J14914" s="12"/>
      <c r="K14914" s="12"/>
      <c r="L14914" s="12"/>
      <c r="M14914" s="11"/>
      <c r="N14914" s="11"/>
      <c r="O14914" s="11"/>
      <c r="P14914" s="11"/>
    </row>
    <row r="14915" spans="8:16" x14ac:dyDescent="0.25">
      <c r="H14915" s="12"/>
      <c r="I14915" s="12"/>
      <c r="J14915" s="12"/>
      <c r="K14915" s="12"/>
      <c r="L14915" s="12"/>
      <c r="M14915" s="11"/>
      <c r="N14915" s="11"/>
      <c r="O14915" s="11"/>
      <c r="P14915" s="11"/>
    </row>
    <row r="14916" spans="8:16" x14ac:dyDescent="0.25">
      <c r="H14916" s="12"/>
      <c r="I14916" s="12"/>
      <c r="J14916" s="12"/>
      <c r="K14916" s="12"/>
      <c r="L14916" s="12"/>
      <c r="M14916" s="11"/>
      <c r="N14916" s="11"/>
      <c r="O14916" s="11"/>
      <c r="P14916" s="11"/>
    </row>
    <row r="14917" spans="8:16" x14ac:dyDescent="0.25">
      <c r="H14917" s="12"/>
      <c r="I14917" s="12"/>
      <c r="J14917" s="12"/>
      <c r="K14917" s="12"/>
      <c r="L14917" s="12"/>
      <c r="M14917" s="11"/>
      <c r="N14917" s="11"/>
      <c r="O14917" s="11"/>
      <c r="P14917" s="11"/>
    </row>
    <row r="14918" spans="8:16" x14ac:dyDescent="0.25">
      <c r="H14918" s="12"/>
      <c r="I14918" s="12"/>
      <c r="J14918" s="12"/>
      <c r="K14918" s="12"/>
      <c r="L14918" s="12"/>
      <c r="M14918" s="11"/>
      <c r="N14918" s="11"/>
      <c r="O14918" s="11"/>
      <c r="P14918" s="11"/>
    </row>
    <row r="14919" spans="8:16" x14ac:dyDescent="0.25">
      <c r="H14919" s="12"/>
      <c r="I14919" s="12"/>
      <c r="J14919" s="12"/>
      <c r="K14919" s="12"/>
      <c r="L14919" s="12"/>
      <c r="M14919" s="11"/>
      <c r="N14919" s="11"/>
      <c r="O14919" s="11"/>
      <c r="P14919" s="11"/>
    </row>
    <row r="14920" spans="8:16" x14ac:dyDescent="0.25">
      <c r="H14920" s="12"/>
      <c r="I14920" s="12"/>
      <c r="J14920" s="12"/>
      <c r="K14920" s="12"/>
      <c r="L14920" s="12"/>
      <c r="M14920" s="11"/>
      <c r="N14920" s="11"/>
      <c r="O14920" s="11"/>
      <c r="P14920" s="11"/>
    </row>
    <row r="14921" spans="8:16" x14ac:dyDescent="0.25">
      <c r="H14921" s="12"/>
      <c r="I14921" s="12"/>
      <c r="J14921" s="12"/>
      <c r="K14921" s="12"/>
      <c r="L14921" s="12"/>
      <c r="M14921" s="11"/>
      <c r="N14921" s="11"/>
      <c r="O14921" s="11"/>
      <c r="P14921" s="11"/>
    </row>
    <row r="14922" spans="8:16" x14ac:dyDescent="0.25">
      <c r="H14922" s="12"/>
      <c r="I14922" s="12"/>
      <c r="J14922" s="12"/>
      <c r="K14922" s="12"/>
      <c r="L14922" s="12"/>
      <c r="M14922" s="11"/>
      <c r="N14922" s="11"/>
      <c r="O14922" s="11"/>
      <c r="P14922" s="11"/>
    </row>
    <row r="14923" spans="8:16" x14ac:dyDescent="0.25">
      <c r="H14923" s="12"/>
      <c r="I14923" s="12"/>
      <c r="J14923" s="12"/>
      <c r="K14923" s="12"/>
      <c r="L14923" s="12"/>
      <c r="M14923" s="11"/>
      <c r="N14923" s="11"/>
      <c r="O14923" s="11"/>
      <c r="P14923" s="11"/>
    </row>
    <row r="14924" spans="8:16" x14ac:dyDescent="0.25">
      <c r="H14924" s="12"/>
      <c r="I14924" s="12"/>
      <c r="J14924" s="12"/>
      <c r="K14924" s="12"/>
      <c r="L14924" s="12"/>
      <c r="M14924" s="11"/>
      <c r="N14924" s="11"/>
      <c r="O14924" s="11"/>
      <c r="P14924" s="11"/>
    </row>
    <row r="14925" spans="8:16" x14ac:dyDescent="0.25">
      <c r="H14925" s="12"/>
      <c r="I14925" s="12"/>
      <c r="J14925" s="12"/>
      <c r="K14925" s="12"/>
      <c r="L14925" s="12"/>
      <c r="M14925" s="11"/>
      <c r="N14925" s="11"/>
      <c r="O14925" s="11"/>
      <c r="P14925" s="11"/>
    </row>
    <row r="14926" spans="8:16" x14ac:dyDescent="0.25">
      <c r="H14926" s="12"/>
      <c r="I14926" s="12"/>
      <c r="J14926" s="12"/>
      <c r="K14926" s="12"/>
      <c r="L14926" s="12"/>
      <c r="M14926" s="11"/>
      <c r="N14926" s="11"/>
      <c r="O14926" s="11"/>
      <c r="P14926" s="11"/>
    </row>
    <row r="14927" spans="8:16" x14ac:dyDescent="0.25">
      <c r="H14927" s="12"/>
      <c r="I14927" s="12"/>
      <c r="J14927" s="12"/>
      <c r="K14927" s="12"/>
      <c r="L14927" s="12"/>
      <c r="M14927" s="11"/>
      <c r="N14927" s="11"/>
      <c r="O14927" s="11"/>
      <c r="P14927" s="11"/>
    </row>
    <row r="14928" spans="8:16" x14ac:dyDescent="0.25">
      <c r="H14928" s="12"/>
      <c r="I14928" s="12"/>
      <c r="J14928" s="12"/>
      <c r="K14928" s="12"/>
      <c r="L14928" s="12"/>
      <c r="M14928" s="11"/>
      <c r="N14928" s="11"/>
      <c r="O14928" s="11"/>
      <c r="P14928" s="11"/>
    </row>
    <row r="14929" spans="8:16" x14ac:dyDescent="0.25">
      <c r="H14929" s="12"/>
      <c r="I14929" s="12"/>
      <c r="J14929" s="12"/>
      <c r="K14929" s="12"/>
      <c r="L14929" s="12"/>
      <c r="M14929" s="11"/>
      <c r="N14929" s="11"/>
      <c r="O14929" s="11"/>
      <c r="P14929" s="11"/>
    </row>
    <row r="14930" spans="8:16" x14ac:dyDescent="0.25">
      <c r="H14930" s="12"/>
      <c r="I14930" s="12"/>
      <c r="J14930" s="12"/>
      <c r="K14930" s="12"/>
      <c r="L14930" s="12"/>
      <c r="M14930" s="11"/>
      <c r="N14930" s="11"/>
      <c r="O14930" s="11"/>
      <c r="P14930" s="11"/>
    </row>
    <row r="14931" spans="8:16" x14ac:dyDescent="0.25">
      <c r="H14931" s="12"/>
      <c r="I14931" s="12"/>
      <c r="J14931" s="12"/>
      <c r="K14931" s="12"/>
      <c r="L14931" s="12"/>
      <c r="M14931" s="11"/>
      <c r="N14931" s="11"/>
      <c r="O14931" s="11"/>
      <c r="P14931" s="11"/>
    </row>
    <row r="14932" spans="8:16" x14ac:dyDescent="0.25">
      <c r="H14932" s="12"/>
      <c r="I14932" s="12"/>
      <c r="J14932" s="12"/>
      <c r="K14932" s="12"/>
      <c r="L14932" s="12"/>
      <c r="M14932" s="11"/>
      <c r="N14932" s="11"/>
      <c r="O14932" s="11"/>
      <c r="P14932" s="11"/>
    </row>
    <row r="14933" spans="8:16" x14ac:dyDescent="0.25">
      <c r="H14933" s="12"/>
      <c r="I14933" s="12"/>
      <c r="J14933" s="12"/>
      <c r="K14933" s="12"/>
      <c r="L14933" s="12"/>
      <c r="M14933" s="11"/>
      <c r="N14933" s="11"/>
      <c r="O14933" s="11"/>
      <c r="P14933" s="11"/>
    </row>
    <row r="14934" spans="8:16" x14ac:dyDescent="0.25">
      <c r="H14934" s="12"/>
      <c r="I14934" s="12"/>
      <c r="J14934" s="12"/>
      <c r="K14934" s="12"/>
      <c r="L14934" s="12"/>
      <c r="M14934" s="11"/>
      <c r="N14934" s="11"/>
      <c r="O14934" s="11"/>
      <c r="P14934" s="11"/>
    </row>
    <row r="14935" spans="8:16" x14ac:dyDescent="0.25">
      <c r="H14935" s="12"/>
      <c r="I14935" s="12"/>
      <c r="J14935" s="12"/>
      <c r="K14935" s="12"/>
      <c r="L14935" s="12"/>
      <c r="M14935" s="11"/>
      <c r="N14935" s="11"/>
      <c r="O14935" s="11"/>
      <c r="P14935" s="11"/>
    </row>
    <row r="14936" spans="8:16" x14ac:dyDescent="0.25">
      <c r="H14936" s="12"/>
      <c r="I14936" s="12"/>
      <c r="J14936" s="12"/>
      <c r="K14936" s="12"/>
      <c r="L14936" s="12"/>
      <c r="M14936" s="11"/>
      <c r="N14936" s="11"/>
      <c r="O14936" s="11"/>
      <c r="P14936" s="11"/>
    </row>
    <row r="14937" spans="8:16" x14ac:dyDescent="0.25">
      <c r="H14937" s="12"/>
      <c r="I14937" s="12"/>
      <c r="J14937" s="12"/>
      <c r="K14937" s="12"/>
      <c r="L14937" s="12"/>
      <c r="M14937" s="11"/>
      <c r="N14937" s="11"/>
      <c r="O14937" s="11"/>
      <c r="P14937" s="11"/>
    </row>
    <row r="14938" spans="8:16" x14ac:dyDescent="0.25">
      <c r="H14938" s="12"/>
      <c r="I14938" s="12"/>
      <c r="J14938" s="12"/>
      <c r="K14938" s="12"/>
      <c r="L14938" s="12"/>
      <c r="M14938" s="11"/>
      <c r="N14938" s="11"/>
      <c r="O14938" s="11"/>
      <c r="P14938" s="11"/>
    </row>
    <row r="14939" spans="8:16" x14ac:dyDescent="0.25">
      <c r="H14939" s="12"/>
      <c r="I14939" s="12"/>
      <c r="J14939" s="12"/>
      <c r="K14939" s="12"/>
      <c r="L14939" s="12"/>
      <c r="M14939" s="11"/>
      <c r="N14939" s="11"/>
      <c r="O14939" s="11"/>
      <c r="P14939" s="11"/>
    </row>
    <row r="14940" spans="8:16" x14ac:dyDescent="0.25">
      <c r="H14940" s="12"/>
      <c r="I14940" s="12"/>
      <c r="J14940" s="12"/>
      <c r="K14940" s="12"/>
      <c r="L14940" s="12"/>
      <c r="M14940" s="11"/>
      <c r="N14940" s="11"/>
      <c r="O14940" s="11"/>
      <c r="P14940" s="11"/>
    </row>
    <row r="14941" spans="8:16" x14ac:dyDescent="0.25">
      <c r="H14941" s="12"/>
      <c r="I14941" s="12"/>
      <c r="J14941" s="12"/>
      <c r="K14941" s="12"/>
      <c r="L14941" s="12"/>
      <c r="M14941" s="11"/>
      <c r="N14941" s="11"/>
      <c r="O14941" s="11"/>
      <c r="P14941" s="11"/>
    </row>
    <row r="14942" spans="8:16" x14ac:dyDescent="0.25">
      <c r="H14942" s="12"/>
      <c r="I14942" s="12"/>
      <c r="J14942" s="12"/>
      <c r="K14942" s="12"/>
      <c r="L14942" s="12"/>
      <c r="M14942" s="11"/>
      <c r="N14942" s="11"/>
      <c r="O14942" s="11"/>
      <c r="P14942" s="11"/>
    </row>
    <row r="14943" spans="8:16" x14ac:dyDescent="0.25">
      <c r="H14943" s="12"/>
      <c r="I14943" s="12"/>
      <c r="J14943" s="12"/>
      <c r="K14943" s="12"/>
      <c r="L14943" s="12"/>
      <c r="M14943" s="11"/>
      <c r="N14943" s="11"/>
      <c r="O14943" s="11"/>
      <c r="P14943" s="11"/>
    </row>
    <row r="14944" spans="8:16" x14ac:dyDescent="0.25">
      <c r="H14944" s="12"/>
      <c r="I14944" s="12"/>
      <c r="J14944" s="12"/>
      <c r="K14944" s="12"/>
      <c r="L14944" s="12"/>
      <c r="M14944" s="11"/>
      <c r="N14944" s="11"/>
      <c r="O14944" s="11"/>
      <c r="P14944" s="11"/>
    </row>
    <row r="14945" spans="8:16" x14ac:dyDescent="0.25">
      <c r="H14945" s="12"/>
      <c r="I14945" s="12"/>
      <c r="J14945" s="12"/>
      <c r="K14945" s="12"/>
      <c r="L14945" s="12"/>
      <c r="M14945" s="11"/>
      <c r="N14945" s="11"/>
      <c r="O14945" s="11"/>
      <c r="P14945" s="11"/>
    </row>
    <row r="14946" spans="8:16" x14ac:dyDescent="0.25">
      <c r="H14946" s="12"/>
      <c r="I14946" s="12"/>
      <c r="J14946" s="12"/>
      <c r="K14946" s="12"/>
      <c r="L14946" s="12"/>
      <c r="M14946" s="11"/>
      <c r="N14946" s="11"/>
      <c r="O14946" s="11"/>
      <c r="P14946" s="11"/>
    </row>
    <row r="14947" spans="8:16" x14ac:dyDescent="0.25">
      <c r="H14947" s="12"/>
      <c r="I14947" s="12"/>
      <c r="J14947" s="12"/>
      <c r="K14947" s="12"/>
      <c r="L14947" s="12"/>
      <c r="M14947" s="11"/>
      <c r="N14947" s="11"/>
      <c r="O14947" s="11"/>
      <c r="P14947" s="11"/>
    </row>
    <row r="14948" spans="8:16" x14ac:dyDescent="0.25">
      <c r="H14948" s="12"/>
      <c r="I14948" s="12"/>
      <c r="J14948" s="12"/>
      <c r="K14948" s="12"/>
      <c r="L14948" s="12"/>
      <c r="M14948" s="11"/>
      <c r="N14948" s="11"/>
      <c r="O14948" s="11"/>
      <c r="P14948" s="11"/>
    </row>
    <row r="14949" spans="8:16" x14ac:dyDescent="0.25">
      <c r="H14949" s="12"/>
      <c r="I14949" s="12"/>
      <c r="J14949" s="12"/>
      <c r="K14949" s="12"/>
      <c r="L14949" s="12"/>
      <c r="M14949" s="11"/>
      <c r="N14949" s="11"/>
      <c r="O14949" s="11"/>
      <c r="P14949" s="11"/>
    </row>
    <row r="14950" spans="8:16" x14ac:dyDescent="0.25">
      <c r="H14950" s="12"/>
      <c r="I14950" s="12"/>
      <c r="J14950" s="12"/>
      <c r="K14950" s="12"/>
      <c r="L14950" s="12"/>
      <c r="M14950" s="11"/>
      <c r="N14950" s="11"/>
      <c r="O14950" s="11"/>
      <c r="P14950" s="11"/>
    </row>
    <row r="14951" spans="8:16" x14ac:dyDescent="0.25">
      <c r="H14951" s="12"/>
      <c r="I14951" s="12"/>
      <c r="J14951" s="12"/>
      <c r="K14951" s="12"/>
      <c r="L14951" s="12"/>
      <c r="M14951" s="11"/>
      <c r="N14951" s="11"/>
      <c r="O14951" s="11"/>
      <c r="P14951" s="11"/>
    </row>
    <row r="14952" spans="8:16" x14ac:dyDescent="0.25">
      <c r="H14952" s="12"/>
      <c r="I14952" s="12"/>
      <c r="J14952" s="12"/>
      <c r="K14952" s="12"/>
      <c r="L14952" s="12"/>
      <c r="M14952" s="11"/>
      <c r="N14952" s="11"/>
      <c r="O14952" s="11"/>
      <c r="P14952" s="11"/>
    </row>
    <row r="14953" spans="8:16" x14ac:dyDescent="0.25">
      <c r="H14953" s="12"/>
      <c r="I14953" s="12"/>
      <c r="J14953" s="12"/>
      <c r="K14953" s="12"/>
      <c r="L14953" s="12"/>
      <c r="M14953" s="11"/>
      <c r="N14953" s="11"/>
      <c r="O14953" s="11"/>
      <c r="P14953" s="11"/>
    </row>
    <row r="14954" spans="8:16" x14ac:dyDescent="0.25">
      <c r="H14954" s="12"/>
      <c r="I14954" s="12"/>
      <c r="J14954" s="12"/>
      <c r="K14954" s="12"/>
      <c r="L14954" s="12"/>
      <c r="M14954" s="11"/>
      <c r="N14954" s="11"/>
      <c r="O14954" s="11"/>
      <c r="P14954" s="11"/>
    </row>
    <row r="14955" spans="8:16" x14ac:dyDescent="0.25">
      <c r="H14955" s="12"/>
      <c r="I14955" s="12"/>
      <c r="J14955" s="12"/>
      <c r="K14955" s="12"/>
      <c r="L14955" s="12"/>
      <c r="M14955" s="11"/>
      <c r="N14955" s="11"/>
      <c r="O14955" s="11"/>
      <c r="P14955" s="11"/>
    </row>
    <row r="14956" spans="8:16" x14ac:dyDescent="0.25">
      <c r="H14956" s="12"/>
      <c r="I14956" s="12"/>
      <c r="J14956" s="12"/>
      <c r="K14956" s="12"/>
      <c r="L14956" s="12"/>
      <c r="M14956" s="11"/>
      <c r="N14956" s="11"/>
      <c r="O14956" s="11"/>
      <c r="P14956" s="11"/>
    </row>
    <row r="14957" spans="8:16" x14ac:dyDescent="0.25">
      <c r="H14957" s="12"/>
      <c r="I14957" s="12"/>
      <c r="J14957" s="12"/>
      <c r="K14957" s="12"/>
      <c r="L14957" s="12"/>
      <c r="M14957" s="11"/>
      <c r="N14957" s="11"/>
      <c r="O14957" s="11"/>
      <c r="P14957" s="11"/>
    </row>
    <row r="14958" spans="8:16" x14ac:dyDescent="0.25">
      <c r="H14958" s="12"/>
      <c r="I14958" s="12"/>
      <c r="J14958" s="12"/>
      <c r="K14958" s="12"/>
      <c r="L14958" s="12"/>
      <c r="M14958" s="11"/>
      <c r="N14958" s="11"/>
      <c r="O14958" s="11"/>
      <c r="P14958" s="11"/>
    </row>
    <row r="14959" spans="8:16" x14ac:dyDescent="0.25">
      <c r="H14959" s="12"/>
      <c r="I14959" s="12"/>
      <c r="J14959" s="12"/>
      <c r="K14959" s="12"/>
      <c r="L14959" s="12"/>
      <c r="M14959" s="11"/>
      <c r="N14959" s="11"/>
      <c r="O14959" s="11"/>
      <c r="P14959" s="11"/>
    </row>
    <row r="14960" spans="8:16" x14ac:dyDescent="0.25">
      <c r="H14960" s="12"/>
      <c r="I14960" s="12"/>
      <c r="J14960" s="12"/>
      <c r="K14960" s="12"/>
      <c r="L14960" s="12"/>
      <c r="M14960" s="11"/>
      <c r="N14960" s="11"/>
      <c r="O14960" s="11"/>
      <c r="P14960" s="11"/>
    </row>
    <row r="14961" spans="8:16" x14ac:dyDescent="0.25">
      <c r="H14961" s="12"/>
      <c r="I14961" s="12"/>
      <c r="J14961" s="12"/>
      <c r="K14961" s="12"/>
      <c r="L14961" s="12"/>
      <c r="M14961" s="11"/>
      <c r="N14961" s="11"/>
      <c r="O14961" s="11"/>
      <c r="P14961" s="11"/>
    </row>
    <row r="14962" spans="8:16" x14ac:dyDescent="0.25">
      <c r="H14962" s="12"/>
      <c r="I14962" s="12"/>
      <c r="J14962" s="12"/>
      <c r="K14962" s="12"/>
      <c r="L14962" s="12"/>
      <c r="M14962" s="11"/>
      <c r="N14962" s="11"/>
      <c r="O14962" s="11"/>
      <c r="P14962" s="11"/>
    </row>
    <row r="14963" spans="8:16" x14ac:dyDescent="0.25">
      <c r="H14963" s="12"/>
      <c r="I14963" s="12"/>
      <c r="J14963" s="12"/>
      <c r="K14963" s="12"/>
      <c r="L14963" s="12"/>
      <c r="M14963" s="11"/>
      <c r="N14963" s="11"/>
      <c r="O14963" s="11"/>
      <c r="P14963" s="11"/>
    </row>
    <row r="14964" spans="8:16" x14ac:dyDescent="0.25">
      <c r="H14964" s="12"/>
      <c r="I14964" s="12"/>
      <c r="J14964" s="12"/>
      <c r="K14964" s="12"/>
      <c r="L14964" s="12"/>
      <c r="M14964" s="11"/>
      <c r="N14964" s="11"/>
      <c r="O14964" s="11"/>
      <c r="P14964" s="11"/>
    </row>
    <row r="14965" spans="8:16" x14ac:dyDescent="0.25">
      <c r="H14965" s="12"/>
      <c r="I14965" s="12"/>
      <c r="J14965" s="12"/>
      <c r="K14965" s="12"/>
      <c r="L14965" s="12"/>
      <c r="M14965" s="11"/>
      <c r="N14965" s="11"/>
      <c r="O14965" s="11"/>
      <c r="P14965" s="11"/>
    </row>
    <row r="14966" spans="8:16" x14ac:dyDescent="0.25">
      <c r="H14966" s="12"/>
      <c r="I14966" s="12"/>
      <c r="J14966" s="12"/>
      <c r="K14966" s="12"/>
      <c r="L14966" s="12"/>
      <c r="M14966" s="11"/>
      <c r="N14966" s="11"/>
      <c r="O14966" s="11"/>
      <c r="P14966" s="11"/>
    </row>
    <row r="14967" spans="8:16" x14ac:dyDescent="0.25">
      <c r="H14967" s="12"/>
      <c r="I14967" s="12"/>
      <c r="J14967" s="12"/>
      <c r="K14967" s="12"/>
      <c r="L14967" s="12"/>
      <c r="M14967" s="11"/>
      <c r="N14967" s="11"/>
      <c r="O14967" s="11"/>
      <c r="P14967" s="11"/>
    </row>
    <row r="14968" spans="8:16" x14ac:dyDescent="0.25">
      <c r="H14968" s="12"/>
      <c r="I14968" s="12"/>
      <c r="J14968" s="12"/>
      <c r="K14968" s="12"/>
      <c r="L14968" s="12"/>
      <c r="M14968" s="11"/>
      <c r="N14968" s="11"/>
      <c r="O14968" s="11"/>
      <c r="P14968" s="11"/>
    </row>
    <row r="14969" spans="8:16" x14ac:dyDescent="0.25">
      <c r="H14969" s="12"/>
      <c r="I14969" s="12"/>
      <c r="J14969" s="12"/>
      <c r="K14969" s="12"/>
      <c r="L14969" s="12"/>
      <c r="M14969" s="11"/>
      <c r="N14969" s="11"/>
      <c r="O14969" s="11"/>
      <c r="P14969" s="11"/>
    </row>
    <row r="14970" spans="8:16" x14ac:dyDescent="0.25">
      <c r="H14970" s="12"/>
      <c r="I14970" s="12"/>
      <c r="J14970" s="12"/>
      <c r="K14970" s="12"/>
      <c r="L14970" s="12"/>
      <c r="M14970" s="11"/>
      <c r="N14970" s="11"/>
      <c r="O14970" s="11"/>
      <c r="P14970" s="11"/>
    </row>
    <row r="14971" spans="8:16" x14ac:dyDescent="0.25">
      <c r="H14971" s="12"/>
      <c r="I14971" s="12"/>
      <c r="J14971" s="12"/>
      <c r="K14971" s="12"/>
      <c r="L14971" s="12"/>
      <c r="M14971" s="11"/>
      <c r="N14971" s="11"/>
      <c r="O14971" s="11"/>
      <c r="P14971" s="11"/>
    </row>
    <row r="14972" spans="8:16" x14ac:dyDescent="0.25">
      <c r="H14972" s="12"/>
      <c r="I14972" s="12"/>
      <c r="J14972" s="12"/>
      <c r="K14972" s="12"/>
      <c r="L14972" s="12"/>
      <c r="M14972" s="11"/>
      <c r="N14972" s="11"/>
      <c r="O14972" s="11"/>
      <c r="P14972" s="11"/>
    </row>
    <row r="14973" spans="8:16" x14ac:dyDescent="0.25">
      <c r="H14973" s="12"/>
      <c r="I14973" s="12"/>
      <c r="J14973" s="12"/>
      <c r="K14973" s="12"/>
      <c r="L14973" s="12"/>
      <c r="M14973" s="11"/>
      <c r="N14973" s="11"/>
      <c r="O14973" s="11"/>
      <c r="P14973" s="11"/>
    </row>
    <row r="14974" spans="8:16" x14ac:dyDescent="0.25">
      <c r="H14974" s="12"/>
      <c r="I14974" s="12"/>
      <c r="J14974" s="12"/>
      <c r="K14974" s="12"/>
      <c r="L14974" s="12"/>
      <c r="M14974" s="11"/>
      <c r="N14974" s="11"/>
      <c r="O14974" s="11"/>
      <c r="P14974" s="11"/>
    </row>
    <row r="14975" spans="8:16" x14ac:dyDescent="0.25">
      <c r="H14975" s="12"/>
      <c r="I14975" s="12"/>
      <c r="J14975" s="12"/>
      <c r="K14975" s="12"/>
      <c r="L14975" s="12"/>
      <c r="M14975" s="11"/>
      <c r="N14975" s="11"/>
      <c r="O14975" s="11"/>
      <c r="P14975" s="11"/>
    </row>
    <row r="14976" spans="8:16" x14ac:dyDescent="0.25">
      <c r="H14976" s="12"/>
      <c r="I14976" s="12"/>
      <c r="J14976" s="12"/>
      <c r="K14976" s="12"/>
      <c r="L14976" s="12"/>
      <c r="M14976" s="11"/>
      <c r="N14976" s="11"/>
      <c r="O14976" s="11"/>
      <c r="P14976" s="11"/>
    </row>
    <row r="14977" spans="8:16" x14ac:dyDescent="0.25">
      <c r="H14977" s="12"/>
      <c r="I14977" s="12"/>
      <c r="J14977" s="12"/>
      <c r="K14977" s="12"/>
      <c r="L14977" s="12"/>
      <c r="M14977" s="11"/>
      <c r="N14977" s="11"/>
      <c r="O14977" s="11"/>
      <c r="P14977" s="11"/>
    </row>
    <row r="14978" spans="8:16" x14ac:dyDescent="0.25">
      <c r="H14978" s="12"/>
      <c r="I14978" s="12"/>
      <c r="J14978" s="12"/>
      <c r="K14978" s="12"/>
      <c r="L14978" s="12"/>
      <c r="M14978" s="11"/>
      <c r="N14978" s="11"/>
      <c r="O14978" s="11"/>
      <c r="P14978" s="11"/>
    </row>
    <row r="14979" spans="8:16" x14ac:dyDescent="0.25">
      <c r="H14979" s="12"/>
      <c r="I14979" s="12"/>
      <c r="J14979" s="12"/>
      <c r="K14979" s="12"/>
      <c r="L14979" s="12"/>
      <c r="M14979" s="11"/>
      <c r="N14979" s="11"/>
      <c r="O14979" s="11"/>
      <c r="P14979" s="11"/>
    </row>
    <row r="14980" spans="8:16" x14ac:dyDescent="0.25">
      <c r="H14980" s="12"/>
      <c r="I14980" s="12"/>
      <c r="J14980" s="12"/>
      <c r="K14980" s="12"/>
      <c r="L14980" s="12"/>
      <c r="M14980" s="11"/>
      <c r="N14980" s="11"/>
      <c r="O14980" s="11"/>
      <c r="P14980" s="11"/>
    </row>
    <row r="14981" spans="8:16" x14ac:dyDescent="0.25">
      <c r="H14981" s="12"/>
      <c r="I14981" s="12"/>
      <c r="J14981" s="12"/>
      <c r="K14981" s="12"/>
      <c r="L14981" s="12"/>
      <c r="M14981" s="11"/>
      <c r="N14981" s="11"/>
      <c r="O14981" s="11"/>
      <c r="P14981" s="11"/>
    </row>
    <row r="14982" spans="8:16" x14ac:dyDescent="0.25">
      <c r="H14982" s="12"/>
      <c r="I14982" s="12"/>
      <c r="J14982" s="12"/>
      <c r="K14982" s="12"/>
      <c r="L14982" s="12"/>
      <c r="M14982" s="11"/>
      <c r="N14982" s="11"/>
      <c r="O14982" s="11"/>
      <c r="P14982" s="11"/>
    </row>
    <row r="14983" spans="8:16" x14ac:dyDescent="0.25">
      <c r="H14983" s="12"/>
      <c r="I14983" s="12"/>
      <c r="J14983" s="12"/>
      <c r="K14983" s="12"/>
      <c r="L14983" s="12"/>
      <c r="M14983" s="11"/>
      <c r="N14983" s="11"/>
      <c r="O14983" s="11"/>
      <c r="P14983" s="11"/>
    </row>
    <row r="14984" spans="8:16" x14ac:dyDescent="0.25">
      <c r="H14984" s="12"/>
      <c r="I14984" s="12"/>
      <c r="J14984" s="12"/>
      <c r="K14984" s="12"/>
      <c r="L14984" s="12"/>
      <c r="M14984" s="11"/>
      <c r="N14984" s="11"/>
      <c r="O14984" s="11"/>
      <c r="P14984" s="11"/>
    </row>
    <row r="14985" spans="8:16" x14ac:dyDescent="0.25">
      <c r="H14985" s="12"/>
      <c r="I14985" s="12"/>
      <c r="J14985" s="12"/>
      <c r="K14985" s="12"/>
      <c r="L14985" s="12"/>
      <c r="M14985" s="11"/>
      <c r="N14985" s="11"/>
      <c r="O14985" s="11"/>
      <c r="P14985" s="11"/>
    </row>
    <row r="14986" spans="8:16" x14ac:dyDescent="0.25">
      <c r="H14986" s="12"/>
      <c r="I14986" s="12"/>
      <c r="J14986" s="12"/>
      <c r="K14986" s="12"/>
      <c r="L14986" s="12"/>
      <c r="M14986" s="11"/>
      <c r="N14986" s="11"/>
      <c r="O14986" s="11"/>
      <c r="P14986" s="11"/>
    </row>
    <row r="14987" spans="8:16" x14ac:dyDescent="0.25">
      <c r="H14987" s="12"/>
      <c r="I14987" s="12"/>
      <c r="J14987" s="12"/>
      <c r="K14987" s="12"/>
      <c r="L14987" s="12"/>
      <c r="M14987" s="11"/>
      <c r="N14987" s="11"/>
      <c r="O14987" s="11"/>
      <c r="P14987" s="11"/>
    </row>
    <row r="14988" spans="8:16" x14ac:dyDescent="0.25">
      <c r="H14988" s="12"/>
      <c r="I14988" s="12"/>
      <c r="J14988" s="12"/>
      <c r="K14988" s="12"/>
      <c r="L14988" s="12"/>
      <c r="M14988" s="11"/>
      <c r="N14988" s="11"/>
      <c r="O14988" s="11"/>
      <c r="P14988" s="11"/>
    </row>
    <row r="14989" spans="8:16" x14ac:dyDescent="0.25">
      <c r="H14989" s="12"/>
      <c r="I14989" s="12"/>
      <c r="J14989" s="12"/>
      <c r="K14989" s="12"/>
      <c r="L14989" s="12"/>
      <c r="M14989" s="11"/>
      <c r="N14989" s="11"/>
      <c r="O14989" s="11"/>
      <c r="P14989" s="11"/>
    </row>
    <row r="14990" spans="8:16" x14ac:dyDescent="0.25">
      <c r="H14990" s="12"/>
      <c r="I14990" s="12"/>
      <c r="J14990" s="12"/>
      <c r="K14990" s="12"/>
      <c r="L14990" s="12"/>
      <c r="M14990" s="11"/>
      <c r="N14990" s="11"/>
      <c r="O14990" s="11"/>
      <c r="P14990" s="11"/>
    </row>
    <row r="14991" spans="8:16" x14ac:dyDescent="0.25">
      <c r="H14991" s="12"/>
      <c r="I14991" s="12"/>
      <c r="J14991" s="12"/>
      <c r="K14991" s="12"/>
      <c r="L14991" s="12"/>
      <c r="M14991" s="11"/>
      <c r="N14991" s="11"/>
      <c r="O14991" s="11"/>
      <c r="P14991" s="11"/>
    </row>
    <row r="14992" spans="8:16" x14ac:dyDescent="0.25">
      <c r="H14992" s="12"/>
      <c r="I14992" s="12"/>
      <c r="J14992" s="12"/>
      <c r="K14992" s="12"/>
      <c r="L14992" s="12"/>
      <c r="M14992" s="11"/>
      <c r="N14992" s="11"/>
      <c r="O14992" s="11"/>
      <c r="P14992" s="11"/>
    </row>
    <row r="14993" spans="8:16" x14ac:dyDescent="0.25">
      <c r="H14993" s="12"/>
      <c r="I14993" s="12"/>
      <c r="J14993" s="12"/>
      <c r="K14993" s="12"/>
      <c r="L14993" s="12"/>
      <c r="M14993" s="11"/>
      <c r="N14993" s="11"/>
      <c r="O14993" s="11"/>
      <c r="P14993" s="11"/>
    </row>
    <row r="14994" spans="8:16" x14ac:dyDescent="0.25">
      <c r="H14994" s="12"/>
      <c r="I14994" s="12"/>
      <c r="J14994" s="12"/>
      <c r="K14994" s="12"/>
      <c r="L14994" s="12"/>
      <c r="M14994" s="11"/>
      <c r="N14994" s="11"/>
      <c r="O14994" s="11"/>
      <c r="P14994" s="11"/>
    </row>
    <row r="14995" spans="8:16" x14ac:dyDescent="0.25">
      <c r="H14995" s="12"/>
      <c r="I14995" s="12"/>
      <c r="J14995" s="12"/>
      <c r="K14995" s="12"/>
      <c r="L14995" s="12"/>
      <c r="M14995" s="11"/>
      <c r="N14995" s="11"/>
      <c r="O14995" s="11"/>
      <c r="P14995" s="11"/>
    </row>
    <row r="14996" spans="8:16" x14ac:dyDescent="0.25">
      <c r="H14996" s="12"/>
      <c r="I14996" s="12"/>
      <c r="J14996" s="12"/>
      <c r="K14996" s="12"/>
      <c r="L14996" s="12"/>
      <c r="M14996" s="11"/>
      <c r="N14996" s="11"/>
      <c r="O14996" s="11"/>
      <c r="P14996" s="11"/>
    </row>
    <row r="14997" spans="8:16" x14ac:dyDescent="0.25">
      <c r="H14997" s="12"/>
      <c r="I14997" s="12"/>
      <c r="J14997" s="12"/>
      <c r="K14997" s="12"/>
      <c r="L14997" s="12"/>
      <c r="M14997" s="11"/>
      <c r="N14997" s="11"/>
      <c r="O14997" s="11"/>
      <c r="P14997" s="11"/>
    </row>
    <row r="14998" spans="8:16" x14ac:dyDescent="0.25">
      <c r="H14998" s="12"/>
      <c r="I14998" s="12"/>
      <c r="J14998" s="12"/>
      <c r="K14998" s="12"/>
      <c r="L14998" s="12"/>
      <c r="M14998" s="11"/>
      <c r="N14998" s="11"/>
      <c r="O14998" s="11"/>
      <c r="P14998" s="11"/>
    </row>
    <row r="14999" spans="8:16" x14ac:dyDescent="0.25">
      <c r="H14999" s="12"/>
      <c r="I14999" s="12"/>
      <c r="J14999" s="12"/>
      <c r="K14999" s="12"/>
      <c r="L14999" s="12"/>
      <c r="M14999" s="11"/>
      <c r="N14999" s="11"/>
      <c r="O14999" s="11"/>
      <c r="P14999" s="11"/>
    </row>
    <row r="15000" spans="8:16" x14ac:dyDescent="0.25">
      <c r="H15000" s="12"/>
      <c r="I15000" s="12"/>
      <c r="J15000" s="12"/>
      <c r="K15000" s="12"/>
      <c r="L15000" s="12"/>
      <c r="M15000" s="11"/>
      <c r="N15000" s="11"/>
      <c r="O15000" s="11"/>
      <c r="P15000" s="11"/>
    </row>
    <row r="15001" spans="8:16" x14ac:dyDescent="0.25">
      <c r="H15001" s="12"/>
      <c r="I15001" s="12"/>
      <c r="J15001" s="12"/>
      <c r="K15001" s="12"/>
      <c r="L15001" s="12"/>
      <c r="M15001" s="11"/>
      <c r="N15001" s="11"/>
      <c r="O15001" s="11"/>
      <c r="P15001" s="11"/>
    </row>
    <row r="15002" spans="8:16" x14ac:dyDescent="0.25">
      <c r="H15002" s="12"/>
      <c r="I15002" s="12"/>
      <c r="J15002" s="12"/>
      <c r="K15002" s="12"/>
      <c r="L15002" s="12"/>
      <c r="M15002" s="11"/>
      <c r="N15002" s="11"/>
      <c r="O15002" s="11"/>
      <c r="P15002" s="11"/>
    </row>
    <row r="15003" spans="8:16" x14ac:dyDescent="0.25">
      <c r="H15003" s="12"/>
      <c r="I15003" s="12"/>
      <c r="J15003" s="12"/>
      <c r="K15003" s="12"/>
      <c r="L15003" s="12"/>
      <c r="M15003" s="11"/>
      <c r="N15003" s="11"/>
      <c r="O15003" s="11"/>
      <c r="P15003" s="11"/>
    </row>
    <row r="15004" spans="8:16" x14ac:dyDescent="0.25">
      <c r="H15004" s="12"/>
      <c r="I15004" s="12"/>
      <c r="J15004" s="12"/>
      <c r="K15004" s="12"/>
      <c r="L15004" s="12"/>
      <c r="M15004" s="11"/>
      <c r="N15004" s="11"/>
      <c r="O15004" s="11"/>
      <c r="P15004" s="11"/>
    </row>
    <row r="15005" spans="8:16" x14ac:dyDescent="0.25">
      <c r="H15005" s="12"/>
      <c r="I15005" s="12"/>
      <c r="J15005" s="12"/>
      <c r="K15005" s="12"/>
      <c r="L15005" s="12"/>
      <c r="M15005" s="11"/>
      <c r="N15005" s="11"/>
      <c r="O15005" s="11"/>
      <c r="P15005" s="11"/>
    </row>
    <row r="15006" spans="8:16" x14ac:dyDescent="0.25">
      <c r="H15006" s="12"/>
      <c r="I15006" s="12"/>
      <c r="J15006" s="12"/>
      <c r="K15006" s="12"/>
      <c r="L15006" s="12"/>
      <c r="M15006" s="11"/>
      <c r="N15006" s="11"/>
      <c r="O15006" s="11"/>
      <c r="P15006" s="11"/>
    </row>
    <row r="15007" spans="8:16" x14ac:dyDescent="0.25">
      <c r="H15007" s="12"/>
      <c r="I15007" s="12"/>
      <c r="J15007" s="12"/>
      <c r="K15007" s="12"/>
      <c r="L15007" s="12"/>
      <c r="M15007" s="11"/>
      <c r="N15007" s="11"/>
      <c r="O15007" s="11"/>
      <c r="P15007" s="11"/>
    </row>
    <row r="15008" spans="8:16" x14ac:dyDescent="0.25">
      <c r="H15008" s="12"/>
      <c r="I15008" s="12"/>
      <c r="J15008" s="12"/>
      <c r="K15008" s="12"/>
      <c r="L15008" s="12"/>
      <c r="M15008" s="11"/>
      <c r="N15008" s="11"/>
      <c r="O15008" s="11"/>
      <c r="P15008" s="11"/>
    </row>
    <row r="15009" spans="8:16" x14ac:dyDescent="0.25">
      <c r="H15009" s="12"/>
      <c r="I15009" s="12"/>
      <c r="J15009" s="12"/>
      <c r="K15009" s="12"/>
      <c r="L15009" s="12"/>
      <c r="M15009" s="11"/>
      <c r="N15009" s="11"/>
      <c r="O15009" s="11"/>
      <c r="P15009" s="11"/>
    </row>
    <row r="15010" spans="8:16" x14ac:dyDescent="0.25">
      <c r="H15010" s="12"/>
      <c r="I15010" s="12"/>
      <c r="J15010" s="12"/>
      <c r="K15010" s="12"/>
      <c r="L15010" s="12"/>
      <c r="M15010" s="11"/>
      <c r="N15010" s="11"/>
      <c r="O15010" s="11"/>
      <c r="P15010" s="11"/>
    </row>
    <row r="15011" spans="8:16" x14ac:dyDescent="0.25">
      <c r="H15011" s="12"/>
      <c r="I15011" s="12"/>
      <c r="J15011" s="12"/>
      <c r="K15011" s="12"/>
      <c r="L15011" s="12"/>
      <c r="M15011" s="11"/>
      <c r="N15011" s="11"/>
      <c r="O15011" s="11"/>
      <c r="P15011" s="11"/>
    </row>
    <row r="15012" spans="8:16" x14ac:dyDescent="0.25">
      <c r="H15012" s="12"/>
      <c r="I15012" s="12"/>
      <c r="J15012" s="12"/>
      <c r="K15012" s="12"/>
      <c r="L15012" s="12"/>
      <c r="M15012" s="11"/>
      <c r="N15012" s="11"/>
      <c r="O15012" s="11"/>
      <c r="P15012" s="11"/>
    </row>
    <row r="15013" spans="8:16" x14ac:dyDescent="0.25">
      <c r="H15013" s="12"/>
      <c r="I15013" s="12"/>
      <c r="J15013" s="12"/>
      <c r="K15013" s="12"/>
      <c r="L15013" s="12"/>
      <c r="M15013" s="11"/>
      <c r="N15013" s="11"/>
      <c r="O15013" s="11"/>
      <c r="P15013" s="11"/>
    </row>
    <row r="15014" spans="8:16" x14ac:dyDescent="0.25">
      <c r="H15014" s="12"/>
      <c r="I15014" s="12"/>
      <c r="J15014" s="12"/>
      <c r="K15014" s="12"/>
      <c r="L15014" s="12"/>
      <c r="M15014" s="11"/>
      <c r="N15014" s="11"/>
      <c r="O15014" s="11"/>
      <c r="P15014" s="11"/>
    </row>
    <row r="15015" spans="8:16" x14ac:dyDescent="0.25">
      <c r="H15015" s="12"/>
      <c r="I15015" s="12"/>
      <c r="J15015" s="12"/>
      <c r="K15015" s="12"/>
      <c r="L15015" s="12"/>
      <c r="M15015" s="11"/>
      <c r="N15015" s="11"/>
      <c r="O15015" s="11"/>
      <c r="P15015" s="11"/>
    </row>
    <row r="15016" spans="8:16" x14ac:dyDescent="0.25">
      <c r="H15016" s="12"/>
      <c r="I15016" s="12"/>
      <c r="J15016" s="12"/>
      <c r="K15016" s="12"/>
      <c r="L15016" s="12"/>
      <c r="M15016" s="11"/>
      <c r="N15016" s="11"/>
      <c r="O15016" s="11"/>
      <c r="P15016" s="11"/>
    </row>
    <row r="15017" spans="8:16" x14ac:dyDescent="0.25">
      <c r="H15017" s="12"/>
      <c r="I15017" s="12"/>
      <c r="J15017" s="12"/>
      <c r="K15017" s="12"/>
      <c r="L15017" s="12"/>
      <c r="M15017" s="11"/>
      <c r="N15017" s="11"/>
      <c r="O15017" s="11"/>
      <c r="P15017" s="11"/>
    </row>
    <row r="15018" spans="8:16" x14ac:dyDescent="0.25">
      <c r="H15018" s="12"/>
      <c r="I15018" s="12"/>
      <c r="J15018" s="12"/>
      <c r="K15018" s="12"/>
      <c r="L15018" s="12"/>
      <c r="M15018" s="11"/>
      <c r="N15018" s="11"/>
      <c r="O15018" s="11"/>
      <c r="P15018" s="11"/>
    </row>
    <row r="15019" spans="8:16" x14ac:dyDescent="0.25">
      <c r="H15019" s="12"/>
      <c r="I15019" s="12"/>
      <c r="J15019" s="12"/>
      <c r="K15019" s="12"/>
      <c r="L15019" s="12"/>
      <c r="M15019" s="11"/>
      <c r="N15019" s="11"/>
      <c r="O15019" s="11"/>
      <c r="P15019" s="11"/>
    </row>
    <row r="15020" spans="8:16" x14ac:dyDescent="0.25">
      <c r="H15020" s="12"/>
      <c r="I15020" s="12"/>
      <c r="J15020" s="12"/>
      <c r="K15020" s="12"/>
      <c r="L15020" s="12"/>
      <c r="M15020" s="11"/>
      <c r="N15020" s="11"/>
      <c r="O15020" s="11"/>
      <c r="P15020" s="11"/>
    </row>
    <row r="15021" spans="8:16" x14ac:dyDescent="0.25">
      <c r="H15021" s="12"/>
      <c r="I15021" s="12"/>
      <c r="J15021" s="12"/>
      <c r="K15021" s="12"/>
      <c r="L15021" s="12"/>
      <c r="M15021" s="11"/>
      <c r="N15021" s="11"/>
      <c r="O15021" s="11"/>
      <c r="P15021" s="11"/>
    </row>
    <row r="15022" spans="8:16" x14ac:dyDescent="0.25">
      <c r="H15022" s="12"/>
      <c r="I15022" s="12"/>
      <c r="J15022" s="12"/>
      <c r="K15022" s="12"/>
      <c r="L15022" s="12"/>
      <c r="M15022" s="11"/>
      <c r="N15022" s="11"/>
      <c r="O15022" s="11"/>
      <c r="P15022" s="11"/>
    </row>
    <row r="15023" spans="8:16" x14ac:dyDescent="0.25">
      <c r="H15023" s="12"/>
      <c r="I15023" s="12"/>
      <c r="J15023" s="12"/>
      <c r="K15023" s="12"/>
      <c r="L15023" s="12"/>
      <c r="M15023" s="11"/>
      <c r="N15023" s="11"/>
      <c r="O15023" s="11"/>
      <c r="P15023" s="11"/>
    </row>
    <row r="15024" spans="8:16" x14ac:dyDescent="0.25">
      <c r="H15024" s="12"/>
      <c r="I15024" s="12"/>
      <c r="J15024" s="12"/>
      <c r="K15024" s="12"/>
      <c r="L15024" s="12"/>
      <c r="M15024" s="11"/>
      <c r="N15024" s="11"/>
      <c r="O15024" s="11"/>
      <c r="P15024" s="11"/>
    </row>
    <row r="15025" spans="8:16" x14ac:dyDescent="0.25">
      <c r="H15025" s="12"/>
      <c r="I15025" s="12"/>
      <c r="J15025" s="12"/>
      <c r="K15025" s="12"/>
      <c r="L15025" s="12"/>
      <c r="M15025" s="11"/>
      <c r="N15025" s="11"/>
      <c r="O15025" s="11"/>
      <c r="P15025" s="11"/>
    </row>
    <row r="15026" spans="8:16" x14ac:dyDescent="0.25">
      <c r="H15026" s="12"/>
      <c r="I15026" s="12"/>
      <c r="J15026" s="12"/>
      <c r="K15026" s="12"/>
      <c r="L15026" s="12"/>
      <c r="M15026" s="11"/>
      <c r="N15026" s="11"/>
      <c r="O15026" s="11"/>
      <c r="P15026" s="11"/>
    </row>
    <row r="15027" spans="8:16" x14ac:dyDescent="0.25">
      <c r="H15027" s="12"/>
      <c r="I15027" s="12"/>
      <c r="J15027" s="12"/>
      <c r="K15027" s="12"/>
      <c r="L15027" s="12"/>
      <c r="M15027" s="11"/>
      <c r="N15027" s="11"/>
      <c r="O15027" s="11"/>
      <c r="P15027" s="11"/>
    </row>
    <row r="15028" spans="8:16" x14ac:dyDescent="0.25">
      <c r="H15028" s="12"/>
      <c r="I15028" s="12"/>
      <c r="J15028" s="12"/>
      <c r="K15028" s="12"/>
      <c r="L15028" s="12"/>
      <c r="M15028" s="11"/>
      <c r="N15028" s="11"/>
      <c r="O15028" s="11"/>
      <c r="P15028" s="11"/>
    </row>
    <row r="15029" spans="8:16" x14ac:dyDescent="0.25">
      <c r="H15029" s="12"/>
      <c r="I15029" s="12"/>
      <c r="J15029" s="12"/>
      <c r="K15029" s="12"/>
      <c r="L15029" s="12"/>
      <c r="M15029" s="11"/>
      <c r="N15029" s="11"/>
      <c r="O15029" s="11"/>
      <c r="P15029" s="11"/>
    </row>
    <row r="15030" spans="8:16" x14ac:dyDescent="0.25">
      <c r="H15030" s="12"/>
      <c r="I15030" s="12"/>
      <c r="J15030" s="12"/>
      <c r="K15030" s="12"/>
      <c r="L15030" s="12"/>
      <c r="M15030" s="11"/>
      <c r="N15030" s="11"/>
      <c r="O15030" s="11"/>
      <c r="P15030" s="11"/>
    </row>
    <row r="15031" spans="8:16" x14ac:dyDescent="0.25">
      <c r="H15031" s="12"/>
      <c r="I15031" s="12"/>
      <c r="J15031" s="12"/>
      <c r="K15031" s="12"/>
      <c r="L15031" s="12"/>
      <c r="M15031" s="11"/>
      <c r="N15031" s="11"/>
      <c r="O15031" s="11"/>
      <c r="P15031" s="11"/>
    </row>
    <row r="15032" spans="8:16" x14ac:dyDescent="0.25">
      <c r="H15032" s="12"/>
      <c r="I15032" s="12"/>
      <c r="J15032" s="12"/>
      <c r="K15032" s="12"/>
      <c r="L15032" s="12"/>
      <c r="M15032" s="11"/>
      <c r="N15032" s="11"/>
      <c r="O15032" s="11"/>
      <c r="P15032" s="11"/>
    </row>
    <row r="15033" spans="8:16" x14ac:dyDescent="0.25">
      <c r="H15033" s="12"/>
      <c r="I15033" s="12"/>
      <c r="J15033" s="12"/>
      <c r="K15033" s="12"/>
      <c r="L15033" s="12"/>
      <c r="M15033" s="11"/>
      <c r="N15033" s="11"/>
      <c r="O15033" s="11"/>
      <c r="P15033" s="11"/>
    </row>
    <row r="15034" spans="8:16" x14ac:dyDescent="0.25">
      <c r="H15034" s="12"/>
      <c r="I15034" s="12"/>
      <c r="J15034" s="12"/>
      <c r="K15034" s="12"/>
      <c r="L15034" s="12"/>
      <c r="M15034" s="11"/>
      <c r="N15034" s="11"/>
      <c r="O15034" s="11"/>
      <c r="P15034" s="11"/>
    </row>
    <row r="15035" spans="8:16" x14ac:dyDescent="0.25">
      <c r="H15035" s="12"/>
      <c r="I15035" s="12"/>
      <c r="J15035" s="12"/>
      <c r="K15035" s="12"/>
      <c r="L15035" s="12"/>
      <c r="M15035" s="11"/>
      <c r="N15035" s="11"/>
      <c r="O15035" s="11"/>
      <c r="P15035" s="11"/>
    </row>
    <row r="15036" spans="8:16" x14ac:dyDescent="0.25">
      <c r="H15036" s="12"/>
      <c r="I15036" s="12"/>
      <c r="J15036" s="12"/>
      <c r="K15036" s="12"/>
      <c r="L15036" s="12"/>
      <c r="M15036" s="11"/>
      <c r="N15036" s="11"/>
      <c r="O15036" s="11"/>
      <c r="P15036" s="11"/>
    </row>
    <row r="15037" spans="8:16" x14ac:dyDescent="0.25">
      <c r="H15037" s="12"/>
      <c r="I15037" s="12"/>
      <c r="J15037" s="12"/>
      <c r="K15037" s="12"/>
      <c r="L15037" s="12"/>
      <c r="M15037" s="11"/>
      <c r="N15037" s="11"/>
      <c r="O15037" s="11"/>
      <c r="P15037" s="11"/>
    </row>
    <row r="15038" spans="8:16" x14ac:dyDescent="0.25">
      <c r="H15038" s="12"/>
      <c r="I15038" s="12"/>
      <c r="J15038" s="12"/>
      <c r="K15038" s="12"/>
      <c r="L15038" s="12"/>
      <c r="M15038" s="11"/>
      <c r="N15038" s="11"/>
      <c r="O15038" s="11"/>
      <c r="P15038" s="11"/>
    </row>
    <row r="15039" spans="8:16" x14ac:dyDescent="0.25">
      <c r="H15039" s="12"/>
      <c r="I15039" s="12"/>
      <c r="J15039" s="12"/>
      <c r="K15039" s="12"/>
      <c r="L15039" s="12"/>
      <c r="M15039" s="11"/>
      <c r="N15039" s="11"/>
      <c r="O15039" s="11"/>
      <c r="P15039" s="11"/>
    </row>
    <row r="15040" spans="8:16" x14ac:dyDescent="0.25">
      <c r="H15040" s="12"/>
      <c r="I15040" s="12"/>
      <c r="J15040" s="12"/>
      <c r="K15040" s="12"/>
      <c r="L15040" s="12"/>
      <c r="M15040" s="11"/>
      <c r="N15040" s="11"/>
      <c r="O15040" s="11"/>
      <c r="P15040" s="11"/>
    </row>
    <row r="15041" spans="8:16" x14ac:dyDescent="0.25">
      <c r="H15041" s="12"/>
      <c r="I15041" s="12"/>
      <c r="J15041" s="12"/>
      <c r="K15041" s="12"/>
      <c r="L15041" s="12"/>
      <c r="M15041" s="11"/>
      <c r="N15041" s="11"/>
      <c r="O15041" s="11"/>
      <c r="P15041" s="11"/>
    </row>
    <row r="15042" spans="8:16" x14ac:dyDescent="0.25">
      <c r="H15042" s="12"/>
      <c r="I15042" s="12"/>
      <c r="J15042" s="12"/>
      <c r="K15042" s="12"/>
      <c r="L15042" s="12"/>
      <c r="M15042" s="11"/>
      <c r="N15042" s="11"/>
      <c r="O15042" s="11"/>
      <c r="P15042" s="11"/>
    </row>
    <row r="15043" spans="8:16" x14ac:dyDescent="0.25">
      <c r="H15043" s="12"/>
      <c r="I15043" s="12"/>
      <c r="J15043" s="12"/>
      <c r="K15043" s="12"/>
      <c r="L15043" s="12"/>
      <c r="M15043" s="11"/>
      <c r="N15043" s="11"/>
      <c r="O15043" s="11"/>
      <c r="P15043" s="11"/>
    </row>
    <row r="15044" spans="8:16" x14ac:dyDescent="0.25">
      <c r="H15044" s="12"/>
      <c r="I15044" s="12"/>
      <c r="J15044" s="12"/>
      <c r="K15044" s="12"/>
      <c r="L15044" s="12"/>
      <c r="M15044" s="11"/>
      <c r="N15044" s="11"/>
      <c r="O15044" s="11"/>
      <c r="P15044" s="11"/>
    </row>
    <row r="15045" spans="8:16" x14ac:dyDescent="0.25">
      <c r="H15045" s="12"/>
      <c r="I15045" s="12"/>
      <c r="J15045" s="12"/>
      <c r="K15045" s="12"/>
      <c r="L15045" s="12"/>
      <c r="M15045" s="11"/>
      <c r="N15045" s="11"/>
      <c r="O15045" s="11"/>
      <c r="P15045" s="11"/>
    </row>
    <row r="15046" spans="8:16" x14ac:dyDescent="0.25">
      <c r="H15046" s="12"/>
      <c r="I15046" s="12"/>
      <c r="J15046" s="12"/>
      <c r="K15046" s="12"/>
      <c r="L15046" s="12"/>
      <c r="M15046" s="11"/>
      <c r="N15046" s="11"/>
      <c r="O15046" s="11"/>
      <c r="P15046" s="11"/>
    </row>
    <row r="15047" spans="8:16" x14ac:dyDescent="0.25">
      <c r="H15047" s="12"/>
      <c r="I15047" s="12"/>
      <c r="J15047" s="12"/>
      <c r="K15047" s="12"/>
      <c r="L15047" s="12"/>
      <c r="M15047" s="11"/>
      <c r="N15047" s="11"/>
      <c r="O15047" s="11"/>
      <c r="P15047" s="11"/>
    </row>
    <row r="15048" spans="8:16" x14ac:dyDescent="0.25">
      <c r="H15048" s="12"/>
      <c r="I15048" s="12"/>
      <c r="J15048" s="12"/>
      <c r="K15048" s="12"/>
      <c r="L15048" s="12"/>
      <c r="M15048" s="11"/>
      <c r="N15048" s="11"/>
      <c r="O15048" s="11"/>
      <c r="P15048" s="11"/>
    </row>
    <row r="15049" spans="8:16" x14ac:dyDescent="0.25">
      <c r="H15049" s="12"/>
      <c r="I15049" s="12"/>
      <c r="J15049" s="12"/>
      <c r="K15049" s="12"/>
      <c r="L15049" s="12"/>
      <c r="M15049" s="11"/>
      <c r="N15049" s="11"/>
      <c r="O15049" s="11"/>
      <c r="P15049" s="11"/>
    </row>
    <row r="15050" spans="8:16" x14ac:dyDescent="0.25">
      <c r="H15050" s="12"/>
      <c r="I15050" s="12"/>
      <c r="J15050" s="12"/>
      <c r="K15050" s="12"/>
      <c r="L15050" s="12"/>
      <c r="M15050" s="11"/>
      <c r="N15050" s="11"/>
      <c r="O15050" s="11"/>
      <c r="P15050" s="11"/>
    </row>
    <row r="15051" spans="8:16" x14ac:dyDescent="0.25">
      <c r="H15051" s="12"/>
      <c r="I15051" s="12"/>
      <c r="J15051" s="12"/>
      <c r="K15051" s="12"/>
      <c r="L15051" s="12"/>
      <c r="M15051" s="11"/>
      <c r="N15051" s="11"/>
      <c r="O15051" s="11"/>
      <c r="P15051" s="11"/>
    </row>
    <row r="15052" spans="8:16" x14ac:dyDescent="0.25">
      <c r="H15052" s="12"/>
      <c r="I15052" s="12"/>
      <c r="J15052" s="12"/>
      <c r="K15052" s="12"/>
      <c r="L15052" s="12"/>
      <c r="M15052" s="11"/>
      <c r="N15052" s="11"/>
      <c r="O15052" s="11"/>
      <c r="P15052" s="11"/>
    </row>
    <row r="15053" spans="8:16" x14ac:dyDescent="0.25">
      <c r="H15053" s="12"/>
      <c r="I15053" s="12"/>
      <c r="J15053" s="12"/>
      <c r="K15053" s="12"/>
      <c r="L15053" s="12"/>
      <c r="M15053" s="11"/>
      <c r="N15053" s="11"/>
      <c r="O15053" s="11"/>
      <c r="P15053" s="11"/>
    </row>
    <row r="15054" spans="8:16" x14ac:dyDescent="0.25">
      <c r="H15054" s="12"/>
      <c r="I15054" s="12"/>
      <c r="J15054" s="12"/>
      <c r="K15054" s="12"/>
      <c r="L15054" s="12"/>
      <c r="M15054" s="11"/>
      <c r="N15054" s="11"/>
      <c r="O15054" s="11"/>
      <c r="P15054" s="11"/>
    </row>
    <row r="15055" spans="8:16" x14ac:dyDescent="0.25">
      <c r="H15055" s="12"/>
      <c r="I15055" s="12"/>
      <c r="J15055" s="12"/>
      <c r="K15055" s="12"/>
      <c r="L15055" s="12"/>
      <c r="M15055" s="11"/>
      <c r="N15055" s="11"/>
      <c r="O15055" s="11"/>
      <c r="P15055" s="11"/>
    </row>
    <row r="15056" spans="8:16" x14ac:dyDescent="0.25">
      <c r="H15056" s="12"/>
      <c r="I15056" s="12"/>
      <c r="J15056" s="12"/>
      <c r="K15056" s="12"/>
      <c r="L15056" s="12"/>
      <c r="M15056" s="11"/>
      <c r="N15056" s="11"/>
      <c r="O15056" s="11"/>
      <c r="P15056" s="11"/>
    </row>
    <row r="15057" spans="8:16" x14ac:dyDescent="0.25">
      <c r="H15057" s="12"/>
      <c r="I15057" s="12"/>
      <c r="J15057" s="12"/>
      <c r="K15057" s="12"/>
      <c r="L15057" s="12"/>
      <c r="M15057" s="11"/>
      <c r="N15057" s="11"/>
      <c r="O15057" s="11"/>
      <c r="P15057" s="11"/>
    </row>
    <row r="15058" spans="8:16" x14ac:dyDescent="0.25">
      <c r="H15058" s="12"/>
      <c r="I15058" s="12"/>
      <c r="J15058" s="12"/>
      <c r="K15058" s="12"/>
      <c r="L15058" s="12"/>
      <c r="M15058" s="11"/>
      <c r="N15058" s="11"/>
      <c r="O15058" s="11"/>
      <c r="P15058" s="11"/>
    </row>
    <row r="15059" spans="8:16" x14ac:dyDescent="0.25">
      <c r="H15059" s="12"/>
      <c r="I15059" s="12"/>
      <c r="J15059" s="12"/>
      <c r="K15059" s="12"/>
      <c r="L15059" s="12"/>
      <c r="M15059" s="11"/>
      <c r="N15059" s="11"/>
      <c r="O15059" s="11"/>
      <c r="P15059" s="11"/>
    </row>
    <row r="15060" spans="8:16" x14ac:dyDescent="0.25">
      <c r="H15060" s="12"/>
      <c r="I15060" s="12"/>
      <c r="J15060" s="12"/>
      <c r="K15060" s="12"/>
      <c r="L15060" s="12"/>
      <c r="M15060" s="11"/>
      <c r="N15060" s="11"/>
      <c r="O15060" s="11"/>
      <c r="P15060" s="11"/>
    </row>
    <row r="15061" spans="8:16" x14ac:dyDescent="0.25">
      <c r="H15061" s="12"/>
      <c r="I15061" s="12"/>
      <c r="J15061" s="12"/>
      <c r="K15061" s="12"/>
      <c r="L15061" s="12"/>
      <c r="M15061" s="11"/>
      <c r="N15061" s="11"/>
      <c r="O15061" s="11"/>
      <c r="P15061" s="11"/>
    </row>
    <row r="15062" spans="8:16" x14ac:dyDescent="0.25">
      <c r="H15062" s="12"/>
      <c r="I15062" s="12"/>
      <c r="J15062" s="12"/>
      <c r="K15062" s="12"/>
      <c r="L15062" s="12"/>
      <c r="M15062" s="11"/>
      <c r="N15062" s="11"/>
      <c r="O15062" s="11"/>
      <c r="P15062" s="11"/>
    </row>
    <row r="15063" spans="8:16" x14ac:dyDescent="0.25">
      <c r="H15063" s="12"/>
      <c r="I15063" s="12"/>
      <c r="J15063" s="12"/>
      <c r="K15063" s="12"/>
      <c r="L15063" s="12"/>
      <c r="M15063" s="11"/>
      <c r="N15063" s="11"/>
      <c r="O15063" s="11"/>
      <c r="P15063" s="11"/>
    </row>
    <row r="15064" spans="8:16" x14ac:dyDescent="0.25">
      <c r="H15064" s="12"/>
      <c r="I15064" s="12"/>
      <c r="J15064" s="12"/>
      <c r="K15064" s="12"/>
      <c r="L15064" s="12"/>
      <c r="M15064" s="11"/>
      <c r="N15064" s="11"/>
      <c r="O15064" s="11"/>
      <c r="P15064" s="11"/>
    </row>
    <row r="15065" spans="8:16" x14ac:dyDescent="0.25">
      <c r="H15065" s="12"/>
      <c r="I15065" s="12"/>
      <c r="J15065" s="12"/>
      <c r="K15065" s="12"/>
      <c r="L15065" s="12"/>
      <c r="M15065" s="11"/>
      <c r="N15065" s="11"/>
      <c r="O15065" s="11"/>
      <c r="P15065" s="11"/>
    </row>
    <row r="15066" spans="8:16" x14ac:dyDescent="0.25">
      <c r="H15066" s="12"/>
      <c r="I15066" s="12"/>
      <c r="J15066" s="12"/>
      <c r="K15066" s="12"/>
      <c r="L15066" s="12"/>
      <c r="M15066" s="11"/>
      <c r="N15066" s="11"/>
      <c r="O15066" s="11"/>
      <c r="P15066" s="11"/>
    </row>
    <row r="15067" spans="8:16" x14ac:dyDescent="0.25">
      <c r="H15067" s="12"/>
      <c r="I15067" s="12"/>
      <c r="J15067" s="12"/>
      <c r="K15067" s="12"/>
      <c r="L15067" s="12"/>
      <c r="M15067" s="11"/>
      <c r="N15067" s="11"/>
      <c r="O15067" s="11"/>
      <c r="P15067" s="11"/>
    </row>
    <row r="15068" spans="8:16" x14ac:dyDescent="0.25">
      <c r="H15068" s="12"/>
      <c r="I15068" s="12"/>
      <c r="J15068" s="12"/>
      <c r="K15068" s="12"/>
      <c r="L15068" s="12"/>
      <c r="M15068" s="11"/>
      <c r="N15068" s="11"/>
      <c r="O15068" s="11"/>
      <c r="P15068" s="11"/>
    </row>
    <row r="15069" spans="8:16" x14ac:dyDescent="0.25">
      <c r="H15069" s="12"/>
      <c r="I15069" s="12"/>
      <c r="J15069" s="12"/>
      <c r="K15069" s="12"/>
      <c r="L15069" s="12"/>
      <c r="M15069" s="11"/>
      <c r="N15069" s="11"/>
      <c r="O15069" s="11"/>
      <c r="P15069" s="11"/>
    </row>
    <row r="15070" spans="8:16" x14ac:dyDescent="0.25">
      <c r="H15070" s="12"/>
      <c r="I15070" s="12"/>
      <c r="J15070" s="12"/>
      <c r="K15070" s="12"/>
      <c r="L15070" s="12"/>
      <c r="M15070" s="11"/>
      <c r="N15070" s="11"/>
      <c r="O15070" s="11"/>
      <c r="P15070" s="11"/>
    </row>
    <row r="15071" spans="8:16" x14ac:dyDescent="0.25">
      <c r="H15071" s="12"/>
      <c r="I15071" s="12"/>
      <c r="J15071" s="12"/>
      <c r="K15071" s="12"/>
      <c r="L15071" s="12"/>
      <c r="M15071" s="11"/>
      <c r="N15071" s="11"/>
      <c r="O15071" s="11"/>
      <c r="P15071" s="11"/>
    </row>
    <row r="15072" spans="8:16" x14ac:dyDescent="0.25">
      <c r="H15072" s="12"/>
      <c r="I15072" s="12"/>
      <c r="J15072" s="12"/>
      <c r="K15072" s="12"/>
      <c r="L15072" s="12"/>
      <c r="M15072" s="11"/>
      <c r="N15072" s="11"/>
      <c r="O15072" s="11"/>
      <c r="P15072" s="11"/>
    </row>
    <row r="15073" spans="8:16" x14ac:dyDescent="0.25">
      <c r="H15073" s="12"/>
      <c r="I15073" s="12"/>
      <c r="J15073" s="12"/>
      <c r="K15073" s="12"/>
      <c r="L15073" s="12"/>
      <c r="M15073" s="11"/>
      <c r="N15073" s="11"/>
      <c r="O15073" s="11"/>
      <c r="P15073" s="11"/>
    </row>
    <row r="15074" spans="8:16" x14ac:dyDescent="0.25">
      <c r="H15074" s="12"/>
      <c r="I15074" s="12"/>
      <c r="J15074" s="12"/>
      <c r="K15074" s="12"/>
      <c r="L15074" s="12"/>
      <c r="M15074" s="11"/>
      <c r="N15074" s="11"/>
      <c r="O15074" s="11"/>
      <c r="P15074" s="11"/>
    </row>
    <row r="15075" spans="8:16" x14ac:dyDescent="0.25">
      <c r="H15075" s="12"/>
      <c r="I15075" s="12"/>
      <c r="J15075" s="12"/>
      <c r="K15075" s="12"/>
      <c r="L15075" s="12"/>
      <c r="M15075" s="11"/>
      <c r="N15075" s="11"/>
      <c r="O15075" s="11"/>
      <c r="P15075" s="11"/>
    </row>
    <row r="15076" spans="8:16" x14ac:dyDescent="0.25">
      <c r="H15076" s="12"/>
      <c r="I15076" s="12"/>
      <c r="J15076" s="12"/>
      <c r="K15076" s="12"/>
      <c r="L15076" s="12"/>
      <c r="M15076" s="11"/>
      <c r="N15076" s="11"/>
      <c r="O15076" s="11"/>
      <c r="P15076" s="11"/>
    </row>
    <row r="15077" spans="8:16" x14ac:dyDescent="0.25">
      <c r="H15077" s="12"/>
      <c r="I15077" s="12"/>
      <c r="J15077" s="12"/>
      <c r="K15077" s="12"/>
      <c r="L15077" s="12"/>
      <c r="M15077" s="11"/>
      <c r="N15077" s="11"/>
      <c r="O15077" s="11"/>
      <c r="P15077" s="11"/>
    </row>
    <row r="15078" spans="8:16" x14ac:dyDescent="0.25">
      <c r="H15078" s="12"/>
      <c r="I15078" s="12"/>
      <c r="J15078" s="12"/>
      <c r="K15078" s="12"/>
      <c r="L15078" s="12"/>
      <c r="M15078" s="11"/>
      <c r="N15078" s="11"/>
      <c r="O15078" s="11"/>
      <c r="P15078" s="11"/>
    </row>
    <row r="15079" spans="8:16" x14ac:dyDescent="0.25">
      <c r="H15079" s="12"/>
      <c r="I15079" s="12"/>
      <c r="J15079" s="12"/>
      <c r="K15079" s="12"/>
      <c r="L15079" s="12"/>
      <c r="M15079" s="11"/>
      <c r="N15079" s="11"/>
      <c r="O15079" s="11"/>
      <c r="P15079" s="11"/>
    </row>
    <row r="15080" spans="8:16" x14ac:dyDescent="0.25">
      <c r="H15080" s="12"/>
      <c r="I15080" s="12"/>
      <c r="J15080" s="12"/>
      <c r="K15080" s="12"/>
      <c r="L15080" s="12"/>
      <c r="M15080" s="11"/>
      <c r="N15080" s="11"/>
      <c r="O15080" s="11"/>
      <c r="P15080" s="11"/>
    </row>
    <row r="15081" spans="8:16" x14ac:dyDescent="0.25">
      <c r="H15081" s="12"/>
      <c r="I15081" s="12"/>
      <c r="J15081" s="12"/>
      <c r="K15081" s="12"/>
      <c r="L15081" s="12"/>
      <c r="M15081" s="11"/>
      <c r="N15081" s="11"/>
      <c r="O15081" s="11"/>
      <c r="P15081" s="11"/>
    </row>
    <row r="15082" spans="8:16" x14ac:dyDescent="0.25">
      <c r="H15082" s="12"/>
      <c r="I15082" s="12"/>
      <c r="J15082" s="12"/>
      <c r="K15082" s="12"/>
      <c r="L15082" s="12"/>
      <c r="M15082" s="11"/>
      <c r="N15082" s="11"/>
      <c r="O15082" s="11"/>
      <c r="P15082" s="11"/>
    </row>
    <row r="15083" spans="8:16" x14ac:dyDescent="0.25">
      <c r="H15083" s="12"/>
      <c r="I15083" s="12"/>
      <c r="J15083" s="12"/>
      <c r="K15083" s="12"/>
      <c r="L15083" s="12"/>
      <c r="M15083" s="11"/>
      <c r="N15083" s="11"/>
      <c r="O15083" s="11"/>
      <c r="P15083" s="11"/>
    </row>
    <row r="15084" spans="8:16" x14ac:dyDescent="0.25">
      <c r="H15084" s="12"/>
      <c r="I15084" s="12"/>
      <c r="J15084" s="12"/>
      <c r="K15084" s="12"/>
      <c r="L15084" s="12"/>
      <c r="M15084" s="11"/>
      <c r="N15084" s="11"/>
      <c r="O15084" s="11"/>
      <c r="P15084" s="11"/>
    </row>
    <row r="15085" spans="8:16" x14ac:dyDescent="0.25">
      <c r="H15085" s="12"/>
      <c r="I15085" s="12"/>
      <c r="J15085" s="12"/>
      <c r="K15085" s="12"/>
      <c r="L15085" s="12"/>
      <c r="M15085" s="11"/>
      <c r="N15085" s="11"/>
      <c r="O15085" s="11"/>
      <c r="P15085" s="11"/>
    </row>
    <row r="15086" spans="8:16" x14ac:dyDescent="0.25">
      <c r="H15086" s="12"/>
      <c r="I15086" s="12"/>
      <c r="J15086" s="12"/>
      <c r="K15086" s="12"/>
      <c r="L15086" s="12"/>
      <c r="M15086" s="11"/>
      <c r="N15086" s="11"/>
      <c r="O15086" s="11"/>
      <c r="P15086" s="11"/>
    </row>
    <row r="15087" spans="8:16" x14ac:dyDescent="0.25">
      <c r="H15087" s="12"/>
      <c r="I15087" s="12"/>
      <c r="J15087" s="12"/>
      <c r="K15087" s="12"/>
      <c r="L15087" s="12"/>
      <c r="M15087" s="11"/>
      <c r="N15087" s="11"/>
      <c r="O15087" s="11"/>
      <c r="P15087" s="11"/>
    </row>
    <row r="15088" spans="8:16" x14ac:dyDescent="0.25">
      <c r="H15088" s="12"/>
      <c r="I15088" s="12"/>
      <c r="J15088" s="12"/>
      <c r="K15088" s="12"/>
      <c r="L15088" s="12"/>
      <c r="M15088" s="11"/>
      <c r="N15088" s="11"/>
      <c r="O15088" s="11"/>
      <c r="P15088" s="11"/>
    </row>
    <row r="15089" spans="8:16" x14ac:dyDescent="0.25">
      <c r="H15089" s="12"/>
      <c r="I15089" s="12"/>
      <c r="J15089" s="12"/>
      <c r="K15089" s="12"/>
      <c r="L15089" s="12"/>
      <c r="M15089" s="11"/>
      <c r="N15089" s="11"/>
      <c r="O15089" s="11"/>
      <c r="P15089" s="11"/>
    </row>
    <row r="15090" spans="8:16" x14ac:dyDescent="0.25">
      <c r="H15090" s="12"/>
      <c r="I15090" s="12"/>
      <c r="J15090" s="12"/>
      <c r="K15090" s="12"/>
      <c r="L15090" s="12"/>
      <c r="M15090" s="11"/>
      <c r="N15090" s="11"/>
      <c r="O15090" s="11"/>
      <c r="P15090" s="11"/>
    </row>
    <row r="15091" spans="8:16" x14ac:dyDescent="0.25">
      <c r="H15091" s="12"/>
      <c r="I15091" s="12"/>
      <c r="J15091" s="12"/>
      <c r="K15091" s="12"/>
      <c r="L15091" s="12"/>
      <c r="M15091" s="11"/>
      <c r="N15091" s="11"/>
      <c r="O15091" s="11"/>
      <c r="P15091" s="11"/>
    </row>
    <row r="15092" spans="8:16" x14ac:dyDescent="0.25">
      <c r="H15092" s="12"/>
      <c r="I15092" s="12"/>
      <c r="J15092" s="12"/>
      <c r="K15092" s="12"/>
      <c r="L15092" s="12"/>
      <c r="M15092" s="11"/>
      <c r="N15092" s="11"/>
      <c r="O15092" s="11"/>
      <c r="P15092" s="11"/>
    </row>
    <row r="15093" spans="8:16" x14ac:dyDescent="0.25">
      <c r="H15093" s="12"/>
      <c r="I15093" s="12"/>
      <c r="J15093" s="12"/>
      <c r="K15093" s="12"/>
      <c r="L15093" s="12"/>
      <c r="M15093" s="11"/>
      <c r="N15093" s="11"/>
      <c r="O15093" s="11"/>
      <c r="P15093" s="11"/>
    </row>
    <row r="15094" spans="8:16" x14ac:dyDescent="0.25">
      <c r="H15094" s="12"/>
      <c r="I15094" s="12"/>
      <c r="J15094" s="12"/>
      <c r="K15094" s="12"/>
      <c r="L15094" s="12"/>
      <c r="M15094" s="11"/>
      <c r="N15094" s="11"/>
      <c r="O15094" s="11"/>
      <c r="P15094" s="11"/>
    </row>
    <row r="15095" spans="8:16" x14ac:dyDescent="0.25">
      <c r="H15095" s="12"/>
      <c r="I15095" s="12"/>
      <c r="J15095" s="12"/>
      <c r="K15095" s="12"/>
      <c r="L15095" s="12"/>
      <c r="M15095" s="11"/>
      <c r="N15095" s="11"/>
      <c r="O15095" s="11"/>
      <c r="P15095" s="11"/>
    </row>
    <row r="15096" spans="8:16" x14ac:dyDescent="0.25">
      <c r="H15096" s="12"/>
      <c r="I15096" s="12"/>
      <c r="J15096" s="12"/>
      <c r="K15096" s="12"/>
      <c r="L15096" s="12"/>
      <c r="M15096" s="11"/>
      <c r="N15096" s="11"/>
      <c r="O15096" s="11"/>
      <c r="P15096" s="11"/>
    </row>
    <row r="15097" spans="8:16" x14ac:dyDescent="0.25">
      <c r="H15097" s="12"/>
      <c r="I15097" s="12"/>
      <c r="J15097" s="12"/>
      <c r="K15097" s="12"/>
      <c r="L15097" s="12"/>
      <c r="M15097" s="11"/>
      <c r="N15097" s="11"/>
      <c r="O15097" s="11"/>
      <c r="P15097" s="11"/>
    </row>
    <row r="15098" spans="8:16" x14ac:dyDescent="0.25">
      <c r="H15098" s="12"/>
      <c r="I15098" s="12"/>
      <c r="J15098" s="12"/>
      <c r="K15098" s="12"/>
      <c r="L15098" s="12"/>
      <c r="M15098" s="11"/>
      <c r="N15098" s="11"/>
      <c r="O15098" s="11"/>
      <c r="P15098" s="11"/>
    </row>
    <row r="15099" spans="8:16" x14ac:dyDescent="0.25">
      <c r="H15099" s="12"/>
      <c r="I15099" s="12"/>
      <c r="J15099" s="12"/>
      <c r="K15099" s="12"/>
      <c r="L15099" s="12"/>
      <c r="M15099" s="11"/>
      <c r="N15099" s="11"/>
      <c r="O15099" s="11"/>
      <c r="P15099" s="11"/>
    </row>
    <row r="15100" spans="8:16" x14ac:dyDescent="0.25">
      <c r="H15100" s="12"/>
      <c r="I15100" s="12"/>
      <c r="J15100" s="12"/>
      <c r="K15100" s="12"/>
      <c r="L15100" s="12"/>
      <c r="M15100" s="11"/>
      <c r="N15100" s="11"/>
      <c r="O15100" s="11"/>
      <c r="P15100" s="11"/>
    </row>
    <row r="15101" spans="8:16" x14ac:dyDescent="0.25">
      <c r="H15101" s="12"/>
      <c r="I15101" s="12"/>
      <c r="J15101" s="12"/>
      <c r="K15101" s="12"/>
      <c r="L15101" s="12"/>
      <c r="M15101" s="11"/>
      <c r="N15101" s="11"/>
      <c r="O15101" s="11"/>
      <c r="P15101" s="11"/>
    </row>
    <row r="15102" spans="8:16" x14ac:dyDescent="0.25">
      <c r="H15102" s="12"/>
      <c r="I15102" s="12"/>
      <c r="J15102" s="12"/>
      <c r="K15102" s="12"/>
      <c r="L15102" s="12"/>
      <c r="M15102" s="11"/>
      <c r="N15102" s="11"/>
      <c r="O15102" s="11"/>
      <c r="P15102" s="11"/>
    </row>
    <row r="15103" spans="8:16" x14ac:dyDescent="0.25">
      <c r="H15103" s="12"/>
      <c r="I15103" s="12"/>
      <c r="J15103" s="12"/>
      <c r="K15103" s="12"/>
      <c r="L15103" s="12"/>
      <c r="M15103" s="11"/>
      <c r="N15103" s="11"/>
      <c r="O15103" s="11"/>
      <c r="P15103" s="11"/>
    </row>
    <row r="15104" spans="8:16" x14ac:dyDescent="0.25">
      <c r="H15104" s="12"/>
      <c r="I15104" s="12"/>
      <c r="J15104" s="12"/>
      <c r="K15104" s="12"/>
      <c r="L15104" s="12"/>
      <c r="M15104" s="11"/>
      <c r="N15104" s="11"/>
      <c r="O15104" s="11"/>
      <c r="P15104" s="11"/>
    </row>
    <row r="15105" spans="8:16" x14ac:dyDescent="0.25">
      <c r="H15105" s="12"/>
      <c r="I15105" s="12"/>
      <c r="J15105" s="12"/>
      <c r="K15105" s="12"/>
      <c r="L15105" s="12"/>
      <c r="M15105" s="11"/>
      <c r="N15105" s="11"/>
      <c r="O15105" s="11"/>
      <c r="P15105" s="11"/>
    </row>
    <row r="15106" spans="8:16" x14ac:dyDescent="0.25">
      <c r="H15106" s="12"/>
      <c r="I15106" s="12"/>
      <c r="J15106" s="12"/>
      <c r="K15106" s="12"/>
      <c r="L15106" s="12"/>
      <c r="M15106" s="11"/>
      <c r="N15106" s="11"/>
      <c r="O15106" s="11"/>
      <c r="P15106" s="11"/>
    </row>
    <row r="15107" spans="8:16" x14ac:dyDescent="0.25">
      <c r="H15107" s="12"/>
      <c r="I15107" s="12"/>
      <c r="J15107" s="12"/>
      <c r="K15107" s="12"/>
      <c r="L15107" s="12"/>
      <c r="M15107" s="11"/>
      <c r="N15107" s="11"/>
      <c r="O15107" s="11"/>
      <c r="P15107" s="11"/>
    </row>
    <row r="15108" spans="8:16" x14ac:dyDescent="0.25">
      <c r="H15108" s="12"/>
      <c r="I15108" s="12"/>
      <c r="J15108" s="12"/>
      <c r="K15108" s="12"/>
      <c r="L15108" s="12"/>
      <c r="M15108" s="11"/>
      <c r="N15108" s="11"/>
      <c r="O15108" s="11"/>
      <c r="P15108" s="11"/>
    </row>
    <row r="15109" spans="8:16" x14ac:dyDescent="0.25">
      <c r="H15109" s="12"/>
      <c r="I15109" s="12"/>
      <c r="J15109" s="12"/>
      <c r="K15109" s="12"/>
      <c r="L15109" s="12"/>
      <c r="M15109" s="11"/>
      <c r="N15109" s="11"/>
      <c r="O15109" s="11"/>
      <c r="P15109" s="11"/>
    </row>
    <row r="15110" spans="8:16" x14ac:dyDescent="0.25">
      <c r="H15110" s="12"/>
      <c r="I15110" s="12"/>
      <c r="J15110" s="12"/>
      <c r="K15110" s="12"/>
      <c r="L15110" s="12"/>
      <c r="M15110" s="11"/>
      <c r="N15110" s="11"/>
      <c r="O15110" s="11"/>
      <c r="P15110" s="11"/>
    </row>
    <row r="15111" spans="8:16" x14ac:dyDescent="0.25">
      <c r="H15111" s="12"/>
      <c r="I15111" s="12"/>
      <c r="J15111" s="12"/>
      <c r="K15111" s="12"/>
      <c r="L15111" s="12"/>
      <c r="M15111" s="11"/>
      <c r="N15111" s="11"/>
      <c r="O15111" s="11"/>
      <c r="P15111" s="11"/>
    </row>
    <row r="15112" spans="8:16" x14ac:dyDescent="0.25">
      <c r="H15112" s="12"/>
      <c r="I15112" s="12"/>
      <c r="J15112" s="12"/>
      <c r="K15112" s="12"/>
      <c r="L15112" s="12"/>
      <c r="M15112" s="11"/>
      <c r="N15112" s="11"/>
      <c r="O15112" s="11"/>
      <c r="P15112" s="11"/>
    </row>
    <row r="15113" spans="8:16" x14ac:dyDescent="0.25">
      <c r="H15113" s="12"/>
      <c r="I15113" s="12"/>
      <c r="J15113" s="12"/>
      <c r="K15113" s="12"/>
      <c r="L15113" s="12"/>
      <c r="M15113" s="11"/>
      <c r="N15113" s="11"/>
      <c r="O15113" s="11"/>
      <c r="P15113" s="11"/>
    </row>
    <row r="15114" spans="8:16" x14ac:dyDescent="0.25">
      <c r="H15114" s="12"/>
      <c r="I15114" s="12"/>
      <c r="J15114" s="12"/>
      <c r="K15114" s="12"/>
      <c r="L15114" s="12"/>
      <c r="M15114" s="11"/>
      <c r="N15114" s="11"/>
      <c r="O15114" s="11"/>
      <c r="P15114" s="11"/>
    </row>
    <row r="15115" spans="8:16" x14ac:dyDescent="0.25">
      <c r="H15115" s="12"/>
      <c r="I15115" s="12"/>
      <c r="J15115" s="12"/>
      <c r="K15115" s="12"/>
      <c r="L15115" s="12"/>
      <c r="M15115" s="11"/>
      <c r="N15115" s="11"/>
      <c r="O15115" s="11"/>
      <c r="P15115" s="11"/>
    </row>
    <row r="15116" spans="8:16" x14ac:dyDescent="0.25">
      <c r="H15116" s="12"/>
      <c r="I15116" s="12"/>
      <c r="J15116" s="12"/>
      <c r="K15116" s="12"/>
      <c r="L15116" s="12"/>
      <c r="M15116" s="11"/>
      <c r="N15116" s="11"/>
      <c r="O15116" s="11"/>
      <c r="P15116" s="11"/>
    </row>
    <row r="15117" spans="8:16" x14ac:dyDescent="0.25">
      <c r="H15117" s="12"/>
      <c r="I15117" s="12"/>
      <c r="J15117" s="12"/>
      <c r="K15117" s="12"/>
      <c r="L15117" s="12"/>
      <c r="M15117" s="11"/>
      <c r="N15117" s="11"/>
      <c r="O15117" s="11"/>
      <c r="P15117" s="11"/>
    </row>
    <row r="15118" spans="8:16" x14ac:dyDescent="0.25">
      <c r="H15118" s="12"/>
      <c r="I15118" s="12"/>
      <c r="J15118" s="12"/>
      <c r="K15118" s="12"/>
      <c r="L15118" s="12"/>
      <c r="M15118" s="11"/>
      <c r="N15118" s="11"/>
      <c r="O15118" s="11"/>
      <c r="P15118" s="11"/>
    </row>
    <row r="15119" spans="8:16" x14ac:dyDescent="0.25">
      <c r="H15119" s="12"/>
      <c r="I15119" s="12"/>
      <c r="J15119" s="12"/>
      <c r="K15119" s="12"/>
      <c r="L15119" s="12"/>
      <c r="M15119" s="11"/>
      <c r="N15119" s="11"/>
      <c r="O15119" s="11"/>
      <c r="P15119" s="11"/>
    </row>
    <row r="15120" spans="8:16" x14ac:dyDescent="0.25">
      <c r="H15120" s="12"/>
      <c r="I15120" s="12"/>
      <c r="J15120" s="12"/>
      <c r="K15120" s="12"/>
      <c r="L15120" s="12"/>
      <c r="M15120" s="11"/>
      <c r="N15120" s="11"/>
      <c r="O15120" s="11"/>
      <c r="P15120" s="11"/>
    </row>
    <row r="15121" spans="8:16" x14ac:dyDescent="0.25">
      <c r="H15121" s="12"/>
      <c r="I15121" s="12"/>
      <c r="J15121" s="12"/>
      <c r="K15121" s="12"/>
      <c r="L15121" s="12"/>
      <c r="M15121" s="11"/>
      <c r="N15121" s="11"/>
      <c r="O15121" s="11"/>
      <c r="P15121" s="11"/>
    </row>
    <row r="15122" spans="8:16" x14ac:dyDescent="0.25">
      <c r="H15122" s="12"/>
      <c r="I15122" s="12"/>
      <c r="J15122" s="12"/>
      <c r="K15122" s="12"/>
      <c r="L15122" s="12"/>
      <c r="M15122" s="11"/>
      <c r="N15122" s="11"/>
      <c r="O15122" s="11"/>
      <c r="P15122" s="11"/>
    </row>
    <row r="15123" spans="8:16" x14ac:dyDescent="0.25">
      <c r="H15123" s="12"/>
      <c r="I15123" s="12"/>
      <c r="J15123" s="12"/>
      <c r="K15123" s="12"/>
      <c r="L15123" s="12"/>
      <c r="M15123" s="11"/>
      <c r="N15123" s="11"/>
      <c r="O15123" s="11"/>
      <c r="P15123" s="11"/>
    </row>
    <row r="15124" spans="8:16" x14ac:dyDescent="0.25">
      <c r="H15124" s="12"/>
      <c r="I15124" s="12"/>
      <c r="J15124" s="12"/>
      <c r="K15124" s="12"/>
      <c r="L15124" s="12"/>
      <c r="M15124" s="11"/>
      <c r="N15124" s="11"/>
      <c r="O15124" s="11"/>
      <c r="P15124" s="11"/>
    </row>
    <row r="15125" spans="8:16" x14ac:dyDescent="0.25">
      <c r="H15125" s="12"/>
      <c r="I15125" s="12"/>
      <c r="J15125" s="12"/>
      <c r="K15125" s="12"/>
      <c r="L15125" s="12"/>
      <c r="M15125" s="11"/>
      <c r="N15125" s="11"/>
      <c r="O15125" s="11"/>
      <c r="P15125" s="11"/>
    </row>
    <row r="15126" spans="8:16" x14ac:dyDescent="0.25">
      <c r="H15126" s="12"/>
      <c r="I15126" s="12"/>
      <c r="J15126" s="12"/>
      <c r="K15126" s="12"/>
      <c r="L15126" s="12"/>
      <c r="M15126" s="11"/>
      <c r="N15126" s="11"/>
      <c r="O15126" s="11"/>
      <c r="P15126" s="11"/>
    </row>
    <row r="15127" spans="8:16" x14ac:dyDescent="0.25">
      <c r="H15127" s="12"/>
      <c r="I15127" s="12"/>
      <c r="J15127" s="12"/>
      <c r="K15127" s="12"/>
      <c r="L15127" s="12"/>
      <c r="M15127" s="11"/>
      <c r="N15127" s="11"/>
      <c r="O15127" s="11"/>
      <c r="P15127" s="11"/>
    </row>
    <row r="15128" spans="8:16" x14ac:dyDescent="0.25">
      <c r="H15128" s="12"/>
      <c r="I15128" s="12"/>
      <c r="J15128" s="12"/>
      <c r="K15128" s="12"/>
      <c r="L15128" s="12"/>
      <c r="M15128" s="11"/>
      <c r="N15128" s="11"/>
      <c r="O15128" s="11"/>
      <c r="P15128" s="11"/>
    </row>
    <row r="15129" spans="8:16" x14ac:dyDescent="0.25">
      <c r="H15129" s="12"/>
      <c r="I15129" s="12"/>
      <c r="J15129" s="12"/>
      <c r="K15129" s="12"/>
      <c r="L15129" s="12"/>
      <c r="M15129" s="11"/>
      <c r="N15129" s="11"/>
      <c r="O15129" s="11"/>
      <c r="P15129" s="11"/>
    </row>
    <row r="15130" spans="8:16" x14ac:dyDescent="0.25">
      <c r="H15130" s="12"/>
      <c r="I15130" s="12"/>
      <c r="J15130" s="12"/>
      <c r="K15130" s="12"/>
      <c r="L15130" s="12"/>
      <c r="M15130" s="11"/>
      <c r="N15130" s="11"/>
      <c r="O15130" s="11"/>
      <c r="P15130" s="11"/>
    </row>
    <row r="15131" spans="8:16" x14ac:dyDescent="0.25">
      <c r="H15131" s="12"/>
      <c r="I15131" s="12"/>
      <c r="J15131" s="12"/>
      <c r="K15131" s="12"/>
      <c r="L15131" s="12"/>
      <c r="M15131" s="11"/>
      <c r="N15131" s="11"/>
      <c r="O15131" s="11"/>
      <c r="P15131" s="11"/>
    </row>
    <row r="15132" spans="8:16" x14ac:dyDescent="0.25">
      <c r="H15132" s="12"/>
      <c r="I15132" s="12"/>
      <c r="J15132" s="12"/>
      <c r="K15132" s="12"/>
      <c r="L15132" s="12"/>
      <c r="M15132" s="11"/>
      <c r="N15132" s="11"/>
      <c r="O15132" s="11"/>
      <c r="P15132" s="11"/>
    </row>
    <row r="15133" spans="8:16" x14ac:dyDescent="0.25">
      <c r="H15133" s="12"/>
      <c r="I15133" s="12"/>
      <c r="J15133" s="12"/>
      <c r="K15133" s="12"/>
      <c r="L15133" s="12"/>
      <c r="M15133" s="11"/>
      <c r="N15133" s="11"/>
      <c r="O15133" s="11"/>
      <c r="P15133" s="11"/>
    </row>
    <row r="15134" spans="8:16" x14ac:dyDescent="0.25">
      <c r="H15134" s="12"/>
      <c r="I15134" s="12"/>
      <c r="J15134" s="12"/>
      <c r="K15134" s="12"/>
      <c r="L15134" s="12"/>
      <c r="M15134" s="11"/>
      <c r="N15134" s="11"/>
      <c r="O15134" s="11"/>
      <c r="P15134" s="11"/>
    </row>
    <row r="15135" spans="8:16" x14ac:dyDescent="0.25">
      <c r="H15135" s="12"/>
      <c r="I15135" s="12"/>
      <c r="J15135" s="12"/>
      <c r="K15135" s="12"/>
      <c r="L15135" s="12"/>
      <c r="M15135" s="11"/>
      <c r="N15135" s="11"/>
      <c r="O15135" s="11"/>
      <c r="P15135" s="11"/>
    </row>
    <row r="15136" spans="8:16" x14ac:dyDescent="0.25">
      <c r="H15136" s="12"/>
      <c r="I15136" s="12"/>
      <c r="J15136" s="12"/>
      <c r="K15136" s="12"/>
      <c r="L15136" s="12"/>
      <c r="M15136" s="11"/>
      <c r="N15136" s="11"/>
      <c r="O15136" s="11"/>
      <c r="P15136" s="11"/>
    </row>
    <row r="15137" spans="8:16" x14ac:dyDescent="0.25">
      <c r="H15137" s="12"/>
      <c r="I15137" s="12"/>
      <c r="J15137" s="12"/>
      <c r="K15137" s="12"/>
      <c r="L15137" s="12"/>
      <c r="M15137" s="11"/>
      <c r="N15137" s="11"/>
      <c r="O15137" s="11"/>
      <c r="P15137" s="11"/>
    </row>
    <row r="15138" spans="8:16" x14ac:dyDescent="0.25">
      <c r="H15138" s="12"/>
      <c r="I15138" s="12"/>
      <c r="J15138" s="12"/>
      <c r="K15138" s="12"/>
      <c r="L15138" s="12"/>
      <c r="M15138" s="11"/>
      <c r="N15138" s="11"/>
      <c r="O15138" s="11"/>
      <c r="P15138" s="11"/>
    </row>
    <row r="15139" spans="8:16" x14ac:dyDescent="0.25">
      <c r="H15139" s="12"/>
      <c r="I15139" s="12"/>
      <c r="J15139" s="12"/>
      <c r="K15139" s="12"/>
      <c r="L15139" s="12"/>
      <c r="M15139" s="11"/>
      <c r="N15139" s="11"/>
      <c r="O15139" s="11"/>
      <c r="P15139" s="11"/>
    </row>
    <row r="15140" spans="8:16" x14ac:dyDescent="0.25">
      <c r="H15140" s="12"/>
      <c r="I15140" s="12"/>
      <c r="J15140" s="12"/>
      <c r="K15140" s="12"/>
      <c r="L15140" s="12"/>
      <c r="M15140" s="11"/>
      <c r="N15140" s="11"/>
      <c r="O15140" s="11"/>
      <c r="P15140" s="11"/>
    </row>
    <row r="15141" spans="8:16" x14ac:dyDescent="0.25">
      <c r="H15141" s="12"/>
      <c r="I15141" s="12"/>
      <c r="J15141" s="12"/>
      <c r="K15141" s="12"/>
      <c r="L15141" s="12"/>
      <c r="M15141" s="11"/>
      <c r="N15141" s="11"/>
      <c r="O15141" s="11"/>
      <c r="P15141" s="11"/>
    </row>
    <row r="15142" spans="8:16" x14ac:dyDescent="0.25">
      <c r="H15142" s="12"/>
      <c r="I15142" s="12"/>
      <c r="J15142" s="12"/>
      <c r="K15142" s="12"/>
      <c r="L15142" s="12"/>
      <c r="M15142" s="11"/>
      <c r="N15142" s="11"/>
      <c r="O15142" s="11"/>
      <c r="P15142" s="11"/>
    </row>
    <row r="15143" spans="8:16" x14ac:dyDescent="0.25">
      <c r="H15143" s="12"/>
      <c r="I15143" s="12"/>
      <c r="J15143" s="12"/>
      <c r="K15143" s="12"/>
      <c r="L15143" s="12"/>
      <c r="M15143" s="11"/>
      <c r="N15143" s="11"/>
      <c r="O15143" s="11"/>
      <c r="P15143" s="11"/>
    </row>
    <row r="15144" spans="8:16" x14ac:dyDescent="0.25">
      <c r="H15144" s="12"/>
      <c r="I15144" s="12"/>
      <c r="J15144" s="12"/>
      <c r="K15144" s="12"/>
      <c r="L15144" s="12"/>
      <c r="M15144" s="11"/>
      <c r="N15144" s="11"/>
      <c r="O15144" s="11"/>
      <c r="P15144" s="11"/>
    </row>
    <row r="15145" spans="8:16" x14ac:dyDescent="0.25">
      <c r="H15145" s="12"/>
      <c r="I15145" s="12"/>
      <c r="J15145" s="12"/>
      <c r="K15145" s="12"/>
      <c r="L15145" s="12"/>
      <c r="M15145" s="11"/>
      <c r="N15145" s="11"/>
      <c r="O15145" s="11"/>
      <c r="P15145" s="11"/>
    </row>
    <row r="15146" spans="8:16" x14ac:dyDescent="0.25">
      <c r="H15146" s="12"/>
      <c r="I15146" s="12"/>
      <c r="J15146" s="12"/>
      <c r="K15146" s="12"/>
      <c r="L15146" s="12"/>
      <c r="M15146" s="11"/>
      <c r="N15146" s="11"/>
      <c r="O15146" s="11"/>
      <c r="P15146" s="11"/>
    </row>
    <row r="15147" spans="8:16" x14ac:dyDescent="0.25">
      <c r="H15147" s="12"/>
      <c r="I15147" s="12"/>
      <c r="J15147" s="12"/>
      <c r="K15147" s="12"/>
      <c r="L15147" s="12"/>
      <c r="M15147" s="11"/>
      <c r="N15147" s="11"/>
      <c r="O15147" s="11"/>
      <c r="P15147" s="11"/>
    </row>
    <row r="15148" spans="8:16" x14ac:dyDescent="0.25">
      <c r="H15148" s="12"/>
      <c r="I15148" s="12"/>
      <c r="J15148" s="12"/>
      <c r="K15148" s="12"/>
      <c r="L15148" s="12"/>
      <c r="M15148" s="11"/>
      <c r="N15148" s="11"/>
      <c r="O15148" s="11"/>
      <c r="P15148" s="11"/>
    </row>
    <row r="15149" spans="8:16" x14ac:dyDescent="0.25">
      <c r="H15149" s="12"/>
      <c r="I15149" s="12"/>
      <c r="J15149" s="12"/>
      <c r="K15149" s="12"/>
      <c r="L15149" s="12"/>
      <c r="M15149" s="11"/>
      <c r="N15149" s="11"/>
      <c r="O15149" s="11"/>
      <c r="P15149" s="11"/>
    </row>
    <row r="15150" spans="8:16" x14ac:dyDescent="0.25">
      <c r="H15150" s="12"/>
      <c r="I15150" s="12"/>
      <c r="J15150" s="12"/>
      <c r="K15150" s="12"/>
      <c r="L15150" s="12"/>
      <c r="M15150" s="11"/>
      <c r="N15150" s="11"/>
      <c r="O15150" s="11"/>
      <c r="P15150" s="11"/>
    </row>
    <row r="15151" spans="8:16" x14ac:dyDescent="0.25">
      <c r="H15151" s="12"/>
      <c r="I15151" s="12"/>
      <c r="J15151" s="12"/>
      <c r="K15151" s="12"/>
      <c r="L15151" s="12"/>
      <c r="M15151" s="11"/>
      <c r="N15151" s="11"/>
      <c r="O15151" s="11"/>
      <c r="P15151" s="11"/>
    </row>
    <row r="15152" spans="8:16" x14ac:dyDescent="0.25">
      <c r="H15152" s="12"/>
      <c r="I15152" s="12"/>
      <c r="J15152" s="12"/>
      <c r="K15152" s="12"/>
      <c r="L15152" s="12"/>
      <c r="M15152" s="11"/>
      <c r="N15152" s="11"/>
      <c r="O15152" s="11"/>
      <c r="P15152" s="11"/>
    </row>
    <row r="15153" spans="8:16" x14ac:dyDescent="0.25">
      <c r="H15153" s="12"/>
      <c r="I15153" s="12"/>
      <c r="J15153" s="12"/>
      <c r="K15153" s="12"/>
      <c r="L15153" s="12"/>
      <c r="M15153" s="11"/>
      <c r="N15153" s="11"/>
      <c r="O15153" s="11"/>
      <c r="P15153" s="11"/>
    </row>
    <row r="15154" spans="8:16" x14ac:dyDescent="0.25">
      <c r="H15154" s="12"/>
      <c r="I15154" s="12"/>
      <c r="J15154" s="12"/>
      <c r="K15154" s="12"/>
      <c r="L15154" s="12"/>
      <c r="M15154" s="11"/>
      <c r="N15154" s="11"/>
      <c r="O15154" s="11"/>
      <c r="P15154" s="11"/>
    </row>
    <row r="15155" spans="8:16" x14ac:dyDescent="0.25">
      <c r="H15155" s="12"/>
      <c r="I15155" s="12"/>
      <c r="J15155" s="12"/>
      <c r="K15155" s="12"/>
      <c r="L15155" s="12"/>
      <c r="M15155" s="11"/>
      <c r="N15155" s="11"/>
      <c r="O15155" s="11"/>
      <c r="P15155" s="11"/>
    </row>
    <row r="15156" spans="8:16" x14ac:dyDescent="0.25">
      <c r="H15156" s="12"/>
      <c r="I15156" s="12"/>
      <c r="J15156" s="12"/>
      <c r="K15156" s="12"/>
      <c r="L15156" s="12"/>
      <c r="M15156" s="11"/>
      <c r="N15156" s="11"/>
      <c r="O15156" s="11"/>
      <c r="P15156" s="11"/>
    </row>
    <row r="15157" spans="8:16" x14ac:dyDescent="0.25">
      <c r="H15157" s="12"/>
      <c r="I15157" s="12"/>
      <c r="J15157" s="12"/>
      <c r="K15157" s="12"/>
      <c r="L15157" s="12"/>
      <c r="M15157" s="11"/>
      <c r="N15157" s="11"/>
      <c r="O15157" s="11"/>
      <c r="P15157" s="11"/>
    </row>
    <row r="15158" spans="8:16" x14ac:dyDescent="0.25">
      <c r="H15158" s="12"/>
      <c r="I15158" s="12"/>
      <c r="J15158" s="12"/>
      <c r="K15158" s="12"/>
      <c r="L15158" s="12"/>
      <c r="M15158" s="11"/>
      <c r="N15158" s="11"/>
      <c r="O15158" s="11"/>
      <c r="P15158" s="11"/>
    </row>
    <row r="15159" spans="8:16" x14ac:dyDescent="0.25">
      <c r="H15159" s="12"/>
      <c r="I15159" s="12"/>
      <c r="J15159" s="12"/>
      <c r="K15159" s="12"/>
      <c r="L15159" s="12"/>
      <c r="M15159" s="11"/>
      <c r="N15159" s="11"/>
      <c r="O15159" s="11"/>
      <c r="P15159" s="11"/>
    </row>
    <row r="15160" spans="8:16" x14ac:dyDescent="0.25">
      <c r="H15160" s="12"/>
      <c r="I15160" s="12"/>
      <c r="J15160" s="12"/>
      <c r="K15160" s="12"/>
      <c r="L15160" s="12"/>
      <c r="M15160" s="11"/>
      <c r="N15160" s="11"/>
      <c r="O15160" s="11"/>
      <c r="P15160" s="11"/>
    </row>
    <row r="15161" spans="8:16" x14ac:dyDescent="0.25">
      <c r="H15161" s="12"/>
      <c r="I15161" s="12"/>
      <c r="J15161" s="12"/>
      <c r="K15161" s="12"/>
      <c r="L15161" s="12"/>
      <c r="M15161" s="11"/>
      <c r="N15161" s="11"/>
      <c r="O15161" s="11"/>
      <c r="P15161" s="11"/>
    </row>
    <row r="15162" spans="8:16" x14ac:dyDescent="0.25">
      <c r="H15162" s="12"/>
      <c r="I15162" s="12"/>
      <c r="J15162" s="12"/>
      <c r="K15162" s="12"/>
      <c r="L15162" s="12"/>
      <c r="M15162" s="11"/>
      <c r="N15162" s="11"/>
      <c r="O15162" s="11"/>
      <c r="P15162" s="11"/>
    </row>
    <row r="15163" spans="8:16" x14ac:dyDescent="0.25">
      <c r="H15163" s="12"/>
      <c r="I15163" s="12"/>
      <c r="J15163" s="12"/>
      <c r="K15163" s="12"/>
      <c r="L15163" s="12"/>
      <c r="M15163" s="11"/>
      <c r="N15163" s="11"/>
      <c r="O15163" s="11"/>
      <c r="P15163" s="11"/>
    </row>
    <row r="15164" spans="8:16" x14ac:dyDescent="0.25">
      <c r="H15164" s="12"/>
      <c r="I15164" s="12"/>
      <c r="J15164" s="12"/>
      <c r="K15164" s="12"/>
      <c r="L15164" s="12"/>
      <c r="M15164" s="11"/>
      <c r="N15164" s="11"/>
      <c r="O15164" s="11"/>
      <c r="P15164" s="11"/>
    </row>
    <row r="15165" spans="8:16" x14ac:dyDescent="0.25">
      <c r="H15165" s="12"/>
      <c r="I15165" s="12"/>
      <c r="J15165" s="12"/>
      <c r="K15165" s="12"/>
      <c r="L15165" s="12"/>
      <c r="M15165" s="11"/>
      <c r="N15165" s="11"/>
      <c r="O15165" s="11"/>
      <c r="P15165" s="11"/>
    </row>
    <row r="15166" spans="8:16" x14ac:dyDescent="0.25">
      <c r="H15166" s="12"/>
      <c r="I15166" s="12"/>
      <c r="J15166" s="12"/>
      <c r="K15166" s="12"/>
      <c r="L15166" s="12"/>
      <c r="M15166" s="11"/>
      <c r="N15166" s="11"/>
      <c r="O15166" s="11"/>
      <c r="P15166" s="11"/>
    </row>
    <row r="15167" spans="8:16" x14ac:dyDescent="0.25">
      <c r="H15167" s="12"/>
      <c r="I15167" s="12"/>
      <c r="J15167" s="12"/>
      <c r="K15167" s="12"/>
      <c r="L15167" s="12"/>
      <c r="M15167" s="11"/>
      <c r="N15167" s="11"/>
      <c r="O15167" s="11"/>
      <c r="P15167" s="11"/>
    </row>
    <row r="15168" spans="8:16" x14ac:dyDescent="0.25">
      <c r="H15168" s="12"/>
      <c r="I15168" s="12"/>
      <c r="J15168" s="12"/>
      <c r="K15168" s="12"/>
      <c r="L15168" s="12"/>
      <c r="M15168" s="11"/>
      <c r="N15168" s="11"/>
      <c r="O15168" s="11"/>
      <c r="P15168" s="11"/>
    </row>
    <row r="15169" spans="8:16" x14ac:dyDescent="0.25">
      <c r="H15169" s="12"/>
      <c r="I15169" s="12"/>
      <c r="J15169" s="12"/>
      <c r="K15169" s="12"/>
      <c r="L15169" s="12"/>
      <c r="M15169" s="11"/>
      <c r="N15169" s="11"/>
      <c r="O15169" s="11"/>
      <c r="P15169" s="11"/>
    </row>
    <row r="15170" spans="8:16" x14ac:dyDescent="0.25">
      <c r="H15170" s="12"/>
      <c r="I15170" s="12"/>
      <c r="J15170" s="12"/>
      <c r="K15170" s="12"/>
      <c r="L15170" s="12"/>
      <c r="M15170" s="11"/>
      <c r="N15170" s="11"/>
      <c r="O15170" s="11"/>
      <c r="P15170" s="11"/>
    </row>
    <row r="15171" spans="8:16" x14ac:dyDescent="0.25">
      <c r="H15171" s="12"/>
      <c r="I15171" s="12"/>
      <c r="J15171" s="12"/>
      <c r="K15171" s="12"/>
      <c r="L15171" s="12"/>
      <c r="M15171" s="11"/>
      <c r="N15171" s="11"/>
      <c r="O15171" s="11"/>
      <c r="P15171" s="11"/>
    </row>
    <row r="15172" spans="8:16" x14ac:dyDescent="0.25">
      <c r="H15172" s="12"/>
      <c r="I15172" s="12"/>
      <c r="J15172" s="12"/>
      <c r="K15172" s="12"/>
      <c r="L15172" s="12"/>
      <c r="M15172" s="11"/>
      <c r="N15172" s="11"/>
      <c r="O15172" s="11"/>
      <c r="P15172" s="11"/>
    </row>
    <row r="15173" spans="8:16" x14ac:dyDescent="0.25">
      <c r="H15173" s="12"/>
      <c r="I15173" s="12"/>
      <c r="J15173" s="12"/>
      <c r="K15173" s="12"/>
      <c r="L15173" s="12"/>
      <c r="M15173" s="11"/>
      <c r="N15173" s="11"/>
      <c r="O15173" s="11"/>
      <c r="P15173" s="11"/>
    </row>
    <row r="15174" spans="8:16" x14ac:dyDescent="0.25">
      <c r="H15174" s="12"/>
      <c r="I15174" s="12"/>
      <c r="J15174" s="12"/>
      <c r="K15174" s="12"/>
      <c r="L15174" s="12"/>
      <c r="M15174" s="11"/>
      <c r="N15174" s="11"/>
      <c r="O15174" s="11"/>
      <c r="P15174" s="11"/>
    </row>
    <row r="15175" spans="8:16" x14ac:dyDescent="0.25">
      <c r="H15175" s="12"/>
      <c r="I15175" s="12"/>
      <c r="J15175" s="12"/>
      <c r="K15175" s="12"/>
      <c r="L15175" s="12"/>
      <c r="M15175" s="11"/>
      <c r="N15175" s="11"/>
      <c r="O15175" s="11"/>
      <c r="P15175" s="11"/>
    </row>
    <row r="15176" spans="8:16" x14ac:dyDescent="0.25">
      <c r="H15176" s="12"/>
      <c r="I15176" s="12"/>
      <c r="J15176" s="12"/>
      <c r="K15176" s="12"/>
      <c r="L15176" s="12"/>
      <c r="M15176" s="11"/>
      <c r="N15176" s="11"/>
      <c r="O15176" s="11"/>
      <c r="P15176" s="11"/>
    </row>
    <row r="15177" spans="8:16" x14ac:dyDescent="0.25">
      <c r="H15177" s="12"/>
      <c r="I15177" s="12"/>
      <c r="J15177" s="12"/>
      <c r="K15177" s="12"/>
      <c r="L15177" s="12"/>
      <c r="M15177" s="11"/>
      <c r="N15177" s="11"/>
      <c r="O15177" s="11"/>
      <c r="P15177" s="11"/>
    </row>
    <row r="15178" spans="8:16" x14ac:dyDescent="0.25">
      <c r="H15178" s="12"/>
      <c r="I15178" s="12"/>
      <c r="J15178" s="12"/>
      <c r="K15178" s="12"/>
      <c r="L15178" s="12"/>
      <c r="M15178" s="11"/>
      <c r="N15178" s="11"/>
      <c r="O15178" s="11"/>
      <c r="P15178" s="11"/>
    </row>
    <row r="15179" spans="8:16" x14ac:dyDescent="0.25">
      <c r="H15179" s="12"/>
      <c r="I15179" s="12"/>
      <c r="J15179" s="12"/>
      <c r="K15179" s="12"/>
      <c r="L15179" s="12"/>
      <c r="M15179" s="11"/>
      <c r="N15179" s="11"/>
      <c r="O15179" s="11"/>
      <c r="P15179" s="11"/>
    </row>
    <row r="15180" spans="8:16" x14ac:dyDescent="0.25">
      <c r="H15180" s="12"/>
      <c r="I15180" s="12"/>
      <c r="J15180" s="12"/>
      <c r="K15180" s="12"/>
      <c r="L15180" s="12"/>
      <c r="M15180" s="11"/>
      <c r="N15180" s="11"/>
      <c r="O15180" s="11"/>
      <c r="P15180" s="11"/>
    </row>
    <row r="15181" spans="8:16" x14ac:dyDescent="0.25">
      <c r="H15181" s="12"/>
      <c r="I15181" s="12"/>
      <c r="J15181" s="12"/>
      <c r="K15181" s="12"/>
      <c r="L15181" s="12"/>
      <c r="M15181" s="11"/>
      <c r="N15181" s="11"/>
      <c r="O15181" s="11"/>
      <c r="P15181" s="11"/>
    </row>
    <row r="15182" spans="8:16" x14ac:dyDescent="0.25">
      <c r="H15182" s="12"/>
      <c r="I15182" s="12"/>
      <c r="J15182" s="12"/>
      <c r="K15182" s="12"/>
      <c r="L15182" s="12"/>
      <c r="M15182" s="11"/>
      <c r="N15182" s="11"/>
      <c r="O15182" s="11"/>
      <c r="P15182" s="11"/>
    </row>
    <row r="15183" spans="8:16" x14ac:dyDescent="0.25">
      <c r="H15183" s="12"/>
      <c r="I15183" s="12"/>
      <c r="J15183" s="12"/>
      <c r="K15183" s="12"/>
      <c r="L15183" s="12"/>
      <c r="M15183" s="11"/>
      <c r="N15183" s="11"/>
      <c r="O15183" s="11"/>
      <c r="P15183" s="11"/>
    </row>
    <row r="15184" spans="8:16" x14ac:dyDescent="0.25">
      <c r="H15184" s="12"/>
      <c r="I15184" s="12"/>
      <c r="J15184" s="12"/>
      <c r="K15184" s="12"/>
      <c r="L15184" s="12"/>
      <c r="M15184" s="11"/>
      <c r="N15184" s="11"/>
      <c r="O15184" s="11"/>
      <c r="P15184" s="11"/>
    </row>
    <row r="15185" spans="8:16" x14ac:dyDescent="0.25">
      <c r="H15185" s="12"/>
      <c r="I15185" s="12"/>
      <c r="J15185" s="12"/>
      <c r="K15185" s="12"/>
      <c r="L15185" s="12"/>
      <c r="M15185" s="11"/>
      <c r="N15185" s="11"/>
      <c r="O15185" s="11"/>
      <c r="P15185" s="11"/>
    </row>
    <row r="15186" spans="8:16" x14ac:dyDescent="0.25">
      <c r="H15186" s="12"/>
      <c r="I15186" s="12"/>
      <c r="J15186" s="12"/>
      <c r="K15186" s="12"/>
      <c r="L15186" s="12"/>
      <c r="M15186" s="11"/>
      <c r="N15186" s="11"/>
      <c r="O15186" s="11"/>
      <c r="P15186" s="11"/>
    </row>
    <row r="15187" spans="8:16" x14ac:dyDescent="0.25">
      <c r="H15187" s="12"/>
      <c r="I15187" s="12"/>
      <c r="J15187" s="12"/>
      <c r="K15187" s="12"/>
      <c r="L15187" s="12"/>
      <c r="M15187" s="11"/>
      <c r="N15187" s="11"/>
      <c r="O15187" s="11"/>
      <c r="P15187" s="11"/>
    </row>
    <row r="15188" spans="8:16" x14ac:dyDescent="0.25">
      <c r="H15188" s="12"/>
      <c r="I15188" s="12"/>
      <c r="J15188" s="12"/>
      <c r="K15188" s="12"/>
      <c r="L15188" s="12"/>
      <c r="M15188" s="11"/>
      <c r="N15188" s="11"/>
      <c r="O15188" s="11"/>
      <c r="P15188" s="11"/>
    </row>
    <row r="15189" spans="8:16" x14ac:dyDescent="0.25">
      <c r="H15189" s="12"/>
      <c r="I15189" s="12"/>
      <c r="J15189" s="12"/>
      <c r="K15189" s="12"/>
      <c r="L15189" s="12"/>
      <c r="M15189" s="11"/>
      <c r="N15189" s="11"/>
      <c r="O15189" s="11"/>
      <c r="P15189" s="11"/>
    </row>
    <row r="15190" spans="8:16" x14ac:dyDescent="0.25">
      <c r="H15190" s="12"/>
      <c r="I15190" s="12"/>
      <c r="J15190" s="12"/>
      <c r="K15190" s="12"/>
      <c r="L15190" s="12"/>
      <c r="M15190" s="11"/>
      <c r="N15190" s="11"/>
      <c r="O15190" s="11"/>
      <c r="P15190" s="11"/>
    </row>
    <row r="15191" spans="8:16" x14ac:dyDescent="0.25">
      <c r="H15191" s="12"/>
      <c r="I15191" s="12"/>
      <c r="J15191" s="12"/>
      <c r="K15191" s="12"/>
      <c r="L15191" s="12"/>
      <c r="M15191" s="11"/>
      <c r="N15191" s="11"/>
      <c r="O15191" s="11"/>
      <c r="P15191" s="11"/>
    </row>
    <row r="15192" spans="8:16" x14ac:dyDescent="0.25">
      <c r="H15192" s="12"/>
      <c r="I15192" s="12"/>
      <c r="J15192" s="12"/>
      <c r="K15192" s="12"/>
      <c r="L15192" s="12"/>
      <c r="M15192" s="11"/>
      <c r="N15192" s="11"/>
      <c r="O15192" s="11"/>
      <c r="P15192" s="11"/>
    </row>
    <row r="15193" spans="8:16" x14ac:dyDescent="0.25">
      <c r="H15193" s="12"/>
      <c r="I15193" s="12"/>
      <c r="J15193" s="12"/>
      <c r="K15193" s="12"/>
      <c r="L15193" s="12"/>
      <c r="M15193" s="11"/>
      <c r="N15193" s="11"/>
      <c r="O15193" s="11"/>
      <c r="P15193" s="11"/>
    </row>
    <row r="15194" spans="8:16" x14ac:dyDescent="0.25">
      <c r="H15194" s="12"/>
      <c r="I15194" s="12"/>
      <c r="J15194" s="12"/>
      <c r="K15194" s="12"/>
      <c r="L15194" s="12"/>
      <c r="M15194" s="11"/>
      <c r="N15194" s="11"/>
      <c r="O15194" s="11"/>
      <c r="P15194" s="11"/>
    </row>
    <row r="15195" spans="8:16" x14ac:dyDescent="0.25">
      <c r="H15195" s="12"/>
      <c r="I15195" s="12"/>
      <c r="J15195" s="12"/>
      <c r="K15195" s="12"/>
      <c r="L15195" s="12"/>
      <c r="M15195" s="11"/>
      <c r="N15195" s="11"/>
      <c r="O15195" s="11"/>
      <c r="P15195" s="11"/>
    </row>
    <row r="15196" spans="8:16" x14ac:dyDescent="0.25">
      <c r="H15196" s="12"/>
      <c r="I15196" s="12"/>
      <c r="J15196" s="12"/>
      <c r="K15196" s="12"/>
      <c r="L15196" s="12"/>
      <c r="M15196" s="11"/>
      <c r="N15196" s="11"/>
      <c r="O15196" s="11"/>
      <c r="P15196" s="11"/>
    </row>
    <row r="15197" spans="8:16" x14ac:dyDescent="0.25">
      <c r="H15197" s="12"/>
      <c r="I15197" s="12"/>
      <c r="J15197" s="12"/>
      <c r="K15197" s="12"/>
      <c r="L15197" s="12"/>
      <c r="M15197" s="11"/>
      <c r="N15197" s="11"/>
      <c r="O15197" s="11"/>
      <c r="P15197" s="11"/>
    </row>
    <row r="15198" spans="8:16" x14ac:dyDescent="0.25">
      <c r="H15198" s="12"/>
      <c r="I15198" s="12"/>
      <c r="J15198" s="12"/>
      <c r="K15198" s="12"/>
      <c r="L15198" s="12"/>
      <c r="M15198" s="11"/>
      <c r="N15198" s="11"/>
      <c r="O15198" s="11"/>
      <c r="P15198" s="11"/>
    </row>
    <row r="15199" spans="8:16" x14ac:dyDescent="0.25">
      <c r="H15199" s="12"/>
      <c r="I15199" s="12"/>
      <c r="J15199" s="12"/>
      <c r="K15199" s="12"/>
      <c r="L15199" s="12"/>
      <c r="M15199" s="11"/>
      <c r="N15199" s="11"/>
      <c r="O15199" s="11"/>
      <c r="P15199" s="11"/>
    </row>
    <row r="15200" spans="8:16" x14ac:dyDescent="0.25">
      <c r="H15200" s="12"/>
      <c r="I15200" s="12"/>
      <c r="J15200" s="12"/>
      <c r="K15200" s="12"/>
      <c r="L15200" s="12"/>
      <c r="M15200" s="11"/>
      <c r="N15200" s="11"/>
      <c r="O15200" s="11"/>
      <c r="P15200" s="11"/>
    </row>
    <row r="15201" spans="8:16" x14ac:dyDescent="0.25">
      <c r="H15201" s="12"/>
      <c r="I15201" s="12"/>
      <c r="J15201" s="12"/>
      <c r="K15201" s="12"/>
      <c r="L15201" s="12"/>
      <c r="M15201" s="11"/>
      <c r="N15201" s="11"/>
      <c r="O15201" s="11"/>
      <c r="P15201" s="11"/>
    </row>
    <row r="15202" spans="8:16" x14ac:dyDescent="0.25">
      <c r="H15202" s="12"/>
      <c r="I15202" s="12"/>
      <c r="J15202" s="12"/>
      <c r="K15202" s="12"/>
      <c r="L15202" s="12"/>
      <c r="M15202" s="11"/>
      <c r="N15202" s="11"/>
      <c r="O15202" s="11"/>
      <c r="P15202" s="11"/>
    </row>
    <row r="15203" spans="8:16" x14ac:dyDescent="0.25">
      <c r="H15203" s="12"/>
      <c r="I15203" s="12"/>
      <c r="J15203" s="12"/>
      <c r="K15203" s="12"/>
      <c r="L15203" s="12"/>
      <c r="M15203" s="11"/>
      <c r="N15203" s="11"/>
      <c r="O15203" s="11"/>
      <c r="P15203" s="11"/>
    </row>
    <row r="15204" spans="8:16" x14ac:dyDescent="0.25">
      <c r="H15204" s="12"/>
      <c r="I15204" s="12"/>
      <c r="J15204" s="12"/>
      <c r="K15204" s="12"/>
      <c r="L15204" s="12"/>
      <c r="M15204" s="11"/>
      <c r="N15204" s="11"/>
      <c r="O15204" s="11"/>
      <c r="P15204" s="11"/>
    </row>
    <row r="15205" spans="8:16" x14ac:dyDescent="0.25">
      <c r="H15205" s="12"/>
      <c r="I15205" s="12"/>
      <c r="J15205" s="12"/>
      <c r="K15205" s="12"/>
      <c r="L15205" s="12"/>
      <c r="M15205" s="11"/>
      <c r="N15205" s="11"/>
      <c r="O15205" s="11"/>
      <c r="P15205" s="11"/>
    </row>
    <row r="15206" spans="8:16" x14ac:dyDescent="0.25">
      <c r="H15206" s="12"/>
      <c r="I15206" s="12"/>
      <c r="J15206" s="12"/>
      <c r="K15206" s="12"/>
      <c r="L15206" s="12"/>
      <c r="M15206" s="11"/>
      <c r="N15206" s="11"/>
      <c r="O15206" s="11"/>
      <c r="P15206" s="11"/>
    </row>
    <row r="15207" spans="8:16" x14ac:dyDescent="0.25">
      <c r="H15207" s="12"/>
      <c r="I15207" s="12"/>
      <c r="J15207" s="12"/>
      <c r="K15207" s="12"/>
      <c r="L15207" s="12"/>
      <c r="M15207" s="11"/>
      <c r="N15207" s="11"/>
      <c r="O15207" s="11"/>
      <c r="P15207" s="11"/>
    </row>
    <row r="15208" spans="8:16" x14ac:dyDescent="0.25">
      <c r="H15208" s="12"/>
      <c r="I15208" s="12"/>
      <c r="J15208" s="12"/>
      <c r="K15208" s="12"/>
      <c r="L15208" s="12"/>
      <c r="M15208" s="11"/>
      <c r="N15208" s="11"/>
      <c r="O15208" s="11"/>
      <c r="P15208" s="11"/>
    </row>
    <row r="15209" spans="8:16" x14ac:dyDescent="0.25">
      <c r="H15209" s="12"/>
      <c r="I15209" s="12"/>
      <c r="J15209" s="12"/>
      <c r="K15209" s="12"/>
      <c r="L15209" s="12"/>
      <c r="M15209" s="11"/>
      <c r="N15209" s="11"/>
      <c r="O15209" s="11"/>
      <c r="P15209" s="11"/>
    </row>
    <row r="15210" spans="8:16" x14ac:dyDescent="0.25">
      <c r="H15210" s="12"/>
      <c r="I15210" s="12"/>
      <c r="J15210" s="12"/>
      <c r="K15210" s="12"/>
      <c r="L15210" s="12"/>
      <c r="M15210" s="11"/>
      <c r="N15210" s="11"/>
      <c r="O15210" s="11"/>
      <c r="P15210" s="11"/>
    </row>
    <row r="15211" spans="8:16" x14ac:dyDescent="0.25">
      <c r="H15211" s="12"/>
      <c r="I15211" s="12"/>
      <c r="J15211" s="12"/>
      <c r="K15211" s="12"/>
      <c r="L15211" s="12"/>
      <c r="M15211" s="11"/>
      <c r="N15211" s="11"/>
      <c r="O15211" s="11"/>
      <c r="P15211" s="11"/>
    </row>
    <row r="15212" spans="8:16" x14ac:dyDescent="0.25">
      <c r="H15212" s="12"/>
      <c r="I15212" s="12"/>
      <c r="J15212" s="12"/>
      <c r="K15212" s="12"/>
      <c r="L15212" s="12"/>
      <c r="M15212" s="11"/>
      <c r="N15212" s="11"/>
      <c r="O15212" s="11"/>
      <c r="P15212" s="11"/>
    </row>
    <row r="15213" spans="8:16" x14ac:dyDescent="0.25">
      <c r="H15213" s="12"/>
      <c r="I15213" s="12"/>
      <c r="J15213" s="12"/>
      <c r="K15213" s="12"/>
      <c r="L15213" s="12"/>
      <c r="M15213" s="11"/>
      <c r="N15213" s="11"/>
      <c r="O15213" s="11"/>
      <c r="P15213" s="11"/>
    </row>
    <row r="15214" spans="8:16" x14ac:dyDescent="0.25">
      <c r="H15214" s="12"/>
      <c r="I15214" s="12"/>
      <c r="J15214" s="12"/>
      <c r="K15214" s="12"/>
      <c r="L15214" s="12"/>
      <c r="M15214" s="11"/>
      <c r="N15214" s="11"/>
      <c r="O15214" s="11"/>
      <c r="P15214" s="11"/>
    </row>
    <row r="15215" spans="8:16" x14ac:dyDescent="0.25">
      <c r="H15215" s="12"/>
      <c r="I15215" s="12"/>
      <c r="J15215" s="12"/>
      <c r="K15215" s="12"/>
      <c r="L15215" s="12"/>
      <c r="M15215" s="11"/>
      <c r="N15215" s="11"/>
      <c r="O15215" s="11"/>
      <c r="P15215" s="11"/>
    </row>
    <row r="15216" spans="8:16" x14ac:dyDescent="0.25">
      <c r="H15216" s="12"/>
      <c r="I15216" s="12"/>
      <c r="J15216" s="12"/>
      <c r="K15216" s="12"/>
      <c r="L15216" s="12"/>
      <c r="M15216" s="11"/>
      <c r="N15216" s="11"/>
      <c r="O15216" s="11"/>
      <c r="P15216" s="11"/>
    </row>
    <row r="15217" spans="8:16" x14ac:dyDescent="0.25">
      <c r="H15217" s="12"/>
      <c r="I15217" s="12"/>
      <c r="J15217" s="12"/>
      <c r="K15217" s="12"/>
      <c r="L15217" s="12"/>
      <c r="M15217" s="11"/>
      <c r="N15217" s="11"/>
      <c r="O15217" s="11"/>
      <c r="P15217" s="11"/>
    </row>
    <row r="15218" spans="8:16" x14ac:dyDescent="0.25">
      <c r="H15218" s="12"/>
      <c r="I15218" s="12"/>
      <c r="J15218" s="12"/>
      <c r="K15218" s="12"/>
      <c r="L15218" s="12"/>
      <c r="M15218" s="11"/>
      <c r="N15218" s="11"/>
      <c r="O15218" s="11"/>
      <c r="P15218" s="11"/>
    </row>
    <row r="15219" spans="8:16" x14ac:dyDescent="0.25">
      <c r="H15219" s="12"/>
      <c r="I15219" s="12"/>
      <c r="J15219" s="12"/>
      <c r="K15219" s="12"/>
      <c r="L15219" s="12"/>
      <c r="M15219" s="11"/>
      <c r="N15219" s="11"/>
      <c r="O15219" s="11"/>
      <c r="P15219" s="11"/>
    </row>
    <row r="15220" spans="8:16" x14ac:dyDescent="0.25">
      <c r="H15220" s="12"/>
      <c r="I15220" s="12"/>
      <c r="J15220" s="12"/>
      <c r="K15220" s="12"/>
      <c r="L15220" s="12"/>
      <c r="M15220" s="11"/>
      <c r="N15220" s="11"/>
      <c r="O15220" s="11"/>
      <c r="P15220" s="11"/>
    </row>
    <row r="15221" spans="8:16" x14ac:dyDescent="0.25">
      <c r="H15221" s="12"/>
      <c r="I15221" s="12"/>
      <c r="J15221" s="12"/>
      <c r="K15221" s="12"/>
      <c r="L15221" s="12"/>
      <c r="M15221" s="11"/>
      <c r="N15221" s="11"/>
      <c r="O15221" s="11"/>
      <c r="P15221" s="11"/>
    </row>
    <row r="15222" spans="8:16" x14ac:dyDescent="0.25">
      <c r="H15222" s="12"/>
      <c r="I15222" s="12"/>
      <c r="J15222" s="12"/>
      <c r="K15222" s="12"/>
      <c r="L15222" s="12"/>
      <c r="M15222" s="11"/>
      <c r="N15222" s="11"/>
      <c r="O15222" s="11"/>
      <c r="P15222" s="11"/>
    </row>
    <row r="15223" spans="8:16" x14ac:dyDescent="0.25">
      <c r="H15223" s="12"/>
      <c r="I15223" s="12"/>
      <c r="J15223" s="12"/>
      <c r="K15223" s="12"/>
      <c r="L15223" s="12"/>
      <c r="M15223" s="11"/>
      <c r="N15223" s="11"/>
      <c r="O15223" s="11"/>
      <c r="P15223" s="11"/>
    </row>
    <row r="15224" spans="8:16" x14ac:dyDescent="0.25">
      <c r="H15224" s="12"/>
      <c r="I15224" s="12"/>
      <c r="J15224" s="12"/>
      <c r="K15224" s="12"/>
      <c r="L15224" s="12"/>
      <c r="M15224" s="11"/>
      <c r="N15224" s="11"/>
      <c r="O15224" s="11"/>
      <c r="P15224" s="11"/>
    </row>
    <row r="15225" spans="8:16" x14ac:dyDescent="0.25">
      <c r="H15225" s="12"/>
      <c r="I15225" s="12"/>
      <c r="J15225" s="12"/>
      <c r="K15225" s="12"/>
      <c r="L15225" s="12"/>
      <c r="M15225" s="11"/>
      <c r="N15225" s="11"/>
      <c r="O15225" s="11"/>
      <c r="P15225" s="11"/>
    </row>
    <row r="15226" spans="8:16" x14ac:dyDescent="0.25">
      <c r="H15226" s="12"/>
      <c r="I15226" s="12"/>
      <c r="J15226" s="12"/>
      <c r="K15226" s="12"/>
      <c r="L15226" s="12"/>
      <c r="M15226" s="11"/>
      <c r="N15226" s="11"/>
      <c r="O15226" s="11"/>
      <c r="P15226" s="11"/>
    </row>
    <row r="15227" spans="8:16" x14ac:dyDescent="0.25">
      <c r="H15227" s="12"/>
      <c r="I15227" s="12"/>
      <c r="J15227" s="12"/>
      <c r="K15227" s="12"/>
      <c r="L15227" s="12"/>
      <c r="M15227" s="11"/>
      <c r="N15227" s="11"/>
      <c r="O15227" s="11"/>
      <c r="P15227" s="11"/>
    </row>
    <row r="15228" spans="8:16" x14ac:dyDescent="0.25">
      <c r="H15228" s="12"/>
      <c r="I15228" s="12"/>
      <c r="J15228" s="12"/>
      <c r="K15228" s="12"/>
      <c r="L15228" s="12"/>
      <c r="M15228" s="11"/>
      <c r="N15228" s="11"/>
      <c r="O15228" s="11"/>
      <c r="P15228" s="11"/>
    </row>
    <row r="15229" spans="8:16" x14ac:dyDescent="0.25">
      <c r="H15229" s="12"/>
      <c r="I15229" s="12"/>
      <c r="J15229" s="12"/>
      <c r="K15229" s="12"/>
      <c r="L15229" s="12"/>
      <c r="M15229" s="11"/>
      <c r="N15229" s="11"/>
      <c r="O15229" s="11"/>
      <c r="P15229" s="11"/>
    </row>
    <row r="15230" spans="8:16" x14ac:dyDescent="0.25">
      <c r="H15230" s="12"/>
      <c r="I15230" s="12"/>
      <c r="J15230" s="12"/>
      <c r="K15230" s="12"/>
      <c r="L15230" s="12"/>
      <c r="M15230" s="11"/>
      <c r="N15230" s="11"/>
      <c r="O15230" s="11"/>
      <c r="P15230" s="11"/>
    </row>
    <row r="15231" spans="8:16" x14ac:dyDescent="0.25">
      <c r="H15231" s="12"/>
      <c r="I15231" s="12"/>
      <c r="J15231" s="12"/>
      <c r="K15231" s="12"/>
      <c r="L15231" s="12"/>
      <c r="M15231" s="11"/>
      <c r="N15231" s="11"/>
      <c r="O15231" s="11"/>
      <c r="P15231" s="11"/>
    </row>
    <row r="15232" spans="8:16" x14ac:dyDescent="0.25">
      <c r="H15232" s="12"/>
      <c r="I15232" s="12"/>
      <c r="J15232" s="12"/>
      <c r="K15232" s="12"/>
      <c r="L15232" s="12"/>
      <c r="M15232" s="11"/>
      <c r="N15232" s="11"/>
      <c r="O15232" s="11"/>
      <c r="P15232" s="11"/>
    </row>
    <row r="15233" spans="8:16" x14ac:dyDescent="0.25">
      <c r="H15233" s="12"/>
      <c r="I15233" s="12"/>
      <c r="J15233" s="12"/>
      <c r="K15233" s="12"/>
      <c r="L15233" s="12"/>
      <c r="M15233" s="11"/>
      <c r="N15233" s="11"/>
      <c r="O15233" s="11"/>
      <c r="P15233" s="11"/>
    </row>
    <row r="15234" spans="8:16" x14ac:dyDescent="0.25">
      <c r="H15234" s="12"/>
      <c r="I15234" s="12"/>
      <c r="J15234" s="12"/>
      <c r="K15234" s="12"/>
      <c r="L15234" s="12"/>
      <c r="M15234" s="11"/>
      <c r="N15234" s="11"/>
      <c r="O15234" s="11"/>
      <c r="P15234" s="11"/>
    </row>
    <row r="15235" spans="8:16" x14ac:dyDescent="0.25">
      <c r="H15235" s="12"/>
      <c r="I15235" s="12"/>
      <c r="J15235" s="12"/>
      <c r="K15235" s="12"/>
      <c r="L15235" s="12"/>
      <c r="M15235" s="11"/>
      <c r="N15235" s="11"/>
      <c r="O15235" s="11"/>
      <c r="P15235" s="11"/>
    </row>
    <row r="15236" spans="8:16" x14ac:dyDescent="0.25">
      <c r="H15236" s="12"/>
      <c r="I15236" s="12"/>
      <c r="J15236" s="12"/>
      <c r="K15236" s="12"/>
      <c r="L15236" s="12"/>
      <c r="M15236" s="11"/>
      <c r="N15236" s="11"/>
      <c r="O15236" s="11"/>
      <c r="P15236" s="11"/>
    </row>
    <row r="15237" spans="8:16" x14ac:dyDescent="0.25">
      <c r="H15237" s="12"/>
      <c r="I15237" s="12"/>
      <c r="J15237" s="12"/>
      <c r="K15237" s="12"/>
      <c r="L15237" s="12"/>
      <c r="M15237" s="11"/>
      <c r="N15237" s="11"/>
      <c r="O15237" s="11"/>
      <c r="P15237" s="11"/>
    </row>
    <row r="15238" spans="8:16" x14ac:dyDescent="0.25">
      <c r="H15238" s="12"/>
      <c r="I15238" s="12"/>
      <c r="J15238" s="12"/>
      <c r="K15238" s="12"/>
      <c r="L15238" s="12"/>
      <c r="M15238" s="11"/>
      <c r="N15238" s="11"/>
      <c r="O15238" s="11"/>
      <c r="P15238" s="11"/>
    </row>
    <row r="15239" spans="8:16" x14ac:dyDescent="0.25">
      <c r="H15239" s="12"/>
      <c r="I15239" s="12"/>
      <c r="J15239" s="12"/>
      <c r="K15239" s="12"/>
      <c r="L15239" s="12"/>
      <c r="M15239" s="11"/>
      <c r="N15239" s="11"/>
      <c r="O15239" s="11"/>
      <c r="P15239" s="11"/>
    </row>
    <row r="15240" spans="8:16" x14ac:dyDescent="0.25">
      <c r="H15240" s="12"/>
      <c r="I15240" s="12"/>
      <c r="J15240" s="12"/>
      <c r="K15240" s="12"/>
      <c r="L15240" s="12"/>
      <c r="M15240" s="11"/>
      <c r="N15240" s="11"/>
      <c r="O15240" s="11"/>
      <c r="P15240" s="11"/>
    </row>
    <row r="15241" spans="8:16" x14ac:dyDescent="0.25">
      <c r="H15241" s="12"/>
      <c r="I15241" s="12"/>
      <c r="J15241" s="12"/>
      <c r="K15241" s="12"/>
      <c r="L15241" s="12"/>
      <c r="M15241" s="11"/>
      <c r="N15241" s="11"/>
      <c r="O15241" s="11"/>
      <c r="P15241" s="11"/>
    </row>
    <row r="15242" spans="8:16" x14ac:dyDescent="0.25">
      <c r="H15242" s="12"/>
      <c r="I15242" s="12"/>
      <c r="J15242" s="12"/>
      <c r="K15242" s="12"/>
      <c r="L15242" s="12"/>
      <c r="M15242" s="11"/>
      <c r="N15242" s="11"/>
      <c r="O15242" s="11"/>
      <c r="P15242" s="11"/>
    </row>
    <row r="15243" spans="8:16" x14ac:dyDescent="0.25">
      <c r="H15243" s="12"/>
      <c r="I15243" s="12"/>
      <c r="J15243" s="12"/>
      <c r="K15243" s="12"/>
      <c r="L15243" s="12"/>
      <c r="M15243" s="11"/>
      <c r="N15243" s="11"/>
      <c r="O15243" s="11"/>
      <c r="P15243" s="11"/>
    </row>
    <row r="15244" spans="8:16" x14ac:dyDescent="0.25">
      <c r="H15244" s="12"/>
      <c r="I15244" s="12"/>
      <c r="J15244" s="12"/>
      <c r="K15244" s="12"/>
      <c r="L15244" s="12"/>
      <c r="M15244" s="11"/>
      <c r="N15244" s="11"/>
      <c r="O15244" s="11"/>
      <c r="P15244" s="11"/>
    </row>
    <row r="15245" spans="8:16" x14ac:dyDescent="0.25">
      <c r="H15245" s="12"/>
      <c r="I15245" s="12"/>
      <c r="J15245" s="12"/>
      <c r="K15245" s="12"/>
      <c r="L15245" s="12"/>
      <c r="M15245" s="11"/>
      <c r="N15245" s="11"/>
      <c r="O15245" s="11"/>
      <c r="P15245" s="11"/>
    </row>
    <row r="15246" spans="8:16" x14ac:dyDescent="0.25">
      <c r="H15246" s="12"/>
      <c r="I15246" s="12"/>
      <c r="J15246" s="12"/>
      <c r="K15246" s="12"/>
      <c r="L15246" s="12"/>
      <c r="M15246" s="11"/>
      <c r="N15246" s="11"/>
      <c r="O15246" s="11"/>
      <c r="P15246" s="11"/>
    </row>
    <row r="15247" spans="8:16" x14ac:dyDescent="0.25">
      <c r="H15247" s="12"/>
      <c r="I15247" s="12"/>
      <c r="J15247" s="12"/>
      <c r="K15247" s="12"/>
      <c r="L15247" s="12"/>
      <c r="M15247" s="11"/>
      <c r="N15247" s="11"/>
      <c r="O15247" s="11"/>
      <c r="P15247" s="11"/>
    </row>
    <row r="15248" spans="8:16" x14ac:dyDescent="0.25">
      <c r="H15248" s="12"/>
      <c r="I15248" s="12"/>
      <c r="J15248" s="12"/>
      <c r="K15248" s="12"/>
      <c r="L15248" s="12"/>
      <c r="M15248" s="11"/>
      <c r="N15248" s="11"/>
      <c r="O15248" s="11"/>
      <c r="P15248" s="11"/>
    </row>
    <row r="15249" spans="8:16" x14ac:dyDescent="0.25">
      <c r="H15249" s="12"/>
      <c r="I15249" s="12"/>
      <c r="J15249" s="12"/>
      <c r="K15249" s="12"/>
      <c r="L15249" s="12"/>
      <c r="M15249" s="11"/>
      <c r="N15249" s="11"/>
      <c r="O15249" s="11"/>
      <c r="P15249" s="11"/>
    </row>
    <row r="15250" spans="8:16" x14ac:dyDescent="0.25">
      <c r="H15250" s="12"/>
      <c r="I15250" s="12"/>
      <c r="J15250" s="12"/>
      <c r="K15250" s="12"/>
      <c r="L15250" s="12"/>
      <c r="M15250" s="11"/>
      <c r="N15250" s="11"/>
      <c r="O15250" s="11"/>
      <c r="P15250" s="11"/>
    </row>
    <row r="15251" spans="8:16" x14ac:dyDescent="0.25">
      <c r="H15251" s="12"/>
      <c r="I15251" s="12"/>
      <c r="J15251" s="12"/>
      <c r="K15251" s="12"/>
      <c r="L15251" s="12"/>
      <c r="M15251" s="11"/>
      <c r="N15251" s="11"/>
      <c r="O15251" s="11"/>
      <c r="P15251" s="11"/>
    </row>
    <row r="15252" spans="8:16" x14ac:dyDescent="0.25">
      <c r="H15252" s="12"/>
      <c r="I15252" s="12"/>
      <c r="J15252" s="12"/>
      <c r="K15252" s="12"/>
      <c r="L15252" s="12"/>
      <c r="M15252" s="11"/>
      <c r="N15252" s="11"/>
      <c r="O15252" s="11"/>
      <c r="P15252" s="11"/>
    </row>
    <row r="15253" spans="8:16" x14ac:dyDescent="0.25">
      <c r="H15253" s="12"/>
      <c r="I15253" s="12"/>
      <c r="J15253" s="12"/>
      <c r="K15253" s="12"/>
      <c r="L15253" s="12"/>
      <c r="M15253" s="11"/>
      <c r="N15253" s="11"/>
      <c r="O15253" s="11"/>
      <c r="P15253" s="11"/>
    </row>
    <row r="15254" spans="8:16" x14ac:dyDescent="0.25">
      <c r="H15254" s="12"/>
      <c r="I15254" s="12"/>
      <c r="J15254" s="12"/>
      <c r="K15254" s="12"/>
      <c r="L15254" s="12"/>
      <c r="M15254" s="11"/>
      <c r="N15254" s="11"/>
      <c r="O15254" s="11"/>
      <c r="P15254" s="11"/>
    </row>
    <row r="15255" spans="8:16" x14ac:dyDescent="0.25">
      <c r="H15255" s="12"/>
      <c r="I15255" s="12"/>
      <c r="J15255" s="12"/>
      <c r="K15255" s="12"/>
      <c r="L15255" s="12"/>
      <c r="M15255" s="11"/>
      <c r="N15255" s="11"/>
      <c r="O15255" s="11"/>
      <c r="P15255" s="11"/>
    </row>
    <row r="15256" spans="8:16" x14ac:dyDescent="0.25">
      <c r="H15256" s="12"/>
      <c r="I15256" s="12"/>
      <c r="J15256" s="12"/>
      <c r="K15256" s="12"/>
      <c r="L15256" s="12"/>
      <c r="M15256" s="11"/>
      <c r="N15256" s="11"/>
      <c r="O15256" s="11"/>
      <c r="P15256" s="11"/>
    </row>
    <row r="15257" spans="8:16" x14ac:dyDescent="0.25">
      <c r="H15257" s="12"/>
      <c r="I15257" s="12"/>
      <c r="J15257" s="12"/>
      <c r="K15257" s="12"/>
      <c r="L15257" s="12"/>
      <c r="M15257" s="11"/>
      <c r="N15257" s="11"/>
      <c r="O15257" s="11"/>
      <c r="P15257" s="11"/>
    </row>
    <row r="15258" spans="8:16" x14ac:dyDescent="0.25">
      <c r="H15258" s="12"/>
      <c r="I15258" s="12"/>
      <c r="J15258" s="12"/>
      <c r="K15258" s="12"/>
      <c r="L15258" s="12"/>
      <c r="M15258" s="11"/>
      <c r="N15258" s="11"/>
      <c r="O15258" s="11"/>
      <c r="P15258" s="11"/>
    </row>
    <row r="15259" spans="8:16" x14ac:dyDescent="0.25">
      <c r="H15259" s="12"/>
      <c r="I15259" s="12"/>
      <c r="J15259" s="12"/>
      <c r="K15259" s="12"/>
      <c r="L15259" s="12"/>
      <c r="M15259" s="11"/>
      <c r="N15259" s="11"/>
      <c r="O15259" s="11"/>
      <c r="P15259" s="11"/>
    </row>
    <row r="15260" spans="8:16" x14ac:dyDescent="0.25">
      <c r="H15260" s="12"/>
      <c r="I15260" s="12"/>
      <c r="J15260" s="12"/>
      <c r="K15260" s="12"/>
      <c r="L15260" s="12"/>
      <c r="M15260" s="11"/>
      <c r="N15260" s="11"/>
      <c r="O15260" s="11"/>
      <c r="P15260" s="11"/>
    </row>
    <row r="15261" spans="8:16" x14ac:dyDescent="0.25">
      <c r="H15261" s="12"/>
      <c r="I15261" s="12"/>
      <c r="J15261" s="12"/>
      <c r="K15261" s="12"/>
      <c r="L15261" s="12"/>
      <c r="M15261" s="11"/>
      <c r="N15261" s="11"/>
      <c r="O15261" s="11"/>
      <c r="P15261" s="11"/>
    </row>
    <row r="15262" spans="8:16" x14ac:dyDescent="0.25">
      <c r="H15262" s="12"/>
      <c r="I15262" s="12"/>
      <c r="J15262" s="12"/>
      <c r="K15262" s="12"/>
      <c r="L15262" s="12"/>
      <c r="M15262" s="11"/>
      <c r="N15262" s="11"/>
      <c r="O15262" s="11"/>
      <c r="P15262" s="11"/>
    </row>
    <row r="15263" spans="8:16" x14ac:dyDescent="0.25">
      <c r="H15263" s="12"/>
      <c r="I15263" s="12"/>
      <c r="J15263" s="12"/>
      <c r="K15263" s="12"/>
      <c r="L15263" s="12"/>
      <c r="M15263" s="11"/>
      <c r="N15263" s="11"/>
      <c r="O15263" s="11"/>
      <c r="P15263" s="11"/>
    </row>
    <row r="15264" spans="8:16" x14ac:dyDescent="0.25">
      <c r="H15264" s="12"/>
      <c r="I15264" s="12"/>
      <c r="J15264" s="12"/>
      <c r="K15264" s="12"/>
      <c r="L15264" s="12"/>
      <c r="M15264" s="11"/>
      <c r="N15264" s="11"/>
      <c r="O15264" s="11"/>
      <c r="P15264" s="11"/>
    </row>
    <row r="15265" spans="8:16" x14ac:dyDescent="0.25">
      <c r="H15265" s="12"/>
      <c r="I15265" s="12"/>
      <c r="J15265" s="12"/>
      <c r="K15265" s="12"/>
      <c r="L15265" s="12"/>
      <c r="M15265" s="11"/>
      <c r="N15265" s="11"/>
      <c r="O15265" s="11"/>
      <c r="P15265" s="11"/>
    </row>
    <row r="15266" spans="8:16" x14ac:dyDescent="0.25">
      <c r="H15266" s="12"/>
      <c r="I15266" s="12"/>
      <c r="J15266" s="12"/>
      <c r="K15266" s="12"/>
      <c r="L15266" s="12"/>
      <c r="M15266" s="11"/>
      <c r="N15266" s="11"/>
      <c r="O15266" s="11"/>
      <c r="P15266" s="11"/>
    </row>
    <row r="15267" spans="8:16" x14ac:dyDescent="0.25">
      <c r="H15267" s="12"/>
      <c r="I15267" s="12"/>
      <c r="J15267" s="12"/>
      <c r="K15267" s="12"/>
      <c r="L15267" s="12"/>
      <c r="M15267" s="11"/>
      <c r="N15267" s="11"/>
      <c r="O15267" s="11"/>
      <c r="P15267" s="11"/>
    </row>
    <row r="15268" spans="8:16" x14ac:dyDescent="0.25">
      <c r="H15268" s="12"/>
      <c r="I15268" s="12"/>
      <c r="J15268" s="12"/>
      <c r="K15268" s="12"/>
      <c r="L15268" s="12"/>
      <c r="M15268" s="11"/>
      <c r="N15268" s="11"/>
      <c r="O15268" s="11"/>
      <c r="P15268" s="11"/>
    </row>
    <row r="15269" spans="8:16" x14ac:dyDescent="0.25">
      <c r="H15269" s="12"/>
      <c r="I15269" s="12"/>
      <c r="J15269" s="12"/>
      <c r="K15269" s="12"/>
      <c r="L15269" s="12"/>
      <c r="M15269" s="11"/>
      <c r="N15269" s="11"/>
      <c r="O15269" s="11"/>
      <c r="P15269" s="11"/>
    </row>
    <row r="15270" spans="8:16" x14ac:dyDescent="0.25">
      <c r="H15270" s="12"/>
      <c r="I15270" s="12"/>
      <c r="J15270" s="12"/>
      <c r="K15270" s="12"/>
      <c r="L15270" s="12"/>
      <c r="M15270" s="11"/>
      <c r="N15270" s="11"/>
      <c r="O15270" s="11"/>
      <c r="P15270" s="11"/>
    </row>
    <row r="15271" spans="8:16" x14ac:dyDescent="0.25">
      <c r="H15271" s="12"/>
      <c r="I15271" s="12"/>
      <c r="J15271" s="12"/>
      <c r="K15271" s="12"/>
      <c r="L15271" s="12"/>
      <c r="M15271" s="11"/>
      <c r="N15271" s="11"/>
      <c r="O15271" s="11"/>
      <c r="P15271" s="11"/>
    </row>
    <row r="15272" spans="8:16" x14ac:dyDescent="0.25">
      <c r="H15272" s="12"/>
      <c r="I15272" s="12"/>
      <c r="J15272" s="12"/>
      <c r="K15272" s="12"/>
      <c r="L15272" s="12"/>
      <c r="M15272" s="11"/>
      <c r="N15272" s="11"/>
      <c r="O15272" s="11"/>
      <c r="P15272" s="11"/>
    </row>
    <row r="15273" spans="8:16" x14ac:dyDescent="0.25">
      <c r="H15273" s="12"/>
      <c r="I15273" s="12"/>
      <c r="J15273" s="12"/>
      <c r="K15273" s="12"/>
      <c r="L15273" s="12"/>
      <c r="M15273" s="11"/>
      <c r="N15273" s="11"/>
      <c r="O15273" s="11"/>
      <c r="P15273" s="11"/>
    </row>
    <row r="15274" spans="8:16" x14ac:dyDescent="0.25">
      <c r="H15274" s="12"/>
      <c r="I15274" s="12"/>
      <c r="J15274" s="12"/>
      <c r="K15274" s="12"/>
      <c r="L15274" s="12"/>
      <c r="M15274" s="11"/>
      <c r="N15274" s="11"/>
      <c r="O15274" s="11"/>
      <c r="P15274" s="11"/>
    </row>
    <row r="15275" spans="8:16" x14ac:dyDescent="0.25">
      <c r="H15275" s="12"/>
      <c r="I15275" s="12"/>
      <c r="J15275" s="12"/>
      <c r="K15275" s="12"/>
      <c r="L15275" s="12"/>
      <c r="M15275" s="11"/>
      <c r="N15275" s="11"/>
      <c r="O15275" s="11"/>
      <c r="P15275" s="11"/>
    </row>
    <row r="15276" spans="8:16" x14ac:dyDescent="0.25">
      <c r="H15276" s="12"/>
      <c r="I15276" s="12"/>
      <c r="J15276" s="12"/>
      <c r="K15276" s="12"/>
      <c r="L15276" s="12"/>
      <c r="M15276" s="11"/>
      <c r="N15276" s="11"/>
      <c r="O15276" s="11"/>
      <c r="P15276" s="11"/>
    </row>
    <row r="15277" spans="8:16" x14ac:dyDescent="0.25">
      <c r="H15277" s="12"/>
      <c r="I15277" s="12"/>
      <c r="J15277" s="12"/>
      <c r="K15277" s="12"/>
      <c r="L15277" s="12"/>
      <c r="M15277" s="11"/>
      <c r="N15277" s="11"/>
      <c r="O15277" s="11"/>
      <c r="P15277" s="11"/>
    </row>
    <row r="15278" spans="8:16" x14ac:dyDescent="0.25">
      <c r="H15278" s="12"/>
      <c r="I15278" s="12"/>
      <c r="J15278" s="12"/>
      <c r="K15278" s="12"/>
      <c r="L15278" s="12"/>
      <c r="M15278" s="11"/>
      <c r="N15278" s="11"/>
      <c r="O15278" s="11"/>
      <c r="P15278" s="11"/>
    </row>
    <row r="15279" spans="8:16" x14ac:dyDescent="0.25">
      <c r="H15279" s="12"/>
      <c r="I15279" s="12"/>
      <c r="J15279" s="12"/>
      <c r="K15279" s="12"/>
      <c r="L15279" s="12"/>
      <c r="M15279" s="11"/>
      <c r="N15279" s="11"/>
      <c r="O15279" s="11"/>
      <c r="P15279" s="11"/>
    </row>
    <row r="15280" spans="8:16" x14ac:dyDescent="0.25">
      <c r="H15280" s="12"/>
      <c r="I15280" s="12"/>
      <c r="J15280" s="12"/>
      <c r="K15280" s="12"/>
      <c r="L15280" s="12"/>
      <c r="M15280" s="11"/>
      <c r="N15280" s="11"/>
      <c r="O15280" s="11"/>
      <c r="P15280" s="11"/>
    </row>
    <row r="15281" spans="8:16" x14ac:dyDescent="0.25">
      <c r="H15281" s="12"/>
      <c r="I15281" s="12"/>
      <c r="J15281" s="12"/>
      <c r="K15281" s="12"/>
      <c r="L15281" s="12"/>
      <c r="M15281" s="11"/>
      <c r="N15281" s="11"/>
      <c r="O15281" s="11"/>
      <c r="P15281" s="11"/>
    </row>
    <row r="15282" spans="8:16" x14ac:dyDescent="0.25">
      <c r="H15282" s="12"/>
      <c r="I15282" s="12"/>
      <c r="J15282" s="12"/>
      <c r="K15282" s="12"/>
      <c r="L15282" s="12"/>
      <c r="M15282" s="11"/>
      <c r="N15282" s="11"/>
      <c r="O15282" s="11"/>
      <c r="P15282" s="11"/>
    </row>
    <row r="15283" spans="8:16" x14ac:dyDescent="0.25">
      <c r="H15283" s="12"/>
      <c r="I15283" s="12"/>
      <c r="J15283" s="12"/>
      <c r="K15283" s="12"/>
      <c r="L15283" s="12"/>
      <c r="M15283" s="11"/>
      <c r="N15283" s="11"/>
      <c r="O15283" s="11"/>
      <c r="P15283" s="11"/>
    </row>
    <row r="15284" spans="8:16" x14ac:dyDescent="0.25">
      <c r="H15284" s="12"/>
      <c r="I15284" s="12"/>
      <c r="J15284" s="12"/>
      <c r="K15284" s="12"/>
      <c r="L15284" s="12"/>
      <c r="M15284" s="11"/>
      <c r="N15284" s="11"/>
      <c r="O15284" s="11"/>
      <c r="P15284" s="11"/>
    </row>
    <row r="15285" spans="8:16" x14ac:dyDescent="0.25">
      <c r="H15285" s="12"/>
      <c r="I15285" s="12"/>
      <c r="J15285" s="12"/>
      <c r="K15285" s="12"/>
      <c r="L15285" s="12"/>
      <c r="M15285" s="11"/>
      <c r="N15285" s="11"/>
      <c r="O15285" s="11"/>
      <c r="P15285" s="11"/>
    </row>
    <row r="15286" spans="8:16" x14ac:dyDescent="0.25">
      <c r="H15286" s="12"/>
      <c r="I15286" s="12"/>
      <c r="J15286" s="12"/>
      <c r="K15286" s="12"/>
      <c r="L15286" s="12"/>
      <c r="M15286" s="11"/>
      <c r="N15286" s="11"/>
      <c r="O15286" s="11"/>
      <c r="P15286" s="11"/>
    </row>
    <row r="15287" spans="8:16" x14ac:dyDescent="0.25">
      <c r="H15287" s="12"/>
      <c r="I15287" s="12"/>
      <c r="J15287" s="12"/>
      <c r="K15287" s="12"/>
      <c r="L15287" s="12"/>
      <c r="M15287" s="11"/>
      <c r="N15287" s="11"/>
      <c r="O15287" s="11"/>
      <c r="P15287" s="11"/>
    </row>
    <row r="15288" spans="8:16" x14ac:dyDescent="0.25">
      <c r="H15288" s="12"/>
      <c r="I15288" s="12"/>
      <c r="J15288" s="12"/>
      <c r="K15288" s="12"/>
      <c r="L15288" s="12"/>
      <c r="M15288" s="11"/>
      <c r="N15288" s="11"/>
      <c r="O15288" s="11"/>
      <c r="P15288" s="11"/>
    </row>
    <row r="15289" spans="8:16" x14ac:dyDescent="0.25">
      <c r="H15289" s="12"/>
      <c r="I15289" s="12"/>
      <c r="J15289" s="12"/>
      <c r="K15289" s="12"/>
      <c r="L15289" s="12"/>
      <c r="M15289" s="11"/>
      <c r="N15289" s="11"/>
      <c r="O15289" s="11"/>
      <c r="P15289" s="11"/>
    </row>
    <row r="15290" spans="8:16" x14ac:dyDescent="0.25">
      <c r="H15290" s="12"/>
      <c r="I15290" s="12"/>
      <c r="J15290" s="12"/>
      <c r="K15290" s="12"/>
      <c r="L15290" s="12"/>
      <c r="M15290" s="11"/>
      <c r="N15290" s="11"/>
      <c r="O15290" s="11"/>
      <c r="P15290" s="11"/>
    </row>
    <row r="15291" spans="8:16" x14ac:dyDescent="0.25">
      <c r="H15291" s="12"/>
      <c r="I15291" s="12"/>
      <c r="J15291" s="12"/>
      <c r="K15291" s="12"/>
      <c r="L15291" s="12"/>
      <c r="M15291" s="11"/>
      <c r="N15291" s="11"/>
      <c r="O15291" s="11"/>
      <c r="P15291" s="11"/>
    </row>
    <row r="15292" spans="8:16" x14ac:dyDescent="0.25">
      <c r="H15292" s="12"/>
      <c r="I15292" s="12"/>
      <c r="J15292" s="12"/>
      <c r="K15292" s="12"/>
      <c r="L15292" s="12"/>
      <c r="M15292" s="11"/>
      <c r="N15292" s="11"/>
      <c r="O15292" s="11"/>
      <c r="P15292" s="11"/>
    </row>
    <row r="15293" spans="8:16" x14ac:dyDescent="0.25">
      <c r="H15293" s="12"/>
      <c r="I15293" s="12"/>
      <c r="J15293" s="12"/>
      <c r="K15293" s="12"/>
      <c r="L15293" s="12"/>
      <c r="M15293" s="11"/>
      <c r="N15293" s="11"/>
      <c r="O15293" s="11"/>
      <c r="P15293" s="11"/>
    </row>
    <row r="15294" spans="8:16" x14ac:dyDescent="0.25">
      <c r="H15294" s="12"/>
      <c r="I15294" s="12"/>
      <c r="J15294" s="12"/>
      <c r="K15294" s="12"/>
      <c r="L15294" s="12"/>
      <c r="M15294" s="11"/>
      <c r="N15294" s="11"/>
      <c r="O15294" s="11"/>
      <c r="P15294" s="11"/>
    </row>
    <row r="15295" spans="8:16" x14ac:dyDescent="0.25">
      <c r="H15295" s="12"/>
      <c r="I15295" s="12"/>
      <c r="J15295" s="12"/>
      <c r="K15295" s="12"/>
      <c r="L15295" s="12"/>
      <c r="M15295" s="11"/>
      <c r="N15295" s="11"/>
      <c r="O15295" s="11"/>
      <c r="P15295" s="11"/>
    </row>
    <row r="15296" spans="8:16" x14ac:dyDescent="0.25">
      <c r="H15296" s="12"/>
      <c r="I15296" s="12"/>
      <c r="J15296" s="12"/>
      <c r="K15296" s="12"/>
      <c r="L15296" s="12"/>
      <c r="M15296" s="11"/>
      <c r="N15296" s="11"/>
      <c r="O15296" s="11"/>
      <c r="P15296" s="11"/>
    </row>
    <row r="15297" spans="8:16" x14ac:dyDescent="0.25">
      <c r="H15297" s="12"/>
      <c r="I15297" s="12"/>
      <c r="J15297" s="12"/>
      <c r="K15297" s="12"/>
      <c r="L15297" s="12"/>
      <c r="M15297" s="11"/>
      <c r="N15297" s="11"/>
      <c r="O15297" s="11"/>
      <c r="P15297" s="11"/>
    </row>
    <row r="15298" spans="8:16" x14ac:dyDescent="0.25">
      <c r="H15298" s="12"/>
      <c r="I15298" s="12"/>
      <c r="J15298" s="12"/>
      <c r="K15298" s="12"/>
      <c r="L15298" s="12"/>
      <c r="M15298" s="11"/>
      <c r="N15298" s="11"/>
      <c r="O15298" s="11"/>
      <c r="P15298" s="11"/>
    </row>
    <row r="15299" spans="8:16" x14ac:dyDescent="0.25">
      <c r="H15299" s="12"/>
      <c r="I15299" s="12"/>
      <c r="J15299" s="12"/>
      <c r="K15299" s="12"/>
      <c r="L15299" s="12"/>
      <c r="M15299" s="11"/>
      <c r="N15299" s="11"/>
      <c r="O15299" s="11"/>
      <c r="P15299" s="11"/>
    </row>
    <row r="15300" spans="8:16" x14ac:dyDescent="0.25">
      <c r="H15300" s="12"/>
      <c r="I15300" s="12"/>
      <c r="J15300" s="12"/>
      <c r="K15300" s="12"/>
      <c r="L15300" s="12"/>
      <c r="M15300" s="11"/>
      <c r="N15300" s="11"/>
      <c r="O15300" s="11"/>
      <c r="P15300" s="11"/>
    </row>
    <row r="15301" spans="8:16" x14ac:dyDescent="0.25">
      <c r="H15301" s="12"/>
      <c r="I15301" s="12"/>
      <c r="J15301" s="12"/>
      <c r="K15301" s="12"/>
      <c r="L15301" s="12"/>
      <c r="M15301" s="11"/>
      <c r="N15301" s="11"/>
      <c r="O15301" s="11"/>
      <c r="P15301" s="11"/>
    </row>
    <row r="15302" spans="8:16" x14ac:dyDescent="0.25">
      <c r="H15302" s="12"/>
      <c r="I15302" s="12"/>
      <c r="J15302" s="12"/>
      <c r="K15302" s="12"/>
      <c r="L15302" s="12"/>
      <c r="M15302" s="11"/>
      <c r="N15302" s="11"/>
      <c r="O15302" s="11"/>
      <c r="P15302" s="11"/>
    </row>
    <row r="15303" spans="8:16" x14ac:dyDescent="0.25">
      <c r="H15303" s="12"/>
      <c r="I15303" s="12"/>
      <c r="J15303" s="12"/>
      <c r="K15303" s="12"/>
      <c r="L15303" s="12"/>
      <c r="M15303" s="11"/>
      <c r="N15303" s="11"/>
      <c r="O15303" s="11"/>
      <c r="P15303" s="11"/>
    </row>
    <row r="15304" spans="8:16" x14ac:dyDescent="0.25">
      <c r="H15304" s="12"/>
      <c r="I15304" s="12"/>
      <c r="J15304" s="12"/>
      <c r="K15304" s="12"/>
      <c r="L15304" s="12"/>
      <c r="M15304" s="11"/>
      <c r="N15304" s="11"/>
      <c r="O15304" s="11"/>
      <c r="P15304" s="11"/>
    </row>
    <row r="15305" spans="8:16" x14ac:dyDescent="0.25">
      <c r="H15305" s="12"/>
      <c r="I15305" s="12"/>
      <c r="J15305" s="12"/>
      <c r="K15305" s="12"/>
      <c r="L15305" s="12"/>
      <c r="M15305" s="11"/>
      <c r="N15305" s="11"/>
      <c r="O15305" s="11"/>
      <c r="P15305" s="11"/>
    </row>
    <row r="15306" spans="8:16" x14ac:dyDescent="0.25">
      <c r="H15306" s="12"/>
      <c r="I15306" s="12"/>
      <c r="J15306" s="12"/>
      <c r="K15306" s="12"/>
      <c r="L15306" s="12"/>
      <c r="M15306" s="11"/>
      <c r="N15306" s="11"/>
      <c r="O15306" s="11"/>
      <c r="P15306" s="11"/>
    </row>
    <row r="15307" spans="8:16" x14ac:dyDescent="0.25">
      <c r="H15307" s="12"/>
      <c r="I15307" s="12"/>
      <c r="J15307" s="12"/>
      <c r="K15307" s="12"/>
      <c r="L15307" s="12"/>
      <c r="M15307" s="11"/>
      <c r="N15307" s="11"/>
      <c r="O15307" s="11"/>
      <c r="P15307" s="11"/>
    </row>
    <row r="15308" spans="8:16" x14ac:dyDescent="0.25">
      <c r="H15308" s="12"/>
      <c r="I15308" s="12"/>
      <c r="J15308" s="12"/>
      <c r="K15308" s="12"/>
      <c r="L15308" s="12"/>
      <c r="M15308" s="11"/>
      <c r="N15308" s="11"/>
      <c r="O15308" s="11"/>
      <c r="P15308" s="11"/>
    </row>
    <row r="15309" spans="8:16" x14ac:dyDescent="0.25">
      <c r="H15309" s="12"/>
      <c r="I15309" s="12"/>
      <c r="J15309" s="12"/>
      <c r="K15309" s="12"/>
      <c r="L15309" s="12"/>
      <c r="M15309" s="11"/>
      <c r="N15309" s="11"/>
      <c r="O15309" s="11"/>
      <c r="P15309" s="11"/>
    </row>
    <row r="15310" spans="8:16" x14ac:dyDescent="0.25">
      <c r="H15310" s="12"/>
      <c r="I15310" s="12"/>
      <c r="J15310" s="12"/>
      <c r="K15310" s="12"/>
      <c r="L15310" s="12"/>
      <c r="M15310" s="11"/>
      <c r="N15310" s="11"/>
      <c r="O15310" s="11"/>
      <c r="P15310" s="11"/>
    </row>
    <row r="15311" spans="8:16" x14ac:dyDescent="0.25">
      <c r="H15311" s="12"/>
      <c r="I15311" s="12"/>
      <c r="J15311" s="12"/>
      <c r="K15311" s="12"/>
      <c r="L15311" s="12"/>
      <c r="M15311" s="11"/>
      <c r="N15311" s="11"/>
      <c r="O15311" s="11"/>
      <c r="P15311" s="11"/>
    </row>
    <row r="15312" spans="8:16" x14ac:dyDescent="0.25">
      <c r="H15312" s="12"/>
      <c r="I15312" s="12"/>
      <c r="J15312" s="12"/>
      <c r="K15312" s="12"/>
      <c r="L15312" s="12"/>
      <c r="M15312" s="11"/>
      <c r="N15312" s="11"/>
      <c r="O15312" s="11"/>
      <c r="P15312" s="11"/>
    </row>
    <row r="15313" spans="8:16" x14ac:dyDescent="0.25">
      <c r="H15313" s="12"/>
      <c r="I15313" s="12"/>
      <c r="J15313" s="12"/>
      <c r="K15313" s="12"/>
      <c r="L15313" s="12"/>
      <c r="M15313" s="11"/>
      <c r="N15313" s="11"/>
      <c r="O15313" s="11"/>
      <c r="P15313" s="11"/>
    </row>
    <row r="15314" spans="8:16" x14ac:dyDescent="0.25">
      <c r="H15314" s="12"/>
      <c r="I15314" s="12"/>
      <c r="J15314" s="12"/>
      <c r="K15314" s="12"/>
      <c r="L15314" s="12"/>
      <c r="M15314" s="11"/>
      <c r="N15314" s="11"/>
      <c r="O15314" s="11"/>
      <c r="P15314" s="11"/>
    </row>
    <row r="15315" spans="8:16" x14ac:dyDescent="0.25">
      <c r="H15315" s="12"/>
      <c r="I15315" s="12"/>
      <c r="J15315" s="12"/>
      <c r="K15315" s="12"/>
      <c r="L15315" s="12"/>
      <c r="M15315" s="11"/>
      <c r="N15315" s="11"/>
      <c r="O15315" s="11"/>
      <c r="P15315" s="11"/>
    </row>
    <row r="15316" spans="8:16" x14ac:dyDescent="0.25">
      <c r="H15316" s="12"/>
      <c r="I15316" s="12"/>
      <c r="J15316" s="12"/>
      <c r="K15316" s="12"/>
      <c r="L15316" s="12"/>
      <c r="M15316" s="11"/>
      <c r="N15316" s="11"/>
      <c r="O15316" s="11"/>
      <c r="P15316" s="11"/>
    </row>
    <row r="15317" spans="8:16" x14ac:dyDescent="0.25">
      <c r="H15317" s="12"/>
      <c r="I15317" s="12"/>
      <c r="J15317" s="12"/>
      <c r="K15317" s="12"/>
      <c r="L15317" s="12"/>
      <c r="M15317" s="11"/>
      <c r="N15317" s="11"/>
      <c r="O15317" s="11"/>
      <c r="P15317" s="11"/>
    </row>
    <row r="15318" spans="8:16" x14ac:dyDescent="0.25">
      <c r="H15318" s="12"/>
      <c r="I15318" s="12"/>
      <c r="J15318" s="12"/>
      <c r="K15318" s="12"/>
      <c r="L15318" s="12"/>
      <c r="M15318" s="11"/>
      <c r="N15318" s="11"/>
      <c r="O15318" s="11"/>
      <c r="P15318" s="11"/>
    </row>
    <row r="15319" spans="8:16" x14ac:dyDescent="0.25">
      <c r="H15319" s="12"/>
      <c r="I15319" s="12"/>
      <c r="J15319" s="12"/>
      <c r="K15319" s="12"/>
      <c r="L15319" s="12"/>
      <c r="M15319" s="11"/>
      <c r="N15319" s="11"/>
      <c r="O15319" s="11"/>
      <c r="P15319" s="11"/>
    </row>
    <row r="15320" spans="8:16" x14ac:dyDescent="0.25">
      <c r="H15320" s="12"/>
      <c r="I15320" s="12"/>
      <c r="J15320" s="12"/>
      <c r="K15320" s="12"/>
      <c r="L15320" s="12"/>
      <c r="M15320" s="11"/>
      <c r="N15320" s="11"/>
      <c r="O15320" s="11"/>
      <c r="P15320" s="11"/>
    </row>
    <row r="15321" spans="8:16" x14ac:dyDescent="0.25">
      <c r="H15321" s="12"/>
      <c r="I15321" s="12"/>
      <c r="J15321" s="12"/>
      <c r="K15321" s="12"/>
      <c r="L15321" s="12"/>
      <c r="M15321" s="11"/>
      <c r="N15321" s="11"/>
      <c r="O15321" s="11"/>
      <c r="P15321" s="11"/>
    </row>
    <row r="15322" spans="8:16" x14ac:dyDescent="0.25">
      <c r="H15322" s="12"/>
      <c r="I15322" s="12"/>
      <c r="J15322" s="12"/>
      <c r="K15322" s="12"/>
      <c r="L15322" s="12"/>
      <c r="M15322" s="11"/>
      <c r="N15322" s="11"/>
      <c r="O15322" s="11"/>
      <c r="P15322" s="11"/>
    </row>
    <row r="15323" spans="8:16" x14ac:dyDescent="0.25">
      <c r="H15323" s="12"/>
      <c r="I15323" s="12"/>
      <c r="J15323" s="12"/>
      <c r="K15323" s="12"/>
      <c r="L15323" s="12"/>
      <c r="M15323" s="11"/>
      <c r="N15323" s="11"/>
      <c r="O15323" s="11"/>
      <c r="P15323" s="11"/>
    </row>
    <row r="15324" spans="8:16" x14ac:dyDescent="0.25">
      <c r="H15324" s="12"/>
      <c r="I15324" s="12"/>
      <c r="J15324" s="12"/>
      <c r="K15324" s="12"/>
      <c r="L15324" s="12"/>
      <c r="M15324" s="11"/>
      <c r="N15324" s="11"/>
      <c r="O15324" s="11"/>
      <c r="P15324" s="11"/>
    </row>
    <row r="15325" spans="8:16" x14ac:dyDescent="0.25">
      <c r="H15325" s="12"/>
      <c r="I15325" s="12"/>
      <c r="J15325" s="12"/>
      <c r="K15325" s="12"/>
      <c r="L15325" s="12"/>
      <c r="M15325" s="11"/>
      <c r="N15325" s="11"/>
      <c r="O15325" s="11"/>
      <c r="P15325" s="11"/>
    </row>
    <row r="15326" spans="8:16" x14ac:dyDescent="0.25">
      <c r="H15326" s="12"/>
      <c r="I15326" s="12"/>
      <c r="J15326" s="12"/>
      <c r="K15326" s="12"/>
      <c r="L15326" s="12"/>
      <c r="M15326" s="11"/>
      <c r="N15326" s="11"/>
      <c r="O15326" s="11"/>
      <c r="P15326" s="11"/>
    </row>
    <row r="15327" spans="8:16" x14ac:dyDescent="0.25">
      <c r="H15327" s="12"/>
      <c r="I15327" s="12"/>
      <c r="J15327" s="12"/>
      <c r="K15327" s="12"/>
      <c r="L15327" s="12"/>
      <c r="M15327" s="11"/>
      <c r="N15327" s="11"/>
      <c r="O15327" s="11"/>
      <c r="P15327" s="11"/>
    </row>
    <row r="15328" spans="8:16" x14ac:dyDescent="0.25">
      <c r="H15328" s="12"/>
      <c r="I15328" s="12"/>
      <c r="J15328" s="12"/>
      <c r="K15328" s="12"/>
      <c r="L15328" s="12"/>
      <c r="M15328" s="11"/>
      <c r="N15328" s="11"/>
      <c r="O15328" s="11"/>
      <c r="P15328" s="11"/>
    </row>
    <row r="15329" spans="8:16" x14ac:dyDescent="0.25">
      <c r="H15329" s="12"/>
      <c r="I15329" s="12"/>
      <c r="J15329" s="12"/>
      <c r="K15329" s="12"/>
      <c r="L15329" s="12"/>
      <c r="M15329" s="11"/>
      <c r="N15329" s="11"/>
      <c r="O15329" s="11"/>
      <c r="P15329" s="11"/>
    </row>
    <row r="15330" spans="8:16" x14ac:dyDescent="0.25">
      <c r="H15330" s="12"/>
      <c r="I15330" s="12"/>
      <c r="J15330" s="12"/>
      <c r="K15330" s="12"/>
      <c r="L15330" s="12"/>
      <c r="M15330" s="11"/>
      <c r="N15330" s="11"/>
      <c r="O15330" s="11"/>
      <c r="P15330" s="11"/>
    </row>
    <row r="15331" spans="8:16" x14ac:dyDescent="0.25">
      <c r="H15331" s="12"/>
      <c r="I15331" s="12"/>
      <c r="J15331" s="12"/>
      <c r="K15331" s="12"/>
      <c r="L15331" s="12"/>
      <c r="M15331" s="11"/>
      <c r="N15331" s="11"/>
      <c r="O15331" s="11"/>
      <c r="P15331" s="11"/>
    </row>
    <row r="15332" spans="8:16" x14ac:dyDescent="0.25">
      <c r="H15332" s="12"/>
      <c r="I15332" s="12"/>
      <c r="J15332" s="12"/>
      <c r="K15332" s="12"/>
      <c r="L15332" s="12"/>
      <c r="M15332" s="11"/>
      <c r="N15332" s="11"/>
      <c r="O15332" s="11"/>
      <c r="P15332" s="11"/>
    </row>
    <row r="15333" spans="8:16" x14ac:dyDescent="0.25">
      <c r="H15333" s="12"/>
      <c r="I15333" s="12"/>
      <c r="J15333" s="12"/>
      <c r="K15333" s="12"/>
      <c r="L15333" s="12"/>
      <c r="M15333" s="11"/>
      <c r="N15333" s="11"/>
      <c r="O15333" s="11"/>
      <c r="P15333" s="11"/>
    </row>
    <row r="15334" spans="8:16" x14ac:dyDescent="0.25">
      <c r="H15334" s="12"/>
      <c r="I15334" s="12"/>
      <c r="J15334" s="12"/>
      <c r="K15334" s="12"/>
      <c r="L15334" s="12"/>
      <c r="M15334" s="11"/>
      <c r="N15334" s="11"/>
      <c r="O15334" s="11"/>
      <c r="P15334" s="11"/>
    </row>
    <row r="15335" spans="8:16" x14ac:dyDescent="0.25">
      <c r="H15335" s="12"/>
      <c r="I15335" s="12"/>
      <c r="J15335" s="12"/>
      <c r="K15335" s="12"/>
      <c r="L15335" s="12"/>
      <c r="M15335" s="11"/>
      <c r="N15335" s="11"/>
      <c r="O15335" s="11"/>
      <c r="P15335" s="11"/>
    </row>
    <row r="15336" spans="8:16" x14ac:dyDescent="0.25">
      <c r="H15336" s="12"/>
      <c r="I15336" s="12"/>
      <c r="J15336" s="12"/>
      <c r="K15336" s="12"/>
      <c r="L15336" s="12"/>
      <c r="M15336" s="11"/>
      <c r="N15336" s="11"/>
      <c r="O15336" s="11"/>
      <c r="P15336" s="11"/>
    </row>
    <row r="15337" spans="8:16" x14ac:dyDescent="0.25">
      <c r="H15337" s="12"/>
      <c r="I15337" s="12"/>
      <c r="J15337" s="12"/>
      <c r="K15337" s="12"/>
      <c r="L15337" s="12"/>
      <c r="M15337" s="11"/>
      <c r="N15337" s="11"/>
      <c r="O15337" s="11"/>
      <c r="P15337" s="11"/>
    </row>
    <row r="15338" spans="8:16" x14ac:dyDescent="0.25">
      <c r="H15338" s="12"/>
      <c r="I15338" s="12"/>
      <c r="J15338" s="12"/>
      <c r="K15338" s="12"/>
      <c r="L15338" s="12"/>
      <c r="M15338" s="11"/>
      <c r="N15338" s="11"/>
      <c r="O15338" s="11"/>
      <c r="P15338" s="11"/>
    </row>
    <row r="15339" spans="8:16" x14ac:dyDescent="0.25">
      <c r="H15339" s="12"/>
      <c r="I15339" s="12"/>
      <c r="J15339" s="12"/>
      <c r="K15339" s="12"/>
      <c r="L15339" s="12"/>
      <c r="M15339" s="11"/>
      <c r="N15339" s="11"/>
      <c r="O15339" s="11"/>
      <c r="P15339" s="11"/>
    </row>
    <row r="15340" spans="8:16" x14ac:dyDescent="0.25">
      <c r="H15340" s="12"/>
      <c r="I15340" s="12"/>
      <c r="J15340" s="12"/>
      <c r="K15340" s="12"/>
      <c r="L15340" s="12"/>
      <c r="M15340" s="11"/>
      <c r="N15340" s="11"/>
      <c r="O15340" s="11"/>
      <c r="P15340" s="11"/>
    </row>
    <row r="15341" spans="8:16" x14ac:dyDescent="0.25">
      <c r="H15341" s="12"/>
      <c r="I15341" s="12"/>
      <c r="J15341" s="12"/>
      <c r="K15341" s="12"/>
      <c r="L15341" s="12"/>
      <c r="M15341" s="11"/>
      <c r="N15341" s="11"/>
      <c r="O15341" s="11"/>
      <c r="P15341" s="11"/>
    </row>
    <row r="15342" spans="8:16" x14ac:dyDescent="0.25">
      <c r="H15342" s="12"/>
      <c r="I15342" s="12"/>
      <c r="J15342" s="12"/>
      <c r="K15342" s="12"/>
      <c r="L15342" s="12"/>
      <c r="M15342" s="11"/>
      <c r="N15342" s="11"/>
      <c r="O15342" s="11"/>
      <c r="P15342" s="11"/>
    </row>
    <row r="15343" spans="8:16" x14ac:dyDescent="0.25">
      <c r="H15343" s="12"/>
      <c r="I15343" s="12"/>
      <c r="J15343" s="12"/>
      <c r="K15343" s="12"/>
      <c r="L15343" s="12"/>
      <c r="M15343" s="11"/>
      <c r="N15343" s="11"/>
      <c r="O15343" s="11"/>
      <c r="P15343" s="11"/>
    </row>
    <row r="15344" spans="8:16" x14ac:dyDescent="0.25">
      <c r="H15344" s="12"/>
      <c r="I15344" s="12"/>
      <c r="J15344" s="12"/>
      <c r="K15344" s="12"/>
      <c r="L15344" s="12"/>
      <c r="M15344" s="11"/>
      <c r="N15344" s="11"/>
      <c r="O15344" s="11"/>
      <c r="P15344" s="11"/>
    </row>
    <row r="15345" spans="8:16" x14ac:dyDescent="0.25">
      <c r="H15345" s="12"/>
      <c r="I15345" s="12"/>
      <c r="J15345" s="12"/>
      <c r="K15345" s="12"/>
      <c r="L15345" s="12"/>
      <c r="M15345" s="11"/>
      <c r="N15345" s="11"/>
      <c r="O15345" s="11"/>
      <c r="P15345" s="11"/>
    </row>
    <row r="15346" spans="8:16" x14ac:dyDescent="0.25">
      <c r="H15346" s="12"/>
      <c r="I15346" s="12"/>
      <c r="J15346" s="12"/>
      <c r="K15346" s="12"/>
      <c r="L15346" s="12"/>
      <c r="M15346" s="11"/>
      <c r="N15346" s="11"/>
      <c r="O15346" s="11"/>
      <c r="P15346" s="11"/>
    </row>
    <row r="15347" spans="8:16" x14ac:dyDescent="0.25">
      <c r="H15347" s="12"/>
      <c r="I15347" s="12"/>
      <c r="J15347" s="12"/>
      <c r="K15347" s="12"/>
      <c r="L15347" s="12"/>
      <c r="M15347" s="11"/>
      <c r="N15347" s="11"/>
      <c r="O15347" s="11"/>
      <c r="P15347" s="11"/>
    </row>
    <row r="15348" spans="8:16" x14ac:dyDescent="0.25">
      <c r="H15348" s="12"/>
      <c r="I15348" s="12"/>
      <c r="J15348" s="12"/>
      <c r="K15348" s="12"/>
      <c r="L15348" s="12"/>
      <c r="M15348" s="11"/>
      <c r="N15348" s="11"/>
      <c r="O15348" s="11"/>
      <c r="P15348" s="11"/>
    </row>
    <row r="15349" spans="8:16" x14ac:dyDescent="0.25">
      <c r="H15349" s="12"/>
      <c r="I15349" s="12"/>
      <c r="J15349" s="12"/>
      <c r="K15349" s="12"/>
      <c r="L15349" s="12"/>
      <c r="M15349" s="11"/>
      <c r="N15349" s="11"/>
      <c r="O15349" s="11"/>
      <c r="P15349" s="11"/>
    </row>
    <row r="15350" spans="8:16" x14ac:dyDescent="0.25">
      <c r="H15350" s="12"/>
      <c r="I15350" s="12"/>
      <c r="J15350" s="12"/>
      <c r="K15350" s="12"/>
      <c r="L15350" s="12"/>
      <c r="M15350" s="11"/>
      <c r="N15350" s="11"/>
      <c r="O15350" s="11"/>
      <c r="P15350" s="11"/>
    </row>
    <row r="15351" spans="8:16" x14ac:dyDescent="0.25">
      <c r="H15351" s="12"/>
      <c r="I15351" s="12"/>
      <c r="J15351" s="12"/>
      <c r="K15351" s="12"/>
      <c r="L15351" s="12"/>
      <c r="M15351" s="11"/>
      <c r="N15351" s="11"/>
      <c r="O15351" s="11"/>
      <c r="P15351" s="11"/>
    </row>
    <row r="15352" spans="8:16" x14ac:dyDescent="0.25">
      <c r="H15352" s="12"/>
      <c r="I15352" s="12"/>
      <c r="J15352" s="12"/>
      <c r="K15352" s="12"/>
      <c r="L15352" s="12"/>
      <c r="M15352" s="11"/>
      <c r="N15352" s="11"/>
      <c r="O15352" s="11"/>
      <c r="P15352" s="11"/>
    </row>
    <row r="15353" spans="8:16" x14ac:dyDescent="0.25">
      <c r="H15353" s="12"/>
      <c r="I15353" s="12"/>
      <c r="J15353" s="12"/>
      <c r="K15353" s="12"/>
      <c r="L15353" s="12"/>
      <c r="M15353" s="11"/>
      <c r="N15353" s="11"/>
      <c r="O15353" s="11"/>
      <c r="P15353" s="11"/>
    </row>
    <row r="15354" spans="8:16" x14ac:dyDescent="0.25">
      <c r="H15354" s="12"/>
      <c r="I15354" s="12"/>
      <c r="J15354" s="12"/>
      <c r="K15354" s="12"/>
      <c r="L15354" s="12"/>
      <c r="M15354" s="11"/>
      <c r="N15354" s="11"/>
      <c r="O15354" s="11"/>
      <c r="P15354" s="11"/>
    </row>
    <row r="15355" spans="8:16" x14ac:dyDescent="0.25">
      <c r="H15355" s="12"/>
      <c r="I15355" s="12"/>
      <c r="J15355" s="12"/>
      <c r="K15355" s="12"/>
      <c r="L15355" s="12"/>
      <c r="M15355" s="11"/>
      <c r="N15355" s="11"/>
      <c r="O15355" s="11"/>
      <c r="P15355" s="11"/>
    </row>
    <row r="15356" spans="8:16" x14ac:dyDescent="0.25">
      <c r="H15356" s="12"/>
      <c r="I15356" s="12"/>
      <c r="J15356" s="12"/>
      <c r="K15356" s="12"/>
      <c r="L15356" s="12"/>
      <c r="M15356" s="11"/>
      <c r="N15356" s="11"/>
      <c r="O15356" s="11"/>
      <c r="P15356" s="11"/>
    </row>
    <row r="15357" spans="8:16" x14ac:dyDescent="0.25">
      <c r="H15357" s="12"/>
      <c r="I15357" s="12"/>
      <c r="J15357" s="12"/>
      <c r="K15357" s="12"/>
      <c r="L15357" s="12"/>
      <c r="M15357" s="11"/>
      <c r="N15357" s="11"/>
      <c r="O15357" s="11"/>
      <c r="P15357" s="11"/>
    </row>
    <row r="15358" spans="8:16" x14ac:dyDescent="0.25">
      <c r="H15358" s="12"/>
      <c r="I15358" s="12"/>
      <c r="J15358" s="12"/>
      <c r="K15358" s="12"/>
      <c r="L15358" s="12"/>
      <c r="M15358" s="11"/>
      <c r="N15358" s="11"/>
      <c r="O15358" s="11"/>
      <c r="P15358" s="11"/>
    </row>
    <row r="15359" spans="8:16" x14ac:dyDescent="0.25">
      <c r="H15359" s="12"/>
      <c r="I15359" s="12"/>
      <c r="J15359" s="12"/>
      <c r="K15359" s="12"/>
      <c r="L15359" s="12"/>
      <c r="M15359" s="11"/>
      <c r="N15359" s="11"/>
      <c r="O15359" s="11"/>
      <c r="P15359" s="11"/>
    </row>
    <row r="15360" spans="8:16" x14ac:dyDescent="0.25">
      <c r="H15360" s="12"/>
      <c r="I15360" s="12"/>
      <c r="J15360" s="12"/>
      <c r="K15360" s="12"/>
      <c r="L15360" s="12"/>
      <c r="M15360" s="11"/>
      <c r="N15360" s="11"/>
      <c r="O15360" s="11"/>
      <c r="P15360" s="11"/>
    </row>
    <row r="15361" spans="8:16" x14ac:dyDescent="0.25">
      <c r="H15361" s="12"/>
      <c r="I15361" s="12"/>
      <c r="J15361" s="12"/>
      <c r="K15361" s="12"/>
      <c r="L15361" s="12"/>
      <c r="M15361" s="11"/>
      <c r="N15361" s="11"/>
      <c r="O15361" s="11"/>
      <c r="P15361" s="11"/>
    </row>
    <row r="15362" spans="8:16" x14ac:dyDescent="0.25">
      <c r="H15362" s="12"/>
      <c r="I15362" s="12"/>
      <c r="J15362" s="12"/>
      <c r="K15362" s="12"/>
      <c r="L15362" s="12"/>
      <c r="M15362" s="11"/>
      <c r="N15362" s="11"/>
      <c r="O15362" s="11"/>
      <c r="P15362" s="11"/>
    </row>
    <row r="15363" spans="8:16" x14ac:dyDescent="0.25">
      <c r="H15363" s="12"/>
      <c r="I15363" s="12"/>
      <c r="J15363" s="12"/>
      <c r="K15363" s="12"/>
      <c r="L15363" s="12"/>
      <c r="M15363" s="11"/>
      <c r="N15363" s="11"/>
      <c r="O15363" s="11"/>
      <c r="P15363" s="11"/>
    </row>
    <row r="15364" spans="8:16" x14ac:dyDescent="0.25">
      <c r="H15364" s="12"/>
      <c r="I15364" s="12"/>
      <c r="J15364" s="12"/>
      <c r="K15364" s="12"/>
      <c r="L15364" s="12"/>
      <c r="M15364" s="11"/>
      <c r="N15364" s="11"/>
      <c r="O15364" s="11"/>
      <c r="P15364" s="11"/>
    </row>
    <row r="15365" spans="8:16" x14ac:dyDescent="0.25">
      <c r="H15365" s="12"/>
      <c r="I15365" s="12"/>
      <c r="J15365" s="12"/>
      <c r="K15365" s="12"/>
      <c r="L15365" s="12"/>
      <c r="M15365" s="11"/>
      <c r="N15365" s="11"/>
      <c r="O15365" s="11"/>
      <c r="P15365" s="11"/>
    </row>
    <row r="15366" spans="8:16" x14ac:dyDescent="0.25">
      <c r="H15366" s="12"/>
      <c r="I15366" s="12"/>
      <c r="J15366" s="12"/>
      <c r="K15366" s="12"/>
      <c r="L15366" s="12"/>
      <c r="M15366" s="11"/>
      <c r="N15366" s="11"/>
      <c r="O15366" s="11"/>
      <c r="P15366" s="11"/>
    </row>
    <row r="15367" spans="8:16" x14ac:dyDescent="0.25">
      <c r="H15367" s="12"/>
      <c r="I15367" s="12"/>
      <c r="J15367" s="12"/>
      <c r="K15367" s="12"/>
      <c r="L15367" s="12"/>
      <c r="M15367" s="11"/>
      <c r="N15367" s="11"/>
      <c r="O15367" s="11"/>
      <c r="P15367" s="11"/>
    </row>
    <row r="15368" spans="8:16" x14ac:dyDescent="0.25">
      <c r="H15368" s="12"/>
      <c r="I15368" s="12"/>
      <c r="J15368" s="12"/>
      <c r="K15368" s="12"/>
      <c r="L15368" s="12"/>
      <c r="M15368" s="11"/>
      <c r="N15368" s="11"/>
      <c r="O15368" s="11"/>
      <c r="P15368" s="11"/>
    </row>
    <row r="15369" spans="8:16" x14ac:dyDescent="0.25">
      <c r="H15369" s="12"/>
      <c r="I15369" s="12"/>
      <c r="J15369" s="12"/>
      <c r="K15369" s="12"/>
      <c r="L15369" s="12"/>
      <c r="M15369" s="11"/>
      <c r="N15369" s="11"/>
      <c r="O15369" s="11"/>
      <c r="P15369" s="11"/>
    </row>
    <row r="15370" spans="8:16" x14ac:dyDescent="0.25">
      <c r="H15370" s="12"/>
      <c r="I15370" s="12"/>
      <c r="J15370" s="12"/>
      <c r="K15370" s="12"/>
      <c r="L15370" s="12"/>
      <c r="M15370" s="11"/>
      <c r="N15370" s="11"/>
      <c r="O15370" s="11"/>
      <c r="P15370" s="11"/>
    </row>
    <row r="15371" spans="8:16" x14ac:dyDescent="0.25">
      <c r="H15371" s="12"/>
      <c r="I15371" s="12"/>
      <c r="J15371" s="12"/>
      <c r="K15371" s="12"/>
      <c r="L15371" s="12"/>
      <c r="M15371" s="11"/>
      <c r="N15371" s="11"/>
      <c r="O15371" s="11"/>
      <c r="P15371" s="11"/>
    </row>
    <row r="15372" spans="8:16" x14ac:dyDescent="0.25">
      <c r="H15372" s="12"/>
      <c r="I15372" s="12"/>
      <c r="J15372" s="12"/>
      <c r="K15372" s="12"/>
      <c r="L15372" s="12"/>
      <c r="M15372" s="11"/>
      <c r="N15372" s="11"/>
      <c r="O15372" s="11"/>
      <c r="P15372" s="11"/>
    </row>
    <row r="15373" spans="8:16" x14ac:dyDescent="0.25">
      <c r="H15373" s="12"/>
      <c r="I15373" s="12"/>
      <c r="J15373" s="12"/>
      <c r="K15373" s="12"/>
      <c r="L15373" s="12"/>
      <c r="M15373" s="11"/>
      <c r="N15373" s="11"/>
      <c r="O15373" s="11"/>
      <c r="P15373" s="11"/>
    </row>
    <row r="15374" spans="8:16" x14ac:dyDescent="0.25">
      <c r="H15374" s="12"/>
      <c r="I15374" s="12"/>
      <c r="J15374" s="12"/>
      <c r="K15374" s="12"/>
      <c r="L15374" s="12"/>
      <c r="M15374" s="11"/>
      <c r="N15374" s="11"/>
      <c r="O15374" s="11"/>
      <c r="P15374" s="11"/>
    </row>
    <row r="15375" spans="8:16" x14ac:dyDescent="0.25">
      <c r="H15375" s="12"/>
      <c r="I15375" s="12"/>
      <c r="J15375" s="12"/>
      <c r="K15375" s="12"/>
      <c r="L15375" s="12"/>
      <c r="M15375" s="11"/>
      <c r="N15375" s="11"/>
      <c r="O15375" s="11"/>
      <c r="P15375" s="11"/>
    </row>
    <row r="15376" spans="8:16" x14ac:dyDescent="0.25">
      <c r="H15376" s="12"/>
      <c r="I15376" s="12"/>
      <c r="J15376" s="12"/>
      <c r="K15376" s="12"/>
      <c r="L15376" s="12"/>
      <c r="M15376" s="11"/>
      <c r="N15376" s="11"/>
      <c r="O15376" s="11"/>
      <c r="P15376" s="11"/>
    </row>
    <row r="15377" spans="8:16" x14ac:dyDescent="0.25">
      <c r="H15377" s="12"/>
      <c r="I15377" s="12"/>
      <c r="J15377" s="12"/>
      <c r="K15377" s="12"/>
      <c r="L15377" s="12"/>
      <c r="M15377" s="11"/>
      <c r="N15377" s="11"/>
      <c r="O15377" s="11"/>
      <c r="P15377" s="11"/>
    </row>
    <row r="15378" spans="8:16" x14ac:dyDescent="0.25">
      <c r="H15378" s="12"/>
      <c r="I15378" s="12"/>
      <c r="J15378" s="12"/>
      <c r="K15378" s="12"/>
      <c r="L15378" s="12"/>
      <c r="M15378" s="11"/>
      <c r="N15378" s="11"/>
      <c r="O15378" s="11"/>
      <c r="P15378" s="11"/>
    </row>
    <row r="15379" spans="8:16" x14ac:dyDescent="0.25">
      <c r="H15379" s="12"/>
      <c r="I15379" s="12"/>
      <c r="J15379" s="12"/>
      <c r="K15379" s="12"/>
      <c r="L15379" s="12"/>
      <c r="M15379" s="11"/>
      <c r="N15379" s="11"/>
      <c r="O15379" s="11"/>
      <c r="P15379" s="11"/>
    </row>
    <row r="15380" spans="8:16" x14ac:dyDescent="0.25">
      <c r="H15380" s="12"/>
      <c r="I15380" s="12"/>
      <c r="J15380" s="12"/>
      <c r="K15380" s="12"/>
      <c r="L15380" s="12"/>
      <c r="M15380" s="11"/>
      <c r="N15380" s="11"/>
      <c r="O15380" s="11"/>
      <c r="P15380" s="11"/>
    </row>
    <row r="15381" spans="8:16" x14ac:dyDescent="0.25">
      <c r="H15381" s="12"/>
      <c r="I15381" s="12"/>
      <c r="J15381" s="12"/>
      <c r="K15381" s="12"/>
      <c r="L15381" s="12"/>
      <c r="M15381" s="11"/>
      <c r="N15381" s="11"/>
      <c r="O15381" s="11"/>
      <c r="P15381" s="11"/>
    </row>
    <row r="15382" spans="8:16" x14ac:dyDescent="0.25">
      <c r="H15382" s="12"/>
      <c r="I15382" s="12"/>
      <c r="J15382" s="12"/>
      <c r="K15382" s="12"/>
      <c r="L15382" s="12"/>
      <c r="M15382" s="11"/>
      <c r="N15382" s="11"/>
      <c r="O15382" s="11"/>
      <c r="P15382" s="11"/>
    </row>
    <row r="15383" spans="8:16" x14ac:dyDescent="0.25">
      <c r="H15383" s="12"/>
      <c r="I15383" s="12"/>
      <c r="J15383" s="12"/>
      <c r="K15383" s="12"/>
      <c r="L15383" s="12"/>
      <c r="M15383" s="11"/>
      <c r="N15383" s="11"/>
      <c r="O15383" s="11"/>
      <c r="P15383" s="11"/>
    </row>
    <row r="15384" spans="8:16" x14ac:dyDescent="0.25">
      <c r="H15384" s="12"/>
      <c r="I15384" s="12"/>
      <c r="J15384" s="12"/>
      <c r="K15384" s="12"/>
      <c r="L15384" s="12"/>
      <c r="M15384" s="11"/>
      <c r="N15384" s="11"/>
      <c r="O15384" s="11"/>
      <c r="P15384" s="11"/>
    </row>
    <row r="15385" spans="8:16" x14ac:dyDescent="0.25">
      <c r="H15385" s="12"/>
      <c r="I15385" s="12"/>
      <c r="J15385" s="12"/>
      <c r="K15385" s="12"/>
      <c r="L15385" s="12"/>
      <c r="M15385" s="11"/>
      <c r="N15385" s="11"/>
      <c r="O15385" s="11"/>
      <c r="P15385" s="11"/>
    </row>
    <row r="15386" spans="8:16" x14ac:dyDescent="0.25">
      <c r="H15386" s="12"/>
      <c r="I15386" s="12"/>
      <c r="J15386" s="12"/>
      <c r="K15386" s="12"/>
      <c r="L15386" s="12"/>
      <c r="M15386" s="11"/>
      <c r="N15386" s="11"/>
      <c r="O15386" s="11"/>
      <c r="P15386" s="11"/>
    </row>
    <row r="15387" spans="8:16" x14ac:dyDescent="0.25">
      <c r="H15387" s="12"/>
      <c r="I15387" s="12"/>
      <c r="J15387" s="12"/>
      <c r="K15387" s="12"/>
      <c r="L15387" s="12"/>
      <c r="M15387" s="11"/>
      <c r="N15387" s="11"/>
      <c r="O15387" s="11"/>
      <c r="P15387" s="11"/>
    </row>
    <row r="15388" spans="8:16" x14ac:dyDescent="0.25">
      <c r="H15388" s="12"/>
      <c r="I15388" s="12"/>
      <c r="J15388" s="12"/>
      <c r="K15388" s="12"/>
      <c r="L15388" s="12"/>
      <c r="M15388" s="11"/>
      <c r="N15388" s="11"/>
      <c r="O15388" s="11"/>
      <c r="P15388" s="11"/>
    </row>
    <row r="15389" spans="8:16" x14ac:dyDescent="0.25">
      <c r="H15389" s="12"/>
      <c r="I15389" s="12"/>
      <c r="J15389" s="12"/>
      <c r="K15389" s="12"/>
      <c r="L15389" s="12"/>
      <c r="M15389" s="11"/>
      <c r="N15389" s="11"/>
      <c r="O15389" s="11"/>
      <c r="P15389" s="11"/>
    </row>
    <row r="15390" spans="8:16" x14ac:dyDescent="0.25">
      <c r="H15390" s="12"/>
      <c r="I15390" s="12"/>
      <c r="J15390" s="12"/>
      <c r="K15390" s="12"/>
      <c r="L15390" s="12"/>
      <c r="M15390" s="11"/>
      <c r="N15390" s="11"/>
      <c r="O15390" s="11"/>
      <c r="P15390" s="11"/>
    </row>
    <row r="15391" spans="8:16" x14ac:dyDescent="0.25">
      <c r="H15391" s="12"/>
      <c r="I15391" s="12"/>
      <c r="J15391" s="12"/>
      <c r="K15391" s="12"/>
      <c r="L15391" s="12"/>
      <c r="M15391" s="11"/>
      <c r="N15391" s="11"/>
      <c r="O15391" s="11"/>
      <c r="P15391" s="11"/>
    </row>
    <row r="15392" spans="8:16" x14ac:dyDescent="0.25">
      <c r="H15392" s="12"/>
      <c r="I15392" s="12"/>
      <c r="J15392" s="12"/>
      <c r="K15392" s="12"/>
      <c r="L15392" s="12"/>
      <c r="M15392" s="11"/>
      <c r="N15392" s="11"/>
      <c r="O15392" s="11"/>
      <c r="P15392" s="11"/>
    </row>
    <row r="15393" spans="8:16" x14ac:dyDescent="0.25">
      <c r="H15393" s="12"/>
      <c r="I15393" s="12"/>
      <c r="J15393" s="12"/>
      <c r="K15393" s="12"/>
      <c r="L15393" s="12"/>
      <c r="M15393" s="11"/>
      <c r="N15393" s="11"/>
      <c r="O15393" s="11"/>
      <c r="P15393" s="11"/>
    </row>
    <row r="15394" spans="8:16" x14ac:dyDescent="0.25">
      <c r="H15394" s="12"/>
      <c r="I15394" s="12"/>
      <c r="J15394" s="12"/>
      <c r="K15394" s="12"/>
      <c r="L15394" s="12"/>
      <c r="M15394" s="11"/>
      <c r="N15394" s="11"/>
      <c r="O15394" s="11"/>
      <c r="P15394" s="11"/>
    </row>
    <row r="15395" spans="8:16" x14ac:dyDescent="0.25">
      <c r="H15395" s="12"/>
      <c r="I15395" s="12"/>
      <c r="J15395" s="12"/>
      <c r="K15395" s="12"/>
      <c r="L15395" s="12"/>
      <c r="M15395" s="11"/>
      <c r="N15395" s="11"/>
      <c r="O15395" s="11"/>
      <c r="P15395" s="11"/>
    </row>
    <row r="15396" spans="8:16" x14ac:dyDescent="0.25">
      <c r="H15396" s="12"/>
      <c r="I15396" s="12"/>
      <c r="J15396" s="12"/>
      <c r="K15396" s="12"/>
      <c r="L15396" s="12"/>
      <c r="M15396" s="11"/>
      <c r="N15396" s="11"/>
      <c r="O15396" s="11"/>
      <c r="P15396" s="11"/>
    </row>
    <row r="15397" spans="8:16" x14ac:dyDescent="0.25">
      <c r="H15397" s="12"/>
      <c r="I15397" s="12"/>
      <c r="J15397" s="12"/>
      <c r="K15397" s="12"/>
      <c r="L15397" s="12"/>
      <c r="M15397" s="11"/>
      <c r="N15397" s="11"/>
      <c r="O15397" s="11"/>
      <c r="P15397" s="11"/>
    </row>
    <row r="15398" spans="8:16" x14ac:dyDescent="0.25">
      <c r="H15398" s="12"/>
      <c r="I15398" s="12"/>
      <c r="J15398" s="12"/>
      <c r="K15398" s="12"/>
      <c r="L15398" s="12"/>
      <c r="M15398" s="11"/>
      <c r="N15398" s="11"/>
      <c r="O15398" s="11"/>
      <c r="P15398" s="11"/>
    </row>
    <row r="15399" spans="8:16" x14ac:dyDescent="0.25">
      <c r="H15399" s="12"/>
      <c r="I15399" s="12"/>
      <c r="J15399" s="12"/>
      <c r="K15399" s="12"/>
      <c r="L15399" s="12"/>
      <c r="M15399" s="11"/>
      <c r="N15399" s="11"/>
      <c r="O15399" s="11"/>
      <c r="P15399" s="11"/>
    </row>
    <row r="15400" spans="8:16" x14ac:dyDescent="0.25">
      <c r="H15400" s="12"/>
      <c r="I15400" s="12"/>
      <c r="J15400" s="12"/>
      <c r="K15400" s="12"/>
      <c r="L15400" s="12"/>
      <c r="M15400" s="11"/>
      <c r="N15400" s="11"/>
      <c r="O15400" s="11"/>
      <c r="P15400" s="11"/>
    </row>
    <row r="15401" spans="8:16" x14ac:dyDescent="0.25">
      <c r="H15401" s="12"/>
      <c r="I15401" s="12"/>
      <c r="J15401" s="12"/>
      <c r="K15401" s="12"/>
      <c r="L15401" s="12"/>
      <c r="M15401" s="11"/>
      <c r="N15401" s="11"/>
      <c r="O15401" s="11"/>
      <c r="P15401" s="11"/>
    </row>
    <row r="15402" spans="8:16" x14ac:dyDescent="0.25">
      <c r="H15402" s="12"/>
      <c r="I15402" s="12"/>
      <c r="J15402" s="12"/>
      <c r="K15402" s="12"/>
      <c r="L15402" s="12"/>
      <c r="M15402" s="11"/>
      <c r="N15402" s="11"/>
      <c r="O15402" s="11"/>
      <c r="P15402" s="11"/>
    </row>
    <row r="15403" spans="8:16" x14ac:dyDescent="0.25">
      <c r="H15403" s="12"/>
      <c r="I15403" s="12"/>
      <c r="J15403" s="12"/>
      <c r="K15403" s="12"/>
      <c r="L15403" s="12"/>
      <c r="M15403" s="11"/>
      <c r="N15403" s="11"/>
      <c r="O15403" s="11"/>
      <c r="P15403" s="11"/>
    </row>
    <row r="15404" spans="8:16" x14ac:dyDescent="0.25">
      <c r="H15404" s="12"/>
      <c r="I15404" s="12"/>
      <c r="J15404" s="12"/>
      <c r="K15404" s="12"/>
      <c r="L15404" s="12"/>
      <c r="M15404" s="11"/>
      <c r="N15404" s="11"/>
      <c r="O15404" s="11"/>
      <c r="P15404" s="11"/>
    </row>
    <row r="15405" spans="8:16" x14ac:dyDescent="0.25">
      <c r="H15405" s="12"/>
      <c r="I15405" s="12"/>
      <c r="J15405" s="12"/>
      <c r="K15405" s="12"/>
      <c r="L15405" s="12"/>
      <c r="M15405" s="11"/>
      <c r="N15405" s="11"/>
      <c r="O15405" s="11"/>
      <c r="P15405" s="11"/>
    </row>
    <row r="15406" spans="8:16" x14ac:dyDescent="0.25">
      <c r="H15406" s="12"/>
      <c r="I15406" s="12"/>
      <c r="J15406" s="12"/>
      <c r="K15406" s="12"/>
      <c r="L15406" s="12"/>
      <c r="M15406" s="11"/>
      <c r="N15406" s="11"/>
      <c r="O15406" s="11"/>
      <c r="P15406" s="11"/>
    </row>
    <row r="15407" spans="8:16" x14ac:dyDescent="0.25">
      <c r="H15407" s="12"/>
      <c r="I15407" s="12"/>
      <c r="J15407" s="12"/>
      <c r="K15407" s="12"/>
      <c r="L15407" s="12"/>
      <c r="M15407" s="11"/>
      <c r="N15407" s="11"/>
      <c r="O15407" s="11"/>
      <c r="P15407" s="11"/>
    </row>
    <row r="15408" spans="8:16" x14ac:dyDescent="0.25">
      <c r="H15408" s="12"/>
      <c r="I15408" s="12"/>
      <c r="J15408" s="12"/>
      <c r="K15408" s="12"/>
      <c r="L15408" s="12"/>
      <c r="M15408" s="11"/>
      <c r="N15408" s="11"/>
      <c r="O15408" s="11"/>
      <c r="P15408" s="11"/>
    </row>
    <row r="15409" spans="8:16" x14ac:dyDescent="0.25">
      <c r="H15409" s="12"/>
      <c r="I15409" s="12"/>
      <c r="J15409" s="12"/>
      <c r="K15409" s="12"/>
      <c r="L15409" s="12"/>
      <c r="M15409" s="11"/>
      <c r="N15409" s="11"/>
      <c r="O15409" s="11"/>
      <c r="P15409" s="11"/>
    </row>
    <row r="15410" spans="8:16" x14ac:dyDescent="0.25">
      <c r="H15410" s="12"/>
      <c r="I15410" s="12"/>
      <c r="J15410" s="12"/>
      <c r="K15410" s="12"/>
      <c r="L15410" s="12"/>
      <c r="M15410" s="11"/>
      <c r="N15410" s="11"/>
      <c r="O15410" s="11"/>
      <c r="P15410" s="11"/>
    </row>
    <row r="15411" spans="8:16" x14ac:dyDescent="0.25">
      <c r="H15411" s="12"/>
      <c r="I15411" s="12"/>
      <c r="J15411" s="12"/>
      <c r="K15411" s="12"/>
      <c r="L15411" s="12"/>
      <c r="M15411" s="11"/>
      <c r="N15411" s="11"/>
      <c r="O15411" s="11"/>
      <c r="P15411" s="11"/>
    </row>
    <row r="15412" spans="8:16" x14ac:dyDescent="0.25">
      <c r="H15412" s="12"/>
      <c r="I15412" s="12"/>
      <c r="J15412" s="12"/>
      <c r="K15412" s="12"/>
      <c r="L15412" s="12"/>
      <c r="M15412" s="11"/>
      <c r="N15412" s="11"/>
      <c r="O15412" s="11"/>
      <c r="P15412" s="11"/>
    </row>
    <row r="15413" spans="8:16" x14ac:dyDescent="0.25">
      <c r="H15413" s="12"/>
      <c r="I15413" s="12"/>
      <c r="J15413" s="12"/>
      <c r="K15413" s="12"/>
      <c r="L15413" s="12"/>
      <c r="M15413" s="11"/>
      <c r="N15413" s="11"/>
      <c r="O15413" s="11"/>
      <c r="P15413" s="11"/>
    </row>
    <row r="15414" spans="8:16" x14ac:dyDescent="0.25">
      <c r="H15414" s="12"/>
      <c r="I15414" s="12"/>
      <c r="J15414" s="12"/>
      <c r="K15414" s="12"/>
      <c r="L15414" s="12"/>
      <c r="M15414" s="11"/>
      <c r="N15414" s="11"/>
      <c r="O15414" s="11"/>
      <c r="P15414" s="11"/>
    </row>
    <row r="15415" spans="8:16" x14ac:dyDescent="0.25">
      <c r="H15415" s="12"/>
      <c r="I15415" s="12"/>
      <c r="J15415" s="12"/>
      <c r="K15415" s="12"/>
      <c r="L15415" s="12"/>
      <c r="M15415" s="11"/>
      <c r="N15415" s="11"/>
      <c r="O15415" s="11"/>
      <c r="P15415" s="11"/>
    </row>
    <row r="15416" spans="8:16" x14ac:dyDescent="0.25">
      <c r="H15416" s="12"/>
      <c r="I15416" s="12"/>
      <c r="J15416" s="12"/>
      <c r="K15416" s="12"/>
      <c r="L15416" s="12"/>
      <c r="M15416" s="11"/>
      <c r="N15416" s="11"/>
      <c r="O15416" s="11"/>
      <c r="P15416" s="11"/>
    </row>
    <row r="15417" spans="8:16" x14ac:dyDescent="0.25">
      <c r="H15417" s="12"/>
      <c r="I15417" s="12"/>
      <c r="J15417" s="12"/>
      <c r="K15417" s="12"/>
      <c r="L15417" s="12"/>
      <c r="M15417" s="11"/>
      <c r="N15417" s="11"/>
      <c r="O15417" s="11"/>
      <c r="P15417" s="11"/>
    </row>
    <row r="15418" spans="8:16" x14ac:dyDescent="0.25">
      <c r="H15418" s="12"/>
      <c r="I15418" s="12"/>
      <c r="J15418" s="12"/>
      <c r="K15418" s="12"/>
      <c r="L15418" s="12"/>
      <c r="M15418" s="11"/>
      <c r="N15418" s="11"/>
      <c r="O15418" s="11"/>
      <c r="P15418" s="11"/>
    </row>
    <row r="15419" spans="8:16" x14ac:dyDescent="0.25">
      <c r="H15419" s="12"/>
      <c r="I15419" s="12"/>
      <c r="J15419" s="12"/>
      <c r="K15419" s="12"/>
      <c r="L15419" s="12"/>
      <c r="M15419" s="11"/>
      <c r="N15419" s="11"/>
      <c r="O15419" s="11"/>
      <c r="P15419" s="11"/>
    </row>
    <row r="15420" spans="8:16" x14ac:dyDescent="0.25">
      <c r="H15420" s="12"/>
      <c r="I15420" s="12"/>
      <c r="J15420" s="12"/>
      <c r="K15420" s="12"/>
      <c r="L15420" s="12"/>
      <c r="M15420" s="11"/>
      <c r="N15420" s="11"/>
      <c r="O15420" s="11"/>
      <c r="P15420" s="11"/>
    </row>
    <row r="15421" spans="8:16" x14ac:dyDescent="0.25">
      <c r="H15421" s="12"/>
      <c r="I15421" s="12"/>
      <c r="J15421" s="12"/>
      <c r="K15421" s="12"/>
      <c r="L15421" s="12"/>
      <c r="M15421" s="11"/>
      <c r="N15421" s="11"/>
      <c r="O15421" s="11"/>
      <c r="P15421" s="11"/>
    </row>
    <row r="15422" spans="8:16" x14ac:dyDescent="0.25">
      <c r="H15422" s="12"/>
      <c r="I15422" s="12"/>
      <c r="J15422" s="12"/>
      <c r="K15422" s="12"/>
      <c r="L15422" s="12"/>
      <c r="M15422" s="11"/>
      <c r="N15422" s="11"/>
      <c r="O15422" s="11"/>
      <c r="P15422" s="11"/>
    </row>
    <row r="15423" spans="8:16" x14ac:dyDescent="0.25">
      <c r="H15423" s="12"/>
      <c r="I15423" s="12"/>
      <c r="J15423" s="12"/>
      <c r="K15423" s="12"/>
      <c r="L15423" s="12"/>
      <c r="M15423" s="11"/>
      <c r="N15423" s="11"/>
      <c r="O15423" s="11"/>
      <c r="P15423" s="11"/>
    </row>
    <row r="15424" spans="8:16" x14ac:dyDescent="0.25">
      <c r="H15424" s="12"/>
      <c r="I15424" s="12"/>
      <c r="J15424" s="12"/>
      <c r="K15424" s="12"/>
      <c r="L15424" s="12"/>
      <c r="M15424" s="11"/>
      <c r="N15424" s="11"/>
      <c r="O15424" s="11"/>
      <c r="P15424" s="11"/>
    </row>
    <row r="15425" spans="8:16" x14ac:dyDescent="0.25">
      <c r="H15425" s="12"/>
      <c r="I15425" s="12"/>
      <c r="J15425" s="12"/>
      <c r="K15425" s="12"/>
      <c r="L15425" s="12"/>
      <c r="M15425" s="11"/>
      <c r="N15425" s="11"/>
      <c r="O15425" s="11"/>
      <c r="P15425" s="11"/>
    </row>
    <row r="15426" spans="8:16" x14ac:dyDescent="0.25">
      <c r="H15426" s="12"/>
      <c r="I15426" s="12"/>
      <c r="J15426" s="12"/>
      <c r="K15426" s="12"/>
      <c r="L15426" s="12"/>
      <c r="M15426" s="11"/>
      <c r="N15426" s="11"/>
      <c r="O15426" s="11"/>
      <c r="P15426" s="11"/>
    </row>
    <row r="15427" spans="8:16" x14ac:dyDescent="0.25">
      <c r="H15427" s="12"/>
      <c r="I15427" s="12"/>
      <c r="J15427" s="12"/>
      <c r="K15427" s="12"/>
      <c r="L15427" s="12"/>
      <c r="M15427" s="11"/>
      <c r="N15427" s="11"/>
      <c r="O15427" s="11"/>
      <c r="P15427" s="11"/>
    </row>
    <row r="15428" spans="8:16" x14ac:dyDescent="0.25">
      <c r="H15428" s="12"/>
      <c r="I15428" s="12"/>
      <c r="J15428" s="12"/>
      <c r="K15428" s="12"/>
      <c r="L15428" s="12"/>
      <c r="M15428" s="11"/>
      <c r="N15428" s="11"/>
      <c r="O15428" s="11"/>
      <c r="P15428" s="11"/>
    </row>
    <row r="15429" spans="8:16" x14ac:dyDescent="0.25">
      <c r="H15429" s="12"/>
      <c r="I15429" s="12"/>
      <c r="J15429" s="12"/>
      <c r="K15429" s="12"/>
      <c r="L15429" s="12"/>
      <c r="M15429" s="11"/>
      <c r="N15429" s="11"/>
      <c r="O15429" s="11"/>
      <c r="P15429" s="11"/>
    </row>
    <row r="15430" spans="8:16" x14ac:dyDescent="0.25">
      <c r="H15430" s="12"/>
      <c r="I15430" s="12"/>
      <c r="J15430" s="12"/>
      <c r="K15430" s="12"/>
      <c r="L15430" s="12"/>
      <c r="M15430" s="11"/>
      <c r="N15430" s="11"/>
      <c r="O15430" s="11"/>
      <c r="P15430" s="11"/>
    </row>
    <row r="15431" spans="8:16" x14ac:dyDescent="0.25">
      <c r="H15431" s="12"/>
      <c r="I15431" s="12"/>
      <c r="J15431" s="12"/>
      <c r="K15431" s="12"/>
      <c r="L15431" s="12"/>
      <c r="M15431" s="11"/>
      <c r="N15431" s="11"/>
      <c r="O15431" s="11"/>
      <c r="P15431" s="11"/>
    </row>
    <row r="15432" spans="8:16" x14ac:dyDescent="0.25">
      <c r="H15432" s="12"/>
      <c r="I15432" s="12"/>
      <c r="J15432" s="12"/>
      <c r="K15432" s="12"/>
      <c r="L15432" s="12"/>
      <c r="M15432" s="11"/>
      <c r="N15432" s="11"/>
      <c r="O15432" s="11"/>
      <c r="P15432" s="11"/>
    </row>
    <row r="15433" spans="8:16" x14ac:dyDescent="0.25">
      <c r="H15433" s="12"/>
      <c r="I15433" s="12"/>
      <c r="J15433" s="12"/>
      <c r="K15433" s="12"/>
      <c r="L15433" s="12"/>
      <c r="M15433" s="11"/>
      <c r="N15433" s="11"/>
      <c r="O15433" s="11"/>
      <c r="P15433" s="11"/>
    </row>
    <row r="15434" spans="8:16" x14ac:dyDescent="0.25">
      <c r="H15434" s="12"/>
      <c r="I15434" s="12"/>
      <c r="J15434" s="12"/>
      <c r="K15434" s="12"/>
      <c r="L15434" s="12"/>
      <c r="M15434" s="11"/>
      <c r="N15434" s="11"/>
      <c r="O15434" s="11"/>
      <c r="P15434" s="11"/>
    </row>
    <row r="15435" spans="8:16" x14ac:dyDescent="0.25">
      <c r="H15435" s="12"/>
      <c r="I15435" s="12"/>
      <c r="J15435" s="12"/>
      <c r="K15435" s="12"/>
      <c r="L15435" s="12"/>
      <c r="M15435" s="11"/>
      <c r="N15435" s="11"/>
      <c r="O15435" s="11"/>
      <c r="P15435" s="11"/>
    </row>
    <row r="15436" spans="8:16" x14ac:dyDescent="0.25">
      <c r="H15436" s="12"/>
      <c r="I15436" s="12"/>
      <c r="J15436" s="12"/>
      <c r="K15436" s="12"/>
      <c r="L15436" s="12"/>
      <c r="M15436" s="11"/>
      <c r="N15436" s="11"/>
      <c r="O15436" s="11"/>
      <c r="P15436" s="11"/>
    </row>
    <row r="15437" spans="8:16" x14ac:dyDescent="0.25">
      <c r="H15437" s="12"/>
      <c r="I15437" s="12"/>
      <c r="J15437" s="12"/>
      <c r="K15437" s="12"/>
      <c r="L15437" s="12"/>
      <c r="M15437" s="11"/>
      <c r="N15437" s="11"/>
      <c r="O15437" s="11"/>
      <c r="P15437" s="11"/>
    </row>
    <row r="15438" spans="8:16" x14ac:dyDescent="0.25">
      <c r="H15438" s="12"/>
      <c r="I15438" s="12"/>
      <c r="J15438" s="12"/>
      <c r="K15438" s="12"/>
      <c r="L15438" s="12"/>
      <c r="M15438" s="11"/>
      <c r="N15438" s="11"/>
      <c r="O15438" s="11"/>
      <c r="P15438" s="11"/>
    </row>
    <row r="15439" spans="8:16" x14ac:dyDescent="0.25">
      <c r="H15439" s="12"/>
      <c r="I15439" s="12"/>
      <c r="J15439" s="12"/>
      <c r="K15439" s="12"/>
      <c r="L15439" s="12"/>
      <c r="M15439" s="11"/>
      <c r="N15439" s="11"/>
      <c r="O15439" s="11"/>
      <c r="P15439" s="11"/>
    </row>
    <row r="15440" spans="8:16" x14ac:dyDescent="0.25">
      <c r="H15440" s="12"/>
      <c r="I15440" s="12"/>
      <c r="J15440" s="12"/>
      <c r="K15440" s="12"/>
      <c r="L15440" s="12"/>
      <c r="M15440" s="11"/>
      <c r="N15440" s="11"/>
      <c r="O15440" s="11"/>
      <c r="P15440" s="11"/>
    </row>
    <row r="15441" spans="8:16" x14ac:dyDescent="0.25">
      <c r="H15441" s="12"/>
      <c r="I15441" s="12"/>
      <c r="J15441" s="12"/>
      <c r="K15441" s="12"/>
      <c r="L15441" s="12"/>
      <c r="M15441" s="11"/>
      <c r="N15441" s="11"/>
      <c r="O15441" s="11"/>
      <c r="P15441" s="11"/>
    </row>
    <row r="15442" spans="8:16" x14ac:dyDescent="0.25">
      <c r="H15442" s="12"/>
      <c r="I15442" s="12"/>
      <c r="J15442" s="12"/>
      <c r="K15442" s="12"/>
      <c r="L15442" s="12"/>
      <c r="M15442" s="11"/>
      <c r="N15442" s="11"/>
      <c r="O15442" s="11"/>
      <c r="P15442" s="11"/>
    </row>
    <row r="15443" spans="8:16" x14ac:dyDescent="0.25">
      <c r="H15443" s="12"/>
      <c r="I15443" s="12"/>
      <c r="J15443" s="12"/>
      <c r="K15443" s="12"/>
      <c r="L15443" s="12"/>
      <c r="M15443" s="11"/>
      <c r="N15443" s="11"/>
      <c r="O15443" s="11"/>
      <c r="P15443" s="11"/>
    </row>
    <row r="15444" spans="8:16" x14ac:dyDescent="0.25">
      <c r="H15444" s="12"/>
      <c r="I15444" s="12"/>
      <c r="J15444" s="12"/>
      <c r="K15444" s="12"/>
      <c r="L15444" s="12"/>
      <c r="M15444" s="11"/>
      <c r="N15444" s="11"/>
      <c r="O15444" s="11"/>
      <c r="P15444" s="11"/>
    </row>
    <row r="15445" spans="8:16" x14ac:dyDescent="0.25">
      <c r="H15445" s="12"/>
      <c r="I15445" s="12"/>
      <c r="J15445" s="12"/>
      <c r="K15445" s="12"/>
      <c r="L15445" s="12"/>
      <c r="M15445" s="11"/>
      <c r="N15445" s="11"/>
      <c r="O15445" s="11"/>
      <c r="P15445" s="11"/>
    </row>
    <row r="15446" spans="8:16" x14ac:dyDescent="0.25">
      <c r="H15446" s="12"/>
      <c r="I15446" s="12"/>
      <c r="J15446" s="12"/>
      <c r="K15446" s="12"/>
      <c r="L15446" s="12"/>
      <c r="M15446" s="11"/>
      <c r="N15446" s="11"/>
      <c r="O15446" s="11"/>
      <c r="P15446" s="11"/>
    </row>
    <row r="15447" spans="8:16" x14ac:dyDescent="0.25">
      <c r="H15447" s="12"/>
      <c r="I15447" s="12"/>
      <c r="J15447" s="12"/>
      <c r="K15447" s="12"/>
      <c r="L15447" s="12"/>
      <c r="M15447" s="11"/>
      <c r="N15447" s="11"/>
      <c r="O15447" s="11"/>
      <c r="P15447" s="11"/>
    </row>
    <row r="15448" spans="8:16" x14ac:dyDescent="0.25">
      <c r="H15448" s="12"/>
      <c r="I15448" s="12"/>
      <c r="J15448" s="12"/>
      <c r="K15448" s="12"/>
      <c r="L15448" s="12"/>
      <c r="M15448" s="11"/>
      <c r="N15448" s="11"/>
      <c r="O15448" s="11"/>
      <c r="P15448" s="11"/>
    </row>
    <row r="15449" spans="8:16" x14ac:dyDescent="0.25">
      <c r="H15449" s="12"/>
      <c r="I15449" s="12"/>
      <c r="J15449" s="12"/>
      <c r="K15449" s="12"/>
      <c r="L15449" s="12"/>
      <c r="M15449" s="11"/>
      <c r="N15449" s="11"/>
      <c r="O15449" s="11"/>
      <c r="P15449" s="11"/>
    </row>
    <row r="15450" spans="8:16" x14ac:dyDescent="0.25">
      <c r="H15450" s="12"/>
      <c r="I15450" s="12"/>
      <c r="J15450" s="12"/>
      <c r="K15450" s="12"/>
      <c r="L15450" s="12"/>
      <c r="M15450" s="11"/>
      <c r="N15450" s="11"/>
      <c r="O15450" s="11"/>
      <c r="P15450" s="11"/>
    </row>
    <row r="15451" spans="8:16" x14ac:dyDescent="0.25">
      <c r="H15451" s="12"/>
      <c r="I15451" s="12"/>
      <c r="J15451" s="12"/>
      <c r="K15451" s="12"/>
      <c r="L15451" s="12"/>
      <c r="M15451" s="11"/>
      <c r="N15451" s="11"/>
      <c r="O15451" s="11"/>
      <c r="P15451" s="11"/>
    </row>
    <row r="15452" spans="8:16" x14ac:dyDescent="0.25">
      <c r="H15452" s="12"/>
      <c r="I15452" s="12"/>
      <c r="J15452" s="12"/>
      <c r="K15452" s="12"/>
      <c r="L15452" s="12"/>
      <c r="M15452" s="11"/>
      <c r="N15452" s="11"/>
      <c r="O15452" s="11"/>
      <c r="P15452" s="11"/>
    </row>
    <row r="15453" spans="8:16" x14ac:dyDescent="0.25">
      <c r="H15453" s="12"/>
      <c r="I15453" s="12"/>
      <c r="J15453" s="12"/>
      <c r="K15453" s="12"/>
      <c r="L15453" s="12"/>
      <c r="M15453" s="11"/>
      <c r="N15453" s="11"/>
      <c r="O15453" s="11"/>
      <c r="P15453" s="11"/>
    </row>
    <row r="15454" spans="8:16" x14ac:dyDescent="0.25">
      <c r="H15454" s="12"/>
      <c r="I15454" s="12"/>
      <c r="J15454" s="12"/>
      <c r="K15454" s="12"/>
      <c r="L15454" s="12"/>
      <c r="M15454" s="11"/>
      <c r="N15454" s="11"/>
      <c r="O15454" s="11"/>
      <c r="P15454" s="11"/>
    </row>
    <row r="15455" spans="8:16" x14ac:dyDescent="0.25">
      <c r="H15455" s="12"/>
      <c r="I15455" s="12"/>
      <c r="J15455" s="12"/>
      <c r="K15455" s="12"/>
      <c r="L15455" s="12"/>
      <c r="M15455" s="11"/>
      <c r="N15455" s="11"/>
      <c r="O15455" s="11"/>
      <c r="P15455" s="11"/>
    </row>
    <row r="15456" spans="8:16" x14ac:dyDescent="0.25">
      <c r="H15456" s="12"/>
      <c r="I15456" s="12"/>
      <c r="J15456" s="12"/>
      <c r="K15456" s="12"/>
      <c r="L15456" s="12"/>
      <c r="M15456" s="11"/>
      <c r="N15456" s="11"/>
      <c r="O15456" s="11"/>
      <c r="P15456" s="11"/>
    </row>
    <row r="15457" spans="8:16" x14ac:dyDescent="0.25">
      <c r="H15457" s="12"/>
      <c r="I15457" s="12"/>
      <c r="J15457" s="12"/>
      <c r="K15457" s="12"/>
      <c r="L15457" s="12"/>
      <c r="M15457" s="11"/>
      <c r="N15457" s="11"/>
      <c r="O15457" s="11"/>
      <c r="P15457" s="11"/>
    </row>
    <row r="15458" spans="8:16" x14ac:dyDescent="0.25">
      <c r="H15458" s="12"/>
      <c r="I15458" s="12"/>
      <c r="J15458" s="12"/>
      <c r="K15458" s="12"/>
      <c r="L15458" s="12"/>
      <c r="M15458" s="11"/>
      <c r="N15458" s="11"/>
      <c r="O15458" s="11"/>
      <c r="P15458" s="11"/>
    </row>
    <row r="15459" spans="8:16" x14ac:dyDescent="0.25">
      <c r="H15459" s="12"/>
      <c r="I15459" s="12"/>
      <c r="J15459" s="12"/>
      <c r="K15459" s="12"/>
      <c r="L15459" s="12"/>
      <c r="M15459" s="11"/>
      <c r="N15459" s="11"/>
      <c r="O15459" s="11"/>
      <c r="P15459" s="11"/>
    </row>
    <row r="15460" spans="8:16" x14ac:dyDescent="0.25">
      <c r="H15460" s="12"/>
      <c r="I15460" s="12"/>
      <c r="J15460" s="12"/>
      <c r="K15460" s="12"/>
      <c r="L15460" s="12"/>
      <c r="M15460" s="11"/>
      <c r="N15460" s="11"/>
      <c r="O15460" s="11"/>
      <c r="P15460" s="11"/>
    </row>
    <row r="15461" spans="8:16" x14ac:dyDescent="0.25">
      <c r="H15461" s="12"/>
      <c r="I15461" s="12"/>
      <c r="J15461" s="12"/>
      <c r="K15461" s="12"/>
      <c r="L15461" s="12"/>
      <c r="M15461" s="11"/>
      <c r="N15461" s="11"/>
      <c r="O15461" s="11"/>
      <c r="P15461" s="11"/>
    </row>
    <row r="15462" spans="8:16" x14ac:dyDescent="0.25">
      <c r="H15462" s="12"/>
      <c r="I15462" s="12"/>
      <c r="J15462" s="12"/>
      <c r="K15462" s="12"/>
      <c r="L15462" s="12"/>
      <c r="M15462" s="11"/>
      <c r="N15462" s="11"/>
      <c r="O15462" s="11"/>
      <c r="P15462" s="11"/>
    </row>
    <row r="15463" spans="8:16" x14ac:dyDescent="0.25">
      <c r="H15463" s="12"/>
      <c r="I15463" s="12"/>
      <c r="J15463" s="12"/>
      <c r="K15463" s="12"/>
      <c r="L15463" s="12"/>
      <c r="M15463" s="11"/>
      <c r="N15463" s="11"/>
      <c r="O15463" s="11"/>
      <c r="P15463" s="11"/>
    </row>
    <row r="15464" spans="8:16" x14ac:dyDescent="0.25">
      <c r="H15464" s="12"/>
      <c r="I15464" s="12"/>
      <c r="J15464" s="12"/>
      <c r="K15464" s="12"/>
      <c r="L15464" s="12"/>
      <c r="M15464" s="11"/>
      <c r="N15464" s="11"/>
      <c r="O15464" s="11"/>
      <c r="P15464" s="11"/>
    </row>
    <row r="15465" spans="8:16" x14ac:dyDescent="0.25">
      <c r="H15465" s="12"/>
      <c r="I15465" s="12"/>
      <c r="J15465" s="12"/>
      <c r="K15465" s="12"/>
      <c r="L15465" s="12"/>
      <c r="M15465" s="11"/>
      <c r="N15465" s="11"/>
      <c r="O15465" s="11"/>
      <c r="P15465" s="11"/>
    </row>
    <row r="15466" spans="8:16" x14ac:dyDescent="0.25">
      <c r="H15466" s="12"/>
      <c r="I15466" s="12"/>
      <c r="J15466" s="12"/>
      <c r="K15466" s="12"/>
      <c r="L15466" s="12"/>
      <c r="M15466" s="11"/>
      <c r="N15466" s="11"/>
      <c r="O15466" s="11"/>
      <c r="P15466" s="11"/>
    </row>
    <row r="15467" spans="8:16" x14ac:dyDescent="0.25">
      <c r="H15467" s="12"/>
      <c r="I15467" s="12"/>
      <c r="J15467" s="12"/>
      <c r="K15467" s="12"/>
      <c r="L15467" s="12"/>
      <c r="M15467" s="11"/>
      <c r="N15467" s="11"/>
      <c r="O15467" s="11"/>
      <c r="P15467" s="11"/>
    </row>
    <row r="15468" spans="8:16" x14ac:dyDescent="0.25">
      <c r="H15468" s="12"/>
      <c r="I15468" s="12"/>
      <c r="J15468" s="12"/>
      <c r="K15468" s="12"/>
      <c r="L15468" s="12"/>
      <c r="M15468" s="11"/>
      <c r="N15468" s="11"/>
      <c r="O15468" s="11"/>
      <c r="P15468" s="11"/>
    </row>
    <row r="15469" spans="8:16" x14ac:dyDescent="0.25">
      <c r="H15469" s="12"/>
      <c r="I15469" s="12"/>
      <c r="J15469" s="12"/>
      <c r="K15469" s="12"/>
      <c r="L15469" s="12"/>
      <c r="M15469" s="11"/>
      <c r="N15469" s="11"/>
      <c r="O15469" s="11"/>
      <c r="P15469" s="11"/>
    </row>
    <row r="15470" spans="8:16" x14ac:dyDescent="0.25">
      <c r="H15470" s="12"/>
      <c r="I15470" s="12"/>
      <c r="J15470" s="12"/>
      <c r="K15470" s="12"/>
      <c r="L15470" s="12"/>
      <c r="M15470" s="11"/>
      <c r="N15470" s="11"/>
      <c r="O15470" s="11"/>
      <c r="P15470" s="11"/>
    </row>
    <row r="15471" spans="8:16" x14ac:dyDescent="0.25">
      <c r="H15471" s="12"/>
      <c r="I15471" s="12"/>
      <c r="J15471" s="12"/>
      <c r="K15471" s="12"/>
      <c r="L15471" s="12"/>
      <c r="M15471" s="11"/>
      <c r="N15471" s="11"/>
      <c r="O15471" s="11"/>
      <c r="P15471" s="11"/>
    </row>
    <row r="15472" spans="8:16" x14ac:dyDescent="0.25">
      <c r="H15472" s="12"/>
      <c r="I15472" s="12"/>
      <c r="J15472" s="12"/>
      <c r="K15472" s="12"/>
      <c r="L15472" s="12"/>
      <c r="M15472" s="11"/>
      <c r="N15472" s="11"/>
      <c r="O15472" s="11"/>
      <c r="P15472" s="11"/>
    </row>
    <row r="15473" spans="8:16" x14ac:dyDescent="0.25">
      <c r="H15473" s="12"/>
      <c r="I15473" s="12"/>
      <c r="J15473" s="12"/>
      <c r="K15473" s="12"/>
      <c r="L15473" s="12"/>
      <c r="M15473" s="11"/>
      <c r="N15473" s="11"/>
      <c r="O15473" s="11"/>
      <c r="P15473" s="11"/>
    </row>
    <row r="15474" spans="8:16" x14ac:dyDescent="0.25">
      <c r="H15474" s="12"/>
      <c r="I15474" s="12"/>
      <c r="J15474" s="12"/>
      <c r="K15474" s="12"/>
      <c r="L15474" s="12"/>
      <c r="M15474" s="11"/>
      <c r="N15474" s="11"/>
      <c r="O15474" s="11"/>
      <c r="P15474" s="11"/>
    </row>
    <row r="15475" spans="8:16" x14ac:dyDescent="0.25">
      <c r="H15475" s="12"/>
      <c r="I15475" s="12"/>
      <c r="J15475" s="12"/>
      <c r="K15475" s="12"/>
      <c r="L15475" s="12"/>
      <c r="M15475" s="11"/>
      <c r="N15475" s="11"/>
      <c r="O15475" s="11"/>
      <c r="P15475" s="11"/>
    </row>
    <row r="15476" spans="8:16" x14ac:dyDescent="0.25">
      <c r="H15476" s="12"/>
      <c r="I15476" s="12"/>
      <c r="J15476" s="12"/>
      <c r="K15476" s="12"/>
      <c r="L15476" s="12"/>
      <c r="M15476" s="11"/>
      <c r="N15476" s="11"/>
      <c r="O15476" s="11"/>
      <c r="P15476" s="11"/>
    </row>
    <row r="15477" spans="8:16" x14ac:dyDescent="0.25">
      <c r="H15477" s="12"/>
      <c r="I15477" s="12"/>
      <c r="J15477" s="12"/>
      <c r="K15477" s="12"/>
      <c r="L15477" s="12"/>
      <c r="M15477" s="11"/>
      <c r="N15477" s="11"/>
      <c r="O15477" s="11"/>
      <c r="P15477" s="11"/>
    </row>
    <row r="15478" spans="8:16" x14ac:dyDescent="0.25">
      <c r="H15478" s="12"/>
      <c r="I15478" s="12"/>
      <c r="J15478" s="12"/>
      <c r="K15478" s="12"/>
      <c r="L15478" s="12"/>
      <c r="M15478" s="11"/>
      <c r="N15478" s="11"/>
      <c r="O15478" s="11"/>
      <c r="P15478" s="11"/>
    </row>
    <row r="15479" spans="8:16" x14ac:dyDescent="0.25">
      <c r="H15479" s="12"/>
      <c r="I15479" s="12"/>
      <c r="J15479" s="12"/>
      <c r="K15479" s="12"/>
      <c r="L15479" s="12"/>
      <c r="M15479" s="11"/>
      <c r="N15479" s="11"/>
      <c r="O15479" s="11"/>
      <c r="P15479" s="11"/>
    </row>
    <row r="15480" spans="8:16" x14ac:dyDescent="0.25">
      <c r="H15480" s="12"/>
      <c r="I15480" s="12"/>
      <c r="J15480" s="12"/>
      <c r="K15480" s="12"/>
      <c r="L15480" s="12"/>
      <c r="M15480" s="11"/>
      <c r="N15480" s="11"/>
      <c r="O15480" s="11"/>
      <c r="P15480" s="11"/>
    </row>
    <row r="15481" spans="8:16" x14ac:dyDescent="0.25">
      <c r="H15481" s="12"/>
      <c r="I15481" s="12"/>
      <c r="J15481" s="12"/>
      <c r="K15481" s="12"/>
      <c r="L15481" s="12"/>
      <c r="M15481" s="11"/>
      <c r="N15481" s="11"/>
      <c r="O15481" s="11"/>
      <c r="P15481" s="11"/>
    </row>
    <row r="15482" spans="8:16" x14ac:dyDescent="0.25">
      <c r="H15482" s="12"/>
      <c r="I15482" s="12"/>
      <c r="J15482" s="12"/>
      <c r="K15482" s="12"/>
      <c r="L15482" s="12"/>
      <c r="M15482" s="11"/>
      <c r="N15482" s="11"/>
      <c r="O15482" s="11"/>
      <c r="P15482" s="11"/>
    </row>
    <row r="15483" spans="8:16" x14ac:dyDescent="0.25">
      <c r="H15483" s="12"/>
      <c r="I15483" s="12"/>
      <c r="J15483" s="12"/>
      <c r="K15483" s="12"/>
      <c r="L15483" s="12"/>
      <c r="M15483" s="11"/>
      <c r="N15483" s="11"/>
      <c r="O15483" s="11"/>
      <c r="P15483" s="11"/>
    </row>
    <row r="15484" spans="8:16" x14ac:dyDescent="0.25">
      <c r="H15484" s="12"/>
      <c r="I15484" s="12"/>
      <c r="J15484" s="12"/>
      <c r="K15484" s="12"/>
      <c r="L15484" s="12"/>
      <c r="M15484" s="11"/>
      <c r="N15484" s="11"/>
      <c r="O15484" s="11"/>
      <c r="P15484" s="11"/>
    </row>
    <row r="15485" spans="8:16" x14ac:dyDescent="0.25">
      <c r="H15485" s="12"/>
      <c r="I15485" s="12"/>
      <c r="J15485" s="12"/>
      <c r="K15485" s="12"/>
      <c r="L15485" s="12"/>
      <c r="M15485" s="11"/>
      <c r="N15485" s="11"/>
      <c r="O15485" s="11"/>
      <c r="P15485" s="11"/>
    </row>
    <row r="15486" spans="8:16" x14ac:dyDescent="0.25">
      <c r="H15486" s="12"/>
      <c r="I15486" s="12"/>
      <c r="J15486" s="12"/>
      <c r="K15486" s="12"/>
      <c r="L15486" s="12"/>
      <c r="M15486" s="11"/>
      <c r="N15486" s="11"/>
      <c r="O15486" s="11"/>
      <c r="P15486" s="11"/>
    </row>
    <row r="15487" spans="8:16" x14ac:dyDescent="0.25">
      <c r="H15487" s="12"/>
      <c r="I15487" s="12"/>
      <c r="J15487" s="12"/>
      <c r="K15487" s="12"/>
      <c r="L15487" s="12"/>
      <c r="M15487" s="11"/>
      <c r="N15487" s="11"/>
      <c r="O15487" s="11"/>
      <c r="P15487" s="11"/>
    </row>
    <row r="15488" spans="8:16" x14ac:dyDescent="0.25">
      <c r="H15488" s="12"/>
      <c r="I15488" s="12"/>
      <c r="J15488" s="12"/>
      <c r="K15488" s="12"/>
      <c r="L15488" s="12"/>
      <c r="M15488" s="11"/>
      <c r="N15488" s="11"/>
      <c r="O15488" s="11"/>
      <c r="P15488" s="11"/>
    </row>
    <row r="15489" spans="8:16" x14ac:dyDescent="0.25">
      <c r="H15489" s="12"/>
      <c r="I15489" s="12"/>
      <c r="J15489" s="12"/>
      <c r="K15489" s="12"/>
      <c r="L15489" s="12"/>
      <c r="M15489" s="11"/>
      <c r="N15489" s="11"/>
      <c r="O15489" s="11"/>
      <c r="P15489" s="11"/>
    </row>
    <row r="15490" spans="8:16" x14ac:dyDescent="0.25">
      <c r="H15490" s="12"/>
      <c r="I15490" s="12"/>
      <c r="J15490" s="12"/>
      <c r="K15490" s="12"/>
      <c r="L15490" s="12"/>
      <c r="M15490" s="11"/>
      <c r="N15490" s="11"/>
      <c r="O15490" s="11"/>
      <c r="P15490" s="11"/>
    </row>
    <row r="15491" spans="8:16" x14ac:dyDescent="0.25">
      <c r="H15491" s="12"/>
      <c r="I15491" s="12"/>
      <c r="J15491" s="12"/>
      <c r="K15491" s="12"/>
      <c r="L15491" s="12"/>
      <c r="M15491" s="11"/>
      <c r="N15491" s="11"/>
      <c r="O15491" s="11"/>
      <c r="P15491" s="11"/>
    </row>
    <row r="15492" spans="8:16" x14ac:dyDescent="0.25">
      <c r="H15492" s="12"/>
      <c r="I15492" s="12"/>
      <c r="J15492" s="12"/>
      <c r="K15492" s="12"/>
      <c r="L15492" s="12"/>
      <c r="M15492" s="11"/>
      <c r="N15492" s="11"/>
      <c r="O15492" s="11"/>
      <c r="P15492" s="11"/>
    </row>
    <row r="15493" spans="8:16" x14ac:dyDescent="0.25">
      <c r="H15493" s="12"/>
      <c r="I15493" s="12"/>
      <c r="J15493" s="12"/>
      <c r="K15493" s="12"/>
      <c r="L15493" s="12"/>
      <c r="M15493" s="11"/>
      <c r="N15493" s="11"/>
      <c r="O15493" s="11"/>
      <c r="P15493" s="11"/>
    </row>
    <row r="15494" spans="8:16" x14ac:dyDescent="0.25">
      <c r="H15494" s="12"/>
      <c r="I15494" s="12"/>
      <c r="J15494" s="12"/>
      <c r="K15494" s="12"/>
      <c r="L15494" s="12"/>
      <c r="M15494" s="11"/>
      <c r="N15494" s="11"/>
      <c r="O15494" s="11"/>
      <c r="P15494" s="11"/>
    </row>
    <row r="15495" spans="8:16" x14ac:dyDescent="0.25">
      <c r="H15495" s="12"/>
      <c r="I15495" s="12"/>
      <c r="J15495" s="12"/>
      <c r="K15495" s="12"/>
      <c r="L15495" s="12"/>
      <c r="M15495" s="11"/>
      <c r="N15495" s="11"/>
      <c r="O15495" s="11"/>
      <c r="P15495" s="11"/>
    </row>
    <row r="15496" spans="8:16" x14ac:dyDescent="0.25">
      <c r="H15496" s="12"/>
      <c r="I15496" s="12"/>
      <c r="J15496" s="12"/>
      <c r="K15496" s="12"/>
      <c r="L15496" s="12"/>
      <c r="M15496" s="11"/>
      <c r="N15496" s="11"/>
      <c r="O15496" s="11"/>
      <c r="P15496" s="11"/>
    </row>
    <row r="15497" spans="8:16" x14ac:dyDescent="0.25">
      <c r="H15497" s="12"/>
      <c r="I15497" s="12"/>
      <c r="J15497" s="12"/>
      <c r="K15497" s="12"/>
      <c r="L15497" s="12"/>
      <c r="M15497" s="11"/>
      <c r="N15497" s="11"/>
      <c r="O15497" s="11"/>
      <c r="P15497" s="11"/>
    </row>
    <row r="15498" spans="8:16" x14ac:dyDescent="0.25">
      <c r="H15498" s="12"/>
      <c r="I15498" s="12"/>
      <c r="J15498" s="12"/>
      <c r="K15498" s="12"/>
      <c r="L15498" s="12"/>
      <c r="M15498" s="11"/>
      <c r="N15498" s="11"/>
      <c r="O15498" s="11"/>
      <c r="P15498" s="11"/>
    </row>
    <row r="15499" spans="8:16" x14ac:dyDescent="0.25">
      <c r="H15499" s="12"/>
      <c r="I15499" s="12"/>
      <c r="J15499" s="12"/>
      <c r="K15499" s="12"/>
      <c r="L15499" s="12"/>
      <c r="M15499" s="11"/>
      <c r="N15499" s="11"/>
      <c r="O15499" s="11"/>
      <c r="P15499" s="11"/>
    </row>
    <row r="15500" spans="8:16" x14ac:dyDescent="0.25">
      <c r="H15500" s="12"/>
      <c r="I15500" s="12"/>
      <c r="J15500" s="12"/>
      <c r="K15500" s="12"/>
      <c r="L15500" s="12"/>
      <c r="M15500" s="11"/>
      <c r="N15500" s="11"/>
      <c r="O15500" s="11"/>
      <c r="P15500" s="11"/>
    </row>
    <row r="15501" spans="8:16" x14ac:dyDescent="0.25">
      <c r="H15501" s="12"/>
      <c r="I15501" s="12"/>
      <c r="J15501" s="12"/>
      <c r="K15501" s="12"/>
      <c r="L15501" s="12"/>
      <c r="M15501" s="11"/>
      <c r="N15501" s="11"/>
      <c r="O15501" s="11"/>
      <c r="P15501" s="11"/>
    </row>
    <row r="15502" spans="8:16" x14ac:dyDescent="0.25">
      <c r="H15502" s="12"/>
      <c r="I15502" s="12"/>
      <c r="J15502" s="12"/>
      <c r="K15502" s="12"/>
      <c r="L15502" s="12"/>
      <c r="M15502" s="11"/>
      <c r="N15502" s="11"/>
      <c r="O15502" s="11"/>
      <c r="P15502" s="11"/>
    </row>
    <row r="15503" spans="8:16" x14ac:dyDescent="0.25">
      <c r="H15503" s="12"/>
      <c r="I15503" s="12"/>
      <c r="J15503" s="12"/>
      <c r="K15503" s="12"/>
      <c r="L15503" s="12"/>
      <c r="M15503" s="11"/>
      <c r="N15503" s="11"/>
      <c r="O15503" s="11"/>
      <c r="P15503" s="11"/>
    </row>
    <row r="15504" spans="8:16" x14ac:dyDescent="0.25">
      <c r="H15504" s="12"/>
      <c r="I15504" s="12"/>
      <c r="J15504" s="12"/>
      <c r="K15504" s="12"/>
      <c r="L15504" s="12"/>
      <c r="M15504" s="11"/>
      <c r="N15504" s="11"/>
      <c r="O15504" s="11"/>
      <c r="P15504" s="11"/>
    </row>
    <row r="15505" spans="8:16" x14ac:dyDescent="0.25">
      <c r="H15505" s="12"/>
      <c r="I15505" s="12"/>
      <c r="J15505" s="12"/>
      <c r="K15505" s="12"/>
      <c r="L15505" s="12"/>
      <c r="M15505" s="11"/>
      <c r="N15505" s="11"/>
      <c r="O15505" s="11"/>
      <c r="P15505" s="11"/>
    </row>
    <row r="15506" spans="8:16" x14ac:dyDescent="0.25">
      <c r="H15506" s="12"/>
      <c r="I15506" s="12"/>
      <c r="J15506" s="12"/>
      <c r="K15506" s="12"/>
      <c r="L15506" s="12"/>
      <c r="M15506" s="11"/>
      <c r="N15506" s="11"/>
      <c r="O15506" s="11"/>
      <c r="P15506" s="11"/>
    </row>
    <row r="15507" spans="8:16" x14ac:dyDescent="0.25">
      <c r="H15507" s="12"/>
      <c r="I15507" s="12"/>
      <c r="J15507" s="12"/>
      <c r="K15507" s="12"/>
      <c r="L15507" s="12"/>
      <c r="M15507" s="11"/>
      <c r="N15507" s="11"/>
      <c r="O15507" s="11"/>
      <c r="P15507" s="11"/>
    </row>
    <row r="15508" spans="8:16" x14ac:dyDescent="0.25">
      <c r="H15508" s="12"/>
      <c r="I15508" s="12"/>
      <c r="J15508" s="12"/>
      <c r="K15508" s="12"/>
      <c r="L15508" s="12"/>
      <c r="M15508" s="11"/>
      <c r="N15508" s="11"/>
      <c r="O15508" s="11"/>
      <c r="P15508" s="11"/>
    </row>
    <row r="15509" spans="8:16" x14ac:dyDescent="0.25">
      <c r="H15509" s="12"/>
      <c r="I15509" s="12"/>
      <c r="J15509" s="12"/>
      <c r="K15509" s="12"/>
      <c r="L15509" s="12"/>
      <c r="M15509" s="11"/>
      <c r="N15509" s="11"/>
      <c r="O15509" s="11"/>
      <c r="P15509" s="11"/>
    </row>
    <row r="15510" spans="8:16" x14ac:dyDescent="0.25">
      <c r="H15510" s="12"/>
      <c r="I15510" s="12"/>
      <c r="J15510" s="12"/>
      <c r="K15510" s="12"/>
      <c r="L15510" s="12"/>
      <c r="M15510" s="11"/>
      <c r="N15510" s="11"/>
      <c r="O15510" s="11"/>
      <c r="P15510" s="11"/>
    </row>
    <row r="15511" spans="8:16" x14ac:dyDescent="0.25">
      <c r="H15511" s="12"/>
      <c r="I15511" s="12"/>
      <c r="J15511" s="12"/>
      <c r="K15511" s="12"/>
      <c r="L15511" s="12"/>
      <c r="M15511" s="11"/>
      <c r="N15511" s="11"/>
      <c r="O15511" s="11"/>
      <c r="P15511" s="11"/>
    </row>
    <row r="15512" spans="8:16" x14ac:dyDescent="0.25">
      <c r="H15512" s="12"/>
      <c r="I15512" s="12"/>
      <c r="J15512" s="12"/>
      <c r="K15512" s="12"/>
      <c r="L15512" s="12"/>
      <c r="M15512" s="11"/>
      <c r="N15512" s="11"/>
      <c r="O15512" s="11"/>
      <c r="P15512" s="11"/>
    </row>
    <row r="15513" spans="8:16" x14ac:dyDescent="0.25">
      <c r="H15513" s="12"/>
      <c r="I15513" s="12"/>
      <c r="J15513" s="12"/>
      <c r="K15513" s="12"/>
      <c r="L15513" s="12"/>
      <c r="M15513" s="11"/>
      <c r="N15513" s="11"/>
      <c r="O15513" s="11"/>
      <c r="P15513" s="11"/>
    </row>
    <row r="15514" spans="8:16" x14ac:dyDescent="0.25">
      <c r="H15514" s="12"/>
      <c r="I15514" s="12"/>
      <c r="J15514" s="12"/>
      <c r="K15514" s="12"/>
      <c r="L15514" s="12"/>
      <c r="M15514" s="11"/>
      <c r="N15514" s="11"/>
      <c r="O15514" s="11"/>
      <c r="P15514" s="11"/>
    </row>
    <row r="15515" spans="8:16" x14ac:dyDescent="0.25">
      <c r="H15515" s="12"/>
      <c r="I15515" s="12"/>
      <c r="J15515" s="12"/>
      <c r="K15515" s="12"/>
      <c r="L15515" s="12"/>
      <c r="M15515" s="11"/>
      <c r="N15515" s="11"/>
      <c r="O15515" s="11"/>
      <c r="P15515" s="11"/>
    </row>
    <row r="15516" spans="8:16" x14ac:dyDescent="0.25">
      <c r="H15516" s="12"/>
      <c r="I15516" s="12"/>
      <c r="J15516" s="12"/>
      <c r="K15516" s="12"/>
      <c r="L15516" s="12"/>
      <c r="M15516" s="11"/>
      <c r="N15516" s="11"/>
      <c r="O15516" s="11"/>
      <c r="P15516" s="11"/>
    </row>
    <row r="15517" spans="8:16" x14ac:dyDescent="0.25">
      <c r="H15517" s="12"/>
      <c r="I15517" s="12"/>
      <c r="J15517" s="12"/>
      <c r="K15517" s="12"/>
      <c r="L15517" s="12"/>
      <c r="M15517" s="11"/>
      <c r="N15517" s="11"/>
      <c r="O15517" s="11"/>
      <c r="P15517" s="11"/>
    </row>
    <row r="15518" spans="8:16" x14ac:dyDescent="0.25">
      <c r="H15518" s="12"/>
      <c r="I15518" s="12"/>
      <c r="J15518" s="12"/>
      <c r="K15518" s="12"/>
      <c r="L15518" s="12"/>
      <c r="M15518" s="11"/>
      <c r="N15518" s="11"/>
      <c r="O15518" s="11"/>
      <c r="P15518" s="11"/>
    </row>
    <row r="15519" spans="8:16" x14ac:dyDescent="0.25">
      <c r="H15519" s="12"/>
      <c r="I15519" s="12"/>
      <c r="J15519" s="12"/>
      <c r="K15519" s="12"/>
      <c r="L15519" s="12"/>
      <c r="M15519" s="11"/>
      <c r="N15519" s="11"/>
      <c r="O15519" s="11"/>
      <c r="P15519" s="11"/>
    </row>
    <row r="15520" spans="8:16" x14ac:dyDescent="0.25">
      <c r="H15520" s="12"/>
      <c r="I15520" s="12"/>
      <c r="J15520" s="12"/>
      <c r="K15520" s="12"/>
      <c r="L15520" s="12"/>
      <c r="M15520" s="11"/>
      <c r="N15520" s="11"/>
      <c r="O15520" s="11"/>
      <c r="P15520" s="11"/>
    </row>
    <row r="15521" spans="8:16" x14ac:dyDescent="0.25">
      <c r="H15521" s="12"/>
      <c r="I15521" s="12"/>
      <c r="J15521" s="12"/>
      <c r="K15521" s="12"/>
      <c r="L15521" s="12"/>
      <c r="M15521" s="11"/>
      <c r="N15521" s="11"/>
      <c r="O15521" s="11"/>
      <c r="P15521" s="11"/>
    </row>
    <row r="15522" spans="8:16" x14ac:dyDescent="0.25">
      <c r="H15522" s="12"/>
      <c r="I15522" s="12"/>
      <c r="J15522" s="12"/>
      <c r="K15522" s="12"/>
      <c r="L15522" s="12"/>
      <c r="M15522" s="11"/>
      <c r="N15522" s="11"/>
      <c r="O15522" s="11"/>
      <c r="P15522" s="11"/>
    </row>
    <row r="15523" spans="8:16" x14ac:dyDescent="0.25">
      <c r="H15523" s="12"/>
      <c r="I15523" s="12"/>
      <c r="J15523" s="12"/>
      <c r="K15523" s="12"/>
      <c r="L15523" s="12"/>
      <c r="M15523" s="11"/>
      <c r="N15523" s="11"/>
      <c r="O15523" s="11"/>
      <c r="P15523" s="11"/>
    </row>
    <row r="15524" spans="8:16" x14ac:dyDescent="0.25">
      <c r="H15524" s="12"/>
      <c r="I15524" s="12"/>
      <c r="J15524" s="12"/>
      <c r="K15524" s="12"/>
      <c r="L15524" s="12"/>
      <c r="M15524" s="11"/>
      <c r="N15524" s="11"/>
      <c r="O15524" s="11"/>
      <c r="P15524" s="11"/>
    </row>
    <row r="15525" spans="8:16" x14ac:dyDescent="0.25">
      <c r="H15525" s="12"/>
      <c r="I15525" s="12"/>
      <c r="J15525" s="12"/>
      <c r="K15525" s="12"/>
      <c r="L15525" s="12"/>
      <c r="M15525" s="11"/>
      <c r="N15525" s="11"/>
      <c r="O15525" s="11"/>
      <c r="P15525" s="11"/>
    </row>
    <row r="15526" spans="8:16" x14ac:dyDescent="0.25">
      <c r="H15526" s="12"/>
      <c r="I15526" s="12"/>
      <c r="J15526" s="12"/>
      <c r="K15526" s="12"/>
      <c r="L15526" s="12"/>
      <c r="M15526" s="11"/>
      <c r="N15526" s="11"/>
      <c r="O15526" s="11"/>
      <c r="P15526" s="11"/>
    </row>
    <row r="15527" spans="8:16" x14ac:dyDescent="0.25">
      <c r="H15527" s="12"/>
      <c r="I15527" s="12"/>
      <c r="J15527" s="12"/>
      <c r="K15527" s="12"/>
      <c r="L15527" s="12"/>
      <c r="M15527" s="11"/>
      <c r="N15527" s="11"/>
      <c r="O15527" s="11"/>
      <c r="P15527" s="11"/>
    </row>
    <row r="15528" spans="8:16" x14ac:dyDescent="0.25">
      <c r="H15528" s="12"/>
      <c r="I15528" s="12"/>
      <c r="J15528" s="12"/>
      <c r="K15528" s="12"/>
      <c r="L15528" s="12"/>
      <c r="M15528" s="11"/>
      <c r="N15528" s="11"/>
      <c r="O15528" s="11"/>
      <c r="P15528" s="11"/>
    </row>
    <row r="15529" spans="8:16" x14ac:dyDescent="0.25">
      <c r="H15529" s="12"/>
      <c r="I15529" s="12"/>
      <c r="J15529" s="12"/>
      <c r="K15529" s="12"/>
      <c r="L15529" s="12"/>
      <c r="M15529" s="11"/>
      <c r="N15529" s="11"/>
      <c r="O15529" s="11"/>
      <c r="P15529" s="11"/>
    </row>
    <row r="15530" spans="8:16" x14ac:dyDescent="0.25">
      <c r="H15530" s="12"/>
      <c r="I15530" s="12"/>
      <c r="J15530" s="12"/>
      <c r="K15530" s="12"/>
      <c r="L15530" s="12"/>
      <c r="M15530" s="11"/>
      <c r="N15530" s="11"/>
      <c r="O15530" s="11"/>
      <c r="P15530" s="11"/>
    </row>
    <row r="15531" spans="8:16" x14ac:dyDescent="0.25">
      <c r="H15531" s="12"/>
      <c r="I15531" s="12"/>
      <c r="J15531" s="12"/>
      <c r="K15531" s="12"/>
      <c r="L15531" s="12"/>
      <c r="M15531" s="11"/>
      <c r="N15531" s="11"/>
      <c r="O15531" s="11"/>
      <c r="P15531" s="11"/>
    </row>
    <row r="15532" spans="8:16" x14ac:dyDescent="0.25">
      <c r="H15532" s="12"/>
      <c r="I15532" s="12"/>
      <c r="J15532" s="12"/>
      <c r="K15532" s="12"/>
      <c r="L15532" s="12"/>
      <c r="M15532" s="11"/>
      <c r="N15532" s="11"/>
      <c r="O15532" s="11"/>
      <c r="P15532" s="11"/>
    </row>
    <row r="15533" spans="8:16" x14ac:dyDescent="0.25">
      <c r="H15533" s="12"/>
      <c r="I15533" s="12"/>
      <c r="J15533" s="12"/>
      <c r="K15533" s="12"/>
      <c r="L15533" s="12"/>
      <c r="M15533" s="11"/>
      <c r="N15533" s="11"/>
      <c r="O15533" s="11"/>
      <c r="P15533" s="11"/>
    </row>
    <row r="15534" spans="8:16" x14ac:dyDescent="0.25">
      <c r="H15534" s="12"/>
      <c r="I15534" s="12"/>
      <c r="J15534" s="12"/>
      <c r="K15534" s="12"/>
      <c r="L15534" s="12"/>
      <c r="M15534" s="11"/>
      <c r="N15534" s="11"/>
      <c r="O15534" s="11"/>
      <c r="P15534" s="11"/>
    </row>
    <row r="15535" spans="8:16" x14ac:dyDescent="0.25">
      <c r="H15535" s="12"/>
      <c r="I15535" s="12"/>
      <c r="J15535" s="12"/>
      <c r="K15535" s="12"/>
      <c r="L15535" s="12"/>
      <c r="M15535" s="11"/>
      <c r="N15535" s="11"/>
      <c r="O15535" s="11"/>
      <c r="P15535" s="11"/>
    </row>
    <row r="15536" spans="8:16" x14ac:dyDescent="0.25">
      <c r="H15536" s="12"/>
      <c r="I15536" s="12"/>
      <c r="J15536" s="12"/>
      <c r="K15536" s="12"/>
      <c r="L15536" s="12"/>
      <c r="M15536" s="11"/>
      <c r="N15536" s="11"/>
      <c r="O15536" s="11"/>
      <c r="P15536" s="11"/>
    </row>
    <row r="15537" spans="8:16" x14ac:dyDescent="0.25">
      <c r="H15537" s="12"/>
      <c r="I15537" s="12"/>
      <c r="J15537" s="12"/>
      <c r="K15537" s="12"/>
      <c r="L15537" s="12"/>
      <c r="M15537" s="11"/>
      <c r="N15537" s="11"/>
      <c r="O15537" s="11"/>
      <c r="P15537" s="11"/>
    </row>
    <row r="15538" spans="8:16" x14ac:dyDescent="0.25">
      <c r="H15538" s="12"/>
      <c r="I15538" s="12"/>
      <c r="J15538" s="12"/>
      <c r="K15538" s="12"/>
      <c r="L15538" s="12"/>
      <c r="M15538" s="11"/>
      <c r="N15538" s="11"/>
      <c r="O15538" s="11"/>
      <c r="P15538" s="11"/>
    </row>
    <row r="15539" spans="8:16" x14ac:dyDescent="0.25">
      <c r="H15539" s="12"/>
      <c r="I15539" s="12"/>
      <c r="J15539" s="12"/>
      <c r="K15539" s="12"/>
      <c r="L15539" s="12"/>
      <c r="M15539" s="11"/>
      <c r="N15539" s="11"/>
      <c r="O15539" s="11"/>
      <c r="P15539" s="11"/>
    </row>
    <row r="15540" spans="8:16" x14ac:dyDescent="0.25">
      <c r="H15540" s="12"/>
      <c r="I15540" s="12"/>
      <c r="J15540" s="12"/>
      <c r="K15540" s="12"/>
      <c r="L15540" s="12"/>
      <c r="M15540" s="11"/>
      <c r="N15540" s="11"/>
      <c r="O15540" s="11"/>
      <c r="P15540" s="11"/>
    </row>
    <row r="15541" spans="8:16" x14ac:dyDescent="0.25">
      <c r="H15541" s="12"/>
      <c r="I15541" s="12"/>
      <c r="J15541" s="12"/>
      <c r="K15541" s="12"/>
      <c r="L15541" s="12"/>
      <c r="M15541" s="11"/>
      <c r="N15541" s="11"/>
      <c r="O15541" s="11"/>
      <c r="P15541" s="11"/>
    </row>
    <row r="15542" spans="8:16" x14ac:dyDescent="0.25">
      <c r="H15542" s="12"/>
      <c r="I15542" s="12"/>
      <c r="J15542" s="12"/>
      <c r="K15542" s="12"/>
      <c r="L15542" s="12"/>
      <c r="M15542" s="11"/>
      <c r="N15542" s="11"/>
      <c r="O15542" s="11"/>
      <c r="P15542" s="11"/>
    </row>
    <row r="15543" spans="8:16" x14ac:dyDescent="0.25">
      <c r="H15543" s="12"/>
      <c r="I15543" s="12"/>
      <c r="J15543" s="12"/>
      <c r="K15543" s="12"/>
      <c r="L15543" s="12"/>
      <c r="M15543" s="11"/>
      <c r="N15543" s="11"/>
      <c r="O15543" s="11"/>
      <c r="P15543" s="11"/>
    </row>
    <row r="15544" spans="8:16" x14ac:dyDescent="0.25">
      <c r="H15544" s="12"/>
      <c r="I15544" s="12"/>
      <c r="J15544" s="12"/>
      <c r="K15544" s="12"/>
      <c r="L15544" s="12"/>
      <c r="M15544" s="11"/>
      <c r="N15544" s="11"/>
      <c r="O15544" s="11"/>
      <c r="P15544" s="11"/>
    </row>
    <row r="15545" spans="8:16" x14ac:dyDescent="0.25">
      <c r="H15545" s="12"/>
      <c r="I15545" s="12"/>
      <c r="J15545" s="12"/>
      <c r="K15545" s="12"/>
      <c r="L15545" s="12"/>
      <c r="M15545" s="11"/>
      <c r="N15545" s="11"/>
      <c r="O15545" s="11"/>
      <c r="P15545" s="11"/>
    </row>
    <row r="15546" spans="8:16" x14ac:dyDescent="0.25">
      <c r="H15546" s="12"/>
      <c r="I15546" s="12"/>
      <c r="J15546" s="12"/>
      <c r="K15546" s="12"/>
      <c r="L15546" s="12"/>
      <c r="M15546" s="11"/>
      <c r="N15546" s="11"/>
      <c r="O15546" s="11"/>
      <c r="P15546" s="11"/>
    </row>
    <row r="15547" spans="8:16" x14ac:dyDescent="0.25">
      <c r="H15547" s="12"/>
      <c r="I15547" s="12"/>
      <c r="J15547" s="12"/>
      <c r="K15547" s="12"/>
      <c r="L15547" s="12"/>
      <c r="M15547" s="11"/>
      <c r="N15547" s="11"/>
      <c r="O15547" s="11"/>
      <c r="P15547" s="11"/>
    </row>
    <row r="15548" spans="8:16" x14ac:dyDescent="0.25">
      <c r="H15548" s="12"/>
      <c r="I15548" s="12"/>
      <c r="J15548" s="12"/>
      <c r="K15548" s="12"/>
      <c r="L15548" s="12"/>
      <c r="M15548" s="11"/>
      <c r="N15548" s="11"/>
      <c r="O15548" s="11"/>
      <c r="P15548" s="11"/>
    </row>
    <row r="15549" spans="8:16" x14ac:dyDescent="0.25">
      <c r="H15549" s="12"/>
      <c r="I15549" s="12"/>
      <c r="J15549" s="12"/>
      <c r="K15549" s="12"/>
      <c r="L15549" s="12"/>
      <c r="M15549" s="11"/>
      <c r="N15549" s="11"/>
      <c r="O15549" s="11"/>
      <c r="P15549" s="11"/>
    </row>
    <row r="15550" spans="8:16" x14ac:dyDescent="0.25">
      <c r="H15550" s="12"/>
      <c r="I15550" s="12"/>
      <c r="J15550" s="12"/>
      <c r="K15550" s="12"/>
      <c r="L15550" s="12"/>
      <c r="M15550" s="11"/>
      <c r="N15550" s="11"/>
      <c r="O15550" s="11"/>
      <c r="P15550" s="11"/>
    </row>
    <row r="15551" spans="8:16" x14ac:dyDescent="0.25">
      <c r="H15551" s="12"/>
      <c r="I15551" s="12"/>
      <c r="J15551" s="12"/>
      <c r="K15551" s="12"/>
      <c r="L15551" s="12"/>
      <c r="M15551" s="11"/>
      <c r="N15551" s="11"/>
      <c r="O15551" s="11"/>
      <c r="P15551" s="11"/>
    </row>
    <row r="15552" spans="8:16" x14ac:dyDescent="0.25">
      <c r="H15552" s="12"/>
      <c r="I15552" s="12"/>
      <c r="J15552" s="12"/>
      <c r="K15552" s="12"/>
      <c r="L15552" s="12"/>
      <c r="M15552" s="11"/>
      <c r="N15552" s="11"/>
      <c r="O15552" s="11"/>
      <c r="P15552" s="11"/>
    </row>
    <row r="15553" spans="8:16" x14ac:dyDescent="0.25">
      <c r="H15553" s="12"/>
      <c r="I15553" s="12"/>
      <c r="J15553" s="12"/>
      <c r="K15553" s="12"/>
      <c r="L15553" s="12"/>
      <c r="M15553" s="11"/>
      <c r="N15553" s="11"/>
      <c r="O15553" s="11"/>
      <c r="P15553" s="11"/>
    </row>
    <row r="15554" spans="8:16" x14ac:dyDescent="0.25">
      <c r="H15554" s="12"/>
      <c r="I15554" s="12"/>
      <c r="J15554" s="12"/>
      <c r="K15554" s="12"/>
      <c r="L15554" s="12"/>
      <c r="M15554" s="11"/>
      <c r="N15554" s="11"/>
      <c r="O15554" s="11"/>
      <c r="P15554" s="11"/>
    </row>
    <row r="15555" spans="8:16" x14ac:dyDescent="0.25">
      <c r="H15555" s="12"/>
      <c r="I15555" s="12"/>
      <c r="J15555" s="12"/>
      <c r="K15555" s="12"/>
      <c r="L15555" s="12"/>
      <c r="M15555" s="11"/>
      <c r="N15555" s="11"/>
      <c r="O15555" s="11"/>
      <c r="P15555" s="11"/>
    </row>
    <row r="15556" spans="8:16" x14ac:dyDescent="0.25">
      <c r="H15556" s="12"/>
      <c r="I15556" s="12"/>
      <c r="J15556" s="12"/>
      <c r="K15556" s="12"/>
      <c r="L15556" s="12"/>
      <c r="M15556" s="11"/>
      <c r="N15556" s="11"/>
      <c r="O15556" s="11"/>
      <c r="P15556" s="11"/>
    </row>
    <row r="15557" spans="8:16" x14ac:dyDescent="0.25">
      <c r="H15557" s="12"/>
      <c r="I15557" s="12"/>
      <c r="J15557" s="12"/>
      <c r="K15557" s="12"/>
      <c r="L15557" s="12"/>
      <c r="M15557" s="11"/>
      <c r="N15557" s="11"/>
      <c r="O15557" s="11"/>
      <c r="P15557" s="11"/>
    </row>
    <row r="15558" spans="8:16" x14ac:dyDescent="0.25">
      <c r="H15558" s="12"/>
      <c r="I15558" s="12"/>
      <c r="J15558" s="12"/>
      <c r="K15558" s="12"/>
      <c r="L15558" s="12"/>
      <c r="M15558" s="11"/>
      <c r="N15558" s="11"/>
      <c r="O15558" s="11"/>
      <c r="P15558" s="11"/>
    </row>
    <row r="15559" spans="8:16" x14ac:dyDescent="0.25">
      <c r="H15559" s="12"/>
      <c r="I15559" s="12"/>
      <c r="J15559" s="12"/>
      <c r="K15559" s="12"/>
      <c r="L15559" s="12"/>
      <c r="M15559" s="11"/>
      <c r="N15559" s="11"/>
      <c r="O15559" s="11"/>
      <c r="P15559" s="11"/>
    </row>
    <row r="15560" spans="8:16" x14ac:dyDescent="0.25">
      <c r="H15560" s="12"/>
      <c r="I15560" s="12"/>
      <c r="J15560" s="12"/>
      <c r="K15560" s="12"/>
      <c r="L15560" s="12"/>
      <c r="M15560" s="11"/>
      <c r="N15560" s="11"/>
      <c r="O15560" s="11"/>
      <c r="P15560" s="11"/>
    </row>
    <row r="15561" spans="8:16" x14ac:dyDescent="0.25">
      <c r="H15561" s="12"/>
      <c r="I15561" s="12"/>
      <c r="J15561" s="12"/>
      <c r="K15561" s="12"/>
      <c r="L15561" s="12"/>
      <c r="M15561" s="11"/>
      <c r="N15561" s="11"/>
      <c r="O15561" s="11"/>
      <c r="P15561" s="11"/>
    </row>
    <row r="15562" spans="8:16" x14ac:dyDescent="0.25">
      <c r="H15562" s="12"/>
      <c r="I15562" s="12"/>
      <c r="J15562" s="12"/>
      <c r="K15562" s="12"/>
      <c r="L15562" s="12"/>
      <c r="M15562" s="11"/>
      <c r="N15562" s="11"/>
      <c r="O15562" s="11"/>
      <c r="P15562" s="11"/>
    </row>
    <row r="15563" spans="8:16" x14ac:dyDescent="0.25">
      <c r="H15563" s="12"/>
      <c r="I15563" s="12"/>
      <c r="J15563" s="12"/>
      <c r="K15563" s="12"/>
      <c r="L15563" s="12"/>
      <c r="M15563" s="11"/>
      <c r="N15563" s="11"/>
      <c r="O15563" s="11"/>
      <c r="P15563" s="11"/>
    </row>
    <row r="15564" spans="8:16" x14ac:dyDescent="0.25">
      <c r="H15564" s="12"/>
      <c r="I15564" s="12"/>
      <c r="J15564" s="12"/>
      <c r="K15564" s="12"/>
      <c r="L15564" s="12"/>
      <c r="M15564" s="11"/>
      <c r="N15564" s="11"/>
      <c r="O15564" s="11"/>
      <c r="P15564" s="11"/>
    </row>
    <row r="15565" spans="8:16" x14ac:dyDescent="0.25">
      <c r="H15565" s="12"/>
      <c r="I15565" s="12"/>
      <c r="J15565" s="12"/>
      <c r="K15565" s="12"/>
      <c r="L15565" s="12"/>
      <c r="M15565" s="11"/>
      <c r="N15565" s="11"/>
      <c r="O15565" s="11"/>
      <c r="P15565" s="11"/>
    </row>
    <row r="15566" spans="8:16" x14ac:dyDescent="0.25">
      <c r="H15566" s="12"/>
      <c r="I15566" s="12"/>
      <c r="J15566" s="12"/>
      <c r="K15566" s="12"/>
      <c r="L15566" s="12"/>
      <c r="M15566" s="11"/>
      <c r="N15566" s="11"/>
      <c r="O15566" s="11"/>
      <c r="P15566" s="11"/>
    </row>
    <row r="15567" spans="8:16" x14ac:dyDescent="0.25">
      <c r="H15567" s="12"/>
      <c r="I15567" s="12"/>
      <c r="J15567" s="12"/>
      <c r="K15567" s="12"/>
      <c r="L15567" s="12"/>
      <c r="M15567" s="11"/>
      <c r="N15567" s="11"/>
      <c r="O15567" s="11"/>
      <c r="P15567" s="11"/>
    </row>
    <row r="15568" spans="8:16" x14ac:dyDescent="0.25">
      <c r="H15568" s="12"/>
      <c r="I15568" s="12"/>
      <c r="J15568" s="12"/>
      <c r="K15568" s="12"/>
      <c r="L15568" s="12"/>
      <c r="M15568" s="11"/>
      <c r="N15568" s="11"/>
      <c r="O15568" s="11"/>
      <c r="P15568" s="11"/>
    </row>
    <row r="15569" spans="8:16" x14ac:dyDescent="0.25">
      <c r="H15569" s="12"/>
      <c r="I15569" s="12"/>
      <c r="J15569" s="12"/>
      <c r="K15569" s="12"/>
      <c r="L15569" s="12"/>
      <c r="M15569" s="11"/>
      <c r="N15569" s="11"/>
      <c r="O15569" s="11"/>
      <c r="P15569" s="11"/>
    </row>
    <row r="15570" spans="8:16" x14ac:dyDescent="0.25">
      <c r="H15570" s="12"/>
      <c r="I15570" s="12"/>
      <c r="J15570" s="12"/>
      <c r="K15570" s="12"/>
      <c r="L15570" s="12"/>
      <c r="M15570" s="11"/>
      <c r="N15570" s="11"/>
      <c r="O15570" s="11"/>
      <c r="P15570" s="11"/>
    </row>
    <row r="15571" spans="8:16" x14ac:dyDescent="0.25">
      <c r="H15571" s="12"/>
      <c r="I15571" s="12"/>
      <c r="J15571" s="12"/>
      <c r="K15571" s="12"/>
      <c r="L15571" s="12"/>
      <c r="M15571" s="11"/>
      <c r="N15571" s="11"/>
      <c r="O15571" s="11"/>
      <c r="P15571" s="11"/>
    </row>
    <row r="15572" spans="8:16" x14ac:dyDescent="0.25">
      <c r="H15572" s="12"/>
      <c r="I15572" s="12"/>
      <c r="J15572" s="12"/>
      <c r="K15572" s="12"/>
      <c r="L15572" s="12"/>
      <c r="M15572" s="11"/>
      <c r="N15572" s="11"/>
      <c r="O15572" s="11"/>
      <c r="P15572" s="11"/>
    </row>
    <row r="15573" spans="8:16" x14ac:dyDescent="0.25">
      <c r="H15573" s="12"/>
      <c r="I15573" s="12"/>
      <c r="J15573" s="12"/>
      <c r="K15573" s="12"/>
      <c r="L15573" s="12"/>
      <c r="M15573" s="11"/>
      <c r="N15573" s="11"/>
      <c r="O15573" s="11"/>
      <c r="P15573" s="11"/>
    </row>
    <row r="15574" spans="8:16" x14ac:dyDescent="0.25">
      <c r="H15574" s="12"/>
      <c r="I15574" s="12"/>
      <c r="J15574" s="12"/>
      <c r="K15574" s="12"/>
      <c r="L15574" s="12"/>
      <c r="M15574" s="11"/>
      <c r="N15574" s="11"/>
      <c r="O15574" s="11"/>
      <c r="P15574" s="11"/>
    </row>
    <row r="15575" spans="8:16" x14ac:dyDescent="0.25">
      <c r="H15575" s="12"/>
      <c r="I15575" s="12"/>
      <c r="J15575" s="12"/>
      <c r="K15575" s="12"/>
      <c r="L15575" s="12"/>
      <c r="M15575" s="11"/>
      <c r="N15575" s="11"/>
      <c r="O15575" s="11"/>
      <c r="P15575" s="11"/>
    </row>
    <row r="15576" spans="8:16" x14ac:dyDescent="0.25">
      <c r="H15576" s="12"/>
      <c r="I15576" s="12"/>
      <c r="J15576" s="12"/>
      <c r="K15576" s="12"/>
      <c r="L15576" s="12"/>
      <c r="M15576" s="11"/>
      <c r="N15576" s="11"/>
      <c r="O15576" s="11"/>
      <c r="P15576" s="11"/>
    </row>
    <row r="15577" spans="8:16" x14ac:dyDescent="0.25">
      <c r="H15577" s="12"/>
      <c r="I15577" s="12"/>
      <c r="J15577" s="12"/>
      <c r="K15577" s="12"/>
      <c r="L15577" s="12"/>
      <c r="M15577" s="11"/>
      <c r="N15577" s="11"/>
      <c r="O15577" s="11"/>
      <c r="P15577" s="11"/>
    </row>
    <row r="15578" spans="8:16" x14ac:dyDescent="0.25">
      <c r="H15578" s="12"/>
      <c r="I15578" s="12"/>
      <c r="J15578" s="12"/>
      <c r="K15578" s="12"/>
      <c r="L15578" s="12"/>
      <c r="M15578" s="11"/>
      <c r="N15578" s="11"/>
      <c r="O15578" s="11"/>
      <c r="P15578" s="11"/>
    </row>
    <row r="15579" spans="8:16" x14ac:dyDescent="0.25">
      <c r="H15579" s="12"/>
      <c r="I15579" s="12"/>
      <c r="J15579" s="12"/>
      <c r="K15579" s="12"/>
      <c r="L15579" s="12"/>
      <c r="M15579" s="11"/>
      <c r="N15579" s="11"/>
      <c r="O15579" s="11"/>
      <c r="P15579" s="11"/>
    </row>
    <row r="15580" spans="8:16" x14ac:dyDescent="0.25">
      <c r="H15580" s="12"/>
      <c r="I15580" s="12"/>
      <c r="J15580" s="12"/>
      <c r="K15580" s="12"/>
      <c r="L15580" s="12"/>
      <c r="M15580" s="11"/>
      <c r="N15580" s="11"/>
      <c r="O15580" s="11"/>
      <c r="P15580" s="11"/>
    </row>
    <row r="15581" spans="8:16" x14ac:dyDescent="0.25">
      <c r="H15581" s="12"/>
      <c r="I15581" s="12"/>
      <c r="J15581" s="12"/>
      <c r="K15581" s="12"/>
      <c r="L15581" s="12"/>
      <c r="M15581" s="11"/>
      <c r="N15581" s="11"/>
      <c r="O15581" s="11"/>
      <c r="P15581" s="11"/>
    </row>
    <row r="15582" spans="8:16" x14ac:dyDescent="0.25">
      <c r="H15582" s="12"/>
      <c r="I15582" s="12"/>
      <c r="J15582" s="12"/>
      <c r="K15582" s="12"/>
      <c r="L15582" s="12"/>
      <c r="M15582" s="11"/>
      <c r="N15582" s="11"/>
      <c r="O15582" s="11"/>
      <c r="P15582" s="11"/>
    </row>
    <row r="15583" spans="8:16" x14ac:dyDescent="0.25">
      <c r="H15583" s="12"/>
      <c r="I15583" s="12"/>
      <c r="J15583" s="12"/>
      <c r="K15583" s="12"/>
      <c r="L15583" s="12"/>
      <c r="M15583" s="11"/>
      <c r="N15583" s="11"/>
      <c r="O15583" s="11"/>
      <c r="P15583" s="11"/>
    </row>
    <row r="15584" spans="8:16" x14ac:dyDescent="0.25">
      <c r="H15584" s="12"/>
      <c r="I15584" s="12"/>
      <c r="J15584" s="12"/>
      <c r="K15584" s="12"/>
      <c r="L15584" s="12"/>
      <c r="M15584" s="11"/>
      <c r="N15584" s="11"/>
      <c r="O15584" s="11"/>
      <c r="P15584" s="11"/>
    </row>
    <row r="15585" spans="8:16" x14ac:dyDescent="0.25">
      <c r="H15585" s="12"/>
      <c r="I15585" s="12"/>
      <c r="J15585" s="12"/>
      <c r="K15585" s="12"/>
      <c r="L15585" s="12"/>
      <c r="M15585" s="11"/>
      <c r="N15585" s="11"/>
      <c r="O15585" s="11"/>
      <c r="P15585" s="11"/>
    </row>
    <row r="15586" spans="8:16" x14ac:dyDescent="0.25">
      <c r="H15586" s="12"/>
      <c r="I15586" s="12"/>
      <c r="J15586" s="12"/>
      <c r="K15586" s="12"/>
      <c r="L15586" s="12"/>
      <c r="M15586" s="11"/>
      <c r="N15586" s="11"/>
      <c r="O15586" s="11"/>
      <c r="P15586" s="11"/>
    </row>
    <row r="15587" spans="8:16" x14ac:dyDescent="0.25">
      <c r="H15587" s="12"/>
      <c r="I15587" s="12"/>
      <c r="J15587" s="12"/>
      <c r="K15587" s="12"/>
      <c r="L15587" s="12"/>
      <c r="M15587" s="11"/>
      <c r="N15587" s="11"/>
      <c r="O15587" s="11"/>
      <c r="P15587" s="11"/>
    </row>
    <row r="15588" spans="8:16" x14ac:dyDescent="0.25">
      <c r="H15588" s="12"/>
      <c r="I15588" s="12"/>
      <c r="J15588" s="12"/>
      <c r="K15588" s="12"/>
      <c r="L15588" s="12"/>
      <c r="M15588" s="11"/>
      <c r="N15588" s="11"/>
      <c r="O15588" s="11"/>
      <c r="P15588" s="11"/>
    </row>
    <row r="15589" spans="8:16" x14ac:dyDescent="0.25">
      <c r="H15589" s="12"/>
      <c r="I15589" s="12"/>
      <c r="J15589" s="12"/>
      <c r="K15589" s="12"/>
      <c r="L15589" s="12"/>
      <c r="M15589" s="11"/>
      <c r="N15589" s="11"/>
      <c r="O15589" s="11"/>
      <c r="P15589" s="11"/>
    </row>
    <row r="15590" spans="8:16" x14ac:dyDescent="0.25">
      <c r="H15590" s="12"/>
      <c r="I15590" s="12"/>
      <c r="J15590" s="12"/>
      <c r="K15590" s="12"/>
      <c r="L15590" s="12"/>
      <c r="M15590" s="11"/>
      <c r="N15590" s="11"/>
      <c r="O15590" s="11"/>
      <c r="P15590" s="11"/>
    </row>
    <row r="15591" spans="8:16" x14ac:dyDescent="0.25">
      <c r="H15591" s="12"/>
      <c r="I15591" s="12"/>
      <c r="J15591" s="12"/>
      <c r="K15591" s="12"/>
      <c r="L15591" s="12"/>
      <c r="M15591" s="11"/>
      <c r="N15591" s="11"/>
      <c r="O15591" s="11"/>
      <c r="P15591" s="11"/>
    </row>
    <row r="15592" spans="8:16" x14ac:dyDescent="0.25">
      <c r="H15592" s="12"/>
      <c r="I15592" s="12"/>
      <c r="J15592" s="12"/>
      <c r="K15592" s="12"/>
      <c r="L15592" s="12"/>
      <c r="M15592" s="11"/>
      <c r="N15592" s="11"/>
      <c r="O15592" s="11"/>
      <c r="P15592" s="11"/>
    </row>
    <row r="15593" spans="8:16" x14ac:dyDescent="0.25">
      <c r="H15593" s="12"/>
      <c r="I15593" s="12"/>
      <c r="J15593" s="12"/>
      <c r="K15593" s="12"/>
      <c r="L15593" s="12"/>
      <c r="M15593" s="11"/>
      <c r="N15593" s="11"/>
      <c r="O15593" s="11"/>
      <c r="P15593" s="11"/>
    </row>
    <row r="15594" spans="8:16" x14ac:dyDescent="0.25">
      <c r="H15594" s="12"/>
      <c r="I15594" s="12"/>
      <c r="J15594" s="12"/>
      <c r="K15594" s="12"/>
      <c r="L15594" s="12"/>
      <c r="M15594" s="11"/>
      <c r="N15594" s="11"/>
      <c r="O15594" s="11"/>
      <c r="P15594" s="11"/>
    </row>
    <row r="15595" spans="8:16" x14ac:dyDescent="0.25">
      <c r="H15595" s="12"/>
      <c r="I15595" s="12"/>
      <c r="J15595" s="12"/>
      <c r="K15595" s="12"/>
      <c r="L15595" s="12"/>
      <c r="M15595" s="11"/>
      <c r="N15595" s="11"/>
      <c r="O15595" s="11"/>
      <c r="P15595" s="11"/>
    </row>
    <row r="15596" spans="8:16" x14ac:dyDescent="0.25">
      <c r="H15596" s="12"/>
      <c r="I15596" s="12"/>
      <c r="J15596" s="12"/>
      <c r="K15596" s="12"/>
      <c r="L15596" s="12"/>
      <c r="M15596" s="11"/>
      <c r="N15596" s="11"/>
      <c r="O15596" s="11"/>
      <c r="P15596" s="11"/>
    </row>
    <row r="15597" spans="8:16" x14ac:dyDescent="0.25">
      <c r="H15597" s="12"/>
      <c r="I15597" s="12"/>
      <c r="J15597" s="12"/>
      <c r="K15597" s="12"/>
      <c r="L15597" s="12"/>
      <c r="M15597" s="11"/>
      <c r="N15597" s="11"/>
      <c r="O15597" s="11"/>
      <c r="P15597" s="11"/>
    </row>
    <row r="15598" spans="8:16" x14ac:dyDescent="0.25">
      <c r="H15598" s="12"/>
      <c r="I15598" s="12"/>
      <c r="J15598" s="12"/>
      <c r="K15598" s="12"/>
      <c r="L15598" s="12"/>
      <c r="M15598" s="11"/>
      <c r="N15598" s="11"/>
      <c r="O15598" s="11"/>
      <c r="P15598" s="11"/>
    </row>
    <row r="15599" spans="8:16" x14ac:dyDescent="0.25">
      <c r="H15599" s="12"/>
      <c r="I15599" s="12"/>
      <c r="J15599" s="12"/>
      <c r="K15599" s="12"/>
      <c r="L15599" s="12"/>
      <c r="M15599" s="11"/>
      <c r="N15599" s="11"/>
      <c r="O15599" s="11"/>
      <c r="P15599" s="11"/>
    </row>
    <row r="15600" spans="8:16" x14ac:dyDescent="0.25">
      <c r="H15600" s="12"/>
      <c r="I15600" s="12"/>
      <c r="J15600" s="12"/>
      <c r="K15600" s="12"/>
      <c r="L15600" s="12"/>
      <c r="M15600" s="11"/>
      <c r="N15600" s="11"/>
      <c r="O15600" s="11"/>
      <c r="P15600" s="11"/>
    </row>
    <row r="15601" spans="8:16" x14ac:dyDescent="0.25">
      <c r="H15601" s="12"/>
      <c r="I15601" s="12"/>
      <c r="J15601" s="12"/>
      <c r="K15601" s="12"/>
      <c r="L15601" s="12"/>
      <c r="M15601" s="11"/>
      <c r="N15601" s="11"/>
      <c r="O15601" s="11"/>
      <c r="P15601" s="11"/>
    </row>
    <row r="15602" spans="8:16" x14ac:dyDescent="0.25">
      <c r="H15602" s="12"/>
      <c r="I15602" s="12"/>
      <c r="J15602" s="12"/>
      <c r="K15602" s="12"/>
      <c r="L15602" s="12"/>
      <c r="M15602" s="11"/>
      <c r="N15602" s="11"/>
      <c r="O15602" s="11"/>
      <c r="P15602" s="11"/>
    </row>
    <row r="15603" spans="8:16" x14ac:dyDescent="0.25">
      <c r="H15603" s="12"/>
      <c r="I15603" s="12"/>
      <c r="J15603" s="12"/>
      <c r="K15603" s="12"/>
      <c r="L15603" s="12"/>
      <c r="M15603" s="11"/>
      <c r="N15603" s="11"/>
      <c r="O15603" s="11"/>
      <c r="P15603" s="11"/>
    </row>
    <row r="15604" spans="8:16" x14ac:dyDescent="0.25">
      <c r="H15604" s="12"/>
      <c r="I15604" s="12"/>
      <c r="J15604" s="12"/>
      <c r="K15604" s="12"/>
      <c r="L15604" s="12"/>
      <c r="M15604" s="11"/>
      <c r="N15604" s="11"/>
      <c r="O15604" s="11"/>
      <c r="P15604" s="11"/>
    </row>
    <row r="15605" spans="8:16" x14ac:dyDescent="0.25">
      <c r="H15605" s="12"/>
      <c r="I15605" s="12"/>
      <c r="J15605" s="12"/>
      <c r="K15605" s="12"/>
      <c r="L15605" s="12"/>
      <c r="M15605" s="11"/>
      <c r="N15605" s="11"/>
      <c r="O15605" s="11"/>
      <c r="P15605" s="11"/>
    </row>
    <row r="15606" spans="8:16" x14ac:dyDescent="0.25">
      <c r="H15606" s="12"/>
      <c r="I15606" s="12"/>
      <c r="J15606" s="12"/>
      <c r="K15606" s="12"/>
      <c r="L15606" s="12"/>
      <c r="M15606" s="11"/>
      <c r="N15606" s="11"/>
      <c r="O15606" s="11"/>
      <c r="P15606" s="11"/>
    </row>
    <row r="15607" spans="8:16" x14ac:dyDescent="0.25">
      <c r="H15607" s="12"/>
      <c r="I15607" s="12"/>
      <c r="J15607" s="12"/>
      <c r="K15607" s="12"/>
      <c r="L15607" s="12"/>
      <c r="M15607" s="11"/>
      <c r="N15607" s="11"/>
      <c r="O15607" s="11"/>
      <c r="P15607" s="11"/>
    </row>
    <row r="15608" spans="8:16" x14ac:dyDescent="0.25">
      <c r="H15608" s="12"/>
      <c r="I15608" s="12"/>
      <c r="J15608" s="12"/>
      <c r="K15608" s="12"/>
      <c r="L15608" s="12"/>
      <c r="M15608" s="11"/>
      <c r="N15608" s="11"/>
      <c r="O15608" s="11"/>
      <c r="P15608" s="11"/>
    </row>
    <row r="15609" spans="8:16" x14ac:dyDescent="0.25">
      <c r="H15609" s="12"/>
      <c r="I15609" s="12"/>
      <c r="J15609" s="12"/>
      <c r="K15609" s="12"/>
      <c r="L15609" s="12"/>
      <c r="M15609" s="11"/>
      <c r="N15609" s="11"/>
      <c r="O15609" s="11"/>
      <c r="P15609" s="11"/>
    </row>
    <row r="15610" spans="8:16" x14ac:dyDescent="0.25">
      <c r="H15610" s="12"/>
      <c r="I15610" s="12"/>
      <c r="J15610" s="12"/>
      <c r="K15610" s="12"/>
      <c r="L15610" s="12"/>
      <c r="M15610" s="11"/>
      <c r="N15610" s="11"/>
      <c r="O15610" s="11"/>
      <c r="P15610" s="11"/>
    </row>
    <row r="15611" spans="8:16" x14ac:dyDescent="0.25">
      <c r="H15611" s="12"/>
      <c r="I15611" s="12"/>
      <c r="J15611" s="12"/>
      <c r="K15611" s="12"/>
      <c r="L15611" s="12"/>
      <c r="M15611" s="11"/>
      <c r="N15611" s="11"/>
      <c r="O15611" s="11"/>
      <c r="P15611" s="11"/>
    </row>
    <row r="15612" spans="8:16" x14ac:dyDescent="0.25">
      <c r="H15612" s="12"/>
      <c r="I15612" s="12"/>
      <c r="J15612" s="12"/>
      <c r="K15612" s="12"/>
      <c r="L15612" s="12"/>
      <c r="M15612" s="11"/>
      <c r="N15612" s="11"/>
      <c r="O15612" s="11"/>
      <c r="P15612" s="11"/>
    </row>
    <row r="15613" spans="8:16" x14ac:dyDescent="0.25">
      <c r="H15613" s="12"/>
      <c r="I15613" s="12"/>
      <c r="J15613" s="12"/>
      <c r="K15613" s="12"/>
      <c r="L15613" s="12"/>
      <c r="M15613" s="11"/>
      <c r="N15613" s="11"/>
      <c r="O15613" s="11"/>
      <c r="P15613" s="11"/>
    </row>
    <row r="15614" spans="8:16" x14ac:dyDescent="0.25">
      <c r="H15614" s="12"/>
      <c r="I15614" s="12"/>
      <c r="J15614" s="12"/>
      <c r="K15614" s="12"/>
      <c r="L15614" s="12"/>
      <c r="M15614" s="11"/>
      <c r="N15614" s="11"/>
      <c r="O15614" s="11"/>
      <c r="P15614" s="11"/>
    </row>
    <row r="15615" spans="8:16" x14ac:dyDescent="0.25">
      <c r="H15615" s="12"/>
      <c r="I15615" s="12"/>
      <c r="J15615" s="12"/>
      <c r="K15615" s="12"/>
      <c r="L15615" s="12"/>
      <c r="M15615" s="11"/>
      <c r="N15615" s="11"/>
      <c r="O15615" s="11"/>
      <c r="P15615" s="11"/>
    </row>
    <row r="15616" spans="8:16" x14ac:dyDescent="0.25">
      <c r="H15616" s="12"/>
      <c r="I15616" s="12"/>
      <c r="J15616" s="12"/>
      <c r="K15616" s="12"/>
      <c r="L15616" s="12"/>
      <c r="M15616" s="11"/>
      <c r="N15616" s="11"/>
      <c r="O15616" s="11"/>
      <c r="P15616" s="11"/>
    </row>
    <row r="15617" spans="8:16" x14ac:dyDescent="0.25">
      <c r="H15617" s="12"/>
      <c r="I15617" s="12"/>
      <c r="J15617" s="12"/>
      <c r="K15617" s="12"/>
      <c r="L15617" s="12"/>
      <c r="M15617" s="11"/>
      <c r="N15617" s="11"/>
      <c r="O15617" s="11"/>
      <c r="P15617" s="11"/>
    </row>
    <row r="15618" spans="8:16" x14ac:dyDescent="0.25">
      <c r="H15618" s="12"/>
      <c r="I15618" s="12"/>
      <c r="J15618" s="12"/>
      <c r="K15618" s="12"/>
      <c r="L15618" s="12"/>
      <c r="M15618" s="11"/>
      <c r="N15618" s="11"/>
      <c r="O15618" s="11"/>
      <c r="P15618" s="11"/>
    </row>
    <row r="15619" spans="8:16" x14ac:dyDescent="0.25">
      <c r="H15619" s="12"/>
      <c r="I15619" s="12"/>
      <c r="J15619" s="12"/>
      <c r="K15619" s="12"/>
      <c r="L15619" s="12"/>
      <c r="M15619" s="11"/>
      <c r="N15619" s="11"/>
      <c r="O15619" s="11"/>
      <c r="P15619" s="11"/>
    </row>
    <row r="15620" spans="8:16" x14ac:dyDescent="0.25">
      <c r="H15620" s="12"/>
      <c r="I15620" s="12"/>
      <c r="J15620" s="12"/>
      <c r="K15620" s="12"/>
      <c r="L15620" s="12"/>
      <c r="M15620" s="11"/>
      <c r="N15620" s="11"/>
      <c r="O15620" s="11"/>
      <c r="P15620" s="11"/>
    </row>
    <row r="15621" spans="8:16" x14ac:dyDescent="0.25">
      <c r="H15621" s="12"/>
      <c r="I15621" s="12"/>
      <c r="J15621" s="12"/>
      <c r="K15621" s="12"/>
      <c r="L15621" s="12"/>
      <c r="M15621" s="11"/>
      <c r="N15621" s="11"/>
      <c r="O15621" s="11"/>
      <c r="P15621" s="11"/>
    </row>
    <row r="15622" spans="8:16" x14ac:dyDescent="0.25">
      <c r="H15622" s="12"/>
      <c r="I15622" s="12"/>
      <c r="J15622" s="12"/>
      <c r="K15622" s="12"/>
      <c r="L15622" s="12"/>
      <c r="M15622" s="11"/>
      <c r="N15622" s="11"/>
      <c r="O15622" s="11"/>
      <c r="P15622" s="11"/>
    </row>
    <row r="15623" spans="8:16" x14ac:dyDescent="0.25">
      <c r="H15623" s="12"/>
      <c r="I15623" s="12"/>
      <c r="J15623" s="12"/>
      <c r="K15623" s="12"/>
      <c r="L15623" s="12"/>
      <c r="M15623" s="11"/>
      <c r="N15623" s="11"/>
      <c r="O15623" s="11"/>
      <c r="P15623" s="11"/>
    </row>
    <row r="15624" spans="8:16" x14ac:dyDescent="0.25">
      <c r="H15624" s="12"/>
      <c r="I15624" s="12"/>
      <c r="J15624" s="12"/>
      <c r="K15624" s="12"/>
      <c r="L15624" s="12"/>
      <c r="M15624" s="11"/>
      <c r="N15624" s="11"/>
      <c r="O15624" s="11"/>
      <c r="P15624" s="11"/>
    </row>
    <row r="15625" spans="8:16" x14ac:dyDescent="0.25">
      <c r="H15625" s="12"/>
      <c r="I15625" s="12"/>
      <c r="J15625" s="12"/>
      <c r="K15625" s="12"/>
      <c r="L15625" s="12"/>
      <c r="M15625" s="11"/>
      <c r="N15625" s="11"/>
      <c r="O15625" s="11"/>
      <c r="P15625" s="11"/>
    </row>
    <row r="15626" spans="8:16" x14ac:dyDescent="0.25">
      <c r="H15626" s="12"/>
      <c r="I15626" s="12"/>
      <c r="J15626" s="12"/>
      <c r="K15626" s="12"/>
      <c r="L15626" s="12"/>
      <c r="M15626" s="11"/>
      <c r="N15626" s="11"/>
      <c r="O15626" s="11"/>
      <c r="P15626" s="11"/>
    </row>
    <row r="15627" spans="8:16" x14ac:dyDescent="0.25">
      <c r="H15627" s="12"/>
      <c r="I15627" s="12"/>
      <c r="J15627" s="12"/>
      <c r="K15627" s="12"/>
      <c r="L15627" s="12"/>
      <c r="M15627" s="11"/>
      <c r="N15627" s="11"/>
      <c r="O15627" s="11"/>
      <c r="P15627" s="11"/>
    </row>
    <row r="15628" spans="8:16" x14ac:dyDescent="0.25">
      <c r="H15628" s="12"/>
      <c r="I15628" s="12"/>
      <c r="J15628" s="12"/>
      <c r="K15628" s="12"/>
      <c r="L15628" s="12"/>
      <c r="M15628" s="11"/>
      <c r="N15628" s="11"/>
      <c r="O15628" s="11"/>
      <c r="P15628" s="11"/>
    </row>
    <row r="15629" spans="8:16" x14ac:dyDescent="0.25">
      <c r="H15629" s="12"/>
      <c r="I15629" s="12"/>
      <c r="J15629" s="12"/>
      <c r="K15629" s="12"/>
      <c r="L15629" s="12"/>
      <c r="M15629" s="11"/>
      <c r="N15629" s="11"/>
      <c r="O15629" s="11"/>
      <c r="P15629" s="11"/>
    </row>
    <row r="15630" spans="8:16" x14ac:dyDescent="0.25">
      <c r="H15630" s="12"/>
      <c r="I15630" s="12"/>
      <c r="J15630" s="12"/>
      <c r="K15630" s="12"/>
      <c r="L15630" s="12"/>
      <c r="M15630" s="11"/>
      <c r="N15630" s="11"/>
      <c r="O15630" s="11"/>
      <c r="P15630" s="11"/>
    </row>
    <row r="15631" spans="8:16" x14ac:dyDescent="0.25">
      <c r="H15631" s="12"/>
      <c r="I15631" s="12"/>
      <c r="J15631" s="12"/>
      <c r="K15631" s="12"/>
      <c r="L15631" s="12"/>
      <c r="M15631" s="11"/>
      <c r="N15631" s="11"/>
      <c r="O15631" s="11"/>
      <c r="P15631" s="11"/>
    </row>
    <row r="15632" spans="8:16" x14ac:dyDescent="0.25">
      <c r="H15632" s="12"/>
      <c r="I15632" s="12"/>
      <c r="J15632" s="12"/>
      <c r="K15632" s="12"/>
      <c r="L15632" s="12"/>
      <c r="M15632" s="11"/>
      <c r="N15632" s="11"/>
      <c r="O15632" s="11"/>
      <c r="P15632" s="11"/>
    </row>
    <row r="15633" spans="8:16" x14ac:dyDescent="0.25">
      <c r="H15633" s="12"/>
      <c r="I15633" s="12"/>
      <c r="J15633" s="12"/>
      <c r="K15633" s="12"/>
      <c r="L15633" s="12"/>
      <c r="M15633" s="11"/>
      <c r="N15633" s="11"/>
      <c r="O15633" s="11"/>
      <c r="P15633" s="11"/>
    </row>
    <row r="15634" spans="8:16" x14ac:dyDescent="0.25">
      <c r="H15634" s="12"/>
      <c r="I15634" s="12"/>
      <c r="J15634" s="12"/>
      <c r="K15634" s="12"/>
      <c r="L15634" s="12"/>
      <c r="M15634" s="11"/>
      <c r="N15634" s="11"/>
      <c r="O15634" s="11"/>
      <c r="P15634" s="11"/>
    </row>
    <row r="15635" spans="8:16" x14ac:dyDescent="0.25">
      <c r="H15635" s="12"/>
      <c r="I15635" s="12"/>
      <c r="J15635" s="12"/>
      <c r="K15635" s="12"/>
      <c r="L15635" s="12"/>
      <c r="M15635" s="11"/>
      <c r="N15635" s="11"/>
      <c r="O15635" s="11"/>
      <c r="P15635" s="11"/>
    </row>
    <row r="15636" spans="8:16" x14ac:dyDescent="0.25">
      <c r="H15636" s="12"/>
      <c r="I15636" s="12"/>
      <c r="J15636" s="12"/>
      <c r="K15636" s="12"/>
      <c r="L15636" s="12"/>
      <c r="M15636" s="11"/>
      <c r="N15636" s="11"/>
      <c r="O15636" s="11"/>
      <c r="P15636" s="11"/>
    </row>
    <row r="15637" spans="8:16" x14ac:dyDescent="0.25">
      <c r="H15637" s="12"/>
      <c r="I15637" s="12"/>
      <c r="J15637" s="12"/>
      <c r="K15637" s="12"/>
      <c r="L15637" s="12"/>
      <c r="M15637" s="11"/>
      <c r="N15637" s="11"/>
      <c r="O15637" s="11"/>
      <c r="P15637" s="11"/>
    </row>
    <row r="15638" spans="8:16" x14ac:dyDescent="0.25">
      <c r="H15638" s="12"/>
      <c r="I15638" s="12"/>
      <c r="J15638" s="12"/>
      <c r="K15638" s="12"/>
      <c r="L15638" s="12"/>
      <c r="M15638" s="11"/>
      <c r="N15638" s="11"/>
      <c r="O15638" s="11"/>
      <c r="P15638" s="11"/>
    </row>
    <row r="15639" spans="8:16" x14ac:dyDescent="0.25">
      <c r="H15639" s="12"/>
      <c r="I15639" s="12"/>
      <c r="J15639" s="12"/>
      <c r="K15639" s="12"/>
      <c r="L15639" s="12"/>
      <c r="M15639" s="11"/>
      <c r="N15639" s="11"/>
      <c r="O15639" s="11"/>
      <c r="P15639" s="11"/>
    </row>
    <row r="15640" spans="8:16" x14ac:dyDescent="0.25">
      <c r="H15640" s="12"/>
      <c r="I15640" s="12"/>
      <c r="J15640" s="12"/>
      <c r="K15640" s="12"/>
      <c r="L15640" s="12"/>
      <c r="M15640" s="11"/>
      <c r="N15640" s="11"/>
      <c r="O15640" s="11"/>
      <c r="P15640" s="11"/>
    </row>
    <row r="15641" spans="8:16" x14ac:dyDescent="0.25">
      <c r="H15641" s="12"/>
      <c r="I15641" s="12"/>
      <c r="J15641" s="12"/>
      <c r="K15641" s="12"/>
      <c r="L15641" s="12"/>
      <c r="M15641" s="11"/>
      <c r="N15641" s="11"/>
      <c r="O15641" s="11"/>
      <c r="P15641" s="11"/>
    </row>
    <row r="15642" spans="8:16" x14ac:dyDescent="0.25">
      <c r="H15642" s="12"/>
      <c r="I15642" s="12"/>
      <c r="J15642" s="12"/>
      <c r="K15642" s="12"/>
      <c r="L15642" s="12"/>
      <c r="M15642" s="11"/>
      <c r="N15642" s="11"/>
      <c r="O15642" s="11"/>
      <c r="P15642" s="11"/>
    </row>
    <row r="15643" spans="8:16" x14ac:dyDescent="0.25">
      <c r="H15643" s="12"/>
      <c r="I15643" s="12"/>
      <c r="J15643" s="12"/>
      <c r="K15643" s="12"/>
      <c r="L15643" s="12"/>
      <c r="M15643" s="11"/>
      <c r="N15643" s="11"/>
      <c r="O15643" s="11"/>
      <c r="P15643" s="11"/>
    </row>
    <row r="15644" spans="8:16" x14ac:dyDescent="0.25">
      <c r="H15644" s="12"/>
      <c r="I15644" s="12"/>
      <c r="J15644" s="12"/>
      <c r="K15644" s="12"/>
      <c r="L15644" s="12"/>
      <c r="M15644" s="11"/>
      <c r="N15644" s="11"/>
      <c r="O15644" s="11"/>
      <c r="P15644" s="11"/>
    </row>
    <row r="15645" spans="8:16" x14ac:dyDescent="0.25">
      <c r="H15645" s="12"/>
      <c r="I15645" s="12"/>
      <c r="J15645" s="12"/>
      <c r="K15645" s="12"/>
      <c r="L15645" s="12"/>
      <c r="M15645" s="11"/>
      <c r="N15645" s="11"/>
      <c r="O15645" s="11"/>
      <c r="P15645" s="11"/>
    </row>
    <row r="15646" spans="8:16" x14ac:dyDescent="0.25">
      <c r="H15646" s="12"/>
      <c r="I15646" s="12"/>
      <c r="J15646" s="12"/>
      <c r="K15646" s="12"/>
      <c r="L15646" s="12"/>
      <c r="M15646" s="11"/>
      <c r="N15646" s="11"/>
      <c r="O15646" s="11"/>
      <c r="P15646" s="11"/>
    </row>
    <row r="15647" spans="8:16" x14ac:dyDescent="0.25">
      <c r="H15647" s="12"/>
      <c r="I15647" s="12"/>
      <c r="J15647" s="12"/>
      <c r="K15647" s="12"/>
      <c r="L15647" s="12"/>
      <c r="M15647" s="11"/>
      <c r="N15647" s="11"/>
      <c r="O15647" s="11"/>
      <c r="P15647" s="11"/>
    </row>
    <row r="15648" spans="8:16" x14ac:dyDescent="0.25">
      <c r="H15648" s="12"/>
      <c r="I15648" s="12"/>
      <c r="J15648" s="12"/>
      <c r="K15648" s="12"/>
      <c r="L15648" s="12"/>
      <c r="M15648" s="11"/>
      <c r="N15648" s="11"/>
      <c r="O15648" s="11"/>
      <c r="P15648" s="11"/>
    </row>
    <row r="15649" spans="8:16" x14ac:dyDescent="0.25">
      <c r="H15649" s="12"/>
      <c r="I15649" s="12"/>
      <c r="J15649" s="12"/>
      <c r="K15649" s="12"/>
      <c r="L15649" s="12"/>
      <c r="M15649" s="11"/>
      <c r="N15649" s="11"/>
      <c r="O15649" s="11"/>
      <c r="P15649" s="11"/>
    </row>
    <row r="15650" spans="8:16" x14ac:dyDescent="0.25">
      <c r="H15650" s="12"/>
      <c r="I15650" s="12"/>
      <c r="J15650" s="12"/>
      <c r="K15650" s="12"/>
      <c r="L15650" s="12"/>
      <c r="M15650" s="11"/>
      <c r="N15650" s="11"/>
      <c r="O15650" s="11"/>
      <c r="P15650" s="11"/>
    </row>
    <row r="15651" spans="8:16" x14ac:dyDescent="0.25">
      <c r="H15651" s="12"/>
      <c r="I15651" s="12"/>
      <c r="J15651" s="12"/>
      <c r="K15651" s="12"/>
      <c r="L15651" s="12"/>
      <c r="M15651" s="11"/>
      <c r="N15651" s="11"/>
      <c r="O15651" s="11"/>
      <c r="P15651" s="11"/>
    </row>
    <row r="15652" spans="8:16" x14ac:dyDescent="0.25">
      <c r="H15652" s="12"/>
      <c r="I15652" s="12"/>
      <c r="J15652" s="12"/>
      <c r="K15652" s="12"/>
      <c r="L15652" s="12"/>
      <c r="M15652" s="11"/>
      <c r="N15652" s="11"/>
      <c r="O15652" s="11"/>
      <c r="P15652" s="11"/>
    </row>
    <row r="15653" spans="8:16" x14ac:dyDescent="0.25">
      <c r="H15653" s="12"/>
      <c r="I15653" s="12"/>
      <c r="J15653" s="12"/>
      <c r="K15653" s="12"/>
      <c r="L15653" s="12"/>
      <c r="M15653" s="11"/>
      <c r="N15653" s="11"/>
      <c r="O15653" s="11"/>
      <c r="P15653" s="11"/>
    </row>
    <row r="15654" spans="8:16" x14ac:dyDescent="0.25">
      <c r="H15654" s="12"/>
      <c r="I15654" s="12"/>
      <c r="J15654" s="12"/>
      <c r="K15654" s="12"/>
      <c r="L15654" s="12"/>
      <c r="M15654" s="11"/>
      <c r="N15654" s="11"/>
      <c r="O15654" s="11"/>
      <c r="P15654" s="11"/>
    </row>
    <row r="15655" spans="8:16" x14ac:dyDescent="0.25">
      <c r="H15655" s="12"/>
      <c r="I15655" s="12"/>
      <c r="J15655" s="12"/>
      <c r="K15655" s="12"/>
      <c r="L15655" s="12"/>
      <c r="M15655" s="11"/>
      <c r="N15655" s="11"/>
      <c r="O15655" s="11"/>
      <c r="P15655" s="11"/>
    </row>
    <row r="15656" spans="8:16" x14ac:dyDescent="0.25">
      <c r="H15656" s="12"/>
      <c r="I15656" s="12"/>
      <c r="J15656" s="12"/>
      <c r="K15656" s="12"/>
      <c r="L15656" s="12"/>
      <c r="M15656" s="11"/>
      <c r="N15656" s="11"/>
      <c r="O15656" s="11"/>
      <c r="P15656" s="11"/>
    </row>
    <row r="15657" spans="8:16" x14ac:dyDescent="0.25">
      <c r="H15657" s="12"/>
      <c r="I15657" s="12"/>
      <c r="J15657" s="12"/>
      <c r="K15657" s="12"/>
      <c r="L15657" s="12"/>
      <c r="M15657" s="11"/>
      <c r="N15657" s="11"/>
      <c r="O15657" s="11"/>
      <c r="P15657" s="11"/>
    </row>
    <row r="15658" spans="8:16" x14ac:dyDescent="0.25">
      <c r="H15658" s="12"/>
      <c r="I15658" s="12"/>
      <c r="J15658" s="12"/>
      <c r="K15658" s="12"/>
      <c r="L15658" s="12"/>
      <c r="M15658" s="11"/>
      <c r="N15658" s="11"/>
      <c r="O15658" s="11"/>
      <c r="P15658" s="11"/>
    </row>
    <row r="15659" spans="8:16" x14ac:dyDescent="0.25">
      <c r="H15659" s="12"/>
      <c r="I15659" s="12"/>
      <c r="J15659" s="12"/>
      <c r="K15659" s="12"/>
      <c r="L15659" s="12"/>
      <c r="M15659" s="11"/>
      <c r="N15659" s="11"/>
      <c r="O15659" s="11"/>
      <c r="P15659" s="11"/>
    </row>
    <row r="15660" spans="8:16" x14ac:dyDescent="0.25">
      <c r="H15660" s="12"/>
      <c r="I15660" s="12"/>
      <c r="J15660" s="12"/>
      <c r="K15660" s="12"/>
      <c r="L15660" s="12"/>
      <c r="M15660" s="11"/>
      <c r="N15660" s="11"/>
      <c r="O15660" s="11"/>
      <c r="P15660" s="11"/>
    </row>
    <row r="15661" spans="8:16" x14ac:dyDescent="0.25">
      <c r="H15661" s="12"/>
      <c r="I15661" s="12"/>
      <c r="J15661" s="12"/>
      <c r="K15661" s="12"/>
      <c r="L15661" s="12"/>
      <c r="M15661" s="11"/>
      <c r="N15661" s="11"/>
      <c r="O15661" s="11"/>
      <c r="P15661" s="11"/>
    </row>
    <row r="15662" spans="8:16" x14ac:dyDescent="0.25">
      <c r="H15662" s="12"/>
      <c r="I15662" s="12"/>
      <c r="J15662" s="12"/>
      <c r="K15662" s="12"/>
      <c r="L15662" s="12"/>
      <c r="M15662" s="11"/>
      <c r="N15662" s="11"/>
      <c r="O15662" s="11"/>
      <c r="P15662" s="11"/>
    </row>
    <row r="15663" spans="8:16" x14ac:dyDescent="0.25">
      <c r="H15663" s="12"/>
      <c r="I15663" s="12"/>
      <c r="J15663" s="12"/>
      <c r="K15663" s="12"/>
      <c r="L15663" s="12"/>
      <c r="M15663" s="11"/>
      <c r="N15663" s="11"/>
      <c r="O15663" s="11"/>
      <c r="P15663" s="11"/>
    </row>
    <row r="15664" spans="8:16" x14ac:dyDescent="0.25">
      <c r="H15664" s="12"/>
      <c r="I15664" s="12"/>
      <c r="J15664" s="12"/>
      <c r="K15664" s="12"/>
      <c r="L15664" s="12"/>
      <c r="M15664" s="11"/>
      <c r="N15664" s="11"/>
      <c r="O15664" s="11"/>
      <c r="P15664" s="11"/>
    </row>
    <row r="15665" spans="8:16" x14ac:dyDescent="0.25">
      <c r="H15665" s="12"/>
      <c r="I15665" s="12"/>
      <c r="J15665" s="12"/>
      <c r="K15665" s="12"/>
      <c r="L15665" s="12"/>
      <c r="M15665" s="11"/>
      <c r="N15665" s="11"/>
      <c r="O15665" s="11"/>
      <c r="P15665" s="11"/>
    </row>
    <row r="15666" spans="8:16" x14ac:dyDescent="0.25">
      <c r="H15666" s="12"/>
      <c r="I15666" s="12"/>
      <c r="J15666" s="12"/>
      <c r="K15666" s="12"/>
      <c r="L15666" s="12"/>
      <c r="M15666" s="11"/>
      <c r="N15666" s="11"/>
      <c r="O15666" s="11"/>
      <c r="P15666" s="11"/>
    </row>
    <row r="15667" spans="8:16" x14ac:dyDescent="0.25">
      <c r="H15667" s="12"/>
      <c r="I15667" s="12"/>
      <c r="J15667" s="12"/>
      <c r="K15667" s="12"/>
      <c r="L15667" s="12"/>
      <c r="M15667" s="11"/>
      <c r="N15667" s="11"/>
      <c r="O15667" s="11"/>
      <c r="P15667" s="11"/>
    </row>
    <row r="15668" spans="8:16" x14ac:dyDescent="0.25">
      <c r="H15668" s="12"/>
      <c r="I15668" s="12"/>
      <c r="J15668" s="12"/>
      <c r="K15668" s="12"/>
      <c r="L15668" s="12"/>
      <c r="M15668" s="11"/>
      <c r="N15668" s="11"/>
      <c r="O15668" s="11"/>
      <c r="P15668" s="11"/>
    </row>
    <row r="15669" spans="8:16" x14ac:dyDescent="0.25">
      <c r="H15669" s="12"/>
      <c r="I15669" s="12"/>
      <c r="J15669" s="12"/>
      <c r="K15669" s="12"/>
      <c r="L15669" s="12"/>
      <c r="M15669" s="11"/>
      <c r="N15669" s="11"/>
      <c r="O15669" s="11"/>
      <c r="P15669" s="11"/>
    </row>
    <row r="15670" spans="8:16" x14ac:dyDescent="0.25">
      <c r="H15670" s="12"/>
      <c r="I15670" s="12"/>
      <c r="J15670" s="12"/>
      <c r="K15670" s="12"/>
      <c r="L15670" s="12"/>
      <c r="M15670" s="11"/>
      <c r="N15670" s="11"/>
      <c r="O15670" s="11"/>
      <c r="P15670" s="11"/>
    </row>
    <row r="15671" spans="8:16" x14ac:dyDescent="0.25">
      <c r="H15671" s="12"/>
      <c r="I15671" s="12"/>
      <c r="J15671" s="12"/>
      <c r="K15671" s="12"/>
      <c r="L15671" s="12"/>
      <c r="M15671" s="11"/>
      <c r="N15671" s="11"/>
      <c r="O15671" s="11"/>
      <c r="P15671" s="11"/>
    </row>
    <row r="15672" spans="8:16" x14ac:dyDescent="0.25">
      <c r="H15672" s="12"/>
      <c r="I15672" s="12"/>
      <c r="J15672" s="12"/>
      <c r="K15672" s="12"/>
      <c r="L15672" s="12"/>
      <c r="M15672" s="11"/>
      <c r="N15672" s="11"/>
      <c r="O15672" s="11"/>
      <c r="P15672" s="11"/>
    </row>
    <row r="15673" spans="8:16" x14ac:dyDescent="0.25">
      <c r="H15673" s="12"/>
      <c r="I15673" s="12"/>
      <c r="J15673" s="12"/>
      <c r="K15673" s="12"/>
      <c r="L15673" s="12"/>
      <c r="M15673" s="11"/>
      <c r="N15673" s="11"/>
      <c r="O15673" s="11"/>
      <c r="P15673" s="11"/>
    </row>
    <row r="15674" spans="8:16" x14ac:dyDescent="0.25">
      <c r="H15674" s="12"/>
      <c r="I15674" s="12"/>
      <c r="J15674" s="12"/>
      <c r="K15674" s="12"/>
      <c r="L15674" s="12"/>
      <c r="M15674" s="11"/>
      <c r="N15674" s="11"/>
      <c r="O15674" s="11"/>
      <c r="P15674" s="11"/>
    </row>
    <row r="15675" spans="8:16" x14ac:dyDescent="0.25">
      <c r="H15675" s="12"/>
      <c r="I15675" s="12"/>
      <c r="J15675" s="12"/>
      <c r="K15675" s="12"/>
      <c r="L15675" s="12"/>
      <c r="M15675" s="11"/>
      <c r="N15675" s="11"/>
      <c r="O15675" s="11"/>
      <c r="P15675" s="11"/>
    </row>
    <row r="15676" spans="8:16" x14ac:dyDescent="0.25">
      <c r="H15676" s="12"/>
      <c r="I15676" s="12"/>
      <c r="J15676" s="12"/>
      <c r="K15676" s="12"/>
      <c r="L15676" s="12"/>
      <c r="M15676" s="11"/>
      <c r="N15676" s="11"/>
      <c r="O15676" s="11"/>
      <c r="P15676" s="11"/>
    </row>
    <row r="15677" spans="8:16" x14ac:dyDescent="0.25">
      <c r="H15677" s="12"/>
      <c r="I15677" s="12"/>
      <c r="J15677" s="12"/>
      <c r="K15677" s="12"/>
      <c r="L15677" s="12"/>
      <c r="M15677" s="11"/>
      <c r="N15677" s="11"/>
      <c r="O15677" s="11"/>
      <c r="P15677" s="11"/>
    </row>
    <row r="15678" spans="8:16" x14ac:dyDescent="0.25">
      <c r="H15678" s="12"/>
      <c r="I15678" s="12"/>
      <c r="J15678" s="12"/>
      <c r="K15678" s="12"/>
      <c r="L15678" s="12"/>
      <c r="M15678" s="11"/>
      <c r="N15678" s="11"/>
      <c r="O15678" s="11"/>
      <c r="P15678" s="11"/>
    </row>
    <row r="15679" spans="8:16" x14ac:dyDescent="0.25">
      <c r="H15679" s="12"/>
      <c r="I15679" s="12"/>
      <c r="J15679" s="12"/>
      <c r="K15679" s="12"/>
      <c r="L15679" s="12"/>
      <c r="M15679" s="11"/>
      <c r="N15679" s="11"/>
      <c r="O15679" s="11"/>
      <c r="P15679" s="11"/>
    </row>
    <row r="15680" spans="8:16" x14ac:dyDescent="0.25">
      <c r="H15680" s="12"/>
      <c r="I15680" s="12"/>
      <c r="J15680" s="12"/>
      <c r="K15680" s="12"/>
      <c r="L15680" s="12"/>
      <c r="M15680" s="11"/>
      <c r="N15680" s="11"/>
      <c r="O15680" s="11"/>
      <c r="P15680" s="11"/>
    </row>
    <row r="15681" spans="8:16" x14ac:dyDescent="0.25">
      <c r="H15681" s="12"/>
      <c r="I15681" s="12"/>
      <c r="J15681" s="12"/>
      <c r="K15681" s="12"/>
      <c r="L15681" s="12"/>
      <c r="M15681" s="11"/>
      <c r="N15681" s="11"/>
      <c r="O15681" s="11"/>
      <c r="P15681" s="11"/>
    </row>
    <row r="15682" spans="8:16" x14ac:dyDescent="0.25">
      <c r="H15682" s="12"/>
      <c r="I15682" s="12"/>
      <c r="J15682" s="12"/>
      <c r="K15682" s="12"/>
      <c r="L15682" s="12"/>
      <c r="M15682" s="11"/>
      <c r="N15682" s="11"/>
      <c r="O15682" s="11"/>
      <c r="P15682" s="11"/>
    </row>
    <row r="15683" spans="8:16" x14ac:dyDescent="0.25">
      <c r="H15683" s="12"/>
      <c r="I15683" s="12"/>
      <c r="J15683" s="12"/>
      <c r="K15683" s="12"/>
      <c r="L15683" s="12"/>
      <c r="M15683" s="11"/>
      <c r="N15683" s="11"/>
      <c r="O15683" s="11"/>
      <c r="P15683" s="11"/>
    </row>
    <row r="15684" spans="8:16" x14ac:dyDescent="0.25">
      <c r="H15684" s="12"/>
      <c r="I15684" s="12"/>
      <c r="J15684" s="12"/>
      <c r="K15684" s="12"/>
      <c r="L15684" s="12"/>
      <c r="M15684" s="11"/>
      <c r="N15684" s="11"/>
      <c r="O15684" s="11"/>
      <c r="P15684" s="11"/>
    </row>
    <row r="15685" spans="8:16" x14ac:dyDescent="0.25">
      <c r="H15685" s="12"/>
      <c r="I15685" s="12"/>
      <c r="J15685" s="12"/>
      <c r="K15685" s="12"/>
      <c r="L15685" s="12"/>
      <c r="M15685" s="11"/>
      <c r="N15685" s="11"/>
      <c r="O15685" s="11"/>
      <c r="P15685" s="11"/>
    </row>
    <row r="15686" spans="8:16" x14ac:dyDescent="0.25">
      <c r="H15686" s="12"/>
      <c r="I15686" s="12"/>
      <c r="J15686" s="12"/>
      <c r="K15686" s="12"/>
      <c r="L15686" s="12"/>
      <c r="M15686" s="11"/>
      <c r="N15686" s="11"/>
      <c r="O15686" s="11"/>
      <c r="P15686" s="11"/>
    </row>
    <row r="15687" spans="8:16" x14ac:dyDescent="0.25">
      <c r="H15687" s="12"/>
      <c r="I15687" s="12"/>
      <c r="J15687" s="12"/>
      <c r="K15687" s="12"/>
      <c r="L15687" s="12"/>
      <c r="M15687" s="11"/>
      <c r="N15687" s="11"/>
      <c r="O15687" s="11"/>
      <c r="P15687" s="11"/>
    </row>
    <row r="15688" spans="8:16" x14ac:dyDescent="0.25">
      <c r="H15688" s="12"/>
      <c r="I15688" s="12"/>
      <c r="J15688" s="12"/>
      <c r="K15688" s="12"/>
      <c r="L15688" s="12"/>
      <c r="M15688" s="11"/>
      <c r="N15688" s="11"/>
      <c r="O15688" s="11"/>
      <c r="P15688" s="11"/>
    </row>
    <row r="15689" spans="8:16" x14ac:dyDescent="0.25">
      <c r="H15689" s="12"/>
      <c r="I15689" s="12"/>
      <c r="J15689" s="12"/>
      <c r="K15689" s="12"/>
      <c r="L15689" s="12"/>
      <c r="M15689" s="11"/>
      <c r="N15689" s="11"/>
      <c r="O15689" s="11"/>
      <c r="P15689" s="11"/>
    </row>
    <row r="15690" spans="8:16" x14ac:dyDescent="0.25">
      <c r="H15690" s="12"/>
      <c r="I15690" s="12"/>
      <c r="J15690" s="12"/>
      <c r="K15690" s="12"/>
      <c r="L15690" s="12"/>
      <c r="M15690" s="11"/>
      <c r="N15690" s="11"/>
      <c r="O15690" s="11"/>
      <c r="P15690" s="11"/>
    </row>
    <row r="15691" spans="8:16" x14ac:dyDescent="0.25">
      <c r="H15691" s="12"/>
      <c r="I15691" s="12"/>
      <c r="J15691" s="12"/>
      <c r="K15691" s="12"/>
      <c r="L15691" s="12"/>
      <c r="M15691" s="11"/>
      <c r="N15691" s="11"/>
      <c r="O15691" s="11"/>
      <c r="P15691" s="11"/>
    </row>
    <row r="15692" spans="8:16" x14ac:dyDescent="0.25">
      <c r="H15692" s="12"/>
      <c r="I15692" s="12"/>
      <c r="J15692" s="12"/>
      <c r="K15692" s="12"/>
      <c r="L15692" s="12"/>
      <c r="M15692" s="11"/>
      <c r="N15692" s="11"/>
      <c r="O15692" s="11"/>
      <c r="P15692" s="11"/>
    </row>
    <row r="15693" spans="8:16" x14ac:dyDescent="0.25">
      <c r="H15693" s="12"/>
      <c r="I15693" s="12"/>
      <c r="J15693" s="12"/>
      <c r="K15693" s="12"/>
      <c r="L15693" s="12"/>
      <c r="M15693" s="11"/>
      <c r="N15693" s="11"/>
      <c r="O15693" s="11"/>
      <c r="P15693" s="11"/>
    </row>
    <row r="15694" spans="8:16" x14ac:dyDescent="0.25">
      <c r="H15694" s="12"/>
      <c r="I15694" s="12"/>
      <c r="J15694" s="12"/>
      <c r="K15694" s="12"/>
      <c r="L15694" s="12"/>
      <c r="M15694" s="11"/>
      <c r="N15694" s="11"/>
      <c r="O15694" s="11"/>
      <c r="P15694" s="11"/>
    </row>
    <row r="15695" spans="8:16" x14ac:dyDescent="0.25">
      <c r="H15695" s="12"/>
      <c r="I15695" s="12"/>
      <c r="J15695" s="12"/>
      <c r="K15695" s="12"/>
      <c r="L15695" s="12"/>
      <c r="M15695" s="11"/>
      <c r="N15695" s="11"/>
      <c r="O15695" s="11"/>
      <c r="P15695" s="11"/>
    </row>
    <row r="15696" spans="8:16" x14ac:dyDescent="0.25">
      <c r="H15696" s="12"/>
      <c r="I15696" s="12"/>
      <c r="J15696" s="12"/>
      <c r="K15696" s="12"/>
      <c r="L15696" s="12"/>
      <c r="M15696" s="11"/>
      <c r="N15696" s="11"/>
      <c r="O15696" s="11"/>
      <c r="P15696" s="11"/>
    </row>
    <row r="15697" spans="8:16" x14ac:dyDescent="0.25">
      <c r="H15697" s="12"/>
      <c r="I15697" s="12"/>
      <c r="J15697" s="12"/>
      <c r="K15697" s="12"/>
      <c r="L15697" s="12"/>
      <c r="M15697" s="11"/>
      <c r="N15697" s="11"/>
      <c r="O15697" s="11"/>
      <c r="P15697" s="11"/>
    </row>
    <row r="15698" spans="8:16" x14ac:dyDescent="0.25">
      <c r="H15698" s="12"/>
      <c r="I15698" s="12"/>
      <c r="J15698" s="12"/>
      <c r="K15698" s="12"/>
      <c r="L15698" s="12"/>
      <c r="M15698" s="11"/>
      <c r="N15698" s="11"/>
      <c r="O15698" s="11"/>
      <c r="P15698" s="11"/>
    </row>
    <row r="15699" spans="8:16" x14ac:dyDescent="0.25">
      <c r="H15699" s="12"/>
      <c r="I15699" s="12"/>
      <c r="J15699" s="12"/>
      <c r="K15699" s="12"/>
      <c r="L15699" s="12"/>
      <c r="M15699" s="11"/>
      <c r="N15699" s="11"/>
      <c r="O15699" s="11"/>
      <c r="P15699" s="11"/>
    </row>
    <row r="15700" spans="8:16" x14ac:dyDescent="0.25">
      <c r="H15700" s="12"/>
      <c r="I15700" s="12"/>
      <c r="J15700" s="12"/>
      <c r="K15700" s="12"/>
      <c r="L15700" s="12"/>
      <c r="M15700" s="11"/>
      <c r="N15700" s="11"/>
      <c r="O15700" s="11"/>
      <c r="P15700" s="11"/>
    </row>
    <row r="15701" spans="8:16" x14ac:dyDescent="0.25">
      <c r="H15701" s="12"/>
      <c r="I15701" s="12"/>
      <c r="J15701" s="12"/>
      <c r="K15701" s="12"/>
      <c r="L15701" s="12"/>
      <c r="M15701" s="11"/>
      <c r="N15701" s="11"/>
      <c r="O15701" s="11"/>
      <c r="P15701" s="11"/>
    </row>
    <row r="15702" spans="8:16" x14ac:dyDescent="0.25">
      <c r="H15702" s="12"/>
      <c r="I15702" s="12"/>
      <c r="J15702" s="12"/>
      <c r="K15702" s="12"/>
      <c r="L15702" s="12"/>
      <c r="M15702" s="11"/>
      <c r="N15702" s="11"/>
      <c r="O15702" s="11"/>
      <c r="P15702" s="11"/>
    </row>
    <row r="15703" spans="8:16" x14ac:dyDescent="0.25">
      <c r="H15703" s="12"/>
      <c r="I15703" s="12"/>
      <c r="J15703" s="12"/>
      <c r="K15703" s="12"/>
      <c r="L15703" s="12"/>
      <c r="M15703" s="11"/>
      <c r="N15703" s="11"/>
      <c r="O15703" s="11"/>
      <c r="P15703" s="11"/>
    </row>
    <row r="15704" spans="8:16" x14ac:dyDescent="0.25">
      <c r="H15704" s="12"/>
      <c r="I15704" s="12"/>
      <c r="J15704" s="12"/>
      <c r="K15704" s="12"/>
      <c r="L15704" s="12"/>
      <c r="M15704" s="11"/>
      <c r="N15704" s="11"/>
      <c r="O15704" s="11"/>
      <c r="P15704" s="11"/>
    </row>
    <row r="15705" spans="8:16" x14ac:dyDescent="0.25">
      <c r="H15705" s="12"/>
      <c r="I15705" s="12"/>
      <c r="J15705" s="12"/>
      <c r="K15705" s="12"/>
      <c r="L15705" s="12"/>
      <c r="M15705" s="11"/>
      <c r="N15705" s="11"/>
      <c r="O15705" s="11"/>
      <c r="P15705" s="11"/>
    </row>
    <row r="15706" spans="8:16" x14ac:dyDescent="0.25">
      <c r="H15706" s="12"/>
      <c r="I15706" s="12"/>
      <c r="J15706" s="12"/>
      <c r="K15706" s="12"/>
      <c r="L15706" s="12"/>
      <c r="M15706" s="11"/>
      <c r="N15706" s="11"/>
      <c r="O15706" s="11"/>
      <c r="P15706" s="11"/>
    </row>
    <row r="15707" spans="8:16" x14ac:dyDescent="0.25">
      <c r="H15707" s="12"/>
      <c r="I15707" s="12"/>
      <c r="J15707" s="12"/>
      <c r="K15707" s="12"/>
      <c r="L15707" s="12"/>
      <c r="M15707" s="11"/>
      <c r="N15707" s="11"/>
      <c r="O15707" s="11"/>
      <c r="P15707" s="11"/>
    </row>
    <row r="15708" spans="8:16" x14ac:dyDescent="0.25">
      <c r="H15708" s="12"/>
      <c r="I15708" s="12"/>
      <c r="J15708" s="12"/>
      <c r="K15708" s="12"/>
      <c r="L15708" s="12"/>
      <c r="M15708" s="11"/>
      <c r="N15708" s="11"/>
      <c r="O15708" s="11"/>
      <c r="P15708" s="11"/>
    </row>
    <row r="15709" spans="8:16" x14ac:dyDescent="0.25">
      <c r="H15709" s="12"/>
      <c r="I15709" s="12"/>
      <c r="J15709" s="12"/>
      <c r="K15709" s="12"/>
      <c r="L15709" s="12"/>
      <c r="M15709" s="11"/>
      <c r="N15709" s="11"/>
      <c r="O15709" s="11"/>
      <c r="P15709" s="11"/>
    </row>
    <row r="15710" spans="8:16" x14ac:dyDescent="0.25">
      <c r="H15710" s="12"/>
      <c r="I15710" s="12"/>
      <c r="J15710" s="12"/>
      <c r="K15710" s="12"/>
      <c r="L15710" s="12"/>
      <c r="M15710" s="11"/>
      <c r="N15710" s="11"/>
      <c r="O15710" s="11"/>
      <c r="P15710" s="11"/>
    </row>
    <row r="15711" spans="8:16" x14ac:dyDescent="0.25">
      <c r="H15711" s="12"/>
      <c r="I15711" s="12"/>
      <c r="J15711" s="12"/>
      <c r="K15711" s="12"/>
      <c r="L15711" s="12"/>
      <c r="M15711" s="11"/>
      <c r="N15711" s="11"/>
      <c r="O15711" s="11"/>
      <c r="P15711" s="11"/>
    </row>
    <row r="15712" spans="8:16" x14ac:dyDescent="0.25">
      <c r="H15712" s="12"/>
      <c r="I15712" s="12"/>
      <c r="J15712" s="12"/>
      <c r="K15712" s="12"/>
      <c r="L15712" s="12"/>
      <c r="M15712" s="11"/>
      <c r="N15712" s="11"/>
      <c r="O15712" s="11"/>
      <c r="P15712" s="11"/>
    </row>
    <row r="15713" spans="8:16" x14ac:dyDescent="0.25">
      <c r="H15713" s="12"/>
      <c r="I15713" s="12"/>
      <c r="J15713" s="12"/>
      <c r="K15713" s="12"/>
      <c r="L15713" s="12"/>
      <c r="M15713" s="11"/>
      <c r="N15713" s="11"/>
      <c r="O15713" s="11"/>
      <c r="P15713" s="11"/>
    </row>
    <row r="15714" spans="8:16" x14ac:dyDescent="0.25">
      <c r="H15714" s="12"/>
      <c r="I15714" s="12"/>
      <c r="J15714" s="12"/>
      <c r="K15714" s="12"/>
      <c r="L15714" s="12"/>
      <c r="M15714" s="11"/>
      <c r="N15714" s="11"/>
      <c r="O15714" s="11"/>
      <c r="P15714" s="11"/>
    </row>
    <row r="15715" spans="8:16" x14ac:dyDescent="0.25">
      <c r="H15715" s="12"/>
      <c r="I15715" s="12"/>
      <c r="J15715" s="12"/>
      <c r="K15715" s="12"/>
      <c r="L15715" s="12"/>
      <c r="M15715" s="11"/>
      <c r="N15715" s="11"/>
      <c r="O15715" s="11"/>
      <c r="P15715" s="11"/>
    </row>
    <row r="15716" spans="8:16" x14ac:dyDescent="0.25">
      <c r="H15716" s="12"/>
      <c r="I15716" s="12"/>
      <c r="J15716" s="12"/>
      <c r="K15716" s="12"/>
      <c r="L15716" s="12"/>
      <c r="M15716" s="11"/>
      <c r="N15716" s="11"/>
      <c r="O15716" s="11"/>
      <c r="P15716" s="11"/>
    </row>
    <row r="15717" spans="8:16" x14ac:dyDescent="0.25">
      <c r="H15717" s="12"/>
      <c r="I15717" s="12"/>
      <c r="J15717" s="12"/>
      <c r="K15717" s="12"/>
      <c r="L15717" s="12"/>
      <c r="M15717" s="11"/>
      <c r="N15717" s="11"/>
      <c r="O15717" s="11"/>
      <c r="P15717" s="11"/>
    </row>
    <row r="15718" spans="8:16" x14ac:dyDescent="0.25">
      <c r="H15718" s="12"/>
      <c r="I15718" s="12"/>
      <c r="J15718" s="12"/>
      <c r="K15718" s="12"/>
      <c r="L15718" s="12"/>
      <c r="M15718" s="11"/>
      <c r="N15718" s="11"/>
      <c r="O15718" s="11"/>
      <c r="P15718" s="11"/>
    </row>
    <row r="15719" spans="8:16" x14ac:dyDescent="0.25">
      <c r="H15719" s="12"/>
      <c r="I15719" s="12"/>
      <c r="J15719" s="12"/>
      <c r="K15719" s="12"/>
      <c r="L15719" s="12"/>
      <c r="M15719" s="11"/>
      <c r="N15719" s="11"/>
      <c r="O15719" s="11"/>
      <c r="P15719" s="11"/>
    </row>
    <row r="15720" spans="8:16" x14ac:dyDescent="0.25">
      <c r="H15720" s="12"/>
      <c r="I15720" s="12"/>
      <c r="J15720" s="12"/>
      <c r="K15720" s="12"/>
      <c r="L15720" s="12"/>
      <c r="M15720" s="11"/>
      <c r="N15720" s="11"/>
      <c r="O15720" s="11"/>
      <c r="P15720" s="11"/>
    </row>
    <row r="15721" spans="8:16" x14ac:dyDescent="0.25">
      <c r="H15721" s="12"/>
      <c r="I15721" s="12"/>
      <c r="J15721" s="12"/>
      <c r="K15721" s="12"/>
      <c r="L15721" s="12"/>
      <c r="M15721" s="11"/>
      <c r="N15721" s="11"/>
      <c r="O15721" s="11"/>
      <c r="P15721" s="11"/>
    </row>
    <row r="15722" spans="8:16" x14ac:dyDescent="0.25">
      <c r="H15722" s="12"/>
      <c r="I15722" s="12"/>
      <c r="J15722" s="12"/>
      <c r="K15722" s="12"/>
      <c r="L15722" s="12"/>
      <c r="M15722" s="11"/>
      <c r="N15722" s="11"/>
      <c r="O15722" s="11"/>
      <c r="P15722" s="11"/>
    </row>
    <row r="15723" spans="8:16" x14ac:dyDescent="0.25">
      <c r="H15723" s="12"/>
      <c r="I15723" s="12"/>
      <c r="J15723" s="12"/>
      <c r="K15723" s="12"/>
      <c r="L15723" s="12"/>
      <c r="M15723" s="11"/>
      <c r="N15723" s="11"/>
      <c r="O15723" s="11"/>
      <c r="P15723" s="11"/>
    </row>
    <row r="15724" spans="8:16" x14ac:dyDescent="0.25">
      <c r="H15724" s="12"/>
      <c r="I15724" s="12"/>
      <c r="J15724" s="12"/>
      <c r="K15724" s="12"/>
      <c r="L15724" s="12"/>
      <c r="M15724" s="11"/>
      <c r="N15724" s="11"/>
      <c r="O15724" s="11"/>
      <c r="P15724" s="11"/>
    </row>
    <row r="15725" spans="8:16" x14ac:dyDescent="0.25">
      <c r="H15725" s="12"/>
      <c r="I15725" s="12"/>
      <c r="J15725" s="12"/>
      <c r="K15725" s="12"/>
      <c r="L15725" s="12"/>
      <c r="M15725" s="11"/>
      <c r="N15725" s="11"/>
      <c r="O15725" s="11"/>
      <c r="P15725" s="11"/>
    </row>
    <row r="15726" spans="8:16" x14ac:dyDescent="0.25">
      <c r="H15726" s="12"/>
      <c r="I15726" s="12"/>
      <c r="J15726" s="12"/>
      <c r="K15726" s="12"/>
      <c r="L15726" s="12"/>
      <c r="M15726" s="11"/>
      <c r="N15726" s="11"/>
      <c r="O15726" s="11"/>
      <c r="P15726" s="11"/>
    </row>
    <row r="15727" spans="8:16" x14ac:dyDescent="0.25">
      <c r="H15727" s="12"/>
      <c r="I15727" s="12"/>
      <c r="J15727" s="12"/>
      <c r="K15727" s="12"/>
      <c r="L15727" s="12"/>
      <c r="M15727" s="11"/>
      <c r="N15727" s="11"/>
      <c r="O15727" s="11"/>
      <c r="P15727" s="11"/>
    </row>
    <row r="15728" spans="8:16" x14ac:dyDescent="0.25">
      <c r="H15728" s="12"/>
      <c r="I15728" s="12"/>
      <c r="J15728" s="12"/>
      <c r="K15728" s="12"/>
      <c r="L15728" s="12"/>
      <c r="M15728" s="11"/>
      <c r="N15728" s="11"/>
      <c r="O15728" s="11"/>
      <c r="P15728" s="11"/>
    </row>
    <row r="15729" spans="8:16" x14ac:dyDescent="0.25">
      <c r="H15729" s="12"/>
      <c r="I15729" s="12"/>
      <c r="J15729" s="12"/>
      <c r="K15729" s="12"/>
      <c r="L15729" s="12"/>
      <c r="M15729" s="11"/>
      <c r="N15729" s="11"/>
      <c r="O15729" s="11"/>
      <c r="P15729" s="11"/>
    </row>
    <row r="15730" spans="8:16" x14ac:dyDescent="0.25">
      <c r="H15730" s="12"/>
      <c r="I15730" s="12"/>
      <c r="J15730" s="12"/>
      <c r="K15730" s="12"/>
      <c r="L15730" s="12"/>
      <c r="M15730" s="11"/>
      <c r="N15730" s="11"/>
      <c r="O15730" s="11"/>
      <c r="P15730" s="11"/>
    </row>
    <row r="15731" spans="8:16" x14ac:dyDescent="0.25">
      <c r="H15731" s="12"/>
      <c r="I15731" s="12"/>
      <c r="J15731" s="12"/>
      <c r="K15731" s="12"/>
      <c r="L15731" s="12"/>
      <c r="M15731" s="11"/>
      <c r="N15731" s="11"/>
      <c r="O15731" s="11"/>
      <c r="P15731" s="11"/>
    </row>
    <row r="15732" spans="8:16" x14ac:dyDescent="0.25">
      <c r="H15732" s="12"/>
      <c r="I15732" s="12"/>
      <c r="J15732" s="12"/>
      <c r="K15732" s="12"/>
      <c r="L15732" s="12"/>
      <c r="M15732" s="11"/>
      <c r="N15732" s="11"/>
      <c r="O15732" s="11"/>
      <c r="P15732" s="11"/>
    </row>
    <row r="15733" spans="8:16" x14ac:dyDescent="0.25">
      <c r="H15733" s="12"/>
      <c r="I15733" s="12"/>
      <c r="J15733" s="12"/>
      <c r="K15733" s="12"/>
      <c r="L15733" s="12"/>
      <c r="M15733" s="11"/>
      <c r="N15733" s="11"/>
      <c r="O15733" s="11"/>
      <c r="P15733" s="11"/>
    </row>
    <row r="15734" spans="8:16" x14ac:dyDescent="0.25">
      <c r="H15734" s="12"/>
      <c r="I15734" s="12"/>
      <c r="J15734" s="12"/>
      <c r="K15734" s="12"/>
      <c r="L15734" s="12"/>
      <c r="M15734" s="11"/>
      <c r="N15734" s="11"/>
      <c r="O15734" s="11"/>
      <c r="P15734" s="11"/>
    </row>
    <row r="15735" spans="8:16" x14ac:dyDescent="0.25">
      <c r="H15735" s="12"/>
      <c r="I15735" s="12"/>
      <c r="J15735" s="12"/>
      <c r="K15735" s="12"/>
      <c r="L15735" s="12"/>
      <c r="M15735" s="11"/>
      <c r="N15735" s="11"/>
      <c r="O15735" s="11"/>
      <c r="P15735" s="11"/>
    </row>
    <row r="15736" spans="8:16" x14ac:dyDescent="0.25">
      <c r="H15736" s="12"/>
      <c r="I15736" s="12"/>
      <c r="J15736" s="12"/>
      <c r="K15736" s="12"/>
      <c r="L15736" s="12"/>
      <c r="M15736" s="11"/>
      <c r="N15736" s="11"/>
      <c r="O15736" s="11"/>
      <c r="P15736" s="11"/>
    </row>
    <row r="15737" spans="8:16" x14ac:dyDescent="0.25">
      <c r="H15737" s="12"/>
      <c r="I15737" s="12"/>
      <c r="J15737" s="12"/>
      <c r="K15737" s="12"/>
      <c r="L15737" s="12"/>
      <c r="M15737" s="11"/>
      <c r="N15737" s="11"/>
      <c r="O15737" s="11"/>
      <c r="P15737" s="11"/>
    </row>
    <row r="15738" spans="8:16" x14ac:dyDescent="0.25">
      <c r="H15738" s="12"/>
      <c r="I15738" s="12"/>
      <c r="J15738" s="12"/>
      <c r="K15738" s="12"/>
      <c r="L15738" s="12"/>
      <c r="M15738" s="11"/>
      <c r="N15738" s="11"/>
      <c r="O15738" s="11"/>
      <c r="P15738" s="11"/>
    </row>
    <row r="15739" spans="8:16" x14ac:dyDescent="0.25">
      <c r="H15739" s="12"/>
      <c r="I15739" s="12"/>
      <c r="J15739" s="12"/>
      <c r="K15739" s="12"/>
      <c r="L15739" s="12"/>
      <c r="M15739" s="11"/>
      <c r="N15739" s="11"/>
      <c r="O15739" s="11"/>
      <c r="P15739" s="11"/>
    </row>
    <row r="15740" spans="8:16" x14ac:dyDescent="0.25">
      <c r="H15740" s="12"/>
      <c r="I15740" s="12"/>
      <c r="J15740" s="12"/>
      <c r="K15740" s="12"/>
      <c r="L15740" s="12"/>
      <c r="M15740" s="11"/>
      <c r="N15740" s="11"/>
      <c r="O15740" s="11"/>
      <c r="P15740" s="11"/>
    </row>
    <row r="15741" spans="8:16" x14ac:dyDescent="0.25">
      <c r="H15741" s="12"/>
      <c r="I15741" s="12"/>
      <c r="J15741" s="12"/>
      <c r="K15741" s="12"/>
      <c r="L15741" s="12"/>
      <c r="M15741" s="11"/>
      <c r="N15741" s="11"/>
      <c r="O15741" s="11"/>
      <c r="P15741" s="11"/>
    </row>
    <row r="15742" spans="8:16" x14ac:dyDescent="0.25">
      <c r="H15742" s="12"/>
      <c r="I15742" s="12"/>
      <c r="J15742" s="12"/>
      <c r="K15742" s="12"/>
      <c r="L15742" s="12"/>
      <c r="M15742" s="11"/>
      <c r="N15742" s="11"/>
      <c r="O15742" s="11"/>
      <c r="P15742" s="11"/>
    </row>
    <row r="15743" spans="8:16" x14ac:dyDescent="0.25">
      <c r="H15743" s="12"/>
      <c r="I15743" s="12"/>
      <c r="J15743" s="12"/>
      <c r="K15743" s="12"/>
      <c r="L15743" s="12"/>
      <c r="M15743" s="11"/>
      <c r="N15743" s="11"/>
      <c r="O15743" s="11"/>
      <c r="P15743" s="11"/>
    </row>
    <row r="15744" spans="8:16" x14ac:dyDescent="0.25">
      <c r="H15744" s="12"/>
      <c r="I15744" s="12"/>
      <c r="J15744" s="12"/>
      <c r="K15744" s="12"/>
      <c r="L15744" s="12"/>
      <c r="M15744" s="11"/>
      <c r="N15744" s="11"/>
      <c r="O15744" s="11"/>
      <c r="P15744" s="11"/>
    </row>
    <row r="15745" spans="8:16" x14ac:dyDescent="0.25">
      <c r="H15745" s="12"/>
      <c r="I15745" s="12"/>
      <c r="J15745" s="12"/>
      <c r="K15745" s="12"/>
      <c r="L15745" s="12"/>
      <c r="M15745" s="11"/>
      <c r="N15745" s="11"/>
      <c r="O15745" s="11"/>
      <c r="P15745" s="11"/>
    </row>
    <row r="15746" spans="8:16" x14ac:dyDescent="0.25">
      <c r="H15746" s="12"/>
      <c r="I15746" s="12"/>
      <c r="J15746" s="12"/>
      <c r="K15746" s="12"/>
      <c r="L15746" s="12"/>
      <c r="M15746" s="11"/>
      <c r="N15746" s="11"/>
      <c r="O15746" s="11"/>
      <c r="P15746" s="11"/>
    </row>
    <row r="15747" spans="8:16" x14ac:dyDescent="0.25">
      <c r="H15747" s="12"/>
      <c r="I15747" s="12"/>
      <c r="J15747" s="12"/>
      <c r="K15747" s="12"/>
      <c r="L15747" s="12"/>
      <c r="M15747" s="11"/>
      <c r="N15747" s="11"/>
      <c r="O15747" s="11"/>
      <c r="P15747" s="11"/>
    </row>
    <row r="15748" spans="8:16" x14ac:dyDescent="0.25">
      <c r="H15748" s="12"/>
      <c r="I15748" s="12"/>
      <c r="J15748" s="12"/>
      <c r="K15748" s="12"/>
      <c r="L15748" s="12"/>
      <c r="M15748" s="11"/>
      <c r="N15748" s="11"/>
      <c r="O15748" s="11"/>
      <c r="P15748" s="11"/>
    </row>
    <row r="15749" spans="8:16" x14ac:dyDescent="0.25">
      <c r="H15749" s="12"/>
      <c r="I15749" s="12"/>
      <c r="J15749" s="12"/>
      <c r="K15749" s="12"/>
      <c r="L15749" s="12"/>
      <c r="M15749" s="11"/>
      <c r="N15749" s="11"/>
      <c r="O15749" s="11"/>
      <c r="P15749" s="11"/>
    </row>
    <row r="15750" spans="8:16" x14ac:dyDescent="0.25">
      <c r="H15750" s="12"/>
      <c r="I15750" s="12"/>
      <c r="J15750" s="12"/>
      <c r="K15750" s="12"/>
      <c r="L15750" s="12"/>
      <c r="M15750" s="11"/>
      <c r="N15750" s="11"/>
      <c r="O15750" s="11"/>
      <c r="P15750" s="11"/>
    </row>
    <row r="15751" spans="8:16" x14ac:dyDescent="0.25">
      <c r="H15751" s="12"/>
      <c r="I15751" s="12"/>
      <c r="J15751" s="12"/>
      <c r="K15751" s="12"/>
      <c r="L15751" s="12"/>
      <c r="M15751" s="11"/>
      <c r="N15751" s="11"/>
      <c r="O15751" s="11"/>
      <c r="P15751" s="11"/>
    </row>
    <row r="15752" spans="8:16" x14ac:dyDescent="0.25">
      <c r="H15752" s="12"/>
      <c r="I15752" s="12"/>
      <c r="J15752" s="12"/>
      <c r="K15752" s="12"/>
      <c r="L15752" s="12"/>
      <c r="M15752" s="11"/>
      <c r="N15752" s="11"/>
      <c r="O15752" s="11"/>
      <c r="P15752" s="11"/>
    </row>
    <row r="15753" spans="8:16" x14ac:dyDescent="0.25">
      <c r="H15753" s="12"/>
      <c r="I15753" s="12"/>
      <c r="J15753" s="12"/>
      <c r="K15753" s="12"/>
      <c r="L15753" s="12"/>
      <c r="M15753" s="11"/>
      <c r="N15753" s="11"/>
      <c r="O15753" s="11"/>
      <c r="P15753" s="11"/>
    </row>
    <row r="15754" spans="8:16" x14ac:dyDescent="0.25">
      <c r="H15754" s="12"/>
      <c r="I15754" s="12"/>
      <c r="J15754" s="12"/>
      <c r="K15754" s="12"/>
      <c r="L15754" s="12"/>
      <c r="M15754" s="11"/>
      <c r="N15754" s="11"/>
      <c r="O15754" s="11"/>
      <c r="P15754" s="11"/>
    </row>
    <row r="15755" spans="8:16" x14ac:dyDescent="0.25">
      <c r="H15755" s="12"/>
      <c r="I15755" s="12"/>
      <c r="J15755" s="12"/>
      <c r="K15755" s="12"/>
      <c r="L15755" s="12"/>
      <c r="M15755" s="11"/>
      <c r="N15755" s="11"/>
      <c r="O15755" s="11"/>
      <c r="P15755" s="11"/>
    </row>
    <row r="15756" spans="8:16" x14ac:dyDescent="0.25">
      <c r="H15756" s="12"/>
      <c r="I15756" s="12"/>
      <c r="J15756" s="12"/>
      <c r="K15756" s="12"/>
      <c r="L15756" s="12"/>
      <c r="M15756" s="11"/>
      <c r="N15756" s="11"/>
      <c r="O15756" s="11"/>
      <c r="P15756" s="11"/>
    </row>
    <row r="15757" spans="8:16" x14ac:dyDescent="0.25">
      <c r="H15757" s="12"/>
      <c r="I15757" s="12"/>
      <c r="J15757" s="12"/>
      <c r="K15757" s="12"/>
      <c r="L15757" s="12"/>
      <c r="M15757" s="11"/>
      <c r="N15757" s="11"/>
      <c r="O15757" s="11"/>
      <c r="P15757" s="11"/>
    </row>
    <row r="15758" spans="8:16" x14ac:dyDescent="0.25">
      <c r="H15758" s="12"/>
      <c r="I15758" s="12"/>
      <c r="J15758" s="12"/>
      <c r="K15758" s="12"/>
      <c r="L15758" s="12"/>
      <c r="M15758" s="11"/>
      <c r="N15758" s="11"/>
      <c r="O15758" s="11"/>
      <c r="P15758" s="11"/>
    </row>
    <row r="15759" spans="8:16" x14ac:dyDescent="0.25">
      <c r="H15759" s="12"/>
      <c r="I15759" s="12"/>
      <c r="J15759" s="12"/>
      <c r="K15759" s="12"/>
      <c r="L15759" s="12"/>
      <c r="M15759" s="11"/>
      <c r="N15759" s="11"/>
      <c r="O15759" s="11"/>
      <c r="P15759" s="11"/>
    </row>
    <row r="15760" spans="8:16" x14ac:dyDescent="0.25">
      <c r="H15760" s="12"/>
      <c r="I15760" s="12"/>
      <c r="J15760" s="12"/>
      <c r="K15760" s="12"/>
      <c r="L15760" s="12"/>
      <c r="M15760" s="11"/>
      <c r="N15760" s="11"/>
      <c r="O15760" s="11"/>
      <c r="P15760" s="11"/>
    </row>
    <row r="15761" spans="8:16" x14ac:dyDescent="0.25">
      <c r="H15761" s="12"/>
      <c r="I15761" s="12"/>
      <c r="J15761" s="12"/>
      <c r="K15761" s="12"/>
      <c r="L15761" s="12"/>
      <c r="M15761" s="11"/>
      <c r="N15761" s="11"/>
      <c r="O15761" s="11"/>
      <c r="P15761" s="11"/>
    </row>
    <row r="15762" spans="8:16" x14ac:dyDescent="0.25">
      <c r="H15762" s="12"/>
      <c r="I15762" s="12"/>
      <c r="J15762" s="12"/>
      <c r="K15762" s="12"/>
      <c r="L15762" s="12"/>
      <c r="M15762" s="11"/>
      <c r="N15762" s="11"/>
      <c r="O15762" s="11"/>
      <c r="P15762" s="11"/>
    </row>
    <row r="15763" spans="8:16" x14ac:dyDescent="0.25">
      <c r="H15763" s="12"/>
      <c r="I15763" s="12"/>
      <c r="J15763" s="12"/>
      <c r="K15763" s="12"/>
      <c r="L15763" s="12"/>
      <c r="M15763" s="11"/>
      <c r="N15763" s="11"/>
      <c r="O15763" s="11"/>
      <c r="P15763" s="11"/>
    </row>
    <row r="15764" spans="8:16" x14ac:dyDescent="0.25">
      <c r="H15764" s="12"/>
      <c r="I15764" s="12"/>
      <c r="J15764" s="12"/>
      <c r="K15764" s="12"/>
      <c r="L15764" s="12"/>
      <c r="M15764" s="11"/>
      <c r="N15764" s="11"/>
      <c r="O15764" s="11"/>
      <c r="P15764" s="11"/>
    </row>
    <row r="15765" spans="8:16" x14ac:dyDescent="0.25">
      <c r="H15765" s="12"/>
      <c r="I15765" s="12"/>
      <c r="J15765" s="12"/>
      <c r="K15765" s="12"/>
      <c r="L15765" s="12"/>
      <c r="M15765" s="11"/>
      <c r="N15765" s="11"/>
      <c r="O15765" s="11"/>
      <c r="P15765" s="11"/>
    </row>
    <row r="15766" spans="8:16" x14ac:dyDescent="0.25">
      <c r="H15766" s="12"/>
      <c r="I15766" s="12"/>
      <c r="J15766" s="12"/>
      <c r="K15766" s="12"/>
      <c r="L15766" s="12"/>
      <c r="M15766" s="11"/>
      <c r="N15766" s="11"/>
      <c r="O15766" s="11"/>
      <c r="P15766" s="11"/>
    </row>
    <row r="15767" spans="8:16" x14ac:dyDescent="0.25">
      <c r="H15767" s="12"/>
      <c r="I15767" s="12"/>
      <c r="J15767" s="12"/>
      <c r="K15767" s="12"/>
      <c r="L15767" s="12"/>
      <c r="M15767" s="11"/>
      <c r="N15767" s="11"/>
      <c r="O15767" s="11"/>
      <c r="P15767" s="11"/>
    </row>
    <row r="15768" spans="8:16" x14ac:dyDescent="0.25">
      <c r="H15768" s="12"/>
      <c r="I15768" s="12"/>
      <c r="J15768" s="12"/>
      <c r="K15768" s="12"/>
      <c r="L15768" s="12"/>
      <c r="M15768" s="11"/>
      <c r="N15768" s="11"/>
      <c r="O15768" s="11"/>
      <c r="P15768" s="11"/>
    </row>
    <row r="15769" spans="8:16" x14ac:dyDescent="0.25">
      <c r="H15769" s="12"/>
      <c r="I15769" s="12"/>
      <c r="J15769" s="12"/>
      <c r="K15769" s="12"/>
      <c r="L15769" s="12"/>
      <c r="M15769" s="11"/>
      <c r="N15769" s="11"/>
      <c r="O15769" s="11"/>
      <c r="P15769" s="11"/>
    </row>
    <row r="15770" spans="8:16" x14ac:dyDescent="0.25">
      <c r="H15770" s="12"/>
      <c r="I15770" s="12"/>
      <c r="J15770" s="12"/>
      <c r="K15770" s="12"/>
      <c r="L15770" s="12"/>
      <c r="M15770" s="11"/>
      <c r="N15770" s="11"/>
      <c r="O15770" s="11"/>
      <c r="P15770" s="11"/>
    </row>
    <row r="15771" spans="8:16" x14ac:dyDescent="0.25">
      <c r="H15771" s="12"/>
      <c r="I15771" s="12"/>
      <c r="J15771" s="12"/>
      <c r="K15771" s="12"/>
      <c r="L15771" s="12"/>
      <c r="M15771" s="11"/>
      <c r="N15771" s="11"/>
      <c r="O15771" s="11"/>
      <c r="P15771" s="11"/>
    </row>
    <row r="15772" spans="8:16" x14ac:dyDescent="0.25">
      <c r="H15772" s="12"/>
      <c r="I15772" s="12"/>
      <c r="J15772" s="12"/>
      <c r="K15772" s="12"/>
      <c r="L15772" s="12"/>
      <c r="M15772" s="11"/>
      <c r="N15772" s="11"/>
      <c r="O15772" s="11"/>
      <c r="P15772" s="11"/>
    </row>
    <row r="15773" spans="8:16" x14ac:dyDescent="0.25">
      <c r="H15773" s="12"/>
      <c r="I15773" s="12"/>
      <c r="J15773" s="12"/>
      <c r="K15773" s="12"/>
      <c r="L15773" s="12"/>
      <c r="M15773" s="11"/>
      <c r="N15773" s="11"/>
      <c r="O15773" s="11"/>
      <c r="P15773" s="11"/>
    </row>
    <row r="15774" spans="8:16" x14ac:dyDescent="0.25">
      <c r="H15774" s="12"/>
      <c r="I15774" s="12"/>
      <c r="J15774" s="12"/>
      <c r="K15774" s="12"/>
      <c r="L15774" s="12"/>
      <c r="M15774" s="11"/>
      <c r="N15774" s="11"/>
      <c r="O15774" s="11"/>
      <c r="P15774" s="11"/>
    </row>
    <row r="15775" spans="8:16" x14ac:dyDescent="0.25">
      <c r="H15775" s="12"/>
      <c r="I15775" s="12"/>
      <c r="J15775" s="12"/>
      <c r="K15775" s="12"/>
      <c r="L15775" s="12"/>
      <c r="M15775" s="11"/>
      <c r="N15775" s="11"/>
      <c r="O15775" s="11"/>
      <c r="P15775" s="11"/>
    </row>
    <row r="15776" spans="8:16" x14ac:dyDescent="0.25">
      <c r="H15776" s="12"/>
      <c r="I15776" s="12"/>
      <c r="J15776" s="12"/>
      <c r="K15776" s="12"/>
      <c r="L15776" s="12"/>
      <c r="M15776" s="11"/>
      <c r="N15776" s="11"/>
      <c r="O15776" s="11"/>
      <c r="P15776" s="11"/>
    </row>
    <row r="15777" spans="8:16" x14ac:dyDescent="0.25">
      <c r="H15777" s="12"/>
      <c r="I15777" s="12"/>
      <c r="J15777" s="12"/>
      <c r="K15777" s="12"/>
      <c r="L15777" s="12"/>
      <c r="M15777" s="11"/>
      <c r="N15777" s="11"/>
      <c r="O15777" s="11"/>
      <c r="P15777" s="11"/>
    </row>
    <row r="15778" spans="8:16" x14ac:dyDescent="0.25">
      <c r="H15778" s="12"/>
      <c r="I15778" s="12"/>
      <c r="J15778" s="12"/>
      <c r="K15778" s="12"/>
      <c r="L15778" s="12"/>
      <c r="M15778" s="11"/>
      <c r="N15778" s="11"/>
      <c r="O15778" s="11"/>
      <c r="P15778" s="11"/>
    </row>
    <row r="15779" spans="8:16" x14ac:dyDescent="0.25">
      <c r="H15779" s="12"/>
      <c r="I15779" s="12"/>
      <c r="J15779" s="12"/>
      <c r="K15779" s="12"/>
      <c r="L15779" s="12"/>
      <c r="M15779" s="11"/>
      <c r="N15779" s="11"/>
      <c r="O15779" s="11"/>
      <c r="P15779" s="11"/>
    </row>
    <row r="15780" spans="8:16" x14ac:dyDescent="0.25">
      <c r="H15780" s="12"/>
      <c r="I15780" s="12"/>
      <c r="J15780" s="12"/>
      <c r="K15780" s="12"/>
      <c r="L15780" s="12"/>
      <c r="M15780" s="11"/>
      <c r="N15780" s="11"/>
      <c r="O15780" s="11"/>
      <c r="P15780" s="11"/>
    </row>
    <row r="15781" spans="8:16" x14ac:dyDescent="0.25">
      <c r="H15781" s="12"/>
      <c r="I15781" s="12"/>
      <c r="J15781" s="12"/>
      <c r="K15781" s="12"/>
      <c r="L15781" s="12"/>
      <c r="M15781" s="11"/>
      <c r="N15781" s="11"/>
      <c r="O15781" s="11"/>
      <c r="P15781" s="11"/>
    </row>
    <row r="15782" spans="8:16" x14ac:dyDescent="0.25">
      <c r="H15782" s="12"/>
      <c r="I15782" s="12"/>
      <c r="J15782" s="12"/>
      <c r="K15782" s="12"/>
      <c r="L15782" s="12"/>
      <c r="M15782" s="11"/>
      <c r="N15782" s="11"/>
      <c r="O15782" s="11"/>
      <c r="P15782" s="11"/>
    </row>
    <row r="15783" spans="8:16" x14ac:dyDescent="0.25">
      <c r="H15783" s="12"/>
      <c r="I15783" s="12"/>
      <c r="J15783" s="12"/>
      <c r="K15783" s="12"/>
      <c r="L15783" s="12"/>
      <c r="M15783" s="11"/>
      <c r="N15783" s="11"/>
      <c r="O15783" s="11"/>
      <c r="P15783" s="11"/>
    </row>
    <row r="15784" spans="8:16" x14ac:dyDescent="0.25">
      <c r="H15784" s="12"/>
      <c r="I15784" s="12"/>
      <c r="J15784" s="12"/>
      <c r="K15784" s="12"/>
      <c r="L15784" s="12"/>
      <c r="M15784" s="11"/>
      <c r="N15784" s="11"/>
      <c r="O15784" s="11"/>
      <c r="P15784" s="11"/>
    </row>
    <row r="15785" spans="8:16" x14ac:dyDescent="0.25">
      <c r="H15785" s="12"/>
      <c r="I15785" s="12"/>
      <c r="J15785" s="12"/>
      <c r="K15785" s="12"/>
      <c r="L15785" s="12"/>
      <c r="M15785" s="11"/>
      <c r="N15785" s="11"/>
      <c r="O15785" s="11"/>
      <c r="P15785" s="11"/>
    </row>
    <row r="15786" spans="8:16" x14ac:dyDescent="0.25">
      <c r="H15786" s="12"/>
      <c r="I15786" s="12"/>
      <c r="J15786" s="12"/>
      <c r="K15786" s="12"/>
      <c r="L15786" s="12"/>
      <c r="M15786" s="11"/>
      <c r="N15786" s="11"/>
      <c r="O15786" s="11"/>
      <c r="P15786" s="11"/>
    </row>
    <row r="15787" spans="8:16" x14ac:dyDescent="0.25">
      <c r="H15787" s="12"/>
      <c r="I15787" s="12"/>
      <c r="J15787" s="12"/>
      <c r="K15787" s="12"/>
      <c r="L15787" s="12"/>
      <c r="M15787" s="11"/>
      <c r="N15787" s="11"/>
      <c r="O15787" s="11"/>
      <c r="P15787" s="11"/>
    </row>
    <row r="15788" spans="8:16" x14ac:dyDescent="0.25">
      <c r="H15788" s="12"/>
      <c r="I15788" s="12"/>
      <c r="J15788" s="12"/>
      <c r="K15788" s="12"/>
      <c r="L15788" s="12"/>
      <c r="M15788" s="11"/>
      <c r="N15788" s="11"/>
      <c r="O15788" s="11"/>
      <c r="P15788" s="11"/>
    </row>
    <row r="15789" spans="8:16" x14ac:dyDescent="0.25">
      <c r="H15789" s="12"/>
      <c r="I15789" s="12"/>
      <c r="J15789" s="12"/>
      <c r="K15789" s="12"/>
      <c r="L15789" s="12"/>
      <c r="M15789" s="11"/>
      <c r="N15789" s="11"/>
      <c r="O15789" s="11"/>
      <c r="P15789" s="11"/>
    </row>
    <row r="15790" spans="8:16" x14ac:dyDescent="0.25">
      <c r="H15790" s="12"/>
      <c r="I15790" s="12"/>
      <c r="J15790" s="12"/>
      <c r="K15790" s="12"/>
      <c r="L15790" s="12"/>
      <c r="M15790" s="11"/>
      <c r="N15790" s="11"/>
      <c r="O15790" s="11"/>
      <c r="P15790" s="11"/>
    </row>
    <row r="15791" spans="8:16" x14ac:dyDescent="0.25">
      <c r="H15791" s="12"/>
      <c r="I15791" s="12"/>
      <c r="J15791" s="12"/>
      <c r="K15791" s="12"/>
      <c r="L15791" s="12"/>
      <c r="M15791" s="11"/>
      <c r="N15791" s="11"/>
      <c r="O15791" s="11"/>
      <c r="P15791" s="11"/>
    </row>
    <row r="15792" spans="8:16" x14ac:dyDescent="0.25">
      <c r="H15792" s="12"/>
      <c r="I15792" s="12"/>
      <c r="J15792" s="12"/>
      <c r="K15792" s="12"/>
      <c r="L15792" s="12"/>
      <c r="M15792" s="11"/>
      <c r="N15792" s="11"/>
      <c r="O15792" s="11"/>
      <c r="P15792" s="11"/>
    </row>
    <row r="15793" spans="8:16" x14ac:dyDescent="0.25">
      <c r="H15793" s="12"/>
      <c r="I15793" s="12"/>
      <c r="J15793" s="12"/>
      <c r="K15793" s="12"/>
      <c r="L15793" s="12"/>
      <c r="M15793" s="11"/>
      <c r="N15793" s="11"/>
      <c r="O15793" s="11"/>
      <c r="P15793" s="11"/>
    </row>
    <row r="15794" spans="8:16" x14ac:dyDescent="0.25">
      <c r="H15794" s="12"/>
      <c r="I15794" s="12"/>
      <c r="J15794" s="12"/>
      <c r="K15794" s="12"/>
      <c r="L15794" s="12"/>
      <c r="M15794" s="11"/>
      <c r="N15794" s="11"/>
      <c r="O15794" s="11"/>
      <c r="P15794" s="11"/>
    </row>
    <row r="15795" spans="8:16" x14ac:dyDescent="0.25">
      <c r="H15795" s="12"/>
      <c r="I15795" s="12"/>
      <c r="J15795" s="12"/>
      <c r="K15795" s="12"/>
      <c r="L15795" s="12"/>
      <c r="M15795" s="11"/>
      <c r="N15795" s="11"/>
      <c r="O15795" s="11"/>
      <c r="P15795" s="11"/>
    </row>
    <row r="15796" spans="8:16" x14ac:dyDescent="0.25">
      <c r="H15796" s="12"/>
      <c r="I15796" s="12"/>
      <c r="J15796" s="12"/>
      <c r="K15796" s="12"/>
      <c r="L15796" s="12"/>
      <c r="M15796" s="11"/>
      <c r="N15796" s="11"/>
      <c r="O15796" s="11"/>
      <c r="P15796" s="11"/>
    </row>
    <row r="15797" spans="8:16" x14ac:dyDescent="0.25">
      <c r="H15797" s="12"/>
      <c r="I15797" s="12"/>
      <c r="J15797" s="12"/>
      <c r="K15797" s="12"/>
      <c r="L15797" s="12"/>
      <c r="M15797" s="11"/>
      <c r="N15797" s="11"/>
      <c r="O15797" s="11"/>
      <c r="P15797" s="11"/>
    </row>
    <row r="15798" spans="8:16" x14ac:dyDescent="0.25">
      <c r="H15798" s="12"/>
      <c r="I15798" s="12"/>
      <c r="J15798" s="12"/>
      <c r="K15798" s="12"/>
      <c r="L15798" s="12"/>
      <c r="M15798" s="11"/>
      <c r="N15798" s="11"/>
      <c r="O15798" s="11"/>
      <c r="P15798" s="11"/>
    </row>
    <row r="15799" spans="8:16" x14ac:dyDescent="0.25">
      <c r="H15799" s="12"/>
      <c r="I15799" s="12"/>
      <c r="J15799" s="12"/>
      <c r="K15799" s="12"/>
      <c r="L15799" s="12"/>
      <c r="M15799" s="11"/>
      <c r="N15799" s="11"/>
      <c r="O15799" s="11"/>
      <c r="P15799" s="11"/>
    </row>
    <row r="15800" spans="8:16" x14ac:dyDescent="0.25">
      <c r="H15800" s="12"/>
      <c r="I15800" s="12"/>
      <c r="J15800" s="12"/>
      <c r="K15800" s="12"/>
      <c r="L15800" s="12"/>
      <c r="M15800" s="11"/>
      <c r="N15800" s="11"/>
      <c r="O15800" s="11"/>
      <c r="P15800" s="11"/>
    </row>
    <row r="15801" spans="8:16" x14ac:dyDescent="0.25">
      <c r="H15801" s="12"/>
      <c r="I15801" s="12"/>
      <c r="J15801" s="12"/>
      <c r="K15801" s="12"/>
      <c r="L15801" s="12"/>
      <c r="M15801" s="11"/>
      <c r="N15801" s="11"/>
      <c r="O15801" s="11"/>
      <c r="P15801" s="11"/>
    </row>
    <row r="15802" spans="8:16" x14ac:dyDescent="0.25">
      <c r="H15802" s="12"/>
      <c r="I15802" s="12"/>
      <c r="J15802" s="12"/>
      <c r="K15802" s="12"/>
      <c r="L15802" s="12"/>
      <c r="M15802" s="11"/>
      <c r="N15802" s="11"/>
      <c r="O15802" s="11"/>
      <c r="P15802" s="11"/>
    </row>
    <row r="15803" spans="8:16" x14ac:dyDescent="0.25">
      <c r="H15803" s="12"/>
      <c r="I15803" s="12"/>
      <c r="J15803" s="12"/>
      <c r="K15803" s="12"/>
      <c r="L15803" s="12"/>
      <c r="M15803" s="11"/>
      <c r="N15803" s="11"/>
      <c r="O15803" s="11"/>
      <c r="P15803" s="11"/>
    </row>
    <row r="15804" spans="8:16" x14ac:dyDescent="0.25">
      <c r="H15804" s="12"/>
      <c r="I15804" s="12"/>
      <c r="J15804" s="12"/>
      <c r="K15804" s="12"/>
      <c r="L15804" s="12"/>
      <c r="M15804" s="11"/>
      <c r="N15804" s="11"/>
      <c r="O15804" s="11"/>
      <c r="P15804" s="11"/>
    </row>
    <row r="15805" spans="8:16" x14ac:dyDescent="0.25">
      <c r="H15805" s="12"/>
      <c r="I15805" s="12"/>
      <c r="J15805" s="12"/>
      <c r="K15805" s="12"/>
      <c r="L15805" s="12"/>
      <c r="M15805" s="11"/>
      <c r="N15805" s="11"/>
      <c r="O15805" s="11"/>
      <c r="P15805" s="11"/>
    </row>
    <row r="15806" spans="8:16" x14ac:dyDescent="0.25">
      <c r="H15806" s="12"/>
      <c r="I15806" s="12"/>
      <c r="J15806" s="12"/>
      <c r="K15806" s="12"/>
      <c r="L15806" s="12"/>
      <c r="M15806" s="11"/>
      <c r="N15806" s="11"/>
      <c r="O15806" s="11"/>
      <c r="P15806" s="11"/>
    </row>
    <row r="15807" spans="8:16" x14ac:dyDescent="0.25">
      <c r="H15807" s="12"/>
      <c r="I15807" s="12"/>
      <c r="J15807" s="12"/>
      <c r="K15807" s="12"/>
      <c r="L15807" s="12"/>
      <c r="M15807" s="11"/>
      <c r="N15807" s="11"/>
      <c r="O15807" s="11"/>
      <c r="P15807" s="11"/>
    </row>
    <row r="15808" spans="8:16" x14ac:dyDescent="0.25">
      <c r="H15808" s="12"/>
      <c r="I15808" s="12"/>
      <c r="J15808" s="12"/>
      <c r="K15808" s="12"/>
      <c r="L15808" s="12"/>
      <c r="M15808" s="11"/>
      <c r="N15808" s="11"/>
      <c r="O15808" s="11"/>
      <c r="P15808" s="11"/>
    </row>
    <row r="15809" spans="8:16" x14ac:dyDescent="0.25">
      <c r="H15809" s="12"/>
      <c r="I15809" s="12"/>
      <c r="J15809" s="12"/>
      <c r="K15809" s="12"/>
      <c r="L15809" s="12"/>
      <c r="M15809" s="11"/>
      <c r="N15809" s="11"/>
      <c r="O15809" s="11"/>
      <c r="P15809" s="11"/>
    </row>
    <row r="15810" spans="8:16" x14ac:dyDescent="0.25">
      <c r="H15810" s="12"/>
      <c r="I15810" s="12"/>
      <c r="J15810" s="12"/>
      <c r="K15810" s="12"/>
      <c r="L15810" s="12"/>
      <c r="M15810" s="11"/>
      <c r="N15810" s="11"/>
      <c r="O15810" s="11"/>
      <c r="P15810" s="11"/>
    </row>
    <row r="15811" spans="8:16" x14ac:dyDescent="0.25">
      <c r="H15811" s="12"/>
      <c r="I15811" s="12"/>
      <c r="J15811" s="12"/>
      <c r="K15811" s="12"/>
      <c r="L15811" s="12"/>
      <c r="M15811" s="11"/>
      <c r="N15811" s="11"/>
      <c r="O15811" s="11"/>
      <c r="P15811" s="11"/>
    </row>
    <row r="15812" spans="8:16" x14ac:dyDescent="0.25">
      <c r="H15812" s="12"/>
      <c r="I15812" s="12"/>
      <c r="J15812" s="12"/>
      <c r="K15812" s="12"/>
      <c r="L15812" s="12"/>
      <c r="M15812" s="11"/>
      <c r="N15812" s="11"/>
      <c r="O15812" s="11"/>
      <c r="P15812" s="11"/>
    </row>
    <row r="15813" spans="8:16" x14ac:dyDescent="0.25">
      <c r="H15813" s="12"/>
      <c r="I15813" s="12"/>
      <c r="J15813" s="12"/>
      <c r="K15813" s="12"/>
      <c r="L15813" s="12"/>
      <c r="M15813" s="11"/>
      <c r="N15813" s="11"/>
      <c r="O15813" s="11"/>
      <c r="P15813" s="11"/>
    </row>
    <row r="15814" spans="8:16" x14ac:dyDescent="0.25">
      <c r="H15814" s="12"/>
      <c r="I15814" s="12"/>
      <c r="J15814" s="12"/>
      <c r="K15814" s="12"/>
      <c r="L15814" s="12"/>
      <c r="M15814" s="11"/>
      <c r="N15814" s="11"/>
      <c r="O15814" s="11"/>
      <c r="P15814" s="11"/>
    </row>
    <row r="15815" spans="8:16" x14ac:dyDescent="0.25">
      <c r="H15815" s="12"/>
      <c r="I15815" s="12"/>
      <c r="J15815" s="12"/>
      <c r="K15815" s="12"/>
      <c r="L15815" s="12"/>
      <c r="M15815" s="11"/>
      <c r="N15815" s="11"/>
      <c r="O15815" s="11"/>
      <c r="P15815" s="11"/>
    </row>
    <row r="15816" spans="8:16" x14ac:dyDescent="0.25">
      <c r="H15816" s="12"/>
      <c r="I15816" s="12"/>
      <c r="J15816" s="12"/>
      <c r="K15816" s="12"/>
      <c r="L15816" s="12"/>
      <c r="M15816" s="11"/>
      <c r="N15816" s="11"/>
      <c r="O15816" s="11"/>
      <c r="P15816" s="11"/>
    </row>
    <row r="15817" spans="8:16" x14ac:dyDescent="0.25">
      <c r="H15817" s="12"/>
      <c r="I15817" s="12"/>
      <c r="J15817" s="12"/>
      <c r="K15817" s="12"/>
      <c r="L15817" s="12"/>
      <c r="M15817" s="11"/>
      <c r="N15817" s="11"/>
      <c r="O15817" s="11"/>
      <c r="P15817" s="11"/>
    </row>
    <row r="15818" spans="8:16" x14ac:dyDescent="0.25">
      <c r="H15818" s="12"/>
      <c r="I15818" s="12"/>
      <c r="J15818" s="12"/>
      <c r="K15818" s="12"/>
      <c r="L15818" s="12"/>
      <c r="M15818" s="11"/>
      <c r="N15818" s="11"/>
      <c r="O15818" s="11"/>
      <c r="P15818" s="11"/>
    </row>
    <row r="15819" spans="8:16" x14ac:dyDescent="0.25">
      <c r="H15819" s="12"/>
      <c r="I15819" s="12"/>
      <c r="J15819" s="12"/>
      <c r="K15819" s="12"/>
      <c r="L15819" s="12"/>
      <c r="M15819" s="11"/>
      <c r="N15819" s="11"/>
      <c r="O15819" s="11"/>
      <c r="P15819" s="11"/>
    </row>
    <row r="15820" spans="8:16" x14ac:dyDescent="0.25">
      <c r="H15820" s="12"/>
      <c r="I15820" s="12"/>
      <c r="J15820" s="12"/>
      <c r="K15820" s="12"/>
      <c r="L15820" s="12"/>
      <c r="M15820" s="11"/>
      <c r="N15820" s="11"/>
      <c r="O15820" s="11"/>
      <c r="P15820" s="11"/>
    </row>
    <row r="15821" spans="8:16" x14ac:dyDescent="0.25">
      <c r="H15821" s="12"/>
      <c r="I15821" s="12"/>
      <c r="J15821" s="12"/>
      <c r="K15821" s="12"/>
      <c r="L15821" s="12"/>
      <c r="M15821" s="11"/>
      <c r="N15821" s="11"/>
      <c r="O15821" s="11"/>
      <c r="P15821" s="11"/>
    </row>
    <row r="15822" spans="8:16" x14ac:dyDescent="0.25">
      <c r="H15822" s="12"/>
      <c r="I15822" s="12"/>
      <c r="J15822" s="12"/>
      <c r="K15822" s="12"/>
      <c r="L15822" s="12"/>
      <c r="M15822" s="11"/>
      <c r="N15822" s="11"/>
      <c r="O15822" s="11"/>
      <c r="P15822" s="11"/>
    </row>
    <row r="15823" spans="8:16" x14ac:dyDescent="0.25">
      <c r="H15823" s="12"/>
      <c r="I15823" s="12"/>
      <c r="J15823" s="12"/>
      <c r="K15823" s="12"/>
      <c r="L15823" s="12"/>
      <c r="M15823" s="11"/>
      <c r="N15823" s="11"/>
      <c r="O15823" s="11"/>
      <c r="P15823" s="11"/>
    </row>
    <row r="15824" spans="8:16" x14ac:dyDescent="0.25">
      <c r="H15824" s="12"/>
      <c r="I15824" s="12"/>
      <c r="J15824" s="12"/>
      <c r="K15824" s="12"/>
      <c r="L15824" s="12"/>
      <c r="M15824" s="11"/>
      <c r="N15824" s="11"/>
      <c r="O15824" s="11"/>
      <c r="P15824" s="11"/>
    </row>
    <row r="15825" spans="8:16" x14ac:dyDescent="0.25">
      <c r="H15825" s="12"/>
      <c r="I15825" s="12"/>
      <c r="J15825" s="12"/>
      <c r="K15825" s="12"/>
      <c r="L15825" s="12"/>
      <c r="M15825" s="11"/>
      <c r="N15825" s="11"/>
      <c r="O15825" s="11"/>
      <c r="P15825" s="11"/>
    </row>
    <row r="15826" spans="8:16" x14ac:dyDescent="0.25">
      <c r="H15826" s="12"/>
      <c r="I15826" s="12"/>
      <c r="J15826" s="12"/>
      <c r="K15826" s="12"/>
      <c r="L15826" s="12"/>
      <c r="M15826" s="11"/>
      <c r="N15826" s="11"/>
      <c r="O15826" s="11"/>
      <c r="P15826" s="11"/>
    </row>
    <row r="15827" spans="8:16" x14ac:dyDescent="0.25">
      <c r="H15827" s="12"/>
      <c r="I15827" s="12"/>
      <c r="J15827" s="12"/>
      <c r="K15827" s="12"/>
      <c r="L15827" s="12"/>
      <c r="M15827" s="11"/>
      <c r="N15827" s="11"/>
      <c r="O15827" s="11"/>
      <c r="P15827" s="11"/>
    </row>
    <row r="15828" spans="8:16" x14ac:dyDescent="0.25">
      <c r="H15828" s="12"/>
      <c r="I15828" s="12"/>
      <c r="J15828" s="12"/>
      <c r="K15828" s="12"/>
      <c r="L15828" s="12"/>
      <c r="M15828" s="11"/>
      <c r="N15828" s="11"/>
      <c r="O15828" s="11"/>
      <c r="P15828" s="11"/>
    </row>
    <row r="15829" spans="8:16" x14ac:dyDescent="0.25">
      <c r="H15829" s="12"/>
      <c r="I15829" s="12"/>
      <c r="J15829" s="12"/>
      <c r="K15829" s="12"/>
      <c r="L15829" s="12"/>
      <c r="M15829" s="11"/>
      <c r="N15829" s="11"/>
      <c r="O15829" s="11"/>
      <c r="P15829" s="11"/>
    </row>
    <row r="15830" spans="8:16" x14ac:dyDescent="0.25">
      <c r="H15830" s="12"/>
      <c r="I15830" s="12"/>
      <c r="J15830" s="12"/>
      <c r="K15830" s="12"/>
      <c r="L15830" s="12"/>
      <c r="M15830" s="11"/>
      <c r="N15830" s="11"/>
      <c r="O15830" s="11"/>
      <c r="P15830" s="11"/>
    </row>
    <row r="15831" spans="8:16" x14ac:dyDescent="0.25">
      <c r="H15831" s="12"/>
      <c r="I15831" s="12"/>
      <c r="J15831" s="12"/>
      <c r="K15831" s="12"/>
      <c r="L15831" s="12"/>
      <c r="M15831" s="11"/>
      <c r="N15831" s="11"/>
      <c r="O15831" s="11"/>
      <c r="P15831" s="11"/>
    </row>
    <row r="15832" spans="8:16" x14ac:dyDescent="0.25">
      <c r="H15832" s="12"/>
      <c r="I15832" s="12"/>
      <c r="J15832" s="12"/>
      <c r="K15832" s="12"/>
      <c r="L15832" s="12"/>
      <c r="M15832" s="11"/>
      <c r="N15832" s="11"/>
      <c r="O15832" s="11"/>
      <c r="P15832" s="11"/>
    </row>
    <row r="15833" spans="8:16" x14ac:dyDescent="0.25">
      <c r="H15833" s="12"/>
      <c r="I15833" s="12"/>
      <c r="J15833" s="12"/>
      <c r="K15833" s="12"/>
      <c r="L15833" s="12"/>
      <c r="M15833" s="11"/>
      <c r="N15833" s="11"/>
      <c r="O15833" s="11"/>
      <c r="P15833" s="11"/>
    </row>
    <row r="15834" spans="8:16" x14ac:dyDescent="0.25">
      <c r="H15834" s="12"/>
      <c r="I15834" s="12"/>
      <c r="J15834" s="12"/>
      <c r="K15834" s="12"/>
      <c r="L15834" s="12"/>
      <c r="M15834" s="11"/>
      <c r="N15834" s="11"/>
      <c r="O15834" s="11"/>
      <c r="P15834" s="11"/>
    </row>
    <row r="15835" spans="8:16" x14ac:dyDescent="0.25">
      <c r="H15835" s="12"/>
      <c r="I15835" s="12"/>
      <c r="J15835" s="12"/>
      <c r="K15835" s="12"/>
      <c r="L15835" s="12"/>
      <c r="M15835" s="11"/>
      <c r="N15835" s="11"/>
      <c r="O15835" s="11"/>
      <c r="P15835" s="11"/>
    </row>
    <row r="15836" spans="8:16" x14ac:dyDescent="0.25">
      <c r="H15836" s="12"/>
      <c r="I15836" s="12"/>
      <c r="J15836" s="12"/>
      <c r="K15836" s="12"/>
      <c r="L15836" s="12"/>
      <c r="M15836" s="11"/>
      <c r="N15836" s="11"/>
      <c r="O15836" s="11"/>
      <c r="P15836" s="11"/>
    </row>
    <row r="15837" spans="8:16" x14ac:dyDescent="0.25">
      <c r="H15837" s="12"/>
      <c r="I15837" s="12"/>
      <c r="J15837" s="12"/>
      <c r="K15837" s="12"/>
      <c r="L15837" s="12"/>
      <c r="M15837" s="11"/>
      <c r="N15837" s="11"/>
      <c r="O15837" s="11"/>
      <c r="P15837" s="11"/>
    </row>
    <row r="15838" spans="8:16" x14ac:dyDescent="0.25">
      <c r="H15838" s="12"/>
      <c r="I15838" s="12"/>
      <c r="J15838" s="12"/>
      <c r="K15838" s="12"/>
      <c r="L15838" s="12"/>
      <c r="M15838" s="11"/>
      <c r="N15838" s="11"/>
      <c r="O15838" s="11"/>
      <c r="P15838" s="11"/>
    </row>
    <row r="15839" spans="8:16" x14ac:dyDescent="0.25">
      <c r="H15839" s="12"/>
      <c r="I15839" s="12"/>
      <c r="J15839" s="12"/>
      <c r="K15839" s="12"/>
      <c r="L15839" s="12"/>
      <c r="M15839" s="11"/>
      <c r="N15839" s="11"/>
      <c r="O15839" s="11"/>
      <c r="P15839" s="11"/>
    </row>
    <row r="15840" spans="8:16" x14ac:dyDescent="0.25">
      <c r="H15840" s="12"/>
      <c r="I15840" s="12"/>
      <c r="J15840" s="12"/>
      <c r="K15840" s="12"/>
      <c r="L15840" s="12"/>
      <c r="M15840" s="11"/>
      <c r="N15840" s="11"/>
      <c r="O15840" s="11"/>
      <c r="P15840" s="11"/>
    </row>
    <row r="15841" spans="8:16" x14ac:dyDescent="0.25">
      <c r="H15841" s="12"/>
      <c r="I15841" s="12"/>
      <c r="J15841" s="12"/>
      <c r="K15841" s="12"/>
      <c r="L15841" s="12"/>
      <c r="M15841" s="11"/>
      <c r="N15841" s="11"/>
      <c r="O15841" s="11"/>
      <c r="P15841" s="11"/>
    </row>
    <row r="15842" spans="8:16" x14ac:dyDescent="0.25">
      <c r="H15842" s="12"/>
      <c r="I15842" s="12"/>
      <c r="J15842" s="12"/>
      <c r="K15842" s="12"/>
      <c r="L15842" s="12"/>
      <c r="M15842" s="11"/>
      <c r="N15842" s="11"/>
      <c r="O15842" s="11"/>
      <c r="P15842" s="11"/>
    </row>
    <row r="15843" spans="8:16" x14ac:dyDescent="0.25">
      <c r="H15843" s="12"/>
      <c r="I15843" s="12"/>
      <c r="J15843" s="12"/>
      <c r="K15843" s="12"/>
      <c r="L15843" s="12"/>
      <c r="M15843" s="11"/>
      <c r="N15843" s="11"/>
      <c r="O15843" s="11"/>
      <c r="P15843" s="11"/>
    </row>
    <row r="15844" spans="8:16" x14ac:dyDescent="0.25">
      <c r="H15844" s="12"/>
      <c r="I15844" s="12"/>
      <c r="J15844" s="12"/>
      <c r="K15844" s="12"/>
      <c r="L15844" s="12"/>
      <c r="M15844" s="11"/>
      <c r="N15844" s="11"/>
      <c r="O15844" s="11"/>
      <c r="P15844" s="11"/>
    </row>
    <row r="15845" spans="8:16" x14ac:dyDescent="0.25">
      <c r="H15845" s="12"/>
      <c r="I15845" s="12"/>
      <c r="J15845" s="12"/>
      <c r="K15845" s="12"/>
      <c r="L15845" s="12"/>
      <c r="M15845" s="11"/>
      <c r="N15845" s="11"/>
      <c r="O15845" s="11"/>
      <c r="P15845" s="11"/>
    </row>
    <row r="15846" spans="8:16" x14ac:dyDescent="0.25">
      <c r="H15846" s="12"/>
      <c r="I15846" s="12"/>
      <c r="J15846" s="12"/>
      <c r="K15846" s="12"/>
      <c r="L15846" s="12"/>
      <c r="M15846" s="11"/>
      <c r="N15846" s="11"/>
      <c r="O15846" s="11"/>
      <c r="P15846" s="11"/>
    </row>
    <row r="15847" spans="8:16" x14ac:dyDescent="0.25">
      <c r="H15847" s="12"/>
      <c r="I15847" s="12"/>
      <c r="J15847" s="12"/>
      <c r="K15847" s="12"/>
      <c r="L15847" s="12"/>
      <c r="M15847" s="11"/>
      <c r="N15847" s="11"/>
      <c r="O15847" s="11"/>
      <c r="P15847" s="11"/>
    </row>
    <row r="15848" spans="8:16" x14ac:dyDescent="0.25">
      <c r="H15848" s="12"/>
      <c r="I15848" s="12"/>
      <c r="J15848" s="12"/>
      <c r="K15848" s="12"/>
      <c r="L15848" s="12"/>
      <c r="M15848" s="11"/>
      <c r="N15848" s="11"/>
      <c r="O15848" s="11"/>
      <c r="P15848" s="11"/>
    </row>
    <row r="15849" spans="8:16" x14ac:dyDescent="0.25">
      <c r="H15849" s="12"/>
      <c r="I15849" s="12"/>
      <c r="J15849" s="12"/>
      <c r="K15849" s="12"/>
      <c r="L15849" s="12"/>
      <c r="M15849" s="11"/>
      <c r="N15849" s="11"/>
      <c r="O15849" s="11"/>
      <c r="P15849" s="11"/>
    </row>
    <row r="15850" spans="8:16" x14ac:dyDescent="0.25">
      <c r="H15850" s="12"/>
      <c r="I15850" s="12"/>
      <c r="J15850" s="12"/>
      <c r="K15850" s="12"/>
      <c r="L15850" s="12"/>
      <c r="M15850" s="11"/>
      <c r="N15850" s="11"/>
      <c r="O15850" s="11"/>
      <c r="P15850" s="11"/>
    </row>
    <row r="15851" spans="8:16" x14ac:dyDescent="0.25">
      <c r="H15851" s="12"/>
      <c r="I15851" s="12"/>
      <c r="J15851" s="12"/>
      <c r="K15851" s="12"/>
      <c r="L15851" s="12"/>
      <c r="M15851" s="11"/>
      <c r="N15851" s="11"/>
      <c r="O15851" s="11"/>
      <c r="P15851" s="11"/>
    </row>
    <row r="15852" spans="8:16" x14ac:dyDescent="0.25">
      <c r="H15852" s="12"/>
      <c r="I15852" s="12"/>
      <c r="J15852" s="12"/>
      <c r="K15852" s="12"/>
      <c r="L15852" s="12"/>
      <c r="M15852" s="11"/>
      <c r="N15852" s="11"/>
      <c r="O15852" s="11"/>
      <c r="P15852" s="11"/>
    </row>
    <row r="15853" spans="8:16" x14ac:dyDescent="0.25">
      <c r="H15853" s="12"/>
      <c r="I15853" s="12"/>
      <c r="J15853" s="12"/>
      <c r="K15853" s="12"/>
      <c r="L15853" s="12"/>
      <c r="M15853" s="11"/>
      <c r="N15853" s="11"/>
      <c r="O15853" s="11"/>
      <c r="P15853" s="11"/>
    </row>
    <row r="15854" spans="8:16" x14ac:dyDescent="0.25">
      <c r="H15854" s="12"/>
      <c r="I15854" s="12"/>
      <c r="J15854" s="12"/>
      <c r="K15854" s="12"/>
      <c r="L15854" s="12"/>
      <c r="M15854" s="11"/>
      <c r="N15854" s="11"/>
      <c r="O15854" s="11"/>
      <c r="P15854" s="11"/>
    </row>
    <row r="15855" spans="8:16" x14ac:dyDescent="0.25">
      <c r="H15855" s="12"/>
      <c r="I15855" s="12"/>
      <c r="J15855" s="12"/>
      <c r="K15855" s="12"/>
      <c r="L15855" s="12"/>
      <c r="M15855" s="11"/>
      <c r="N15855" s="11"/>
      <c r="O15855" s="11"/>
      <c r="P15855" s="11"/>
    </row>
    <row r="15856" spans="8:16" x14ac:dyDescent="0.25">
      <c r="H15856" s="12"/>
      <c r="I15856" s="12"/>
      <c r="J15856" s="12"/>
      <c r="K15856" s="12"/>
      <c r="L15856" s="12"/>
      <c r="M15856" s="11"/>
      <c r="N15856" s="11"/>
      <c r="O15856" s="11"/>
      <c r="P15856" s="11"/>
    </row>
    <row r="15857" spans="8:16" x14ac:dyDescent="0.25">
      <c r="H15857" s="12"/>
      <c r="I15857" s="12"/>
      <c r="J15857" s="12"/>
      <c r="K15857" s="12"/>
      <c r="L15857" s="12"/>
      <c r="M15857" s="11"/>
      <c r="N15857" s="11"/>
      <c r="O15857" s="11"/>
      <c r="P15857" s="11"/>
    </row>
    <row r="15858" spans="8:16" x14ac:dyDescent="0.25">
      <c r="H15858" s="12"/>
      <c r="I15858" s="12"/>
      <c r="J15858" s="12"/>
      <c r="K15858" s="12"/>
      <c r="L15858" s="12"/>
      <c r="M15858" s="11"/>
      <c r="N15858" s="11"/>
      <c r="O15858" s="11"/>
      <c r="P15858" s="11"/>
    </row>
    <row r="15859" spans="8:16" x14ac:dyDescent="0.25">
      <c r="H15859" s="12"/>
      <c r="I15859" s="12"/>
      <c r="J15859" s="12"/>
      <c r="K15859" s="12"/>
      <c r="L15859" s="12"/>
      <c r="M15859" s="11"/>
      <c r="N15859" s="11"/>
      <c r="O15859" s="11"/>
      <c r="P15859" s="11"/>
    </row>
    <row r="15860" spans="8:16" x14ac:dyDescent="0.25">
      <c r="H15860" s="12"/>
      <c r="I15860" s="12"/>
      <c r="J15860" s="12"/>
      <c r="K15860" s="12"/>
      <c r="L15860" s="12"/>
      <c r="M15860" s="11"/>
      <c r="N15860" s="11"/>
      <c r="O15860" s="11"/>
      <c r="P15860" s="11"/>
    </row>
    <row r="15861" spans="8:16" x14ac:dyDescent="0.25">
      <c r="H15861" s="12"/>
      <c r="I15861" s="12"/>
      <c r="J15861" s="12"/>
      <c r="K15861" s="12"/>
      <c r="L15861" s="12"/>
      <c r="M15861" s="11"/>
      <c r="N15861" s="11"/>
      <c r="O15861" s="11"/>
      <c r="P15861" s="11"/>
    </row>
    <row r="15862" spans="8:16" x14ac:dyDescent="0.25">
      <c r="H15862" s="12"/>
      <c r="I15862" s="12"/>
      <c r="J15862" s="12"/>
      <c r="K15862" s="12"/>
      <c r="L15862" s="12"/>
      <c r="M15862" s="11"/>
      <c r="N15862" s="11"/>
      <c r="O15862" s="11"/>
      <c r="P15862" s="11"/>
    </row>
    <row r="15863" spans="8:16" x14ac:dyDescent="0.25">
      <c r="H15863" s="12"/>
      <c r="I15863" s="12"/>
      <c r="J15863" s="12"/>
      <c r="K15863" s="12"/>
      <c r="L15863" s="12"/>
      <c r="M15863" s="11"/>
      <c r="N15863" s="11"/>
      <c r="O15863" s="11"/>
      <c r="P15863" s="11"/>
    </row>
    <row r="15864" spans="8:16" x14ac:dyDescent="0.25">
      <c r="H15864" s="12"/>
      <c r="I15864" s="12"/>
      <c r="J15864" s="12"/>
      <c r="K15864" s="12"/>
      <c r="L15864" s="12"/>
      <c r="M15864" s="11"/>
      <c r="N15864" s="11"/>
      <c r="O15864" s="11"/>
      <c r="P15864" s="11"/>
    </row>
    <row r="15865" spans="8:16" x14ac:dyDescent="0.25">
      <c r="H15865" s="12"/>
      <c r="I15865" s="12"/>
      <c r="J15865" s="12"/>
      <c r="K15865" s="12"/>
      <c r="L15865" s="12"/>
      <c r="M15865" s="11"/>
      <c r="N15865" s="11"/>
      <c r="O15865" s="11"/>
      <c r="P15865" s="11"/>
    </row>
    <row r="15866" spans="8:16" x14ac:dyDescent="0.25">
      <c r="H15866" s="12"/>
      <c r="I15866" s="12"/>
      <c r="J15866" s="12"/>
      <c r="K15866" s="12"/>
      <c r="L15866" s="12"/>
      <c r="M15866" s="11"/>
      <c r="N15866" s="11"/>
      <c r="O15866" s="11"/>
      <c r="P15866" s="11"/>
    </row>
    <row r="15867" spans="8:16" x14ac:dyDescent="0.25">
      <c r="H15867" s="12"/>
      <c r="I15867" s="12"/>
      <c r="J15867" s="12"/>
      <c r="K15867" s="12"/>
      <c r="L15867" s="12"/>
      <c r="M15867" s="11"/>
      <c r="N15867" s="11"/>
      <c r="O15867" s="11"/>
      <c r="P15867" s="11"/>
    </row>
    <row r="15868" spans="8:16" x14ac:dyDescent="0.25">
      <c r="H15868" s="12"/>
      <c r="I15868" s="12"/>
      <c r="J15868" s="12"/>
      <c r="K15868" s="12"/>
      <c r="L15868" s="12"/>
      <c r="M15868" s="11"/>
      <c r="N15868" s="11"/>
      <c r="O15868" s="11"/>
      <c r="P15868" s="11"/>
    </row>
    <row r="15869" spans="8:16" x14ac:dyDescent="0.25">
      <c r="H15869" s="12"/>
      <c r="I15869" s="12"/>
      <c r="J15869" s="12"/>
      <c r="K15869" s="12"/>
      <c r="L15869" s="12"/>
      <c r="M15869" s="11"/>
      <c r="N15869" s="11"/>
      <c r="O15869" s="11"/>
      <c r="P15869" s="11"/>
    </row>
    <row r="15870" spans="8:16" x14ac:dyDescent="0.25">
      <c r="H15870" s="12"/>
      <c r="I15870" s="12"/>
      <c r="J15870" s="12"/>
      <c r="K15870" s="12"/>
      <c r="L15870" s="12"/>
      <c r="M15870" s="11"/>
      <c r="N15870" s="11"/>
      <c r="O15870" s="11"/>
      <c r="P15870" s="11"/>
    </row>
    <row r="15871" spans="8:16" x14ac:dyDescent="0.25">
      <c r="H15871" s="12"/>
      <c r="I15871" s="12"/>
      <c r="J15871" s="12"/>
      <c r="K15871" s="12"/>
      <c r="L15871" s="12"/>
      <c r="M15871" s="11"/>
      <c r="N15871" s="11"/>
      <c r="O15871" s="11"/>
      <c r="P15871" s="11"/>
    </row>
    <row r="15872" spans="8:16" x14ac:dyDescent="0.25">
      <c r="H15872" s="12"/>
      <c r="I15872" s="12"/>
      <c r="J15872" s="12"/>
      <c r="K15872" s="12"/>
      <c r="L15872" s="12"/>
      <c r="M15872" s="11"/>
      <c r="N15872" s="11"/>
      <c r="O15872" s="11"/>
      <c r="P15872" s="11"/>
    </row>
    <row r="15873" spans="8:16" x14ac:dyDescent="0.25">
      <c r="H15873" s="12"/>
      <c r="I15873" s="12"/>
      <c r="J15873" s="12"/>
      <c r="K15873" s="12"/>
      <c r="L15873" s="12"/>
      <c r="M15873" s="11"/>
      <c r="N15873" s="11"/>
      <c r="O15873" s="11"/>
      <c r="P15873" s="11"/>
    </row>
    <row r="15874" spans="8:16" x14ac:dyDescent="0.25">
      <c r="H15874" s="12"/>
      <c r="I15874" s="12"/>
      <c r="J15874" s="12"/>
      <c r="K15874" s="12"/>
      <c r="L15874" s="12"/>
      <c r="M15874" s="11"/>
      <c r="N15874" s="11"/>
      <c r="O15874" s="11"/>
      <c r="P15874" s="11"/>
    </row>
    <row r="15875" spans="8:16" x14ac:dyDescent="0.25">
      <c r="H15875" s="12"/>
      <c r="I15875" s="12"/>
      <c r="J15875" s="12"/>
      <c r="K15875" s="12"/>
      <c r="L15875" s="12"/>
      <c r="M15875" s="11"/>
      <c r="N15875" s="11"/>
      <c r="O15875" s="11"/>
      <c r="P15875" s="11"/>
    </row>
    <row r="15876" spans="8:16" x14ac:dyDescent="0.25">
      <c r="H15876" s="12"/>
      <c r="I15876" s="12"/>
      <c r="J15876" s="12"/>
      <c r="K15876" s="12"/>
      <c r="L15876" s="12"/>
      <c r="M15876" s="11"/>
      <c r="N15876" s="11"/>
      <c r="O15876" s="11"/>
      <c r="P15876" s="11"/>
    </row>
    <row r="15877" spans="8:16" x14ac:dyDescent="0.25">
      <c r="H15877" s="12"/>
      <c r="I15877" s="12"/>
      <c r="J15877" s="12"/>
      <c r="K15877" s="12"/>
      <c r="L15877" s="12"/>
      <c r="M15877" s="11"/>
      <c r="N15877" s="11"/>
      <c r="O15877" s="11"/>
      <c r="P15877" s="11"/>
    </row>
    <row r="15878" spans="8:16" x14ac:dyDescent="0.25">
      <c r="H15878" s="12"/>
      <c r="I15878" s="12"/>
      <c r="J15878" s="12"/>
      <c r="K15878" s="12"/>
      <c r="L15878" s="12"/>
      <c r="M15878" s="11"/>
      <c r="N15878" s="11"/>
      <c r="O15878" s="11"/>
      <c r="P15878" s="11"/>
    </row>
    <row r="15879" spans="8:16" x14ac:dyDescent="0.25">
      <c r="H15879" s="12"/>
      <c r="I15879" s="12"/>
      <c r="J15879" s="12"/>
      <c r="K15879" s="12"/>
      <c r="L15879" s="12"/>
      <c r="M15879" s="11"/>
      <c r="N15879" s="11"/>
      <c r="O15879" s="11"/>
      <c r="P15879" s="11"/>
    </row>
    <row r="15880" spans="8:16" x14ac:dyDescent="0.25">
      <c r="H15880" s="12"/>
      <c r="I15880" s="12"/>
      <c r="J15880" s="12"/>
      <c r="K15880" s="12"/>
      <c r="L15880" s="12"/>
      <c r="M15880" s="11"/>
      <c r="N15880" s="11"/>
      <c r="O15880" s="11"/>
      <c r="P15880" s="11"/>
    </row>
    <row r="15881" spans="8:16" x14ac:dyDescent="0.25">
      <c r="H15881" s="12"/>
      <c r="I15881" s="12"/>
      <c r="J15881" s="12"/>
      <c r="K15881" s="12"/>
      <c r="L15881" s="12"/>
      <c r="M15881" s="11"/>
      <c r="N15881" s="11"/>
      <c r="O15881" s="11"/>
      <c r="P15881" s="11"/>
    </row>
    <row r="15882" spans="8:16" x14ac:dyDescent="0.25">
      <c r="H15882" s="12"/>
      <c r="I15882" s="12"/>
      <c r="J15882" s="12"/>
      <c r="K15882" s="12"/>
      <c r="L15882" s="12"/>
      <c r="M15882" s="11"/>
      <c r="N15882" s="11"/>
      <c r="O15882" s="11"/>
      <c r="P15882" s="11"/>
    </row>
    <row r="15883" spans="8:16" x14ac:dyDescent="0.25">
      <c r="H15883" s="12"/>
      <c r="I15883" s="12"/>
      <c r="J15883" s="12"/>
      <c r="K15883" s="12"/>
      <c r="L15883" s="12"/>
      <c r="M15883" s="11"/>
      <c r="N15883" s="11"/>
      <c r="O15883" s="11"/>
      <c r="P15883" s="11"/>
    </row>
    <row r="15884" spans="8:16" x14ac:dyDescent="0.25">
      <c r="H15884" s="12"/>
      <c r="I15884" s="12"/>
      <c r="J15884" s="12"/>
      <c r="K15884" s="12"/>
      <c r="L15884" s="12"/>
      <c r="M15884" s="11"/>
      <c r="N15884" s="11"/>
      <c r="O15884" s="11"/>
      <c r="P15884" s="11"/>
    </row>
    <row r="15885" spans="8:16" x14ac:dyDescent="0.25">
      <c r="H15885" s="12"/>
      <c r="I15885" s="12"/>
      <c r="J15885" s="12"/>
      <c r="K15885" s="12"/>
      <c r="L15885" s="12"/>
      <c r="M15885" s="11"/>
      <c r="N15885" s="11"/>
      <c r="O15885" s="11"/>
      <c r="P15885" s="11"/>
    </row>
    <row r="15886" spans="8:16" x14ac:dyDescent="0.25">
      <c r="H15886" s="12"/>
      <c r="I15886" s="12"/>
      <c r="J15886" s="12"/>
      <c r="K15886" s="12"/>
      <c r="L15886" s="12"/>
      <c r="M15886" s="11"/>
      <c r="N15886" s="11"/>
      <c r="O15886" s="11"/>
      <c r="P15886" s="11"/>
    </row>
    <row r="15887" spans="8:16" x14ac:dyDescent="0.25">
      <c r="H15887" s="12"/>
      <c r="I15887" s="12"/>
      <c r="J15887" s="12"/>
      <c r="K15887" s="12"/>
      <c r="L15887" s="12"/>
      <c r="M15887" s="11"/>
      <c r="N15887" s="11"/>
      <c r="O15887" s="11"/>
      <c r="P15887" s="11"/>
    </row>
    <row r="15888" spans="8:16" x14ac:dyDescent="0.25">
      <c r="H15888" s="12"/>
      <c r="I15888" s="12"/>
      <c r="J15888" s="12"/>
      <c r="K15888" s="12"/>
      <c r="L15888" s="12"/>
      <c r="M15888" s="11"/>
      <c r="N15888" s="11"/>
      <c r="O15888" s="11"/>
      <c r="P15888" s="11"/>
    </row>
    <row r="15889" spans="8:16" x14ac:dyDescent="0.25">
      <c r="H15889" s="12"/>
      <c r="I15889" s="12"/>
      <c r="J15889" s="12"/>
      <c r="K15889" s="12"/>
      <c r="L15889" s="12"/>
      <c r="M15889" s="11"/>
      <c r="N15889" s="11"/>
      <c r="O15889" s="11"/>
      <c r="P15889" s="11"/>
    </row>
    <row r="15890" spans="8:16" x14ac:dyDescent="0.25">
      <c r="H15890" s="12"/>
      <c r="I15890" s="12"/>
      <c r="J15890" s="12"/>
      <c r="K15890" s="12"/>
      <c r="L15890" s="12"/>
      <c r="M15890" s="11"/>
      <c r="N15890" s="11"/>
      <c r="O15890" s="11"/>
      <c r="P15890" s="11"/>
    </row>
    <row r="15891" spans="8:16" x14ac:dyDescent="0.25">
      <c r="H15891" s="12"/>
      <c r="I15891" s="12"/>
      <c r="J15891" s="12"/>
      <c r="K15891" s="12"/>
      <c r="L15891" s="12"/>
      <c r="M15891" s="11"/>
      <c r="N15891" s="11"/>
      <c r="O15891" s="11"/>
      <c r="P15891" s="11"/>
    </row>
    <row r="15892" spans="8:16" x14ac:dyDescent="0.25">
      <c r="H15892" s="12"/>
      <c r="I15892" s="12"/>
      <c r="J15892" s="12"/>
      <c r="K15892" s="12"/>
      <c r="L15892" s="12"/>
      <c r="M15892" s="11"/>
      <c r="N15892" s="11"/>
      <c r="O15892" s="11"/>
      <c r="P15892" s="11"/>
    </row>
    <row r="15893" spans="8:16" x14ac:dyDescent="0.25">
      <c r="H15893" s="12"/>
      <c r="I15893" s="12"/>
      <c r="J15893" s="12"/>
      <c r="K15893" s="12"/>
      <c r="L15893" s="12"/>
      <c r="M15893" s="11"/>
      <c r="N15893" s="11"/>
      <c r="O15893" s="11"/>
      <c r="P15893" s="11"/>
    </row>
    <row r="15894" spans="8:16" x14ac:dyDescent="0.25">
      <c r="H15894" s="12"/>
      <c r="I15894" s="12"/>
      <c r="J15894" s="12"/>
      <c r="K15894" s="12"/>
      <c r="L15894" s="12"/>
      <c r="M15894" s="11"/>
      <c r="N15894" s="11"/>
      <c r="O15894" s="11"/>
      <c r="P15894" s="11"/>
    </row>
    <row r="15895" spans="8:16" x14ac:dyDescent="0.25">
      <c r="H15895" s="12"/>
      <c r="I15895" s="12"/>
      <c r="J15895" s="12"/>
      <c r="K15895" s="12"/>
      <c r="L15895" s="12"/>
      <c r="M15895" s="11"/>
      <c r="N15895" s="11"/>
      <c r="O15895" s="11"/>
      <c r="P15895" s="11"/>
    </row>
    <row r="15896" spans="8:16" x14ac:dyDescent="0.25">
      <c r="H15896" s="12"/>
      <c r="I15896" s="12"/>
      <c r="J15896" s="12"/>
      <c r="K15896" s="12"/>
      <c r="L15896" s="12"/>
      <c r="M15896" s="11"/>
      <c r="N15896" s="11"/>
      <c r="O15896" s="11"/>
      <c r="P15896" s="11"/>
    </row>
    <row r="15897" spans="8:16" x14ac:dyDescent="0.25">
      <c r="H15897" s="12"/>
      <c r="I15897" s="12"/>
      <c r="J15897" s="12"/>
      <c r="K15897" s="12"/>
      <c r="L15897" s="12"/>
      <c r="M15897" s="11"/>
      <c r="N15897" s="11"/>
      <c r="O15897" s="11"/>
      <c r="P15897" s="11"/>
    </row>
    <row r="15898" spans="8:16" x14ac:dyDescent="0.25">
      <c r="H15898" s="12"/>
      <c r="I15898" s="12"/>
      <c r="J15898" s="12"/>
      <c r="K15898" s="12"/>
      <c r="L15898" s="12"/>
      <c r="M15898" s="11"/>
      <c r="N15898" s="11"/>
      <c r="O15898" s="11"/>
      <c r="P15898" s="11"/>
    </row>
    <row r="15899" spans="8:16" x14ac:dyDescent="0.25">
      <c r="H15899" s="12"/>
      <c r="I15899" s="12"/>
      <c r="J15899" s="12"/>
      <c r="K15899" s="12"/>
      <c r="L15899" s="12"/>
      <c r="M15899" s="11"/>
      <c r="N15899" s="11"/>
      <c r="O15899" s="11"/>
      <c r="P15899" s="11"/>
    </row>
    <row r="15900" spans="8:16" x14ac:dyDescent="0.25">
      <c r="H15900" s="12"/>
      <c r="I15900" s="12"/>
      <c r="J15900" s="12"/>
      <c r="K15900" s="12"/>
      <c r="L15900" s="12"/>
      <c r="M15900" s="11"/>
      <c r="N15900" s="11"/>
      <c r="O15900" s="11"/>
      <c r="P15900" s="11"/>
    </row>
    <row r="15901" spans="8:16" x14ac:dyDescent="0.25">
      <c r="H15901" s="12"/>
      <c r="I15901" s="12"/>
      <c r="J15901" s="12"/>
      <c r="K15901" s="12"/>
      <c r="L15901" s="12"/>
      <c r="M15901" s="11"/>
      <c r="N15901" s="11"/>
      <c r="O15901" s="11"/>
      <c r="P15901" s="11"/>
    </row>
    <row r="15902" spans="8:16" x14ac:dyDescent="0.25">
      <c r="H15902" s="12"/>
      <c r="I15902" s="12"/>
      <c r="J15902" s="12"/>
      <c r="K15902" s="12"/>
      <c r="L15902" s="12"/>
      <c r="M15902" s="11"/>
      <c r="N15902" s="11"/>
      <c r="O15902" s="11"/>
      <c r="P15902" s="11"/>
    </row>
    <row r="15903" spans="8:16" x14ac:dyDescent="0.25">
      <c r="H15903" s="12"/>
      <c r="I15903" s="12"/>
      <c r="J15903" s="12"/>
      <c r="K15903" s="12"/>
      <c r="L15903" s="12"/>
      <c r="M15903" s="11"/>
      <c r="N15903" s="11"/>
      <c r="O15903" s="11"/>
      <c r="P15903" s="11"/>
    </row>
    <row r="15904" spans="8:16" x14ac:dyDescent="0.25">
      <c r="H15904" s="12"/>
      <c r="I15904" s="12"/>
      <c r="J15904" s="12"/>
      <c r="K15904" s="12"/>
      <c r="L15904" s="12"/>
      <c r="M15904" s="11"/>
      <c r="N15904" s="11"/>
      <c r="O15904" s="11"/>
      <c r="P15904" s="11"/>
    </row>
    <row r="15905" spans="8:16" x14ac:dyDescent="0.25">
      <c r="H15905" s="12"/>
      <c r="I15905" s="12"/>
      <c r="J15905" s="12"/>
      <c r="K15905" s="12"/>
      <c r="L15905" s="12"/>
      <c r="M15905" s="11"/>
      <c r="N15905" s="11"/>
      <c r="O15905" s="11"/>
      <c r="P15905" s="11"/>
    </row>
    <row r="15906" spans="8:16" x14ac:dyDescent="0.25">
      <c r="H15906" s="12"/>
      <c r="I15906" s="12"/>
      <c r="J15906" s="12"/>
      <c r="K15906" s="12"/>
      <c r="L15906" s="12"/>
      <c r="M15906" s="11"/>
      <c r="N15906" s="11"/>
      <c r="O15906" s="11"/>
      <c r="P15906" s="11"/>
    </row>
    <row r="15907" spans="8:16" x14ac:dyDescent="0.25">
      <c r="H15907" s="12"/>
      <c r="I15907" s="12"/>
      <c r="J15907" s="12"/>
      <c r="K15907" s="12"/>
      <c r="L15907" s="12"/>
      <c r="M15907" s="11"/>
      <c r="N15907" s="11"/>
      <c r="O15907" s="11"/>
      <c r="P15907" s="11"/>
    </row>
    <row r="15908" spans="8:16" x14ac:dyDescent="0.25">
      <c r="H15908" s="12"/>
      <c r="I15908" s="12"/>
      <c r="J15908" s="12"/>
      <c r="K15908" s="12"/>
      <c r="L15908" s="12"/>
      <c r="M15908" s="11"/>
      <c r="N15908" s="11"/>
      <c r="O15908" s="11"/>
      <c r="P15908" s="11"/>
    </row>
    <row r="15909" spans="8:16" x14ac:dyDescent="0.25">
      <c r="H15909" s="12"/>
      <c r="I15909" s="12"/>
      <c r="J15909" s="12"/>
      <c r="K15909" s="12"/>
      <c r="L15909" s="12"/>
      <c r="M15909" s="11"/>
      <c r="N15909" s="11"/>
      <c r="O15909" s="11"/>
      <c r="P15909" s="11"/>
    </row>
    <row r="15910" spans="8:16" x14ac:dyDescent="0.25">
      <c r="H15910" s="12"/>
      <c r="I15910" s="12"/>
      <c r="J15910" s="12"/>
      <c r="K15910" s="12"/>
      <c r="L15910" s="12"/>
      <c r="M15910" s="11"/>
      <c r="N15910" s="11"/>
      <c r="O15910" s="11"/>
      <c r="P15910" s="11"/>
    </row>
    <row r="15911" spans="8:16" x14ac:dyDescent="0.25">
      <c r="H15911" s="12"/>
      <c r="I15911" s="12"/>
      <c r="J15911" s="12"/>
      <c r="K15911" s="12"/>
      <c r="L15911" s="12"/>
      <c r="M15911" s="11"/>
      <c r="N15911" s="11"/>
      <c r="O15911" s="11"/>
      <c r="P15911" s="11"/>
    </row>
    <row r="15912" spans="8:16" x14ac:dyDescent="0.25">
      <c r="H15912" s="12"/>
      <c r="I15912" s="12"/>
      <c r="J15912" s="12"/>
      <c r="K15912" s="12"/>
      <c r="L15912" s="12"/>
      <c r="M15912" s="11"/>
      <c r="N15912" s="11"/>
      <c r="O15912" s="11"/>
      <c r="P15912" s="11"/>
    </row>
    <row r="15913" spans="8:16" x14ac:dyDescent="0.25">
      <c r="H15913" s="12"/>
      <c r="I15913" s="12"/>
      <c r="J15913" s="12"/>
      <c r="K15913" s="12"/>
      <c r="L15913" s="12"/>
      <c r="M15913" s="11"/>
      <c r="N15913" s="11"/>
      <c r="O15913" s="11"/>
      <c r="P15913" s="11"/>
    </row>
    <row r="15914" spans="8:16" x14ac:dyDescent="0.25">
      <c r="H15914" s="12"/>
      <c r="I15914" s="12"/>
      <c r="J15914" s="12"/>
      <c r="K15914" s="12"/>
      <c r="L15914" s="12"/>
      <c r="M15914" s="11"/>
      <c r="N15914" s="11"/>
      <c r="O15914" s="11"/>
      <c r="P15914" s="11"/>
    </row>
    <row r="15915" spans="8:16" x14ac:dyDescent="0.25">
      <c r="H15915" s="12"/>
      <c r="I15915" s="12"/>
      <c r="J15915" s="12"/>
      <c r="K15915" s="12"/>
      <c r="L15915" s="12"/>
      <c r="M15915" s="11"/>
      <c r="N15915" s="11"/>
      <c r="O15915" s="11"/>
      <c r="P15915" s="11"/>
    </row>
    <row r="15916" spans="8:16" x14ac:dyDescent="0.25">
      <c r="H15916" s="12"/>
      <c r="I15916" s="12"/>
      <c r="J15916" s="12"/>
      <c r="K15916" s="12"/>
      <c r="L15916" s="12"/>
      <c r="M15916" s="11"/>
      <c r="N15916" s="11"/>
      <c r="O15916" s="11"/>
      <c r="P15916" s="11"/>
    </row>
    <row r="15917" spans="8:16" x14ac:dyDescent="0.25">
      <c r="H15917" s="12"/>
      <c r="I15917" s="12"/>
      <c r="J15917" s="12"/>
      <c r="K15917" s="12"/>
      <c r="L15917" s="12"/>
      <c r="M15917" s="11"/>
      <c r="N15917" s="11"/>
      <c r="O15917" s="11"/>
      <c r="P15917" s="11"/>
    </row>
    <row r="15918" spans="8:16" x14ac:dyDescent="0.25">
      <c r="H15918" s="12"/>
      <c r="I15918" s="12"/>
      <c r="J15918" s="12"/>
      <c r="K15918" s="12"/>
      <c r="L15918" s="12"/>
      <c r="M15918" s="11"/>
      <c r="N15918" s="11"/>
      <c r="O15918" s="11"/>
      <c r="P15918" s="11"/>
    </row>
    <row r="15919" spans="8:16" x14ac:dyDescent="0.25">
      <c r="H15919" s="12"/>
      <c r="I15919" s="12"/>
      <c r="J15919" s="12"/>
      <c r="K15919" s="12"/>
      <c r="L15919" s="12"/>
      <c r="M15919" s="11"/>
      <c r="N15919" s="11"/>
      <c r="O15919" s="11"/>
      <c r="P15919" s="11"/>
    </row>
    <row r="15920" spans="8:16" x14ac:dyDescent="0.25">
      <c r="H15920" s="12"/>
      <c r="I15920" s="12"/>
      <c r="J15920" s="12"/>
      <c r="K15920" s="12"/>
      <c r="L15920" s="12"/>
      <c r="M15920" s="11"/>
      <c r="N15920" s="11"/>
      <c r="O15920" s="11"/>
      <c r="P15920" s="11"/>
    </row>
    <row r="15921" spans="8:16" x14ac:dyDescent="0.25">
      <c r="H15921" s="12"/>
      <c r="I15921" s="12"/>
      <c r="J15921" s="12"/>
      <c r="K15921" s="12"/>
      <c r="L15921" s="12"/>
      <c r="M15921" s="11"/>
      <c r="N15921" s="11"/>
      <c r="O15921" s="11"/>
      <c r="P15921" s="11"/>
    </row>
    <row r="15922" spans="8:16" x14ac:dyDescent="0.25">
      <c r="H15922" s="12"/>
      <c r="I15922" s="12"/>
      <c r="J15922" s="12"/>
      <c r="K15922" s="12"/>
      <c r="L15922" s="12"/>
      <c r="M15922" s="11"/>
      <c r="N15922" s="11"/>
      <c r="O15922" s="11"/>
      <c r="P15922" s="11"/>
    </row>
    <row r="15923" spans="8:16" x14ac:dyDescent="0.25">
      <c r="H15923" s="12"/>
      <c r="I15923" s="12"/>
      <c r="J15923" s="12"/>
      <c r="K15923" s="12"/>
      <c r="L15923" s="12"/>
      <c r="M15923" s="11"/>
      <c r="N15923" s="11"/>
      <c r="O15923" s="11"/>
      <c r="P15923" s="11"/>
    </row>
    <row r="15924" spans="8:16" x14ac:dyDescent="0.25">
      <c r="H15924" s="12"/>
      <c r="I15924" s="12"/>
      <c r="J15924" s="12"/>
      <c r="K15924" s="12"/>
      <c r="L15924" s="12"/>
      <c r="M15924" s="11"/>
      <c r="N15924" s="11"/>
      <c r="O15924" s="11"/>
      <c r="P15924" s="11"/>
    </row>
    <row r="15925" spans="8:16" x14ac:dyDescent="0.25">
      <c r="H15925" s="12"/>
      <c r="I15925" s="12"/>
      <c r="J15925" s="12"/>
      <c r="K15925" s="12"/>
      <c r="L15925" s="12"/>
      <c r="M15925" s="11"/>
      <c r="N15925" s="11"/>
      <c r="O15925" s="11"/>
      <c r="P15925" s="11"/>
    </row>
    <row r="15926" spans="8:16" x14ac:dyDescent="0.25">
      <c r="H15926" s="12"/>
      <c r="I15926" s="12"/>
      <c r="J15926" s="12"/>
      <c r="K15926" s="12"/>
      <c r="L15926" s="12"/>
      <c r="M15926" s="11"/>
      <c r="N15926" s="11"/>
      <c r="O15926" s="11"/>
      <c r="P15926" s="11"/>
    </row>
    <row r="15927" spans="8:16" x14ac:dyDescent="0.25">
      <c r="H15927" s="12"/>
      <c r="I15927" s="12"/>
      <c r="J15927" s="12"/>
      <c r="K15927" s="12"/>
      <c r="L15927" s="12"/>
      <c r="M15927" s="11"/>
      <c r="N15927" s="11"/>
      <c r="O15927" s="11"/>
      <c r="P15927" s="11"/>
    </row>
    <row r="15928" spans="8:16" x14ac:dyDescent="0.25">
      <c r="H15928" s="12"/>
      <c r="I15928" s="12"/>
      <c r="J15928" s="12"/>
      <c r="K15928" s="12"/>
      <c r="L15928" s="12"/>
      <c r="M15928" s="11"/>
      <c r="N15928" s="11"/>
      <c r="O15928" s="11"/>
      <c r="P15928" s="11"/>
    </row>
    <row r="15929" spans="8:16" x14ac:dyDescent="0.25">
      <c r="H15929" s="12"/>
      <c r="I15929" s="12"/>
      <c r="J15929" s="12"/>
      <c r="K15929" s="12"/>
      <c r="L15929" s="12"/>
      <c r="M15929" s="11"/>
      <c r="N15929" s="11"/>
      <c r="O15929" s="11"/>
      <c r="P15929" s="11"/>
    </row>
    <row r="15930" spans="8:16" x14ac:dyDescent="0.25">
      <c r="H15930" s="12"/>
      <c r="I15930" s="12"/>
      <c r="J15930" s="12"/>
      <c r="K15930" s="12"/>
      <c r="L15930" s="12"/>
      <c r="M15930" s="11"/>
      <c r="N15930" s="11"/>
      <c r="O15930" s="11"/>
      <c r="P15930" s="11"/>
    </row>
    <row r="15931" spans="8:16" x14ac:dyDescent="0.25">
      <c r="H15931" s="12"/>
      <c r="I15931" s="12"/>
      <c r="J15931" s="12"/>
      <c r="K15931" s="12"/>
      <c r="L15931" s="12"/>
      <c r="M15931" s="11"/>
      <c r="N15931" s="11"/>
      <c r="O15931" s="11"/>
      <c r="P15931" s="11"/>
    </row>
    <row r="15932" spans="8:16" x14ac:dyDescent="0.25">
      <c r="H15932" s="12"/>
      <c r="I15932" s="12"/>
      <c r="J15932" s="12"/>
      <c r="K15932" s="12"/>
      <c r="L15932" s="12"/>
      <c r="M15932" s="11"/>
      <c r="N15932" s="11"/>
      <c r="O15932" s="11"/>
      <c r="P15932" s="11"/>
    </row>
    <row r="15933" spans="8:16" x14ac:dyDescent="0.25">
      <c r="H15933" s="12"/>
      <c r="I15933" s="12"/>
      <c r="J15933" s="12"/>
      <c r="K15933" s="12"/>
      <c r="L15933" s="12"/>
      <c r="M15933" s="11"/>
      <c r="N15933" s="11"/>
      <c r="O15933" s="11"/>
      <c r="P15933" s="11"/>
    </row>
    <row r="15934" spans="8:16" x14ac:dyDescent="0.25">
      <c r="H15934" s="12"/>
      <c r="I15934" s="12"/>
      <c r="J15934" s="12"/>
      <c r="K15934" s="12"/>
      <c r="L15934" s="12"/>
      <c r="M15934" s="11"/>
      <c r="N15934" s="11"/>
      <c r="O15934" s="11"/>
      <c r="P15934" s="11"/>
    </row>
    <row r="15935" spans="8:16" x14ac:dyDescent="0.25">
      <c r="H15935" s="12"/>
      <c r="I15935" s="12"/>
      <c r="J15935" s="12"/>
      <c r="K15935" s="12"/>
      <c r="L15935" s="12"/>
      <c r="M15935" s="11"/>
      <c r="N15935" s="11"/>
      <c r="O15935" s="11"/>
      <c r="P15935" s="11"/>
    </row>
    <row r="15936" spans="8:16" x14ac:dyDescent="0.25">
      <c r="H15936" s="12"/>
      <c r="I15936" s="12"/>
      <c r="J15936" s="12"/>
      <c r="K15936" s="12"/>
      <c r="L15936" s="12"/>
      <c r="M15936" s="11"/>
      <c r="N15936" s="11"/>
      <c r="O15936" s="11"/>
      <c r="P15936" s="11"/>
    </row>
    <row r="15937" spans="8:16" x14ac:dyDescent="0.25">
      <c r="H15937" s="12"/>
      <c r="I15937" s="12"/>
      <c r="J15937" s="12"/>
      <c r="K15937" s="12"/>
      <c r="L15937" s="12"/>
      <c r="M15937" s="11"/>
      <c r="N15937" s="11"/>
      <c r="O15937" s="11"/>
      <c r="P15937" s="11"/>
    </row>
    <row r="15938" spans="8:16" x14ac:dyDescent="0.25">
      <c r="H15938" s="12"/>
      <c r="I15938" s="12"/>
      <c r="J15938" s="12"/>
      <c r="K15938" s="12"/>
      <c r="L15938" s="12"/>
      <c r="M15938" s="11"/>
      <c r="N15938" s="11"/>
      <c r="O15938" s="11"/>
      <c r="P15938" s="11"/>
    </row>
    <row r="15939" spans="8:16" x14ac:dyDescent="0.25">
      <c r="H15939" s="12"/>
      <c r="I15939" s="12"/>
      <c r="J15939" s="12"/>
      <c r="K15939" s="12"/>
      <c r="L15939" s="12"/>
      <c r="M15939" s="11"/>
      <c r="N15939" s="11"/>
      <c r="O15939" s="11"/>
      <c r="P15939" s="11"/>
    </row>
    <row r="15940" spans="8:16" x14ac:dyDescent="0.25">
      <c r="H15940" s="12"/>
      <c r="I15940" s="12"/>
      <c r="J15940" s="12"/>
      <c r="K15940" s="12"/>
      <c r="L15940" s="12"/>
      <c r="M15940" s="11"/>
      <c r="N15940" s="11"/>
      <c r="O15940" s="11"/>
      <c r="P15940" s="11"/>
    </row>
    <row r="15941" spans="8:16" x14ac:dyDescent="0.25">
      <c r="H15941" s="12"/>
      <c r="I15941" s="12"/>
      <c r="J15941" s="12"/>
      <c r="K15941" s="12"/>
      <c r="L15941" s="12"/>
      <c r="M15941" s="11"/>
      <c r="N15941" s="11"/>
      <c r="O15941" s="11"/>
      <c r="P15941" s="11"/>
    </row>
    <row r="15942" spans="8:16" x14ac:dyDescent="0.25">
      <c r="H15942" s="12"/>
      <c r="I15942" s="12"/>
      <c r="J15942" s="12"/>
      <c r="K15942" s="12"/>
      <c r="L15942" s="12"/>
      <c r="M15942" s="11"/>
      <c r="N15942" s="11"/>
      <c r="O15942" s="11"/>
      <c r="P15942" s="11"/>
    </row>
    <row r="15943" spans="8:16" x14ac:dyDescent="0.25">
      <c r="H15943" s="12"/>
      <c r="I15943" s="12"/>
      <c r="J15943" s="12"/>
      <c r="K15943" s="12"/>
      <c r="L15943" s="12"/>
      <c r="M15943" s="11"/>
      <c r="N15943" s="11"/>
      <c r="O15943" s="11"/>
      <c r="P15943" s="11"/>
    </row>
    <row r="15944" spans="8:16" x14ac:dyDescent="0.25">
      <c r="H15944" s="12"/>
      <c r="I15944" s="12"/>
      <c r="J15944" s="12"/>
      <c r="K15944" s="12"/>
      <c r="L15944" s="12"/>
      <c r="M15944" s="11"/>
      <c r="N15944" s="11"/>
      <c r="O15944" s="11"/>
      <c r="P15944" s="11"/>
    </row>
    <row r="15945" spans="8:16" x14ac:dyDescent="0.25">
      <c r="H15945" s="12"/>
      <c r="I15945" s="12"/>
      <c r="J15945" s="12"/>
      <c r="K15945" s="12"/>
      <c r="L15945" s="12"/>
      <c r="M15945" s="11"/>
      <c r="N15945" s="11"/>
      <c r="O15945" s="11"/>
      <c r="P15945" s="11"/>
    </row>
    <row r="15946" spans="8:16" x14ac:dyDescent="0.25">
      <c r="H15946" s="12"/>
      <c r="I15946" s="12"/>
      <c r="J15946" s="12"/>
      <c r="K15946" s="12"/>
      <c r="L15946" s="12"/>
      <c r="M15946" s="11"/>
      <c r="N15946" s="11"/>
      <c r="O15946" s="11"/>
      <c r="P15946" s="11"/>
    </row>
    <row r="15947" spans="8:16" x14ac:dyDescent="0.25">
      <c r="H15947" s="12"/>
      <c r="I15947" s="12"/>
      <c r="J15947" s="12"/>
      <c r="K15947" s="12"/>
      <c r="L15947" s="12"/>
      <c r="M15947" s="11"/>
      <c r="N15947" s="11"/>
      <c r="O15947" s="11"/>
      <c r="P15947" s="11"/>
    </row>
    <row r="15948" spans="8:16" x14ac:dyDescent="0.25">
      <c r="H15948" s="12"/>
      <c r="I15948" s="12"/>
      <c r="J15948" s="12"/>
      <c r="K15948" s="12"/>
      <c r="L15948" s="12"/>
      <c r="M15948" s="11"/>
      <c r="N15948" s="11"/>
      <c r="O15948" s="11"/>
      <c r="P15948" s="11"/>
    </row>
    <row r="15949" spans="8:16" x14ac:dyDescent="0.25">
      <c r="H15949" s="12"/>
      <c r="I15949" s="12"/>
      <c r="J15949" s="12"/>
      <c r="K15949" s="12"/>
      <c r="L15949" s="12"/>
      <c r="M15949" s="11"/>
      <c r="N15949" s="11"/>
      <c r="O15949" s="11"/>
      <c r="P15949" s="11"/>
    </row>
    <row r="15950" spans="8:16" x14ac:dyDescent="0.25">
      <c r="H15950" s="12"/>
      <c r="I15950" s="12"/>
      <c r="J15950" s="12"/>
      <c r="K15950" s="12"/>
      <c r="L15950" s="12"/>
      <c r="M15950" s="11"/>
      <c r="N15950" s="11"/>
      <c r="O15950" s="11"/>
      <c r="P15950" s="11"/>
    </row>
    <row r="15951" spans="8:16" x14ac:dyDescent="0.25">
      <c r="H15951" s="12"/>
      <c r="I15951" s="12"/>
      <c r="J15951" s="12"/>
      <c r="K15951" s="12"/>
      <c r="L15951" s="12"/>
      <c r="M15951" s="11"/>
      <c r="N15951" s="11"/>
      <c r="O15951" s="11"/>
      <c r="P15951" s="11"/>
    </row>
    <row r="15952" spans="8:16" x14ac:dyDescent="0.25">
      <c r="H15952" s="12"/>
      <c r="I15952" s="12"/>
      <c r="J15952" s="12"/>
      <c r="K15952" s="12"/>
      <c r="L15952" s="12"/>
      <c r="M15952" s="11"/>
      <c r="N15952" s="11"/>
      <c r="O15952" s="11"/>
      <c r="P15952" s="11"/>
    </row>
    <row r="15953" spans="8:16" x14ac:dyDescent="0.25">
      <c r="H15953" s="12"/>
      <c r="I15953" s="12"/>
      <c r="J15953" s="12"/>
      <c r="K15953" s="12"/>
      <c r="L15953" s="12"/>
      <c r="M15953" s="11"/>
      <c r="N15953" s="11"/>
      <c r="O15953" s="11"/>
      <c r="P15953" s="11"/>
    </row>
    <row r="15954" spans="8:16" x14ac:dyDescent="0.25">
      <c r="H15954" s="12"/>
      <c r="I15954" s="12"/>
      <c r="J15954" s="12"/>
      <c r="K15954" s="12"/>
      <c r="L15954" s="12"/>
      <c r="M15954" s="11"/>
      <c r="N15954" s="11"/>
      <c r="O15954" s="11"/>
      <c r="P15954" s="11"/>
    </row>
    <row r="15955" spans="8:16" x14ac:dyDescent="0.25">
      <c r="H15955" s="12"/>
      <c r="I15955" s="12"/>
      <c r="J15955" s="12"/>
      <c r="K15955" s="12"/>
      <c r="L15955" s="12"/>
      <c r="M15955" s="11"/>
      <c r="N15955" s="11"/>
      <c r="O15955" s="11"/>
      <c r="P15955" s="11"/>
    </row>
    <row r="15956" spans="8:16" x14ac:dyDescent="0.25">
      <c r="H15956" s="12"/>
      <c r="I15956" s="12"/>
      <c r="J15956" s="12"/>
      <c r="K15956" s="12"/>
      <c r="L15956" s="12"/>
      <c r="M15956" s="11"/>
      <c r="N15956" s="11"/>
      <c r="O15956" s="11"/>
      <c r="P15956" s="11"/>
    </row>
    <row r="15957" spans="8:16" x14ac:dyDescent="0.25">
      <c r="H15957" s="12"/>
      <c r="I15957" s="12"/>
      <c r="J15957" s="12"/>
      <c r="K15957" s="12"/>
      <c r="L15957" s="12"/>
      <c r="M15957" s="11"/>
      <c r="N15957" s="11"/>
      <c r="O15957" s="11"/>
      <c r="P15957" s="11"/>
    </row>
    <row r="15958" spans="8:16" x14ac:dyDescent="0.25">
      <c r="H15958" s="12"/>
      <c r="I15958" s="12"/>
      <c r="J15958" s="12"/>
      <c r="K15958" s="12"/>
      <c r="L15958" s="12"/>
      <c r="M15958" s="11"/>
      <c r="N15958" s="11"/>
      <c r="O15958" s="11"/>
      <c r="P15958" s="11"/>
    </row>
    <row r="15959" spans="8:16" x14ac:dyDescent="0.25">
      <c r="H15959" s="12"/>
      <c r="I15959" s="12"/>
      <c r="J15959" s="12"/>
      <c r="K15959" s="12"/>
      <c r="L15959" s="12"/>
      <c r="M15959" s="11"/>
      <c r="N15959" s="11"/>
      <c r="O15959" s="11"/>
      <c r="P15959" s="11"/>
    </row>
    <row r="15960" spans="8:16" x14ac:dyDescent="0.25">
      <c r="H15960" s="12"/>
      <c r="I15960" s="12"/>
      <c r="J15960" s="12"/>
      <c r="K15960" s="12"/>
      <c r="L15960" s="12"/>
      <c r="M15960" s="11"/>
      <c r="N15960" s="11"/>
      <c r="O15960" s="11"/>
      <c r="P15960" s="11"/>
    </row>
    <row r="15961" spans="8:16" x14ac:dyDescent="0.25">
      <c r="H15961" s="12"/>
      <c r="I15961" s="12"/>
      <c r="J15961" s="12"/>
      <c r="K15961" s="12"/>
      <c r="L15961" s="12"/>
      <c r="M15961" s="11"/>
      <c r="N15961" s="11"/>
      <c r="O15961" s="11"/>
      <c r="P15961" s="11"/>
    </row>
    <row r="15962" spans="8:16" x14ac:dyDescent="0.25">
      <c r="H15962" s="12"/>
      <c r="I15962" s="12"/>
      <c r="J15962" s="12"/>
      <c r="K15962" s="12"/>
      <c r="L15962" s="12"/>
      <c r="M15962" s="11"/>
      <c r="N15962" s="11"/>
      <c r="O15962" s="11"/>
      <c r="P15962" s="11"/>
    </row>
    <row r="15963" spans="8:16" x14ac:dyDescent="0.25">
      <c r="H15963" s="12"/>
      <c r="I15963" s="12"/>
      <c r="J15963" s="12"/>
      <c r="K15963" s="12"/>
      <c r="L15963" s="12"/>
      <c r="M15963" s="11"/>
      <c r="N15963" s="11"/>
      <c r="O15963" s="11"/>
      <c r="P15963" s="11"/>
    </row>
    <row r="15964" spans="8:16" x14ac:dyDescent="0.25">
      <c r="H15964" s="12"/>
      <c r="I15964" s="12"/>
      <c r="J15964" s="12"/>
      <c r="K15964" s="12"/>
      <c r="L15964" s="12"/>
      <c r="M15964" s="11"/>
      <c r="N15964" s="11"/>
      <c r="O15964" s="11"/>
      <c r="P15964" s="11"/>
    </row>
    <row r="15965" spans="8:16" x14ac:dyDescent="0.25">
      <c r="H15965" s="12"/>
      <c r="I15965" s="12"/>
      <c r="J15965" s="12"/>
      <c r="K15965" s="12"/>
      <c r="L15965" s="12"/>
      <c r="M15965" s="11"/>
      <c r="N15965" s="11"/>
      <c r="O15965" s="11"/>
      <c r="P15965" s="11"/>
    </row>
    <row r="15966" spans="8:16" x14ac:dyDescent="0.25">
      <c r="H15966" s="12"/>
      <c r="I15966" s="12"/>
      <c r="J15966" s="12"/>
      <c r="K15966" s="12"/>
      <c r="L15966" s="12"/>
      <c r="M15966" s="11"/>
      <c r="N15966" s="11"/>
      <c r="O15966" s="11"/>
      <c r="P15966" s="11"/>
    </row>
    <row r="15967" spans="8:16" x14ac:dyDescent="0.25">
      <c r="H15967" s="12"/>
      <c r="I15967" s="12"/>
      <c r="J15967" s="12"/>
      <c r="K15967" s="12"/>
      <c r="L15967" s="12"/>
      <c r="M15967" s="11"/>
      <c r="N15967" s="11"/>
      <c r="O15967" s="11"/>
      <c r="P15967" s="11"/>
    </row>
    <row r="15968" spans="8:16" x14ac:dyDescent="0.25">
      <c r="H15968" s="12"/>
      <c r="I15968" s="12"/>
      <c r="J15968" s="12"/>
      <c r="K15968" s="12"/>
      <c r="L15968" s="12"/>
      <c r="M15968" s="11"/>
      <c r="N15968" s="11"/>
      <c r="O15968" s="11"/>
      <c r="P15968" s="11"/>
    </row>
    <row r="15969" spans="8:16" x14ac:dyDescent="0.25">
      <c r="H15969" s="12"/>
      <c r="I15969" s="12"/>
      <c r="J15969" s="12"/>
      <c r="K15969" s="12"/>
      <c r="L15969" s="12"/>
      <c r="M15969" s="11"/>
      <c r="N15969" s="11"/>
      <c r="O15969" s="11"/>
      <c r="P15969" s="11"/>
    </row>
    <row r="15970" spans="8:16" x14ac:dyDescent="0.25">
      <c r="H15970" s="12"/>
      <c r="I15970" s="12"/>
      <c r="J15970" s="12"/>
      <c r="K15970" s="12"/>
      <c r="L15970" s="12"/>
      <c r="M15970" s="11"/>
      <c r="N15970" s="11"/>
      <c r="O15970" s="11"/>
      <c r="P15970" s="11"/>
    </row>
    <row r="15971" spans="8:16" x14ac:dyDescent="0.25">
      <c r="H15971" s="12"/>
      <c r="I15971" s="12"/>
      <c r="J15971" s="12"/>
      <c r="K15971" s="12"/>
      <c r="L15971" s="12"/>
      <c r="M15971" s="11"/>
      <c r="N15971" s="11"/>
      <c r="O15971" s="11"/>
      <c r="P15971" s="11"/>
    </row>
    <row r="15972" spans="8:16" x14ac:dyDescent="0.25">
      <c r="H15972" s="12"/>
      <c r="I15972" s="12"/>
      <c r="J15972" s="12"/>
      <c r="K15972" s="12"/>
      <c r="L15972" s="12"/>
      <c r="M15972" s="11"/>
      <c r="N15972" s="11"/>
      <c r="O15972" s="11"/>
      <c r="P15972" s="11"/>
    </row>
    <row r="15973" spans="8:16" x14ac:dyDescent="0.25">
      <c r="H15973" s="12"/>
      <c r="I15973" s="12"/>
      <c r="J15973" s="12"/>
      <c r="K15973" s="12"/>
      <c r="L15973" s="12"/>
      <c r="M15973" s="11"/>
      <c r="N15973" s="11"/>
      <c r="O15973" s="11"/>
      <c r="P15973" s="11"/>
    </row>
    <row r="15974" spans="8:16" x14ac:dyDescent="0.25">
      <c r="H15974" s="12"/>
      <c r="I15974" s="12"/>
      <c r="J15974" s="12"/>
      <c r="K15974" s="12"/>
      <c r="L15974" s="12"/>
      <c r="M15974" s="11"/>
      <c r="N15974" s="11"/>
      <c r="O15974" s="11"/>
      <c r="P15974" s="11"/>
    </row>
    <row r="15975" spans="8:16" x14ac:dyDescent="0.25">
      <c r="H15975" s="12"/>
      <c r="I15975" s="12"/>
      <c r="J15975" s="12"/>
      <c r="K15975" s="12"/>
      <c r="L15975" s="12"/>
      <c r="M15975" s="11"/>
      <c r="N15975" s="11"/>
      <c r="O15975" s="11"/>
      <c r="P15975" s="11"/>
    </row>
    <row r="15976" spans="8:16" x14ac:dyDescent="0.25">
      <c r="H15976" s="12"/>
      <c r="I15976" s="12"/>
      <c r="J15976" s="12"/>
      <c r="K15976" s="12"/>
      <c r="L15976" s="12"/>
      <c r="M15976" s="11"/>
      <c r="N15976" s="11"/>
      <c r="O15976" s="11"/>
      <c r="P15976" s="11"/>
    </row>
    <row r="15977" spans="8:16" x14ac:dyDescent="0.25">
      <c r="H15977" s="12"/>
      <c r="I15977" s="12"/>
      <c r="J15977" s="12"/>
      <c r="K15977" s="12"/>
      <c r="L15977" s="12"/>
      <c r="M15977" s="11"/>
      <c r="N15977" s="11"/>
      <c r="O15977" s="11"/>
      <c r="P15977" s="11"/>
    </row>
    <row r="15978" spans="8:16" x14ac:dyDescent="0.25">
      <c r="H15978" s="12"/>
      <c r="I15978" s="12"/>
      <c r="J15978" s="12"/>
      <c r="K15978" s="12"/>
      <c r="L15978" s="12"/>
      <c r="M15978" s="11"/>
      <c r="N15978" s="11"/>
      <c r="O15978" s="11"/>
      <c r="P15978" s="11"/>
    </row>
    <row r="15979" spans="8:16" x14ac:dyDescent="0.25">
      <c r="H15979" s="12"/>
      <c r="I15979" s="12"/>
      <c r="J15979" s="12"/>
      <c r="K15979" s="12"/>
      <c r="L15979" s="12"/>
      <c r="M15979" s="11"/>
      <c r="N15979" s="11"/>
      <c r="O15979" s="11"/>
      <c r="P15979" s="11"/>
    </row>
    <row r="15980" spans="8:16" x14ac:dyDescent="0.25">
      <c r="H15980" s="12"/>
      <c r="I15980" s="12"/>
      <c r="J15980" s="12"/>
      <c r="K15980" s="12"/>
      <c r="L15980" s="12"/>
      <c r="M15980" s="11"/>
      <c r="N15980" s="11"/>
      <c r="O15980" s="11"/>
      <c r="P15980" s="11"/>
    </row>
    <row r="15981" spans="8:16" x14ac:dyDescent="0.25">
      <c r="H15981" s="12"/>
      <c r="I15981" s="12"/>
      <c r="J15981" s="12"/>
      <c r="K15981" s="12"/>
      <c r="L15981" s="12"/>
      <c r="M15981" s="11"/>
      <c r="N15981" s="11"/>
      <c r="O15981" s="11"/>
      <c r="P15981" s="11"/>
    </row>
    <row r="15982" spans="8:16" x14ac:dyDescent="0.25">
      <c r="H15982" s="12"/>
      <c r="I15982" s="12"/>
      <c r="J15982" s="12"/>
      <c r="K15982" s="12"/>
      <c r="L15982" s="12"/>
      <c r="M15982" s="11"/>
      <c r="N15982" s="11"/>
      <c r="O15982" s="11"/>
      <c r="P15982" s="11"/>
    </row>
    <row r="15983" spans="8:16" x14ac:dyDescent="0.25">
      <c r="H15983" s="12"/>
      <c r="I15983" s="12"/>
      <c r="J15983" s="12"/>
      <c r="K15983" s="12"/>
      <c r="L15983" s="12"/>
      <c r="M15983" s="11"/>
      <c r="N15983" s="11"/>
      <c r="O15983" s="11"/>
      <c r="P15983" s="11"/>
    </row>
    <row r="15984" spans="8:16" x14ac:dyDescent="0.25">
      <c r="H15984" s="12"/>
      <c r="I15984" s="12"/>
      <c r="J15984" s="12"/>
      <c r="K15984" s="12"/>
      <c r="L15984" s="12"/>
      <c r="M15984" s="11"/>
      <c r="N15984" s="11"/>
      <c r="O15984" s="11"/>
      <c r="P15984" s="11"/>
    </row>
    <row r="15985" spans="8:16" x14ac:dyDescent="0.25">
      <c r="H15985" s="12"/>
      <c r="I15985" s="12"/>
      <c r="J15985" s="12"/>
      <c r="K15985" s="12"/>
      <c r="L15985" s="12"/>
      <c r="M15985" s="11"/>
      <c r="N15985" s="11"/>
      <c r="O15985" s="11"/>
      <c r="P15985" s="11"/>
    </row>
    <row r="15986" spans="8:16" x14ac:dyDescent="0.25">
      <c r="H15986" s="12"/>
      <c r="I15986" s="12"/>
      <c r="J15986" s="12"/>
      <c r="K15986" s="12"/>
      <c r="L15986" s="12"/>
      <c r="M15986" s="11"/>
      <c r="N15986" s="11"/>
      <c r="O15986" s="11"/>
      <c r="P15986" s="11"/>
    </row>
    <row r="15987" spans="8:16" x14ac:dyDescent="0.25">
      <c r="H15987" s="12"/>
      <c r="I15987" s="12"/>
      <c r="J15987" s="12"/>
      <c r="K15987" s="12"/>
      <c r="L15987" s="12"/>
      <c r="M15987" s="11"/>
      <c r="N15987" s="11"/>
      <c r="O15987" s="11"/>
      <c r="P15987" s="11"/>
    </row>
    <row r="15988" spans="8:16" x14ac:dyDescent="0.25">
      <c r="H15988" s="12"/>
      <c r="I15988" s="12"/>
      <c r="J15988" s="12"/>
      <c r="K15988" s="12"/>
      <c r="L15988" s="12"/>
      <c r="M15988" s="11"/>
      <c r="N15988" s="11"/>
      <c r="O15988" s="11"/>
      <c r="P15988" s="11"/>
    </row>
    <row r="15989" spans="8:16" x14ac:dyDescent="0.25">
      <c r="H15989" s="12"/>
      <c r="I15989" s="12"/>
      <c r="J15989" s="12"/>
      <c r="K15989" s="12"/>
      <c r="L15989" s="12"/>
      <c r="M15989" s="11"/>
      <c r="N15989" s="11"/>
      <c r="O15989" s="11"/>
      <c r="P15989" s="11"/>
    </row>
    <row r="15990" spans="8:16" x14ac:dyDescent="0.25">
      <c r="H15990" s="12"/>
      <c r="I15990" s="12"/>
      <c r="J15990" s="12"/>
      <c r="K15990" s="12"/>
      <c r="L15990" s="12"/>
      <c r="M15990" s="11"/>
      <c r="N15990" s="11"/>
      <c r="O15990" s="11"/>
      <c r="P15990" s="11"/>
    </row>
    <row r="15991" spans="8:16" x14ac:dyDescent="0.25">
      <c r="H15991" s="12"/>
      <c r="I15991" s="12"/>
      <c r="J15991" s="12"/>
      <c r="K15991" s="12"/>
      <c r="L15991" s="12"/>
      <c r="M15991" s="11"/>
      <c r="N15991" s="11"/>
      <c r="O15991" s="11"/>
      <c r="P15991" s="11"/>
    </row>
    <row r="15992" spans="8:16" x14ac:dyDescent="0.25">
      <c r="H15992" s="12"/>
      <c r="I15992" s="12"/>
      <c r="J15992" s="12"/>
      <c r="K15992" s="12"/>
      <c r="L15992" s="12"/>
      <c r="M15992" s="11"/>
      <c r="N15992" s="11"/>
      <c r="O15992" s="11"/>
      <c r="P15992" s="11"/>
    </row>
    <row r="15993" spans="8:16" x14ac:dyDescent="0.25">
      <c r="H15993" s="12"/>
      <c r="I15993" s="12"/>
      <c r="J15993" s="12"/>
      <c r="K15993" s="12"/>
      <c r="L15993" s="12"/>
      <c r="M15993" s="11"/>
      <c r="N15993" s="11"/>
      <c r="O15993" s="11"/>
      <c r="P15993" s="11"/>
    </row>
    <row r="15994" spans="8:16" x14ac:dyDescent="0.25">
      <c r="H15994" s="12"/>
      <c r="I15994" s="12"/>
      <c r="J15994" s="12"/>
      <c r="K15994" s="12"/>
      <c r="L15994" s="12"/>
      <c r="M15994" s="11"/>
      <c r="N15994" s="11"/>
      <c r="O15994" s="11"/>
      <c r="P15994" s="11"/>
    </row>
    <row r="15995" spans="8:16" x14ac:dyDescent="0.25">
      <c r="H15995" s="12"/>
      <c r="I15995" s="12"/>
      <c r="J15995" s="12"/>
      <c r="K15995" s="12"/>
      <c r="L15995" s="12"/>
      <c r="M15995" s="11"/>
      <c r="N15995" s="11"/>
      <c r="O15995" s="11"/>
      <c r="P15995" s="11"/>
    </row>
    <row r="15996" spans="8:16" x14ac:dyDescent="0.25">
      <c r="H15996" s="12"/>
      <c r="I15996" s="12"/>
      <c r="J15996" s="12"/>
      <c r="K15996" s="12"/>
      <c r="L15996" s="12"/>
      <c r="M15996" s="11"/>
      <c r="N15996" s="11"/>
      <c r="O15996" s="11"/>
      <c r="P15996" s="11"/>
    </row>
    <row r="15997" spans="8:16" x14ac:dyDescent="0.25">
      <c r="H15997" s="12"/>
      <c r="I15997" s="12"/>
      <c r="J15997" s="12"/>
      <c r="K15997" s="12"/>
      <c r="L15997" s="12"/>
      <c r="M15997" s="11"/>
      <c r="N15997" s="11"/>
      <c r="O15997" s="11"/>
      <c r="P15997" s="11"/>
    </row>
    <row r="15998" spans="8:16" x14ac:dyDescent="0.25">
      <c r="H15998" s="12"/>
      <c r="I15998" s="12"/>
      <c r="J15998" s="12"/>
      <c r="K15998" s="12"/>
      <c r="L15998" s="12"/>
      <c r="M15998" s="11"/>
      <c r="N15998" s="11"/>
      <c r="O15998" s="11"/>
      <c r="P15998" s="11"/>
    </row>
    <row r="15999" spans="8:16" x14ac:dyDescent="0.25">
      <c r="H15999" s="12"/>
      <c r="I15999" s="12"/>
      <c r="J15999" s="12"/>
      <c r="K15999" s="12"/>
      <c r="L15999" s="12"/>
      <c r="M15999" s="11"/>
      <c r="N15999" s="11"/>
      <c r="O15999" s="11"/>
      <c r="P15999" s="11"/>
    </row>
    <row r="16000" spans="8:16" x14ac:dyDescent="0.25">
      <c r="H16000" s="12"/>
      <c r="I16000" s="12"/>
      <c r="J16000" s="12"/>
      <c r="K16000" s="12"/>
      <c r="L16000" s="12"/>
      <c r="M16000" s="11"/>
      <c r="N16000" s="11"/>
      <c r="O16000" s="11"/>
      <c r="P16000" s="11"/>
    </row>
    <row r="16001" spans="8:16" x14ac:dyDescent="0.25">
      <c r="H16001" s="12"/>
      <c r="I16001" s="12"/>
      <c r="J16001" s="12"/>
      <c r="K16001" s="12"/>
      <c r="L16001" s="12"/>
      <c r="M16001" s="11"/>
      <c r="N16001" s="11"/>
      <c r="O16001" s="11"/>
      <c r="P16001" s="11"/>
    </row>
    <row r="16002" spans="8:16" x14ac:dyDescent="0.25">
      <c r="H16002" s="12"/>
      <c r="I16002" s="12"/>
      <c r="J16002" s="12"/>
      <c r="K16002" s="12"/>
      <c r="L16002" s="12"/>
      <c r="M16002" s="11"/>
      <c r="N16002" s="11"/>
      <c r="O16002" s="11"/>
      <c r="P16002" s="11"/>
    </row>
    <row r="16003" spans="8:16" x14ac:dyDescent="0.25">
      <c r="H16003" s="12"/>
      <c r="I16003" s="12"/>
      <c r="J16003" s="12"/>
      <c r="K16003" s="12"/>
      <c r="L16003" s="12"/>
      <c r="M16003" s="11"/>
      <c r="N16003" s="11"/>
      <c r="O16003" s="11"/>
      <c r="P16003" s="11"/>
    </row>
    <row r="16004" spans="8:16" x14ac:dyDescent="0.25">
      <c r="H16004" s="12"/>
      <c r="I16004" s="12"/>
      <c r="J16004" s="12"/>
      <c r="K16004" s="12"/>
      <c r="L16004" s="12"/>
      <c r="M16004" s="11"/>
      <c r="N16004" s="11"/>
      <c r="O16004" s="11"/>
      <c r="P16004" s="11"/>
    </row>
    <row r="16005" spans="8:16" x14ac:dyDescent="0.25">
      <c r="H16005" s="12"/>
      <c r="I16005" s="12"/>
      <c r="J16005" s="12"/>
      <c r="K16005" s="12"/>
      <c r="L16005" s="12"/>
      <c r="M16005" s="11"/>
      <c r="N16005" s="11"/>
      <c r="O16005" s="11"/>
      <c r="P16005" s="11"/>
    </row>
    <row r="16006" spans="8:16" x14ac:dyDescent="0.25">
      <c r="H16006" s="12"/>
      <c r="I16006" s="12"/>
      <c r="J16006" s="12"/>
      <c r="K16006" s="12"/>
      <c r="L16006" s="12"/>
      <c r="M16006" s="11"/>
      <c r="N16006" s="11"/>
      <c r="O16006" s="11"/>
      <c r="P16006" s="11"/>
    </row>
    <row r="16007" spans="8:16" x14ac:dyDescent="0.25">
      <c r="H16007" s="12"/>
      <c r="I16007" s="12"/>
      <c r="J16007" s="12"/>
      <c r="K16007" s="12"/>
      <c r="L16007" s="12"/>
      <c r="M16007" s="11"/>
      <c r="N16007" s="11"/>
      <c r="O16007" s="11"/>
      <c r="P16007" s="11"/>
    </row>
    <row r="16008" spans="8:16" x14ac:dyDescent="0.25">
      <c r="H16008" s="12"/>
      <c r="I16008" s="12"/>
      <c r="J16008" s="12"/>
      <c r="K16008" s="12"/>
      <c r="L16008" s="12"/>
      <c r="M16008" s="11"/>
      <c r="N16008" s="11"/>
      <c r="O16008" s="11"/>
      <c r="P16008" s="11"/>
    </row>
    <row r="16009" spans="8:16" x14ac:dyDescent="0.25">
      <c r="H16009" s="12"/>
      <c r="I16009" s="12"/>
      <c r="J16009" s="12"/>
      <c r="K16009" s="12"/>
      <c r="L16009" s="12"/>
      <c r="M16009" s="11"/>
      <c r="N16009" s="11"/>
      <c r="O16009" s="11"/>
      <c r="P16009" s="11"/>
    </row>
    <row r="16010" spans="8:16" x14ac:dyDescent="0.25">
      <c r="H16010" s="12"/>
      <c r="I16010" s="12"/>
      <c r="J16010" s="12"/>
      <c r="K16010" s="12"/>
      <c r="L16010" s="12"/>
      <c r="M16010" s="11"/>
      <c r="N16010" s="11"/>
      <c r="O16010" s="11"/>
      <c r="P16010" s="11"/>
    </row>
    <row r="16011" spans="8:16" x14ac:dyDescent="0.25">
      <c r="H16011" s="12"/>
      <c r="I16011" s="12"/>
      <c r="J16011" s="12"/>
      <c r="K16011" s="12"/>
      <c r="L16011" s="12"/>
      <c r="M16011" s="11"/>
      <c r="N16011" s="11"/>
      <c r="O16011" s="11"/>
      <c r="P16011" s="11"/>
    </row>
    <row r="16012" spans="8:16" x14ac:dyDescent="0.25">
      <c r="H16012" s="12"/>
      <c r="I16012" s="12"/>
      <c r="J16012" s="12"/>
      <c r="K16012" s="12"/>
      <c r="L16012" s="12"/>
      <c r="M16012" s="11"/>
      <c r="N16012" s="11"/>
      <c r="O16012" s="11"/>
      <c r="P16012" s="11"/>
    </row>
    <row r="16013" spans="8:16" x14ac:dyDescent="0.25">
      <c r="H16013" s="12"/>
      <c r="I16013" s="12"/>
      <c r="J16013" s="12"/>
      <c r="K16013" s="12"/>
      <c r="L16013" s="12"/>
      <c r="M16013" s="11"/>
      <c r="N16013" s="11"/>
      <c r="O16013" s="11"/>
      <c r="P16013" s="11"/>
    </row>
    <row r="16014" spans="8:16" x14ac:dyDescent="0.25">
      <c r="H16014" s="12"/>
      <c r="I16014" s="12"/>
      <c r="J16014" s="12"/>
      <c r="K16014" s="12"/>
      <c r="L16014" s="12"/>
      <c r="M16014" s="11"/>
      <c r="N16014" s="11"/>
      <c r="O16014" s="11"/>
      <c r="P16014" s="11"/>
    </row>
    <row r="16015" spans="8:16" x14ac:dyDescent="0.25">
      <c r="H16015" s="12"/>
      <c r="I16015" s="12"/>
      <c r="J16015" s="12"/>
      <c r="K16015" s="12"/>
      <c r="L16015" s="12"/>
      <c r="M16015" s="11"/>
      <c r="N16015" s="11"/>
      <c r="O16015" s="11"/>
      <c r="P16015" s="11"/>
    </row>
    <row r="16016" spans="8:16" x14ac:dyDescent="0.25">
      <c r="H16016" s="12"/>
      <c r="I16016" s="12"/>
      <c r="J16016" s="12"/>
      <c r="K16016" s="12"/>
      <c r="L16016" s="12"/>
      <c r="M16016" s="11"/>
      <c r="N16016" s="11"/>
      <c r="O16016" s="11"/>
      <c r="P16016" s="11"/>
    </row>
    <row r="16017" spans="8:16" x14ac:dyDescent="0.25">
      <c r="H16017" s="12"/>
      <c r="I16017" s="12"/>
      <c r="J16017" s="12"/>
      <c r="K16017" s="12"/>
      <c r="L16017" s="12"/>
      <c r="M16017" s="11"/>
      <c r="N16017" s="11"/>
      <c r="O16017" s="11"/>
      <c r="P16017" s="11"/>
    </row>
    <row r="16018" spans="8:16" x14ac:dyDescent="0.25">
      <c r="H16018" s="12"/>
      <c r="I16018" s="12"/>
      <c r="J16018" s="12"/>
      <c r="K16018" s="12"/>
      <c r="L16018" s="12"/>
      <c r="M16018" s="11"/>
      <c r="N16018" s="11"/>
      <c r="O16018" s="11"/>
      <c r="P16018" s="11"/>
    </row>
    <row r="16019" spans="8:16" x14ac:dyDescent="0.25">
      <c r="H16019" s="12"/>
      <c r="I16019" s="12"/>
      <c r="J16019" s="12"/>
      <c r="K16019" s="12"/>
      <c r="L16019" s="12"/>
      <c r="M16019" s="11"/>
      <c r="N16019" s="11"/>
      <c r="O16019" s="11"/>
      <c r="P16019" s="11"/>
    </row>
    <row r="16020" spans="8:16" x14ac:dyDescent="0.25">
      <c r="H16020" s="12"/>
      <c r="I16020" s="12"/>
      <c r="J16020" s="12"/>
      <c r="K16020" s="12"/>
      <c r="L16020" s="12"/>
      <c r="M16020" s="11"/>
      <c r="N16020" s="11"/>
      <c r="O16020" s="11"/>
      <c r="P16020" s="11"/>
    </row>
    <row r="16021" spans="8:16" x14ac:dyDescent="0.25">
      <c r="H16021" s="12"/>
      <c r="I16021" s="12"/>
      <c r="J16021" s="12"/>
      <c r="K16021" s="12"/>
      <c r="L16021" s="12"/>
      <c r="M16021" s="11"/>
      <c r="N16021" s="11"/>
      <c r="O16021" s="11"/>
      <c r="P16021" s="11"/>
    </row>
    <row r="16022" spans="8:16" x14ac:dyDescent="0.25">
      <c r="H16022" s="12"/>
      <c r="I16022" s="12"/>
      <c r="J16022" s="12"/>
      <c r="K16022" s="12"/>
      <c r="L16022" s="12"/>
      <c r="M16022" s="11"/>
      <c r="N16022" s="11"/>
      <c r="O16022" s="11"/>
      <c r="P16022" s="11"/>
    </row>
    <row r="16023" spans="8:16" x14ac:dyDescent="0.25">
      <c r="H16023" s="12"/>
      <c r="I16023" s="12"/>
      <c r="J16023" s="12"/>
      <c r="K16023" s="12"/>
      <c r="L16023" s="12"/>
      <c r="M16023" s="11"/>
      <c r="N16023" s="11"/>
      <c r="O16023" s="11"/>
      <c r="P16023" s="11"/>
    </row>
    <row r="16024" spans="8:16" x14ac:dyDescent="0.25">
      <c r="H16024" s="12"/>
      <c r="I16024" s="12"/>
      <c r="J16024" s="12"/>
      <c r="K16024" s="12"/>
      <c r="L16024" s="12"/>
      <c r="M16024" s="11"/>
      <c r="N16024" s="11"/>
      <c r="O16024" s="11"/>
      <c r="P16024" s="11"/>
    </row>
    <row r="16025" spans="8:16" x14ac:dyDescent="0.25">
      <c r="H16025" s="12"/>
      <c r="I16025" s="12"/>
      <c r="J16025" s="12"/>
      <c r="K16025" s="12"/>
      <c r="L16025" s="12"/>
      <c r="M16025" s="11"/>
      <c r="N16025" s="11"/>
      <c r="O16025" s="11"/>
      <c r="P16025" s="11"/>
    </row>
    <row r="16026" spans="8:16" x14ac:dyDescent="0.25">
      <c r="H16026" s="12"/>
      <c r="I16026" s="12"/>
      <c r="J16026" s="12"/>
      <c r="K16026" s="12"/>
      <c r="L16026" s="12"/>
      <c r="M16026" s="11"/>
      <c r="N16026" s="11"/>
      <c r="O16026" s="11"/>
      <c r="P16026" s="11"/>
    </row>
    <row r="16027" spans="8:16" x14ac:dyDescent="0.25">
      <c r="H16027" s="12"/>
      <c r="I16027" s="12"/>
      <c r="J16027" s="12"/>
      <c r="K16027" s="12"/>
      <c r="L16027" s="12"/>
      <c r="M16027" s="11"/>
      <c r="N16027" s="11"/>
      <c r="O16027" s="11"/>
      <c r="P16027" s="11"/>
    </row>
    <row r="16028" spans="8:16" x14ac:dyDescent="0.25">
      <c r="H16028" s="12"/>
      <c r="I16028" s="12"/>
      <c r="J16028" s="12"/>
      <c r="K16028" s="12"/>
      <c r="L16028" s="12"/>
      <c r="M16028" s="11"/>
      <c r="N16028" s="11"/>
      <c r="O16028" s="11"/>
      <c r="P16028" s="11"/>
    </row>
    <row r="16029" spans="8:16" x14ac:dyDescent="0.25">
      <c r="H16029" s="12"/>
      <c r="I16029" s="12"/>
      <c r="J16029" s="12"/>
      <c r="K16029" s="12"/>
      <c r="L16029" s="12"/>
      <c r="M16029" s="11"/>
      <c r="N16029" s="11"/>
      <c r="O16029" s="11"/>
      <c r="P16029" s="11"/>
    </row>
    <row r="16030" spans="8:16" x14ac:dyDescent="0.25">
      <c r="H16030" s="12"/>
      <c r="I16030" s="12"/>
      <c r="J16030" s="12"/>
      <c r="K16030" s="12"/>
      <c r="L16030" s="12"/>
      <c r="M16030" s="11"/>
      <c r="N16030" s="11"/>
      <c r="O16030" s="11"/>
      <c r="P16030" s="11"/>
    </row>
    <row r="16031" spans="8:16" x14ac:dyDescent="0.25">
      <c r="H16031" s="12"/>
      <c r="I16031" s="12"/>
      <c r="J16031" s="12"/>
      <c r="K16031" s="12"/>
      <c r="L16031" s="12"/>
      <c r="M16031" s="11"/>
      <c r="N16031" s="11"/>
      <c r="O16031" s="11"/>
      <c r="P16031" s="11"/>
    </row>
    <row r="16032" spans="8:16" x14ac:dyDescent="0.25">
      <c r="H16032" s="12"/>
      <c r="I16032" s="12"/>
      <c r="J16032" s="12"/>
      <c r="K16032" s="12"/>
      <c r="L16032" s="12"/>
      <c r="M16032" s="11"/>
      <c r="N16032" s="11"/>
      <c r="O16032" s="11"/>
      <c r="P16032" s="11"/>
    </row>
    <row r="16033" spans="8:16" x14ac:dyDescent="0.25">
      <c r="H16033" s="12"/>
      <c r="I16033" s="12"/>
      <c r="J16033" s="12"/>
      <c r="K16033" s="12"/>
      <c r="L16033" s="12"/>
      <c r="M16033" s="11"/>
      <c r="N16033" s="11"/>
      <c r="O16033" s="11"/>
      <c r="P16033" s="11"/>
    </row>
    <row r="16034" spans="8:16" x14ac:dyDescent="0.25">
      <c r="H16034" s="12"/>
      <c r="I16034" s="12"/>
      <c r="J16034" s="12"/>
      <c r="K16034" s="12"/>
      <c r="L16034" s="12"/>
      <c r="M16034" s="11"/>
      <c r="N16034" s="11"/>
      <c r="O16034" s="11"/>
      <c r="P16034" s="11"/>
    </row>
    <row r="16035" spans="8:16" x14ac:dyDescent="0.25">
      <c r="H16035" s="12"/>
      <c r="I16035" s="12"/>
      <c r="J16035" s="12"/>
      <c r="K16035" s="12"/>
      <c r="L16035" s="12"/>
      <c r="M16035" s="11"/>
      <c r="N16035" s="11"/>
      <c r="O16035" s="11"/>
      <c r="P16035" s="11"/>
    </row>
    <row r="16036" spans="8:16" x14ac:dyDescent="0.25">
      <c r="H16036" s="12"/>
      <c r="I16036" s="12"/>
      <c r="J16036" s="12"/>
      <c r="K16036" s="12"/>
      <c r="L16036" s="12"/>
      <c r="M16036" s="11"/>
      <c r="N16036" s="11"/>
      <c r="O16036" s="11"/>
      <c r="P16036" s="11"/>
    </row>
    <row r="16037" spans="8:16" x14ac:dyDescent="0.25">
      <c r="H16037" s="12"/>
      <c r="I16037" s="12"/>
      <c r="J16037" s="12"/>
      <c r="K16037" s="12"/>
      <c r="L16037" s="12"/>
      <c r="M16037" s="11"/>
      <c r="N16037" s="11"/>
      <c r="O16037" s="11"/>
      <c r="P16037" s="11"/>
    </row>
    <row r="16038" spans="8:16" x14ac:dyDescent="0.25">
      <c r="H16038" s="12"/>
      <c r="I16038" s="12"/>
      <c r="J16038" s="12"/>
      <c r="K16038" s="12"/>
      <c r="L16038" s="12"/>
      <c r="M16038" s="11"/>
      <c r="N16038" s="11"/>
      <c r="O16038" s="11"/>
      <c r="P16038" s="11"/>
    </row>
    <row r="16039" spans="8:16" x14ac:dyDescent="0.25">
      <c r="H16039" s="12"/>
      <c r="I16039" s="12"/>
      <c r="J16039" s="12"/>
      <c r="K16039" s="12"/>
      <c r="L16039" s="12"/>
      <c r="M16039" s="11"/>
      <c r="N16039" s="11"/>
      <c r="O16039" s="11"/>
      <c r="P16039" s="11"/>
    </row>
    <row r="16040" spans="8:16" x14ac:dyDescent="0.25">
      <c r="H16040" s="12"/>
      <c r="I16040" s="12"/>
      <c r="J16040" s="12"/>
      <c r="K16040" s="12"/>
      <c r="L16040" s="12"/>
      <c r="M16040" s="11"/>
      <c r="N16040" s="11"/>
      <c r="O16040" s="11"/>
      <c r="P16040" s="11"/>
    </row>
    <row r="16041" spans="8:16" x14ac:dyDescent="0.25">
      <c r="H16041" s="12"/>
      <c r="I16041" s="12"/>
      <c r="J16041" s="12"/>
      <c r="K16041" s="12"/>
      <c r="L16041" s="12"/>
      <c r="M16041" s="11"/>
      <c r="N16041" s="11"/>
      <c r="O16041" s="11"/>
      <c r="P16041" s="11"/>
    </row>
    <row r="16042" spans="8:16" x14ac:dyDescent="0.25">
      <c r="H16042" s="12"/>
      <c r="I16042" s="12"/>
      <c r="J16042" s="12"/>
      <c r="K16042" s="12"/>
      <c r="L16042" s="12"/>
      <c r="M16042" s="11"/>
      <c r="N16042" s="11"/>
      <c r="O16042" s="11"/>
      <c r="P16042" s="11"/>
    </row>
    <row r="16043" spans="8:16" x14ac:dyDescent="0.25">
      <c r="H16043" s="12"/>
      <c r="I16043" s="12"/>
      <c r="J16043" s="12"/>
      <c r="K16043" s="12"/>
      <c r="L16043" s="12"/>
      <c r="M16043" s="11"/>
      <c r="N16043" s="11"/>
      <c r="O16043" s="11"/>
      <c r="P16043" s="11"/>
    </row>
    <row r="16044" spans="8:16" x14ac:dyDescent="0.25">
      <c r="H16044" s="12"/>
      <c r="I16044" s="12"/>
      <c r="J16044" s="12"/>
      <c r="K16044" s="12"/>
      <c r="L16044" s="12"/>
      <c r="M16044" s="11"/>
      <c r="N16044" s="11"/>
      <c r="O16044" s="11"/>
      <c r="P16044" s="11"/>
    </row>
    <row r="16045" spans="8:16" x14ac:dyDescent="0.25">
      <c r="H16045" s="12"/>
      <c r="I16045" s="12"/>
      <c r="J16045" s="12"/>
      <c r="K16045" s="12"/>
      <c r="L16045" s="12"/>
      <c r="M16045" s="11"/>
      <c r="N16045" s="11"/>
      <c r="O16045" s="11"/>
      <c r="P16045" s="11"/>
    </row>
    <row r="16046" spans="8:16" x14ac:dyDescent="0.25">
      <c r="H16046" s="12"/>
      <c r="I16046" s="12"/>
      <c r="J16046" s="12"/>
      <c r="K16046" s="12"/>
      <c r="L16046" s="12"/>
      <c r="M16046" s="11"/>
      <c r="N16046" s="11"/>
      <c r="O16046" s="11"/>
      <c r="P16046" s="11"/>
    </row>
    <row r="16047" spans="8:16" x14ac:dyDescent="0.25">
      <c r="H16047" s="12"/>
      <c r="I16047" s="12"/>
      <c r="J16047" s="12"/>
      <c r="K16047" s="12"/>
      <c r="L16047" s="12"/>
      <c r="M16047" s="11"/>
      <c r="N16047" s="11"/>
      <c r="O16047" s="11"/>
      <c r="P16047" s="11"/>
    </row>
    <row r="16048" spans="8:16" x14ac:dyDescent="0.25">
      <c r="H16048" s="12"/>
      <c r="I16048" s="12"/>
      <c r="J16048" s="12"/>
      <c r="K16048" s="12"/>
      <c r="L16048" s="12"/>
      <c r="M16048" s="11"/>
      <c r="N16048" s="11"/>
      <c r="O16048" s="11"/>
      <c r="P16048" s="11"/>
    </row>
    <row r="16049" spans="8:16" x14ac:dyDescent="0.25">
      <c r="H16049" s="12"/>
      <c r="I16049" s="12"/>
      <c r="J16049" s="12"/>
      <c r="K16049" s="12"/>
      <c r="L16049" s="12"/>
      <c r="M16049" s="11"/>
      <c r="N16049" s="11"/>
      <c r="O16049" s="11"/>
      <c r="P16049" s="11"/>
    </row>
    <row r="16050" spans="8:16" x14ac:dyDescent="0.25">
      <c r="H16050" s="12"/>
      <c r="I16050" s="12"/>
      <c r="J16050" s="12"/>
      <c r="K16050" s="12"/>
      <c r="L16050" s="12"/>
      <c r="M16050" s="11"/>
      <c r="N16050" s="11"/>
      <c r="O16050" s="11"/>
      <c r="P16050" s="11"/>
    </row>
    <row r="16051" spans="8:16" x14ac:dyDescent="0.25">
      <c r="H16051" s="12"/>
      <c r="I16051" s="12"/>
      <c r="J16051" s="12"/>
      <c r="K16051" s="12"/>
      <c r="L16051" s="12"/>
      <c r="M16051" s="11"/>
      <c r="N16051" s="11"/>
      <c r="O16051" s="11"/>
      <c r="P16051" s="11"/>
    </row>
    <row r="16052" spans="8:16" x14ac:dyDescent="0.25">
      <c r="H16052" s="12"/>
      <c r="I16052" s="12"/>
      <c r="J16052" s="12"/>
      <c r="K16052" s="12"/>
      <c r="L16052" s="12"/>
      <c r="M16052" s="11"/>
      <c r="N16052" s="11"/>
      <c r="O16052" s="11"/>
      <c r="P16052" s="11"/>
    </row>
    <row r="16053" spans="8:16" x14ac:dyDescent="0.25">
      <c r="H16053" s="12"/>
      <c r="I16053" s="12"/>
      <c r="J16053" s="12"/>
      <c r="K16053" s="12"/>
      <c r="L16053" s="12"/>
      <c r="M16053" s="11"/>
      <c r="N16053" s="11"/>
      <c r="O16053" s="11"/>
      <c r="P16053" s="11"/>
    </row>
    <row r="16054" spans="8:16" x14ac:dyDescent="0.25">
      <c r="H16054" s="12"/>
      <c r="I16054" s="12"/>
      <c r="J16054" s="12"/>
      <c r="K16054" s="12"/>
      <c r="L16054" s="12"/>
      <c r="M16054" s="11"/>
      <c r="N16054" s="11"/>
      <c r="O16054" s="11"/>
      <c r="P16054" s="11"/>
    </row>
    <row r="16055" spans="8:16" x14ac:dyDescent="0.25">
      <c r="H16055" s="12"/>
      <c r="I16055" s="12"/>
      <c r="J16055" s="12"/>
      <c r="K16055" s="12"/>
      <c r="L16055" s="12"/>
      <c r="M16055" s="11"/>
      <c r="N16055" s="11"/>
      <c r="O16055" s="11"/>
      <c r="P16055" s="11"/>
    </row>
    <row r="16056" spans="8:16" x14ac:dyDescent="0.25">
      <c r="H16056" s="12"/>
      <c r="I16056" s="12"/>
      <c r="J16056" s="12"/>
      <c r="K16056" s="12"/>
      <c r="L16056" s="12"/>
      <c r="M16056" s="11"/>
      <c r="N16056" s="11"/>
      <c r="O16056" s="11"/>
      <c r="P16056" s="11"/>
    </row>
    <row r="16057" spans="8:16" x14ac:dyDescent="0.25">
      <c r="H16057" s="12"/>
      <c r="I16057" s="12"/>
      <c r="J16057" s="12"/>
      <c r="K16057" s="12"/>
      <c r="L16057" s="12"/>
      <c r="M16057" s="11"/>
      <c r="N16057" s="11"/>
      <c r="O16057" s="11"/>
      <c r="P16057" s="11"/>
    </row>
    <row r="16058" spans="8:16" x14ac:dyDescent="0.25">
      <c r="H16058" s="12"/>
      <c r="I16058" s="12"/>
      <c r="J16058" s="12"/>
      <c r="K16058" s="12"/>
      <c r="L16058" s="12"/>
      <c r="M16058" s="11"/>
      <c r="N16058" s="11"/>
      <c r="O16058" s="11"/>
      <c r="P16058" s="11"/>
    </row>
    <row r="16059" spans="8:16" x14ac:dyDescent="0.25">
      <c r="H16059" s="12"/>
      <c r="I16059" s="12"/>
      <c r="J16059" s="12"/>
      <c r="K16059" s="12"/>
      <c r="L16059" s="12"/>
      <c r="M16059" s="11"/>
      <c r="N16059" s="11"/>
      <c r="O16059" s="11"/>
      <c r="P16059" s="11"/>
    </row>
    <row r="16060" spans="8:16" x14ac:dyDescent="0.25">
      <c r="H16060" s="12"/>
      <c r="I16060" s="12"/>
      <c r="J16060" s="12"/>
      <c r="K16060" s="12"/>
      <c r="L16060" s="12"/>
      <c r="M16060" s="11"/>
      <c r="N16060" s="11"/>
      <c r="O16060" s="11"/>
      <c r="P16060" s="11"/>
    </row>
    <row r="16061" spans="8:16" x14ac:dyDescent="0.25">
      <c r="H16061" s="12"/>
      <c r="I16061" s="12"/>
      <c r="J16061" s="12"/>
      <c r="K16061" s="12"/>
      <c r="L16061" s="12"/>
      <c r="M16061" s="11"/>
      <c r="N16061" s="11"/>
      <c r="O16061" s="11"/>
      <c r="P16061" s="11"/>
    </row>
    <row r="16062" spans="8:16" x14ac:dyDescent="0.25">
      <c r="H16062" s="12"/>
      <c r="I16062" s="12"/>
      <c r="J16062" s="12"/>
      <c r="K16062" s="12"/>
      <c r="L16062" s="12"/>
      <c r="M16062" s="11"/>
      <c r="N16062" s="11"/>
      <c r="O16062" s="11"/>
      <c r="P16062" s="11"/>
    </row>
    <row r="16063" spans="8:16" x14ac:dyDescent="0.25">
      <c r="H16063" s="12"/>
      <c r="I16063" s="12"/>
      <c r="J16063" s="12"/>
      <c r="K16063" s="12"/>
      <c r="L16063" s="12"/>
      <c r="M16063" s="11"/>
      <c r="N16063" s="11"/>
      <c r="O16063" s="11"/>
      <c r="P16063" s="11"/>
    </row>
    <row r="16064" spans="8:16" x14ac:dyDescent="0.25">
      <c r="H16064" s="12"/>
      <c r="I16064" s="12"/>
      <c r="J16064" s="12"/>
      <c r="K16064" s="12"/>
      <c r="L16064" s="12"/>
      <c r="M16064" s="11"/>
      <c r="N16064" s="11"/>
      <c r="O16064" s="11"/>
      <c r="P16064" s="11"/>
    </row>
    <row r="16065" spans="8:16" x14ac:dyDescent="0.25">
      <c r="H16065" s="12"/>
      <c r="I16065" s="12"/>
      <c r="J16065" s="12"/>
      <c r="K16065" s="12"/>
      <c r="L16065" s="12"/>
      <c r="M16065" s="11"/>
      <c r="N16065" s="11"/>
      <c r="O16065" s="11"/>
      <c r="P16065" s="11"/>
    </row>
    <row r="16066" spans="8:16" x14ac:dyDescent="0.25">
      <c r="H16066" s="12"/>
      <c r="I16066" s="12"/>
      <c r="J16066" s="12"/>
      <c r="K16066" s="12"/>
      <c r="L16066" s="12"/>
      <c r="M16066" s="11"/>
      <c r="N16066" s="11"/>
      <c r="O16066" s="11"/>
      <c r="P16066" s="11"/>
    </row>
    <row r="16067" spans="8:16" x14ac:dyDescent="0.25">
      <c r="H16067" s="12"/>
      <c r="I16067" s="12"/>
      <c r="J16067" s="12"/>
      <c r="K16067" s="12"/>
      <c r="L16067" s="12"/>
      <c r="M16067" s="11"/>
      <c r="N16067" s="11"/>
      <c r="O16067" s="11"/>
      <c r="P16067" s="11"/>
    </row>
    <row r="16068" spans="8:16" x14ac:dyDescent="0.25">
      <c r="H16068" s="12"/>
      <c r="I16068" s="12"/>
      <c r="J16068" s="12"/>
      <c r="K16068" s="12"/>
      <c r="L16068" s="12"/>
      <c r="M16068" s="11"/>
      <c r="N16068" s="11"/>
      <c r="O16068" s="11"/>
      <c r="P16068" s="11"/>
    </row>
    <row r="16069" spans="8:16" x14ac:dyDescent="0.25">
      <c r="H16069" s="12"/>
      <c r="I16069" s="12"/>
      <c r="J16069" s="12"/>
      <c r="K16069" s="12"/>
      <c r="L16069" s="12"/>
      <c r="M16069" s="11"/>
      <c r="N16069" s="11"/>
      <c r="O16069" s="11"/>
      <c r="P16069" s="11"/>
    </row>
    <row r="16070" spans="8:16" x14ac:dyDescent="0.25">
      <c r="H16070" s="12"/>
      <c r="I16070" s="12"/>
      <c r="J16070" s="12"/>
      <c r="K16070" s="12"/>
      <c r="L16070" s="12"/>
      <c r="M16070" s="11"/>
      <c r="N16070" s="11"/>
      <c r="O16070" s="11"/>
      <c r="P16070" s="11"/>
    </row>
    <row r="16071" spans="8:16" x14ac:dyDescent="0.25">
      <c r="H16071" s="12"/>
      <c r="I16071" s="12"/>
      <c r="J16071" s="12"/>
      <c r="K16071" s="12"/>
      <c r="L16071" s="12"/>
      <c r="M16071" s="11"/>
      <c r="N16071" s="11"/>
      <c r="O16071" s="11"/>
      <c r="P16071" s="11"/>
    </row>
    <row r="16072" spans="8:16" x14ac:dyDescent="0.25">
      <c r="H16072" s="12"/>
      <c r="I16072" s="12"/>
      <c r="J16072" s="12"/>
      <c r="K16072" s="12"/>
      <c r="L16072" s="12"/>
      <c r="M16072" s="11"/>
      <c r="N16072" s="11"/>
      <c r="O16072" s="11"/>
      <c r="P16072" s="11"/>
    </row>
    <row r="16073" spans="8:16" x14ac:dyDescent="0.25">
      <c r="H16073" s="12"/>
      <c r="I16073" s="12"/>
      <c r="J16073" s="12"/>
      <c r="K16073" s="12"/>
      <c r="L16073" s="12"/>
      <c r="M16073" s="11"/>
      <c r="N16073" s="11"/>
      <c r="O16073" s="11"/>
      <c r="P16073" s="11"/>
    </row>
    <row r="16074" spans="8:16" x14ac:dyDescent="0.25">
      <c r="H16074" s="12"/>
      <c r="I16074" s="12"/>
      <c r="J16074" s="12"/>
      <c r="K16074" s="12"/>
      <c r="L16074" s="12"/>
      <c r="M16074" s="11"/>
      <c r="N16074" s="11"/>
      <c r="O16074" s="11"/>
      <c r="P16074" s="11"/>
    </row>
    <row r="16075" spans="8:16" x14ac:dyDescent="0.25">
      <c r="H16075" s="12"/>
      <c r="I16075" s="12"/>
      <c r="J16075" s="12"/>
      <c r="K16075" s="12"/>
      <c r="L16075" s="12"/>
      <c r="M16075" s="11"/>
      <c r="N16075" s="11"/>
      <c r="O16075" s="11"/>
      <c r="P16075" s="11"/>
    </row>
    <row r="16076" spans="8:16" x14ac:dyDescent="0.25">
      <c r="H16076" s="12"/>
      <c r="I16076" s="12"/>
      <c r="J16076" s="12"/>
      <c r="K16076" s="12"/>
      <c r="L16076" s="12"/>
      <c r="M16076" s="11"/>
      <c r="N16076" s="11"/>
      <c r="O16076" s="11"/>
      <c r="P16076" s="11"/>
    </row>
    <row r="16077" spans="8:16" x14ac:dyDescent="0.25">
      <c r="H16077" s="12"/>
      <c r="I16077" s="12"/>
      <c r="J16077" s="12"/>
      <c r="K16077" s="12"/>
      <c r="L16077" s="12"/>
      <c r="M16077" s="11"/>
      <c r="N16077" s="11"/>
      <c r="O16077" s="11"/>
      <c r="P16077" s="11"/>
    </row>
    <row r="16078" spans="8:16" x14ac:dyDescent="0.25">
      <c r="H16078" s="12"/>
      <c r="I16078" s="12"/>
      <c r="J16078" s="12"/>
      <c r="K16078" s="12"/>
      <c r="L16078" s="12"/>
      <c r="M16078" s="11"/>
      <c r="N16078" s="11"/>
      <c r="O16078" s="11"/>
      <c r="P16078" s="11"/>
    </row>
    <row r="16079" spans="8:16" x14ac:dyDescent="0.25">
      <c r="H16079" s="12"/>
      <c r="I16079" s="12"/>
      <c r="J16079" s="12"/>
      <c r="K16079" s="12"/>
      <c r="L16079" s="12"/>
      <c r="M16079" s="11"/>
      <c r="N16079" s="11"/>
      <c r="O16079" s="11"/>
      <c r="P16079" s="11"/>
    </row>
    <row r="16080" spans="8:16" x14ac:dyDescent="0.25">
      <c r="H16080" s="12"/>
      <c r="I16080" s="12"/>
      <c r="J16080" s="12"/>
      <c r="K16080" s="12"/>
      <c r="L16080" s="12"/>
      <c r="M16080" s="11"/>
      <c r="N16080" s="11"/>
      <c r="O16080" s="11"/>
      <c r="P16080" s="11"/>
    </row>
    <row r="16081" spans="8:16" x14ac:dyDescent="0.25">
      <c r="H16081" s="12"/>
      <c r="I16081" s="12"/>
      <c r="J16081" s="12"/>
      <c r="K16081" s="12"/>
      <c r="L16081" s="12"/>
      <c r="M16081" s="11"/>
      <c r="N16081" s="11"/>
      <c r="O16081" s="11"/>
      <c r="P16081" s="11"/>
    </row>
    <row r="16082" spans="8:16" x14ac:dyDescent="0.25">
      <c r="H16082" s="12"/>
      <c r="I16082" s="12"/>
      <c r="J16082" s="12"/>
      <c r="K16082" s="12"/>
      <c r="L16082" s="12"/>
      <c r="M16082" s="11"/>
      <c r="N16082" s="11"/>
      <c r="O16082" s="11"/>
      <c r="P16082" s="11"/>
    </row>
    <row r="16083" spans="8:16" x14ac:dyDescent="0.25">
      <c r="H16083" s="12"/>
      <c r="I16083" s="12"/>
      <c r="J16083" s="12"/>
      <c r="K16083" s="12"/>
      <c r="L16083" s="12"/>
      <c r="M16083" s="11"/>
      <c r="N16083" s="11"/>
      <c r="O16083" s="11"/>
      <c r="P16083" s="11"/>
    </row>
    <row r="16084" spans="8:16" x14ac:dyDescent="0.25">
      <c r="H16084" s="12"/>
      <c r="I16084" s="12"/>
      <c r="J16084" s="12"/>
      <c r="K16084" s="12"/>
      <c r="L16084" s="12"/>
      <c r="M16084" s="11"/>
      <c r="N16084" s="11"/>
      <c r="O16084" s="11"/>
      <c r="P16084" s="11"/>
    </row>
    <row r="16085" spans="8:16" x14ac:dyDescent="0.25">
      <c r="H16085" s="12"/>
      <c r="I16085" s="12"/>
      <c r="J16085" s="12"/>
      <c r="K16085" s="12"/>
      <c r="L16085" s="12"/>
      <c r="M16085" s="11"/>
      <c r="N16085" s="11"/>
      <c r="O16085" s="11"/>
      <c r="P16085" s="11"/>
    </row>
    <row r="16086" spans="8:16" x14ac:dyDescent="0.25">
      <c r="H16086" s="12"/>
      <c r="I16086" s="12"/>
      <c r="J16086" s="12"/>
      <c r="K16086" s="12"/>
      <c r="L16086" s="12"/>
      <c r="M16086" s="11"/>
      <c r="N16086" s="11"/>
      <c r="O16086" s="11"/>
      <c r="P16086" s="11"/>
    </row>
    <row r="16087" spans="8:16" x14ac:dyDescent="0.25">
      <c r="H16087" s="12"/>
      <c r="I16087" s="12"/>
      <c r="J16087" s="12"/>
      <c r="K16087" s="12"/>
      <c r="L16087" s="12"/>
      <c r="M16087" s="11"/>
      <c r="N16087" s="11"/>
      <c r="O16087" s="11"/>
      <c r="P16087" s="11"/>
    </row>
    <row r="16088" spans="8:16" x14ac:dyDescent="0.25">
      <c r="H16088" s="12"/>
      <c r="I16088" s="12"/>
      <c r="J16088" s="12"/>
      <c r="K16088" s="12"/>
      <c r="L16088" s="12"/>
      <c r="M16088" s="11"/>
      <c r="N16088" s="11"/>
      <c r="O16088" s="11"/>
      <c r="P16088" s="11"/>
    </row>
    <row r="16089" spans="8:16" x14ac:dyDescent="0.25">
      <c r="H16089" s="12"/>
      <c r="I16089" s="12"/>
      <c r="J16089" s="12"/>
      <c r="K16089" s="12"/>
      <c r="L16089" s="12"/>
      <c r="M16089" s="11"/>
      <c r="N16089" s="11"/>
      <c r="O16089" s="11"/>
      <c r="P16089" s="11"/>
    </row>
    <row r="16090" spans="8:16" x14ac:dyDescent="0.25">
      <c r="H16090" s="12"/>
      <c r="I16090" s="12"/>
      <c r="J16090" s="12"/>
      <c r="K16090" s="12"/>
      <c r="L16090" s="12"/>
      <c r="M16090" s="11"/>
      <c r="N16090" s="11"/>
      <c r="O16090" s="11"/>
      <c r="P16090" s="11"/>
    </row>
    <row r="16091" spans="8:16" x14ac:dyDescent="0.25">
      <c r="H16091" s="12"/>
      <c r="I16091" s="12"/>
      <c r="J16091" s="12"/>
      <c r="K16091" s="12"/>
      <c r="L16091" s="12"/>
      <c r="M16091" s="11"/>
      <c r="N16091" s="11"/>
      <c r="O16091" s="11"/>
      <c r="P16091" s="11"/>
    </row>
    <row r="16092" spans="8:16" x14ac:dyDescent="0.25">
      <c r="H16092" s="12"/>
      <c r="I16092" s="12"/>
      <c r="J16092" s="12"/>
      <c r="K16092" s="12"/>
      <c r="L16092" s="12"/>
      <c r="M16092" s="11"/>
      <c r="N16092" s="11"/>
      <c r="O16092" s="11"/>
      <c r="P16092" s="11"/>
    </row>
    <row r="16093" spans="8:16" x14ac:dyDescent="0.25">
      <c r="H16093" s="12"/>
      <c r="I16093" s="12"/>
      <c r="J16093" s="12"/>
      <c r="K16093" s="12"/>
      <c r="L16093" s="12"/>
      <c r="M16093" s="11"/>
      <c r="N16093" s="11"/>
      <c r="O16093" s="11"/>
      <c r="P16093" s="11"/>
    </row>
    <row r="16094" spans="8:16" x14ac:dyDescent="0.25">
      <c r="H16094" s="12"/>
      <c r="I16094" s="12"/>
      <c r="J16094" s="12"/>
      <c r="K16094" s="12"/>
      <c r="L16094" s="12"/>
      <c r="M16094" s="11"/>
      <c r="N16094" s="11"/>
      <c r="O16094" s="11"/>
      <c r="P16094" s="11"/>
    </row>
    <row r="16095" spans="8:16" x14ac:dyDescent="0.25">
      <c r="H16095" s="12"/>
      <c r="I16095" s="12"/>
      <c r="J16095" s="12"/>
      <c r="K16095" s="12"/>
      <c r="L16095" s="12"/>
      <c r="M16095" s="11"/>
      <c r="N16095" s="11"/>
      <c r="O16095" s="11"/>
      <c r="P16095" s="11"/>
    </row>
    <row r="16096" spans="8:16" x14ac:dyDescent="0.25">
      <c r="H16096" s="12"/>
      <c r="I16096" s="12"/>
      <c r="J16096" s="12"/>
      <c r="K16096" s="12"/>
      <c r="L16096" s="12"/>
      <c r="M16096" s="11"/>
      <c r="N16096" s="11"/>
      <c r="O16096" s="11"/>
      <c r="P16096" s="11"/>
    </row>
    <row r="16097" spans="8:16" x14ac:dyDescent="0.25">
      <c r="H16097" s="12"/>
      <c r="I16097" s="12"/>
      <c r="J16097" s="12"/>
      <c r="K16097" s="12"/>
      <c r="L16097" s="12"/>
      <c r="M16097" s="11"/>
      <c r="N16097" s="11"/>
      <c r="O16097" s="11"/>
      <c r="P16097" s="11"/>
    </row>
    <row r="16098" spans="8:16" x14ac:dyDescent="0.25">
      <c r="H16098" s="12"/>
      <c r="I16098" s="12"/>
      <c r="J16098" s="12"/>
      <c r="K16098" s="12"/>
      <c r="L16098" s="12"/>
      <c r="M16098" s="11"/>
      <c r="N16098" s="11"/>
      <c r="O16098" s="11"/>
      <c r="P16098" s="11"/>
    </row>
    <row r="16099" spans="8:16" x14ac:dyDescent="0.25">
      <c r="H16099" s="12"/>
      <c r="I16099" s="12"/>
      <c r="J16099" s="12"/>
      <c r="K16099" s="12"/>
      <c r="L16099" s="12"/>
      <c r="M16099" s="11"/>
      <c r="N16099" s="11"/>
      <c r="O16099" s="11"/>
      <c r="P16099" s="11"/>
    </row>
    <row r="16100" spans="8:16" x14ac:dyDescent="0.25">
      <c r="H16100" s="12"/>
      <c r="I16100" s="12"/>
      <c r="J16100" s="12"/>
      <c r="K16100" s="12"/>
      <c r="L16100" s="12"/>
      <c r="M16100" s="11"/>
      <c r="N16100" s="11"/>
      <c r="O16100" s="11"/>
      <c r="P16100" s="11"/>
    </row>
    <row r="16101" spans="8:16" x14ac:dyDescent="0.25">
      <c r="H16101" s="12"/>
      <c r="I16101" s="12"/>
      <c r="J16101" s="12"/>
      <c r="K16101" s="12"/>
      <c r="L16101" s="12"/>
      <c r="M16101" s="11"/>
      <c r="N16101" s="11"/>
      <c r="O16101" s="11"/>
      <c r="P16101" s="11"/>
    </row>
    <row r="16102" spans="8:16" x14ac:dyDescent="0.25">
      <c r="H16102" s="12"/>
      <c r="I16102" s="12"/>
      <c r="J16102" s="12"/>
      <c r="K16102" s="12"/>
      <c r="L16102" s="12"/>
      <c r="M16102" s="11"/>
      <c r="N16102" s="11"/>
      <c r="O16102" s="11"/>
      <c r="P16102" s="11"/>
    </row>
    <row r="16103" spans="8:16" x14ac:dyDescent="0.25">
      <c r="H16103" s="12"/>
      <c r="I16103" s="12"/>
      <c r="J16103" s="12"/>
      <c r="K16103" s="12"/>
      <c r="L16103" s="12"/>
      <c r="M16103" s="11"/>
      <c r="N16103" s="11"/>
      <c r="O16103" s="11"/>
      <c r="P16103" s="11"/>
    </row>
    <row r="16104" spans="8:16" x14ac:dyDescent="0.25">
      <c r="H16104" s="12"/>
      <c r="I16104" s="12"/>
      <c r="J16104" s="12"/>
      <c r="K16104" s="12"/>
      <c r="L16104" s="12"/>
      <c r="M16104" s="11"/>
      <c r="N16104" s="11"/>
      <c r="O16104" s="11"/>
      <c r="P16104" s="11"/>
    </row>
    <row r="16105" spans="8:16" x14ac:dyDescent="0.25">
      <c r="H16105" s="12"/>
      <c r="I16105" s="12"/>
      <c r="J16105" s="12"/>
      <c r="K16105" s="12"/>
      <c r="L16105" s="12"/>
      <c r="M16105" s="11"/>
      <c r="N16105" s="11"/>
      <c r="O16105" s="11"/>
      <c r="P16105" s="11"/>
    </row>
    <row r="16106" spans="8:16" x14ac:dyDescent="0.25">
      <c r="H16106" s="12"/>
      <c r="I16106" s="12"/>
      <c r="J16106" s="12"/>
      <c r="K16106" s="12"/>
      <c r="L16106" s="12"/>
      <c r="M16106" s="11"/>
      <c r="N16106" s="11"/>
      <c r="O16106" s="11"/>
      <c r="P16106" s="11"/>
    </row>
    <row r="16107" spans="8:16" x14ac:dyDescent="0.25">
      <c r="H16107" s="12"/>
      <c r="I16107" s="12"/>
      <c r="J16107" s="12"/>
      <c r="K16107" s="12"/>
      <c r="L16107" s="12"/>
      <c r="M16107" s="11"/>
      <c r="N16107" s="11"/>
      <c r="O16107" s="11"/>
      <c r="P16107" s="11"/>
    </row>
    <row r="16108" spans="8:16" x14ac:dyDescent="0.25">
      <c r="H16108" s="12"/>
      <c r="I16108" s="12"/>
      <c r="J16108" s="12"/>
      <c r="K16108" s="12"/>
      <c r="L16108" s="12"/>
      <c r="M16108" s="11"/>
      <c r="N16108" s="11"/>
      <c r="O16108" s="11"/>
      <c r="P16108" s="11"/>
    </row>
    <row r="16109" spans="8:16" x14ac:dyDescent="0.25">
      <c r="H16109" s="12"/>
      <c r="I16109" s="12"/>
      <c r="J16109" s="12"/>
      <c r="K16109" s="12"/>
      <c r="L16109" s="12"/>
      <c r="M16109" s="11"/>
      <c r="N16109" s="11"/>
      <c r="O16109" s="11"/>
      <c r="P16109" s="11"/>
    </row>
    <row r="16110" spans="8:16" x14ac:dyDescent="0.25">
      <c r="H16110" s="12"/>
      <c r="I16110" s="12"/>
      <c r="J16110" s="12"/>
      <c r="K16110" s="12"/>
      <c r="L16110" s="12"/>
      <c r="M16110" s="11"/>
      <c r="N16110" s="11"/>
      <c r="O16110" s="11"/>
      <c r="P16110" s="11"/>
    </row>
    <row r="16111" spans="8:16" x14ac:dyDescent="0.25">
      <c r="H16111" s="12"/>
      <c r="I16111" s="12"/>
      <c r="J16111" s="12"/>
      <c r="K16111" s="12"/>
      <c r="L16111" s="12"/>
      <c r="M16111" s="11"/>
      <c r="N16111" s="11"/>
      <c r="O16111" s="11"/>
      <c r="P16111" s="11"/>
    </row>
    <row r="16112" spans="8:16" x14ac:dyDescent="0.25">
      <c r="H16112" s="12"/>
      <c r="I16112" s="12"/>
      <c r="J16112" s="12"/>
      <c r="K16112" s="12"/>
      <c r="L16112" s="12"/>
      <c r="M16112" s="11"/>
      <c r="N16112" s="11"/>
      <c r="O16112" s="11"/>
      <c r="P16112" s="11"/>
    </row>
    <row r="16113" spans="8:16" x14ac:dyDescent="0.25">
      <c r="H16113" s="12"/>
      <c r="I16113" s="12"/>
      <c r="J16113" s="12"/>
      <c r="K16113" s="12"/>
      <c r="L16113" s="12"/>
      <c r="M16113" s="11"/>
      <c r="N16113" s="11"/>
      <c r="O16113" s="11"/>
      <c r="P16113" s="11"/>
    </row>
    <row r="16114" spans="8:16" x14ac:dyDescent="0.25">
      <c r="H16114" s="12"/>
      <c r="I16114" s="12"/>
      <c r="J16114" s="12"/>
      <c r="K16114" s="12"/>
      <c r="L16114" s="12"/>
      <c r="M16114" s="11"/>
      <c r="N16114" s="11"/>
      <c r="O16114" s="11"/>
      <c r="P16114" s="11"/>
    </row>
    <row r="16115" spans="8:16" x14ac:dyDescent="0.25">
      <c r="H16115" s="12"/>
      <c r="I16115" s="12"/>
      <c r="J16115" s="12"/>
      <c r="K16115" s="12"/>
      <c r="L16115" s="12"/>
      <c r="M16115" s="11"/>
      <c r="N16115" s="11"/>
      <c r="O16115" s="11"/>
      <c r="P16115" s="11"/>
    </row>
    <row r="16116" spans="8:16" x14ac:dyDescent="0.25">
      <c r="H16116" s="12"/>
      <c r="I16116" s="12"/>
      <c r="J16116" s="12"/>
      <c r="K16116" s="12"/>
      <c r="L16116" s="12"/>
      <c r="M16116" s="11"/>
      <c r="N16116" s="11"/>
      <c r="O16116" s="11"/>
      <c r="P16116" s="11"/>
    </row>
    <row r="16117" spans="8:16" x14ac:dyDescent="0.25">
      <c r="H16117" s="12"/>
      <c r="I16117" s="12"/>
      <c r="J16117" s="12"/>
      <c r="K16117" s="12"/>
      <c r="L16117" s="12"/>
      <c r="M16117" s="11"/>
      <c r="N16117" s="11"/>
      <c r="O16117" s="11"/>
      <c r="P16117" s="11"/>
    </row>
    <row r="16118" spans="8:16" x14ac:dyDescent="0.25">
      <c r="H16118" s="12"/>
      <c r="I16118" s="12"/>
      <c r="J16118" s="12"/>
      <c r="K16118" s="12"/>
      <c r="L16118" s="12"/>
      <c r="M16118" s="11"/>
      <c r="N16118" s="11"/>
      <c r="O16118" s="11"/>
      <c r="P16118" s="11"/>
    </row>
    <row r="16119" spans="8:16" x14ac:dyDescent="0.25">
      <c r="H16119" s="12"/>
      <c r="I16119" s="12"/>
      <c r="J16119" s="12"/>
      <c r="K16119" s="12"/>
      <c r="L16119" s="12"/>
      <c r="M16119" s="11"/>
      <c r="N16119" s="11"/>
      <c r="O16119" s="11"/>
      <c r="P16119" s="11"/>
    </row>
    <row r="16120" spans="8:16" x14ac:dyDescent="0.25">
      <c r="H16120" s="12"/>
      <c r="I16120" s="12"/>
      <c r="J16120" s="12"/>
      <c r="K16120" s="12"/>
      <c r="L16120" s="12"/>
      <c r="M16120" s="11"/>
      <c r="N16120" s="11"/>
      <c r="O16120" s="11"/>
      <c r="P16120" s="11"/>
    </row>
    <row r="16121" spans="8:16" x14ac:dyDescent="0.25">
      <c r="H16121" s="12"/>
      <c r="I16121" s="12"/>
      <c r="J16121" s="12"/>
      <c r="K16121" s="12"/>
      <c r="L16121" s="12"/>
      <c r="M16121" s="11"/>
      <c r="N16121" s="11"/>
      <c r="O16121" s="11"/>
      <c r="P16121" s="11"/>
    </row>
    <row r="16122" spans="8:16" x14ac:dyDescent="0.25">
      <c r="H16122" s="12"/>
      <c r="I16122" s="12"/>
      <c r="J16122" s="12"/>
      <c r="K16122" s="12"/>
      <c r="L16122" s="12"/>
      <c r="M16122" s="11"/>
      <c r="N16122" s="11"/>
      <c r="O16122" s="11"/>
      <c r="P16122" s="11"/>
    </row>
    <row r="16123" spans="8:16" x14ac:dyDescent="0.25">
      <c r="H16123" s="12"/>
      <c r="I16123" s="12"/>
      <c r="J16123" s="12"/>
      <c r="K16123" s="12"/>
      <c r="L16123" s="12"/>
      <c r="M16123" s="11"/>
      <c r="N16123" s="11"/>
      <c r="O16123" s="11"/>
      <c r="P16123" s="11"/>
    </row>
    <row r="16124" spans="8:16" x14ac:dyDescent="0.25">
      <c r="H16124" s="12"/>
      <c r="I16124" s="12"/>
      <c r="J16124" s="12"/>
      <c r="K16124" s="12"/>
      <c r="L16124" s="12"/>
      <c r="M16124" s="11"/>
      <c r="N16124" s="11"/>
      <c r="O16124" s="11"/>
      <c r="P16124" s="11"/>
    </row>
    <row r="16125" spans="8:16" x14ac:dyDescent="0.25">
      <c r="H16125" s="12"/>
      <c r="I16125" s="12"/>
      <c r="J16125" s="12"/>
      <c r="K16125" s="12"/>
      <c r="L16125" s="12"/>
      <c r="M16125" s="11"/>
      <c r="N16125" s="11"/>
      <c r="O16125" s="11"/>
      <c r="P16125" s="11"/>
    </row>
    <row r="16126" spans="8:16" x14ac:dyDescent="0.25">
      <c r="H16126" s="12"/>
      <c r="I16126" s="12"/>
      <c r="J16126" s="12"/>
      <c r="K16126" s="12"/>
      <c r="L16126" s="12"/>
      <c r="M16126" s="11"/>
      <c r="N16126" s="11"/>
      <c r="O16126" s="11"/>
      <c r="P16126" s="11"/>
    </row>
    <row r="16127" spans="8:16" x14ac:dyDescent="0.25">
      <c r="H16127" s="12"/>
      <c r="I16127" s="12"/>
      <c r="J16127" s="12"/>
      <c r="K16127" s="12"/>
      <c r="L16127" s="12"/>
      <c r="M16127" s="11"/>
      <c r="N16127" s="11"/>
      <c r="O16127" s="11"/>
      <c r="P16127" s="11"/>
    </row>
    <row r="16128" spans="8:16" x14ac:dyDescent="0.25">
      <c r="H16128" s="12"/>
      <c r="I16128" s="12"/>
      <c r="J16128" s="12"/>
      <c r="K16128" s="12"/>
      <c r="L16128" s="12"/>
      <c r="M16128" s="11"/>
      <c r="N16128" s="11"/>
      <c r="O16128" s="11"/>
      <c r="P16128" s="11"/>
    </row>
    <row r="16129" spans="8:16" x14ac:dyDescent="0.25">
      <c r="H16129" s="12"/>
      <c r="I16129" s="12"/>
      <c r="J16129" s="12"/>
      <c r="K16129" s="12"/>
      <c r="L16129" s="12"/>
      <c r="M16129" s="11"/>
      <c r="N16129" s="11"/>
      <c r="O16129" s="11"/>
      <c r="P16129" s="11"/>
    </row>
    <row r="16130" spans="8:16" x14ac:dyDescent="0.25">
      <c r="H16130" s="12"/>
      <c r="I16130" s="12"/>
      <c r="J16130" s="12"/>
      <c r="K16130" s="12"/>
      <c r="L16130" s="12"/>
      <c r="M16130" s="11"/>
      <c r="N16130" s="11"/>
      <c r="O16130" s="11"/>
      <c r="P16130" s="11"/>
    </row>
    <row r="16131" spans="8:16" x14ac:dyDescent="0.25">
      <c r="H16131" s="12"/>
      <c r="I16131" s="12"/>
      <c r="J16131" s="12"/>
      <c r="K16131" s="12"/>
      <c r="L16131" s="12"/>
      <c r="M16131" s="11"/>
      <c r="N16131" s="11"/>
      <c r="O16131" s="11"/>
      <c r="P16131" s="11"/>
    </row>
    <row r="16132" spans="8:16" x14ac:dyDescent="0.25">
      <c r="H16132" s="12"/>
      <c r="I16132" s="12"/>
      <c r="J16132" s="12"/>
      <c r="K16132" s="12"/>
      <c r="L16132" s="12"/>
      <c r="M16132" s="11"/>
      <c r="N16132" s="11"/>
      <c r="O16132" s="11"/>
      <c r="P16132" s="11"/>
    </row>
    <row r="16133" spans="8:16" x14ac:dyDescent="0.25">
      <c r="H16133" s="12"/>
      <c r="I16133" s="12"/>
      <c r="J16133" s="12"/>
      <c r="K16133" s="12"/>
      <c r="L16133" s="12"/>
      <c r="M16133" s="11"/>
      <c r="N16133" s="11"/>
      <c r="O16133" s="11"/>
      <c r="P16133" s="11"/>
    </row>
    <row r="16134" spans="8:16" x14ac:dyDescent="0.25">
      <c r="H16134" s="12"/>
      <c r="I16134" s="12"/>
      <c r="J16134" s="12"/>
      <c r="K16134" s="12"/>
      <c r="L16134" s="12"/>
      <c r="M16134" s="11"/>
      <c r="N16134" s="11"/>
      <c r="O16134" s="11"/>
      <c r="P16134" s="11"/>
    </row>
    <row r="16135" spans="8:16" x14ac:dyDescent="0.25">
      <c r="H16135" s="12"/>
      <c r="I16135" s="12"/>
      <c r="J16135" s="12"/>
      <c r="K16135" s="12"/>
      <c r="L16135" s="12"/>
      <c r="M16135" s="11"/>
      <c r="N16135" s="11"/>
      <c r="O16135" s="11"/>
      <c r="P16135" s="11"/>
    </row>
    <row r="16136" spans="8:16" x14ac:dyDescent="0.25">
      <c r="H16136" s="12"/>
      <c r="I16136" s="12"/>
      <c r="J16136" s="12"/>
      <c r="K16136" s="12"/>
      <c r="L16136" s="12"/>
      <c r="M16136" s="11"/>
      <c r="N16136" s="11"/>
      <c r="O16136" s="11"/>
      <c r="P16136" s="11"/>
    </row>
    <row r="16137" spans="8:16" x14ac:dyDescent="0.25">
      <c r="H16137" s="12"/>
      <c r="I16137" s="12"/>
      <c r="J16137" s="12"/>
      <c r="K16137" s="12"/>
      <c r="L16137" s="12"/>
      <c r="M16137" s="11"/>
      <c r="N16137" s="11"/>
      <c r="O16137" s="11"/>
      <c r="P16137" s="11"/>
    </row>
    <row r="16138" spans="8:16" x14ac:dyDescent="0.25">
      <c r="H16138" s="12"/>
      <c r="I16138" s="12"/>
      <c r="J16138" s="12"/>
      <c r="K16138" s="12"/>
      <c r="L16138" s="12"/>
      <c r="M16138" s="11"/>
      <c r="N16138" s="11"/>
      <c r="O16138" s="11"/>
      <c r="P16138" s="11"/>
    </row>
    <row r="16139" spans="8:16" x14ac:dyDescent="0.25">
      <c r="H16139" s="12"/>
      <c r="I16139" s="12"/>
      <c r="J16139" s="12"/>
      <c r="K16139" s="12"/>
      <c r="L16139" s="12"/>
      <c r="M16139" s="11"/>
      <c r="N16139" s="11"/>
      <c r="O16139" s="11"/>
      <c r="P16139" s="11"/>
    </row>
    <row r="16140" spans="8:16" x14ac:dyDescent="0.25">
      <c r="H16140" s="12"/>
      <c r="I16140" s="12"/>
      <c r="J16140" s="12"/>
      <c r="K16140" s="12"/>
      <c r="L16140" s="12"/>
      <c r="M16140" s="11"/>
      <c r="N16140" s="11"/>
      <c r="O16140" s="11"/>
      <c r="P16140" s="11"/>
    </row>
    <row r="16141" spans="8:16" x14ac:dyDescent="0.25">
      <c r="H16141" s="12"/>
      <c r="I16141" s="12"/>
      <c r="J16141" s="12"/>
      <c r="K16141" s="12"/>
      <c r="L16141" s="12"/>
      <c r="M16141" s="11"/>
      <c r="N16141" s="11"/>
      <c r="O16141" s="11"/>
      <c r="P16141" s="11"/>
    </row>
    <row r="16142" spans="8:16" x14ac:dyDescent="0.25">
      <c r="H16142" s="12"/>
      <c r="I16142" s="12"/>
      <c r="J16142" s="12"/>
      <c r="K16142" s="12"/>
      <c r="L16142" s="12"/>
      <c r="M16142" s="11"/>
      <c r="N16142" s="11"/>
      <c r="O16142" s="11"/>
      <c r="P16142" s="11"/>
    </row>
    <row r="16143" spans="8:16" x14ac:dyDescent="0.25">
      <c r="H16143" s="12"/>
      <c r="I16143" s="12"/>
      <c r="J16143" s="12"/>
      <c r="K16143" s="12"/>
      <c r="L16143" s="12"/>
      <c r="M16143" s="11"/>
      <c r="N16143" s="11"/>
      <c r="O16143" s="11"/>
      <c r="P16143" s="11"/>
    </row>
    <row r="16144" spans="8:16" x14ac:dyDescent="0.25">
      <c r="H16144" s="12"/>
      <c r="I16144" s="12"/>
      <c r="J16144" s="12"/>
      <c r="K16144" s="12"/>
      <c r="L16144" s="12"/>
      <c r="M16144" s="11"/>
      <c r="N16144" s="11"/>
      <c r="O16144" s="11"/>
      <c r="P16144" s="11"/>
    </row>
    <row r="16145" spans="8:16" x14ac:dyDescent="0.25">
      <c r="H16145" s="12"/>
      <c r="I16145" s="12"/>
      <c r="J16145" s="12"/>
      <c r="K16145" s="12"/>
      <c r="L16145" s="12"/>
      <c r="M16145" s="11"/>
      <c r="N16145" s="11"/>
      <c r="O16145" s="11"/>
      <c r="P16145" s="11"/>
    </row>
    <row r="16146" spans="8:16" x14ac:dyDescent="0.25">
      <c r="H16146" s="12"/>
      <c r="I16146" s="12"/>
      <c r="J16146" s="12"/>
      <c r="K16146" s="12"/>
      <c r="L16146" s="12"/>
      <c r="M16146" s="11"/>
      <c r="N16146" s="11"/>
      <c r="O16146" s="11"/>
      <c r="P16146" s="11"/>
    </row>
    <row r="16147" spans="8:16" x14ac:dyDescent="0.25">
      <c r="H16147" s="12"/>
      <c r="I16147" s="12"/>
      <c r="J16147" s="12"/>
      <c r="K16147" s="12"/>
      <c r="L16147" s="12"/>
      <c r="M16147" s="11"/>
      <c r="N16147" s="11"/>
      <c r="O16147" s="11"/>
      <c r="P16147" s="11"/>
    </row>
    <row r="16148" spans="8:16" x14ac:dyDescent="0.25">
      <c r="H16148" s="12"/>
      <c r="I16148" s="12"/>
      <c r="J16148" s="12"/>
      <c r="K16148" s="12"/>
      <c r="L16148" s="12"/>
      <c r="M16148" s="11"/>
      <c r="N16148" s="11"/>
      <c r="O16148" s="11"/>
      <c r="P16148" s="11"/>
    </row>
    <row r="16149" spans="8:16" x14ac:dyDescent="0.25">
      <c r="H16149" s="12"/>
      <c r="I16149" s="12"/>
      <c r="J16149" s="12"/>
      <c r="K16149" s="12"/>
      <c r="L16149" s="12"/>
      <c r="M16149" s="11"/>
      <c r="N16149" s="11"/>
      <c r="O16149" s="11"/>
      <c r="P16149" s="11"/>
    </row>
    <row r="16150" spans="8:16" x14ac:dyDescent="0.25">
      <c r="H16150" s="12"/>
      <c r="I16150" s="12"/>
      <c r="J16150" s="12"/>
      <c r="K16150" s="12"/>
      <c r="L16150" s="12"/>
      <c r="M16150" s="11"/>
      <c r="N16150" s="11"/>
      <c r="O16150" s="11"/>
      <c r="P16150" s="11"/>
    </row>
    <row r="16151" spans="8:16" x14ac:dyDescent="0.25">
      <c r="H16151" s="12"/>
      <c r="I16151" s="12"/>
      <c r="J16151" s="12"/>
      <c r="K16151" s="12"/>
      <c r="L16151" s="12"/>
      <c r="M16151" s="11"/>
      <c r="N16151" s="11"/>
      <c r="O16151" s="11"/>
      <c r="P16151" s="11"/>
    </row>
    <row r="16152" spans="8:16" x14ac:dyDescent="0.25">
      <c r="H16152" s="12"/>
      <c r="I16152" s="12"/>
      <c r="J16152" s="12"/>
      <c r="K16152" s="12"/>
      <c r="L16152" s="12"/>
      <c r="M16152" s="11"/>
      <c r="N16152" s="11"/>
      <c r="O16152" s="11"/>
      <c r="P16152" s="11"/>
    </row>
    <row r="16153" spans="8:16" x14ac:dyDescent="0.25">
      <c r="H16153" s="12"/>
      <c r="I16153" s="12"/>
      <c r="J16153" s="12"/>
      <c r="K16153" s="12"/>
      <c r="L16153" s="12"/>
      <c r="M16153" s="11"/>
      <c r="N16153" s="11"/>
      <c r="O16153" s="11"/>
      <c r="P16153" s="11"/>
    </row>
    <row r="16154" spans="8:16" x14ac:dyDescent="0.25">
      <c r="H16154" s="12"/>
      <c r="I16154" s="12"/>
      <c r="J16154" s="12"/>
      <c r="K16154" s="12"/>
      <c r="L16154" s="12"/>
      <c r="M16154" s="11"/>
      <c r="N16154" s="11"/>
      <c r="O16154" s="11"/>
      <c r="P16154" s="11"/>
    </row>
    <row r="16155" spans="8:16" x14ac:dyDescent="0.25">
      <c r="H16155" s="12"/>
      <c r="I16155" s="12"/>
      <c r="J16155" s="12"/>
      <c r="K16155" s="12"/>
      <c r="L16155" s="12"/>
      <c r="M16155" s="11"/>
      <c r="N16155" s="11"/>
      <c r="O16155" s="11"/>
      <c r="P16155" s="11"/>
    </row>
    <row r="16156" spans="8:16" x14ac:dyDescent="0.25">
      <c r="H16156" s="12"/>
      <c r="I16156" s="12"/>
      <c r="J16156" s="12"/>
      <c r="K16156" s="12"/>
      <c r="L16156" s="12"/>
      <c r="M16156" s="11"/>
      <c r="N16156" s="11"/>
      <c r="O16156" s="11"/>
      <c r="P16156" s="11"/>
    </row>
    <row r="16157" spans="8:16" x14ac:dyDescent="0.25">
      <c r="H16157" s="12"/>
      <c r="I16157" s="12"/>
      <c r="J16157" s="12"/>
      <c r="K16157" s="12"/>
      <c r="L16157" s="12"/>
      <c r="M16157" s="11"/>
      <c r="N16157" s="11"/>
      <c r="O16157" s="11"/>
      <c r="P16157" s="11"/>
    </row>
    <row r="16158" spans="8:16" x14ac:dyDescent="0.25">
      <c r="H16158" s="12"/>
      <c r="I16158" s="12"/>
      <c r="J16158" s="12"/>
      <c r="K16158" s="12"/>
      <c r="L16158" s="12"/>
      <c r="M16158" s="11"/>
      <c r="N16158" s="11"/>
      <c r="O16158" s="11"/>
      <c r="P16158" s="11"/>
    </row>
    <row r="16159" spans="8:16" x14ac:dyDescent="0.25">
      <c r="H16159" s="12"/>
      <c r="I16159" s="12"/>
      <c r="J16159" s="12"/>
      <c r="K16159" s="12"/>
      <c r="L16159" s="12"/>
      <c r="M16159" s="11"/>
      <c r="N16159" s="11"/>
      <c r="O16159" s="11"/>
      <c r="P16159" s="11"/>
    </row>
    <row r="16160" spans="8:16" x14ac:dyDescent="0.25">
      <c r="H16160" s="12"/>
      <c r="I16160" s="12"/>
      <c r="J16160" s="12"/>
      <c r="K16160" s="12"/>
      <c r="L16160" s="12"/>
      <c r="M16160" s="11"/>
      <c r="N16160" s="11"/>
      <c r="O16160" s="11"/>
      <c r="P16160" s="11"/>
    </row>
    <row r="16161" spans="8:16" x14ac:dyDescent="0.25">
      <c r="H16161" s="12"/>
      <c r="I16161" s="12"/>
      <c r="J16161" s="12"/>
      <c r="K16161" s="12"/>
      <c r="L16161" s="12"/>
      <c r="M16161" s="11"/>
      <c r="N16161" s="11"/>
      <c r="O16161" s="11"/>
      <c r="P16161" s="11"/>
    </row>
    <row r="16162" spans="8:16" x14ac:dyDescent="0.25">
      <c r="H16162" s="12"/>
      <c r="I16162" s="12"/>
      <c r="J16162" s="12"/>
      <c r="K16162" s="12"/>
      <c r="L16162" s="12"/>
      <c r="M16162" s="11"/>
      <c r="N16162" s="11"/>
      <c r="O16162" s="11"/>
      <c r="P16162" s="11"/>
    </row>
    <row r="16163" spans="8:16" x14ac:dyDescent="0.25">
      <c r="H16163" s="12"/>
      <c r="I16163" s="12"/>
      <c r="J16163" s="12"/>
      <c r="K16163" s="12"/>
      <c r="L16163" s="12"/>
      <c r="M16163" s="11"/>
      <c r="N16163" s="11"/>
      <c r="O16163" s="11"/>
      <c r="P16163" s="11"/>
    </row>
    <row r="16164" spans="8:16" x14ac:dyDescent="0.25">
      <c r="H16164" s="12"/>
      <c r="I16164" s="12"/>
      <c r="J16164" s="12"/>
      <c r="K16164" s="12"/>
      <c r="L16164" s="12"/>
      <c r="M16164" s="11"/>
      <c r="N16164" s="11"/>
      <c r="O16164" s="11"/>
      <c r="P16164" s="11"/>
    </row>
    <row r="16165" spans="8:16" x14ac:dyDescent="0.25">
      <c r="H16165" s="12"/>
      <c r="I16165" s="12"/>
      <c r="J16165" s="12"/>
      <c r="K16165" s="12"/>
      <c r="L16165" s="12"/>
      <c r="M16165" s="11"/>
      <c r="N16165" s="11"/>
      <c r="O16165" s="11"/>
      <c r="P16165" s="11"/>
    </row>
    <row r="16166" spans="8:16" x14ac:dyDescent="0.25">
      <c r="H16166" s="12"/>
      <c r="I16166" s="12"/>
      <c r="J16166" s="12"/>
      <c r="K16166" s="12"/>
      <c r="L16166" s="12"/>
      <c r="M16166" s="11"/>
      <c r="N16166" s="11"/>
      <c r="O16166" s="11"/>
      <c r="P16166" s="11"/>
    </row>
    <row r="16167" spans="8:16" x14ac:dyDescent="0.25">
      <c r="H16167" s="12"/>
      <c r="I16167" s="12"/>
      <c r="J16167" s="12"/>
      <c r="K16167" s="12"/>
      <c r="L16167" s="12"/>
      <c r="M16167" s="11"/>
      <c r="N16167" s="11"/>
      <c r="O16167" s="11"/>
      <c r="P16167" s="11"/>
    </row>
    <row r="16168" spans="8:16" x14ac:dyDescent="0.25">
      <c r="H16168" s="12"/>
      <c r="I16168" s="12"/>
      <c r="J16168" s="12"/>
      <c r="K16168" s="12"/>
      <c r="L16168" s="12"/>
      <c r="M16168" s="11"/>
      <c r="N16168" s="11"/>
      <c r="O16168" s="11"/>
      <c r="P16168" s="11"/>
    </row>
    <row r="16169" spans="8:16" x14ac:dyDescent="0.25">
      <c r="H16169" s="12"/>
      <c r="I16169" s="12"/>
      <c r="J16169" s="12"/>
      <c r="K16169" s="12"/>
      <c r="L16169" s="12"/>
      <c r="M16169" s="11"/>
      <c r="N16169" s="11"/>
      <c r="O16169" s="11"/>
      <c r="P16169" s="11"/>
    </row>
    <row r="16170" spans="8:16" x14ac:dyDescent="0.25">
      <c r="H16170" s="12"/>
      <c r="I16170" s="12"/>
      <c r="J16170" s="12"/>
      <c r="K16170" s="12"/>
      <c r="L16170" s="12"/>
      <c r="M16170" s="11"/>
      <c r="N16170" s="11"/>
      <c r="O16170" s="11"/>
      <c r="P16170" s="11"/>
    </row>
    <row r="16171" spans="8:16" x14ac:dyDescent="0.25">
      <c r="H16171" s="12"/>
      <c r="I16171" s="12"/>
      <c r="J16171" s="12"/>
      <c r="K16171" s="12"/>
      <c r="L16171" s="12"/>
      <c r="M16171" s="11"/>
      <c r="N16171" s="11"/>
      <c r="O16171" s="11"/>
      <c r="P16171" s="11"/>
    </row>
    <row r="16172" spans="8:16" x14ac:dyDescent="0.25">
      <c r="H16172" s="12"/>
      <c r="I16172" s="12"/>
      <c r="J16172" s="12"/>
      <c r="K16172" s="12"/>
      <c r="L16172" s="12"/>
      <c r="M16172" s="11"/>
      <c r="N16172" s="11"/>
      <c r="O16172" s="11"/>
      <c r="P16172" s="11"/>
    </row>
    <row r="16173" spans="8:16" x14ac:dyDescent="0.25">
      <c r="H16173" s="12"/>
      <c r="I16173" s="12"/>
      <c r="J16173" s="12"/>
      <c r="K16173" s="12"/>
      <c r="L16173" s="12"/>
      <c r="M16173" s="11"/>
      <c r="N16173" s="11"/>
      <c r="O16173" s="11"/>
      <c r="P16173" s="11"/>
    </row>
    <row r="16174" spans="8:16" x14ac:dyDescent="0.25">
      <c r="H16174" s="12"/>
      <c r="I16174" s="12"/>
      <c r="J16174" s="12"/>
      <c r="K16174" s="12"/>
      <c r="L16174" s="12"/>
      <c r="M16174" s="11"/>
      <c r="N16174" s="11"/>
      <c r="O16174" s="11"/>
      <c r="P16174" s="11"/>
    </row>
    <row r="16175" spans="8:16" x14ac:dyDescent="0.25">
      <c r="H16175" s="12"/>
      <c r="I16175" s="12"/>
      <c r="J16175" s="12"/>
      <c r="K16175" s="12"/>
      <c r="L16175" s="12"/>
      <c r="M16175" s="11"/>
      <c r="N16175" s="11"/>
      <c r="O16175" s="11"/>
      <c r="P16175" s="11"/>
    </row>
    <row r="16176" spans="8:16" x14ac:dyDescent="0.25">
      <c r="H16176" s="12"/>
      <c r="I16176" s="12"/>
      <c r="J16176" s="12"/>
      <c r="K16176" s="12"/>
      <c r="L16176" s="12"/>
      <c r="M16176" s="11"/>
      <c r="N16176" s="11"/>
      <c r="O16176" s="11"/>
      <c r="P16176" s="11"/>
    </row>
    <row r="16177" spans="8:16" x14ac:dyDescent="0.25">
      <c r="H16177" s="12"/>
      <c r="I16177" s="12"/>
      <c r="J16177" s="12"/>
      <c r="K16177" s="12"/>
      <c r="L16177" s="12"/>
      <c r="M16177" s="11"/>
      <c r="N16177" s="11"/>
      <c r="O16177" s="11"/>
      <c r="P16177" s="11"/>
    </row>
    <row r="16178" spans="8:16" x14ac:dyDescent="0.25">
      <c r="H16178" s="12"/>
      <c r="I16178" s="12"/>
      <c r="J16178" s="12"/>
      <c r="K16178" s="12"/>
      <c r="L16178" s="12"/>
      <c r="M16178" s="11"/>
      <c r="N16178" s="11"/>
      <c r="O16178" s="11"/>
      <c r="P16178" s="11"/>
    </row>
    <row r="16179" spans="8:16" x14ac:dyDescent="0.25">
      <c r="H16179" s="12"/>
      <c r="I16179" s="12"/>
      <c r="J16179" s="12"/>
      <c r="K16179" s="12"/>
      <c r="L16179" s="12"/>
      <c r="M16179" s="11"/>
      <c r="N16179" s="11"/>
      <c r="O16179" s="11"/>
      <c r="P16179" s="11"/>
    </row>
    <row r="16180" spans="8:16" x14ac:dyDescent="0.25">
      <c r="H16180" s="12"/>
      <c r="I16180" s="12"/>
      <c r="J16180" s="12"/>
      <c r="K16180" s="12"/>
      <c r="L16180" s="12"/>
      <c r="M16180" s="11"/>
      <c r="N16180" s="11"/>
      <c r="O16180" s="11"/>
      <c r="P16180" s="11"/>
    </row>
    <row r="16181" spans="8:16" x14ac:dyDescent="0.25">
      <c r="H16181" s="12"/>
      <c r="I16181" s="12"/>
      <c r="J16181" s="12"/>
      <c r="K16181" s="12"/>
      <c r="L16181" s="12"/>
      <c r="M16181" s="11"/>
      <c r="N16181" s="11"/>
      <c r="O16181" s="11"/>
      <c r="P16181" s="11"/>
    </row>
    <row r="16182" spans="8:16" x14ac:dyDescent="0.25">
      <c r="H16182" s="12"/>
      <c r="I16182" s="12"/>
      <c r="J16182" s="12"/>
      <c r="K16182" s="12"/>
      <c r="L16182" s="12"/>
      <c r="M16182" s="11"/>
      <c r="N16182" s="11"/>
      <c r="O16182" s="11"/>
      <c r="P16182" s="11"/>
    </row>
    <row r="16183" spans="8:16" x14ac:dyDescent="0.25">
      <c r="H16183" s="12"/>
      <c r="I16183" s="12"/>
      <c r="J16183" s="12"/>
      <c r="K16183" s="12"/>
      <c r="L16183" s="12"/>
      <c r="M16183" s="11"/>
      <c r="N16183" s="11"/>
      <c r="O16183" s="11"/>
      <c r="P16183" s="11"/>
    </row>
    <row r="16184" spans="8:16" x14ac:dyDescent="0.25">
      <c r="H16184" s="12"/>
      <c r="I16184" s="12"/>
      <c r="J16184" s="12"/>
      <c r="K16184" s="12"/>
      <c r="L16184" s="12"/>
      <c r="M16184" s="11"/>
      <c r="N16184" s="11"/>
      <c r="O16184" s="11"/>
      <c r="P16184" s="11"/>
    </row>
    <row r="16185" spans="8:16" x14ac:dyDescent="0.25">
      <c r="H16185" s="12"/>
      <c r="I16185" s="12"/>
      <c r="J16185" s="12"/>
      <c r="K16185" s="12"/>
      <c r="L16185" s="12"/>
      <c r="M16185" s="11"/>
      <c r="N16185" s="11"/>
      <c r="O16185" s="11"/>
      <c r="P16185" s="11"/>
    </row>
    <row r="16186" spans="8:16" x14ac:dyDescent="0.25">
      <c r="H16186" s="12"/>
      <c r="I16186" s="12"/>
      <c r="J16186" s="12"/>
      <c r="K16186" s="12"/>
      <c r="L16186" s="12"/>
      <c r="M16186" s="11"/>
      <c r="N16186" s="11"/>
      <c r="O16186" s="11"/>
      <c r="P16186" s="11"/>
    </row>
    <row r="16187" spans="8:16" x14ac:dyDescent="0.25">
      <c r="H16187" s="12"/>
      <c r="I16187" s="12"/>
      <c r="J16187" s="12"/>
      <c r="K16187" s="12"/>
      <c r="L16187" s="12"/>
      <c r="M16187" s="11"/>
      <c r="N16187" s="11"/>
      <c r="O16187" s="11"/>
      <c r="P16187" s="11"/>
    </row>
    <row r="16188" spans="8:16" x14ac:dyDescent="0.25">
      <c r="H16188" s="12"/>
      <c r="I16188" s="12"/>
      <c r="J16188" s="12"/>
      <c r="K16188" s="12"/>
      <c r="L16188" s="12"/>
      <c r="M16188" s="11"/>
      <c r="N16188" s="11"/>
      <c r="O16188" s="11"/>
      <c r="P16188" s="11"/>
    </row>
    <row r="16189" spans="8:16" x14ac:dyDescent="0.25">
      <c r="H16189" s="12"/>
      <c r="I16189" s="12"/>
      <c r="J16189" s="12"/>
      <c r="K16189" s="12"/>
      <c r="L16189" s="12"/>
      <c r="M16189" s="11"/>
      <c r="N16189" s="11"/>
      <c r="O16189" s="11"/>
      <c r="P16189" s="11"/>
    </row>
    <row r="16190" spans="8:16" x14ac:dyDescent="0.25">
      <c r="H16190" s="12"/>
      <c r="I16190" s="12"/>
      <c r="J16190" s="12"/>
      <c r="K16190" s="12"/>
      <c r="L16190" s="12"/>
      <c r="M16190" s="11"/>
      <c r="N16190" s="11"/>
      <c r="O16190" s="11"/>
      <c r="P16190" s="11"/>
    </row>
    <row r="16191" spans="8:16" x14ac:dyDescent="0.25">
      <c r="H16191" s="12"/>
      <c r="I16191" s="12"/>
      <c r="J16191" s="12"/>
      <c r="K16191" s="12"/>
      <c r="L16191" s="12"/>
      <c r="M16191" s="11"/>
      <c r="N16191" s="11"/>
      <c r="O16191" s="11"/>
      <c r="P16191" s="11"/>
    </row>
    <row r="16192" spans="8:16" x14ac:dyDescent="0.25">
      <c r="H16192" s="12"/>
      <c r="I16192" s="12"/>
      <c r="J16192" s="12"/>
      <c r="K16192" s="12"/>
      <c r="L16192" s="12"/>
      <c r="M16192" s="11"/>
      <c r="N16192" s="11"/>
      <c r="O16192" s="11"/>
      <c r="P16192" s="11"/>
    </row>
    <row r="16193" spans="8:16" x14ac:dyDescent="0.25">
      <c r="H16193" s="12"/>
      <c r="I16193" s="12"/>
      <c r="J16193" s="12"/>
      <c r="K16193" s="12"/>
      <c r="L16193" s="12"/>
      <c r="M16193" s="11"/>
      <c r="N16193" s="11"/>
      <c r="O16193" s="11"/>
      <c r="P16193" s="11"/>
    </row>
    <row r="16194" spans="8:16" x14ac:dyDescent="0.25">
      <c r="H16194" s="12"/>
      <c r="I16194" s="12"/>
      <c r="J16194" s="12"/>
      <c r="K16194" s="12"/>
      <c r="L16194" s="12"/>
      <c r="M16194" s="11"/>
      <c r="N16194" s="11"/>
      <c r="O16194" s="11"/>
      <c r="P16194" s="11"/>
    </row>
    <row r="16195" spans="8:16" x14ac:dyDescent="0.25">
      <c r="H16195" s="12"/>
      <c r="I16195" s="12"/>
      <c r="J16195" s="12"/>
      <c r="K16195" s="12"/>
      <c r="L16195" s="12"/>
      <c r="M16195" s="11"/>
      <c r="N16195" s="11"/>
      <c r="O16195" s="11"/>
      <c r="P16195" s="11"/>
    </row>
    <row r="16196" spans="8:16" x14ac:dyDescent="0.25">
      <c r="H16196" s="12"/>
      <c r="I16196" s="12"/>
      <c r="J16196" s="12"/>
      <c r="K16196" s="12"/>
      <c r="L16196" s="12"/>
      <c r="M16196" s="11"/>
      <c r="N16196" s="11"/>
      <c r="O16196" s="11"/>
      <c r="P16196" s="11"/>
    </row>
    <row r="16197" spans="8:16" x14ac:dyDescent="0.25">
      <c r="H16197" s="12"/>
      <c r="I16197" s="12"/>
      <c r="J16197" s="12"/>
      <c r="K16197" s="12"/>
      <c r="L16197" s="12"/>
      <c r="M16197" s="11"/>
      <c r="N16197" s="11"/>
      <c r="O16197" s="11"/>
      <c r="P16197" s="11"/>
    </row>
    <row r="16198" spans="8:16" x14ac:dyDescent="0.25">
      <c r="H16198" s="12"/>
      <c r="I16198" s="12"/>
      <c r="J16198" s="12"/>
      <c r="K16198" s="12"/>
      <c r="L16198" s="12"/>
      <c r="M16198" s="11"/>
      <c r="N16198" s="11"/>
      <c r="O16198" s="11"/>
      <c r="P16198" s="11"/>
    </row>
    <row r="16199" spans="8:16" x14ac:dyDescent="0.25">
      <c r="H16199" s="12"/>
      <c r="I16199" s="12"/>
      <c r="J16199" s="12"/>
      <c r="K16199" s="12"/>
      <c r="L16199" s="12"/>
      <c r="M16199" s="11"/>
      <c r="N16199" s="11"/>
      <c r="O16199" s="11"/>
      <c r="P16199" s="11"/>
    </row>
    <row r="16200" spans="8:16" x14ac:dyDescent="0.25">
      <c r="H16200" s="12"/>
      <c r="I16200" s="12"/>
      <c r="J16200" s="12"/>
      <c r="K16200" s="12"/>
      <c r="L16200" s="12"/>
      <c r="M16200" s="11"/>
      <c r="N16200" s="11"/>
      <c r="O16200" s="11"/>
      <c r="P16200" s="11"/>
    </row>
    <row r="16201" spans="8:16" x14ac:dyDescent="0.25">
      <c r="H16201" s="12"/>
      <c r="I16201" s="12"/>
      <c r="J16201" s="12"/>
      <c r="K16201" s="12"/>
      <c r="L16201" s="12"/>
      <c r="M16201" s="11"/>
      <c r="N16201" s="11"/>
      <c r="O16201" s="11"/>
      <c r="P16201" s="11"/>
    </row>
    <row r="16202" spans="8:16" x14ac:dyDescent="0.25">
      <c r="H16202" s="12"/>
      <c r="I16202" s="12"/>
      <c r="J16202" s="12"/>
      <c r="K16202" s="12"/>
      <c r="L16202" s="12"/>
      <c r="M16202" s="11"/>
      <c r="N16202" s="11"/>
      <c r="O16202" s="11"/>
      <c r="P16202" s="11"/>
    </row>
    <row r="16203" spans="8:16" x14ac:dyDescent="0.25">
      <c r="H16203" s="12"/>
      <c r="I16203" s="12"/>
      <c r="J16203" s="12"/>
      <c r="K16203" s="12"/>
      <c r="L16203" s="12"/>
      <c r="M16203" s="11"/>
      <c r="N16203" s="11"/>
      <c r="O16203" s="11"/>
      <c r="P16203" s="11"/>
    </row>
    <row r="16204" spans="8:16" x14ac:dyDescent="0.25">
      <c r="H16204" s="12"/>
      <c r="I16204" s="12"/>
      <c r="J16204" s="12"/>
      <c r="K16204" s="12"/>
      <c r="L16204" s="12"/>
      <c r="M16204" s="11"/>
      <c r="N16204" s="11"/>
      <c r="O16204" s="11"/>
      <c r="P16204" s="11"/>
    </row>
    <row r="16205" spans="8:16" x14ac:dyDescent="0.25">
      <c r="H16205" s="12"/>
      <c r="I16205" s="12"/>
      <c r="J16205" s="12"/>
      <c r="K16205" s="12"/>
      <c r="L16205" s="12"/>
      <c r="M16205" s="11"/>
      <c r="N16205" s="11"/>
      <c r="O16205" s="11"/>
      <c r="P16205" s="11"/>
    </row>
    <row r="16206" spans="8:16" x14ac:dyDescent="0.25">
      <c r="H16206" s="12"/>
      <c r="I16206" s="12"/>
      <c r="J16206" s="12"/>
      <c r="K16206" s="12"/>
      <c r="L16206" s="12"/>
      <c r="M16206" s="11"/>
      <c r="N16206" s="11"/>
      <c r="O16206" s="11"/>
      <c r="P16206" s="11"/>
    </row>
    <row r="16207" spans="8:16" x14ac:dyDescent="0.25">
      <c r="H16207" s="12"/>
      <c r="I16207" s="12"/>
      <c r="J16207" s="12"/>
      <c r="K16207" s="12"/>
      <c r="L16207" s="12"/>
      <c r="M16207" s="11"/>
      <c r="N16207" s="11"/>
      <c r="O16207" s="11"/>
      <c r="P16207" s="11"/>
    </row>
    <row r="16208" spans="8:16" x14ac:dyDescent="0.25">
      <c r="H16208" s="12"/>
      <c r="I16208" s="12"/>
      <c r="J16208" s="12"/>
      <c r="K16208" s="12"/>
      <c r="L16208" s="12"/>
      <c r="M16208" s="11"/>
      <c r="N16208" s="11"/>
      <c r="O16208" s="11"/>
      <c r="P16208" s="11"/>
    </row>
    <row r="16209" spans="8:16" x14ac:dyDescent="0.25">
      <c r="H16209" s="12"/>
      <c r="I16209" s="12"/>
      <c r="J16209" s="12"/>
      <c r="K16209" s="12"/>
      <c r="L16209" s="12"/>
      <c r="M16209" s="11"/>
      <c r="N16209" s="11"/>
      <c r="O16209" s="11"/>
      <c r="P16209" s="11"/>
    </row>
    <row r="16210" spans="8:16" x14ac:dyDescent="0.25">
      <c r="H16210" s="12"/>
      <c r="I16210" s="12"/>
      <c r="J16210" s="12"/>
      <c r="K16210" s="12"/>
      <c r="L16210" s="12"/>
      <c r="M16210" s="11"/>
      <c r="N16210" s="11"/>
      <c r="O16210" s="11"/>
      <c r="P16210" s="11"/>
    </row>
    <row r="16211" spans="8:16" x14ac:dyDescent="0.25">
      <c r="H16211" s="12"/>
      <c r="I16211" s="12"/>
      <c r="J16211" s="12"/>
      <c r="K16211" s="12"/>
      <c r="L16211" s="12"/>
      <c r="M16211" s="11"/>
      <c r="N16211" s="11"/>
      <c r="O16211" s="11"/>
      <c r="P16211" s="11"/>
    </row>
    <row r="16212" spans="8:16" x14ac:dyDescent="0.25">
      <c r="H16212" s="12"/>
      <c r="I16212" s="12"/>
      <c r="J16212" s="12"/>
      <c r="K16212" s="12"/>
      <c r="L16212" s="12"/>
      <c r="M16212" s="11"/>
      <c r="N16212" s="11"/>
      <c r="O16212" s="11"/>
      <c r="P16212" s="11"/>
    </row>
    <row r="16213" spans="8:16" x14ac:dyDescent="0.25">
      <c r="H16213" s="12"/>
      <c r="I16213" s="12"/>
      <c r="J16213" s="12"/>
      <c r="K16213" s="12"/>
      <c r="L16213" s="12"/>
      <c r="M16213" s="11"/>
      <c r="N16213" s="11"/>
      <c r="O16213" s="11"/>
      <c r="P16213" s="11"/>
    </row>
    <row r="16214" spans="8:16" x14ac:dyDescent="0.25">
      <c r="H16214" s="12"/>
      <c r="I16214" s="12"/>
      <c r="J16214" s="12"/>
      <c r="K16214" s="12"/>
      <c r="L16214" s="12"/>
      <c r="M16214" s="11"/>
      <c r="N16214" s="11"/>
      <c r="O16214" s="11"/>
      <c r="P16214" s="11"/>
    </row>
    <row r="16215" spans="8:16" x14ac:dyDescent="0.25">
      <c r="H16215" s="12"/>
      <c r="I16215" s="12"/>
      <c r="J16215" s="12"/>
      <c r="K16215" s="12"/>
      <c r="L16215" s="12"/>
      <c r="M16215" s="11"/>
      <c r="N16215" s="11"/>
      <c r="O16215" s="11"/>
      <c r="P16215" s="11"/>
    </row>
    <row r="16216" spans="8:16" x14ac:dyDescent="0.25">
      <c r="H16216" s="12"/>
      <c r="I16216" s="12"/>
      <c r="J16216" s="12"/>
      <c r="K16216" s="12"/>
      <c r="L16216" s="12"/>
      <c r="M16216" s="11"/>
      <c r="N16216" s="11"/>
      <c r="O16216" s="11"/>
      <c r="P16216" s="11"/>
    </row>
    <row r="16217" spans="8:16" x14ac:dyDescent="0.25">
      <c r="H16217" s="12"/>
      <c r="I16217" s="12"/>
      <c r="J16217" s="12"/>
      <c r="K16217" s="12"/>
      <c r="L16217" s="12"/>
      <c r="M16217" s="11"/>
      <c r="N16217" s="11"/>
      <c r="O16217" s="11"/>
      <c r="P16217" s="11"/>
    </row>
    <row r="16218" spans="8:16" x14ac:dyDescent="0.25">
      <c r="H16218" s="12"/>
      <c r="I16218" s="12"/>
      <c r="J16218" s="12"/>
      <c r="K16218" s="12"/>
      <c r="L16218" s="12"/>
      <c r="M16218" s="11"/>
      <c r="N16218" s="11"/>
      <c r="O16218" s="11"/>
      <c r="P16218" s="11"/>
    </row>
    <row r="16219" spans="8:16" x14ac:dyDescent="0.25">
      <c r="H16219" s="12"/>
      <c r="I16219" s="12"/>
      <c r="J16219" s="12"/>
      <c r="K16219" s="12"/>
      <c r="L16219" s="12"/>
      <c r="M16219" s="11"/>
      <c r="N16219" s="11"/>
      <c r="O16219" s="11"/>
      <c r="P16219" s="11"/>
    </row>
    <row r="16220" spans="8:16" x14ac:dyDescent="0.25">
      <c r="H16220" s="12"/>
      <c r="I16220" s="12"/>
      <c r="J16220" s="12"/>
      <c r="K16220" s="12"/>
      <c r="L16220" s="12"/>
      <c r="M16220" s="11"/>
      <c r="N16220" s="11"/>
      <c r="O16220" s="11"/>
      <c r="P16220" s="11"/>
    </row>
    <row r="16221" spans="8:16" x14ac:dyDescent="0.25">
      <c r="H16221" s="12"/>
      <c r="I16221" s="12"/>
      <c r="J16221" s="12"/>
      <c r="K16221" s="12"/>
      <c r="L16221" s="12"/>
      <c r="M16221" s="11"/>
      <c r="N16221" s="11"/>
      <c r="O16221" s="11"/>
      <c r="P16221" s="11"/>
    </row>
    <row r="16222" spans="8:16" x14ac:dyDescent="0.25">
      <c r="H16222" s="12"/>
      <c r="I16222" s="12"/>
      <c r="J16222" s="12"/>
      <c r="K16222" s="12"/>
      <c r="L16222" s="12"/>
      <c r="M16222" s="11"/>
      <c r="N16222" s="11"/>
      <c r="O16222" s="11"/>
      <c r="P16222" s="11"/>
    </row>
    <row r="16223" spans="8:16" x14ac:dyDescent="0.25">
      <c r="H16223" s="12"/>
      <c r="I16223" s="12"/>
      <c r="J16223" s="12"/>
      <c r="K16223" s="12"/>
      <c r="L16223" s="12"/>
      <c r="M16223" s="11"/>
      <c r="N16223" s="11"/>
      <c r="O16223" s="11"/>
      <c r="P16223" s="11"/>
    </row>
    <row r="16224" spans="8:16" x14ac:dyDescent="0.25">
      <c r="H16224" s="12"/>
      <c r="I16224" s="12"/>
      <c r="J16224" s="12"/>
      <c r="K16224" s="12"/>
      <c r="L16224" s="12"/>
      <c r="M16224" s="11"/>
      <c r="N16224" s="11"/>
      <c r="O16224" s="11"/>
      <c r="P16224" s="11"/>
    </row>
    <row r="16225" spans="8:16" x14ac:dyDescent="0.25">
      <c r="H16225" s="12"/>
      <c r="I16225" s="12"/>
      <c r="J16225" s="12"/>
      <c r="K16225" s="12"/>
      <c r="L16225" s="12"/>
      <c r="M16225" s="11"/>
      <c r="N16225" s="11"/>
      <c r="O16225" s="11"/>
      <c r="P16225" s="11"/>
    </row>
    <row r="16226" spans="8:16" x14ac:dyDescent="0.25">
      <c r="H16226" s="12"/>
      <c r="I16226" s="12"/>
      <c r="J16226" s="12"/>
      <c r="K16226" s="12"/>
      <c r="L16226" s="12"/>
      <c r="M16226" s="11"/>
      <c r="N16226" s="11"/>
      <c r="O16226" s="11"/>
      <c r="P16226" s="11"/>
    </row>
    <row r="16227" spans="8:16" x14ac:dyDescent="0.25">
      <c r="H16227" s="12"/>
      <c r="I16227" s="12"/>
      <c r="J16227" s="12"/>
      <c r="K16227" s="12"/>
      <c r="L16227" s="12"/>
      <c r="M16227" s="11"/>
      <c r="N16227" s="11"/>
      <c r="O16227" s="11"/>
      <c r="P16227" s="11"/>
    </row>
    <row r="16228" spans="8:16" x14ac:dyDescent="0.25">
      <c r="H16228" s="12"/>
      <c r="I16228" s="12"/>
      <c r="J16228" s="12"/>
      <c r="K16228" s="12"/>
      <c r="L16228" s="12"/>
      <c r="M16228" s="11"/>
      <c r="N16228" s="11"/>
      <c r="O16228" s="11"/>
      <c r="P16228" s="11"/>
    </row>
    <row r="16229" spans="8:16" x14ac:dyDescent="0.25">
      <c r="H16229" s="12"/>
      <c r="I16229" s="12"/>
      <c r="J16229" s="12"/>
      <c r="K16229" s="12"/>
      <c r="L16229" s="12"/>
      <c r="M16229" s="11"/>
      <c r="N16229" s="11"/>
      <c r="O16229" s="11"/>
      <c r="P16229" s="11"/>
    </row>
    <row r="16230" spans="8:16" x14ac:dyDescent="0.25">
      <c r="H16230" s="12"/>
      <c r="I16230" s="12"/>
      <c r="J16230" s="12"/>
      <c r="K16230" s="12"/>
      <c r="L16230" s="12"/>
      <c r="M16230" s="11"/>
      <c r="N16230" s="11"/>
      <c r="O16230" s="11"/>
      <c r="P16230" s="11"/>
    </row>
    <row r="16231" spans="8:16" x14ac:dyDescent="0.25">
      <c r="H16231" s="12"/>
      <c r="I16231" s="12"/>
      <c r="J16231" s="12"/>
      <c r="K16231" s="12"/>
      <c r="L16231" s="12"/>
      <c r="M16231" s="11"/>
      <c r="N16231" s="11"/>
      <c r="O16231" s="11"/>
      <c r="P16231" s="11"/>
    </row>
    <row r="16232" spans="8:16" x14ac:dyDescent="0.25">
      <c r="H16232" s="12"/>
      <c r="I16232" s="12"/>
      <c r="J16232" s="12"/>
      <c r="K16232" s="12"/>
      <c r="L16232" s="12"/>
      <c r="M16232" s="11"/>
      <c r="N16232" s="11"/>
      <c r="O16232" s="11"/>
      <c r="P16232" s="11"/>
    </row>
    <row r="16233" spans="8:16" x14ac:dyDescent="0.25">
      <c r="H16233" s="12"/>
      <c r="I16233" s="12"/>
      <c r="J16233" s="12"/>
      <c r="K16233" s="12"/>
      <c r="L16233" s="12"/>
      <c r="M16233" s="11"/>
      <c r="N16233" s="11"/>
      <c r="O16233" s="11"/>
      <c r="P16233" s="11"/>
    </row>
    <row r="16234" spans="8:16" x14ac:dyDescent="0.25">
      <c r="H16234" s="12"/>
      <c r="I16234" s="12"/>
      <c r="J16234" s="12"/>
      <c r="K16234" s="12"/>
      <c r="L16234" s="12"/>
      <c r="M16234" s="11"/>
      <c r="N16234" s="11"/>
      <c r="O16234" s="11"/>
      <c r="P16234" s="11"/>
    </row>
    <row r="16235" spans="8:16" x14ac:dyDescent="0.25">
      <c r="H16235" s="12"/>
      <c r="I16235" s="12"/>
      <c r="J16235" s="12"/>
      <c r="K16235" s="12"/>
      <c r="L16235" s="12"/>
      <c r="M16235" s="11"/>
      <c r="N16235" s="11"/>
      <c r="O16235" s="11"/>
      <c r="P16235" s="11"/>
    </row>
    <row r="16236" spans="8:16" x14ac:dyDescent="0.25">
      <c r="H16236" s="12"/>
      <c r="I16236" s="12"/>
      <c r="J16236" s="12"/>
      <c r="K16236" s="12"/>
      <c r="L16236" s="12"/>
      <c r="M16236" s="11"/>
      <c r="N16236" s="11"/>
      <c r="O16236" s="11"/>
      <c r="P16236" s="11"/>
    </row>
    <row r="16237" spans="8:16" x14ac:dyDescent="0.25">
      <c r="H16237" s="12"/>
      <c r="I16237" s="12"/>
      <c r="J16237" s="12"/>
      <c r="K16237" s="12"/>
      <c r="L16237" s="12"/>
      <c r="M16237" s="11"/>
      <c r="N16237" s="11"/>
      <c r="O16237" s="11"/>
      <c r="P16237" s="11"/>
    </row>
    <row r="16238" spans="8:16" x14ac:dyDescent="0.25">
      <c r="H16238" s="12"/>
      <c r="I16238" s="12"/>
      <c r="J16238" s="12"/>
      <c r="K16238" s="12"/>
      <c r="L16238" s="12"/>
      <c r="M16238" s="11"/>
      <c r="N16238" s="11"/>
      <c r="O16238" s="11"/>
      <c r="P16238" s="11"/>
    </row>
    <row r="16239" spans="8:16" x14ac:dyDescent="0.25">
      <c r="H16239" s="12"/>
      <c r="I16239" s="12"/>
      <c r="J16239" s="12"/>
      <c r="K16239" s="12"/>
      <c r="L16239" s="12"/>
      <c r="M16239" s="11"/>
      <c r="N16239" s="11"/>
      <c r="O16239" s="11"/>
      <c r="P16239" s="11"/>
    </row>
    <row r="16240" spans="8:16" x14ac:dyDescent="0.25">
      <c r="H16240" s="12"/>
      <c r="I16240" s="12"/>
      <c r="J16240" s="12"/>
      <c r="K16240" s="12"/>
      <c r="L16240" s="12"/>
      <c r="M16240" s="11"/>
      <c r="N16240" s="11"/>
      <c r="O16240" s="11"/>
      <c r="P16240" s="11"/>
    </row>
    <row r="16241" spans="8:16" x14ac:dyDescent="0.25">
      <c r="H16241" s="12"/>
      <c r="I16241" s="12"/>
      <c r="J16241" s="12"/>
      <c r="K16241" s="12"/>
      <c r="L16241" s="12"/>
      <c r="M16241" s="11"/>
      <c r="N16241" s="11"/>
      <c r="O16241" s="11"/>
      <c r="P16241" s="11"/>
    </row>
    <row r="16242" spans="8:16" x14ac:dyDescent="0.25">
      <c r="H16242" s="12"/>
      <c r="I16242" s="12"/>
      <c r="J16242" s="12"/>
      <c r="K16242" s="12"/>
      <c r="L16242" s="12"/>
      <c r="M16242" s="11"/>
      <c r="N16242" s="11"/>
      <c r="O16242" s="11"/>
      <c r="P16242" s="11"/>
    </row>
    <row r="16243" spans="8:16" x14ac:dyDescent="0.25">
      <c r="H16243" s="12"/>
      <c r="I16243" s="12"/>
      <c r="J16243" s="12"/>
      <c r="K16243" s="12"/>
      <c r="L16243" s="12"/>
      <c r="M16243" s="11"/>
      <c r="N16243" s="11"/>
      <c r="O16243" s="11"/>
      <c r="P16243" s="11"/>
    </row>
    <row r="16244" spans="8:16" x14ac:dyDescent="0.25">
      <c r="H16244" s="12"/>
      <c r="I16244" s="12"/>
      <c r="J16244" s="12"/>
      <c r="K16244" s="12"/>
      <c r="L16244" s="12"/>
      <c r="M16244" s="11"/>
      <c r="N16244" s="11"/>
      <c r="O16244" s="11"/>
      <c r="P16244" s="11"/>
    </row>
    <row r="16245" spans="8:16" x14ac:dyDescent="0.25">
      <c r="H16245" s="12"/>
      <c r="I16245" s="12"/>
      <c r="J16245" s="12"/>
      <c r="K16245" s="12"/>
      <c r="L16245" s="12"/>
      <c r="M16245" s="11"/>
      <c r="N16245" s="11"/>
      <c r="O16245" s="11"/>
      <c r="P16245" s="11"/>
    </row>
    <row r="16246" spans="8:16" x14ac:dyDescent="0.25">
      <c r="H16246" s="12"/>
      <c r="I16246" s="12"/>
      <c r="J16246" s="12"/>
      <c r="K16246" s="12"/>
      <c r="L16246" s="12"/>
      <c r="M16246" s="11"/>
      <c r="N16246" s="11"/>
      <c r="O16246" s="11"/>
      <c r="P16246" s="11"/>
    </row>
    <row r="16247" spans="8:16" x14ac:dyDescent="0.25">
      <c r="H16247" s="12"/>
      <c r="I16247" s="12"/>
      <c r="J16247" s="12"/>
      <c r="K16247" s="12"/>
      <c r="L16247" s="12"/>
      <c r="M16247" s="11"/>
      <c r="N16247" s="11"/>
      <c r="O16247" s="11"/>
      <c r="P16247" s="11"/>
    </row>
    <row r="16248" spans="8:16" x14ac:dyDescent="0.25">
      <c r="H16248" s="12"/>
      <c r="I16248" s="12"/>
      <c r="J16248" s="12"/>
      <c r="K16248" s="12"/>
      <c r="L16248" s="12"/>
      <c r="M16248" s="11"/>
      <c r="N16248" s="11"/>
      <c r="O16248" s="11"/>
      <c r="P16248" s="11"/>
    </row>
    <row r="16249" spans="8:16" x14ac:dyDescent="0.25">
      <c r="H16249" s="12"/>
      <c r="I16249" s="12"/>
      <c r="J16249" s="12"/>
      <c r="K16249" s="12"/>
      <c r="L16249" s="12"/>
      <c r="M16249" s="11"/>
      <c r="N16249" s="11"/>
      <c r="O16249" s="11"/>
      <c r="P16249" s="11"/>
    </row>
    <row r="16250" spans="8:16" x14ac:dyDescent="0.25">
      <c r="H16250" s="12"/>
      <c r="I16250" s="12"/>
      <c r="J16250" s="12"/>
      <c r="K16250" s="12"/>
      <c r="L16250" s="12"/>
      <c r="M16250" s="11"/>
      <c r="N16250" s="11"/>
      <c r="O16250" s="11"/>
      <c r="P16250" s="11"/>
    </row>
    <row r="16251" spans="8:16" x14ac:dyDescent="0.25">
      <c r="H16251" s="12"/>
      <c r="I16251" s="12"/>
      <c r="J16251" s="12"/>
      <c r="K16251" s="12"/>
      <c r="L16251" s="12"/>
      <c r="M16251" s="11"/>
      <c r="N16251" s="11"/>
      <c r="O16251" s="11"/>
      <c r="P16251" s="11"/>
    </row>
    <row r="16252" spans="8:16" x14ac:dyDescent="0.25">
      <c r="H16252" s="12"/>
      <c r="I16252" s="12"/>
      <c r="J16252" s="12"/>
      <c r="K16252" s="12"/>
      <c r="L16252" s="12"/>
      <c r="M16252" s="11"/>
      <c r="N16252" s="11"/>
      <c r="O16252" s="11"/>
      <c r="P16252" s="11"/>
    </row>
    <row r="16253" spans="8:16" x14ac:dyDescent="0.25">
      <c r="H16253" s="12"/>
      <c r="I16253" s="12"/>
      <c r="J16253" s="12"/>
      <c r="K16253" s="12"/>
      <c r="L16253" s="12"/>
      <c r="M16253" s="11"/>
      <c r="N16253" s="11"/>
      <c r="O16253" s="11"/>
      <c r="P16253" s="11"/>
    </row>
    <row r="16254" spans="8:16" x14ac:dyDescent="0.25">
      <c r="H16254" s="12"/>
      <c r="I16254" s="12"/>
      <c r="J16254" s="12"/>
      <c r="K16254" s="12"/>
      <c r="L16254" s="12"/>
      <c r="M16254" s="11"/>
      <c r="N16254" s="11"/>
      <c r="O16254" s="11"/>
      <c r="P16254" s="11"/>
    </row>
    <row r="16255" spans="8:16" x14ac:dyDescent="0.25">
      <c r="H16255" s="12"/>
      <c r="I16255" s="12"/>
      <c r="J16255" s="12"/>
      <c r="K16255" s="12"/>
      <c r="L16255" s="12"/>
      <c r="M16255" s="11"/>
      <c r="N16255" s="11"/>
      <c r="O16255" s="11"/>
      <c r="P16255" s="11"/>
    </row>
    <row r="16256" spans="8:16" x14ac:dyDescent="0.25">
      <c r="H16256" s="12"/>
      <c r="I16256" s="12"/>
      <c r="J16256" s="12"/>
      <c r="K16256" s="12"/>
      <c r="L16256" s="12"/>
      <c r="M16256" s="11"/>
      <c r="N16256" s="11"/>
      <c r="O16256" s="11"/>
      <c r="P16256" s="11"/>
    </row>
    <row r="16257" spans="8:16" x14ac:dyDescent="0.25">
      <c r="H16257" s="12"/>
      <c r="I16257" s="12"/>
      <c r="J16257" s="12"/>
      <c r="K16257" s="12"/>
      <c r="L16257" s="12"/>
      <c r="M16257" s="11"/>
      <c r="N16257" s="11"/>
      <c r="O16257" s="11"/>
      <c r="P16257" s="11"/>
    </row>
    <row r="16258" spans="8:16" x14ac:dyDescent="0.25">
      <c r="H16258" s="12"/>
      <c r="I16258" s="12"/>
      <c r="J16258" s="12"/>
      <c r="K16258" s="12"/>
      <c r="L16258" s="12"/>
      <c r="M16258" s="11"/>
      <c r="N16258" s="11"/>
      <c r="O16258" s="11"/>
      <c r="P16258" s="11"/>
    </row>
    <row r="16259" spans="8:16" x14ac:dyDescent="0.25">
      <c r="H16259" s="12"/>
      <c r="I16259" s="12"/>
      <c r="J16259" s="12"/>
      <c r="K16259" s="12"/>
      <c r="L16259" s="12"/>
      <c r="M16259" s="11"/>
      <c r="N16259" s="11"/>
      <c r="O16259" s="11"/>
      <c r="P16259" s="11"/>
    </row>
    <row r="16260" spans="8:16" x14ac:dyDescent="0.25">
      <c r="H16260" s="12"/>
      <c r="I16260" s="12"/>
      <c r="J16260" s="12"/>
      <c r="K16260" s="12"/>
      <c r="L16260" s="12"/>
      <c r="M16260" s="11"/>
      <c r="N16260" s="11"/>
      <c r="O16260" s="11"/>
      <c r="P16260" s="11"/>
    </row>
    <row r="16261" spans="8:16" x14ac:dyDescent="0.25">
      <c r="H16261" s="12"/>
      <c r="I16261" s="12"/>
      <c r="J16261" s="12"/>
      <c r="K16261" s="12"/>
      <c r="L16261" s="12"/>
      <c r="M16261" s="11"/>
      <c r="N16261" s="11"/>
      <c r="O16261" s="11"/>
      <c r="P16261" s="11"/>
    </row>
    <row r="16262" spans="8:16" x14ac:dyDescent="0.25">
      <c r="H16262" s="12"/>
      <c r="I16262" s="12"/>
      <c r="J16262" s="12"/>
      <c r="K16262" s="12"/>
      <c r="L16262" s="12"/>
      <c r="M16262" s="11"/>
      <c r="N16262" s="11"/>
      <c r="O16262" s="11"/>
      <c r="P16262" s="11"/>
    </row>
    <row r="16263" spans="8:16" x14ac:dyDescent="0.25">
      <c r="H16263" s="12"/>
      <c r="I16263" s="12"/>
      <c r="J16263" s="12"/>
      <c r="K16263" s="12"/>
      <c r="L16263" s="12"/>
      <c r="M16263" s="11"/>
      <c r="N16263" s="11"/>
      <c r="O16263" s="11"/>
      <c r="P16263" s="11"/>
    </row>
    <row r="16264" spans="8:16" x14ac:dyDescent="0.25">
      <c r="H16264" s="12"/>
      <c r="I16264" s="12"/>
      <c r="J16264" s="12"/>
      <c r="K16264" s="12"/>
      <c r="L16264" s="12"/>
      <c r="M16264" s="11"/>
      <c r="N16264" s="11"/>
      <c r="O16264" s="11"/>
      <c r="P16264" s="11"/>
    </row>
    <row r="16265" spans="8:16" x14ac:dyDescent="0.25">
      <c r="H16265" s="12"/>
      <c r="I16265" s="12"/>
      <c r="J16265" s="12"/>
      <c r="K16265" s="12"/>
      <c r="L16265" s="12"/>
      <c r="M16265" s="11"/>
      <c r="N16265" s="11"/>
      <c r="O16265" s="11"/>
      <c r="P16265" s="11"/>
    </row>
    <row r="16266" spans="8:16" x14ac:dyDescent="0.25">
      <c r="H16266" s="12"/>
      <c r="I16266" s="12"/>
      <c r="J16266" s="12"/>
      <c r="K16266" s="12"/>
      <c r="L16266" s="12"/>
      <c r="M16266" s="11"/>
      <c r="N16266" s="11"/>
      <c r="O16266" s="11"/>
      <c r="P16266" s="11"/>
    </row>
    <row r="16267" spans="8:16" x14ac:dyDescent="0.25">
      <c r="H16267" s="12"/>
      <c r="I16267" s="12"/>
      <c r="J16267" s="12"/>
      <c r="K16267" s="12"/>
      <c r="L16267" s="12"/>
      <c r="M16267" s="11"/>
      <c r="N16267" s="11"/>
      <c r="O16267" s="11"/>
      <c r="P16267" s="11"/>
    </row>
    <row r="16268" spans="8:16" x14ac:dyDescent="0.25">
      <c r="H16268" s="12"/>
      <c r="I16268" s="12"/>
      <c r="J16268" s="12"/>
      <c r="K16268" s="12"/>
      <c r="L16268" s="12"/>
      <c r="M16268" s="11"/>
      <c r="N16268" s="11"/>
      <c r="O16268" s="11"/>
      <c r="P16268" s="11"/>
    </row>
    <row r="16269" spans="8:16" x14ac:dyDescent="0.25">
      <c r="H16269" s="12"/>
      <c r="I16269" s="12"/>
      <c r="J16269" s="12"/>
      <c r="K16269" s="12"/>
      <c r="L16269" s="12"/>
      <c r="M16269" s="11"/>
      <c r="N16269" s="11"/>
      <c r="O16269" s="11"/>
      <c r="P16269" s="11"/>
    </row>
    <row r="16270" spans="8:16" x14ac:dyDescent="0.25">
      <c r="H16270" s="12"/>
      <c r="I16270" s="12"/>
      <c r="J16270" s="12"/>
      <c r="K16270" s="12"/>
      <c r="L16270" s="12"/>
      <c r="M16270" s="11"/>
      <c r="N16270" s="11"/>
      <c r="O16270" s="11"/>
      <c r="P16270" s="11"/>
    </row>
    <row r="16271" spans="8:16" x14ac:dyDescent="0.25">
      <c r="H16271" s="12"/>
      <c r="I16271" s="12"/>
      <c r="J16271" s="12"/>
      <c r="K16271" s="12"/>
      <c r="L16271" s="12"/>
      <c r="M16271" s="11"/>
      <c r="N16271" s="11"/>
      <c r="O16271" s="11"/>
      <c r="P16271" s="11"/>
    </row>
    <row r="16272" spans="8:16" x14ac:dyDescent="0.25">
      <c r="H16272" s="12"/>
      <c r="I16272" s="12"/>
      <c r="J16272" s="12"/>
      <c r="K16272" s="12"/>
      <c r="L16272" s="12"/>
      <c r="M16272" s="11"/>
      <c r="N16272" s="11"/>
      <c r="O16272" s="11"/>
      <c r="P16272" s="11"/>
    </row>
    <row r="16273" spans="8:16" x14ac:dyDescent="0.25">
      <c r="H16273" s="12"/>
      <c r="I16273" s="12"/>
      <c r="J16273" s="12"/>
      <c r="K16273" s="12"/>
      <c r="L16273" s="12"/>
      <c r="M16273" s="11"/>
      <c r="N16273" s="11"/>
      <c r="O16273" s="11"/>
      <c r="P16273" s="11"/>
    </row>
    <row r="16274" spans="8:16" x14ac:dyDescent="0.25">
      <c r="H16274" s="12"/>
      <c r="I16274" s="12"/>
      <c r="J16274" s="12"/>
      <c r="K16274" s="12"/>
      <c r="L16274" s="12"/>
      <c r="M16274" s="11"/>
      <c r="N16274" s="11"/>
      <c r="O16274" s="11"/>
      <c r="P16274" s="11"/>
    </row>
    <row r="16275" spans="8:16" x14ac:dyDescent="0.25">
      <c r="H16275" s="12"/>
      <c r="I16275" s="12"/>
      <c r="J16275" s="12"/>
      <c r="K16275" s="12"/>
      <c r="L16275" s="12"/>
      <c r="M16275" s="11"/>
      <c r="N16275" s="11"/>
      <c r="O16275" s="11"/>
      <c r="P16275" s="11"/>
    </row>
    <row r="16276" spans="8:16" x14ac:dyDescent="0.25">
      <c r="H16276" s="12"/>
      <c r="I16276" s="12"/>
      <c r="J16276" s="12"/>
      <c r="K16276" s="12"/>
      <c r="L16276" s="12"/>
      <c r="M16276" s="11"/>
      <c r="N16276" s="11"/>
      <c r="O16276" s="11"/>
      <c r="P16276" s="11"/>
    </row>
    <row r="16277" spans="8:16" x14ac:dyDescent="0.25">
      <c r="H16277" s="12"/>
      <c r="I16277" s="12"/>
      <c r="J16277" s="12"/>
      <c r="K16277" s="12"/>
      <c r="L16277" s="12"/>
      <c r="M16277" s="11"/>
      <c r="N16277" s="11"/>
      <c r="O16277" s="11"/>
      <c r="P16277" s="11"/>
    </row>
    <row r="16278" spans="8:16" x14ac:dyDescent="0.25">
      <c r="H16278" s="12"/>
      <c r="I16278" s="12"/>
      <c r="J16278" s="12"/>
      <c r="K16278" s="12"/>
      <c r="L16278" s="12"/>
      <c r="M16278" s="11"/>
      <c r="N16278" s="11"/>
      <c r="O16278" s="11"/>
      <c r="P16278" s="11"/>
    </row>
    <row r="16279" spans="8:16" x14ac:dyDescent="0.25">
      <c r="H16279" s="12"/>
      <c r="I16279" s="12"/>
      <c r="J16279" s="12"/>
      <c r="K16279" s="12"/>
      <c r="L16279" s="12"/>
      <c r="M16279" s="11"/>
      <c r="N16279" s="11"/>
      <c r="O16279" s="11"/>
      <c r="P16279" s="11"/>
    </row>
    <row r="16280" spans="8:16" x14ac:dyDescent="0.25">
      <c r="H16280" s="12"/>
      <c r="I16280" s="12"/>
      <c r="J16280" s="12"/>
      <c r="K16280" s="12"/>
      <c r="L16280" s="12"/>
      <c r="M16280" s="11"/>
      <c r="N16280" s="11"/>
      <c r="O16280" s="11"/>
      <c r="P16280" s="11"/>
    </row>
    <row r="16281" spans="8:16" x14ac:dyDescent="0.25">
      <c r="H16281" s="12"/>
      <c r="I16281" s="12"/>
      <c r="J16281" s="12"/>
      <c r="K16281" s="12"/>
      <c r="L16281" s="12"/>
      <c r="M16281" s="11"/>
      <c r="N16281" s="11"/>
      <c r="O16281" s="11"/>
      <c r="P16281" s="11"/>
    </row>
    <row r="16282" spans="8:16" x14ac:dyDescent="0.25">
      <c r="H16282" s="12"/>
      <c r="I16282" s="12"/>
      <c r="J16282" s="12"/>
      <c r="K16282" s="12"/>
      <c r="L16282" s="12"/>
      <c r="M16282" s="11"/>
      <c r="N16282" s="11"/>
      <c r="O16282" s="11"/>
      <c r="P16282" s="11"/>
    </row>
    <row r="16283" spans="8:16" x14ac:dyDescent="0.25">
      <c r="H16283" s="12"/>
      <c r="I16283" s="12"/>
      <c r="J16283" s="12"/>
      <c r="K16283" s="12"/>
      <c r="L16283" s="12"/>
      <c r="M16283" s="11"/>
      <c r="N16283" s="11"/>
      <c r="O16283" s="11"/>
      <c r="P16283" s="11"/>
    </row>
    <row r="16284" spans="8:16" x14ac:dyDescent="0.25">
      <c r="H16284" s="12"/>
      <c r="I16284" s="12"/>
      <c r="J16284" s="12"/>
      <c r="K16284" s="12"/>
      <c r="L16284" s="12"/>
      <c r="M16284" s="11"/>
      <c r="N16284" s="11"/>
      <c r="O16284" s="11"/>
      <c r="P16284" s="11"/>
    </row>
    <row r="16285" spans="8:16" x14ac:dyDescent="0.25">
      <c r="H16285" s="12"/>
      <c r="I16285" s="12"/>
      <c r="J16285" s="12"/>
      <c r="K16285" s="12"/>
      <c r="L16285" s="12"/>
      <c r="M16285" s="11"/>
      <c r="N16285" s="11"/>
      <c r="O16285" s="11"/>
      <c r="P16285" s="11"/>
    </row>
    <row r="16286" spans="8:16" x14ac:dyDescent="0.25">
      <c r="H16286" s="12"/>
      <c r="I16286" s="12"/>
      <c r="J16286" s="12"/>
      <c r="K16286" s="12"/>
      <c r="L16286" s="12"/>
      <c r="M16286" s="11"/>
      <c r="N16286" s="11"/>
      <c r="O16286" s="11"/>
      <c r="P16286" s="11"/>
    </row>
    <row r="16287" spans="8:16" x14ac:dyDescent="0.25">
      <c r="H16287" s="12"/>
      <c r="I16287" s="12"/>
      <c r="J16287" s="12"/>
      <c r="K16287" s="12"/>
      <c r="L16287" s="12"/>
      <c r="M16287" s="11"/>
      <c r="N16287" s="11"/>
      <c r="O16287" s="11"/>
      <c r="P16287" s="11"/>
    </row>
    <row r="16288" spans="8:16" x14ac:dyDescent="0.25">
      <c r="H16288" s="12"/>
      <c r="I16288" s="12"/>
      <c r="J16288" s="12"/>
      <c r="K16288" s="12"/>
      <c r="L16288" s="12"/>
      <c r="M16288" s="11"/>
      <c r="N16288" s="11"/>
      <c r="O16288" s="11"/>
      <c r="P16288" s="11"/>
    </row>
    <row r="16289" spans="8:16" x14ac:dyDescent="0.25">
      <c r="H16289" s="12"/>
      <c r="I16289" s="12"/>
      <c r="J16289" s="12"/>
      <c r="K16289" s="12"/>
      <c r="L16289" s="12"/>
      <c r="M16289" s="11"/>
      <c r="N16289" s="11"/>
      <c r="O16289" s="11"/>
      <c r="P16289" s="11"/>
    </row>
    <row r="16290" spans="8:16" x14ac:dyDescent="0.25">
      <c r="H16290" s="12"/>
      <c r="I16290" s="12"/>
      <c r="J16290" s="12"/>
      <c r="K16290" s="12"/>
      <c r="L16290" s="12"/>
      <c r="M16290" s="11"/>
      <c r="N16290" s="11"/>
      <c r="O16290" s="11"/>
      <c r="P16290" s="11"/>
    </row>
    <row r="16291" spans="8:16" x14ac:dyDescent="0.25">
      <c r="H16291" s="12"/>
      <c r="I16291" s="12"/>
      <c r="J16291" s="12"/>
      <c r="K16291" s="12"/>
      <c r="L16291" s="12"/>
      <c r="M16291" s="11"/>
      <c r="N16291" s="11"/>
      <c r="O16291" s="11"/>
      <c r="P16291" s="11"/>
    </row>
    <row r="16292" spans="8:16" x14ac:dyDescent="0.25">
      <c r="H16292" s="12"/>
      <c r="I16292" s="12"/>
      <c r="J16292" s="12"/>
      <c r="K16292" s="12"/>
      <c r="L16292" s="12"/>
      <c r="M16292" s="11"/>
      <c r="N16292" s="11"/>
      <c r="O16292" s="11"/>
      <c r="P16292" s="11"/>
    </row>
    <row r="16293" spans="8:16" x14ac:dyDescent="0.25">
      <c r="H16293" s="12"/>
      <c r="I16293" s="12"/>
      <c r="J16293" s="12"/>
      <c r="K16293" s="12"/>
      <c r="L16293" s="12"/>
      <c r="M16293" s="11"/>
      <c r="N16293" s="11"/>
      <c r="O16293" s="11"/>
      <c r="P16293" s="11"/>
    </row>
    <row r="16294" spans="8:16" x14ac:dyDescent="0.25">
      <c r="H16294" s="12"/>
      <c r="I16294" s="12"/>
      <c r="J16294" s="12"/>
      <c r="K16294" s="12"/>
      <c r="L16294" s="12"/>
      <c r="M16294" s="11"/>
      <c r="N16294" s="11"/>
      <c r="O16294" s="11"/>
      <c r="P16294" s="11"/>
    </row>
    <row r="16295" spans="8:16" x14ac:dyDescent="0.25">
      <c r="H16295" s="12"/>
      <c r="I16295" s="12"/>
      <c r="J16295" s="12"/>
      <c r="K16295" s="12"/>
      <c r="L16295" s="12"/>
      <c r="M16295" s="11"/>
      <c r="N16295" s="11"/>
      <c r="O16295" s="11"/>
      <c r="P16295" s="11"/>
    </row>
    <row r="16296" spans="8:16" x14ac:dyDescent="0.25">
      <c r="H16296" s="12"/>
      <c r="I16296" s="12"/>
      <c r="J16296" s="12"/>
      <c r="K16296" s="12"/>
      <c r="L16296" s="12"/>
      <c r="M16296" s="11"/>
      <c r="N16296" s="11"/>
      <c r="O16296" s="11"/>
      <c r="P16296" s="11"/>
    </row>
    <row r="16297" spans="8:16" x14ac:dyDescent="0.25">
      <c r="H16297" s="12"/>
      <c r="I16297" s="12"/>
      <c r="J16297" s="12"/>
      <c r="K16297" s="12"/>
      <c r="L16297" s="12"/>
      <c r="M16297" s="11"/>
      <c r="N16297" s="11"/>
      <c r="O16297" s="11"/>
      <c r="P16297" s="11"/>
    </row>
    <row r="16298" spans="8:16" x14ac:dyDescent="0.25">
      <c r="H16298" s="12"/>
      <c r="I16298" s="12"/>
      <c r="J16298" s="12"/>
      <c r="K16298" s="12"/>
      <c r="L16298" s="12"/>
      <c r="M16298" s="11"/>
      <c r="N16298" s="11"/>
      <c r="O16298" s="11"/>
      <c r="P16298" s="11"/>
    </row>
    <row r="16299" spans="8:16" x14ac:dyDescent="0.25">
      <c r="H16299" s="12"/>
      <c r="I16299" s="12"/>
      <c r="J16299" s="12"/>
      <c r="K16299" s="12"/>
      <c r="L16299" s="12"/>
      <c r="M16299" s="11"/>
      <c r="N16299" s="11"/>
      <c r="O16299" s="11"/>
      <c r="P16299" s="11"/>
    </row>
    <row r="16300" spans="8:16" x14ac:dyDescent="0.25">
      <c r="H16300" s="12"/>
      <c r="I16300" s="12"/>
      <c r="J16300" s="12"/>
      <c r="K16300" s="12"/>
      <c r="L16300" s="12"/>
      <c r="M16300" s="11"/>
      <c r="N16300" s="11"/>
      <c r="O16300" s="11"/>
      <c r="P16300" s="11"/>
    </row>
    <row r="16301" spans="8:16" x14ac:dyDescent="0.25">
      <c r="H16301" s="12"/>
      <c r="I16301" s="12"/>
      <c r="J16301" s="12"/>
      <c r="K16301" s="12"/>
      <c r="L16301" s="12"/>
      <c r="M16301" s="11"/>
      <c r="N16301" s="11"/>
      <c r="O16301" s="11"/>
      <c r="P16301" s="11"/>
    </row>
    <row r="16302" spans="8:16" x14ac:dyDescent="0.25">
      <c r="H16302" s="12"/>
      <c r="I16302" s="12"/>
      <c r="J16302" s="12"/>
      <c r="K16302" s="12"/>
      <c r="L16302" s="12"/>
      <c r="M16302" s="11"/>
      <c r="N16302" s="11"/>
      <c r="O16302" s="11"/>
      <c r="P16302" s="11"/>
    </row>
    <row r="16303" spans="8:16" x14ac:dyDescent="0.25">
      <c r="H16303" s="12"/>
      <c r="I16303" s="12"/>
      <c r="J16303" s="12"/>
      <c r="K16303" s="12"/>
      <c r="L16303" s="12"/>
      <c r="M16303" s="11"/>
      <c r="N16303" s="11"/>
      <c r="O16303" s="11"/>
      <c r="P16303" s="11"/>
    </row>
    <row r="16304" spans="8:16" x14ac:dyDescent="0.25">
      <c r="H16304" s="12"/>
      <c r="I16304" s="12"/>
      <c r="J16304" s="12"/>
      <c r="K16304" s="12"/>
      <c r="L16304" s="12"/>
      <c r="M16304" s="11"/>
      <c r="N16304" s="11"/>
      <c r="O16304" s="11"/>
      <c r="P16304" s="11"/>
    </row>
    <row r="16305" spans="8:16" x14ac:dyDescent="0.25">
      <c r="H16305" s="12"/>
      <c r="I16305" s="12"/>
      <c r="J16305" s="12"/>
      <c r="K16305" s="12"/>
      <c r="L16305" s="12"/>
      <c r="M16305" s="11"/>
      <c r="N16305" s="11"/>
      <c r="O16305" s="11"/>
      <c r="P16305" s="11"/>
    </row>
    <row r="16306" spans="8:16" x14ac:dyDescent="0.25">
      <c r="H16306" s="12"/>
      <c r="I16306" s="12"/>
      <c r="J16306" s="12"/>
      <c r="K16306" s="12"/>
      <c r="L16306" s="12"/>
      <c r="M16306" s="11"/>
      <c r="N16306" s="11"/>
      <c r="O16306" s="11"/>
      <c r="P16306" s="11"/>
    </row>
    <row r="16307" spans="8:16" x14ac:dyDescent="0.25">
      <c r="H16307" s="12"/>
      <c r="I16307" s="12"/>
      <c r="J16307" s="12"/>
      <c r="K16307" s="12"/>
      <c r="L16307" s="12"/>
      <c r="M16307" s="11"/>
      <c r="N16307" s="11"/>
      <c r="O16307" s="11"/>
      <c r="P16307" s="11"/>
    </row>
    <row r="16308" spans="8:16" x14ac:dyDescent="0.25">
      <c r="H16308" s="12"/>
      <c r="I16308" s="12"/>
      <c r="J16308" s="12"/>
      <c r="K16308" s="12"/>
      <c r="L16308" s="12"/>
      <c r="M16308" s="11"/>
      <c r="N16308" s="11"/>
      <c r="O16308" s="11"/>
      <c r="P16308" s="11"/>
    </row>
    <row r="16309" spans="8:16" x14ac:dyDescent="0.25">
      <c r="H16309" s="12"/>
      <c r="I16309" s="12"/>
      <c r="J16309" s="12"/>
      <c r="K16309" s="12"/>
      <c r="L16309" s="12"/>
      <c r="M16309" s="11"/>
      <c r="N16309" s="11"/>
      <c r="O16309" s="11"/>
      <c r="P16309" s="11"/>
    </row>
    <row r="16310" spans="8:16" x14ac:dyDescent="0.25">
      <c r="H16310" s="12"/>
      <c r="I16310" s="12"/>
      <c r="J16310" s="12"/>
      <c r="K16310" s="12"/>
      <c r="L16310" s="12"/>
      <c r="M16310" s="11"/>
      <c r="N16310" s="11"/>
      <c r="O16310" s="11"/>
      <c r="P16310" s="11"/>
    </row>
    <row r="16311" spans="8:16" x14ac:dyDescent="0.25">
      <c r="H16311" s="12"/>
      <c r="I16311" s="12"/>
      <c r="J16311" s="12"/>
      <c r="K16311" s="12"/>
      <c r="L16311" s="12"/>
      <c r="M16311" s="11"/>
      <c r="N16311" s="11"/>
      <c r="O16311" s="11"/>
      <c r="P16311" s="11"/>
    </row>
    <row r="16312" spans="8:16" x14ac:dyDescent="0.25">
      <c r="H16312" s="12"/>
      <c r="I16312" s="12"/>
      <c r="J16312" s="12"/>
      <c r="K16312" s="12"/>
      <c r="L16312" s="12"/>
      <c r="M16312" s="11"/>
      <c r="N16312" s="11"/>
      <c r="O16312" s="11"/>
      <c r="P16312" s="11"/>
    </row>
    <row r="16313" spans="8:16" x14ac:dyDescent="0.25">
      <c r="H16313" s="12"/>
      <c r="I16313" s="12"/>
      <c r="J16313" s="12"/>
      <c r="K16313" s="12"/>
      <c r="L16313" s="12"/>
      <c r="M16313" s="11"/>
      <c r="N16313" s="11"/>
      <c r="O16313" s="11"/>
      <c r="P16313" s="11"/>
    </row>
    <row r="16314" spans="8:16" x14ac:dyDescent="0.25">
      <c r="H16314" s="12"/>
      <c r="I16314" s="12"/>
      <c r="J16314" s="12"/>
      <c r="K16314" s="12"/>
      <c r="L16314" s="12"/>
      <c r="M16314" s="11"/>
      <c r="N16314" s="11"/>
      <c r="O16314" s="11"/>
      <c r="P16314" s="11"/>
    </row>
    <row r="16315" spans="8:16" x14ac:dyDescent="0.25">
      <c r="H16315" s="12"/>
      <c r="I16315" s="12"/>
      <c r="J16315" s="12"/>
      <c r="K16315" s="12"/>
      <c r="L16315" s="12"/>
      <c r="M16315" s="11"/>
      <c r="N16315" s="11"/>
      <c r="O16315" s="11"/>
      <c r="P16315" s="11"/>
    </row>
    <row r="16316" spans="8:16" x14ac:dyDescent="0.25">
      <c r="H16316" s="12"/>
      <c r="I16316" s="12"/>
      <c r="J16316" s="12"/>
      <c r="K16316" s="12"/>
      <c r="L16316" s="12"/>
      <c r="M16316" s="11"/>
      <c r="N16316" s="11"/>
      <c r="O16316" s="11"/>
      <c r="P16316" s="11"/>
    </row>
    <row r="16317" spans="8:16" x14ac:dyDescent="0.25">
      <c r="H16317" s="12"/>
      <c r="I16317" s="12"/>
      <c r="J16317" s="12"/>
      <c r="K16317" s="12"/>
      <c r="L16317" s="12"/>
      <c r="M16317" s="11"/>
      <c r="N16317" s="11"/>
      <c r="O16317" s="11"/>
      <c r="P16317" s="11"/>
    </row>
    <row r="16318" spans="8:16" x14ac:dyDescent="0.25">
      <c r="H16318" s="12"/>
      <c r="I16318" s="12"/>
      <c r="J16318" s="12"/>
      <c r="K16318" s="12"/>
      <c r="L16318" s="12"/>
      <c r="M16318" s="11"/>
      <c r="N16318" s="11"/>
      <c r="O16318" s="11"/>
      <c r="P16318" s="11"/>
    </row>
    <row r="16319" spans="8:16" x14ac:dyDescent="0.25">
      <c r="H16319" s="12"/>
      <c r="I16319" s="12"/>
      <c r="J16319" s="12"/>
      <c r="K16319" s="12"/>
      <c r="L16319" s="12"/>
      <c r="M16319" s="11"/>
      <c r="N16319" s="11"/>
      <c r="O16319" s="11"/>
      <c r="P16319" s="11"/>
    </row>
    <row r="16320" spans="8:16" x14ac:dyDescent="0.25">
      <c r="H16320" s="12"/>
      <c r="I16320" s="12"/>
      <c r="J16320" s="12"/>
      <c r="K16320" s="12"/>
      <c r="L16320" s="12"/>
      <c r="M16320" s="11"/>
      <c r="N16320" s="11"/>
      <c r="O16320" s="11"/>
      <c r="P16320" s="11"/>
    </row>
    <row r="16321" spans="8:16" x14ac:dyDescent="0.25">
      <c r="H16321" s="12"/>
      <c r="I16321" s="12"/>
      <c r="J16321" s="12"/>
      <c r="K16321" s="12"/>
      <c r="L16321" s="12"/>
      <c r="M16321" s="11"/>
      <c r="N16321" s="11"/>
      <c r="O16321" s="11"/>
      <c r="P16321" s="11"/>
    </row>
    <row r="16322" spans="8:16" x14ac:dyDescent="0.25">
      <c r="H16322" s="12"/>
      <c r="I16322" s="12"/>
      <c r="J16322" s="12"/>
      <c r="K16322" s="12"/>
      <c r="L16322" s="12"/>
      <c r="M16322" s="11"/>
      <c r="N16322" s="11"/>
      <c r="O16322" s="11"/>
      <c r="P16322" s="11"/>
    </row>
    <row r="16323" spans="8:16" x14ac:dyDescent="0.25">
      <c r="H16323" s="12"/>
      <c r="I16323" s="12"/>
      <c r="J16323" s="12"/>
      <c r="K16323" s="12"/>
      <c r="L16323" s="12"/>
      <c r="M16323" s="11"/>
      <c r="N16323" s="11"/>
      <c r="O16323" s="11"/>
      <c r="P16323" s="11"/>
    </row>
    <row r="16324" spans="8:16" x14ac:dyDescent="0.25">
      <c r="H16324" s="12"/>
      <c r="I16324" s="12"/>
      <c r="J16324" s="12"/>
      <c r="K16324" s="12"/>
      <c r="L16324" s="12"/>
      <c r="M16324" s="11"/>
      <c r="N16324" s="11"/>
      <c r="O16324" s="11"/>
      <c r="P16324" s="11"/>
    </row>
    <row r="16325" spans="8:16" x14ac:dyDescent="0.25">
      <c r="H16325" s="12"/>
      <c r="I16325" s="12"/>
      <c r="J16325" s="12"/>
      <c r="K16325" s="12"/>
      <c r="L16325" s="12"/>
      <c r="M16325" s="11"/>
      <c r="N16325" s="11"/>
      <c r="O16325" s="11"/>
      <c r="P16325" s="11"/>
    </row>
    <row r="16326" spans="8:16" x14ac:dyDescent="0.25">
      <c r="H16326" s="12"/>
      <c r="I16326" s="12"/>
      <c r="J16326" s="12"/>
      <c r="K16326" s="12"/>
      <c r="L16326" s="12"/>
      <c r="M16326" s="11"/>
      <c r="N16326" s="11"/>
      <c r="O16326" s="11"/>
      <c r="P16326" s="11"/>
    </row>
    <row r="16327" spans="8:16" x14ac:dyDescent="0.25">
      <c r="H16327" s="12"/>
      <c r="I16327" s="12"/>
      <c r="J16327" s="12"/>
      <c r="K16327" s="12"/>
      <c r="L16327" s="12"/>
      <c r="M16327" s="11"/>
      <c r="N16327" s="11"/>
      <c r="O16327" s="11"/>
      <c r="P16327" s="11"/>
    </row>
    <row r="16328" spans="8:16" x14ac:dyDescent="0.25">
      <c r="H16328" s="12"/>
      <c r="I16328" s="12"/>
      <c r="J16328" s="12"/>
      <c r="K16328" s="12"/>
      <c r="L16328" s="12"/>
      <c r="M16328" s="11"/>
      <c r="N16328" s="11"/>
      <c r="O16328" s="11"/>
      <c r="P16328" s="11"/>
    </row>
    <row r="16329" spans="8:16" x14ac:dyDescent="0.25">
      <c r="H16329" s="12"/>
      <c r="I16329" s="12"/>
      <c r="J16329" s="12"/>
      <c r="K16329" s="12"/>
      <c r="L16329" s="12"/>
      <c r="M16329" s="11"/>
      <c r="N16329" s="11"/>
      <c r="O16329" s="11"/>
      <c r="P16329" s="11"/>
    </row>
    <row r="16330" spans="8:16" x14ac:dyDescent="0.25">
      <c r="H16330" s="12"/>
      <c r="I16330" s="12"/>
      <c r="J16330" s="12"/>
      <c r="K16330" s="12"/>
      <c r="L16330" s="12"/>
      <c r="M16330" s="11"/>
      <c r="N16330" s="11"/>
      <c r="O16330" s="11"/>
      <c r="P16330" s="11"/>
    </row>
    <row r="16331" spans="8:16" x14ac:dyDescent="0.25">
      <c r="H16331" s="12"/>
      <c r="I16331" s="12"/>
      <c r="J16331" s="12"/>
      <c r="K16331" s="12"/>
      <c r="L16331" s="12"/>
      <c r="M16331" s="11"/>
      <c r="N16331" s="11"/>
      <c r="O16331" s="11"/>
      <c r="P16331" s="11"/>
    </row>
    <row r="16332" spans="8:16" x14ac:dyDescent="0.25">
      <c r="H16332" s="12"/>
      <c r="I16332" s="12"/>
      <c r="J16332" s="12"/>
      <c r="K16332" s="12"/>
      <c r="L16332" s="12"/>
      <c r="M16332" s="11"/>
      <c r="N16332" s="11"/>
      <c r="O16332" s="11"/>
      <c r="P16332" s="11"/>
    </row>
    <row r="16333" spans="8:16" x14ac:dyDescent="0.25">
      <c r="H16333" s="12"/>
      <c r="I16333" s="12"/>
      <c r="J16333" s="12"/>
      <c r="K16333" s="12"/>
      <c r="L16333" s="12"/>
      <c r="M16333" s="11"/>
      <c r="N16333" s="11"/>
      <c r="O16333" s="11"/>
      <c r="P16333" s="11"/>
    </row>
    <row r="16334" spans="8:16" x14ac:dyDescent="0.25">
      <c r="H16334" s="12"/>
      <c r="I16334" s="12"/>
      <c r="J16334" s="12"/>
      <c r="K16334" s="12"/>
      <c r="L16334" s="12"/>
      <c r="M16334" s="11"/>
      <c r="N16334" s="11"/>
      <c r="O16334" s="11"/>
      <c r="P16334" s="11"/>
    </row>
    <row r="16335" spans="8:16" x14ac:dyDescent="0.25">
      <c r="H16335" s="12"/>
      <c r="I16335" s="12"/>
      <c r="J16335" s="12"/>
      <c r="K16335" s="12"/>
      <c r="L16335" s="12"/>
      <c r="M16335" s="11"/>
      <c r="N16335" s="11"/>
      <c r="O16335" s="11"/>
      <c r="P16335" s="11"/>
    </row>
    <row r="16336" spans="8:16" x14ac:dyDescent="0.25">
      <c r="H16336" s="12"/>
      <c r="I16336" s="12"/>
      <c r="J16336" s="12"/>
      <c r="K16336" s="12"/>
      <c r="L16336" s="12"/>
      <c r="M16336" s="11"/>
      <c r="N16336" s="11"/>
      <c r="O16336" s="11"/>
      <c r="P16336" s="11"/>
    </row>
    <row r="16337" spans="8:16" x14ac:dyDescent="0.25">
      <c r="H16337" s="12"/>
      <c r="I16337" s="12"/>
      <c r="J16337" s="12"/>
      <c r="K16337" s="12"/>
      <c r="L16337" s="12"/>
      <c r="M16337" s="11"/>
      <c r="N16337" s="11"/>
      <c r="O16337" s="11"/>
      <c r="P16337" s="11"/>
    </row>
    <row r="16338" spans="8:16" x14ac:dyDescent="0.25">
      <c r="H16338" s="12"/>
      <c r="I16338" s="12"/>
      <c r="J16338" s="12"/>
      <c r="K16338" s="12"/>
      <c r="L16338" s="12"/>
      <c r="M16338" s="11"/>
      <c r="N16338" s="11"/>
      <c r="O16338" s="11"/>
      <c r="P16338" s="11"/>
    </row>
    <row r="16339" spans="8:16" x14ac:dyDescent="0.25">
      <c r="H16339" s="12"/>
      <c r="I16339" s="12"/>
      <c r="J16339" s="12"/>
      <c r="K16339" s="12"/>
      <c r="L16339" s="12"/>
      <c r="M16339" s="11"/>
      <c r="N16339" s="11"/>
      <c r="O16339" s="11"/>
      <c r="P16339" s="11"/>
    </row>
    <row r="16340" spans="8:16" x14ac:dyDescent="0.25">
      <c r="H16340" s="12"/>
      <c r="I16340" s="12"/>
      <c r="J16340" s="12"/>
      <c r="K16340" s="12"/>
      <c r="L16340" s="12"/>
      <c r="M16340" s="11"/>
      <c r="N16340" s="11"/>
      <c r="O16340" s="11"/>
      <c r="P16340" s="11"/>
    </row>
    <row r="16341" spans="8:16" x14ac:dyDescent="0.25">
      <c r="H16341" s="12"/>
      <c r="I16341" s="12"/>
      <c r="J16341" s="12"/>
      <c r="K16341" s="12"/>
      <c r="L16341" s="12"/>
      <c r="M16341" s="11"/>
      <c r="N16341" s="11"/>
      <c r="O16341" s="11"/>
      <c r="P16341" s="11"/>
    </row>
    <row r="16342" spans="8:16" x14ac:dyDescent="0.25">
      <c r="H16342" s="12"/>
      <c r="I16342" s="12"/>
      <c r="J16342" s="12"/>
      <c r="K16342" s="12"/>
      <c r="L16342" s="12"/>
      <c r="M16342" s="11"/>
      <c r="N16342" s="11"/>
      <c r="O16342" s="11"/>
      <c r="P16342" s="11"/>
    </row>
    <row r="16343" spans="8:16" x14ac:dyDescent="0.25">
      <c r="H16343" s="12"/>
      <c r="I16343" s="12"/>
      <c r="J16343" s="12"/>
      <c r="K16343" s="12"/>
      <c r="L16343" s="12"/>
      <c r="M16343" s="11"/>
      <c r="N16343" s="11"/>
      <c r="O16343" s="11"/>
      <c r="P16343" s="11"/>
    </row>
    <row r="16344" spans="8:16" x14ac:dyDescent="0.25">
      <c r="H16344" s="12"/>
      <c r="I16344" s="12"/>
      <c r="J16344" s="12"/>
      <c r="K16344" s="12"/>
      <c r="L16344" s="12"/>
      <c r="M16344" s="11"/>
      <c r="N16344" s="11"/>
      <c r="O16344" s="11"/>
      <c r="P16344" s="11"/>
    </row>
    <row r="16345" spans="8:16" x14ac:dyDescent="0.25">
      <c r="H16345" s="12"/>
      <c r="I16345" s="12"/>
      <c r="J16345" s="12"/>
      <c r="K16345" s="12"/>
      <c r="L16345" s="12"/>
      <c r="M16345" s="11"/>
      <c r="N16345" s="11"/>
      <c r="O16345" s="11"/>
      <c r="P16345" s="11"/>
    </row>
    <row r="16346" spans="8:16" x14ac:dyDescent="0.25">
      <c r="H16346" s="12"/>
      <c r="I16346" s="12"/>
      <c r="J16346" s="12"/>
      <c r="K16346" s="12"/>
      <c r="L16346" s="12"/>
      <c r="M16346" s="11"/>
      <c r="N16346" s="11"/>
      <c r="O16346" s="11"/>
      <c r="P16346" s="11"/>
    </row>
    <row r="16347" spans="8:16" x14ac:dyDescent="0.25">
      <c r="H16347" s="12"/>
      <c r="I16347" s="12"/>
      <c r="J16347" s="12"/>
      <c r="K16347" s="12"/>
      <c r="L16347" s="12"/>
      <c r="M16347" s="11"/>
      <c r="N16347" s="11"/>
      <c r="O16347" s="11"/>
      <c r="P16347" s="11"/>
    </row>
    <row r="16348" spans="8:16" x14ac:dyDescent="0.25">
      <c r="H16348" s="12"/>
      <c r="I16348" s="12"/>
      <c r="J16348" s="12"/>
      <c r="K16348" s="12"/>
      <c r="L16348" s="12"/>
      <c r="M16348" s="11"/>
      <c r="N16348" s="11"/>
      <c r="O16348" s="11"/>
      <c r="P16348" s="11"/>
    </row>
    <row r="16349" spans="8:16" x14ac:dyDescent="0.25">
      <c r="H16349" s="12"/>
      <c r="I16349" s="12"/>
      <c r="J16349" s="12"/>
      <c r="K16349" s="12"/>
      <c r="L16349" s="12"/>
      <c r="M16349" s="11"/>
      <c r="N16349" s="11"/>
      <c r="O16349" s="11"/>
      <c r="P16349" s="11"/>
    </row>
    <row r="16350" spans="8:16" x14ac:dyDescent="0.25">
      <c r="H16350" s="12"/>
      <c r="I16350" s="12"/>
      <c r="J16350" s="12"/>
      <c r="K16350" s="12"/>
      <c r="L16350" s="12"/>
      <c r="M16350" s="11"/>
      <c r="N16350" s="11"/>
      <c r="O16350" s="11"/>
      <c r="P16350" s="11"/>
    </row>
    <row r="16351" spans="8:16" x14ac:dyDescent="0.25">
      <c r="H16351" s="12"/>
      <c r="I16351" s="12"/>
      <c r="J16351" s="12"/>
      <c r="K16351" s="12"/>
      <c r="L16351" s="12"/>
      <c r="M16351" s="11"/>
      <c r="N16351" s="11"/>
      <c r="O16351" s="11"/>
      <c r="P16351" s="11"/>
    </row>
    <row r="16352" spans="8:16" x14ac:dyDescent="0.25">
      <c r="H16352" s="12"/>
      <c r="I16352" s="12"/>
      <c r="J16352" s="12"/>
      <c r="K16352" s="12"/>
      <c r="L16352" s="12"/>
      <c r="M16352" s="11"/>
      <c r="N16352" s="11"/>
      <c r="O16352" s="11"/>
      <c r="P16352" s="11"/>
    </row>
    <row r="16353" spans="8:16" x14ac:dyDescent="0.25">
      <c r="H16353" s="12"/>
      <c r="I16353" s="12"/>
      <c r="J16353" s="12"/>
      <c r="K16353" s="12"/>
      <c r="L16353" s="12"/>
      <c r="M16353" s="11"/>
      <c r="N16353" s="11"/>
      <c r="O16353" s="11"/>
      <c r="P16353" s="11"/>
    </row>
    <row r="16354" spans="8:16" x14ac:dyDescent="0.25">
      <c r="H16354" s="12"/>
      <c r="I16354" s="12"/>
      <c r="J16354" s="12"/>
      <c r="K16354" s="12"/>
      <c r="L16354" s="12"/>
      <c r="M16354" s="11"/>
      <c r="N16354" s="11"/>
      <c r="O16354" s="11"/>
      <c r="P16354" s="11"/>
    </row>
    <row r="16355" spans="8:16" x14ac:dyDescent="0.25">
      <c r="H16355" s="12"/>
      <c r="I16355" s="12"/>
      <c r="J16355" s="12"/>
      <c r="K16355" s="12"/>
      <c r="L16355" s="12"/>
      <c r="M16355" s="11"/>
      <c r="N16355" s="11"/>
      <c r="O16355" s="11"/>
      <c r="P16355" s="11"/>
    </row>
    <row r="16356" spans="8:16" x14ac:dyDescent="0.25">
      <c r="H16356" s="12"/>
      <c r="I16356" s="12"/>
      <c r="J16356" s="12"/>
      <c r="K16356" s="12"/>
      <c r="L16356" s="12"/>
      <c r="M16356" s="11"/>
      <c r="N16356" s="11"/>
      <c r="O16356" s="11"/>
      <c r="P16356" s="11"/>
    </row>
    <row r="16357" spans="8:16" x14ac:dyDescent="0.25">
      <c r="H16357" s="12"/>
      <c r="I16357" s="12"/>
      <c r="J16357" s="12"/>
      <c r="K16357" s="12"/>
      <c r="L16357" s="12"/>
      <c r="M16357" s="11"/>
      <c r="N16357" s="11"/>
      <c r="O16357" s="11"/>
      <c r="P16357" s="11"/>
    </row>
    <row r="16358" spans="8:16" x14ac:dyDescent="0.25">
      <c r="H16358" s="12"/>
      <c r="I16358" s="12"/>
      <c r="J16358" s="12"/>
      <c r="K16358" s="12"/>
      <c r="L16358" s="12"/>
      <c r="M16358" s="11"/>
      <c r="N16358" s="11"/>
      <c r="O16358" s="11"/>
      <c r="P16358" s="11"/>
    </row>
    <row r="16359" spans="8:16" x14ac:dyDescent="0.25">
      <c r="H16359" s="12"/>
      <c r="I16359" s="12"/>
      <c r="J16359" s="12"/>
      <c r="K16359" s="12"/>
      <c r="L16359" s="12"/>
      <c r="M16359" s="11"/>
      <c r="N16359" s="11"/>
      <c r="O16359" s="11"/>
      <c r="P16359" s="11"/>
    </row>
    <row r="16360" spans="8:16" x14ac:dyDescent="0.25">
      <c r="H16360" s="12"/>
      <c r="I16360" s="12"/>
      <c r="J16360" s="12"/>
      <c r="K16360" s="12"/>
      <c r="L16360" s="12"/>
      <c r="M16360" s="11"/>
      <c r="N16360" s="11"/>
      <c r="O16360" s="11"/>
      <c r="P16360" s="11"/>
    </row>
    <row r="16361" spans="8:16" x14ac:dyDescent="0.25">
      <c r="H16361" s="12"/>
      <c r="I16361" s="12"/>
      <c r="J16361" s="12"/>
      <c r="K16361" s="12"/>
      <c r="L16361" s="12"/>
      <c r="M16361" s="11"/>
      <c r="N16361" s="11"/>
      <c r="O16361" s="11"/>
      <c r="P16361" s="11"/>
    </row>
    <row r="16362" spans="8:16" x14ac:dyDescent="0.25">
      <c r="H16362" s="12"/>
      <c r="I16362" s="12"/>
      <c r="J16362" s="12"/>
      <c r="K16362" s="12"/>
      <c r="L16362" s="12"/>
      <c r="M16362" s="11"/>
      <c r="N16362" s="11"/>
      <c r="O16362" s="11"/>
      <c r="P16362" s="11"/>
    </row>
    <row r="16363" spans="8:16" x14ac:dyDescent="0.25">
      <c r="H16363" s="12"/>
      <c r="I16363" s="12"/>
      <c r="J16363" s="12"/>
      <c r="K16363" s="12"/>
      <c r="L16363" s="12"/>
      <c r="M16363" s="11"/>
      <c r="N16363" s="11"/>
      <c r="O16363" s="11"/>
      <c r="P16363" s="11"/>
    </row>
    <row r="16364" spans="8:16" x14ac:dyDescent="0.25">
      <c r="H16364" s="12"/>
      <c r="I16364" s="12"/>
      <c r="J16364" s="12"/>
      <c r="K16364" s="12"/>
      <c r="L16364" s="12"/>
      <c r="M16364" s="11"/>
      <c r="N16364" s="11"/>
      <c r="O16364" s="11"/>
      <c r="P16364" s="11"/>
    </row>
    <row r="16365" spans="8:16" x14ac:dyDescent="0.25">
      <c r="H16365" s="12"/>
      <c r="I16365" s="12"/>
      <c r="J16365" s="12"/>
      <c r="K16365" s="12"/>
      <c r="L16365" s="12"/>
      <c r="M16365" s="11"/>
      <c r="N16365" s="11"/>
      <c r="O16365" s="11"/>
      <c r="P16365" s="11"/>
    </row>
    <row r="16366" spans="8:16" x14ac:dyDescent="0.25">
      <c r="H16366" s="12"/>
      <c r="I16366" s="12"/>
      <c r="J16366" s="12"/>
      <c r="K16366" s="12"/>
      <c r="L16366" s="12"/>
      <c r="M16366" s="11"/>
      <c r="N16366" s="11"/>
      <c r="O16366" s="11"/>
      <c r="P16366" s="11"/>
    </row>
    <row r="16367" spans="8:16" x14ac:dyDescent="0.25">
      <c r="H16367" s="12"/>
      <c r="I16367" s="12"/>
      <c r="J16367" s="12"/>
      <c r="K16367" s="12"/>
      <c r="L16367" s="12"/>
      <c r="M16367" s="11"/>
      <c r="N16367" s="11"/>
      <c r="O16367" s="11"/>
      <c r="P16367" s="11"/>
    </row>
    <row r="16368" spans="8:16" x14ac:dyDescent="0.25">
      <c r="H16368" s="12"/>
      <c r="I16368" s="12"/>
      <c r="J16368" s="12"/>
      <c r="K16368" s="12"/>
      <c r="L16368" s="12"/>
      <c r="M16368" s="11"/>
      <c r="N16368" s="11"/>
      <c r="O16368" s="11"/>
      <c r="P16368" s="11"/>
    </row>
    <row r="16369" spans="8:16" x14ac:dyDescent="0.25">
      <c r="H16369" s="12"/>
      <c r="I16369" s="12"/>
      <c r="J16369" s="12"/>
      <c r="K16369" s="12"/>
      <c r="L16369" s="12"/>
      <c r="M16369" s="11"/>
      <c r="N16369" s="11"/>
      <c r="O16369" s="11"/>
      <c r="P16369" s="11"/>
    </row>
    <row r="16370" spans="8:16" x14ac:dyDescent="0.25">
      <c r="H16370" s="12"/>
      <c r="I16370" s="12"/>
      <c r="J16370" s="12"/>
      <c r="K16370" s="12"/>
      <c r="L16370" s="12"/>
      <c r="M16370" s="11"/>
      <c r="N16370" s="11"/>
      <c r="O16370" s="11"/>
      <c r="P16370" s="11"/>
    </row>
    <row r="16371" spans="8:16" x14ac:dyDescent="0.25">
      <c r="H16371" s="12"/>
      <c r="I16371" s="12"/>
      <c r="J16371" s="12"/>
      <c r="K16371" s="12"/>
      <c r="L16371" s="12"/>
      <c r="M16371" s="11"/>
      <c r="N16371" s="11"/>
      <c r="O16371" s="11"/>
      <c r="P16371" s="11"/>
    </row>
    <row r="16372" spans="8:16" x14ac:dyDescent="0.25">
      <c r="H16372" s="12"/>
      <c r="I16372" s="12"/>
      <c r="J16372" s="12"/>
      <c r="K16372" s="12"/>
      <c r="L16372" s="12"/>
      <c r="M16372" s="11"/>
      <c r="N16372" s="11"/>
      <c r="O16372" s="11"/>
      <c r="P16372" s="11"/>
    </row>
    <row r="16373" spans="8:16" x14ac:dyDescent="0.25">
      <c r="H16373" s="12"/>
      <c r="I16373" s="12"/>
      <c r="J16373" s="12"/>
      <c r="K16373" s="12"/>
      <c r="L16373" s="12"/>
      <c r="M16373" s="11"/>
      <c r="N16373" s="11"/>
      <c r="O16373" s="11"/>
      <c r="P16373" s="11"/>
    </row>
    <row r="16374" spans="8:16" x14ac:dyDescent="0.25">
      <c r="H16374" s="12"/>
      <c r="I16374" s="12"/>
      <c r="J16374" s="12"/>
      <c r="K16374" s="12"/>
      <c r="L16374" s="12"/>
      <c r="M16374" s="11"/>
      <c r="N16374" s="11"/>
      <c r="O16374" s="11"/>
      <c r="P16374" s="11"/>
    </row>
    <row r="16375" spans="8:16" x14ac:dyDescent="0.25">
      <c r="H16375" s="12"/>
      <c r="I16375" s="12"/>
      <c r="J16375" s="12"/>
      <c r="K16375" s="12"/>
      <c r="L16375" s="12"/>
      <c r="M16375" s="11"/>
      <c r="N16375" s="11"/>
      <c r="O16375" s="11"/>
      <c r="P16375" s="11"/>
    </row>
    <row r="16376" spans="8:16" x14ac:dyDescent="0.25">
      <c r="H16376" s="12"/>
      <c r="I16376" s="12"/>
      <c r="J16376" s="12"/>
      <c r="K16376" s="12"/>
      <c r="L16376" s="12"/>
      <c r="M16376" s="11"/>
      <c r="N16376" s="11"/>
      <c r="O16376" s="11"/>
      <c r="P16376" s="11"/>
    </row>
    <row r="16377" spans="8:16" x14ac:dyDescent="0.25">
      <c r="H16377" s="12"/>
      <c r="I16377" s="12"/>
      <c r="J16377" s="12"/>
      <c r="K16377" s="12"/>
      <c r="L16377" s="12"/>
      <c r="M16377" s="11"/>
      <c r="N16377" s="11"/>
      <c r="O16377" s="11"/>
      <c r="P16377" s="11"/>
    </row>
    <row r="16378" spans="8:16" x14ac:dyDescent="0.25">
      <c r="H16378" s="12"/>
      <c r="I16378" s="12"/>
      <c r="J16378" s="12"/>
      <c r="K16378" s="12"/>
      <c r="L16378" s="12"/>
      <c r="M16378" s="11"/>
      <c r="N16378" s="11"/>
      <c r="O16378" s="11"/>
      <c r="P16378" s="11"/>
    </row>
    <row r="16379" spans="8:16" x14ac:dyDescent="0.25">
      <c r="H16379" s="12"/>
      <c r="I16379" s="12"/>
      <c r="J16379" s="12"/>
      <c r="K16379" s="12"/>
      <c r="L16379" s="12"/>
      <c r="M16379" s="11"/>
      <c r="N16379" s="11"/>
      <c r="O16379" s="11"/>
      <c r="P16379" s="11"/>
    </row>
    <row r="16380" spans="8:16" x14ac:dyDescent="0.25">
      <c r="H16380" s="12"/>
      <c r="I16380" s="12"/>
      <c r="J16380" s="12"/>
      <c r="K16380" s="12"/>
      <c r="L16380" s="12"/>
      <c r="M16380" s="11"/>
      <c r="N16380" s="11"/>
      <c r="O16380" s="11"/>
      <c r="P16380" s="11"/>
    </row>
    <row r="16381" spans="8:16" x14ac:dyDescent="0.25">
      <c r="H16381" s="12"/>
      <c r="I16381" s="12"/>
      <c r="J16381" s="12"/>
      <c r="K16381" s="12"/>
      <c r="L16381" s="12"/>
      <c r="M16381" s="11"/>
      <c r="N16381" s="11"/>
      <c r="O16381" s="11"/>
      <c r="P16381" s="11"/>
    </row>
    <row r="16382" spans="8:16" x14ac:dyDescent="0.25">
      <c r="H16382" s="12"/>
      <c r="I16382" s="12"/>
      <c r="J16382" s="12"/>
      <c r="K16382" s="12"/>
      <c r="L16382" s="12"/>
      <c r="M16382" s="11"/>
      <c r="N16382" s="11"/>
      <c r="O16382" s="11"/>
      <c r="P16382" s="11"/>
    </row>
    <row r="16383" spans="8:16" x14ac:dyDescent="0.25">
      <c r="H16383" s="12"/>
      <c r="I16383" s="12"/>
      <c r="J16383" s="12"/>
      <c r="K16383" s="12"/>
      <c r="L16383" s="12"/>
      <c r="M16383" s="11"/>
      <c r="N16383" s="11"/>
      <c r="O16383" s="11"/>
      <c r="P16383" s="11"/>
    </row>
    <row r="16384" spans="8:16" x14ac:dyDescent="0.25">
      <c r="H16384" s="12"/>
      <c r="I16384" s="12"/>
      <c r="J16384" s="12"/>
      <c r="K16384" s="12"/>
      <c r="L16384" s="12"/>
      <c r="M16384" s="11"/>
      <c r="N16384" s="11"/>
      <c r="O16384" s="11"/>
      <c r="P16384" s="11"/>
    </row>
    <row r="16385" spans="8:16" x14ac:dyDescent="0.25">
      <c r="H16385" s="12"/>
      <c r="I16385" s="12"/>
      <c r="J16385" s="12"/>
      <c r="K16385" s="12"/>
      <c r="L16385" s="12"/>
      <c r="M16385" s="11"/>
      <c r="N16385" s="11"/>
      <c r="O16385" s="11"/>
      <c r="P16385" s="11"/>
    </row>
    <row r="16386" spans="8:16" x14ac:dyDescent="0.25">
      <c r="H16386" s="12"/>
      <c r="I16386" s="12"/>
      <c r="J16386" s="12"/>
      <c r="K16386" s="12"/>
      <c r="L16386" s="12"/>
      <c r="M16386" s="11"/>
      <c r="N16386" s="11"/>
      <c r="O16386" s="11"/>
      <c r="P16386" s="11"/>
    </row>
    <row r="16387" spans="8:16" x14ac:dyDescent="0.25">
      <c r="H16387" s="12"/>
      <c r="I16387" s="12"/>
      <c r="J16387" s="12"/>
      <c r="K16387" s="12"/>
      <c r="L16387" s="12"/>
      <c r="M16387" s="11"/>
      <c r="N16387" s="11"/>
      <c r="O16387" s="11"/>
      <c r="P16387" s="11"/>
    </row>
    <row r="16388" spans="8:16" x14ac:dyDescent="0.25">
      <c r="H16388" s="12"/>
      <c r="I16388" s="12"/>
      <c r="J16388" s="12"/>
      <c r="K16388" s="12"/>
      <c r="L16388" s="12"/>
      <c r="M16388" s="11"/>
      <c r="N16388" s="11"/>
      <c r="O16388" s="11"/>
      <c r="P16388" s="11"/>
    </row>
    <row r="16389" spans="8:16" x14ac:dyDescent="0.25">
      <c r="H16389" s="12"/>
      <c r="I16389" s="12"/>
      <c r="J16389" s="12"/>
      <c r="K16389" s="12"/>
      <c r="L16389" s="12"/>
      <c r="M16389" s="11"/>
      <c r="N16389" s="11"/>
      <c r="O16389" s="11"/>
      <c r="P16389" s="11"/>
    </row>
    <row r="16390" spans="8:16" x14ac:dyDescent="0.25">
      <c r="H16390" s="12"/>
      <c r="I16390" s="12"/>
      <c r="J16390" s="12"/>
      <c r="K16390" s="12"/>
      <c r="L16390" s="12"/>
      <c r="M16390" s="11"/>
      <c r="N16390" s="11"/>
      <c r="O16390" s="11"/>
      <c r="P16390" s="11"/>
    </row>
    <row r="16391" spans="8:16" x14ac:dyDescent="0.25">
      <c r="H16391" s="12"/>
      <c r="I16391" s="12"/>
      <c r="J16391" s="12"/>
      <c r="K16391" s="12"/>
      <c r="L16391" s="12"/>
      <c r="M16391" s="11"/>
      <c r="N16391" s="11"/>
      <c r="O16391" s="11"/>
      <c r="P16391" s="11"/>
    </row>
    <row r="16392" spans="8:16" x14ac:dyDescent="0.25">
      <c r="H16392" s="12"/>
      <c r="I16392" s="12"/>
      <c r="J16392" s="12"/>
      <c r="K16392" s="12"/>
      <c r="L16392" s="12"/>
      <c r="M16392" s="11"/>
      <c r="N16392" s="11"/>
      <c r="O16392" s="11"/>
      <c r="P16392" s="11"/>
    </row>
    <row r="16393" spans="8:16" x14ac:dyDescent="0.25">
      <c r="H16393" s="12"/>
      <c r="I16393" s="12"/>
      <c r="J16393" s="12"/>
      <c r="K16393" s="12"/>
      <c r="L16393" s="12"/>
      <c r="M16393" s="11"/>
      <c r="N16393" s="11"/>
      <c r="O16393" s="11"/>
      <c r="P16393" s="11"/>
    </row>
    <row r="16394" spans="8:16" x14ac:dyDescent="0.25">
      <c r="H16394" s="12"/>
      <c r="I16394" s="12"/>
      <c r="J16394" s="12"/>
      <c r="K16394" s="12"/>
      <c r="L16394" s="12"/>
      <c r="M16394" s="11"/>
      <c r="N16394" s="11"/>
      <c r="O16394" s="11"/>
      <c r="P16394" s="11"/>
    </row>
    <row r="16395" spans="8:16" x14ac:dyDescent="0.25">
      <c r="H16395" s="12"/>
      <c r="I16395" s="12"/>
      <c r="J16395" s="12"/>
      <c r="K16395" s="12"/>
      <c r="L16395" s="12"/>
      <c r="M16395" s="11"/>
      <c r="N16395" s="11"/>
      <c r="O16395" s="11"/>
      <c r="P16395" s="11"/>
    </row>
    <row r="16396" spans="8:16" x14ac:dyDescent="0.25">
      <c r="H16396" s="12"/>
      <c r="I16396" s="12"/>
      <c r="J16396" s="12"/>
      <c r="K16396" s="12"/>
      <c r="L16396" s="12"/>
      <c r="M16396" s="11"/>
      <c r="N16396" s="11"/>
      <c r="O16396" s="11"/>
      <c r="P16396" s="11"/>
    </row>
    <row r="16397" spans="8:16" x14ac:dyDescent="0.25">
      <c r="H16397" s="12"/>
      <c r="I16397" s="12"/>
      <c r="J16397" s="12"/>
      <c r="K16397" s="12"/>
      <c r="L16397" s="12"/>
      <c r="M16397" s="11"/>
      <c r="N16397" s="11"/>
      <c r="O16397" s="11"/>
      <c r="P16397" s="11"/>
    </row>
    <row r="16398" spans="8:16" x14ac:dyDescent="0.25">
      <c r="H16398" s="12"/>
      <c r="I16398" s="12"/>
      <c r="J16398" s="12"/>
      <c r="K16398" s="12"/>
      <c r="L16398" s="12"/>
      <c r="M16398" s="11"/>
      <c r="N16398" s="11"/>
      <c r="O16398" s="11"/>
      <c r="P16398" s="11"/>
    </row>
    <row r="16399" spans="8:16" x14ac:dyDescent="0.25">
      <c r="H16399" s="12"/>
      <c r="I16399" s="12"/>
      <c r="J16399" s="12"/>
      <c r="K16399" s="12"/>
      <c r="L16399" s="12"/>
      <c r="M16399" s="11"/>
      <c r="N16399" s="11"/>
      <c r="O16399" s="11"/>
      <c r="P16399" s="11"/>
    </row>
    <row r="16400" spans="8:16" x14ac:dyDescent="0.25">
      <c r="H16400" s="12"/>
      <c r="I16400" s="12"/>
      <c r="J16400" s="12"/>
      <c r="K16400" s="12"/>
      <c r="L16400" s="12"/>
      <c r="M16400" s="11"/>
      <c r="N16400" s="11"/>
      <c r="O16400" s="11"/>
      <c r="P16400" s="11"/>
    </row>
    <row r="16401" spans="8:16" x14ac:dyDescent="0.25">
      <c r="H16401" s="12"/>
      <c r="I16401" s="12"/>
      <c r="J16401" s="12"/>
      <c r="K16401" s="12"/>
      <c r="L16401" s="12"/>
      <c r="M16401" s="11"/>
      <c r="N16401" s="11"/>
      <c r="O16401" s="11"/>
      <c r="P16401" s="11"/>
    </row>
    <row r="16402" spans="8:16" x14ac:dyDescent="0.25">
      <c r="H16402" s="12"/>
      <c r="I16402" s="12"/>
      <c r="J16402" s="12"/>
      <c r="K16402" s="12"/>
      <c r="L16402" s="12"/>
      <c r="M16402" s="11"/>
      <c r="N16402" s="11"/>
      <c r="O16402" s="11"/>
      <c r="P16402" s="11"/>
    </row>
    <row r="16403" spans="8:16" x14ac:dyDescent="0.25">
      <c r="H16403" s="12"/>
      <c r="I16403" s="12"/>
      <c r="J16403" s="12"/>
      <c r="K16403" s="12"/>
      <c r="L16403" s="12"/>
      <c r="M16403" s="11"/>
      <c r="N16403" s="11"/>
      <c r="O16403" s="11"/>
      <c r="P16403" s="11"/>
    </row>
    <row r="16404" spans="8:16" x14ac:dyDescent="0.25">
      <c r="H16404" s="12"/>
      <c r="I16404" s="12"/>
      <c r="J16404" s="12"/>
      <c r="K16404" s="12"/>
      <c r="L16404" s="12"/>
      <c r="M16404" s="11"/>
      <c r="N16404" s="11"/>
      <c r="O16404" s="11"/>
      <c r="P16404" s="11"/>
    </row>
    <row r="16405" spans="8:16" x14ac:dyDescent="0.25">
      <c r="H16405" s="12"/>
      <c r="I16405" s="12"/>
      <c r="J16405" s="12"/>
      <c r="K16405" s="12"/>
      <c r="L16405" s="12"/>
      <c r="M16405" s="11"/>
      <c r="N16405" s="11"/>
      <c r="O16405" s="11"/>
      <c r="P16405" s="11"/>
    </row>
    <row r="16406" spans="8:16" x14ac:dyDescent="0.25">
      <c r="H16406" s="12"/>
      <c r="I16406" s="12"/>
      <c r="J16406" s="12"/>
      <c r="K16406" s="12"/>
      <c r="L16406" s="12"/>
      <c r="M16406" s="11"/>
      <c r="N16406" s="11"/>
      <c r="O16406" s="11"/>
      <c r="P16406" s="11"/>
    </row>
    <row r="16407" spans="8:16" x14ac:dyDescent="0.25">
      <c r="H16407" s="12"/>
      <c r="I16407" s="12"/>
      <c r="J16407" s="12"/>
      <c r="K16407" s="12"/>
      <c r="L16407" s="12"/>
      <c r="M16407" s="11"/>
      <c r="N16407" s="11"/>
      <c r="O16407" s="11"/>
      <c r="P16407" s="11"/>
    </row>
    <row r="16408" spans="8:16" x14ac:dyDescent="0.25">
      <c r="H16408" s="12"/>
      <c r="I16408" s="12"/>
      <c r="J16408" s="12"/>
      <c r="K16408" s="12"/>
      <c r="L16408" s="12"/>
      <c r="M16408" s="11"/>
      <c r="N16408" s="11"/>
      <c r="O16408" s="11"/>
      <c r="P16408" s="11"/>
    </row>
    <row r="16409" spans="8:16" x14ac:dyDescent="0.25">
      <c r="H16409" s="12"/>
      <c r="I16409" s="12"/>
      <c r="J16409" s="12"/>
      <c r="K16409" s="12"/>
      <c r="L16409" s="12"/>
      <c r="M16409" s="11"/>
      <c r="N16409" s="11"/>
      <c r="O16409" s="11"/>
      <c r="P16409" s="11"/>
    </row>
    <row r="16410" spans="8:16" x14ac:dyDescent="0.25">
      <c r="H16410" s="12"/>
      <c r="I16410" s="12"/>
      <c r="J16410" s="12"/>
      <c r="K16410" s="12"/>
      <c r="L16410" s="12"/>
      <c r="M16410" s="11"/>
      <c r="N16410" s="11"/>
      <c r="O16410" s="11"/>
      <c r="P16410" s="11"/>
    </row>
    <row r="16411" spans="8:16" x14ac:dyDescent="0.25">
      <c r="H16411" s="12"/>
      <c r="I16411" s="12"/>
      <c r="J16411" s="12"/>
      <c r="K16411" s="12"/>
      <c r="L16411" s="12"/>
      <c r="M16411" s="11"/>
      <c r="N16411" s="11"/>
      <c r="O16411" s="11"/>
      <c r="P16411" s="11"/>
    </row>
    <row r="16412" spans="8:16" x14ac:dyDescent="0.25">
      <c r="H16412" s="12"/>
      <c r="I16412" s="12"/>
      <c r="J16412" s="12"/>
      <c r="K16412" s="12"/>
      <c r="L16412" s="12"/>
      <c r="M16412" s="11"/>
      <c r="N16412" s="11"/>
      <c r="O16412" s="11"/>
      <c r="P16412" s="11"/>
    </row>
    <row r="16413" spans="8:16" x14ac:dyDescent="0.25">
      <c r="H16413" s="12"/>
      <c r="I16413" s="12"/>
      <c r="J16413" s="12"/>
      <c r="K16413" s="12"/>
      <c r="L16413" s="12"/>
      <c r="M16413" s="11"/>
      <c r="N16413" s="11"/>
      <c r="O16413" s="11"/>
      <c r="P16413" s="11"/>
    </row>
    <row r="16414" spans="8:16" x14ac:dyDescent="0.25">
      <c r="H16414" s="12"/>
      <c r="I16414" s="12"/>
      <c r="J16414" s="12"/>
      <c r="K16414" s="12"/>
      <c r="L16414" s="12"/>
      <c r="M16414" s="11"/>
      <c r="N16414" s="11"/>
      <c r="O16414" s="11"/>
      <c r="P16414" s="11"/>
    </row>
    <row r="16415" spans="8:16" x14ac:dyDescent="0.25">
      <c r="H16415" s="12"/>
      <c r="I16415" s="12"/>
      <c r="J16415" s="12"/>
      <c r="K16415" s="12"/>
      <c r="L16415" s="12"/>
      <c r="M16415" s="11"/>
      <c r="N16415" s="11"/>
      <c r="O16415" s="11"/>
      <c r="P16415" s="11"/>
    </row>
    <row r="16416" spans="8:16" x14ac:dyDescent="0.25">
      <c r="H16416" s="12"/>
      <c r="I16416" s="12"/>
      <c r="J16416" s="12"/>
      <c r="K16416" s="12"/>
      <c r="L16416" s="12"/>
      <c r="M16416" s="11"/>
      <c r="N16416" s="11"/>
      <c r="O16416" s="11"/>
      <c r="P16416" s="11"/>
    </row>
    <row r="16417" spans="8:16" x14ac:dyDescent="0.25">
      <c r="H16417" s="12"/>
      <c r="I16417" s="12"/>
      <c r="J16417" s="12"/>
      <c r="K16417" s="12"/>
      <c r="L16417" s="12"/>
      <c r="M16417" s="11"/>
      <c r="N16417" s="11"/>
      <c r="O16417" s="11"/>
      <c r="P16417" s="11"/>
    </row>
    <row r="16418" spans="8:16" x14ac:dyDescent="0.25">
      <c r="H16418" s="12"/>
      <c r="I16418" s="12"/>
      <c r="J16418" s="12"/>
      <c r="K16418" s="12"/>
      <c r="L16418" s="12"/>
      <c r="M16418" s="11"/>
      <c r="N16418" s="11"/>
      <c r="O16418" s="11"/>
      <c r="P16418" s="11"/>
    </row>
    <row r="16419" spans="8:16" x14ac:dyDescent="0.25">
      <c r="H16419" s="12"/>
      <c r="I16419" s="12"/>
      <c r="J16419" s="12"/>
      <c r="K16419" s="12"/>
      <c r="L16419" s="12"/>
      <c r="M16419" s="11"/>
      <c r="N16419" s="11"/>
      <c r="O16419" s="11"/>
      <c r="P16419" s="11"/>
    </row>
    <row r="16420" spans="8:16" x14ac:dyDescent="0.25">
      <c r="H16420" s="12"/>
      <c r="I16420" s="12"/>
      <c r="J16420" s="12"/>
      <c r="K16420" s="12"/>
      <c r="L16420" s="12"/>
      <c r="M16420" s="11"/>
      <c r="N16420" s="11"/>
      <c r="O16420" s="11"/>
      <c r="P16420" s="11"/>
    </row>
    <row r="16421" spans="8:16" x14ac:dyDescent="0.25">
      <c r="H16421" s="12"/>
      <c r="I16421" s="12"/>
      <c r="J16421" s="12"/>
      <c r="K16421" s="12"/>
      <c r="L16421" s="12"/>
      <c r="M16421" s="11"/>
      <c r="N16421" s="11"/>
      <c r="O16421" s="11"/>
      <c r="P16421" s="11"/>
    </row>
    <row r="16422" spans="8:16" x14ac:dyDescent="0.25">
      <c r="H16422" s="12"/>
      <c r="I16422" s="12"/>
      <c r="J16422" s="12"/>
      <c r="K16422" s="12"/>
      <c r="L16422" s="12"/>
      <c r="M16422" s="11"/>
      <c r="N16422" s="11"/>
      <c r="O16422" s="11"/>
      <c r="P16422" s="11"/>
    </row>
    <row r="16423" spans="8:16" x14ac:dyDescent="0.25">
      <c r="H16423" s="12"/>
      <c r="I16423" s="12"/>
      <c r="J16423" s="12"/>
      <c r="K16423" s="12"/>
      <c r="L16423" s="12"/>
      <c r="M16423" s="11"/>
      <c r="N16423" s="11"/>
      <c r="O16423" s="11"/>
      <c r="P16423" s="11"/>
    </row>
    <row r="16424" spans="8:16" x14ac:dyDescent="0.25">
      <c r="H16424" s="12"/>
      <c r="I16424" s="12"/>
      <c r="J16424" s="12"/>
      <c r="K16424" s="12"/>
      <c r="L16424" s="12"/>
      <c r="M16424" s="11"/>
      <c r="N16424" s="11"/>
      <c r="O16424" s="11"/>
      <c r="P16424" s="11"/>
    </row>
    <row r="16425" spans="8:16" x14ac:dyDescent="0.25">
      <c r="H16425" s="12"/>
      <c r="I16425" s="12"/>
      <c r="J16425" s="12"/>
      <c r="K16425" s="12"/>
      <c r="L16425" s="12"/>
      <c r="M16425" s="11"/>
      <c r="N16425" s="11"/>
      <c r="O16425" s="11"/>
      <c r="P16425" s="11"/>
    </row>
    <row r="16426" spans="8:16" x14ac:dyDescent="0.25">
      <c r="H16426" s="12"/>
      <c r="I16426" s="12"/>
      <c r="J16426" s="12"/>
      <c r="K16426" s="12"/>
      <c r="L16426" s="12"/>
      <c r="M16426" s="11"/>
      <c r="N16426" s="11"/>
      <c r="O16426" s="11"/>
      <c r="P16426" s="11"/>
    </row>
    <row r="16427" spans="8:16" x14ac:dyDescent="0.25">
      <c r="H16427" s="12"/>
      <c r="I16427" s="12"/>
      <c r="J16427" s="12"/>
      <c r="K16427" s="12"/>
      <c r="L16427" s="12"/>
      <c r="M16427" s="11"/>
      <c r="N16427" s="11"/>
      <c r="O16427" s="11"/>
      <c r="P16427" s="11"/>
    </row>
    <row r="16428" spans="8:16" x14ac:dyDescent="0.25">
      <c r="H16428" s="12"/>
      <c r="I16428" s="12"/>
      <c r="J16428" s="12"/>
      <c r="K16428" s="12"/>
      <c r="L16428" s="12"/>
      <c r="M16428" s="11"/>
      <c r="N16428" s="11"/>
      <c r="O16428" s="11"/>
      <c r="P16428" s="11"/>
    </row>
    <row r="16429" spans="8:16" x14ac:dyDescent="0.25">
      <c r="H16429" s="12"/>
      <c r="I16429" s="12"/>
      <c r="J16429" s="12"/>
      <c r="K16429" s="12"/>
      <c r="L16429" s="12"/>
      <c r="M16429" s="11"/>
      <c r="N16429" s="11"/>
      <c r="O16429" s="11"/>
      <c r="P16429" s="11"/>
    </row>
    <row r="16430" spans="8:16" x14ac:dyDescent="0.25">
      <c r="H16430" s="12"/>
      <c r="I16430" s="12"/>
      <c r="J16430" s="12"/>
      <c r="K16430" s="12"/>
      <c r="L16430" s="12"/>
      <c r="M16430" s="11"/>
      <c r="N16430" s="11"/>
      <c r="O16430" s="11"/>
      <c r="P16430" s="11"/>
    </row>
    <row r="16431" spans="8:16" x14ac:dyDescent="0.25">
      <c r="H16431" s="12"/>
      <c r="I16431" s="12"/>
      <c r="J16431" s="12"/>
      <c r="K16431" s="12"/>
      <c r="L16431" s="12"/>
      <c r="M16431" s="11"/>
      <c r="N16431" s="11"/>
      <c r="O16431" s="11"/>
      <c r="P16431" s="11"/>
    </row>
    <row r="16432" spans="8:16" x14ac:dyDescent="0.25">
      <c r="H16432" s="12"/>
      <c r="I16432" s="12"/>
      <c r="J16432" s="12"/>
      <c r="K16432" s="12"/>
      <c r="L16432" s="12"/>
      <c r="M16432" s="11"/>
      <c r="N16432" s="11"/>
      <c r="O16432" s="11"/>
      <c r="P16432" s="11"/>
    </row>
    <row r="16433" spans="8:16" x14ac:dyDescent="0.25">
      <c r="H16433" s="12"/>
      <c r="I16433" s="12"/>
      <c r="J16433" s="12"/>
      <c r="K16433" s="12"/>
      <c r="L16433" s="12"/>
      <c r="M16433" s="11"/>
      <c r="N16433" s="11"/>
      <c r="O16433" s="11"/>
      <c r="P16433" s="11"/>
    </row>
    <row r="16434" spans="8:16" x14ac:dyDescent="0.25">
      <c r="H16434" s="12"/>
      <c r="I16434" s="12"/>
      <c r="J16434" s="12"/>
      <c r="K16434" s="12"/>
      <c r="L16434" s="12"/>
      <c r="M16434" s="11"/>
      <c r="N16434" s="11"/>
      <c r="O16434" s="11"/>
      <c r="P16434" s="11"/>
    </row>
    <row r="16435" spans="8:16" x14ac:dyDescent="0.25">
      <c r="H16435" s="12"/>
      <c r="I16435" s="12"/>
      <c r="J16435" s="12"/>
      <c r="K16435" s="12"/>
      <c r="L16435" s="12"/>
      <c r="M16435" s="11"/>
      <c r="N16435" s="11"/>
      <c r="O16435" s="11"/>
      <c r="P16435" s="11"/>
    </row>
    <row r="16436" spans="8:16" x14ac:dyDescent="0.25">
      <c r="H16436" s="12"/>
      <c r="I16436" s="12"/>
      <c r="J16436" s="12"/>
      <c r="K16436" s="12"/>
      <c r="L16436" s="12"/>
      <c r="M16436" s="11"/>
      <c r="N16436" s="11"/>
      <c r="O16436" s="11"/>
      <c r="P16436" s="11"/>
    </row>
    <row r="16437" spans="8:16" x14ac:dyDescent="0.25">
      <c r="H16437" s="12"/>
      <c r="I16437" s="12"/>
      <c r="J16437" s="12"/>
      <c r="K16437" s="12"/>
      <c r="L16437" s="12"/>
      <c r="M16437" s="11"/>
      <c r="N16437" s="11"/>
      <c r="O16437" s="11"/>
      <c r="P16437" s="11"/>
    </row>
    <row r="16438" spans="8:16" x14ac:dyDescent="0.25">
      <c r="H16438" s="12"/>
      <c r="I16438" s="12"/>
      <c r="J16438" s="12"/>
      <c r="K16438" s="12"/>
      <c r="L16438" s="12"/>
      <c r="M16438" s="11"/>
      <c r="N16438" s="11"/>
      <c r="O16438" s="11"/>
      <c r="P16438" s="11"/>
    </row>
    <row r="16439" spans="8:16" x14ac:dyDescent="0.25">
      <c r="H16439" s="12"/>
      <c r="I16439" s="12"/>
      <c r="J16439" s="12"/>
      <c r="K16439" s="12"/>
      <c r="L16439" s="12"/>
      <c r="M16439" s="11"/>
      <c r="N16439" s="11"/>
      <c r="O16439" s="11"/>
      <c r="P16439" s="11"/>
    </row>
    <row r="16440" spans="8:16" x14ac:dyDescent="0.25">
      <c r="H16440" s="12"/>
      <c r="I16440" s="12"/>
      <c r="J16440" s="12"/>
      <c r="K16440" s="12"/>
      <c r="L16440" s="12"/>
      <c r="M16440" s="11"/>
      <c r="N16440" s="11"/>
      <c r="O16440" s="11"/>
      <c r="P16440" s="11"/>
    </row>
    <row r="16441" spans="8:16" x14ac:dyDescent="0.25">
      <c r="H16441" s="12"/>
      <c r="I16441" s="12"/>
      <c r="J16441" s="12"/>
      <c r="K16441" s="12"/>
      <c r="L16441" s="12"/>
      <c r="M16441" s="11"/>
      <c r="N16441" s="11"/>
      <c r="O16441" s="11"/>
      <c r="P16441" s="11"/>
    </row>
    <row r="16442" spans="8:16" x14ac:dyDescent="0.25">
      <c r="H16442" s="12"/>
      <c r="I16442" s="12"/>
      <c r="J16442" s="12"/>
      <c r="K16442" s="12"/>
      <c r="L16442" s="12"/>
      <c r="M16442" s="11"/>
      <c r="N16442" s="11"/>
      <c r="O16442" s="11"/>
      <c r="P16442" s="11"/>
    </row>
    <row r="16443" spans="8:16" x14ac:dyDescent="0.25">
      <c r="H16443" s="12"/>
      <c r="I16443" s="12"/>
      <c r="J16443" s="12"/>
      <c r="K16443" s="12"/>
      <c r="L16443" s="12"/>
      <c r="M16443" s="11"/>
      <c r="N16443" s="11"/>
      <c r="O16443" s="11"/>
      <c r="P16443" s="11"/>
    </row>
    <row r="16444" spans="8:16" x14ac:dyDescent="0.25">
      <c r="H16444" s="12"/>
      <c r="I16444" s="12"/>
      <c r="J16444" s="12"/>
      <c r="K16444" s="12"/>
      <c r="L16444" s="12"/>
      <c r="M16444" s="11"/>
      <c r="N16444" s="11"/>
      <c r="O16444" s="11"/>
      <c r="P16444" s="11"/>
    </row>
    <row r="16445" spans="8:16" x14ac:dyDescent="0.25">
      <c r="H16445" s="12"/>
      <c r="I16445" s="12"/>
      <c r="J16445" s="12"/>
      <c r="K16445" s="12"/>
      <c r="L16445" s="12"/>
      <c r="M16445" s="11"/>
      <c r="N16445" s="11"/>
      <c r="O16445" s="11"/>
      <c r="P16445" s="11"/>
    </row>
    <row r="16446" spans="8:16" x14ac:dyDescent="0.25">
      <c r="H16446" s="12"/>
      <c r="I16446" s="12"/>
      <c r="J16446" s="12"/>
      <c r="K16446" s="12"/>
      <c r="L16446" s="12"/>
      <c r="M16446" s="11"/>
      <c r="N16446" s="11"/>
      <c r="O16446" s="11"/>
      <c r="P16446" s="11"/>
    </row>
    <row r="16447" spans="8:16" x14ac:dyDescent="0.25">
      <c r="H16447" s="12"/>
      <c r="I16447" s="12"/>
      <c r="J16447" s="12"/>
      <c r="K16447" s="12"/>
      <c r="L16447" s="12"/>
      <c r="M16447" s="11"/>
      <c r="N16447" s="11"/>
      <c r="O16447" s="11"/>
      <c r="P16447" s="11"/>
    </row>
    <row r="16448" spans="8:16" x14ac:dyDescent="0.25">
      <c r="H16448" s="12"/>
      <c r="I16448" s="12"/>
      <c r="J16448" s="12"/>
      <c r="K16448" s="12"/>
      <c r="L16448" s="12"/>
      <c r="M16448" s="11"/>
      <c r="N16448" s="11"/>
      <c r="O16448" s="11"/>
      <c r="P16448" s="11"/>
    </row>
    <row r="16449" spans="8:16" x14ac:dyDescent="0.25">
      <c r="H16449" s="12"/>
      <c r="I16449" s="12"/>
      <c r="J16449" s="12"/>
      <c r="K16449" s="12"/>
      <c r="L16449" s="12"/>
      <c r="M16449" s="11"/>
      <c r="N16449" s="11"/>
      <c r="O16449" s="11"/>
      <c r="P16449" s="11"/>
    </row>
    <row r="16450" spans="8:16" x14ac:dyDescent="0.25">
      <c r="H16450" s="12"/>
      <c r="I16450" s="12"/>
      <c r="J16450" s="12"/>
      <c r="K16450" s="12"/>
      <c r="L16450" s="12"/>
      <c r="M16450" s="11"/>
      <c r="N16450" s="11"/>
      <c r="O16450" s="11"/>
      <c r="P16450" s="11"/>
    </row>
    <row r="16451" spans="8:16" x14ac:dyDescent="0.25">
      <c r="H16451" s="12"/>
      <c r="I16451" s="12"/>
      <c r="J16451" s="12"/>
      <c r="K16451" s="12"/>
      <c r="L16451" s="12"/>
      <c r="M16451" s="11"/>
      <c r="N16451" s="11"/>
      <c r="O16451" s="11"/>
      <c r="P16451" s="11"/>
    </row>
    <row r="16452" spans="8:16" x14ac:dyDescent="0.25">
      <c r="H16452" s="12"/>
      <c r="I16452" s="12"/>
      <c r="J16452" s="12"/>
      <c r="K16452" s="12"/>
      <c r="L16452" s="12"/>
      <c r="M16452" s="11"/>
      <c r="N16452" s="11"/>
      <c r="O16452" s="11"/>
      <c r="P16452" s="11"/>
    </row>
    <row r="16453" spans="8:16" x14ac:dyDescent="0.25">
      <c r="H16453" s="12"/>
      <c r="I16453" s="12"/>
      <c r="J16453" s="12"/>
      <c r="K16453" s="12"/>
      <c r="L16453" s="12"/>
      <c r="M16453" s="11"/>
      <c r="N16453" s="11"/>
      <c r="O16453" s="11"/>
      <c r="P16453" s="11"/>
    </row>
    <row r="16454" spans="8:16" x14ac:dyDescent="0.25">
      <c r="H16454" s="12"/>
      <c r="I16454" s="12"/>
      <c r="J16454" s="12"/>
      <c r="K16454" s="12"/>
      <c r="L16454" s="12"/>
      <c r="M16454" s="11"/>
      <c r="N16454" s="11"/>
      <c r="O16454" s="11"/>
      <c r="P16454" s="11"/>
    </row>
    <row r="16455" spans="8:16" x14ac:dyDescent="0.25">
      <c r="H16455" s="12"/>
      <c r="I16455" s="12"/>
      <c r="J16455" s="12"/>
      <c r="K16455" s="12"/>
      <c r="L16455" s="12"/>
      <c r="M16455" s="11"/>
      <c r="N16455" s="11"/>
      <c r="O16455" s="11"/>
      <c r="P16455" s="11"/>
    </row>
    <row r="16456" spans="8:16" x14ac:dyDescent="0.25">
      <c r="H16456" s="12"/>
      <c r="I16456" s="12"/>
      <c r="J16456" s="12"/>
      <c r="K16456" s="12"/>
      <c r="L16456" s="12"/>
      <c r="M16456" s="11"/>
      <c r="N16456" s="11"/>
      <c r="O16456" s="11"/>
      <c r="P16456" s="11"/>
    </row>
    <row r="16457" spans="8:16" x14ac:dyDescent="0.25">
      <c r="H16457" s="12"/>
      <c r="I16457" s="12"/>
      <c r="J16457" s="12"/>
      <c r="K16457" s="12"/>
      <c r="L16457" s="12"/>
      <c r="M16457" s="11"/>
      <c r="N16457" s="11"/>
      <c r="O16457" s="11"/>
      <c r="P16457" s="11"/>
    </row>
    <row r="16458" spans="8:16" x14ac:dyDescent="0.25">
      <c r="H16458" s="12"/>
      <c r="I16458" s="12"/>
      <c r="J16458" s="12"/>
      <c r="K16458" s="12"/>
      <c r="L16458" s="12"/>
      <c r="M16458" s="11"/>
      <c r="N16458" s="11"/>
      <c r="O16458" s="11"/>
      <c r="P16458" s="11"/>
    </row>
    <row r="16459" spans="8:16" x14ac:dyDescent="0.25">
      <c r="H16459" s="12"/>
      <c r="I16459" s="12"/>
      <c r="J16459" s="12"/>
      <c r="K16459" s="12"/>
      <c r="L16459" s="12"/>
      <c r="M16459" s="11"/>
      <c r="N16459" s="11"/>
      <c r="O16459" s="11"/>
      <c r="P16459" s="11"/>
    </row>
    <row r="16460" spans="8:16" x14ac:dyDescent="0.25">
      <c r="H16460" s="12"/>
      <c r="I16460" s="12"/>
      <c r="J16460" s="12"/>
      <c r="K16460" s="12"/>
      <c r="L16460" s="12"/>
      <c r="M16460" s="11"/>
      <c r="N16460" s="11"/>
      <c r="O16460" s="11"/>
      <c r="P16460" s="11"/>
    </row>
    <row r="16461" spans="8:16" x14ac:dyDescent="0.25">
      <c r="H16461" s="12"/>
      <c r="I16461" s="12"/>
      <c r="J16461" s="12"/>
      <c r="K16461" s="12"/>
      <c r="L16461" s="12"/>
      <c r="M16461" s="11"/>
      <c r="N16461" s="11"/>
      <c r="O16461" s="11"/>
      <c r="P16461" s="11"/>
    </row>
    <row r="16462" spans="8:16" x14ac:dyDescent="0.25">
      <c r="H16462" s="12"/>
      <c r="I16462" s="12"/>
      <c r="J16462" s="12"/>
      <c r="K16462" s="12"/>
      <c r="L16462" s="12"/>
      <c r="M16462" s="11"/>
      <c r="N16462" s="11"/>
      <c r="O16462" s="11"/>
      <c r="P16462" s="11"/>
    </row>
    <row r="16463" spans="8:16" x14ac:dyDescent="0.25">
      <c r="H16463" s="12"/>
      <c r="I16463" s="12"/>
      <c r="J16463" s="12"/>
      <c r="K16463" s="12"/>
      <c r="L16463" s="12"/>
      <c r="M16463" s="11"/>
      <c r="N16463" s="11"/>
      <c r="O16463" s="11"/>
      <c r="P16463" s="11"/>
    </row>
    <row r="16464" spans="8:16" x14ac:dyDescent="0.25">
      <c r="H16464" s="12"/>
      <c r="I16464" s="12"/>
      <c r="J16464" s="12"/>
      <c r="K16464" s="12"/>
      <c r="L16464" s="12"/>
      <c r="M16464" s="11"/>
      <c r="N16464" s="11"/>
      <c r="O16464" s="11"/>
      <c r="P16464" s="11"/>
    </row>
    <row r="16465" spans="8:16" x14ac:dyDescent="0.25">
      <c r="H16465" s="12"/>
      <c r="I16465" s="12"/>
      <c r="J16465" s="12"/>
      <c r="K16465" s="12"/>
      <c r="L16465" s="12"/>
      <c r="M16465" s="11"/>
      <c r="N16465" s="11"/>
      <c r="O16465" s="11"/>
      <c r="P16465" s="11"/>
    </row>
    <row r="16466" spans="8:16" x14ac:dyDescent="0.25">
      <c r="H16466" s="12"/>
      <c r="I16466" s="12"/>
      <c r="J16466" s="12"/>
      <c r="K16466" s="12"/>
      <c r="L16466" s="12"/>
      <c r="M16466" s="11"/>
      <c r="N16466" s="11"/>
      <c r="O16466" s="11"/>
      <c r="P16466" s="11"/>
    </row>
    <row r="16467" spans="8:16" x14ac:dyDescent="0.25">
      <c r="H16467" s="12"/>
      <c r="I16467" s="12"/>
      <c r="J16467" s="12"/>
      <c r="K16467" s="12"/>
      <c r="L16467" s="12"/>
      <c r="M16467" s="11"/>
      <c r="N16467" s="11"/>
      <c r="O16467" s="11"/>
      <c r="P16467" s="11"/>
    </row>
    <row r="16468" spans="8:16" x14ac:dyDescent="0.25">
      <c r="H16468" s="12"/>
      <c r="I16468" s="12"/>
      <c r="J16468" s="12"/>
      <c r="K16468" s="12"/>
      <c r="L16468" s="12"/>
      <c r="M16468" s="11"/>
      <c r="N16468" s="11"/>
      <c r="O16468" s="11"/>
      <c r="P16468" s="11"/>
    </row>
    <row r="16469" spans="8:16" x14ac:dyDescent="0.25">
      <c r="H16469" s="12"/>
      <c r="I16469" s="12"/>
      <c r="J16469" s="12"/>
      <c r="K16469" s="12"/>
      <c r="L16469" s="12"/>
      <c r="M16469" s="11"/>
      <c r="N16469" s="11"/>
      <c r="O16469" s="11"/>
      <c r="P16469" s="11"/>
    </row>
    <row r="16470" spans="8:16" x14ac:dyDescent="0.25">
      <c r="H16470" s="12"/>
      <c r="I16470" s="12"/>
      <c r="J16470" s="12"/>
      <c r="K16470" s="12"/>
      <c r="L16470" s="12"/>
      <c r="M16470" s="11"/>
      <c r="N16470" s="11"/>
      <c r="O16470" s="11"/>
      <c r="P16470" s="11"/>
    </row>
    <row r="16471" spans="8:16" x14ac:dyDescent="0.25">
      <c r="H16471" s="12"/>
      <c r="I16471" s="12"/>
      <c r="J16471" s="12"/>
      <c r="K16471" s="12"/>
      <c r="L16471" s="12"/>
      <c r="M16471" s="11"/>
      <c r="N16471" s="11"/>
      <c r="O16471" s="11"/>
      <c r="P16471" s="11"/>
    </row>
    <row r="16472" spans="8:16" x14ac:dyDescent="0.25">
      <c r="H16472" s="12"/>
      <c r="I16472" s="12"/>
      <c r="J16472" s="12"/>
      <c r="K16472" s="12"/>
      <c r="L16472" s="12"/>
      <c r="M16472" s="11"/>
      <c r="N16472" s="11"/>
      <c r="O16472" s="11"/>
      <c r="P16472" s="11"/>
    </row>
    <row r="16473" spans="8:16" x14ac:dyDescent="0.25">
      <c r="H16473" s="12"/>
      <c r="I16473" s="12"/>
      <c r="J16473" s="12"/>
      <c r="K16473" s="12"/>
      <c r="L16473" s="12"/>
      <c r="M16473" s="11"/>
      <c r="N16473" s="11"/>
      <c r="O16473" s="11"/>
      <c r="P16473" s="11"/>
    </row>
    <row r="16474" spans="8:16" x14ac:dyDescent="0.25">
      <c r="H16474" s="12"/>
      <c r="I16474" s="12"/>
      <c r="J16474" s="12"/>
      <c r="K16474" s="12"/>
      <c r="L16474" s="12"/>
      <c r="M16474" s="11"/>
      <c r="N16474" s="11"/>
      <c r="O16474" s="11"/>
      <c r="P16474" s="11"/>
    </row>
    <row r="16475" spans="8:16" x14ac:dyDescent="0.25">
      <c r="H16475" s="12"/>
      <c r="I16475" s="12"/>
      <c r="J16475" s="12"/>
      <c r="K16475" s="12"/>
      <c r="L16475" s="12"/>
      <c r="M16475" s="11"/>
      <c r="N16475" s="11"/>
      <c r="O16475" s="11"/>
      <c r="P16475" s="11"/>
    </row>
    <row r="16476" spans="8:16" x14ac:dyDescent="0.25">
      <c r="H16476" s="12"/>
      <c r="I16476" s="12"/>
      <c r="J16476" s="12"/>
      <c r="K16476" s="12"/>
      <c r="L16476" s="12"/>
      <c r="M16476" s="11"/>
      <c r="N16476" s="11"/>
      <c r="O16476" s="11"/>
      <c r="P16476" s="11"/>
    </row>
    <row r="16477" spans="8:16" x14ac:dyDescent="0.25">
      <c r="H16477" s="12"/>
      <c r="I16477" s="12"/>
      <c r="J16477" s="12"/>
      <c r="K16477" s="12"/>
      <c r="L16477" s="12"/>
      <c r="M16477" s="11"/>
      <c r="N16477" s="11"/>
      <c r="O16477" s="11"/>
      <c r="P16477" s="11"/>
    </row>
    <row r="16478" spans="8:16" x14ac:dyDescent="0.25">
      <c r="H16478" s="12"/>
      <c r="I16478" s="12"/>
      <c r="J16478" s="12"/>
      <c r="K16478" s="12"/>
      <c r="L16478" s="12"/>
      <c r="M16478" s="11"/>
      <c r="N16478" s="11"/>
      <c r="O16478" s="11"/>
      <c r="P16478" s="11"/>
    </row>
    <row r="16479" spans="8:16" x14ac:dyDescent="0.25">
      <c r="H16479" s="12"/>
      <c r="I16479" s="12"/>
      <c r="J16479" s="12"/>
      <c r="K16479" s="12"/>
      <c r="L16479" s="12"/>
      <c r="M16479" s="11"/>
      <c r="N16479" s="11"/>
      <c r="O16479" s="11"/>
      <c r="P16479" s="11"/>
    </row>
    <row r="16480" spans="8:16" x14ac:dyDescent="0.25">
      <c r="H16480" s="12"/>
      <c r="I16480" s="12"/>
      <c r="J16480" s="12"/>
      <c r="K16480" s="12"/>
      <c r="L16480" s="12"/>
      <c r="M16480" s="11"/>
      <c r="N16480" s="11"/>
      <c r="O16480" s="11"/>
      <c r="P16480" s="11"/>
    </row>
    <row r="16481" spans="8:16" x14ac:dyDescent="0.25">
      <c r="H16481" s="12"/>
      <c r="I16481" s="12"/>
      <c r="J16481" s="12"/>
      <c r="K16481" s="12"/>
      <c r="L16481" s="12"/>
      <c r="M16481" s="11"/>
      <c r="N16481" s="11"/>
      <c r="O16481" s="11"/>
      <c r="P16481" s="11"/>
    </row>
    <row r="16482" spans="8:16" x14ac:dyDescent="0.25">
      <c r="H16482" s="12"/>
      <c r="I16482" s="12"/>
      <c r="J16482" s="12"/>
      <c r="K16482" s="12"/>
      <c r="L16482" s="12"/>
      <c r="M16482" s="11"/>
      <c r="N16482" s="11"/>
      <c r="O16482" s="11"/>
      <c r="P16482" s="11"/>
    </row>
    <row r="16483" spans="8:16" x14ac:dyDescent="0.25">
      <c r="H16483" s="12"/>
      <c r="I16483" s="12"/>
      <c r="J16483" s="12"/>
      <c r="K16483" s="12"/>
      <c r="L16483" s="12"/>
      <c r="M16483" s="11"/>
      <c r="N16483" s="11"/>
      <c r="O16483" s="11"/>
      <c r="P16483" s="11"/>
    </row>
    <row r="16484" spans="8:16" x14ac:dyDescent="0.25">
      <c r="H16484" s="12"/>
      <c r="I16484" s="12"/>
      <c r="J16484" s="12"/>
      <c r="K16484" s="12"/>
      <c r="L16484" s="12"/>
      <c r="M16484" s="11"/>
      <c r="N16484" s="11"/>
      <c r="O16484" s="11"/>
      <c r="P16484" s="11"/>
    </row>
    <row r="16485" spans="8:16" x14ac:dyDescent="0.25">
      <c r="H16485" s="12"/>
      <c r="I16485" s="12"/>
      <c r="J16485" s="12"/>
      <c r="K16485" s="12"/>
      <c r="L16485" s="12"/>
      <c r="M16485" s="11"/>
      <c r="N16485" s="11"/>
      <c r="O16485" s="11"/>
      <c r="P16485" s="11"/>
    </row>
    <row r="16486" spans="8:16" x14ac:dyDescent="0.25">
      <c r="H16486" s="12"/>
      <c r="I16486" s="12"/>
      <c r="J16486" s="12"/>
      <c r="K16486" s="12"/>
      <c r="L16486" s="12"/>
      <c r="M16486" s="11"/>
      <c r="N16486" s="11"/>
      <c r="O16486" s="11"/>
      <c r="P16486" s="11"/>
    </row>
    <row r="16487" spans="8:16" x14ac:dyDescent="0.25">
      <c r="H16487" s="12"/>
      <c r="I16487" s="12"/>
      <c r="J16487" s="12"/>
      <c r="K16487" s="12"/>
      <c r="L16487" s="12"/>
      <c r="M16487" s="11"/>
      <c r="N16487" s="11"/>
      <c r="O16487" s="11"/>
      <c r="P16487" s="11"/>
    </row>
    <row r="16488" spans="8:16" x14ac:dyDescent="0.25">
      <c r="H16488" s="12"/>
      <c r="I16488" s="12"/>
      <c r="J16488" s="12"/>
      <c r="K16488" s="12"/>
      <c r="L16488" s="12"/>
      <c r="M16488" s="11"/>
      <c r="N16488" s="11"/>
      <c r="O16488" s="11"/>
      <c r="P16488" s="11"/>
    </row>
    <row r="16489" spans="8:16" x14ac:dyDescent="0.25">
      <c r="H16489" s="12"/>
      <c r="I16489" s="12"/>
      <c r="J16489" s="12"/>
      <c r="K16489" s="12"/>
      <c r="L16489" s="12"/>
      <c r="M16489" s="11"/>
      <c r="N16489" s="11"/>
      <c r="O16489" s="11"/>
      <c r="P16489" s="11"/>
    </row>
    <row r="16490" spans="8:16" x14ac:dyDescent="0.25">
      <c r="H16490" s="12"/>
      <c r="I16490" s="12"/>
      <c r="J16490" s="12"/>
      <c r="K16490" s="12"/>
      <c r="L16490" s="12"/>
      <c r="M16490" s="11"/>
      <c r="N16490" s="11"/>
      <c r="O16490" s="11"/>
      <c r="P16490" s="11"/>
    </row>
    <row r="16491" spans="8:16" x14ac:dyDescent="0.25">
      <c r="H16491" s="12"/>
      <c r="I16491" s="12"/>
      <c r="J16491" s="12"/>
      <c r="K16491" s="12"/>
      <c r="L16491" s="12"/>
      <c r="M16491" s="11"/>
      <c r="N16491" s="11"/>
      <c r="O16491" s="11"/>
      <c r="P16491" s="11"/>
    </row>
    <row r="16492" spans="8:16" x14ac:dyDescent="0.25">
      <c r="H16492" s="12"/>
      <c r="I16492" s="12"/>
      <c r="J16492" s="12"/>
      <c r="K16492" s="12"/>
      <c r="L16492" s="12"/>
      <c r="M16492" s="11"/>
      <c r="N16492" s="11"/>
      <c r="O16492" s="11"/>
      <c r="P16492" s="11"/>
    </row>
    <row r="16493" spans="8:16" x14ac:dyDescent="0.25">
      <c r="H16493" s="12"/>
      <c r="I16493" s="12"/>
      <c r="J16493" s="12"/>
      <c r="K16493" s="12"/>
      <c r="L16493" s="12"/>
      <c r="M16493" s="11"/>
      <c r="N16493" s="11"/>
      <c r="O16493" s="11"/>
      <c r="P16493" s="11"/>
    </row>
    <row r="16494" spans="8:16" x14ac:dyDescent="0.25">
      <c r="H16494" s="12"/>
      <c r="I16494" s="12"/>
      <c r="J16494" s="12"/>
      <c r="K16494" s="12"/>
      <c r="L16494" s="12"/>
      <c r="M16494" s="11"/>
      <c r="N16494" s="11"/>
      <c r="O16494" s="11"/>
      <c r="P16494" s="11"/>
    </row>
    <row r="16495" spans="8:16" x14ac:dyDescent="0.25">
      <c r="H16495" s="12"/>
      <c r="I16495" s="12"/>
      <c r="J16495" s="12"/>
      <c r="K16495" s="12"/>
      <c r="L16495" s="12"/>
      <c r="M16495" s="11"/>
      <c r="N16495" s="11"/>
      <c r="O16495" s="11"/>
      <c r="P16495" s="11"/>
    </row>
    <row r="16496" spans="8:16" x14ac:dyDescent="0.25">
      <c r="H16496" s="12"/>
      <c r="I16496" s="12"/>
      <c r="J16496" s="12"/>
      <c r="K16496" s="12"/>
      <c r="L16496" s="12"/>
      <c r="M16496" s="11"/>
      <c r="N16496" s="11"/>
      <c r="O16496" s="11"/>
      <c r="P16496" s="11"/>
    </row>
    <row r="16497" spans="8:16" x14ac:dyDescent="0.25">
      <c r="H16497" s="12"/>
      <c r="I16497" s="12"/>
      <c r="J16497" s="12"/>
      <c r="K16497" s="12"/>
      <c r="L16497" s="12"/>
      <c r="M16497" s="11"/>
      <c r="N16497" s="11"/>
      <c r="O16497" s="11"/>
      <c r="P16497" s="11"/>
    </row>
    <row r="16498" spans="8:16" x14ac:dyDescent="0.25">
      <c r="H16498" s="12"/>
      <c r="I16498" s="12"/>
      <c r="J16498" s="12"/>
      <c r="K16498" s="12"/>
      <c r="L16498" s="12"/>
      <c r="M16498" s="11"/>
      <c r="N16498" s="11"/>
      <c r="O16498" s="11"/>
      <c r="P16498" s="11"/>
    </row>
    <row r="16499" spans="8:16" x14ac:dyDescent="0.25">
      <c r="H16499" s="12"/>
      <c r="I16499" s="12"/>
      <c r="J16499" s="12"/>
      <c r="K16499" s="12"/>
      <c r="L16499" s="12"/>
      <c r="M16499" s="11"/>
      <c r="N16499" s="11"/>
      <c r="O16499" s="11"/>
      <c r="P16499" s="11"/>
    </row>
    <row r="16500" spans="8:16" x14ac:dyDescent="0.25">
      <c r="H16500" s="12"/>
      <c r="I16500" s="12"/>
      <c r="J16500" s="12"/>
      <c r="K16500" s="12"/>
      <c r="L16500" s="12"/>
      <c r="M16500" s="11"/>
      <c r="N16500" s="11"/>
      <c r="O16500" s="11"/>
      <c r="P16500" s="11"/>
    </row>
    <row r="16501" spans="8:16" x14ac:dyDescent="0.25">
      <c r="H16501" s="12"/>
      <c r="I16501" s="12"/>
      <c r="J16501" s="12"/>
      <c r="K16501" s="12"/>
      <c r="L16501" s="12"/>
      <c r="M16501" s="11"/>
      <c r="N16501" s="11"/>
      <c r="O16501" s="11"/>
      <c r="P16501" s="11"/>
    </row>
    <row r="16502" spans="8:16" x14ac:dyDescent="0.25">
      <c r="H16502" s="12"/>
      <c r="I16502" s="12"/>
      <c r="J16502" s="12"/>
      <c r="K16502" s="12"/>
      <c r="L16502" s="12"/>
      <c r="M16502" s="11"/>
      <c r="N16502" s="11"/>
      <c r="O16502" s="11"/>
      <c r="P16502" s="11"/>
    </row>
    <row r="16503" spans="8:16" x14ac:dyDescent="0.25">
      <c r="H16503" s="12"/>
      <c r="I16503" s="12"/>
      <c r="J16503" s="12"/>
      <c r="K16503" s="12"/>
      <c r="L16503" s="12"/>
      <c r="M16503" s="11"/>
      <c r="N16503" s="11"/>
      <c r="O16503" s="11"/>
      <c r="P16503" s="11"/>
    </row>
    <row r="16504" spans="8:16" x14ac:dyDescent="0.25">
      <c r="H16504" s="12"/>
      <c r="I16504" s="12"/>
      <c r="J16504" s="12"/>
      <c r="K16504" s="12"/>
      <c r="L16504" s="12"/>
      <c r="M16504" s="11"/>
      <c r="N16504" s="11"/>
      <c r="O16504" s="11"/>
      <c r="P16504" s="11"/>
    </row>
    <row r="16505" spans="8:16" x14ac:dyDescent="0.25">
      <c r="H16505" s="12"/>
      <c r="I16505" s="12"/>
      <c r="J16505" s="12"/>
      <c r="K16505" s="12"/>
      <c r="L16505" s="12"/>
      <c r="M16505" s="11"/>
      <c r="N16505" s="11"/>
      <c r="O16505" s="11"/>
      <c r="P16505" s="11"/>
    </row>
    <row r="16506" spans="8:16" x14ac:dyDescent="0.25">
      <c r="H16506" s="12"/>
      <c r="I16506" s="12"/>
      <c r="J16506" s="12"/>
      <c r="K16506" s="12"/>
      <c r="L16506" s="12"/>
      <c r="M16506" s="11"/>
      <c r="N16506" s="11"/>
      <c r="O16506" s="11"/>
      <c r="P16506" s="11"/>
    </row>
    <row r="16507" spans="8:16" x14ac:dyDescent="0.25">
      <c r="H16507" s="12"/>
      <c r="I16507" s="12"/>
      <c r="J16507" s="12"/>
      <c r="K16507" s="12"/>
      <c r="L16507" s="12"/>
      <c r="M16507" s="11"/>
      <c r="N16507" s="11"/>
      <c r="O16507" s="11"/>
      <c r="P16507" s="11"/>
    </row>
    <row r="16508" spans="8:16" x14ac:dyDescent="0.25">
      <c r="H16508" s="12"/>
      <c r="I16508" s="12"/>
      <c r="J16508" s="12"/>
      <c r="K16508" s="12"/>
      <c r="L16508" s="12"/>
      <c r="M16508" s="11"/>
      <c r="N16508" s="11"/>
      <c r="O16508" s="11"/>
      <c r="P16508" s="11"/>
    </row>
    <row r="16509" spans="8:16" x14ac:dyDescent="0.25">
      <c r="H16509" s="12"/>
      <c r="I16509" s="12"/>
      <c r="J16509" s="12"/>
      <c r="K16509" s="12"/>
      <c r="L16509" s="12"/>
      <c r="M16509" s="11"/>
      <c r="N16509" s="11"/>
      <c r="O16509" s="11"/>
      <c r="P16509" s="11"/>
    </row>
    <row r="16510" spans="8:16" x14ac:dyDescent="0.25">
      <c r="H16510" s="12"/>
      <c r="I16510" s="12"/>
      <c r="J16510" s="12"/>
      <c r="K16510" s="12"/>
      <c r="L16510" s="12"/>
      <c r="M16510" s="11"/>
      <c r="N16510" s="11"/>
      <c r="O16510" s="11"/>
      <c r="P16510" s="11"/>
    </row>
    <row r="16511" spans="8:16" x14ac:dyDescent="0.25">
      <c r="H16511" s="12"/>
      <c r="I16511" s="12"/>
      <c r="J16511" s="12"/>
      <c r="K16511" s="12"/>
      <c r="L16511" s="12"/>
      <c r="M16511" s="11"/>
      <c r="N16511" s="11"/>
      <c r="O16511" s="11"/>
      <c r="P16511" s="11"/>
    </row>
    <row r="16512" spans="8:16" x14ac:dyDescent="0.25">
      <c r="H16512" s="12"/>
      <c r="I16512" s="12"/>
      <c r="J16512" s="12"/>
      <c r="K16512" s="12"/>
      <c r="L16512" s="12"/>
      <c r="M16512" s="11"/>
      <c r="N16512" s="11"/>
      <c r="O16512" s="11"/>
      <c r="P16512" s="11"/>
    </row>
    <row r="16513" spans="8:16" x14ac:dyDescent="0.25">
      <c r="H16513" s="12"/>
      <c r="I16513" s="12"/>
      <c r="J16513" s="12"/>
      <c r="K16513" s="12"/>
      <c r="L16513" s="12"/>
      <c r="M16513" s="11"/>
      <c r="N16513" s="11"/>
      <c r="O16513" s="11"/>
      <c r="P16513" s="11"/>
    </row>
    <row r="16514" spans="8:16" x14ac:dyDescent="0.25">
      <c r="H16514" s="12"/>
      <c r="I16514" s="12"/>
      <c r="J16514" s="12"/>
      <c r="K16514" s="12"/>
      <c r="L16514" s="12"/>
      <c r="M16514" s="11"/>
      <c r="N16514" s="11"/>
      <c r="O16514" s="11"/>
      <c r="P16514" s="11"/>
    </row>
    <row r="16515" spans="8:16" x14ac:dyDescent="0.25">
      <c r="H16515" s="12"/>
      <c r="I16515" s="12"/>
      <c r="J16515" s="12"/>
      <c r="K16515" s="12"/>
      <c r="L16515" s="12"/>
      <c r="M16515" s="11"/>
      <c r="N16515" s="11"/>
      <c r="O16515" s="11"/>
      <c r="P16515" s="11"/>
    </row>
    <row r="16516" spans="8:16" x14ac:dyDescent="0.25">
      <c r="H16516" s="12"/>
      <c r="I16516" s="12"/>
      <c r="J16516" s="12"/>
      <c r="K16516" s="12"/>
      <c r="L16516" s="12"/>
      <c r="M16516" s="11"/>
      <c r="N16516" s="11"/>
      <c r="O16516" s="11"/>
      <c r="P16516" s="11"/>
    </row>
    <row r="16517" spans="8:16" x14ac:dyDescent="0.25">
      <c r="H16517" s="12"/>
      <c r="I16517" s="12"/>
      <c r="J16517" s="12"/>
      <c r="K16517" s="12"/>
      <c r="L16517" s="12"/>
      <c r="M16517" s="11"/>
      <c r="N16517" s="11"/>
      <c r="O16517" s="11"/>
      <c r="P16517" s="11"/>
    </row>
    <row r="16518" spans="8:16" x14ac:dyDescent="0.25">
      <c r="H16518" s="12"/>
      <c r="I16518" s="12"/>
      <c r="J16518" s="12"/>
      <c r="K16518" s="12"/>
      <c r="L16518" s="12"/>
      <c r="M16518" s="11"/>
      <c r="N16518" s="11"/>
      <c r="O16518" s="11"/>
      <c r="P16518" s="11"/>
    </row>
    <row r="16519" spans="8:16" x14ac:dyDescent="0.25">
      <c r="H16519" s="12"/>
      <c r="I16519" s="12"/>
      <c r="J16519" s="12"/>
      <c r="K16519" s="12"/>
      <c r="L16519" s="12"/>
      <c r="M16519" s="11"/>
      <c r="N16519" s="11"/>
      <c r="O16519" s="11"/>
      <c r="P16519" s="11"/>
    </row>
    <row r="16520" spans="8:16" x14ac:dyDescent="0.25">
      <c r="H16520" s="12"/>
      <c r="I16520" s="12"/>
      <c r="J16520" s="12"/>
      <c r="K16520" s="12"/>
      <c r="L16520" s="12"/>
      <c r="M16520" s="11"/>
      <c r="N16520" s="11"/>
      <c r="O16520" s="11"/>
      <c r="P16520" s="11"/>
    </row>
    <row r="16521" spans="8:16" x14ac:dyDescent="0.25">
      <c r="H16521" s="12"/>
      <c r="I16521" s="12"/>
      <c r="J16521" s="12"/>
      <c r="K16521" s="12"/>
      <c r="L16521" s="12"/>
      <c r="M16521" s="11"/>
      <c r="N16521" s="11"/>
      <c r="O16521" s="11"/>
      <c r="P16521" s="11"/>
    </row>
    <row r="16522" spans="8:16" x14ac:dyDescent="0.25">
      <c r="H16522" s="12"/>
      <c r="I16522" s="12"/>
      <c r="J16522" s="12"/>
      <c r="K16522" s="12"/>
      <c r="L16522" s="12"/>
      <c r="M16522" s="11"/>
      <c r="N16522" s="11"/>
      <c r="O16522" s="11"/>
      <c r="P16522" s="11"/>
    </row>
    <row r="16523" spans="8:16" x14ac:dyDescent="0.25">
      <c r="H16523" s="12"/>
      <c r="I16523" s="12"/>
      <c r="J16523" s="12"/>
      <c r="K16523" s="12"/>
      <c r="L16523" s="12"/>
      <c r="M16523" s="11"/>
      <c r="N16523" s="11"/>
      <c r="O16523" s="11"/>
      <c r="P16523" s="11"/>
    </row>
    <row r="16524" spans="8:16" x14ac:dyDescent="0.25">
      <c r="H16524" s="12"/>
      <c r="I16524" s="12"/>
      <c r="J16524" s="12"/>
      <c r="K16524" s="12"/>
      <c r="L16524" s="12"/>
      <c r="M16524" s="11"/>
      <c r="N16524" s="11"/>
      <c r="O16524" s="11"/>
      <c r="P16524" s="11"/>
    </row>
    <row r="16525" spans="8:16" x14ac:dyDescent="0.25">
      <c r="H16525" s="12"/>
      <c r="I16525" s="12"/>
      <c r="J16525" s="12"/>
      <c r="K16525" s="12"/>
      <c r="L16525" s="12"/>
      <c r="M16525" s="11"/>
      <c r="N16525" s="11"/>
      <c r="O16525" s="11"/>
      <c r="P16525" s="11"/>
    </row>
    <row r="16526" spans="8:16" x14ac:dyDescent="0.25">
      <c r="H16526" s="12"/>
      <c r="I16526" s="12"/>
      <c r="J16526" s="12"/>
      <c r="K16526" s="12"/>
      <c r="L16526" s="12"/>
      <c r="M16526" s="11"/>
      <c r="N16526" s="11"/>
      <c r="O16526" s="11"/>
      <c r="P16526" s="11"/>
    </row>
    <row r="16527" spans="8:16" x14ac:dyDescent="0.25">
      <c r="H16527" s="12"/>
      <c r="I16527" s="12"/>
      <c r="J16527" s="12"/>
      <c r="K16527" s="12"/>
      <c r="L16527" s="12"/>
      <c r="M16527" s="11"/>
      <c r="N16527" s="11"/>
      <c r="O16527" s="11"/>
      <c r="P16527" s="11"/>
    </row>
    <row r="16528" spans="8:16" x14ac:dyDescent="0.25">
      <c r="H16528" s="12"/>
      <c r="I16528" s="12"/>
      <c r="J16528" s="12"/>
      <c r="K16528" s="12"/>
      <c r="L16528" s="12"/>
      <c r="M16528" s="11"/>
      <c r="N16528" s="11"/>
      <c r="O16528" s="11"/>
      <c r="P16528" s="11"/>
    </row>
    <row r="16529" spans="8:16" x14ac:dyDescent="0.25">
      <c r="H16529" s="12"/>
      <c r="I16529" s="12"/>
      <c r="J16529" s="12"/>
      <c r="K16529" s="12"/>
      <c r="L16529" s="12"/>
      <c r="M16529" s="11"/>
      <c r="N16529" s="11"/>
      <c r="O16529" s="11"/>
      <c r="P16529" s="11"/>
    </row>
    <row r="16530" spans="8:16" x14ac:dyDescent="0.25">
      <c r="H16530" s="12"/>
      <c r="I16530" s="12"/>
      <c r="J16530" s="12"/>
      <c r="K16530" s="12"/>
      <c r="L16530" s="12"/>
      <c r="M16530" s="11"/>
      <c r="N16530" s="11"/>
      <c r="O16530" s="11"/>
      <c r="P16530" s="11"/>
    </row>
    <row r="16531" spans="8:16" x14ac:dyDescent="0.25">
      <c r="H16531" s="12"/>
      <c r="I16531" s="12"/>
      <c r="J16531" s="12"/>
      <c r="K16531" s="12"/>
      <c r="L16531" s="12"/>
      <c r="M16531" s="11"/>
      <c r="N16531" s="11"/>
      <c r="O16531" s="11"/>
      <c r="P16531" s="11"/>
    </row>
    <row r="16532" spans="8:16" x14ac:dyDescent="0.25">
      <c r="H16532" s="12"/>
      <c r="I16532" s="12"/>
      <c r="J16532" s="12"/>
      <c r="K16532" s="12"/>
      <c r="L16532" s="12"/>
      <c r="M16532" s="11"/>
      <c r="N16532" s="11"/>
      <c r="O16532" s="11"/>
      <c r="P16532" s="11"/>
    </row>
    <row r="16533" spans="8:16" x14ac:dyDescent="0.25">
      <c r="H16533" s="12"/>
      <c r="I16533" s="12"/>
      <c r="J16533" s="12"/>
      <c r="K16533" s="12"/>
      <c r="L16533" s="12"/>
      <c r="M16533" s="11"/>
      <c r="N16533" s="11"/>
      <c r="O16533" s="11"/>
      <c r="P16533" s="11"/>
    </row>
    <row r="16534" spans="8:16" x14ac:dyDescent="0.25">
      <c r="H16534" s="12"/>
      <c r="I16534" s="12"/>
      <c r="J16534" s="12"/>
      <c r="K16534" s="12"/>
      <c r="L16534" s="12"/>
      <c r="M16534" s="11"/>
      <c r="N16534" s="11"/>
      <c r="O16534" s="11"/>
      <c r="P16534" s="11"/>
    </row>
    <row r="16535" spans="8:16" x14ac:dyDescent="0.25">
      <c r="H16535" s="12"/>
      <c r="I16535" s="12"/>
      <c r="J16535" s="12"/>
      <c r="K16535" s="12"/>
      <c r="L16535" s="12"/>
      <c r="M16535" s="11"/>
      <c r="N16535" s="11"/>
      <c r="O16535" s="11"/>
      <c r="P16535" s="11"/>
    </row>
    <row r="16536" spans="8:16" x14ac:dyDescent="0.25">
      <c r="H16536" s="12"/>
      <c r="I16536" s="12"/>
      <c r="J16536" s="12"/>
      <c r="K16536" s="12"/>
      <c r="L16536" s="12"/>
      <c r="M16536" s="11"/>
      <c r="N16536" s="11"/>
      <c r="O16536" s="11"/>
      <c r="P16536" s="11"/>
    </row>
    <row r="16537" spans="8:16" x14ac:dyDescent="0.25">
      <c r="H16537" s="12"/>
      <c r="I16537" s="12"/>
      <c r="J16537" s="12"/>
      <c r="K16537" s="12"/>
      <c r="L16537" s="12"/>
      <c r="M16537" s="11"/>
      <c r="N16537" s="11"/>
      <c r="O16537" s="11"/>
      <c r="P16537" s="11"/>
    </row>
    <row r="16538" spans="8:16" x14ac:dyDescent="0.25">
      <c r="H16538" s="12"/>
      <c r="I16538" s="12"/>
      <c r="J16538" s="12"/>
      <c r="K16538" s="12"/>
      <c r="L16538" s="12"/>
      <c r="M16538" s="11"/>
      <c r="N16538" s="11"/>
      <c r="O16538" s="11"/>
      <c r="P16538" s="11"/>
    </row>
    <row r="16539" spans="8:16" x14ac:dyDescent="0.25">
      <c r="H16539" s="12"/>
      <c r="I16539" s="12"/>
      <c r="J16539" s="12"/>
      <c r="K16539" s="12"/>
      <c r="L16539" s="12"/>
      <c r="M16539" s="11"/>
      <c r="N16539" s="11"/>
      <c r="O16539" s="11"/>
      <c r="P16539" s="11"/>
    </row>
    <row r="16540" spans="8:16" x14ac:dyDescent="0.25">
      <c r="H16540" s="12"/>
      <c r="I16540" s="12"/>
      <c r="J16540" s="12"/>
      <c r="K16540" s="12"/>
      <c r="L16540" s="12"/>
      <c r="M16540" s="11"/>
      <c r="N16540" s="11"/>
      <c r="O16540" s="11"/>
      <c r="P16540" s="11"/>
    </row>
    <row r="16541" spans="8:16" x14ac:dyDescent="0.25">
      <c r="H16541" s="12"/>
      <c r="I16541" s="12"/>
      <c r="J16541" s="12"/>
      <c r="K16541" s="12"/>
      <c r="L16541" s="12"/>
      <c r="M16541" s="11"/>
      <c r="N16541" s="11"/>
      <c r="O16541" s="11"/>
      <c r="P16541" s="11"/>
    </row>
    <row r="16542" spans="8:16" x14ac:dyDescent="0.25">
      <c r="H16542" s="12"/>
      <c r="I16542" s="12"/>
      <c r="J16542" s="12"/>
      <c r="K16542" s="12"/>
      <c r="L16542" s="12"/>
      <c r="M16542" s="11"/>
      <c r="N16542" s="11"/>
      <c r="O16542" s="11"/>
      <c r="P16542" s="11"/>
    </row>
    <row r="16543" spans="8:16" x14ac:dyDescent="0.25">
      <c r="H16543" s="12"/>
      <c r="I16543" s="12"/>
      <c r="J16543" s="12"/>
      <c r="K16543" s="12"/>
      <c r="L16543" s="12"/>
      <c r="M16543" s="11"/>
      <c r="N16543" s="11"/>
      <c r="O16543" s="11"/>
      <c r="P16543" s="11"/>
    </row>
    <row r="16544" spans="8:16" x14ac:dyDescent="0.25">
      <c r="H16544" s="12"/>
      <c r="I16544" s="12"/>
      <c r="J16544" s="12"/>
      <c r="K16544" s="12"/>
      <c r="L16544" s="12"/>
      <c r="M16544" s="11"/>
      <c r="N16544" s="11"/>
      <c r="O16544" s="11"/>
      <c r="P16544" s="11"/>
    </row>
    <row r="16545" spans="8:16" x14ac:dyDescent="0.25">
      <c r="H16545" s="12"/>
      <c r="I16545" s="12"/>
      <c r="J16545" s="12"/>
      <c r="K16545" s="12"/>
      <c r="L16545" s="12"/>
      <c r="M16545" s="11"/>
      <c r="N16545" s="11"/>
      <c r="O16545" s="11"/>
      <c r="P16545" s="11"/>
    </row>
    <row r="16546" spans="8:16" x14ac:dyDescent="0.25">
      <c r="H16546" s="12"/>
      <c r="I16546" s="12"/>
      <c r="J16546" s="12"/>
      <c r="K16546" s="12"/>
      <c r="L16546" s="12"/>
      <c r="M16546" s="11"/>
      <c r="N16546" s="11"/>
      <c r="O16546" s="11"/>
      <c r="P16546" s="11"/>
    </row>
    <row r="16547" spans="8:16" x14ac:dyDescent="0.25">
      <c r="H16547" s="12"/>
      <c r="I16547" s="12"/>
      <c r="J16547" s="12"/>
      <c r="K16547" s="12"/>
      <c r="L16547" s="12"/>
      <c r="M16547" s="11"/>
      <c r="N16547" s="11"/>
      <c r="O16547" s="11"/>
      <c r="P16547" s="11"/>
    </row>
    <row r="16548" spans="8:16" x14ac:dyDescent="0.25">
      <c r="H16548" s="12"/>
      <c r="I16548" s="12"/>
      <c r="J16548" s="12"/>
      <c r="K16548" s="12"/>
      <c r="L16548" s="12"/>
      <c r="M16548" s="11"/>
      <c r="N16548" s="11"/>
      <c r="O16548" s="11"/>
      <c r="P16548" s="11"/>
    </row>
    <row r="16549" spans="8:16" x14ac:dyDescent="0.25">
      <c r="H16549" s="12"/>
      <c r="I16549" s="12"/>
      <c r="J16549" s="12"/>
      <c r="K16549" s="12"/>
      <c r="L16549" s="12"/>
      <c r="M16549" s="11"/>
      <c r="N16549" s="11"/>
      <c r="O16549" s="11"/>
      <c r="P16549" s="11"/>
    </row>
    <row r="16550" spans="8:16" x14ac:dyDescent="0.25">
      <c r="H16550" s="12"/>
      <c r="I16550" s="12"/>
      <c r="J16550" s="12"/>
      <c r="K16550" s="12"/>
      <c r="L16550" s="12"/>
      <c r="M16550" s="11"/>
      <c r="N16550" s="11"/>
      <c r="O16550" s="11"/>
      <c r="P16550" s="11"/>
    </row>
    <row r="16551" spans="8:16" x14ac:dyDescent="0.25">
      <c r="H16551" s="12"/>
      <c r="I16551" s="12"/>
      <c r="J16551" s="12"/>
      <c r="K16551" s="12"/>
      <c r="L16551" s="12"/>
      <c r="M16551" s="11"/>
      <c r="N16551" s="11"/>
      <c r="O16551" s="11"/>
      <c r="P16551" s="11"/>
    </row>
    <row r="16552" spans="8:16" x14ac:dyDescent="0.25">
      <c r="H16552" s="12"/>
      <c r="I16552" s="12"/>
      <c r="J16552" s="12"/>
      <c r="K16552" s="12"/>
      <c r="L16552" s="12"/>
      <c r="M16552" s="11"/>
      <c r="N16552" s="11"/>
      <c r="O16552" s="11"/>
      <c r="P16552" s="11"/>
    </row>
    <row r="16553" spans="8:16" x14ac:dyDescent="0.25">
      <c r="H16553" s="12"/>
      <c r="I16553" s="12"/>
      <c r="J16553" s="12"/>
      <c r="K16553" s="12"/>
      <c r="L16553" s="12"/>
      <c r="M16553" s="11"/>
      <c r="N16553" s="11"/>
      <c r="O16553" s="11"/>
      <c r="P16553" s="11"/>
    </row>
    <row r="16554" spans="8:16" x14ac:dyDescent="0.25">
      <c r="H16554" s="12"/>
      <c r="I16554" s="12"/>
      <c r="J16554" s="12"/>
      <c r="K16554" s="12"/>
      <c r="L16554" s="12"/>
      <c r="M16554" s="11"/>
      <c r="N16554" s="11"/>
      <c r="O16554" s="11"/>
      <c r="P16554" s="11"/>
    </row>
    <row r="16555" spans="8:16" x14ac:dyDescent="0.25">
      <c r="H16555" s="12"/>
      <c r="I16555" s="12"/>
      <c r="J16555" s="12"/>
      <c r="K16555" s="12"/>
      <c r="L16555" s="12"/>
      <c r="M16555" s="11"/>
      <c r="N16555" s="11"/>
      <c r="O16555" s="11"/>
      <c r="P16555" s="11"/>
    </row>
    <row r="16556" spans="8:16" x14ac:dyDescent="0.25">
      <c r="H16556" s="12"/>
      <c r="I16556" s="12"/>
      <c r="J16556" s="12"/>
      <c r="K16556" s="12"/>
      <c r="L16556" s="12"/>
      <c r="M16556" s="11"/>
      <c r="N16556" s="11"/>
      <c r="O16556" s="11"/>
      <c r="P16556" s="11"/>
    </row>
    <row r="16557" spans="8:16" x14ac:dyDescent="0.25">
      <c r="H16557" s="12"/>
      <c r="I16557" s="12"/>
      <c r="J16557" s="12"/>
      <c r="K16557" s="12"/>
      <c r="L16557" s="12"/>
      <c r="M16557" s="11"/>
      <c r="N16557" s="11"/>
      <c r="O16557" s="11"/>
      <c r="P16557" s="11"/>
    </row>
    <row r="16558" spans="8:16" x14ac:dyDescent="0.25">
      <c r="H16558" s="12"/>
      <c r="I16558" s="12"/>
      <c r="J16558" s="12"/>
      <c r="K16558" s="12"/>
      <c r="L16558" s="12"/>
      <c r="M16558" s="11"/>
      <c r="N16558" s="11"/>
      <c r="O16558" s="11"/>
      <c r="P16558" s="11"/>
    </row>
    <row r="16559" spans="8:16" x14ac:dyDescent="0.25">
      <c r="H16559" s="12"/>
      <c r="I16559" s="12"/>
      <c r="J16559" s="12"/>
      <c r="K16559" s="12"/>
      <c r="L16559" s="12"/>
      <c r="M16559" s="11"/>
      <c r="N16559" s="11"/>
      <c r="O16559" s="11"/>
      <c r="P16559" s="11"/>
    </row>
    <row r="16560" spans="8:16" x14ac:dyDescent="0.25">
      <c r="H16560" s="12"/>
      <c r="I16560" s="12"/>
      <c r="J16560" s="12"/>
      <c r="K16560" s="12"/>
      <c r="L16560" s="12"/>
      <c r="M16560" s="11"/>
      <c r="N16560" s="11"/>
      <c r="O16560" s="11"/>
      <c r="P16560" s="11"/>
    </row>
    <row r="16561" spans="8:16" x14ac:dyDescent="0.25">
      <c r="H16561" s="12"/>
      <c r="I16561" s="12"/>
      <c r="J16561" s="12"/>
      <c r="K16561" s="12"/>
      <c r="L16561" s="12"/>
      <c r="M16561" s="11"/>
      <c r="N16561" s="11"/>
      <c r="O16561" s="11"/>
      <c r="P16561" s="11"/>
    </row>
    <row r="16562" spans="8:16" x14ac:dyDescent="0.25">
      <c r="H16562" s="12"/>
      <c r="I16562" s="12"/>
      <c r="J16562" s="12"/>
      <c r="K16562" s="12"/>
      <c r="L16562" s="12"/>
      <c r="M16562" s="11"/>
      <c r="N16562" s="11"/>
      <c r="O16562" s="11"/>
      <c r="P16562" s="11"/>
    </row>
    <row r="16563" spans="8:16" x14ac:dyDescent="0.25">
      <c r="H16563" s="12"/>
      <c r="I16563" s="12"/>
      <c r="J16563" s="12"/>
      <c r="K16563" s="12"/>
      <c r="L16563" s="12"/>
      <c r="M16563" s="11"/>
      <c r="N16563" s="11"/>
      <c r="O16563" s="11"/>
      <c r="P16563" s="11"/>
    </row>
    <row r="16564" spans="8:16" x14ac:dyDescent="0.25">
      <c r="H16564" s="12"/>
      <c r="I16564" s="12"/>
      <c r="J16564" s="12"/>
      <c r="K16564" s="12"/>
      <c r="L16564" s="12"/>
      <c r="M16564" s="11"/>
      <c r="N16564" s="11"/>
      <c r="O16564" s="11"/>
      <c r="P16564" s="11"/>
    </row>
    <row r="16565" spans="8:16" x14ac:dyDescent="0.25">
      <c r="H16565" s="12"/>
      <c r="I16565" s="12"/>
      <c r="J16565" s="12"/>
      <c r="K16565" s="12"/>
      <c r="L16565" s="12"/>
      <c r="M16565" s="11"/>
      <c r="N16565" s="11"/>
      <c r="O16565" s="11"/>
      <c r="P16565" s="11"/>
    </row>
    <row r="16566" spans="8:16" x14ac:dyDescent="0.25">
      <c r="H16566" s="12"/>
      <c r="I16566" s="12"/>
      <c r="J16566" s="12"/>
      <c r="K16566" s="12"/>
      <c r="L16566" s="12"/>
      <c r="M16566" s="11"/>
      <c r="N16566" s="11"/>
      <c r="O16566" s="11"/>
      <c r="P16566" s="11"/>
    </row>
    <row r="16567" spans="8:16" x14ac:dyDescent="0.25">
      <c r="H16567" s="12"/>
      <c r="I16567" s="12"/>
      <c r="J16567" s="12"/>
      <c r="K16567" s="12"/>
      <c r="L16567" s="12"/>
      <c r="M16567" s="11"/>
      <c r="N16567" s="11"/>
      <c r="O16567" s="11"/>
      <c r="P16567" s="11"/>
    </row>
    <row r="16568" spans="8:16" x14ac:dyDescent="0.25">
      <c r="H16568" s="12"/>
      <c r="I16568" s="12"/>
      <c r="J16568" s="12"/>
      <c r="K16568" s="12"/>
      <c r="L16568" s="12"/>
      <c r="M16568" s="11"/>
      <c r="N16568" s="11"/>
      <c r="O16568" s="11"/>
      <c r="P16568" s="11"/>
    </row>
    <row r="16569" spans="8:16" x14ac:dyDescent="0.25">
      <c r="H16569" s="12"/>
      <c r="I16569" s="12"/>
      <c r="J16569" s="12"/>
      <c r="K16569" s="12"/>
      <c r="L16569" s="12"/>
      <c r="M16569" s="11"/>
      <c r="N16569" s="11"/>
      <c r="O16569" s="11"/>
      <c r="P16569" s="11"/>
    </row>
    <row r="16570" spans="8:16" x14ac:dyDescent="0.25">
      <c r="H16570" s="12"/>
      <c r="I16570" s="12"/>
      <c r="J16570" s="12"/>
      <c r="K16570" s="12"/>
      <c r="L16570" s="12"/>
      <c r="M16570" s="11"/>
      <c r="N16570" s="11"/>
      <c r="O16570" s="11"/>
      <c r="P16570" s="11"/>
    </row>
    <row r="16571" spans="8:16" x14ac:dyDescent="0.25">
      <c r="H16571" s="12"/>
      <c r="I16571" s="12"/>
      <c r="J16571" s="12"/>
      <c r="K16571" s="12"/>
      <c r="L16571" s="12"/>
      <c r="M16571" s="11"/>
      <c r="N16571" s="11"/>
      <c r="O16571" s="11"/>
      <c r="P16571" s="11"/>
    </row>
    <row r="16572" spans="8:16" x14ac:dyDescent="0.25">
      <c r="H16572" s="12"/>
      <c r="I16572" s="12"/>
      <c r="J16572" s="12"/>
      <c r="K16572" s="12"/>
      <c r="L16572" s="12"/>
      <c r="M16572" s="11"/>
      <c r="N16572" s="11"/>
      <c r="O16572" s="11"/>
      <c r="P16572" s="11"/>
    </row>
    <row r="16573" spans="8:16" x14ac:dyDescent="0.25">
      <c r="H16573" s="12"/>
      <c r="I16573" s="12"/>
      <c r="J16573" s="12"/>
      <c r="K16573" s="12"/>
      <c r="L16573" s="12"/>
      <c r="M16573" s="11"/>
      <c r="N16573" s="11"/>
      <c r="O16573" s="11"/>
      <c r="P16573" s="11"/>
    </row>
    <row r="16574" spans="8:16" x14ac:dyDescent="0.25">
      <c r="H16574" s="12"/>
      <c r="I16574" s="12"/>
      <c r="J16574" s="12"/>
      <c r="K16574" s="12"/>
      <c r="L16574" s="12"/>
      <c r="M16574" s="11"/>
      <c r="N16574" s="11"/>
      <c r="O16574" s="11"/>
      <c r="P16574" s="11"/>
    </row>
    <row r="16575" spans="8:16" x14ac:dyDescent="0.25">
      <c r="H16575" s="12"/>
      <c r="I16575" s="12"/>
      <c r="J16575" s="12"/>
      <c r="K16575" s="12"/>
      <c r="L16575" s="12"/>
      <c r="M16575" s="11"/>
      <c r="N16575" s="11"/>
      <c r="O16575" s="11"/>
      <c r="P16575" s="11"/>
    </row>
    <row r="16576" spans="8:16" x14ac:dyDescent="0.25">
      <c r="H16576" s="12"/>
      <c r="I16576" s="12"/>
      <c r="J16576" s="12"/>
      <c r="K16576" s="12"/>
      <c r="L16576" s="12"/>
      <c r="M16576" s="11"/>
      <c r="N16576" s="11"/>
      <c r="O16576" s="11"/>
      <c r="P16576" s="11"/>
    </row>
    <row r="16577" spans="8:16" x14ac:dyDescent="0.25">
      <c r="H16577" s="12"/>
      <c r="I16577" s="12"/>
      <c r="J16577" s="12"/>
      <c r="K16577" s="12"/>
      <c r="L16577" s="12"/>
      <c r="M16577" s="11"/>
      <c r="N16577" s="11"/>
      <c r="O16577" s="11"/>
      <c r="P16577" s="11"/>
    </row>
    <row r="16578" spans="8:16" x14ac:dyDescent="0.25">
      <c r="H16578" s="12"/>
      <c r="I16578" s="12"/>
      <c r="J16578" s="12"/>
      <c r="K16578" s="12"/>
      <c r="L16578" s="12"/>
      <c r="M16578" s="11"/>
      <c r="N16578" s="11"/>
      <c r="O16578" s="11"/>
      <c r="P16578" s="11"/>
    </row>
    <row r="16579" spans="8:16" x14ac:dyDescent="0.25">
      <c r="H16579" s="12"/>
      <c r="I16579" s="12"/>
      <c r="J16579" s="12"/>
      <c r="K16579" s="12"/>
      <c r="L16579" s="12"/>
      <c r="M16579" s="11"/>
      <c r="N16579" s="11"/>
      <c r="O16579" s="11"/>
      <c r="P16579" s="11"/>
    </row>
    <row r="16580" spans="8:16" x14ac:dyDescent="0.25">
      <c r="H16580" s="12"/>
      <c r="I16580" s="12"/>
      <c r="J16580" s="12"/>
      <c r="K16580" s="12"/>
      <c r="L16580" s="12"/>
      <c r="M16580" s="11"/>
      <c r="N16580" s="11"/>
      <c r="O16580" s="11"/>
      <c r="P16580" s="11"/>
    </row>
    <row r="16581" spans="8:16" x14ac:dyDescent="0.25">
      <c r="H16581" s="12"/>
      <c r="I16581" s="12"/>
      <c r="J16581" s="12"/>
      <c r="K16581" s="12"/>
      <c r="L16581" s="12"/>
      <c r="M16581" s="11"/>
      <c r="N16581" s="11"/>
      <c r="O16581" s="11"/>
      <c r="P16581" s="11"/>
    </row>
    <row r="16582" spans="8:16" x14ac:dyDescent="0.25">
      <c r="H16582" s="12"/>
      <c r="I16582" s="12"/>
      <c r="J16582" s="12"/>
      <c r="K16582" s="12"/>
      <c r="L16582" s="12"/>
      <c r="M16582" s="11"/>
      <c r="N16582" s="11"/>
      <c r="O16582" s="11"/>
      <c r="P16582" s="11"/>
    </row>
    <row r="16583" spans="8:16" x14ac:dyDescent="0.25">
      <c r="H16583" s="12"/>
      <c r="I16583" s="12"/>
      <c r="J16583" s="12"/>
      <c r="K16583" s="12"/>
      <c r="L16583" s="12"/>
      <c r="M16583" s="11"/>
      <c r="N16583" s="11"/>
      <c r="O16583" s="11"/>
      <c r="P16583" s="11"/>
    </row>
    <row r="16584" spans="8:16" x14ac:dyDescent="0.25">
      <c r="H16584" s="12"/>
      <c r="I16584" s="12"/>
      <c r="J16584" s="12"/>
      <c r="K16584" s="12"/>
      <c r="L16584" s="12"/>
      <c r="M16584" s="11"/>
      <c r="N16584" s="11"/>
      <c r="O16584" s="11"/>
      <c r="P16584" s="11"/>
    </row>
    <row r="16585" spans="8:16" x14ac:dyDescent="0.25">
      <c r="H16585" s="12"/>
      <c r="I16585" s="12"/>
      <c r="J16585" s="12"/>
      <c r="K16585" s="12"/>
      <c r="L16585" s="12"/>
      <c r="M16585" s="11"/>
      <c r="N16585" s="11"/>
      <c r="O16585" s="11"/>
      <c r="P16585" s="11"/>
    </row>
    <row r="16586" spans="8:16" x14ac:dyDescent="0.25">
      <c r="H16586" s="12"/>
      <c r="I16586" s="12"/>
      <c r="J16586" s="12"/>
      <c r="K16586" s="12"/>
      <c r="L16586" s="12"/>
      <c r="M16586" s="11"/>
      <c r="N16586" s="11"/>
      <c r="O16586" s="11"/>
      <c r="P16586" s="11"/>
    </row>
    <row r="16587" spans="8:16" x14ac:dyDescent="0.25">
      <c r="H16587" s="12"/>
      <c r="I16587" s="12"/>
      <c r="J16587" s="12"/>
      <c r="K16587" s="12"/>
      <c r="L16587" s="12"/>
      <c r="M16587" s="11"/>
      <c r="N16587" s="11"/>
      <c r="O16587" s="11"/>
      <c r="P16587" s="11"/>
    </row>
    <row r="16588" spans="8:16" x14ac:dyDescent="0.25">
      <c r="H16588" s="12"/>
      <c r="I16588" s="12"/>
      <c r="J16588" s="12"/>
      <c r="K16588" s="12"/>
      <c r="L16588" s="12"/>
      <c r="M16588" s="11"/>
      <c r="N16588" s="11"/>
      <c r="O16588" s="11"/>
      <c r="P16588" s="11"/>
    </row>
    <row r="16589" spans="8:16" x14ac:dyDescent="0.25">
      <c r="H16589" s="12"/>
      <c r="I16589" s="12"/>
      <c r="J16589" s="12"/>
      <c r="K16589" s="12"/>
      <c r="L16589" s="12"/>
      <c r="M16589" s="11"/>
      <c r="N16589" s="11"/>
      <c r="O16589" s="11"/>
      <c r="P16589" s="11"/>
    </row>
    <row r="16590" spans="8:16" x14ac:dyDescent="0.25">
      <c r="H16590" s="12"/>
      <c r="I16590" s="12"/>
      <c r="J16590" s="12"/>
      <c r="K16590" s="12"/>
      <c r="L16590" s="12"/>
      <c r="M16590" s="11"/>
      <c r="N16590" s="11"/>
      <c r="O16590" s="11"/>
      <c r="P16590" s="11"/>
    </row>
    <row r="16591" spans="8:16" x14ac:dyDescent="0.25">
      <c r="H16591" s="12"/>
      <c r="I16591" s="12"/>
      <c r="J16591" s="12"/>
      <c r="K16591" s="12"/>
      <c r="L16591" s="12"/>
      <c r="M16591" s="11"/>
      <c r="N16591" s="11"/>
      <c r="O16591" s="11"/>
      <c r="P16591" s="11"/>
    </row>
    <row r="16592" spans="8:16" x14ac:dyDescent="0.25">
      <c r="H16592" s="12"/>
      <c r="I16592" s="12"/>
      <c r="J16592" s="12"/>
      <c r="K16592" s="12"/>
      <c r="L16592" s="12"/>
      <c r="M16592" s="11"/>
      <c r="N16592" s="11"/>
      <c r="O16592" s="11"/>
      <c r="P16592" s="11"/>
    </row>
    <row r="16593" spans="8:16" x14ac:dyDescent="0.25">
      <c r="H16593" s="12"/>
      <c r="I16593" s="12"/>
      <c r="J16593" s="12"/>
      <c r="K16593" s="12"/>
      <c r="L16593" s="12"/>
      <c r="M16593" s="11"/>
      <c r="N16593" s="11"/>
      <c r="O16593" s="11"/>
      <c r="P16593" s="11"/>
    </row>
    <row r="16594" spans="8:16" x14ac:dyDescent="0.25">
      <c r="H16594" s="12"/>
      <c r="I16594" s="12"/>
      <c r="J16594" s="12"/>
      <c r="K16594" s="12"/>
      <c r="L16594" s="12"/>
      <c r="M16594" s="11"/>
      <c r="N16594" s="11"/>
      <c r="O16594" s="11"/>
      <c r="P16594" s="11"/>
    </row>
    <row r="16595" spans="8:16" x14ac:dyDescent="0.25">
      <c r="H16595" s="12"/>
      <c r="I16595" s="12"/>
      <c r="J16595" s="12"/>
      <c r="K16595" s="12"/>
      <c r="L16595" s="12"/>
      <c r="M16595" s="11"/>
      <c r="N16595" s="11"/>
      <c r="O16595" s="11"/>
      <c r="P16595" s="11"/>
    </row>
    <row r="16596" spans="8:16" x14ac:dyDescent="0.25">
      <c r="H16596" s="12"/>
      <c r="I16596" s="12"/>
      <c r="J16596" s="12"/>
      <c r="K16596" s="12"/>
      <c r="L16596" s="12"/>
      <c r="M16596" s="11"/>
      <c r="N16596" s="11"/>
      <c r="O16596" s="11"/>
      <c r="P16596" s="11"/>
    </row>
    <row r="16597" spans="8:16" x14ac:dyDescent="0.25">
      <c r="H16597" s="12"/>
      <c r="I16597" s="12"/>
      <c r="J16597" s="12"/>
      <c r="K16597" s="12"/>
      <c r="L16597" s="12"/>
      <c r="M16597" s="11"/>
      <c r="N16597" s="11"/>
      <c r="O16597" s="11"/>
      <c r="P16597" s="11"/>
    </row>
    <row r="16598" spans="8:16" x14ac:dyDescent="0.25">
      <c r="H16598" s="12"/>
      <c r="I16598" s="12"/>
      <c r="J16598" s="12"/>
      <c r="K16598" s="12"/>
      <c r="L16598" s="12"/>
      <c r="M16598" s="11"/>
      <c r="N16598" s="11"/>
      <c r="O16598" s="11"/>
      <c r="P16598" s="11"/>
    </row>
    <row r="16599" spans="8:16" x14ac:dyDescent="0.25">
      <c r="H16599" s="12"/>
      <c r="I16599" s="12"/>
      <c r="J16599" s="12"/>
      <c r="K16599" s="12"/>
      <c r="L16599" s="12"/>
      <c r="M16599" s="11"/>
      <c r="N16599" s="11"/>
      <c r="O16599" s="11"/>
      <c r="P16599" s="11"/>
    </row>
    <row r="16600" spans="8:16" x14ac:dyDescent="0.25">
      <c r="H16600" s="12"/>
      <c r="I16600" s="12"/>
      <c r="J16600" s="12"/>
      <c r="K16600" s="12"/>
      <c r="L16600" s="12"/>
      <c r="M16600" s="11"/>
      <c r="N16600" s="11"/>
      <c r="O16600" s="11"/>
      <c r="P16600" s="11"/>
    </row>
    <row r="16601" spans="8:16" x14ac:dyDescent="0.25">
      <c r="H16601" s="12"/>
      <c r="I16601" s="12"/>
      <c r="J16601" s="12"/>
      <c r="K16601" s="12"/>
      <c r="L16601" s="12"/>
      <c r="M16601" s="11"/>
      <c r="N16601" s="11"/>
      <c r="O16601" s="11"/>
      <c r="P16601" s="11"/>
    </row>
    <row r="16602" spans="8:16" x14ac:dyDescent="0.25">
      <c r="H16602" s="12"/>
      <c r="I16602" s="12"/>
      <c r="J16602" s="12"/>
      <c r="K16602" s="12"/>
      <c r="L16602" s="12"/>
      <c r="M16602" s="11"/>
      <c r="N16602" s="11"/>
      <c r="O16602" s="11"/>
      <c r="P16602" s="11"/>
    </row>
    <row r="16603" spans="8:16" x14ac:dyDescent="0.25">
      <c r="H16603" s="12"/>
      <c r="I16603" s="12"/>
      <c r="J16603" s="12"/>
      <c r="K16603" s="12"/>
      <c r="L16603" s="12"/>
      <c r="M16603" s="11"/>
      <c r="N16603" s="11"/>
      <c r="O16603" s="11"/>
      <c r="P16603" s="11"/>
    </row>
    <row r="16604" spans="8:16" x14ac:dyDescent="0.25">
      <c r="H16604" s="12"/>
      <c r="I16604" s="12"/>
      <c r="J16604" s="12"/>
      <c r="K16604" s="12"/>
      <c r="L16604" s="12"/>
      <c r="M16604" s="11"/>
      <c r="N16604" s="11"/>
      <c r="O16604" s="11"/>
      <c r="P16604" s="11"/>
    </row>
    <row r="16605" spans="8:16" x14ac:dyDescent="0.25">
      <c r="H16605" s="12"/>
      <c r="I16605" s="12"/>
      <c r="J16605" s="12"/>
      <c r="K16605" s="12"/>
      <c r="L16605" s="12"/>
      <c r="M16605" s="11"/>
      <c r="N16605" s="11"/>
      <c r="O16605" s="11"/>
      <c r="P16605" s="11"/>
    </row>
    <row r="16606" spans="8:16" x14ac:dyDescent="0.25">
      <c r="H16606" s="12"/>
      <c r="I16606" s="12"/>
      <c r="J16606" s="12"/>
      <c r="K16606" s="12"/>
      <c r="L16606" s="12"/>
      <c r="M16606" s="11"/>
      <c r="N16606" s="11"/>
      <c r="O16606" s="11"/>
      <c r="P16606" s="11"/>
    </row>
    <row r="16607" spans="8:16" x14ac:dyDescent="0.25">
      <c r="H16607" s="12"/>
      <c r="I16607" s="12"/>
      <c r="J16607" s="12"/>
      <c r="K16607" s="12"/>
      <c r="L16607" s="12"/>
      <c r="M16607" s="11"/>
      <c r="N16607" s="11"/>
      <c r="O16607" s="11"/>
      <c r="P16607" s="11"/>
    </row>
    <row r="16608" spans="8:16" x14ac:dyDescent="0.25">
      <c r="H16608" s="12"/>
      <c r="I16608" s="12"/>
      <c r="J16608" s="12"/>
      <c r="K16608" s="12"/>
      <c r="L16608" s="12"/>
      <c r="M16608" s="11"/>
      <c r="N16608" s="11"/>
      <c r="O16608" s="11"/>
      <c r="P16608" s="11"/>
    </row>
    <row r="16609" spans="8:16" x14ac:dyDescent="0.25">
      <c r="H16609" s="12"/>
      <c r="I16609" s="12"/>
      <c r="J16609" s="12"/>
      <c r="K16609" s="12"/>
      <c r="L16609" s="12"/>
      <c r="M16609" s="11"/>
      <c r="N16609" s="11"/>
      <c r="O16609" s="11"/>
      <c r="P16609" s="11"/>
    </row>
    <row r="16610" spans="8:16" x14ac:dyDescent="0.25">
      <c r="H16610" s="12"/>
      <c r="I16610" s="12"/>
      <c r="J16610" s="12"/>
      <c r="K16610" s="12"/>
      <c r="L16610" s="12"/>
      <c r="M16610" s="11"/>
      <c r="N16610" s="11"/>
      <c r="O16610" s="11"/>
      <c r="P16610" s="11"/>
    </row>
    <row r="16611" spans="8:16" x14ac:dyDescent="0.25">
      <c r="H16611" s="12"/>
      <c r="I16611" s="12"/>
      <c r="J16611" s="12"/>
      <c r="K16611" s="12"/>
      <c r="L16611" s="12"/>
      <c r="M16611" s="11"/>
      <c r="N16611" s="11"/>
      <c r="O16611" s="11"/>
      <c r="P16611" s="11"/>
    </row>
    <row r="16612" spans="8:16" x14ac:dyDescent="0.25">
      <c r="H16612" s="12"/>
      <c r="I16612" s="12"/>
      <c r="J16612" s="12"/>
      <c r="K16612" s="12"/>
      <c r="L16612" s="12"/>
      <c r="M16612" s="11"/>
      <c r="N16612" s="11"/>
      <c r="O16612" s="11"/>
      <c r="P16612" s="11"/>
    </row>
    <row r="16613" spans="8:16" x14ac:dyDescent="0.25">
      <c r="H16613" s="12"/>
      <c r="I16613" s="12"/>
      <c r="J16613" s="12"/>
      <c r="K16613" s="12"/>
      <c r="L16613" s="12"/>
      <c r="M16613" s="11"/>
      <c r="N16613" s="11"/>
      <c r="O16613" s="11"/>
      <c r="P16613" s="11"/>
    </row>
    <row r="16614" spans="8:16" x14ac:dyDescent="0.25">
      <c r="H16614" s="12"/>
      <c r="I16614" s="12"/>
      <c r="J16614" s="12"/>
      <c r="K16614" s="12"/>
      <c r="L16614" s="12"/>
      <c r="M16614" s="11"/>
      <c r="N16614" s="11"/>
      <c r="O16614" s="11"/>
      <c r="P16614" s="11"/>
    </row>
    <row r="16615" spans="8:16" x14ac:dyDescent="0.25">
      <c r="H16615" s="12"/>
      <c r="I16615" s="12"/>
      <c r="J16615" s="12"/>
      <c r="K16615" s="12"/>
      <c r="L16615" s="12"/>
      <c r="M16615" s="11"/>
      <c r="N16615" s="11"/>
      <c r="O16615" s="11"/>
      <c r="P16615" s="11"/>
    </row>
    <row r="16616" spans="8:16" x14ac:dyDescent="0.25">
      <c r="H16616" s="12"/>
      <c r="I16616" s="12"/>
      <c r="J16616" s="12"/>
      <c r="K16616" s="12"/>
      <c r="L16616" s="12"/>
      <c r="M16616" s="11"/>
      <c r="N16616" s="11"/>
      <c r="O16616" s="11"/>
      <c r="P16616" s="11"/>
    </row>
    <row r="16617" spans="8:16" x14ac:dyDescent="0.25">
      <c r="H16617" s="12"/>
      <c r="I16617" s="12"/>
      <c r="J16617" s="12"/>
      <c r="K16617" s="12"/>
      <c r="L16617" s="12"/>
      <c r="M16617" s="11"/>
      <c r="N16617" s="11"/>
      <c r="O16617" s="11"/>
      <c r="P16617" s="11"/>
    </row>
    <row r="16618" spans="8:16" x14ac:dyDescent="0.25">
      <c r="H16618" s="12"/>
      <c r="I16618" s="12"/>
      <c r="J16618" s="12"/>
      <c r="K16618" s="12"/>
      <c r="L16618" s="12"/>
      <c r="M16618" s="11"/>
      <c r="N16618" s="11"/>
      <c r="O16618" s="11"/>
      <c r="P16618" s="11"/>
    </row>
    <row r="16619" spans="8:16" x14ac:dyDescent="0.25">
      <c r="H16619" s="12"/>
      <c r="I16619" s="12"/>
      <c r="J16619" s="12"/>
      <c r="K16619" s="12"/>
      <c r="L16619" s="12"/>
      <c r="M16619" s="11"/>
      <c r="N16619" s="11"/>
      <c r="O16619" s="11"/>
      <c r="P16619" s="11"/>
    </row>
    <row r="16620" spans="8:16" x14ac:dyDescent="0.25">
      <c r="H16620" s="12"/>
      <c r="I16620" s="12"/>
      <c r="J16620" s="12"/>
      <c r="K16620" s="12"/>
      <c r="L16620" s="12"/>
      <c r="M16620" s="11"/>
      <c r="N16620" s="11"/>
      <c r="O16620" s="11"/>
      <c r="P16620" s="11"/>
    </row>
    <row r="16621" spans="8:16" x14ac:dyDescent="0.25">
      <c r="H16621" s="12"/>
      <c r="I16621" s="12"/>
      <c r="J16621" s="12"/>
      <c r="K16621" s="12"/>
      <c r="L16621" s="12"/>
      <c r="M16621" s="11"/>
      <c r="N16621" s="11"/>
      <c r="O16621" s="11"/>
      <c r="P16621" s="11"/>
    </row>
    <row r="16622" spans="8:16" x14ac:dyDescent="0.25">
      <c r="H16622" s="12"/>
      <c r="I16622" s="12"/>
      <c r="J16622" s="12"/>
      <c r="K16622" s="12"/>
      <c r="L16622" s="12"/>
      <c r="M16622" s="11"/>
      <c r="N16622" s="11"/>
      <c r="O16622" s="11"/>
      <c r="P16622" s="11"/>
    </row>
    <row r="16623" spans="8:16" x14ac:dyDescent="0.25">
      <c r="H16623" s="12"/>
      <c r="I16623" s="12"/>
      <c r="J16623" s="12"/>
      <c r="K16623" s="12"/>
      <c r="L16623" s="12"/>
      <c r="M16623" s="11"/>
      <c r="N16623" s="11"/>
      <c r="O16623" s="11"/>
      <c r="P16623" s="11"/>
    </row>
    <row r="16624" spans="8:16" x14ac:dyDescent="0.25">
      <c r="H16624" s="12"/>
      <c r="I16624" s="12"/>
      <c r="J16624" s="12"/>
      <c r="K16624" s="12"/>
      <c r="L16624" s="12"/>
      <c r="M16624" s="11"/>
      <c r="N16624" s="11"/>
      <c r="O16624" s="11"/>
      <c r="P16624" s="11"/>
    </row>
    <row r="16625" spans="8:16" x14ac:dyDescent="0.25">
      <c r="H16625" s="12"/>
      <c r="I16625" s="12"/>
      <c r="J16625" s="12"/>
      <c r="K16625" s="12"/>
      <c r="L16625" s="12"/>
      <c r="M16625" s="11"/>
      <c r="N16625" s="11"/>
      <c r="O16625" s="11"/>
      <c r="P16625" s="11"/>
    </row>
    <row r="16626" spans="8:16" x14ac:dyDescent="0.25">
      <c r="H16626" s="12"/>
      <c r="I16626" s="12"/>
      <c r="J16626" s="12"/>
      <c r="K16626" s="12"/>
      <c r="L16626" s="12"/>
      <c r="M16626" s="11"/>
      <c r="N16626" s="11"/>
      <c r="O16626" s="11"/>
      <c r="P16626" s="11"/>
    </row>
    <row r="16627" spans="8:16" x14ac:dyDescent="0.25">
      <c r="H16627" s="12"/>
      <c r="I16627" s="12"/>
      <c r="J16627" s="12"/>
      <c r="K16627" s="12"/>
      <c r="L16627" s="12"/>
      <c r="M16627" s="11"/>
      <c r="N16627" s="11"/>
      <c r="O16627" s="11"/>
      <c r="P16627" s="11"/>
    </row>
    <row r="16628" spans="8:16" x14ac:dyDescent="0.25">
      <c r="H16628" s="12"/>
      <c r="I16628" s="12"/>
      <c r="J16628" s="12"/>
      <c r="K16628" s="12"/>
      <c r="L16628" s="12"/>
      <c r="M16628" s="11"/>
      <c r="N16628" s="11"/>
      <c r="O16628" s="11"/>
      <c r="P16628" s="11"/>
    </row>
    <row r="16629" spans="8:16" x14ac:dyDescent="0.25">
      <c r="H16629" s="12"/>
      <c r="I16629" s="12"/>
      <c r="J16629" s="12"/>
      <c r="K16629" s="12"/>
      <c r="L16629" s="12"/>
      <c r="M16629" s="11"/>
      <c r="N16629" s="11"/>
      <c r="O16629" s="11"/>
      <c r="P16629" s="11"/>
    </row>
    <row r="16630" spans="8:16" x14ac:dyDescent="0.25">
      <c r="H16630" s="12"/>
      <c r="I16630" s="12"/>
      <c r="J16630" s="12"/>
      <c r="K16630" s="12"/>
      <c r="L16630" s="12"/>
      <c r="M16630" s="11"/>
      <c r="N16630" s="11"/>
      <c r="O16630" s="11"/>
      <c r="P16630" s="11"/>
    </row>
    <row r="16631" spans="8:16" x14ac:dyDescent="0.25">
      <c r="H16631" s="12"/>
      <c r="I16631" s="12"/>
      <c r="J16631" s="12"/>
      <c r="K16631" s="12"/>
      <c r="L16631" s="12"/>
      <c r="M16631" s="11"/>
      <c r="N16631" s="11"/>
      <c r="O16631" s="11"/>
      <c r="P16631" s="11"/>
    </row>
    <row r="16632" spans="8:16" x14ac:dyDescent="0.25">
      <c r="H16632" s="12"/>
      <c r="I16632" s="12"/>
      <c r="J16632" s="12"/>
      <c r="K16632" s="12"/>
      <c r="L16632" s="12"/>
      <c r="M16632" s="11"/>
      <c r="N16632" s="11"/>
      <c r="O16632" s="11"/>
      <c r="P16632" s="11"/>
    </row>
    <row r="16633" spans="8:16" x14ac:dyDescent="0.25">
      <c r="H16633" s="12"/>
      <c r="I16633" s="12"/>
      <c r="J16633" s="12"/>
      <c r="K16633" s="12"/>
      <c r="L16633" s="12"/>
      <c r="M16633" s="11"/>
      <c r="N16633" s="11"/>
      <c r="O16633" s="11"/>
      <c r="P16633" s="11"/>
    </row>
    <row r="16634" spans="8:16" x14ac:dyDescent="0.25">
      <c r="H16634" s="12"/>
      <c r="I16634" s="12"/>
      <c r="J16634" s="12"/>
      <c r="K16634" s="12"/>
      <c r="L16634" s="12"/>
      <c r="M16634" s="11"/>
      <c r="N16634" s="11"/>
      <c r="O16634" s="11"/>
      <c r="P16634" s="11"/>
    </row>
    <row r="16635" spans="8:16" x14ac:dyDescent="0.25">
      <c r="H16635" s="12"/>
      <c r="I16635" s="12"/>
      <c r="J16635" s="12"/>
      <c r="K16635" s="12"/>
      <c r="L16635" s="12"/>
      <c r="M16635" s="11"/>
      <c r="N16635" s="11"/>
      <c r="O16635" s="11"/>
      <c r="P16635" s="11"/>
    </row>
    <row r="16636" spans="8:16" x14ac:dyDescent="0.25">
      <c r="H16636" s="12"/>
      <c r="I16636" s="12"/>
      <c r="J16636" s="12"/>
      <c r="K16636" s="12"/>
      <c r="L16636" s="12"/>
      <c r="M16636" s="11"/>
      <c r="N16636" s="11"/>
      <c r="O16636" s="11"/>
      <c r="P16636" s="11"/>
    </row>
    <row r="16637" spans="8:16" x14ac:dyDescent="0.25">
      <c r="H16637" s="12"/>
      <c r="I16637" s="12"/>
      <c r="J16637" s="12"/>
      <c r="K16637" s="12"/>
      <c r="L16637" s="12"/>
      <c r="M16637" s="11"/>
      <c r="N16637" s="11"/>
      <c r="O16637" s="11"/>
      <c r="P16637" s="11"/>
    </row>
    <row r="16638" spans="8:16" x14ac:dyDescent="0.25">
      <c r="H16638" s="12"/>
      <c r="I16638" s="12"/>
      <c r="J16638" s="12"/>
      <c r="K16638" s="12"/>
      <c r="L16638" s="12"/>
      <c r="M16638" s="11"/>
      <c r="N16638" s="11"/>
      <c r="O16638" s="11"/>
      <c r="P16638" s="11"/>
    </row>
    <row r="16639" spans="8:16" x14ac:dyDescent="0.25">
      <c r="H16639" s="12"/>
      <c r="I16639" s="12"/>
      <c r="J16639" s="12"/>
      <c r="K16639" s="12"/>
      <c r="L16639" s="12"/>
      <c r="M16639" s="11"/>
      <c r="N16639" s="11"/>
      <c r="O16639" s="11"/>
      <c r="P16639" s="11"/>
    </row>
    <row r="16640" spans="8:16" x14ac:dyDescent="0.25">
      <c r="H16640" s="12"/>
      <c r="I16640" s="12"/>
      <c r="J16640" s="12"/>
      <c r="K16640" s="12"/>
      <c r="L16640" s="12"/>
      <c r="M16640" s="11"/>
      <c r="N16640" s="11"/>
      <c r="O16640" s="11"/>
      <c r="P16640" s="11"/>
    </row>
    <row r="16641" spans="8:16" x14ac:dyDescent="0.25">
      <c r="H16641" s="12"/>
      <c r="I16641" s="12"/>
      <c r="J16641" s="12"/>
      <c r="K16641" s="12"/>
      <c r="L16641" s="12"/>
      <c r="M16641" s="11"/>
      <c r="N16641" s="11"/>
      <c r="O16641" s="11"/>
      <c r="P16641" s="11"/>
    </row>
    <row r="16642" spans="8:16" x14ac:dyDescent="0.25">
      <c r="H16642" s="12"/>
      <c r="I16642" s="12"/>
      <c r="J16642" s="12"/>
      <c r="K16642" s="12"/>
      <c r="L16642" s="12"/>
      <c r="M16642" s="11"/>
      <c r="N16642" s="11"/>
      <c r="O16642" s="11"/>
      <c r="P16642" s="11"/>
    </row>
    <row r="16643" spans="8:16" x14ac:dyDescent="0.25">
      <c r="H16643" s="12"/>
      <c r="I16643" s="12"/>
      <c r="J16643" s="12"/>
      <c r="K16643" s="12"/>
      <c r="L16643" s="12"/>
      <c r="M16643" s="11"/>
      <c r="N16643" s="11"/>
      <c r="O16643" s="11"/>
      <c r="P16643" s="11"/>
    </row>
    <row r="16644" spans="8:16" x14ac:dyDescent="0.25">
      <c r="H16644" s="12"/>
      <c r="I16644" s="12"/>
      <c r="J16644" s="12"/>
      <c r="K16644" s="12"/>
      <c r="L16644" s="12"/>
      <c r="M16644" s="11"/>
      <c r="N16644" s="11"/>
      <c r="O16644" s="11"/>
      <c r="P16644" s="11"/>
    </row>
    <row r="16645" spans="8:16" x14ac:dyDescent="0.25">
      <c r="H16645" s="12"/>
      <c r="I16645" s="12"/>
      <c r="J16645" s="12"/>
      <c r="K16645" s="12"/>
      <c r="L16645" s="12"/>
      <c r="M16645" s="11"/>
      <c r="N16645" s="11"/>
      <c r="O16645" s="11"/>
      <c r="P16645" s="11"/>
    </row>
    <row r="16646" spans="8:16" x14ac:dyDescent="0.25">
      <c r="H16646" s="12"/>
      <c r="I16646" s="12"/>
      <c r="J16646" s="12"/>
      <c r="K16646" s="12"/>
      <c r="L16646" s="12"/>
      <c r="M16646" s="11"/>
      <c r="N16646" s="11"/>
      <c r="O16646" s="11"/>
      <c r="P16646" s="11"/>
    </row>
    <row r="16647" spans="8:16" x14ac:dyDescent="0.25">
      <c r="H16647" s="12"/>
      <c r="I16647" s="12"/>
      <c r="J16647" s="12"/>
      <c r="K16647" s="12"/>
      <c r="L16647" s="12"/>
      <c r="M16647" s="11"/>
      <c r="N16647" s="11"/>
      <c r="O16647" s="11"/>
      <c r="P16647" s="11"/>
    </row>
    <row r="16648" spans="8:16" x14ac:dyDescent="0.25">
      <c r="H16648" s="12"/>
      <c r="I16648" s="12"/>
      <c r="J16648" s="12"/>
      <c r="K16648" s="12"/>
      <c r="L16648" s="12"/>
      <c r="M16648" s="11"/>
      <c r="N16648" s="11"/>
      <c r="O16648" s="11"/>
      <c r="P16648" s="11"/>
    </row>
    <row r="16649" spans="8:16" x14ac:dyDescent="0.25">
      <c r="H16649" s="12"/>
      <c r="I16649" s="12"/>
      <c r="J16649" s="12"/>
      <c r="K16649" s="12"/>
      <c r="L16649" s="12"/>
      <c r="M16649" s="11"/>
      <c r="N16649" s="11"/>
      <c r="O16649" s="11"/>
      <c r="P16649" s="11"/>
    </row>
    <row r="16650" spans="8:16" x14ac:dyDescent="0.25">
      <c r="H16650" s="12"/>
      <c r="I16650" s="12"/>
      <c r="J16650" s="12"/>
      <c r="K16650" s="12"/>
      <c r="L16650" s="12"/>
      <c r="M16650" s="11"/>
      <c r="N16650" s="11"/>
      <c r="O16650" s="11"/>
      <c r="P16650" s="11"/>
    </row>
    <row r="16651" spans="8:16" x14ac:dyDescent="0.25">
      <c r="H16651" s="12"/>
      <c r="I16651" s="12"/>
      <c r="J16651" s="12"/>
      <c r="K16651" s="12"/>
      <c r="L16651" s="12"/>
      <c r="M16651" s="11"/>
      <c r="N16651" s="11"/>
      <c r="O16651" s="11"/>
      <c r="P16651" s="11"/>
    </row>
    <row r="16652" spans="8:16" x14ac:dyDescent="0.25">
      <c r="H16652" s="12"/>
      <c r="I16652" s="12"/>
      <c r="J16652" s="12"/>
      <c r="K16652" s="12"/>
      <c r="L16652" s="12"/>
      <c r="M16652" s="11"/>
      <c r="N16652" s="11"/>
      <c r="O16652" s="11"/>
      <c r="P16652" s="11"/>
    </row>
    <row r="16653" spans="8:16" x14ac:dyDescent="0.25">
      <c r="H16653" s="12"/>
      <c r="I16653" s="12"/>
      <c r="J16653" s="12"/>
      <c r="K16653" s="12"/>
      <c r="L16653" s="12"/>
      <c r="M16653" s="11"/>
      <c r="N16653" s="11"/>
      <c r="O16653" s="11"/>
      <c r="P16653" s="11"/>
    </row>
    <row r="16654" spans="8:16" x14ac:dyDescent="0.25">
      <c r="H16654" s="12"/>
      <c r="I16654" s="12"/>
      <c r="J16654" s="12"/>
      <c r="K16654" s="12"/>
      <c r="L16654" s="12"/>
      <c r="M16654" s="11"/>
      <c r="N16654" s="11"/>
      <c r="O16654" s="11"/>
      <c r="P16654" s="11"/>
    </row>
    <row r="16655" spans="8:16" x14ac:dyDescent="0.25">
      <c r="H16655" s="12"/>
      <c r="I16655" s="12"/>
      <c r="J16655" s="12"/>
      <c r="K16655" s="12"/>
      <c r="L16655" s="12"/>
      <c r="M16655" s="11"/>
      <c r="N16655" s="11"/>
      <c r="O16655" s="11"/>
      <c r="P16655" s="11"/>
    </row>
    <row r="16656" spans="8:16" x14ac:dyDescent="0.25">
      <c r="H16656" s="12"/>
      <c r="I16656" s="12"/>
      <c r="J16656" s="12"/>
      <c r="K16656" s="12"/>
      <c r="L16656" s="12"/>
      <c r="M16656" s="11"/>
      <c r="N16656" s="11"/>
      <c r="O16656" s="11"/>
      <c r="P16656" s="11"/>
    </row>
    <row r="16657" spans="8:16" x14ac:dyDescent="0.25">
      <c r="H16657" s="12"/>
      <c r="I16657" s="12"/>
      <c r="J16657" s="12"/>
      <c r="K16657" s="12"/>
      <c r="L16657" s="12"/>
      <c r="M16657" s="11"/>
      <c r="N16657" s="11"/>
      <c r="O16657" s="11"/>
      <c r="P16657" s="11"/>
    </row>
    <row r="16658" spans="8:16" x14ac:dyDescent="0.25">
      <c r="H16658" s="12"/>
      <c r="I16658" s="12"/>
      <c r="J16658" s="12"/>
      <c r="K16658" s="12"/>
      <c r="L16658" s="12"/>
      <c r="M16658" s="11"/>
      <c r="N16658" s="11"/>
      <c r="O16658" s="11"/>
      <c r="P16658" s="11"/>
    </row>
    <row r="16659" spans="8:16" x14ac:dyDescent="0.25">
      <c r="H16659" s="12"/>
      <c r="I16659" s="12"/>
      <c r="J16659" s="12"/>
      <c r="K16659" s="12"/>
      <c r="L16659" s="12"/>
      <c r="M16659" s="11"/>
      <c r="N16659" s="11"/>
      <c r="O16659" s="11"/>
      <c r="P16659" s="11"/>
    </row>
    <row r="16660" spans="8:16" x14ac:dyDescent="0.25">
      <c r="H16660" s="12"/>
      <c r="I16660" s="12"/>
      <c r="J16660" s="12"/>
      <c r="K16660" s="12"/>
      <c r="L16660" s="12"/>
      <c r="M16660" s="11"/>
      <c r="N16660" s="11"/>
      <c r="O16660" s="11"/>
      <c r="P16660" s="11"/>
    </row>
    <row r="16661" spans="8:16" x14ac:dyDescent="0.25">
      <c r="H16661" s="12"/>
      <c r="I16661" s="12"/>
      <c r="J16661" s="12"/>
      <c r="K16661" s="12"/>
      <c r="L16661" s="12"/>
      <c r="M16661" s="11"/>
      <c r="N16661" s="11"/>
      <c r="O16661" s="11"/>
      <c r="P16661" s="11"/>
    </row>
    <row r="16662" spans="8:16" x14ac:dyDescent="0.25">
      <c r="H16662" s="12"/>
      <c r="I16662" s="12"/>
      <c r="J16662" s="12"/>
      <c r="K16662" s="12"/>
      <c r="L16662" s="12"/>
      <c r="M16662" s="11"/>
      <c r="N16662" s="11"/>
      <c r="O16662" s="11"/>
      <c r="P16662" s="11"/>
    </row>
    <row r="16663" spans="8:16" x14ac:dyDescent="0.25">
      <c r="H16663" s="12"/>
      <c r="I16663" s="12"/>
      <c r="J16663" s="12"/>
      <c r="K16663" s="12"/>
      <c r="L16663" s="12"/>
      <c r="M16663" s="11"/>
      <c r="N16663" s="11"/>
      <c r="O16663" s="11"/>
      <c r="P16663" s="11"/>
    </row>
    <row r="16664" spans="8:16" x14ac:dyDescent="0.25">
      <c r="H16664" s="12"/>
      <c r="I16664" s="12"/>
      <c r="J16664" s="12"/>
      <c r="K16664" s="12"/>
      <c r="L16664" s="12"/>
      <c r="M16664" s="11"/>
      <c r="N16664" s="11"/>
      <c r="O16664" s="11"/>
      <c r="P16664" s="11"/>
    </row>
    <row r="16665" spans="8:16" x14ac:dyDescent="0.25">
      <c r="H16665" s="12"/>
      <c r="I16665" s="12"/>
      <c r="J16665" s="12"/>
      <c r="K16665" s="12"/>
      <c r="L16665" s="12"/>
      <c r="M16665" s="11"/>
      <c r="N16665" s="11"/>
      <c r="O16665" s="11"/>
      <c r="P16665" s="11"/>
    </row>
    <row r="16666" spans="8:16" x14ac:dyDescent="0.25">
      <c r="H16666" s="12"/>
      <c r="I16666" s="12"/>
      <c r="J16666" s="12"/>
      <c r="K16666" s="12"/>
      <c r="L16666" s="12"/>
      <c r="M16666" s="11"/>
      <c r="N16666" s="11"/>
      <c r="O16666" s="11"/>
      <c r="P16666" s="11"/>
    </row>
    <row r="16667" spans="8:16" x14ac:dyDescent="0.25">
      <c r="H16667" s="12"/>
      <c r="I16667" s="12"/>
      <c r="J16667" s="12"/>
      <c r="K16667" s="12"/>
      <c r="L16667" s="12"/>
      <c r="M16667" s="11"/>
      <c r="N16667" s="11"/>
      <c r="O16667" s="11"/>
      <c r="P16667" s="11"/>
    </row>
    <row r="16668" spans="8:16" x14ac:dyDescent="0.25">
      <c r="H16668" s="12"/>
      <c r="I16668" s="12"/>
      <c r="J16668" s="12"/>
      <c r="K16668" s="12"/>
      <c r="L16668" s="12"/>
      <c r="M16668" s="11"/>
      <c r="N16668" s="11"/>
      <c r="O16668" s="11"/>
      <c r="P16668" s="11"/>
    </row>
    <row r="16669" spans="8:16" x14ac:dyDescent="0.25">
      <c r="H16669" s="12"/>
      <c r="I16669" s="12"/>
      <c r="J16669" s="12"/>
      <c r="K16669" s="12"/>
      <c r="L16669" s="12"/>
      <c r="M16669" s="11"/>
      <c r="N16669" s="11"/>
      <c r="O16669" s="11"/>
      <c r="P16669" s="11"/>
    </row>
    <row r="16670" spans="8:16" x14ac:dyDescent="0.25">
      <c r="H16670" s="12"/>
      <c r="I16670" s="12"/>
      <c r="J16670" s="12"/>
      <c r="K16670" s="12"/>
      <c r="L16670" s="12"/>
      <c r="M16670" s="11"/>
      <c r="N16670" s="11"/>
      <c r="O16670" s="11"/>
      <c r="P16670" s="11"/>
    </row>
    <row r="16671" spans="8:16" x14ac:dyDescent="0.25">
      <c r="H16671" s="12"/>
      <c r="I16671" s="12"/>
      <c r="J16671" s="12"/>
      <c r="K16671" s="12"/>
      <c r="L16671" s="12"/>
      <c r="M16671" s="11"/>
      <c r="N16671" s="11"/>
      <c r="O16671" s="11"/>
      <c r="P16671" s="11"/>
    </row>
    <row r="16672" spans="8:16" x14ac:dyDescent="0.25">
      <c r="H16672" s="12"/>
      <c r="I16672" s="12"/>
      <c r="J16672" s="12"/>
      <c r="K16672" s="12"/>
      <c r="L16672" s="12"/>
      <c r="M16672" s="11"/>
      <c r="N16672" s="11"/>
      <c r="O16672" s="11"/>
      <c r="P16672" s="11"/>
    </row>
    <row r="16673" spans="8:16" x14ac:dyDescent="0.25">
      <c r="H16673" s="12"/>
      <c r="I16673" s="12"/>
      <c r="J16673" s="12"/>
      <c r="K16673" s="12"/>
      <c r="L16673" s="12"/>
      <c r="M16673" s="11"/>
      <c r="N16673" s="11"/>
      <c r="O16673" s="11"/>
      <c r="P16673" s="11"/>
    </row>
    <row r="16674" spans="8:16" x14ac:dyDescent="0.25">
      <c r="H16674" s="12"/>
      <c r="I16674" s="12"/>
      <c r="J16674" s="12"/>
      <c r="K16674" s="12"/>
      <c r="L16674" s="12"/>
      <c r="M16674" s="11"/>
      <c r="N16674" s="11"/>
      <c r="O16674" s="11"/>
      <c r="P16674" s="11"/>
    </row>
    <row r="16675" spans="8:16" x14ac:dyDescent="0.25">
      <c r="H16675" s="12"/>
      <c r="I16675" s="12"/>
      <c r="J16675" s="12"/>
      <c r="K16675" s="12"/>
      <c r="L16675" s="12"/>
      <c r="M16675" s="11"/>
      <c r="N16675" s="11"/>
      <c r="O16675" s="11"/>
      <c r="P16675" s="11"/>
    </row>
    <row r="16676" spans="8:16" x14ac:dyDescent="0.25">
      <c r="H16676" s="12"/>
      <c r="I16676" s="12"/>
      <c r="J16676" s="12"/>
      <c r="K16676" s="12"/>
      <c r="L16676" s="12"/>
      <c r="M16676" s="11"/>
      <c r="N16676" s="11"/>
      <c r="O16676" s="11"/>
      <c r="P16676" s="11"/>
    </row>
    <row r="16677" spans="8:16" x14ac:dyDescent="0.25">
      <c r="H16677" s="12"/>
      <c r="I16677" s="12"/>
      <c r="J16677" s="12"/>
      <c r="K16677" s="12"/>
      <c r="L16677" s="12"/>
      <c r="M16677" s="11"/>
      <c r="N16677" s="11"/>
      <c r="O16677" s="11"/>
      <c r="P16677" s="11"/>
    </row>
    <row r="16678" spans="8:16" x14ac:dyDescent="0.25">
      <c r="H16678" s="12"/>
      <c r="I16678" s="12"/>
      <c r="J16678" s="12"/>
      <c r="K16678" s="12"/>
      <c r="L16678" s="12"/>
      <c r="M16678" s="11"/>
      <c r="N16678" s="11"/>
      <c r="O16678" s="11"/>
      <c r="P16678" s="11"/>
    </row>
    <row r="16679" spans="8:16" x14ac:dyDescent="0.25">
      <c r="H16679" s="12"/>
      <c r="I16679" s="12"/>
      <c r="J16679" s="12"/>
      <c r="K16679" s="12"/>
      <c r="L16679" s="12"/>
      <c r="M16679" s="11"/>
      <c r="N16679" s="11"/>
      <c r="O16679" s="11"/>
      <c r="P16679" s="11"/>
    </row>
    <row r="16680" spans="8:16" x14ac:dyDescent="0.25">
      <c r="H16680" s="12"/>
      <c r="I16680" s="12"/>
      <c r="J16680" s="12"/>
      <c r="K16680" s="12"/>
      <c r="L16680" s="12"/>
      <c r="M16680" s="11"/>
      <c r="N16680" s="11"/>
      <c r="O16680" s="11"/>
      <c r="P16680" s="11"/>
    </row>
    <row r="16681" spans="8:16" x14ac:dyDescent="0.25">
      <c r="H16681" s="12"/>
      <c r="I16681" s="12"/>
      <c r="J16681" s="12"/>
      <c r="K16681" s="12"/>
      <c r="L16681" s="12"/>
      <c r="M16681" s="11"/>
      <c r="N16681" s="11"/>
      <c r="O16681" s="11"/>
      <c r="P16681" s="11"/>
    </row>
    <row r="16682" spans="8:16" x14ac:dyDescent="0.25">
      <c r="H16682" s="12"/>
      <c r="I16682" s="12"/>
      <c r="J16682" s="12"/>
      <c r="K16682" s="12"/>
      <c r="L16682" s="12"/>
      <c r="M16682" s="11"/>
      <c r="N16682" s="11"/>
      <c r="O16682" s="11"/>
      <c r="P16682" s="11"/>
    </row>
    <row r="16683" spans="8:16" x14ac:dyDescent="0.25">
      <c r="H16683" s="12"/>
      <c r="I16683" s="12"/>
      <c r="J16683" s="12"/>
      <c r="K16683" s="12"/>
      <c r="L16683" s="12"/>
      <c r="M16683" s="11"/>
      <c r="N16683" s="11"/>
      <c r="O16683" s="11"/>
      <c r="P16683" s="11"/>
    </row>
    <row r="16684" spans="8:16" x14ac:dyDescent="0.25">
      <c r="H16684" s="12"/>
      <c r="I16684" s="12"/>
      <c r="J16684" s="12"/>
      <c r="K16684" s="12"/>
      <c r="L16684" s="12"/>
      <c r="M16684" s="11"/>
      <c r="N16684" s="11"/>
      <c r="O16684" s="11"/>
      <c r="P16684" s="11"/>
    </row>
    <row r="16685" spans="8:16" x14ac:dyDescent="0.25">
      <c r="H16685" s="12"/>
      <c r="I16685" s="12"/>
      <c r="J16685" s="12"/>
      <c r="K16685" s="12"/>
      <c r="L16685" s="12"/>
      <c r="M16685" s="11"/>
      <c r="N16685" s="11"/>
      <c r="O16685" s="11"/>
      <c r="P16685" s="11"/>
    </row>
    <row r="16686" spans="8:16" x14ac:dyDescent="0.25">
      <c r="H16686" s="12"/>
      <c r="I16686" s="12"/>
      <c r="J16686" s="12"/>
      <c r="K16686" s="12"/>
      <c r="L16686" s="12"/>
      <c r="M16686" s="11"/>
      <c r="N16686" s="11"/>
      <c r="O16686" s="11"/>
      <c r="P16686" s="11"/>
    </row>
    <row r="16687" spans="8:16" x14ac:dyDescent="0.25">
      <c r="H16687" s="12"/>
      <c r="I16687" s="12"/>
      <c r="J16687" s="12"/>
      <c r="K16687" s="12"/>
      <c r="L16687" s="12"/>
      <c r="M16687" s="11"/>
      <c r="N16687" s="11"/>
      <c r="O16687" s="11"/>
      <c r="P16687" s="11"/>
    </row>
    <row r="16688" spans="8:16" x14ac:dyDescent="0.25">
      <c r="H16688" s="12"/>
      <c r="I16688" s="12"/>
      <c r="J16688" s="12"/>
      <c r="K16688" s="12"/>
      <c r="L16688" s="12"/>
      <c r="M16688" s="11"/>
      <c r="N16688" s="11"/>
      <c r="O16688" s="11"/>
      <c r="P16688" s="11"/>
    </row>
    <row r="16689" spans="8:16" x14ac:dyDescent="0.25">
      <c r="H16689" s="12"/>
      <c r="I16689" s="12"/>
      <c r="J16689" s="12"/>
      <c r="K16689" s="12"/>
      <c r="L16689" s="12"/>
      <c r="M16689" s="11"/>
      <c r="N16689" s="11"/>
      <c r="O16689" s="11"/>
      <c r="P16689" s="11"/>
    </row>
    <row r="16690" spans="8:16" x14ac:dyDescent="0.25">
      <c r="H16690" s="12"/>
      <c r="I16690" s="12"/>
      <c r="J16690" s="12"/>
      <c r="K16690" s="12"/>
      <c r="L16690" s="12"/>
      <c r="M16690" s="11"/>
      <c r="N16690" s="11"/>
      <c r="O16690" s="11"/>
      <c r="P16690" s="11"/>
    </row>
    <row r="16691" spans="8:16" x14ac:dyDescent="0.25">
      <c r="H16691" s="12"/>
      <c r="I16691" s="12"/>
      <c r="J16691" s="12"/>
      <c r="K16691" s="12"/>
      <c r="L16691" s="12"/>
      <c r="M16691" s="11"/>
      <c r="N16691" s="11"/>
      <c r="O16691" s="11"/>
      <c r="P16691" s="11"/>
    </row>
    <row r="16692" spans="8:16" x14ac:dyDescent="0.25">
      <c r="H16692" s="12"/>
      <c r="I16692" s="12"/>
      <c r="J16692" s="12"/>
      <c r="K16692" s="12"/>
      <c r="L16692" s="12"/>
      <c r="M16692" s="11"/>
      <c r="N16692" s="11"/>
      <c r="O16692" s="11"/>
      <c r="P16692" s="11"/>
    </row>
    <row r="16693" spans="8:16" x14ac:dyDescent="0.25">
      <c r="H16693" s="12"/>
      <c r="I16693" s="12"/>
      <c r="J16693" s="12"/>
      <c r="K16693" s="12"/>
      <c r="L16693" s="12"/>
      <c r="M16693" s="11"/>
      <c r="N16693" s="11"/>
      <c r="O16693" s="11"/>
      <c r="P16693" s="11"/>
    </row>
    <row r="16694" spans="8:16" x14ac:dyDescent="0.25">
      <c r="H16694" s="12"/>
      <c r="I16694" s="12"/>
      <c r="J16694" s="12"/>
      <c r="K16694" s="12"/>
      <c r="L16694" s="12"/>
      <c r="M16694" s="11"/>
      <c r="N16694" s="11"/>
      <c r="O16694" s="11"/>
      <c r="P16694" s="11"/>
    </row>
    <row r="16695" spans="8:16" x14ac:dyDescent="0.25">
      <c r="H16695" s="12"/>
      <c r="I16695" s="12"/>
      <c r="J16695" s="12"/>
      <c r="K16695" s="12"/>
      <c r="L16695" s="12"/>
      <c r="M16695" s="11"/>
      <c r="N16695" s="11"/>
      <c r="O16695" s="11"/>
      <c r="P16695" s="11"/>
    </row>
    <row r="16696" spans="8:16" x14ac:dyDescent="0.25">
      <c r="H16696" s="12"/>
      <c r="I16696" s="12"/>
      <c r="J16696" s="12"/>
      <c r="K16696" s="12"/>
      <c r="L16696" s="12"/>
      <c r="M16696" s="11"/>
      <c r="N16696" s="11"/>
      <c r="O16696" s="11"/>
      <c r="P16696" s="11"/>
    </row>
    <row r="16697" spans="8:16" x14ac:dyDescent="0.25">
      <c r="H16697" s="12"/>
      <c r="I16697" s="12"/>
      <c r="J16697" s="12"/>
      <c r="K16697" s="12"/>
      <c r="L16697" s="12"/>
      <c r="M16697" s="11"/>
      <c r="N16697" s="11"/>
      <c r="O16697" s="11"/>
      <c r="P16697" s="11"/>
    </row>
    <row r="16698" spans="8:16" x14ac:dyDescent="0.25">
      <c r="H16698" s="12"/>
      <c r="I16698" s="12"/>
      <c r="J16698" s="12"/>
      <c r="K16698" s="12"/>
      <c r="L16698" s="12"/>
      <c r="M16698" s="11"/>
      <c r="N16698" s="11"/>
      <c r="O16698" s="11"/>
      <c r="P16698" s="11"/>
    </row>
    <row r="16699" spans="8:16" x14ac:dyDescent="0.25">
      <c r="H16699" s="12"/>
      <c r="I16699" s="12"/>
      <c r="J16699" s="12"/>
      <c r="K16699" s="12"/>
      <c r="L16699" s="12"/>
      <c r="M16699" s="11"/>
      <c r="N16699" s="11"/>
      <c r="O16699" s="11"/>
      <c r="P16699" s="11"/>
    </row>
    <row r="16700" spans="8:16" x14ac:dyDescent="0.25">
      <c r="H16700" s="12"/>
      <c r="I16700" s="12"/>
      <c r="J16700" s="12"/>
      <c r="K16700" s="12"/>
      <c r="L16700" s="12"/>
      <c r="M16700" s="11"/>
      <c r="N16700" s="11"/>
      <c r="O16700" s="11"/>
      <c r="P16700" s="11"/>
    </row>
    <row r="16701" spans="8:16" x14ac:dyDescent="0.25">
      <c r="H16701" s="12"/>
      <c r="I16701" s="12"/>
      <c r="J16701" s="12"/>
      <c r="K16701" s="12"/>
      <c r="L16701" s="12"/>
      <c r="M16701" s="11"/>
      <c r="N16701" s="11"/>
      <c r="O16701" s="11"/>
      <c r="P16701" s="11"/>
    </row>
    <row r="16702" spans="8:16" x14ac:dyDescent="0.25">
      <c r="H16702" s="12"/>
      <c r="I16702" s="12"/>
      <c r="J16702" s="12"/>
      <c r="K16702" s="12"/>
      <c r="L16702" s="12"/>
      <c r="M16702" s="11"/>
      <c r="N16702" s="11"/>
      <c r="O16702" s="11"/>
      <c r="P16702" s="11"/>
    </row>
    <row r="16703" spans="8:16" x14ac:dyDescent="0.25">
      <c r="H16703" s="12"/>
      <c r="I16703" s="12"/>
      <c r="J16703" s="12"/>
      <c r="K16703" s="12"/>
      <c r="L16703" s="12"/>
      <c r="M16703" s="11"/>
      <c r="N16703" s="11"/>
      <c r="O16703" s="11"/>
      <c r="P16703" s="11"/>
    </row>
    <row r="16704" spans="8:16" x14ac:dyDescent="0.25">
      <c r="H16704" s="12"/>
      <c r="I16704" s="12"/>
      <c r="J16704" s="12"/>
      <c r="K16704" s="12"/>
      <c r="L16704" s="12"/>
      <c r="M16704" s="11"/>
      <c r="N16704" s="11"/>
      <c r="O16704" s="11"/>
      <c r="P16704" s="11"/>
    </row>
    <row r="16705" spans="8:16" x14ac:dyDescent="0.25">
      <c r="H16705" s="12"/>
      <c r="I16705" s="12"/>
      <c r="J16705" s="12"/>
      <c r="K16705" s="12"/>
      <c r="L16705" s="12"/>
      <c r="M16705" s="11"/>
      <c r="N16705" s="11"/>
      <c r="O16705" s="11"/>
      <c r="P16705" s="11"/>
    </row>
    <row r="16706" spans="8:16" x14ac:dyDescent="0.25">
      <c r="H16706" s="12"/>
      <c r="I16706" s="12"/>
      <c r="J16706" s="12"/>
      <c r="K16706" s="12"/>
      <c r="L16706" s="12"/>
      <c r="M16706" s="11"/>
      <c r="N16706" s="11"/>
      <c r="O16706" s="11"/>
      <c r="P16706" s="11"/>
    </row>
    <row r="16707" spans="8:16" x14ac:dyDescent="0.25">
      <c r="H16707" s="12"/>
      <c r="I16707" s="12"/>
      <c r="J16707" s="12"/>
      <c r="K16707" s="12"/>
      <c r="L16707" s="12"/>
      <c r="M16707" s="11"/>
      <c r="N16707" s="11"/>
      <c r="O16707" s="11"/>
      <c r="P16707" s="11"/>
    </row>
    <row r="16708" spans="8:16" x14ac:dyDescent="0.25">
      <c r="H16708" s="12"/>
      <c r="I16708" s="12"/>
      <c r="J16708" s="12"/>
      <c r="K16708" s="12"/>
      <c r="L16708" s="12"/>
      <c r="M16708" s="11"/>
      <c r="N16708" s="11"/>
      <c r="O16708" s="11"/>
      <c r="P16708" s="11"/>
    </row>
    <row r="16709" spans="8:16" x14ac:dyDescent="0.25">
      <c r="H16709" s="12"/>
      <c r="I16709" s="12"/>
      <c r="J16709" s="12"/>
      <c r="K16709" s="12"/>
      <c r="L16709" s="12"/>
      <c r="M16709" s="11"/>
      <c r="N16709" s="11"/>
      <c r="O16709" s="11"/>
      <c r="P16709" s="11"/>
    </row>
    <row r="16710" spans="8:16" x14ac:dyDescent="0.25">
      <c r="H16710" s="12"/>
      <c r="I16710" s="12"/>
      <c r="J16710" s="12"/>
      <c r="K16710" s="12"/>
      <c r="L16710" s="12"/>
      <c r="M16710" s="11"/>
      <c r="N16710" s="11"/>
      <c r="O16710" s="11"/>
      <c r="P16710" s="11"/>
    </row>
    <row r="16711" spans="8:16" x14ac:dyDescent="0.25">
      <c r="H16711" s="12"/>
      <c r="I16711" s="12"/>
      <c r="J16711" s="12"/>
      <c r="K16711" s="12"/>
      <c r="L16711" s="12"/>
      <c r="M16711" s="11"/>
      <c r="N16711" s="11"/>
      <c r="O16711" s="11"/>
      <c r="P16711" s="11"/>
    </row>
    <row r="16712" spans="8:16" x14ac:dyDescent="0.25">
      <c r="H16712" s="12"/>
      <c r="I16712" s="12"/>
      <c r="J16712" s="12"/>
      <c r="K16712" s="12"/>
      <c r="L16712" s="12"/>
      <c r="M16712" s="11"/>
      <c r="N16712" s="11"/>
      <c r="O16712" s="11"/>
      <c r="P16712" s="11"/>
    </row>
    <row r="16713" spans="8:16" x14ac:dyDescent="0.25">
      <c r="H16713" s="12"/>
      <c r="I16713" s="12"/>
      <c r="J16713" s="12"/>
      <c r="K16713" s="12"/>
      <c r="L16713" s="12"/>
      <c r="M16713" s="11"/>
      <c r="N16713" s="11"/>
      <c r="O16713" s="11"/>
      <c r="P16713" s="11"/>
    </row>
    <row r="16714" spans="8:16" x14ac:dyDescent="0.25">
      <c r="H16714" s="12"/>
      <c r="I16714" s="12"/>
      <c r="J16714" s="12"/>
      <c r="K16714" s="12"/>
      <c r="L16714" s="12"/>
      <c r="M16714" s="11"/>
      <c r="N16714" s="11"/>
      <c r="O16714" s="11"/>
      <c r="P16714" s="11"/>
    </row>
    <row r="16715" spans="8:16" x14ac:dyDescent="0.25">
      <c r="H16715" s="12"/>
      <c r="I16715" s="12"/>
      <c r="J16715" s="12"/>
      <c r="K16715" s="12"/>
      <c r="L16715" s="12"/>
      <c r="M16715" s="11"/>
      <c r="N16715" s="11"/>
      <c r="O16715" s="11"/>
      <c r="P16715" s="11"/>
    </row>
    <row r="16716" spans="8:16" x14ac:dyDescent="0.25">
      <c r="H16716" s="12"/>
      <c r="I16716" s="12"/>
      <c r="J16716" s="12"/>
      <c r="K16716" s="12"/>
      <c r="L16716" s="12"/>
      <c r="M16716" s="11"/>
      <c r="N16716" s="11"/>
      <c r="O16716" s="11"/>
      <c r="P16716" s="11"/>
    </row>
    <row r="16717" spans="8:16" x14ac:dyDescent="0.25">
      <c r="H16717" s="12"/>
      <c r="I16717" s="12"/>
      <c r="J16717" s="12"/>
      <c r="K16717" s="12"/>
      <c r="L16717" s="12"/>
      <c r="M16717" s="11"/>
      <c r="N16717" s="11"/>
      <c r="O16717" s="11"/>
      <c r="P16717" s="11"/>
    </row>
    <row r="16718" spans="8:16" x14ac:dyDescent="0.25">
      <c r="H16718" s="12"/>
      <c r="I16718" s="12"/>
      <c r="J16718" s="12"/>
      <c r="K16718" s="12"/>
      <c r="L16718" s="12"/>
      <c r="M16718" s="11"/>
      <c r="N16718" s="11"/>
      <c r="O16718" s="11"/>
      <c r="P16718" s="11"/>
    </row>
    <row r="16719" spans="8:16" x14ac:dyDescent="0.25">
      <c r="H16719" s="12"/>
      <c r="I16719" s="12"/>
      <c r="J16719" s="12"/>
      <c r="K16719" s="12"/>
      <c r="L16719" s="12"/>
      <c r="M16719" s="11"/>
      <c r="N16719" s="11"/>
      <c r="O16719" s="11"/>
      <c r="P16719" s="11"/>
    </row>
    <row r="16720" spans="8:16" x14ac:dyDescent="0.25">
      <c r="H16720" s="12"/>
      <c r="I16720" s="12"/>
      <c r="J16720" s="12"/>
      <c r="K16720" s="12"/>
      <c r="L16720" s="12"/>
      <c r="M16720" s="11"/>
      <c r="N16720" s="11"/>
      <c r="O16720" s="11"/>
      <c r="P16720" s="11"/>
    </row>
    <row r="16721" spans="8:16" x14ac:dyDescent="0.25">
      <c r="H16721" s="12"/>
      <c r="I16721" s="12"/>
      <c r="J16721" s="12"/>
      <c r="K16721" s="12"/>
      <c r="L16721" s="12"/>
      <c r="M16721" s="11"/>
      <c r="N16721" s="11"/>
      <c r="O16721" s="11"/>
      <c r="P16721" s="11"/>
    </row>
    <row r="16722" spans="8:16" x14ac:dyDescent="0.25">
      <c r="H16722" s="12"/>
      <c r="I16722" s="12"/>
      <c r="J16722" s="12"/>
      <c r="K16722" s="12"/>
      <c r="L16722" s="12"/>
      <c r="M16722" s="11"/>
      <c r="N16722" s="11"/>
      <c r="O16722" s="11"/>
      <c r="P16722" s="11"/>
    </row>
    <row r="16723" spans="8:16" x14ac:dyDescent="0.25">
      <c r="H16723" s="12"/>
      <c r="I16723" s="12"/>
      <c r="J16723" s="12"/>
      <c r="K16723" s="12"/>
      <c r="L16723" s="12"/>
      <c r="M16723" s="11"/>
      <c r="N16723" s="11"/>
      <c r="O16723" s="11"/>
      <c r="P16723" s="11"/>
    </row>
    <row r="16724" spans="8:16" x14ac:dyDescent="0.25">
      <c r="H16724" s="12"/>
      <c r="I16724" s="12"/>
      <c r="J16724" s="12"/>
      <c r="K16724" s="12"/>
      <c r="L16724" s="12"/>
      <c r="M16724" s="11"/>
      <c r="N16724" s="11"/>
      <c r="O16724" s="11"/>
      <c r="P16724" s="11"/>
    </row>
    <row r="16725" spans="8:16" x14ac:dyDescent="0.25">
      <c r="H16725" s="12"/>
      <c r="I16725" s="12"/>
      <c r="J16725" s="12"/>
      <c r="K16725" s="12"/>
      <c r="L16725" s="12"/>
      <c r="M16725" s="11"/>
      <c r="N16725" s="11"/>
      <c r="O16725" s="11"/>
      <c r="P16725" s="11"/>
    </row>
    <row r="16726" spans="8:16" x14ac:dyDescent="0.25">
      <c r="H16726" s="12"/>
      <c r="I16726" s="12"/>
      <c r="J16726" s="12"/>
      <c r="K16726" s="12"/>
      <c r="L16726" s="12"/>
      <c r="M16726" s="11"/>
      <c r="N16726" s="11"/>
      <c r="O16726" s="11"/>
      <c r="P16726" s="11"/>
    </row>
    <row r="16727" spans="8:16" x14ac:dyDescent="0.25">
      <c r="H16727" s="12"/>
      <c r="I16727" s="12"/>
      <c r="J16727" s="12"/>
      <c r="K16727" s="12"/>
      <c r="L16727" s="12"/>
      <c r="M16727" s="11"/>
      <c r="N16727" s="11"/>
      <c r="O16727" s="11"/>
      <c r="P16727" s="11"/>
    </row>
    <row r="16728" spans="8:16" x14ac:dyDescent="0.25">
      <c r="H16728" s="12"/>
      <c r="I16728" s="12"/>
      <c r="J16728" s="12"/>
      <c r="K16728" s="12"/>
      <c r="L16728" s="12"/>
      <c r="M16728" s="11"/>
      <c r="N16728" s="11"/>
      <c r="O16728" s="11"/>
      <c r="P16728" s="11"/>
    </row>
    <row r="16729" spans="8:16" x14ac:dyDescent="0.25">
      <c r="H16729" s="12"/>
      <c r="I16729" s="12"/>
      <c r="J16729" s="12"/>
      <c r="K16729" s="12"/>
      <c r="L16729" s="12"/>
      <c r="M16729" s="11"/>
      <c r="N16729" s="11"/>
      <c r="O16729" s="11"/>
      <c r="P16729" s="11"/>
    </row>
    <row r="16730" spans="8:16" x14ac:dyDescent="0.25">
      <c r="H16730" s="12"/>
      <c r="I16730" s="12"/>
      <c r="J16730" s="12"/>
      <c r="K16730" s="12"/>
      <c r="L16730" s="12"/>
      <c r="M16730" s="11"/>
      <c r="N16730" s="11"/>
      <c r="O16730" s="11"/>
      <c r="P16730" s="11"/>
    </row>
    <row r="16731" spans="8:16" x14ac:dyDescent="0.25">
      <c r="H16731" s="12"/>
      <c r="I16731" s="12"/>
      <c r="J16731" s="12"/>
      <c r="K16731" s="12"/>
      <c r="L16731" s="12"/>
      <c r="M16731" s="11"/>
      <c r="N16731" s="11"/>
      <c r="O16731" s="11"/>
      <c r="P16731" s="11"/>
    </row>
    <row r="16732" spans="8:16" x14ac:dyDescent="0.25">
      <c r="H16732" s="12"/>
      <c r="I16732" s="12"/>
      <c r="J16732" s="12"/>
      <c r="K16732" s="12"/>
      <c r="L16732" s="12"/>
      <c r="M16732" s="11"/>
      <c r="N16732" s="11"/>
      <c r="O16732" s="11"/>
      <c r="P16732" s="11"/>
    </row>
    <row r="16733" spans="8:16" x14ac:dyDescent="0.25">
      <c r="H16733" s="12"/>
      <c r="I16733" s="12"/>
      <c r="J16733" s="12"/>
      <c r="K16733" s="12"/>
      <c r="L16733" s="12"/>
      <c r="M16733" s="11"/>
      <c r="N16733" s="11"/>
      <c r="O16733" s="11"/>
      <c r="P16733" s="11"/>
    </row>
    <row r="16734" spans="8:16" x14ac:dyDescent="0.25">
      <c r="H16734" s="12"/>
      <c r="I16734" s="12"/>
      <c r="J16734" s="12"/>
      <c r="K16734" s="12"/>
      <c r="L16734" s="12"/>
      <c r="M16734" s="11"/>
      <c r="N16734" s="11"/>
      <c r="O16734" s="11"/>
      <c r="P16734" s="11"/>
    </row>
    <row r="16735" spans="8:16" x14ac:dyDescent="0.25">
      <c r="H16735" s="12"/>
      <c r="I16735" s="12"/>
      <c r="J16735" s="12"/>
      <c r="K16735" s="12"/>
      <c r="L16735" s="12"/>
      <c r="M16735" s="11"/>
      <c r="N16735" s="11"/>
      <c r="O16735" s="11"/>
      <c r="P16735" s="11"/>
    </row>
    <row r="16736" spans="8:16" x14ac:dyDescent="0.25">
      <c r="H16736" s="12"/>
      <c r="I16736" s="12"/>
      <c r="J16736" s="12"/>
      <c r="K16736" s="12"/>
      <c r="L16736" s="12"/>
      <c r="M16736" s="11"/>
      <c r="N16736" s="11"/>
      <c r="O16736" s="11"/>
      <c r="P16736" s="11"/>
    </row>
    <row r="16737" spans="8:16" x14ac:dyDescent="0.25">
      <c r="H16737" s="12"/>
      <c r="I16737" s="12"/>
      <c r="J16737" s="12"/>
      <c r="K16737" s="12"/>
      <c r="L16737" s="12"/>
      <c r="M16737" s="11"/>
      <c r="N16737" s="11"/>
      <c r="O16737" s="11"/>
      <c r="P16737" s="11"/>
    </row>
    <row r="16738" spans="8:16" x14ac:dyDescent="0.25">
      <c r="H16738" s="12"/>
      <c r="I16738" s="12"/>
      <c r="J16738" s="12"/>
      <c r="K16738" s="12"/>
      <c r="L16738" s="12"/>
      <c r="M16738" s="11"/>
      <c r="N16738" s="11"/>
      <c r="O16738" s="11"/>
      <c r="P16738" s="11"/>
    </row>
    <row r="16739" spans="8:16" x14ac:dyDescent="0.25">
      <c r="H16739" s="12"/>
      <c r="I16739" s="12"/>
      <c r="J16739" s="12"/>
      <c r="K16739" s="12"/>
      <c r="L16739" s="12"/>
      <c r="M16739" s="11"/>
      <c r="N16739" s="11"/>
      <c r="O16739" s="11"/>
      <c r="P16739" s="11"/>
    </row>
    <row r="16740" spans="8:16" x14ac:dyDescent="0.25">
      <c r="H16740" s="12"/>
      <c r="I16740" s="12"/>
      <c r="J16740" s="12"/>
      <c r="K16740" s="12"/>
      <c r="L16740" s="12"/>
      <c r="M16740" s="11"/>
      <c r="N16740" s="11"/>
      <c r="O16740" s="11"/>
      <c r="P16740" s="11"/>
    </row>
    <row r="16741" spans="8:16" x14ac:dyDescent="0.25">
      <c r="H16741" s="12"/>
      <c r="I16741" s="12"/>
      <c r="J16741" s="12"/>
      <c r="K16741" s="12"/>
      <c r="L16741" s="12"/>
      <c r="M16741" s="11"/>
      <c r="N16741" s="11"/>
      <c r="O16741" s="11"/>
      <c r="P16741" s="11"/>
    </row>
    <row r="16742" spans="8:16" x14ac:dyDescent="0.25">
      <c r="H16742" s="12"/>
      <c r="I16742" s="12"/>
      <c r="J16742" s="12"/>
      <c r="K16742" s="12"/>
      <c r="L16742" s="12"/>
      <c r="M16742" s="11"/>
      <c r="N16742" s="11"/>
      <c r="O16742" s="11"/>
      <c r="P16742" s="11"/>
    </row>
    <row r="16743" spans="8:16" x14ac:dyDescent="0.25">
      <c r="H16743" s="12"/>
      <c r="I16743" s="12"/>
      <c r="J16743" s="12"/>
      <c r="K16743" s="12"/>
      <c r="L16743" s="12"/>
      <c r="M16743" s="11"/>
      <c r="N16743" s="11"/>
      <c r="O16743" s="11"/>
      <c r="P16743" s="11"/>
    </row>
    <row r="16744" spans="8:16" x14ac:dyDescent="0.25">
      <c r="H16744" s="12"/>
      <c r="I16744" s="12"/>
      <c r="J16744" s="12"/>
      <c r="K16744" s="12"/>
      <c r="L16744" s="12"/>
      <c r="M16744" s="11"/>
      <c r="N16744" s="11"/>
      <c r="O16744" s="11"/>
      <c r="P16744" s="11"/>
    </row>
    <row r="16745" spans="8:16" x14ac:dyDescent="0.25">
      <c r="H16745" s="12"/>
      <c r="I16745" s="12"/>
      <c r="J16745" s="12"/>
      <c r="K16745" s="12"/>
      <c r="L16745" s="12"/>
      <c r="M16745" s="11"/>
      <c r="N16745" s="11"/>
      <c r="O16745" s="11"/>
      <c r="P16745" s="11"/>
    </row>
    <row r="16746" spans="8:16" x14ac:dyDescent="0.25">
      <c r="H16746" s="12"/>
      <c r="I16746" s="12"/>
      <c r="J16746" s="12"/>
      <c r="K16746" s="12"/>
      <c r="L16746" s="12"/>
      <c r="M16746" s="11"/>
      <c r="N16746" s="11"/>
      <c r="O16746" s="11"/>
      <c r="P16746" s="11"/>
    </row>
    <row r="16747" spans="8:16" x14ac:dyDescent="0.25">
      <c r="H16747" s="12"/>
      <c r="I16747" s="12"/>
      <c r="J16747" s="12"/>
      <c r="K16747" s="12"/>
      <c r="L16747" s="12"/>
      <c r="M16747" s="11"/>
      <c r="N16747" s="11"/>
      <c r="O16747" s="11"/>
      <c r="P16747" s="11"/>
    </row>
    <row r="16748" spans="8:16" x14ac:dyDescent="0.25">
      <c r="H16748" s="12"/>
      <c r="I16748" s="12"/>
      <c r="J16748" s="12"/>
      <c r="K16748" s="12"/>
      <c r="L16748" s="12"/>
      <c r="M16748" s="11"/>
      <c r="N16748" s="11"/>
      <c r="O16748" s="11"/>
      <c r="P16748" s="11"/>
    </row>
    <row r="16749" spans="8:16" x14ac:dyDescent="0.25">
      <c r="H16749" s="12"/>
      <c r="I16749" s="12"/>
      <c r="J16749" s="12"/>
      <c r="K16749" s="12"/>
      <c r="L16749" s="12"/>
      <c r="M16749" s="11"/>
      <c r="N16749" s="11"/>
      <c r="O16749" s="11"/>
      <c r="P16749" s="11"/>
    </row>
    <row r="16750" spans="8:16" x14ac:dyDescent="0.25">
      <c r="H16750" s="12"/>
      <c r="I16750" s="12"/>
      <c r="J16750" s="12"/>
      <c r="K16750" s="12"/>
      <c r="L16750" s="12"/>
      <c r="M16750" s="11"/>
      <c r="N16750" s="11"/>
      <c r="O16750" s="11"/>
      <c r="P16750" s="11"/>
    </row>
    <row r="16751" spans="8:16" x14ac:dyDescent="0.25">
      <c r="H16751" s="12"/>
      <c r="I16751" s="12"/>
      <c r="J16751" s="12"/>
      <c r="K16751" s="12"/>
      <c r="L16751" s="12"/>
      <c r="M16751" s="11"/>
      <c r="N16751" s="11"/>
      <c r="O16751" s="11"/>
      <c r="P16751" s="11"/>
    </row>
    <row r="16752" spans="8:16" x14ac:dyDescent="0.25">
      <c r="H16752" s="12"/>
      <c r="I16752" s="12"/>
      <c r="J16752" s="12"/>
      <c r="K16752" s="12"/>
      <c r="L16752" s="12"/>
      <c r="M16752" s="11"/>
      <c r="N16752" s="11"/>
      <c r="O16752" s="11"/>
      <c r="P16752" s="11"/>
    </row>
    <row r="16753" spans="8:16" x14ac:dyDescent="0.25">
      <c r="H16753" s="12"/>
      <c r="I16753" s="12"/>
      <c r="J16753" s="12"/>
      <c r="K16753" s="12"/>
      <c r="L16753" s="12"/>
      <c r="M16753" s="11"/>
      <c r="N16753" s="11"/>
      <c r="O16753" s="11"/>
      <c r="P16753" s="11"/>
    </row>
    <row r="16754" spans="8:16" x14ac:dyDescent="0.25">
      <c r="H16754" s="12"/>
      <c r="I16754" s="12"/>
      <c r="J16754" s="12"/>
      <c r="K16754" s="12"/>
      <c r="L16754" s="12"/>
      <c r="M16754" s="11"/>
      <c r="N16754" s="11"/>
      <c r="O16754" s="11"/>
      <c r="P16754" s="11"/>
    </row>
    <row r="16755" spans="8:16" x14ac:dyDescent="0.25">
      <c r="H16755" s="12"/>
      <c r="I16755" s="12"/>
      <c r="J16755" s="12"/>
      <c r="K16755" s="12"/>
      <c r="L16755" s="12"/>
      <c r="M16755" s="11"/>
      <c r="N16755" s="11"/>
      <c r="O16755" s="11"/>
      <c r="P16755" s="11"/>
    </row>
    <row r="16756" spans="8:16" x14ac:dyDescent="0.25">
      <c r="H16756" s="12"/>
      <c r="I16756" s="12"/>
      <c r="J16756" s="12"/>
      <c r="K16756" s="12"/>
      <c r="L16756" s="12"/>
      <c r="M16756" s="11"/>
      <c r="N16756" s="11"/>
      <c r="O16756" s="11"/>
      <c r="P16756" s="11"/>
    </row>
    <row r="16757" spans="8:16" x14ac:dyDescent="0.25">
      <c r="H16757" s="12"/>
      <c r="I16757" s="12"/>
      <c r="J16757" s="12"/>
      <c r="K16757" s="12"/>
      <c r="L16757" s="12"/>
      <c r="M16757" s="11"/>
      <c r="N16757" s="11"/>
      <c r="O16757" s="11"/>
      <c r="P16757" s="11"/>
    </row>
    <row r="16758" spans="8:16" x14ac:dyDescent="0.25">
      <c r="H16758" s="12"/>
      <c r="I16758" s="12"/>
      <c r="J16758" s="12"/>
      <c r="K16758" s="12"/>
      <c r="L16758" s="12"/>
      <c r="M16758" s="11"/>
      <c r="N16758" s="11"/>
      <c r="O16758" s="11"/>
      <c r="P16758" s="11"/>
    </row>
    <row r="16759" spans="8:16" x14ac:dyDescent="0.25">
      <c r="H16759" s="12"/>
      <c r="I16759" s="12"/>
      <c r="J16759" s="12"/>
      <c r="K16759" s="12"/>
      <c r="L16759" s="12"/>
      <c r="M16759" s="11"/>
      <c r="N16759" s="11"/>
      <c r="O16759" s="11"/>
      <c r="P16759" s="11"/>
    </row>
    <row r="16760" spans="8:16" x14ac:dyDescent="0.25">
      <c r="H16760" s="12"/>
      <c r="I16760" s="12"/>
      <c r="J16760" s="12"/>
      <c r="K16760" s="12"/>
      <c r="L16760" s="12"/>
      <c r="M16760" s="11"/>
      <c r="N16760" s="11"/>
      <c r="O16760" s="11"/>
      <c r="P16760" s="11"/>
    </row>
    <row r="16761" spans="8:16" x14ac:dyDescent="0.25">
      <c r="H16761" s="12"/>
      <c r="I16761" s="12"/>
      <c r="J16761" s="12"/>
      <c r="K16761" s="12"/>
      <c r="L16761" s="12"/>
      <c r="M16761" s="11"/>
      <c r="N16761" s="11"/>
      <c r="O16761" s="11"/>
      <c r="P16761" s="11"/>
    </row>
    <row r="16762" spans="8:16" x14ac:dyDescent="0.25">
      <c r="H16762" s="12"/>
      <c r="I16762" s="12"/>
      <c r="J16762" s="12"/>
      <c r="K16762" s="12"/>
      <c r="L16762" s="12"/>
      <c r="M16762" s="11"/>
      <c r="N16762" s="11"/>
      <c r="O16762" s="11"/>
      <c r="P16762" s="11"/>
    </row>
    <row r="16763" spans="8:16" x14ac:dyDescent="0.25">
      <c r="H16763" s="12"/>
      <c r="I16763" s="12"/>
      <c r="J16763" s="12"/>
      <c r="K16763" s="12"/>
      <c r="L16763" s="12"/>
      <c r="M16763" s="11"/>
      <c r="N16763" s="11"/>
      <c r="O16763" s="11"/>
      <c r="P16763" s="11"/>
    </row>
    <row r="16764" spans="8:16" x14ac:dyDescent="0.25">
      <c r="H16764" s="12"/>
      <c r="I16764" s="12"/>
      <c r="J16764" s="12"/>
      <c r="K16764" s="12"/>
      <c r="L16764" s="12"/>
      <c r="M16764" s="11"/>
      <c r="N16764" s="11"/>
      <c r="O16764" s="11"/>
      <c r="P16764" s="11"/>
    </row>
    <row r="16765" spans="8:16" x14ac:dyDescent="0.25">
      <c r="H16765" s="12"/>
      <c r="I16765" s="12"/>
      <c r="J16765" s="12"/>
      <c r="K16765" s="12"/>
      <c r="L16765" s="12"/>
      <c r="M16765" s="11"/>
      <c r="N16765" s="11"/>
      <c r="O16765" s="11"/>
      <c r="P16765" s="11"/>
    </row>
    <row r="16766" spans="8:16" x14ac:dyDescent="0.25">
      <c r="H16766" s="12"/>
      <c r="I16766" s="12"/>
      <c r="J16766" s="12"/>
      <c r="K16766" s="12"/>
      <c r="L16766" s="12"/>
      <c r="M16766" s="11"/>
      <c r="N16766" s="11"/>
      <c r="O16766" s="11"/>
      <c r="P16766" s="11"/>
    </row>
    <row r="16767" spans="8:16" x14ac:dyDescent="0.25">
      <c r="H16767" s="12"/>
      <c r="I16767" s="12"/>
      <c r="J16767" s="12"/>
      <c r="K16767" s="12"/>
      <c r="L16767" s="12"/>
      <c r="M16767" s="11"/>
      <c r="N16767" s="11"/>
      <c r="O16767" s="11"/>
      <c r="P16767" s="11"/>
    </row>
    <row r="16768" spans="8:16" x14ac:dyDescent="0.25">
      <c r="H16768" s="12"/>
      <c r="I16768" s="12"/>
      <c r="J16768" s="12"/>
      <c r="K16768" s="12"/>
      <c r="L16768" s="12"/>
      <c r="M16768" s="11"/>
      <c r="N16768" s="11"/>
      <c r="O16768" s="11"/>
      <c r="P16768" s="11"/>
    </row>
    <row r="16769" spans="8:16" x14ac:dyDescent="0.25">
      <c r="H16769" s="12"/>
      <c r="I16769" s="12"/>
      <c r="J16769" s="12"/>
      <c r="K16769" s="12"/>
      <c r="L16769" s="12"/>
      <c r="M16769" s="11"/>
      <c r="N16769" s="11"/>
      <c r="O16769" s="11"/>
      <c r="P16769" s="11"/>
    </row>
    <row r="16770" spans="8:16" x14ac:dyDescent="0.25">
      <c r="H16770" s="12"/>
      <c r="I16770" s="12"/>
      <c r="J16770" s="12"/>
      <c r="K16770" s="12"/>
      <c r="L16770" s="12"/>
      <c r="M16770" s="11"/>
      <c r="N16770" s="11"/>
      <c r="O16770" s="11"/>
      <c r="P16770" s="11"/>
    </row>
    <row r="16771" spans="8:16" x14ac:dyDescent="0.25">
      <c r="H16771" s="12"/>
      <c r="I16771" s="12"/>
      <c r="J16771" s="12"/>
      <c r="K16771" s="12"/>
      <c r="L16771" s="12"/>
      <c r="M16771" s="11"/>
      <c r="N16771" s="11"/>
      <c r="O16771" s="11"/>
      <c r="P16771" s="11"/>
    </row>
    <row r="16772" spans="8:16" x14ac:dyDescent="0.25">
      <c r="H16772" s="12"/>
      <c r="I16772" s="12"/>
      <c r="J16772" s="12"/>
      <c r="K16772" s="12"/>
      <c r="L16772" s="12"/>
      <c r="M16772" s="11"/>
      <c r="N16772" s="11"/>
      <c r="O16772" s="11"/>
      <c r="P16772" s="11"/>
    </row>
    <row r="16773" spans="8:16" x14ac:dyDescent="0.25">
      <c r="H16773" s="12"/>
      <c r="I16773" s="12"/>
      <c r="J16773" s="12"/>
      <c r="K16773" s="12"/>
      <c r="L16773" s="12"/>
      <c r="M16773" s="11"/>
      <c r="N16773" s="11"/>
      <c r="O16773" s="11"/>
      <c r="P16773" s="11"/>
    </row>
    <row r="16774" spans="8:16" x14ac:dyDescent="0.25">
      <c r="H16774" s="12"/>
      <c r="I16774" s="12"/>
      <c r="J16774" s="12"/>
      <c r="K16774" s="12"/>
      <c r="L16774" s="12"/>
      <c r="M16774" s="11"/>
      <c r="N16774" s="11"/>
      <c r="O16774" s="11"/>
      <c r="P16774" s="11"/>
    </row>
    <row r="16775" spans="8:16" x14ac:dyDescent="0.25">
      <c r="H16775" s="12"/>
      <c r="I16775" s="12"/>
      <c r="J16775" s="12"/>
      <c r="K16775" s="12"/>
      <c r="L16775" s="12"/>
      <c r="M16775" s="11"/>
      <c r="N16775" s="11"/>
      <c r="O16775" s="11"/>
      <c r="P16775" s="11"/>
    </row>
    <row r="16776" spans="8:16" x14ac:dyDescent="0.25">
      <c r="H16776" s="12"/>
      <c r="I16776" s="12"/>
      <c r="J16776" s="12"/>
      <c r="K16776" s="12"/>
      <c r="L16776" s="12"/>
      <c r="M16776" s="11"/>
      <c r="N16776" s="11"/>
      <c r="O16776" s="11"/>
      <c r="P16776" s="11"/>
    </row>
    <row r="16777" spans="8:16" x14ac:dyDescent="0.25">
      <c r="H16777" s="12"/>
      <c r="I16777" s="12"/>
      <c r="J16777" s="12"/>
      <c r="K16777" s="12"/>
      <c r="L16777" s="12"/>
      <c r="M16777" s="11"/>
      <c r="N16777" s="11"/>
      <c r="O16777" s="11"/>
      <c r="P16777" s="11"/>
    </row>
    <row r="16778" spans="8:16" x14ac:dyDescent="0.25">
      <c r="H16778" s="12"/>
      <c r="I16778" s="12"/>
      <c r="J16778" s="12"/>
      <c r="K16778" s="12"/>
      <c r="L16778" s="12"/>
      <c r="M16778" s="11"/>
      <c r="N16778" s="11"/>
      <c r="O16778" s="11"/>
      <c r="P16778" s="11"/>
    </row>
    <row r="16779" spans="8:16" x14ac:dyDescent="0.25">
      <c r="H16779" s="12"/>
      <c r="I16779" s="12"/>
      <c r="J16779" s="12"/>
      <c r="K16779" s="12"/>
      <c r="L16779" s="12"/>
      <c r="M16779" s="11"/>
      <c r="N16779" s="11"/>
      <c r="O16779" s="11"/>
      <c r="P16779" s="11"/>
    </row>
    <row r="16780" spans="8:16" x14ac:dyDescent="0.25">
      <c r="H16780" s="12"/>
      <c r="I16780" s="12"/>
      <c r="J16780" s="12"/>
      <c r="K16780" s="12"/>
      <c r="L16780" s="12"/>
      <c r="M16780" s="11"/>
      <c r="N16780" s="11"/>
      <c r="O16780" s="11"/>
      <c r="P16780" s="11"/>
    </row>
    <row r="16781" spans="8:16" x14ac:dyDescent="0.25">
      <c r="H16781" s="12"/>
      <c r="I16781" s="12"/>
      <c r="J16781" s="12"/>
      <c r="K16781" s="12"/>
      <c r="L16781" s="12"/>
      <c r="M16781" s="11"/>
      <c r="N16781" s="11"/>
      <c r="O16781" s="11"/>
      <c r="P16781" s="11"/>
    </row>
    <row r="16782" spans="8:16" x14ac:dyDescent="0.25">
      <c r="H16782" s="12"/>
      <c r="I16782" s="12"/>
      <c r="J16782" s="12"/>
      <c r="K16782" s="12"/>
      <c r="L16782" s="12"/>
      <c r="M16782" s="11"/>
      <c r="N16782" s="11"/>
      <c r="O16782" s="11"/>
      <c r="P16782" s="11"/>
    </row>
    <row r="16783" spans="8:16" x14ac:dyDescent="0.25">
      <c r="H16783" s="12"/>
      <c r="I16783" s="12"/>
      <c r="J16783" s="12"/>
      <c r="K16783" s="12"/>
      <c r="L16783" s="12"/>
      <c r="M16783" s="11"/>
      <c r="N16783" s="11"/>
      <c r="O16783" s="11"/>
      <c r="P16783" s="11"/>
    </row>
    <row r="16784" spans="8:16" x14ac:dyDescent="0.25">
      <c r="H16784" s="12"/>
      <c r="I16784" s="12"/>
      <c r="J16784" s="12"/>
      <c r="K16784" s="12"/>
      <c r="L16784" s="12"/>
      <c r="M16784" s="11"/>
      <c r="N16784" s="11"/>
      <c r="O16784" s="11"/>
      <c r="P16784" s="11"/>
    </row>
    <row r="16785" spans="8:16" x14ac:dyDescent="0.25">
      <c r="H16785" s="12"/>
      <c r="I16785" s="12"/>
      <c r="J16785" s="12"/>
      <c r="K16785" s="12"/>
      <c r="L16785" s="12"/>
      <c r="M16785" s="11"/>
      <c r="N16785" s="11"/>
      <c r="O16785" s="11"/>
      <c r="P16785" s="11"/>
    </row>
    <row r="16786" spans="8:16" x14ac:dyDescent="0.25">
      <c r="H16786" s="12"/>
      <c r="I16786" s="12"/>
      <c r="J16786" s="12"/>
      <c r="K16786" s="12"/>
      <c r="L16786" s="12"/>
      <c r="M16786" s="11"/>
      <c r="N16786" s="11"/>
      <c r="O16786" s="11"/>
      <c r="P16786" s="11"/>
    </row>
    <row r="16787" spans="8:16" x14ac:dyDescent="0.25">
      <c r="H16787" s="12"/>
      <c r="I16787" s="12"/>
      <c r="J16787" s="12"/>
      <c r="K16787" s="12"/>
      <c r="L16787" s="12"/>
      <c r="M16787" s="11"/>
      <c r="N16787" s="11"/>
      <c r="O16787" s="11"/>
      <c r="P16787" s="11"/>
    </row>
    <row r="16788" spans="8:16" x14ac:dyDescent="0.25">
      <c r="H16788" s="12"/>
      <c r="I16788" s="12"/>
      <c r="J16788" s="12"/>
      <c r="K16788" s="12"/>
      <c r="L16788" s="12"/>
      <c r="M16788" s="11"/>
      <c r="N16788" s="11"/>
      <c r="O16788" s="11"/>
      <c r="P16788" s="11"/>
    </row>
    <row r="16789" spans="8:16" x14ac:dyDescent="0.25">
      <c r="H16789" s="12"/>
      <c r="I16789" s="12"/>
      <c r="J16789" s="12"/>
      <c r="K16789" s="12"/>
      <c r="L16789" s="12"/>
      <c r="M16789" s="11"/>
      <c r="N16789" s="11"/>
      <c r="O16789" s="11"/>
      <c r="P16789" s="11"/>
    </row>
    <row r="16790" spans="8:16" x14ac:dyDescent="0.25">
      <c r="H16790" s="12"/>
      <c r="I16790" s="12"/>
      <c r="J16790" s="12"/>
      <c r="K16790" s="12"/>
      <c r="L16790" s="12"/>
      <c r="M16790" s="11"/>
      <c r="N16790" s="11"/>
      <c r="O16790" s="11"/>
      <c r="P16790" s="11"/>
    </row>
    <row r="16791" spans="8:16" x14ac:dyDescent="0.25">
      <c r="H16791" s="12"/>
      <c r="I16791" s="12"/>
      <c r="J16791" s="12"/>
      <c r="K16791" s="12"/>
      <c r="L16791" s="12"/>
      <c r="M16791" s="11"/>
      <c r="N16791" s="11"/>
      <c r="O16791" s="11"/>
      <c r="P16791" s="11"/>
    </row>
    <row r="16792" spans="8:16" x14ac:dyDescent="0.25">
      <c r="H16792" s="12"/>
      <c r="I16792" s="12"/>
      <c r="J16792" s="12"/>
      <c r="K16792" s="12"/>
      <c r="L16792" s="12"/>
      <c r="M16792" s="11"/>
      <c r="N16792" s="11"/>
      <c r="O16792" s="11"/>
      <c r="P16792" s="11"/>
    </row>
    <row r="16793" spans="8:16" x14ac:dyDescent="0.25">
      <c r="H16793" s="12"/>
      <c r="I16793" s="12"/>
      <c r="J16793" s="12"/>
      <c r="K16793" s="12"/>
      <c r="L16793" s="12"/>
      <c r="M16793" s="11"/>
      <c r="N16793" s="11"/>
      <c r="O16793" s="11"/>
      <c r="P16793" s="11"/>
    </row>
    <row r="16794" spans="8:16" x14ac:dyDescent="0.25">
      <c r="H16794" s="12"/>
      <c r="I16794" s="12"/>
      <c r="J16794" s="12"/>
      <c r="K16794" s="12"/>
      <c r="L16794" s="12"/>
      <c r="M16794" s="11"/>
      <c r="N16794" s="11"/>
      <c r="O16794" s="11"/>
      <c r="P16794" s="11"/>
    </row>
    <row r="16795" spans="8:16" x14ac:dyDescent="0.25">
      <c r="H16795" s="12"/>
      <c r="I16795" s="12"/>
      <c r="J16795" s="12"/>
      <c r="K16795" s="12"/>
      <c r="L16795" s="12"/>
      <c r="M16795" s="11"/>
      <c r="N16795" s="11"/>
      <c r="O16795" s="11"/>
      <c r="P16795" s="11"/>
    </row>
    <row r="16796" spans="8:16" x14ac:dyDescent="0.25">
      <c r="H16796" s="12"/>
      <c r="I16796" s="12"/>
      <c r="J16796" s="12"/>
      <c r="K16796" s="12"/>
      <c r="L16796" s="12"/>
      <c r="M16796" s="11"/>
      <c r="N16796" s="11"/>
      <c r="O16796" s="11"/>
      <c r="P16796" s="11"/>
    </row>
    <row r="16797" spans="8:16" x14ac:dyDescent="0.25">
      <c r="H16797" s="12"/>
      <c r="I16797" s="12"/>
      <c r="J16797" s="12"/>
      <c r="K16797" s="12"/>
      <c r="L16797" s="12"/>
      <c r="M16797" s="11"/>
      <c r="N16797" s="11"/>
      <c r="O16797" s="11"/>
      <c r="P16797" s="11"/>
    </row>
    <row r="16798" spans="8:16" x14ac:dyDescent="0.25">
      <c r="H16798" s="12"/>
      <c r="I16798" s="12"/>
      <c r="J16798" s="12"/>
      <c r="K16798" s="12"/>
      <c r="L16798" s="12"/>
      <c r="M16798" s="11"/>
      <c r="N16798" s="11"/>
      <c r="O16798" s="11"/>
      <c r="P16798" s="11"/>
    </row>
    <row r="16799" spans="8:16" x14ac:dyDescent="0.25">
      <c r="H16799" s="12"/>
      <c r="I16799" s="12"/>
      <c r="J16799" s="12"/>
      <c r="K16799" s="12"/>
      <c r="L16799" s="12"/>
      <c r="M16799" s="11"/>
      <c r="N16799" s="11"/>
      <c r="O16799" s="11"/>
      <c r="P16799" s="11"/>
    </row>
    <row r="16800" spans="8:16" x14ac:dyDescent="0.25">
      <c r="H16800" s="12"/>
      <c r="I16800" s="12"/>
      <c r="J16800" s="12"/>
      <c r="K16800" s="12"/>
      <c r="L16800" s="12"/>
      <c r="M16800" s="11"/>
      <c r="N16800" s="11"/>
      <c r="O16800" s="11"/>
      <c r="P16800" s="11"/>
    </row>
    <row r="16801" spans="8:16" x14ac:dyDescent="0.25">
      <c r="H16801" s="12"/>
      <c r="I16801" s="12"/>
      <c r="J16801" s="12"/>
      <c r="K16801" s="12"/>
      <c r="L16801" s="12"/>
      <c r="M16801" s="11"/>
      <c r="N16801" s="11"/>
      <c r="O16801" s="11"/>
      <c r="P16801" s="11"/>
    </row>
    <row r="16802" spans="8:16" x14ac:dyDescent="0.25">
      <c r="H16802" s="12"/>
      <c r="I16802" s="12"/>
      <c r="J16802" s="12"/>
      <c r="K16802" s="12"/>
      <c r="L16802" s="12"/>
      <c r="M16802" s="11"/>
      <c r="N16802" s="11"/>
      <c r="O16802" s="11"/>
      <c r="P16802" s="11"/>
    </row>
    <row r="16803" spans="8:16" x14ac:dyDescent="0.25">
      <c r="H16803" s="12"/>
      <c r="I16803" s="12"/>
      <c r="J16803" s="12"/>
      <c r="K16803" s="12"/>
      <c r="L16803" s="12"/>
      <c r="M16803" s="11"/>
      <c r="N16803" s="11"/>
      <c r="O16803" s="11"/>
      <c r="P16803" s="11"/>
    </row>
    <row r="16804" spans="8:16" x14ac:dyDescent="0.25">
      <c r="H16804" s="12"/>
      <c r="I16804" s="12"/>
      <c r="J16804" s="12"/>
      <c r="K16804" s="12"/>
      <c r="L16804" s="12"/>
      <c r="M16804" s="11"/>
      <c r="N16804" s="11"/>
      <c r="O16804" s="11"/>
      <c r="P16804" s="11"/>
    </row>
    <row r="16805" spans="8:16" x14ac:dyDescent="0.25">
      <c r="H16805" s="12"/>
      <c r="I16805" s="12"/>
      <c r="J16805" s="12"/>
      <c r="K16805" s="12"/>
      <c r="L16805" s="12"/>
      <c r="M16805" s="11"/>
      <c r="N16805" s="11"/>
      <c r="O16805" s="11"/>
      <c r="P16805" s="11"/>
    </row>
    <row r="16806" spans="8:16" x14ac:dyDescent="0.25">
      <c r="H16806" s="12"/>
      <c r="I16806" s="12"/>
      <c r="J16806" s="12"/>
      <c r="K16806" s="12"/>
      <c r="L16806" s="12"/>
      <c r="M16806" s="11"/>
      <c r="N16806" s="11"/>
      <c r="O16806" s="11"/>
      <c r="P16806" s="11"/>
    </row>
    <row r="16807" spans="8:16" x14ac:dyDescent="0.25">
      <c r="H16807" s="12"/>
      <c r="I16807" s="12"/>
      <c r="J16807" s="12"/>
      <c r="K16807" s="12"/>
      <c r="L16807" s="12"/>
      <c r="M16807" s="11"/>
      <c r="N16807" s="11"/>
      <c r="O16807" s="11"/>
      <c r="P16807" s="11"/>
    </row>
    <row r="16808" spans="8:16" x14ac:dyDescent="0.25">
      <c r="H16808" s="12"/>
      <c r="I16808" s="12"/>
      <c r="J16808" s="12"/>
      <c r="K16808" s="12"/>
      <c r="L16808" s="12"/>
      <c r="M16808" s="11"/>
      <c r="N16808" s="11"/>
      <c r="O16808" s="11"/>
      <c r="P16808" s="11"/>
    </row>
    <row r="16809" spans="8:16" x14ac:dyDescent="0.25">
      <c r="H16809" s="12"/>
      <c r="I16809" s="12"/>
      <c r="J16809" s="12"/>
      <c r="K16809" s="12"/>
      <c r="L16809" s="12"/>
      <c r="M16809" s="11"/>
      <c r="N16809" s="11"/>
      <c r="O16809" s="11"/>
      <c r="P16809" s="11"/>
    </row>
    <row r="16810" spans="8:16" x14ac:dyDescent="0.25">
      <c r="H16810" s="12"/>
      <c r="I16810" s="12"/>
      <c r="J16810" s="12"/>
      <c r="K16810" s="12"/>
      <c r="L16810" s="12"/>
      <c r="M16810" s="11"/>
      <c r="N16810" s="11"/>
      <c r="O16810" s="11"/>
      <c r="P16810" s="11"/>
    </row>
    <row r="16811" spans="8:16" x14ac:dyDescent="0.25">
      <c r="H16811" s="12"/>
      <c r="I16811" s="12"/>
      <c r="J16811" s="12"/>
      <c r="K16811" s="12"/>
      <c r="L16811" s="12"/>
      <c r="M16811" s="11"/>
      <c r="N16811" s="11"/>
      <c r="O16811" s="11"/>
      <c r="P16811" s="11"/>
    </row>
    <row r="16812" spans="8:16" x14ac:dyDescent="0.25">
      <c r="H16812" s="12"/>
      <c r="I16812" s="12"/>
      <c r="J16812" s="12"/>
      <c r="K16812" s="12"/>
      <c r="L16812" s="12"/>
      <c r="M16812" s="11"/>
      <c r="N16812" s="11"/>
      <c r="O16812" s="11"/>
      <c r="P16812" s="11"/>
    </row>
    <row r="16813" spans="8:16" x14ac:dyDescent="0.25">
      <c r="H16813" s="12"/>
      <c r="I16813" s="12"/>
      <c r="J16813" s="12"/>
      <c r="K16813" s="12"/>
      <c r="L16813" s="12"/>
      <c r="M16813" s="11"/>
      <c r="N16813" s="11"/>
      <c r="O16813" s="11"/>
      <c r="P16813" s="11"/>
    </row>
    <row r="16814" spans="8:16" x14ac:dyDescent="0.25">
      <c r="H16814" s="12"/>
      <c r="I16814" s="12"/>
      <c r="J16814" s="12"/>
      <c r="K16814" s="12"/>
      <c r="L16814" s="12"/>
      <c r="M16814" s="11"/>
      <c r="N16814" s="11"/>
      <c r="O16814" s="11"/>
      <c r="P16814" s="11"/>
    </row>
    <row r="16815" spans="8:16" x14ac:dyDescent="0.25">
      <c r="H16815" s="12"/>
      <c r="I16815" s="12"/>
      <c r="J16815" s="12"/>
      <c r="K16815" s="12"/>
      <c r="L16815" s="12"/>
      <c r="M16815" s="11"/>
      <c r="N16815" s="11"/>
      <c r="O16815" s="11"/>
      <c r="P16815" s="11"/>
    </row>
    <row r="16816" spans="8:16" x14ac:dyDescent="0.25">
      <c r="H16816" s="12"/>
      <c r="I16816" s="12"/>
      <c r="J16816" s="12"/>
      <c r="K16816" s="12"/>
      <c r="L16816" s="12"/>
      <c r="M16816" s="11"/>
      <c r="N16816" s="11"/>
      <c r="O16816" s="11"/>
      <c r="P16816" s="11"/>
    </row>
    <row r="16817" spans="8:16" x14ac:dyDescent="0.25">
      <c r="H16817" s="12"/>
      <c r="I16817" s="12"/>
      <c r="J16817" s="12"/>
      <c r="K16817" s="12"/>
      <c r="L16817" s="12"/>
      <c r="M16817" s="11"/>
      <c r="N16817" s="11"/>
      <c r="O16817" s="11"/>
      <c r="P16817" s="11"/>
    </row>
    <row r="16818" spans="8:16" x14ac:dyDescent="0.25">
      <c r="H16818" s="12"/>
      <c r="I16818" s="12"/>
      <c r="J16818" s="12"/>
      <c r="K16818" s="12"/>
      <c r="L16818" s="12"/>
      <c r="M16818" s="11"/>
      <c r="N16818" s="11"/>
      <c r="O16818" s="11"/>
      <c r="P16818" s="11"/>
    </row>
    <row r="16819" spans="8:16" x14ac:dyDescent="0.25">
      <c r="H16819" s="12"/>
      <c r="I16819" s="12"/>
      <c r="J16819" s="12"/>
      <c r="K16819" s="12"/>
      <c r="L16819" s="12"/>
      <c r="M16819" s="11"/>
      <c r="N16819" s="11"/>
      <c r="O16819" s="11"/>
      <c r="P16819" s="11"/>
    </row>
    <row r="16820" spans="8:16" x14ac:dyDescent="0.25">
      <c r="H16820" s="12"/>
      <c r="I16820" s="12"/>
      <c r="J16820" s="12"/>
      <c r="K16820" s="12"/>
      <c r="L16820" s="12"/>
      <c r="M16820" s="11"/>
      <c r="N16820" s="11"/>
      <c r="O16820" s="11"/>
      <c r="P16820" s="11"/>
    </row>
    <row r="16821" spans="8:16" x14ac:dyDescent="0.25">
      <c r="H16821" s="12"/>
      <c r="I16821" s="12"/>
      <c r="J16821" s="12"/>
      <c r="K16821" s="12"/>
      <c r="L16821" s="12"/>
      <c r="M16821" s="11"/>
      <c r="N16821" s="11"/>
      <c r="O16821" s="11"/>
      <c r="P16821" s="11"/>
    </row>
    <row r="16822" spans="8:16" x14ac:dyDescent="0.25">
      <c r="H16822" s="12"/>
      <c r="I16822" s="12"/>
      <c r="J16822" s="12"/>
      <c r="K16822" s="12"/>
      <c r="L16822" s="12"/>
      <c r="M16822" s="11"/>
      <c r="N16822" s="11"/>
      <c r="O16822" s="11"/>
      <c r="P16822" s="11"/>
    </row>
    <row r="16823" spans="8:16" x14ac:dyDescent="0.25">
      <c r="H16823" s="12"/>
      <c r="I16823" s="12"/>
      <c r="J16823" s="12"/>
      <c r="K16823" s="12"/>
      <c r="L16823" s="12"/>
      <c r="M16823" s="11"/>
      <c r="N16823" s="11"/>
      <c r="O16823" s="11"/>
      <c r="P16823" s="11"/>
    </row>
    <row r="16824" spans="8:16" x14ac:dyDescent="0.25">
      <c r="H16824" s="12"/>
      <c r="I16824" s="12"/>
      <c r="J16824" s="12"/>
      <c r="K16824" s="12"/>
      <c r="L16824" s="12"/>
      <c r="M16824" s="11"/>
      <c r="N16824" s="11"/>
      <c r="O16824" s="11"/>
      <c r="P16824" s="11"/>
    </row>
    <row r="16825" spans="8:16" x14ac:dyDescent="0.25">
      <c r="H16825" s="12"/>
      <c r="I16825" s="12"/>
      <c r="J16825" s="12"/>
      <c r="K16825" s="12"/>
      <c r="L16825" s="12"/>
      <c r="M16825" s="11"/>
      <c r="N16825" s="11"/>
      <c r="O16825" s="11"/>
      <c r="P16825" s="11"/>
    </row>
    <row r="16826" spans="8:16" x14ac:dyDescent="0.25">
      <c r="H16826" s="12"/>
      <c r="I16826" s="12"/>
      <c r="J16826" s="12"/>
      <c r="K16826" s="12"/>
      <c r="L16826" s="12"/>
      <c r="M16826" s="11"/>
      <c r="N16826" s="11"/>
      <c r="O16826" s="11"/>
      <c r="P16826" s="11"/>
    </row>
    <row r="16827" spans="8:16" x14ac:dyDescent="0.25">
      <c r="H16827" s="12"/>
      <c r="I16827" s="12"/>
      <c r="J16827" s="12"/>
      <c r="K16827" s="12"/>
      <c r="L16827" s="12"/>
      <c r="M16827" s="11"/>
      <c r="N16827" s="11"/>
      <c r="O16827" s="11"/>
      <c r="P16827" s="11"/>
    </row>
    <row r="16828" spans="8:16" x14ac:dyDescent="0.25">
      <c r="H16828" s="12"/>
      <c r="I16828" s="12"/>
      <c r="J16828" s="12"/>
      <c r="K16828" s="12"/>
      <c r="L16828" s="12"/>
      <c r="M16828" s="11"/>
      <c r="N16828" s="11"/>
      <c r="O16828" s="11"/>
      <c r="P16828" s="11"/>
    </row>
    <row r="16829" spans="8:16" x14ac:dyDescent="0.25">
      <c r="H16829" s="12"/>
      <c r="I16829" s="12"/>
      <c r="J16829" s="12"/>
      <c r="K16829" s="12"/>
      <c r="L16829" s="12"/>
      <c r="M16829" s="11"/>
      <c r="N16829" s="11"/>
      <c r="O16829" s="11"/>
      <c r="P16829" s="11"/>
    </row>
    <row r="16830" spans="8:16" x14ac:dyDescent="0.25">
      <c r="H16830" s="12"/>
      <c r="I16830" s="12"/>
      <c r="J16830" s="12"/>
      <c r="K16830" s="12"/>
      <c r="L16830" s="12"/>
      <c r="M16830" s="11"/>
      <c r="N16830" s="11"/>
      <c r="O16830" s="11"/>
      <c r="P16830" s="11"/>
    </row>
    <row r="16831" spans="8:16" x14ac:dyDescent="0.25">
      <c r="H16831" s="12"/>
      <c r="I16831" s="12"/>
      <c r="J16831" s="12"/>
      <c r="K16831" s="12"/>
      <c r="L16831" s="12"/>
      <c r="M16831" s="11"/>
      <c r="N16831" s="11"/>
      <c r="O16831" s="11"/>
      <c r="P16831" s="11"/>
    </row>
    <row r="16832" spans="8:16" x14ac:dyDescent="0.25">
      <c r="H16832" s="12"/>
      <c r="I16832" s="12"/>
      <c r="J16832" s="12"/>
      <c r="K16832" s="12"/>
      <c r="L16832" s="12"/>
      <c r="M16832" s="11"/>
      <c r="N16832" s="11"/>
      <c r="O16832" s="11"/>
      <c r="P16832" s="11"/>
    </row>
    <row r="16833" spans="8:16" x14ac:dyDescent="0.25">
      <c r="H16833" s="12"/>
      <c r="I16833" s="12"/>
      <c r="J16833" s="12"/>
      <c r="K16833" s="12"/>
      <c r="L16833" s="12"/>
      <c r="M16833" s="11"/>
      <c r="N16833" s="11"/>
      <c r="O16833" s="11"/>
      <c r="P16833" s="11"/>
    </row>
    <row r="16834" spans="8:16" x14ac:dyDescent="0.25">
      <c r="H16834" s="12"/>
      <c r="I16834" s="12"/>
      <c r="J16834" s="12"/>
      <c r="K16834" s="12"/>
      <c r="L16834" s="12"/>
      <c r="M16834" s="11"/>
      <c r="N16834" s="11"/>
      <c r="O16834" s="11"/>
      <c r="P16834" s="11"/>
    </row>
    <row r="16835" spans="8:16" x14ac:dyDescent="0.25">
      <c r="H16835" s="12"/>
      <c r="I16835" s="12"/>
      <c r="J16835" s="12"/>
      <c r="K16835" s="12"/>
      <c r="L16835" s="12"/>
      <c r="M16835" s="11"/>
      <c r="N16835" s="11"/>
      <c r="O16835" s="11"/>
      <c r="P16835" s="11"/>
    </row>
    <row r="16836" spans="8:16" x14ac:dyDescent="0.25">
      <c r="H16836" s="12"/>
      <c r="I16836" s="12"/>
      <c r="J16836" s="12"/>
      <c r="K16836" s="12"/>
      <c r="L16836" s="12"/>
      <c r="M16836" s="11"/>
      <c r="N16836" s="11"/>
      <c r="O16836" s="11"/>
      <c r="P16836" s="11"/>
    </row>
    <row r="16837" spans="8:16" x14ac:dyDescent="0.25">
      <c r="H16837" s="12"/>
      <c r="I16837" s="12"/>
      <c r="J16837" s="12"/>
      <c r="K16837" s="12"/>
      <c r="L16837" s="12"/>
      <c r="M16837" s="11"/>
      <c r="N16837" s="11"/>
      <c r="O16837" s="11"/>
      <c r="P16837" s="11"/>
    </row>
    <row r="16838" spans="8:16" x14ac:dyDescent="0.25">
      <c r="H16838" s="12"/>
      <c r="I16838" s="12"/>
      <c r="J16838" s="12"/>
      <c r="K16838" s="12"/>
      <c r="L16838" s="12"/>
      <c r="M16838" s="11"/>
      <c r="N16838" s="11"/>
      <c r="O16838" s="11"/>
      <c r="P16838" s="11"/>
    </row>
    <row r="16839" spans="8:16" x14ac:dyDescent="0.25">
      <c r="H16839" s="12"/>
      <c r="I16839" s="12"/>
      <c r="J16839" s="12"/>
      <c r="K16839" s="12"/>
      <c r="L16839" s="12"/>
      <c r="M16839" s="11"/>
      <c r="N16839" s="11"/>
      <c r="O16839" s="11"/>
      <c r="P16839" s="11"/>
    </row>
    <row r="16840" spans="8:16" x14ac:dyDescent="0.25">
      <c r="H16840" s="12"/>
      <c r="I16840" s="12"/>
      <c r="J16840" s="12"/>
      <c r="K16840" s="12"/>
      <c r="L16840" s="12"/>
      <c r="M16840" s="11"/>
      <c r="N16840" s="11"/>
      <c r="O16840" s="11"/>
      <c r="P16840" s="11"/>
    </row>
    <row r="16841" spans="8:16" x14ac:dyDescent="0.25">
      <c r="H16841" s="12"/>
      <c r="I16841" s="12"/>
      <c r="J16841" s="12"/>
      <c r="K16841" s="12"/>
      <c r="L16841" s="12"/>
      <c r="M16841" s="11"/>
      <c r="N16841" s="11"/>
      <c r="O16841" s="11"/>
      <c r="P16841" s="11"/>
    </row>
    <row r="16842" spans="8:16" x14ac:dyDescent="0.25">
      <c r="H16842" s="12"/>
      <c r="I16842" s="12"/>
      <c r="J16842" s="12"/>
      <c r="K16842" s="12"/>
      <c r="L16842" s="12"/>
      <c r="M16842" s="11"/>
      <c r="N16842" s="11"/>
      <c r="O16842" s="11"/>
      <c r="P16842" s="11"/>
    </row>
    <row r="16843" spans="8:16" x14ac:dyDescent="0.25">
      <c r="H16843" s="12"/>
      <c r="I16843" s="12"/>
      <c r="J16843" s="12"/>
      <c r="K16843" s="12"/>
      <c r="L16843" s="12"/>
      <c r="M16843" s="11"/>
      <c r="N16843" s="11"/>
      <c r="O16843" s="11"/>
      <c r="P16843" s="11"/>
    </row>
    <row r="16844" spans="8:16" x14ac:dyDescent="0.25">
      <c r="H16844" s="12"/>
      <c r="I16844" s="12"/>
      <c r="J16844" s="12"/>
      <c r="K16844" s="12"/>
      <c r="L16844" s="12"/>
      <c r="M16844" s="11"/>
      <c r="N16844" s="11"/>
      <c r="O16844" s="11"/>
      <c r="P16844" s="11"/>
    </row>
    <row r="16845" spans="8:16" x14ac:dyDescent="0.25">
      <c r="H16845" s="12"/>
      <c r="I16845" s="12"/>
      <c r="J16845" s="12"/>
      <c r="K16845" s="12"/>
      <c r="L16845" s="12"/>
      <c r="M16845" s="11"/>
      <c r="N16845" s="11"/>
      <c r="O16845" s="11"/>
      <c r="P16845" s="11"/>
    </row>
    <row r="16846" spans="8:16" x14ac:dyDescent="0.25">
      <c r="H16846" s="12"/>
      <c r="I16846" s="12"/>
      <c r="J16846" s="12"/>
      <c r="K16846" s="12"/>
      <c r="L16846" s="12"/>
      <c r="M16846" s="11"/>
      <c r="N16846" s="11"/>
      <c r="O16846" s="11"/>
      <c r="P16846" s="11"/>
    </row>
    <row r="16847" spans="8:16" x14ac:dyDescent="0.25">
      <c r="H16847" s="12"/>
      <c r="I16847" s="12"/>
      <c r="J16847" s="12"/>
      <c r="K16847" s="12"/>
      <c r="L16847" s="12"/>
      <c r="M16847" s="11"/>
      <c r="N16847" s="11"/>
      <c r="O16847" s="11"/>
      <c r="P16847" s="11"/>
    </row>
    <row r="16848" spans="8:16" x14ac:dyDescent="0.25">
      <c r="H16848" s="12"/>
      <c r="I16848" s="12"/>
      <c r="J16848" s="12"/>
      <c r="K16848" s="12"/>
      <c r="L16848" s="12"/>
      <c r="M16848" s="11"/>
      <c r="N16848" s="11"/>
      <c r="O16848" s="11"/>
      <c r="P16848" s="11"/>
    </row>
    <row r="16849" spans="8:16" x14ac:dyDescent="0.25">
      <c r="H16849" s="12"/>
      <c r="I16849" s="12"/>
      <c r="J16849" s="12"/>
      <c r="K16849" s="12"/>
      <c r="L16849" s="12"/>
      <c r="M16849" s="11"/>
      <c r="N16849" s="11"/>
      <c r="O16849" s="11"/>
      <c r="P16849" s="11"/>
    </row>
    <row r="16850" spans="8:16" x14ac:dyDescent="0.25">
      <c r="H16850" s="12"/>
      <c r="I16850" s="12"/>
      <c r="J16850" s="12"/>
      <c r="K16850" s="12"/>
      <c r="L16850" s="12"/>
      <c r="M16850" s="11"/>
      <c r="N16850" s="11"/>
      <c r="O16850" s="11"/>
      <c r="P16850" s="11"/>
    </row>
    <row r="16851" spans="8:16" x14ac:dyDescent="0.25">
      <c r="H16851" s="12"/>
      <c r="I16851" s="12"/>
      <c r="J16851" s="12"/>
      <c r="K16851" s="12"/>
      <c r="L16851" s="12"/>
      <c r="M16851" s="11"/>
      <c r="N16851" s="11"/>
      <c r="O16851" s="11"/>
      <c r="P16851" s="11"/>
    </row>
    <row r="16852" spans="8:16" x14ac:dyDescent="0.25">
      <c r="H16852" s="12"/>
      <c r="I16852" s="12"/>
      <c r="J16852" s="12"/>
      <c r="K16852" s="12"/>
      <c r="L16852" s="12"/>
      <c r="M16852" s="11"/>
      <c r="N16852" s="11"/>
      <c r="O16852" s="11"/>
      <c r="P16852" s="11"/>
    </row>
    <row r="16853" spans="8:16" x14ac:dyDescent="0.25">
      <c r="H16853" s="12"/>
      <c r="I16853" s="12"/>
      <c r="J16853" s="12"/>
      <c r="K16853" s="12"/>
      <c r="L16853" s="12"/>
      <c r="M16853" s="11"/>
      <c r="N16853" s="11"/>
      <c r="O16853" s="11"/>
      <c r="P16853" s="11"/>
    </row>
    <row r="16854" spans="8:16" x14ac:dyDescent="0.25">
      <c r="H16854" s="12"/>
      <c r="I16854" s="12"/>
      <c r="J16854" s="12"/>
      <c r="K16854" s="12"/>
      <c r="L16854" s="12"/>
      <c r="M16854" s="11"/>
      <c r="N16854" s="11"/>
      <c r="O16854" s="11"/>
      <c r="P16854" s="11"/>
    </row>
    <row r="16855" spans="8:16" x14ac:dyDescent="0.25">
      <c r="H16855" s="12"/>
      <c r="I16855" s="12"/>
      <c r="J16855" s="12"/>
      <c r="K16855" s="12"/>
      <c r="L16855" s="12"/>
      <c r="M16855" s="11"/>
      <c r="N16855" s="11"/>
      <c r="O16855" s="11"/>
      <c r="P16855" s="11"/>
    </row>
    <row r="16856" spans="8:16" x14ac:dyDescent="0.25">
      <c r="H16856" s="12"/>
      <c r="I16856" s="12"/>
      <c r="J16856" s="12"/>
      <c r="K16856" s="12"/>
      <c r="L16856" s="12"/>
      <c r="M16856" s="11"/>
      <c r="N16856" s="11"/>
      <c r="O16856" s="11"/>
      <c r="P16856" s="11"/>
    </row>
    <row r="16857" spans="8:16" x14ac:dyDescent="0.25">
      <c r="H16857" s="12"/>
      <c r="I16857" s="12"/>
      <c r="J16857" s="12"/>
      <c r="K16857" s="12"/>
      <c r="L16857" s="12"/>
      <c r="M16857" s="11"/>
      <c r="N16857" s="11"/>
      <c r="O16857" s="11"/>
      <c r="P16857" s="11"/>
    </row>
    <row r="16858" spans="8:16" x14ac:dyDescent="0.25">
      <c r="H16858" s="12"/>
      <c r="I16858" s="12"/>
      <c r="J16858" s="12"/>
      <c r="K16858" s="12"/>
      <c r="L16858" s="12"/>
      <c r="M16858" s="11"/>
      <c r="N16858" s="11"/>
      <c r="O16858" s="11"/>
      <c r="P16858" s="11"/>
    </row>
    <row r="16859" spans="8:16" x14ac:dyDescent="0.25">
      <c r="H16859" s="12"/>
      <c r="I16859" s="12"/>
      <c r="J16859" s="12"/>
      <c r="K16859" s="12"/>
      <c r="L16859" s="12"/>
      <c r="M16859" s="11"/>
      <c r="N16859" s="11"/>
      <c r="O16859" s="11"/>
      <c r="P16859" s="11"/>
    </row>
    <row r="16860" spans="8:16" x14ac:dyDescent="0.25">
      <c r="H16860" s="12"/>
      <c r="I16860" s="12"/>
      <c r="J16860" s="12"/>
      <c r="K16860" s="12"/>
      <c r="L16860" s="12"/>
      <c r="M16860" s="11"/>
      <c r="N16860" s="11"/>
      <c r="O16860" s="11"/>
      <c r="P16860" s="11"/>
    </row>
    <row r="16861" spans="8:16" x14ac:dyDescent="0.25">
      <c r="H16861" s="12"/>
      <c r="I16861" s="12"/>
      <c r="J16861" s="12"/>
      <c r="K16861" s="12"/>
      <c r="L16861" s="12"/>
      <c r="M16861" s="11"/>
      <c r="N16861" s="11"/>
      <c r="O16861" s="11"/>
      <c r="P16861" s="11"/>
    </row>
    <row r="16862" spans="8:16" x14ac:dyDescent="0.25">
      <c r="H16862" s="12"/>
      <c r="I16862" s="12"/>
      <c r="J16862" s="12"/>
      <c r="K16862" s="12"/>
      <c r="L16862" s="12"/>
      <c r="M16862" s="11"/>
      <c r="N16862" s="11"/>
      <c r="O16862" s="11"/>
      <c r="P16862" s="11"/>
    </row>
    <row r="16863" spans="8:16" x14ac:dyDescent="0.25">
      <c r="H16863" s="12"/>
      <c r="I16863" s="12"/>
      <c r="J16863" s="12"/>
      <c r="K16863" s="12"/>
      <c r="L16863" s="12"/>
      <c r="M16863" s="11"/>
      <c r="N16863" s="11"/>
      <c r="O16863" s="11"/>
      <c r="P16863" s="11"/>
    </row>
    <row r="16864" spans="8:16" x14ac:dyDescent="0.25">
      <c r="H16864" s="12"/>
      <c r="I16864" s="12"/>
      <c r="J16864" s="12"/>
      <c r="K16864" s="12"/>
      <c r="L16864" s="12"/>
      <c r="M16864" s="11"/>
      <c r="N16864" s="11"/>
      <c r="O16864" s="11"/>
      <c r="P16864" s="11"/>
    </row>
    <row r="16865" spans="8:16" x14ac:dyDescent="0.25">
      <c r="H16865" s="12"/>
      <c r="I16865" s="12"/>
      <c r="J16865" s="12"/>
      <c r="K16865" s="12"/>
      <c r="L16865" s="12"/>
      <c r="M16865" s="11"/>
      <c r="N16865" s="11"/>
      <c r="O16865" s="11"/>
      <c r="P16865" s="11"/>
    </row>
    <row r="16866" spans="8:16" x14ac:dyDescent="0.25">
      <c r="H16866" s="12"/>
      <c r="I16866" s="12"/>
      <c r="J16866" s="12"/>
      <c r="K16866" s="12"/>
      <c r="L16866" s="12"/>
      <c r="M16866" s="11"/>
      <c r="N16866" s="11"/>
      <c r="O16866" s="11"/>
      <c r="P16866" s="11"/>
    </row>
    <row r="16867" spans="8:16" x14ac:dyDescent="0.25">
      <c r="H16867" s="12"/>
      <c r="I16867" s="12"/>
      <c r="J16867" s="12"/>
      <c r="K16867" s="12"/>
      <c r="L16867" s="12"/>
      <c r="M16867" s="11"/>
      <c r="N16867" s="11"/>
      <c r="O16867" s="11"/>
      <c r="P16867" s="11"/>
    </row>
    <row r="16868" spans="8:16" x14ac:dyDescent="0.25">
      <c r="H16868" s="12"/>
      <c r="I16868" s="12"/>
      <c r="J16868" s="12"/>
      <c r="K16868" s="12"/>
      <c r="L16868" s="12"/>
      <c r="M16868" s="11"/>
      <c r="N16868" s="11"/>
      <c r="O16868" s="11"/>
      <c r="P16868" s="11"/>
    </row>
    <row r="16869" spans="8:16" x14ac:dyDescent="0.25">
      <c r="H16869" s="12"/>
      <c r="I16869" s="12"/>
      <c r="J16869" s="12"/>
      <c r="K16869" s="12"/>
      <c r="L16869" s="12"/>
      <c r="M16869" s="11"/>
      <c r="N16869" s="11"/>
      <c r="O16869" s="11"/>
      <c r="P16869" s="11"/>
    </row>
    <row r="16870" spans="8:16" x14ac:dyDescent="0.25">
      <c r="H16870" s="12"/>
      <c r="I16870" s="12"/>
      <c r="J16870" s="12"/>
      <c r="K16870" s="12"/>
      <c r="L16870" s="12"/>
      <c r="M16870" s="11"/>
      <c r="N16870" s="11"/>
      <c r="O16870" s="11"/>
      <c r="P16870" s="11"/>
    </row>
    <row r="16871" spans="8:16" x14ac:dyDescent="0.25">
      <c r="H16871" s="12"/>
      <c r="I16871" s="12"/>
      <c r="J16871" s="12"/>
      <c r="K16871" s="12"/>
      <c r="L16871" s="12"/>
      <c r="M16871" s="11"/>
      <c r="N16871" s="11"/>
      <c r="O16871" s="11"/>
      <c r="P16871" s="11"/>
    </row>
    <row r="16872" spans="8:16" x14ac:dyDescent="0.25">
      <c r="H16872" s="12"/>
      <c r="I16872" s="12"/>
      <c r="J16872" s="12"/>
      <c r="K16872" s="12"/>
      <c r="L16872" s="12"/>
      <c r="M16872" s="11"/>
      <c r="N16872" s="11"/>
      <c r="O16872" s="11"/>
      <c r="P16872" s="11"/>
    </row>
    <row r="16873" spans="8:16" x14ac:dyDescent="0.25">
      <c r="H16873" s="12"/>
      <c r="I16873" s="12"/>
      <c r="J16873" s="12"/>
      <c r="K16873" s="12"/>
      <c r="L16873" s="12"/>
      <c r="M16873" s="11"/>
      <c r="N16873" s="11"/>
      <c r="O16873" s="11"/>
      <c r="P16873" s="11"/>
    </row>
    <row r="16874" spans="8:16" x14ac:dyDescent="0.25">
      <c r="H16874" s="12"/>
      <c r="I16874" s="12"/>
      <c r="J16874" s="12"/>
      <c r="K16874" s="12"/>
      <c r="L16874" s="12"/>
      <c r="M16874" s="11"/>
      <c r="N16874" s="11"/>
      <c r="O16874" s="11"/>
      <c r="P16874" s="11"/>
    </row>
    <row r="16875" spans="8:16" x14ac:dyDescent="0.25">
      <c r="H16875" s="12"/>
      <c r="I16875" s="12"/>
      <c r="J16875" s="12"/>
      <c r="K16875" s="12"/>
      <c r="L16875" s="12"/>
      <c r="M16875" s="11"/>
      <c r="N16875" s="11"/>
      <c r="O16875" s="11"/>
      <c r="P16875" s="11"/>
    </row>
    <row r="16876" spans="8:16" x14ac:dyDescent="0.25">
      <c r="H16876" s="12"/>
      <c r="I16876" s="12"/>
      <c r="J16876" s="12"/>
      <c r="K16876" s="12"/>
      <c r="L16876" s="12"/>
      <c r="M16876" s="11"/>
      <c r="N16876" s="11"/>
      <c r="O16876" s="11"/>
      <c r="P16876" s="11"/>
    </row>
    <row r="16877" spans="8:16" x14ac:dyDescent="0.25">
      <c r="H16877" s="12"/>
      <c r="I16877" s="12"/>
      <c r="J16877" s="12"/>
      <c r="K16877" s="12"/>
      <c r="L16877" s="12"/>
      <c r="M16877" s="11"/>
      <c r="N16877" s="11"/>
      <c r="O16877" s="11"/>
      <c r="P16877" s="11"/>
    </row>
    <row r="16878" spans="8:16" x14ac:dyDescent="0.25">
      <c r="H16878" s="12"/>
      <c r="I16878" s="12"/>
      <c r="J16878" s="12"/>
      <c r="K16878" s="12"/>
      <c r="L16878" s="12"/>
      <c r="M16878" s="11"/>
      <c r="N16878" s="11"/>
      <c r="O16878" s="11"/>
      <c r="P16878" s="11"/>
    </row>
    <row r="16879" spans="8:16" x14ac:dyDescent="0.25">
      <c r="H16879" s="12"/>
      <c r="I16879" s="12"/>
      <c r="J16879" s="12"/>
      <c r="K16879" s="12"/>
      <c r="L16879" s="12"/>
      <c r="M16879" s="11"/>
      <c r="N16879" s="11"/>
      <c r="O16879" s="11"/>
      <c r="P16879" s="11"/>
    </row>
    <row r="16880" spans="8:16" x14ac:dyDescent="0.25">
      <c r="H16880" s="12"/>
      <c r="I16880" s="12"/>
      <c r="J16880" s="12"/>
      <c r="K16880" s="12"/>
      <c r="L16880" s="12"/>
      <c r="M16880" s="11"/>
      <c r="N16880" s="11"/>
      <c r="O16880" s="11"/>
      <c r="P16880" s="11"/>
    </row>
    <row r="16881" spans="8:16" x14ac:dyDescent="0.25">
      <c r="H16881" s="12"/>
      <c r="I16881" s="12"/>
      <c r="J16881" s="12"/>
      <c r="K16881" s="12"/>
      <c r="L16881" s="12"/>
      <c r="M16881" s="11"/>
      <c r="N16881" s="11"/>
      <c r="O16881" s="11"/>
      <c r="P16881" s="11"/>
    </row>
    <row r="16882" spans="8:16" x14ac:dyDescent="0.25">
      <c r="H16882" s="12"/>
      <c r="I16882" s="12"/>
      <c r="J16882" s="12"/>
      <c r="K16882" s="12"/>
      <c r="L16882" s="12"/>
      <c r="M16882" s="11"/>
      <c r="N16882" s="11"/>
      <c r="O16882" s="11"/>
      <c r="P16882" s="11"/>
    </row>
    <row r="16883" spans="8:16" x14ac:dyDescent="0.25">
      <c r="H16883" s="12"/>
      <c r="I16883" s="12"/>
      <c r="J16883" s="12"/>
      <c r="K16883" s="12"/>
      <c r="L16883" s="12"/>
      <c r="M16883" s="11"/>
      <c r="N16883" s="11"/>
      <c r="O16883" s="11"/>
      <c r="P16883" s="11"/>
    </row>
    <row r="16884" spans="8:16" x14ac:dyDescent="0.25">
      <c r="H16884" s="12"/>
      <c r="I16884" s="12"/>
      <c r="J16884" s="12"/>
      <c r="K16884" s="12"/>
      <c r="L16884" s="12"/>
      <c r="M16884" s="11"/>
      <c r="N16884" s="11"/>
      <c r="O16884" s="11"/>
      <c r="P16884" s="11"/>
    </row>
    <row r="16885" spans="8:16" x14ac:dyDescent="0.25">
      <c r="H16885" s="12"/>
      <c r="I16885" s="12"/>
      <c r="J16885" s="12"/>
      <c r="K16885" s="12"/>
      <c r="L16885" s="12"/>
      <c r="M16885" s="11"/>
      <c r="N16885" s="11"/>
      <c r="O16885" s="11"/>
      <c r="P16885" s="11"/>
    </row>
    <row r="16886" spans="8:16" x14ac:dyDescent="0.25">
      <c r="H16886" s="12"/>
      <c r="I16886" s="12"/>
      <c r="J16886" s="12"/>
      <c r="K16886" s="12"/>
      <c r="L16886" s="12"/>
      <c r="M16886" s="11"/>
      <c r="N16886" s="11"/>
      <c r="O16886" s="11"/>
      <c r="P16886" s="11"/>
    </row>
    <row r="16887" spans="8:16" x14ac:dyDescent="0.25">
      <c r="H16887" s="12"/>
      <c r="I16887" s="12"/>
      <c r="J16887" s="12"/>
      <c r="K16887" s="12"/>
      <c r="L16887" s="12"/>
      <c r="M16887" s="11"/>
      <c r="N16887" s="11"/>
      <c r="O16887" s="11"/>
      <c r="P16887" s="11"/>
    </row>
    <row r="16888" spans="8:16" x14ac:dyDescent="0.25">
      <c r="H16888" s="12"/>
      <c r="I16888" s="12"/>
      <c r="J16888" s="12"/>
      <c r="K16888" s="12"/>
      <c r="L16888" s="12"/>
      <c r="M16888" s="11"/>
      <c r="N16888" s="11"/>
      <c r="O16888" s="11"/>
      <c r="P16888" s="11"/>
    </row>
    <row r="16889" spans="8:16" x14ac:dyDescent="0.25">
      <c r="H16889" s="12"/>
      <c r="I16889" s="12"/>
      <c r="J16889" s="12"/>
      <c r="K16889" s="12"/>
      <c r="L16889" s="12"/>
      <c r="M16889" s="11"/>
      <c r="N16889" s="11"/>
      <c r="O16889" s="11"/>
      <c r="P16889" s="11"/>
    </row>
    <row r="16890" spans="8:16" x14ac:dyDescent="0.25">
      <c r="H16890" s="12"/>
      <c r="I16890" s="12"/>
      <c r="J16890" s="12"/>
      <c r="K16890" s="12"/>
      <c r="L16890" s="12"/>
      <c r="M16890" s="11"/>
      <c r="N16890" s="11"/>
      <c r="O16890" s="11"/>
      <c r="P16890" s="11"/>
    </row>
    <row r="16891" spans="8:16" x14ac:dyDescent="0.25">
      <c r="H16891" s="12"/>
      <c r="I16891" s="12"/>
      <c r="J16891" s="12"/>
      <c r="K16891" s="12"/>
      <c r="L16891" s="12"/>
      <c r="M16891" s="11"/>
      <c r="N16891" s="11"/>
      <c r="O16891" s="11"/>
      <c r="P16891" s="11"/>
    </row>
    <row r="16892" spans="8:16" x14ac:dyDescent="0.25">
      <c r="H16892" s="12"/>
      <c r="I16892" s="12"/>
      <c r="J16892" s="12"/>
      <c r="K16892" s="12"/>
      <c r="L16892" s="12"/>
      <c r="M16892" s="11"/>
      <c r="N16892" s="11"/>
      <c r="O16892" s="11"/>
      <c r="P16892" s="11"/>
    </row>
    <row r="16893" spans="8:16" x14ac:dyDescent="0.25">
      <c r="H16893" s="12"/>
      <c r="I16893" s="12"/>
      <c r="J16893" s="12"/>
      <c r="K16893" s="12"/>
      <c r="L16893" s="12"/>
      <c r="M16893" s="11"/>
      <c r="N16893" s="11"/>
      <c r="O16893" s="11"/>
      <c r="P16893" s="11"/>
    </row>
    <row r="16894" spans="8:16" x14ac:dyDescent="0.25">
      <c r="H16894" s="12"/>
      <c r="I16894" s="12"/>
      <c r="J16894" s="12"/>
      <c r="K16894" s="12"/>
      <c r="L16894" s="12"/>
      <c r="M16894" s="11"/>
      <c r="N16894" s="11"/>
      <c r="O16894" s="11"/>
      <c r="P16894" s="11"/>
    </row>
    <row r="16895" spans="8:16" x14ac:dyDescent="0.25">
      <c r="H16895" s="12"/>
      <c r="I16895" s="12"/>
      <c r="J16895" s="12"/>
      <c r="K16895" s="12"/>
      <c r="L16895" s="12"/>
      <c r="M16895" s="11"/>
      <c r="N16895" s="11"/>
      <c r="O16895" s="11"/>
      <c r="P16895" s="11"/>
    </row>
    <row r="16896" spans="8:16" x14ac:dyDescent="0.25">
      <c r="H16896" s="12"/>
      <c r="I16896" s="12"/>
      <c r="J16896" s="12"/>
      <c r="K16896" s="12"/>
      <c r="L16896" s="12"/>
      <c r="M16896" s="11"/>
      <c r="N16896" s="11"/>
      <c r="O16896" s="11"/>
      <c r="P16896" s="11"/>
    </row>
    <row r="16897" spans="8:16" x14ac:dyDescent="0.25">
      <c r="H16897" s="12"/>
      <c r="I16897" s="12"/>
      <c r="J16897" s="12"/>
      <c r="K16897" s="12"/>
      <c r="L16897" s="12"/>
      <c r="M16897" s="11"/>
      <c r="N16897" s="11"/>
      <c r="O16897" s="11"/>
      <c r="P16897" s="11"/>
    </row>
    <row r="16898" spans="8:16" x14ac:dyDescent="0.25">
      <c r="H16898" s="12"/>
      <c r="I16898" s="12"/>
      <c r="J16898" s="12"/>
      <c r="K16898" s="12"/>
      <c r="L16898" s="12"/>
      <c r="M16898" s="11"/>
      <c r="N16898" s="11"/>
      <c r="O16898" s="11"/>
      <c r="P16898" s="11"/>
    </row>
    <row r="16899" spans="8:16" x14ac:dyDescent="0.25">
      <c r="H16899" s="12"/>
      <c r="I16899" s="12"/>
      <c r="J16899" s="12"/>
      <c r="K16899" s="12"/>
      <c r="L16899" s="12"/>
      <c r="M16899" s="11"/>
      <c r="N16899" s="11"/>
      <c r="O16899" s="11"/>
      <c r="P16899" s="11"/>
    </row>
    <row r="16900" spans="8:16" x14ac:dyDescent="0.25">
      <c r="H16900" s="12"/>
      <c r="I16900" s="12"/>
      <c r="J16900" s="12"/>
      <c r="K16900" s="12"/>
      <c r="L16900" s="12"/>
      <c r="M16900" s="11"/>
      <c r="N16900" s="11"/>
      <c r="O16900" s="11"/>
      <c r="P16900" s="11"/>
    </row>
    <row r="16901" spans="8:16" x14ac:dyDescent="0.25">
      <c r="H16901" s="12"/>
      <c r="I16901" s="12"/>
      <c r="J16901" s="12"/>
      <c r="K16901" s="12"/>
      <c r="L16901" s="12"/>
      <c r="M16901" s="11"/>
      <c r="N16901" s="11"/>
      <c r="O16901" s="11"/>
      <c r="P16901" s="11"/>
    </row>
    <row r="16902" spans="8:16" x14ac:dyDescent="0.25">
      <c r="H16902" s="12"/>
      <c r="I16902" s="12"/>
      <c r="J16902" s="12"/>
      <c r="K16902" s="12"/>
      <c r="L16902" s="12"/>
      <c r="M16902" s="11"/>
      <c r="N16902" s="11"/>
      <c r="O16902" s="11"/>
      <c r="P16902" s="11"/>
    </row>
    <row r="16903" spans="8:16" x14ac:dyDescent="0.25">
      <c r="H16903" s="12"/>
      <c r="I16903" s="12"/>
      <c r="J16903" s="12"/>
      <c r="K16903" s="12"/>
      <c r="L16903" s="12"/>
      <c r="M16903" s="11"/>
      <c r="N16903" s="11"/>
      <c r="O16903" s="11"/>
      <c r="P16903" s="11"/>
    </row>
    <row r="16904" spans="8:16" x14ac:dyDescent="0.25">
      <c r="H16904" s="12"/>
      <c r="I16904" s="12"/>
      <c r="J16904" s="12"/>
      <c r="K16904" s="12"/>
      <c r="L16904" s="12"/>
      <c r="M16904" s="11"/>
      <c r="N16904" s="11"/>
      <c r="O16904" s="11"/>
      <c r="P16904" s="11"/>
    </row>
    <row r="16905" spans="8:16" x14ac:dyDescent="0.25">
      <c r="H16905" s="12"/>
      <c r="I16905" s="12"/>
      <c r="J16905" s="12"/>
      <c r="K16905" s="12"/>
      <c r="L16905" s="12"/>
      <c r="M16905" s="11"/>
      <c r="N16905" s="11"/>
      <c r="O16905" s="11"/>
      <c r="P16905" s="11"/>
    </row>
    <row r="16906" spans="8:16" x14ac:dyDescent="0.25">
      <c r="H16906" s="12"/>
      <c r="I16906" s="12"/>
      <c r="J16906" s="12"/>
      <c r="K16906" s="12"/>
      <c r="L16906" s="12"/>
      <c r="M16906" s="11"/>
      <c r="N16906" s="11"/>
      <c r="O16906" s="11"/>
      <c r="P16906" s="11"/>
    </row>
    <row r="16907" spans="8:16" x14ac:dyDescent="0.25">
      <c r="H16907" s="12"/>
      <c r="I16907" s="12"/>
      <c r="J16907" s="12"/>
      <c r="K16907" s="12"/>
      <c r="L16907" s="12"/>
      <c r="M16907" s="11"/>
      <c r="N16907" s="11"/>
      <c r="O16907" s="11"/>
      <c r="P16907" s="11"/>
    </row>
    <row r="16908" spans="8:16" x14ac:dyDescent="0.25">
      <c r="H16908" s="12"/>
      <c r="I16908" s="12"/>
      <c r="J16908" s="12"/>
      <c r="K16908" s="12"/>
      <c r="L16908" s="12"/>
      <c r="M16908" s="11"/>
      <c r="N16908" s="11"/>
      <c r="O16908" s="11"/>
      <c r="P16908" s="11"/>
    </row>
    <row r="16909" spans="8:16" x14ac:dyDescent="0.25">
      <c r="H16909" s="12"/>
      <c r="I16909" s="12"/>
      <c r="J16909" s="12"/>
      <c r="K16909" s="12"/>
      <c r="L16909" s="12"/>
      <c r="M16909" s="11"/>
      <c r="N16909" s="11"/>
      <c r="O16909" s="11"/>
      <c r="P16909" s="11"/>
    </row>
    <row r="16910" spans="8:16" x14ac:dyDescent="0.25">
      <c r="H16910" s="12"/>
      <c r="I16910" s="12"/>
      <c r="J16910" s="12"/>
      <c r="K16910" s="12"/>
      <c r="L16910" s="12"/>
      <c r="M16910" s="11"/>
      <c r="N16910" s="11"/>
      <c r="O16910" s="11"/>
      <c r="P16910" s="11"/>
    </row>
    <row r="16911" spans="8:16" x14ac:dyDescent="0.25">
      <c r="H16911" s="12"/>
      <c r="I16911" s="12"/>
      <c r="J16911" s="12"/>
      <c r="K16911" s="12"/>
      <c r="L16911" s="12"/>
      <c r="M16911" s="11"/>
      <c r="N16911" s="11"/>
      <c r="O16911" s="11"/>
      <c r="P16911" s="11"/>
    </row>
    <row r="16912" spans="8:16" x14ac:dyDescent="0.25">
      <c r="H16912" s="12"/>
      <c r="I16912" s="12"/>
      <c r="J16912" s="12"/>
      <c r="K16912" s="12"/>
      <c r="L16912" s="12"/>
      <c r="M16912" s="11"/>
      <c r="N16912" s="11"/>
      <c r="O16912" s="11"/>
      <c r="P16912" s="11"/>
    </row>
    <row r="16913" spans="8:16" x14ac:dyDescent="0.25">
      <c r="H16913" s="12"/>
      <c r="I16913" s="12"/>
      <c r="J16913" s="12"/>
      <c r="K16913" s="12"/>
      <c r="L16913" s="12"/>
      <c r="M16913" s="11"/>
      <c r="N16913" s="11"/>
      <c r="O16913" s="11"/>
      <c r="P16913" s="11"/>
    </row>
    <row r="16914" spans="8:16" x14ac:dyDescent="0.25">
      <c r="H16914" s="12"/>
      <c r="I16914" s="12"/>
      <c r="J16914" s="12"/>
      <c r="K16914" s="12"/>
      <c r="L16914" s="12"/>
      <c r="M16914" s="11"/>
      <c r="N16914" s="11"/>
      <c r="O16914" s="11"/>
      <c r="P16914" s="11"/>
    </row>
    <row r="16915" spans="8:16" x14ac:dyDescent="0.25">
      <c r="H16915" s="12"/>
      <c r="I16915" s="12"/>
      <c r="J16915" s="12"/>
      <c r="K16915" s="12"/>
      <c r="L16915" s="12"/>
      <c r="M16915" s="11"/>
      <c r="N16915" s="11"/>
      <c r="O16915" s="11"/>
      <c r="P16915" s="11"/>
    </row>
    <row r="16916" spans="8:16" x14ac:dyDescent="0.25">
      <c r="H16916" s="12"/>
      <c r="I16916" s="12"/>
      <c r="J16916" s="12"/>
      <c r="K16916" s="12"/>
      <c r="L16916" s="12"/>
      <c r="M16916" s="11"/>
      <c r="N16916" s="11"/>
      <c r="O16916" s="11"/>
      <c r="P16916" s="11"/>
    </row>
    <row r="16917" spans="8:16" x14ac:dyDescent="0.25">
      <c r="H16917" s="12"/>
      <c r="I16917" s="12"/>
      <c r="J16917" s="12"/>
      <c r="K16917" s="12"/>
      <c r="L16917" s="12"/>
      <c r="M16917" s="11"/>
      <c r="N16917" s="11"/>
      <c r="O16917" s="11"/>
      <c r="P16917" s="11"/>
    </row>
    <row r="16918" spans="8:16" x14ac:dyDescent="0.25">
      <c r="H16918" s="12"/>
      <c r="I16918" s="12"/>
      <c r="J16918" s="12"/>
      <c r="K16918" s="12"/>
      <c r="L16918" s="12"/>
      <c r="M16918" s="11"/>
      <c r="N16918" s="11"/>
      <c r="O16918" s="11"/>
      <c r="P16918" s="11"/>
    </row>
    <row r="16919" spans="8:16" x14ac:dyDescent="0.25">
      <c r="H16919" s="12"/>
      <c r="I16919" s="12"/>
      <c r="J16919" s="12"/>
      <c r="K16919" s="12"/>
      <c r="L16919" s="12"/>
      <c r="M16919" s="11"/>
      <c r="N16919" s="11"/>
      <c r="O16919" s="11"/>
      <c r="P16919" s="11"/>
    </row>
    <row r="16920" spans="8:16" x14ac:dyDescent="0.25">
      <c r="H16920" s="12"/>
      <c r="I16920" s="12"/>
      <c r="J16920" s="12"/>
      <c r="K16920" s="12"/>
      <c r="L16920" s="12"/>
      <c r="M16920" s="11"/>
      <c r="N16920" s="11"/>
      <c r="O16920" s="11"/>
      <c r="P16920" s="11"/>
    </row>
    <row r="16921" spans="8:16" x14ac:dyDescent="0.25">
      <c r="H16921" s="12"/>
      <c r="I16921" s="12"/>
      <c r="J16921" s="12"/>
      <c r="K16921" s="12"/>
      <c r="L16921" s="12"/>
      <c r="M16921" s="11"/>
      <c r="N16921" s="11"/>
      <c r="O16921" s="11"/>
      <c r="P16921" s="11"/>
    </row>
    <row r="16922" spans="8:16" x14ac:dyDescent="0.25">
      <c r="H16922" s="12"/>
      <c r="I16922" s="12"/>
      <c r="J16922" s="12"/>
      <c r="K16922" s="12"/>
      <c r="L16922" s="12"/>
      <c r="M16922" s="11"/>
      <c r="N16922" s="11"/>
      <c r="O16922" s="11"/>
      <c r="P16922" s="11"/>
    </row>
    <row r="16923" spans="8:16" x14ac:dyDescent="0.25">
      <c r="H16923" s="12"/>
      <c r="I16923" s="12"/>
      <c r="J16923" s="12"/>
      <c r="K16923" s="12"/>
      <c r="L16923" s="12"/>
      <c r="M16923" s="11"/>
      <c r="N16923" s="11"/>
      <c r="O16923" s="11"/>
      <c r="P16923" s="11"/>
    </row>
    <row r="16924" spans="8:16" x14ac:dyDescent="0.25">
      <c r="H16924" s="12"/>
      <c r="I16924" s="12"/>
      <c r="J16924" s="12"/>
      <c r="K16924" s="12"/>
      <c r="L16924" s="12"/>
      <c r="M16924" s="11"/>
      <c r="N16924" s="11"/>
      <c r="O16924" s="11"/>
      <c r="P16924" s="11"/>
    </row>
    <row r="16925" spans="8:16" x14ac:dyDescent="0.25">
      <c r="H16925" s="12"/>
      <c r="I16925" s="12"/>
      <c r="J16925" s="12"/>
      <c r="K16925" s="12"/>
      <c r="L16925" s="12"/>
      <c r="M16925" s="11"/>
      <c r="N16925" s="11"/>
      <c r="O16925" s="11"/>
      <c r="P16925" s="11"/>
    </row>
    <row r="16926" spans="8:16" x14ac:dyDescent="0.25">
      <c r="H16926" s="12"/>
      <c r="I16926" s="12"/>
      <c r="J16926" s="12"/>
      <c r="K16926" s="12"/>
      <c r="L16926" s="12"/>
      <c r="M16926" s="11"/>
      <c r="N16926" s="11"/>
      <c r="O16926" s="11"/>
      <c r="P16926" s="11"/>
    </row>
    <row r="16927" spans="8:16" x14ac:dyDescent="0.25">
      <c r="H16927" s="12"/>
      <c r="I16927" s="12"/>
      <c r="J16927" s="12"/>
      <c r="K16927" s="12"/>
      <c r="L16927" s="12"/>
      <c r="M16927" s="11"/>
      <c r="N16927" s="11"/>
      <c r="O16927" s="11"/>
      <c r="P16927" s="11"/>
    </row>
    <row r="16928" spans="8:16" x14ac:dyDescent="0.25">
      <c r="H16928" s="12"/>
      <c r="I16928" s="12"/>
      <c r="J16928" s="12"/>
      <c r="K16928" s="12"/>
      <c r="L16928" s="12"/>
      <c r="M16928" s="11"/>
      <c r="N16928" s="11"/>
      <c r="O16928" s="11"/>
      <c r="P16928" s="11"/>
    </row>
    <row r="16929" spans="8:16" x14ac:dyDescent="0.25">
      <c r="H16929" s="12"/>
      <c r="I16929" s="12"/>
      <c r="J16929" s="12"/>
      <c r="K16929" s="12"/>
      <c r="L16929" s="12"/>
      <c r="M16929" s="11"/>
      <c r="N16929" s="11"/>
      <c r="O16929" s="11"/>
      <c r="P16929" s="11"/>
    </row>
    <row r="16930" spans="8:16" x14ac:dyDescent="0.25">
      <c r="H16930" s="12"/>
      <c r="I16930" s="12"/>
      <c r="J16930" s="12"/>
      <c r="K16930" s="12"/>
      <c r="L16930" s="12"/>
      <c r="M16930" s="11"/>
      <c r="N16930" s="11"/>
      <c r="O16930" s="11"/>
      <c r="P16930" s="11"/>
    </row>
    <row r="16931" spans="8:16" x14ac:dyDescent="0.25">
      <c r="H16931" s="12"/>
      <c r="I16931" s="12"/>
      <c r="J16931" s="12"/>
      <c r="K16931" s="12"/>
      <c r="L16931" s="12"/>
      <c r="M16931" s="11"/>
      <c r="N16931" s="11"/>
      <c r="O16931" s="11"/>
      <c r="P16931" s="11"/>
    </row>
    <row r="16932" spans="8:16" x14ac:dyDescent="0.25">
      <c r="H16932" s="12"/>
      <c r="I16932" s="12"/>
      <c r="J16932" s="12"/>
      <c r="K16932" s="12"/>
      <c r="L16932" s="12"/>
      <c r="M16932" s="11"/>
      <c r="N16932" s="11"/>
      <c r="O16932" s="11"/>
      <c r="P16932" s="11"/>
    </row>
    <row r="16933" spans="8:16" x14ac:dyDescent="0.25">
      <c r="H16933" s="12"/>
      <c r="I16933" s="12"/>
      <c r="J16933" s="12"/>
      <c r="K16933" s="12"/>
      <c r="L16933" s="12"/>
      <c r="M16933" s="11"/>
      <c r="N16933" s="11"/>
      <c r="O16933" s="11"/>
      <c r="P16933" s="11"/>
    </row>
    <row r="16934" spans="8:16" x14ac:dyDescent="0.25">
      <c r="H16934" s="12"/>
      <c r="I16934" s="12"/>
      <c r="J16934" s="12"/>
      <c r="K16934" s="12"/>
      <c r="L16934" s="12"/>
      <c r="M16934" s="11"/>
      <c r="N16934" s="11"/>
      <c r="O16934" s="11"/>
      <c r="P16934" s="11"/>
    </row>
    <row r="16935" spans="8:16" x14ac:dyDescent="0.25">
      <c r="H16935" s="12"/>
      <c r="I16935" s="12"/>
      <c r="J16935" s="12"/>
      <c r="K16935" s="12"/>
      <c r="L16935" s="12"/>
      <c r="M16935" s="11"/>
      <c r="N16935" s="11"/>
      <c r="O16935" s="11"/>
      <c r="P16935" s="11"/>
    </row>
    <row r="16936" spans="8:16" x14ac:dyDescent="0.25">
      <c r="H16936" s="12"/>
      <c r="I16936" s="12"/>
      <c r="J16936" s="12"/>
      <c r="K16936" s="12"/>
      <c r="L16936" s="12"/>
      <c r="M16936" s="11"/>
      <c r="N16936" s="11"/>
      <c r="O16936" s="11"/>
      <c r="P16936" s="11"/>
    </row>
    <row r="16937" spans="8:16" x14ac:dyDescent="0.25">
      <c r="H16937" s="12"/>
      <c r="I16937" s="12"/>
      <c r="J16937" s="12"/>
      <c r="K16937" s="12"/>
      <c r="L16937" s="12"/>
      <c r="M16937" s="11"/>
      <c r="N16937" s="11"/>
      <c r="O16937" s="11"/>
      <c r="P16937" s="11"/>
    </row>
    <row r="16938" spans="8:16" x14ac:dyDescent="0.25">
      <c r="H16938" s="12"/>
      <c r="I16938" s="12"/>
      <c r="J16938" s="12"/>
      <c r="K16938" s="12"/>
      <c r="L16938" s="12"/>
      <c r="M16938" s="11"/>
      <c r="N16938" s="11"/>
      <c r="O16938" s="11"/>
      <c r="P16938" s="11"/>
    </row>
    <row r="16939" spans="8:16" x14ac:dyDescent="0.25">
      <c r="H16939" s="12"/>
      <c r="I16939" s="12"/>
      <c r="J16939" s="12"/>
      <c r="K16939" s="12"/>
      <c r="L16939" s="12"/>
      <c r="M16939" s="11"/>
      <c r="N16939" s="11"/>
      <c r="O16939" s="11"/>
      <c r="P16939" s="11"/>
    </row>
    <row r="16940" spans="8:16" x14ac:dyDescent="0.25">
      <c r="H16940" s="12"/>
      <c r="I16940" s="12"/>
      <c r="J16940" s="12"/>
      <c r="K16940" s="12"/>
      <c r="L16940" s="12"/>
      <c r="M16940" s="11"/>
      <c r="N16940" s="11"/>
      <c r="O16940" s="11"/>
      <c r="P16940" s="11"/>
    </row>
    <row r="16941" spans="8:16" x14ac:dyDescent="0.25">
      <c r="H16941" s="12"/>
      <c r="I16941" s="12"/>
      <c r="J16941" s="12"/>
      <c r="K16941" s="12"/>
      <c r="L16941" s="12"/>
      <c r="M16941" s="11"/>
      <c r="N16941" s="11"/>
      <c r="O16941" s="11"/>
      <c r="P16941" s="11"/>
    </row>
    <row r="16942" spans="8:16" x14ac:dyDescent="0.25">
      <c r="H16942" s="12"/>
      <c r="I16942" s="12"/>
      <c r="J16942" s="12"/>
      <c r="K16942" s="12"/>
      <c r="L16942" s="12"/>
      <c r="M16942" s="11"/>
      <c r="N16942" s="11"/>
      <c r="O16942" s="11"/>
      <c r="P16942" s="11"/>
    </row>
    <row r="16943" spans="8:16" x14ac:dyDescent="0.25">
      <c r="H16943" s="12"/>
      <c r="I16943" s="12"/>
      <c r="J16943" s="12"/>
      <c r="K16943" s="12"/>
      <c r="L16943" s="12"/>
      <c r="M16943" s="11"/>
      <c r="N16943" s="11"/>
      <c r="O16943" s="11"/>
      <c r="P16943" s="11"/>
    </row>
    <row r="16944" spans="8:16" x14ac:dyDescent="0.25">
      <c r="H16944" s="12"/>
      <c r="I16944" s="12"/>
      <c r="J16944" s="12"/>
      <c r="K16944" s="12"/>
      <c r="L16944" s="12"/>
      <c r="M16944" s="11"/>
      <c r="N16944" s="11"/>
      <c r="O16944" s="11"/>
      <c r="P16944" s="11"/>
    </row>
    <row r="16945" spans="8:16" x14ac:dyDescent="0.25">
      <c r="H16945" s="12"/>
      <c r="I16945" s="12"/>
      <c r="J16945" s="12"/>
      <c r="K16945" s="12"/>
      <c r="L16945" s="12"/>
      <c r="M16945" s="11"/>
      <c r="N16945" s="11"/>
      <c r="O16945" s="11"/>
      <c r="P16945" s="11"/>
    </row>
    <row r="16946" spans="8:16" x14ac:dyDescent="0.25">
      <c r="H16946" s="12"/>
      <c r="I16946" s="12"/>
      <c r="J16946" s="12"/>
      <c r="K16946" s="12"/>
      <c r="L16946" s="12"/>
      <c r="M16946" s="11"/>
      <c r="N16946" s="11"/>
      <c r="O16946" s="11"/>
      <c r="P16946" s="11"/>
    </row>
    <row r="16947" spans="8:16" x14ac:dyDescent="0.25">
      <c r="H16947" s="12"/>
      <c r="I16947" s="12"/>
      <c r="J16947" s="12"/>
      <c r="K16947" s="12"/>
      <c r="L16947" s="12"/>
      <c r="M16947" s="11"/>
      <c r="N16947" s="11"/>
      <c r="O16947" s="11"/>
      <c r="P16947" s="11"/>
    </row>
    <row r="16948" spans="8:16" x14ac:dyDescent="0.25">
      <c r="H16948" s="12"/>
      <c r="I16948" s="12"/>
      <c r="J16948" s="12"/>
      <c r="K16948" s="12"/>
      <c r="L16948" s="12"/>
      <c r="M16948" s="11"/>
      <c r="N16948" s="11"/>
      <c r="O16948" s="11"/>
      <c r="P16948" s="11"/>
    </row>
    <row r="16949" spans="8:16" x14ac:dyDescent="0.25">
      <c r="H16949" s="12"/>
      <c r="I16949" s="12"/>
      <c r="J16949" s="12"/>
      <c r="K16949" s="12"/>
      <c r="L16949" s="12"/>
      <c r="M16949" s="11"/>
      <c r="N16949" s="11"/>
      <c r="O16949" s="11"/>
      <c r="P16949" s="11"/>
    </row>
    <row r="16950" spans="8:16" x14ac:dyDescent="0.25">
      <c r="H16950" s="12"/>
      <c r="I16950" s="12"/>
      <c r="J16950" s="12"/>
      <c r="K16950" s="12"/>
      <c r="L16950" s="12"/>
      <c r="M16950" s="11"/>
      <c r="N16950" s="11"/>
      <c r="O16950" s="11"/>
      <c r="P16950" s="11"/>
    </row>
    <row r="16951" spans="8:16" x14ac:dyDescent="0.25">
      <c r="H16951" s="12"/>
      <c r="I16951" s="12"/>
      <c r="J16951" s="12"/>
      <c r="K16951" s="12"/>
      <c r="L16951" s="12"/>
      <c r="M16951" s="11"/>
      <c r="N16951" s="11"/>
      <c r="O16951" s="11"/>
      <c r="P16951" s="11"/>
    </row>
    <row r="16952" spans="8:16" x14ac:dyDescent="0.25">
      <c r="H16952" s="12"/>
      <c r="I16952" s="12"/>
      <c r="J16952" s="12"/>
      <c r="K16952" s="12"/>
      <c r="L16952" s="12"/>
      <c r="M16952" s="11"/>
      <c r="N16952" s="11"/>
      <c r="O16952" s="11"/>
      <c r="P16952" s="11"/>
    </row>
    <row r="16953" spans="8:16" x14ac:dyDescent="0.25">
      <c r="H16953" s="12"/>
      <c r="I16953" s="12"/>
      <c r="J16953" s="12"/>
      <c r="K16953" s="12"/>
      <c r="L16953" s="12"/>
      <c r="M16953" s="11"/>
      <c r="N16953" s="11"/>
      <c r="O16953" s="11"/>
      <c r="P16953" s="11"/>
    </row>
    <row r="16954" spans="8:16" x14ac:dyDescent="0.25">
      <c r="H16954" s="12"/>
      <c r="I16954" s="12"/>
      <c r="J16954" s="12"/>
      <c r="K16954" s="12"/>
      <c r="L16954" s="12"/>
      <c r="M16954" s="11"/>
      <c r="N16954" s="11"/>
      <c r="O16954" s="11"/>
      <c r="P16954" s="11"/>
    </row>
    <row r="16955" spans="8:16" x14ac:dyDescent="0.25">
      <c r="H16955" s="12"/>
      <c r="I16955" s="12"/>
      <c r="J16955" s="12"/>
      <c r="K16955" s="12"/>
      <c r="L16955" s="12"/>
      <c r="M16955" s="11"/>
      <c r="N16955" s="11"/>
      <c r="O16955" s="11"/>
      <c r="P16955" s="11"/>
    </row>
    <row r="16956" spans="8:16" x14ac:dyDescent="0.25">
      <c r="H16956" s="12"/>
      <c r="I16956" s="12"/>
      <c r="J16956" s="12"/>
      <c r="K16956" s="12"/>
      <c r="L16956" s="12"/>
      <c r="M16956" s="11"/>
      <c r="N16956" s="11"/>
      <c r="O16956" s="11"/>
      <c r="P16956" s="11"/>
    </row>
    <row r="16957" spans="8:16" x14ac:dyDescent="0.25">
      <c r="H16957" s="12"/>
      <c r="I16957" s="12"/>
      <c r="J16957" s="12"/>
      <c r="K16957" s="12"/>
      <c r="L16957" s="12"/>
      <c r="M16957" s="11"/>
      <c r="N16957" s="11"/>
      <c r="O16957" s="11"/>
      <c r="P16957" s="11"/>
    </row>
    <row r="16958" spans="8:16" x14ac:dyDescent="0.25">
      <c r="H16958" s="12"/>
      <c r="I16958" s="12"/>
      <c r="J16958" s="12"/>
      <c r="K16958" s="12"/>
      <c r="L16958" s="12"/>
      <c r="M16958" s="11"/>
      <c r="N16958" s="11"/>
      <c r="O16958" s="11"/>
      <c r="P16958" s="11"/>
    </row>
    <row r="16959" spans="8:16" x14ac:dyDescent="0.25">
      <c r="H16959" s="12"/>
      <c r="I16959" s="12"/>
      <c r="J16959" s="12"/>
      <c r="K16959" s="12"/>
      <c r="L16959" s="12"/>
      <c r="M16959" s="11"/>
      <c r="N16959" s="11"/>
      <c r="O16959" s="11"/>
      <c r="P16959" s="11"/>
    </row>
    <row r="16960" spans="8:16" x14ac:dyDescent="0.25">
      <c r="H16960" s="12"/>
      <c r="I16960" s="12"/>
      <c r="J16960" s="12"/>
      <c r="K16960" s="12"/>
      <c r="L16960" s="12"/>
      <c r="M16960" s="11"/>
      <c r="N16960" s="11"/>
      <c r="O16960" s="11"/>
      <c r="P16960" s="11"/>
    </row>
    <row r="16961" spans="8:16" x14ac:dyDescent="0.25">
      <c r="H16961" s="12"/>
      <c r="I16961" s="12"/>
      <c r="J16961" s="12"/>
      <c r="K16961" s="12"/>
      <c r="L16961" s="12"/>
      <c r="M16961" s="11"/>
      <c r="N16961" s="11"/>
      <c r="O16961" s="11"/>
      <c r="P16961" s="11"/>
    </row>
    <row r="16962" spans="8:16" x14ac:dyDescent="0.25">
      <c r="H16962" s="12"/>
      <c r="I16962" s="12"/>
      <c r="J16962" s="12"/>
      <c r="K16962" s="12"/>
      <c r="L16962" s="12"/>
      <c r="M16962" s="11"/>
      <c r="N16962" s="11"/>
      <c r="O16962" s="11"/>
      <c r="P16962" s="11"/>
    </row>
    <row r="16963" spans="8:16" x14ac:dyDescent="0.25">
      <c r="H16963" s="12"/>
      <c r="I16963" s="12"/>
      <c r="J16963" s="12"/>
      <c r="K16963" s="12"/>
      <c r="L16963" s="12"/>
      <c r="M16963" s="11"/>
      <c r="N16963" s="11"/>
      <c r="O16963" s="11"/>
      <c r="P16963" s="11"/>
    </row>
    <row r="16964" spans="8:16" x14ac:dyDescent="0.25">
      <c r="H16964" s="12"/>
      <c r="I16964" s="12"/>
      <c r="J16964" s="12"/>
      <c r="K16964" s="12"/>
      <c r="L16964" s="12"/>
      <c r="M16964" s="11"/>
      <c r="N16964" s="11"/>
      <c r="O16964" s="11"/>
      <c r="P16964" s="11"/>
    </row>
    <row r="16965" spans="8:16" x14ac:dyDescent="0.25">
      <c r="H16965" s="12"/>
      <c r="I16965" s="12"/>
      <c r="J16965" s="12"/>
      <c r="K16965" s="12"/>
      <c r="L16965" s="12"/>
      <c r="M16965" s="11"/>
      <c r="N16965" s="11"/>
      <c r="O16965" s="11"/>
      <c r="P16965" s="11"/>
    </row>
    <row r="16966" spans="8:16" x14ac:dyDescent="0.25">
      <c r="H16966" s="12"/>
      <c r="I16966" s="12"/>
      <c r="J16966" s="12"/>
      <c r="K16966" s="12"/>
      <c r="L16966" s="12"/>
      <c r="M16966" s="11"/>
      <c r="N16966" s="11"/>
      <c r="O16966" s="11"/>
      <c r="P16966" s="11"/>
    </row>
    <row r="16967" spans="8:16" x14ac:dyDescent="0.25">
      <c r="H16967" s="12"/>
      <c r="I16967" s="12"/>
      <c r="J16967" s="12"/>
      <c r="K16967" s="12"/>
      <c r="L16967" s="12"/>
      <c r="M16967" s="11"/>
      <c r="N16967" s="11"/>
      <c r="O16967" s="11"/>
      <c r="P16967" s="11"/>
    </row>
    <row r="16968" spans="8:16" x14ac:dyDescent="0.25">
      <c r="H16968" s="12"/>
      <c r="I16968" s="12"/>
      <c r="J16968" s="12"/>
      <c r="K16968" s="12"/>
      <c r="L16968" s="12"/>
      <c r="M16968" s="11"/>
      <c r="N16968" s="11"/>
      <c r="O16968" s="11"/>
      <c r="P16968" s="11"/>
    </row>
    <row r="16969" spans="8:16" x14ac:dyDescent="0.25">
      <c r="H16969" s="12"/>
      <c r="I16969" s="12"/>
      <c r="J16969" s="12"/>
      <c r="K16969" s="12"/>
      <c r="L16969" s="12"/>
      <c r="M16969" s="11"/>
      <c r="N16969" s="11"/>
      <c r="O16969" s="11"/>
      <c r="P16969" s="11"/>
    </row>
    <row r="16970" spans="8:16" x14ac:dyDescent="0.25">
      <c r="H16970" s="12"/>
      <c r="I16970" s="12"/>
      <c r="J16970" s="12"/>
      <c r="K16970" s="12"/>
      <c r="L16970" s="12"/>
      <c r="M16970" s="11"/>
      <c r="N16970" s="11"/>
      <c r="O16970" s="11"/>
      <c r="P16970" s="11"/>
    </row>
    <row r="16971" spans="8:16" x14ac:dyDescent="0.25">
      <c r="H16971" s="12"/>
      <c r="I16971" s="12"/>
      <c r="J16971" s="12"/>
      <c r="K16971" s="12"/>
      <c r="L16971" s="12"/>
      <c r="M16971" s="11"/>
      <c r="N16971" s="11"/>
      <c r="O16971" s="11"/>
      <c r="P16971" s="11"/>
    </row>
    <row r="16972" spans="8:16" x14ac:dyDescent="0.25">
      <c r="H16972" s="12"/>
      <c r="I16972" s="12"/>
      <c r="J16972" s="12"/>
      <c r="K16972" s="12"/>
      <c r="L16972" s="12"/>
      <c r="M16972" s="11"/>
      <c r="N16972" s="11"/>
      <c r="O16972" s="11"/>
      <c r="P16972" s="11"/>
    </row>
    <row r="16973" spans="8:16" x14ac:dyDescent="0.25">
      <c r="H16973" s="12"/>
      <c r="I16973" s="12"/>
      <c r="J16973" s="12"/>
      <c r="K16973" s="12"/>
      <c r="L16973" s="12"/>
      <c r="M16973" s="11"/>
      <c r="N16973" s="11"/>
      <c r="O16973" s="11"/>
      <c r="P16973" s="11"/>
    </row>
    <row r="16974" spans="8:16" x14ac:dyDescent="0.25">
      <c r="H16974" s="12"/>
      <c r="I16974" s="12"/>
      <c r="J16974" s="12"/>
      <c r="K16974" s="12"/>
      <c r="L16974" s="12"/>
      <c r="M16974" s="11"/>
      <c r="N16974" s="11"/>
      <c r="O16974" s="11"/>
      <c r="P16974" s="11"/>
    </row>
    <row r="16975" spans="8:16" x14ac:dyDescent="0.25">
      <c r="H16975" s="12"/>
      <c r="I16975" s="12"/>
      <c r="J16975" s="12"/>
      <c r="K16975" s="12"/>
      <c r="L16975" s="12"/>
      <c r="M16975" s="11"/>
      <c r="N16975" s="11"/>
      <c r="O16975" s="11"/>
      <c r="P16975" s="11"/>
    </row>
    <row r="16976" spans="8:16" x14ac:dyDescent="0.25">
      <c r="H16976" s="12"/>
      <c r="I16976" s="12"/>
      <c r="J16976" s="12"/>
      <c r="K16976" s="12"/>
      <c r="L16976" s="12"/>
      <c r="M16976" s="11"/>
      <c r="N16976" s="11"/>
      <c r="O16976" s="11"/>
      <c r="P16976" s="11"/>
    </row>
    <row r="16977" spans="8:16" x14ac:dyDescent="0.25">
      <c r="H16977" s="12"/>
      <c r="I16977" s="12"/>
      <c r="J16977" s="12"/>
      <c r="K16977" s="12"/>
      <c r="L16977" s="12"/>
      <c r="M16977" s="11"/>
      <c r="N16977" s="11"/>
      <c r="O16977" s="11"/>
      <c r="P16977" s="11"/>
    </row>
    <row r="16978" spans="8:16" x14ac:dyDescent="0.25">
      <c r="H16978" s="12"/>
      <c r="I16978" s="12"/>
      <c r="J16978" s="12"/>
      <c r="K16978" s="12"/>
      <c r="L16978" s="12"/>
      <c r="M16978" s="11"/>
      <c r="N16978" s="11"/>
      <c r="O16978" s="11"/>
      <c r="P16978" s="11"/>
    </row>
    <row r="16979" spans="8:16" x14ac:dyDescent="0.25">
      <c r="H16979" s="12"/>
      <c r="I16979" s="12"/>
      <c r="J16979" s="12"/>
      <c r="K16979" s="12"/>
      <c r="L16979" s="12"/>
      <c r="M16979" s="11"/>
      <c r="N16979" s="11"/>
      <c r="O16979" s="11"/>
      <c r="P16979" s="11"/>
    </row>
    <row r="16980" spans="8:16" x14ac:dyDescent="0.25">
      <c r="H16980" s="12"/>
      <c r="I16980" s="12"/>
      <c r="J16980" s="12"/>
      <c r="K16980" s="12"/>
      <c r="L16980" s="12"/>
      <c r="M16980" s="11"/>
      <c r="N16980" s="11"/>
      <c r="O16980" s="11"/>
      <c r="P16980" s="11"/>
    </row>
    <row r="16981" spans="8:16" x14ac:dyDescent="0.25">
      <c r="H16981" s="12"/>
      <c r="I16981" s="12"/>
      <c r="J16981" s="12"/>
      <c r="K16981" s="12"/>
      <c r="L16981" s="12"/>
      <c r="M16981" s="11"/>
      <c r="N16981" s="11"/>
      <c r="O16981" s="11"/>
      <c r="P16981" s="11"/>
    </row>
    <row r="16982" spans="8:16" x14ac:dyDescent="0.25">
      <c r="H16982" s="12"/>
      <c r="I16982" s="12"/>
      <c r="J16982" s="12"/>
      <c r="K16982" s="12"/>
      <c r="L16982" s="12"/>
      <c r="M16982" s="11"/>
      <c r="N16982" s="11"/>
      <c r="O16982" s="11"/>
      <c r="P16982" s="11"/>
    </row>
    <row r="16983" spans="8:16" x14ac:dyDescent="0.25">
      <c r="H16983" s="12"/>
      <c r="I16983" s="12"/>
      <c r="J16983" s="12"/>
      <c r="K16983" s="12"/>
      <c r="L16983" s="12"/>
      <c r="M16983" s="11"/>
      <c r="N16983" s="11"/>
      <c r="O16983" s="11"/>
      <c r="P16983" s="11"/>
    </row>
    <row r="16984" spans="8:16" x14ac:dyDescent="0.25">
      <c r="H16984" s="12"/>
      <c r="I16984" s="12"/>
      <c r="J16984" s="12"/>
      <c r="K16984" s="12"/>
      <c r="L16984" s="12"/>
      <c r="M16984" s="11"/>
      <c r="N16984" s="11"/>
      <c r="O16984" s="11"/>
      <c r="P16984" s="11"/>
    </row>
    <row r="16985" spans="8:16" x14ac:dyDescent="0.25">
      <c r="H16985" s="12"/>
      <c r="I16985" s="12"/>
      <c r="J16985" s="12"/>
      <c r="K16985" s="12"/>
      <c r="L16985" s="12"/>
      <c r="M16985" s="11"/>
      <c r="N16985" s="11"/>
      <c r="O16985" s="11"/>
      <c r="P16985" s="11"/>
    </row>
    <row r="16986" spans="8:16" x14ac:dyDescent="0.25">
      <c r="H16986" s="12"/>
      <c r="I16986" s="12"/>
      <c r="J16986" s="12"/>
      <c r="K16986" s="12"/>
      <c r="L16986" s="12"/>
      <c r="M16986" s="11"/>
      <c r="N16986" s="11"/>
      <c r="O16986" s="11"/>
      <c r="P16986" s="11"/>
    </row>
    <row r="16987" spans="8:16" x14ac:dyDescent="0.25">
      <c r="H16987" s="12"/>
      <c r="I16987" s="12"/>
      <c r="J16987" s="12"/>
      <c r="K16987" s="12"/>
      <c r="L16987" s="12"/>
      <c r="M16987" s="11"/>
      <c r="N16987" s="11"/>
      <c r="O16987" s="11"/>
      <c r="P16987" s="11"/>
    </row>
    <row r="16988" spans="8:16" x14ac:dyDescent="0.25">
      <c r="H16988" s="12"/>
      <c r="I16988" s="12"/>
      <c r="J16988" s="12"/>
      <c r="K16988" s="12"/>
      <c r="L16988" s="12"/>
      <c r="M16988" s="11"/>
      <c r="N16988" s="11"/>
      <c r="O16988" s="11"/>
      <c r="P16988" s="11"/>
    </row>
    <row r="16989" spans="8:16" x14ac:dyDescent="0.25">
      <c r="H16989" s="12"/>
      <c r="I16989" s="12"/>
      <c r="J16989" s="12"/>
      <c r="K16989" s="12"/>
      <c r="L16989" s="12"/>
      <c r="M16989" s="11"/>
      <c r="N16989" s="11"/>
      <c r="O16989" s="11"/>
      <c r="P16989" s="11"/>
    </row>
    <row r="16990" spans="8:16" x14ac:dyDescent="0.25">
      <c r="H16990" s="12"/>
      <c r="I16990" s="12"/>
      <c r="J16990" s="12"/>
      <c r="K16990" s="12"/>
      <c r="L16990" s="12"/>
      <c r="M16990" s="11"/>
      <c r="N16990" s="11"/>
      <c r="O16990" s="11"/>
      <c r="P16990" s="11"/>
    </row>
    <row r="16991" spans="8:16" x14ac:dyDescent="0.25">
      <c r="H16991" s="12"/>
      <c r="I16991" s="12"/>
      <c r="J16991" s="12"/>
      <c r="K16991" s="12"/>
      <c r="L16991" s="12"/>
      <c r="M16991" s="11"/>
      <c r="N16991" s="11"/>
      <c r="O16991" s="11"/>
      <c r="P16991" s="11"/>
    </row>
    <row r="16992" spans="8:16" x14ac:dyDescent="0.25">
      <c r="H16992" s="12"/>
      <c r="I16992" s="12"/>
      <c r="J16992" s="12"/>
      <c r="K16992" s="12"/>
      <c r="L16992" s="12"/>
      <c r="M16992" s="11"/>
      <c r="N16992" s="11"/>
      <c r="O16992" s="11"/>
      <c r="P16992" s="11"/>
    </row>
    <row r="16993" spans="8:16" x14ac:dyDescent="0.25">
      <c r="H16993" s="12"/>
      <c r="I16993" s="12"/>
      <c r="J16993" s="12"/>
      <c r="K16993" s="12"/>
      <c r="L16993" s="12"/>
      <c r="M16993" s="11"/>
      <c r="N16993" s="11"/>
      <c r="O16993" s="11"/>
      <c r="P16993" s="11"/>
    </row>
    <row r="16994" spans="8:16" x14ac:dyDescent="0.25">
      <c r="H16994" s="12"/>
      <c r="I16994" s="12"/>
      <c r="J16994" s="12"/>
      <c r="K16994" s="12"/>
      <c r="L16994" s="12"/>
      <c r="M16994" s="11"/>
      <c r="N16994" s="11"/>
      <c r="O16994" s="11"/>
      <c r="P16994" s="11"/>
    </row>
    <row r="16995" spans="8:16" x14ac:dyDescent="0.25">
      <c r="H16995" s="12"/>
      <c r="I16995" s="12"/>
      <c r="J16995" s="12"/>
      <c r="K16995" s="12"/>
      <c r="L16995" s="12"/>
      <c r="M16995" s="11"/>
      <c r="N16995" s="11"/>
      <c r="O16995" s="11"/>
      <c r="P16995" s="11"/>
    </row>
    <row r="16996" spans="8:16" x14ac:dyDescent="0.25">
      <c r="H16996" s="12"/>
      <c r="I16996" s="12"/>
      <c r="J16996" s="12"/>
      <c r="K16996" s="12"/>
      <c r="L16996" s="12"/>
      <c r="M16996" s="11"/>
      <c r="N16996" s="11"/>
      <c r="O16996" s="11"/>
      <c r="P16996" s="11"/>
    </row>
    <row r="16997" spans="8:16" x14ac:dyDescent="0.25">
      <c r="H16997" s="12"/>
      <c r="I16997" s="12"/>
      <c r="J16997" s="12"/>
      <c r="K16997" s="12"/>
      <c r="L16997" s="12"/>
      <c r="M16997" s="11"/>
      <c r="N16997" s="11"/>
      <c r="O16997" s="11"/>
      <c r="P16997" s="11"/>
    </row>
    <row r="16998" spans="8:16" x14ac:dyDescent="0.25">
      <c r="H16998" s="12"/>
      <c r="I16998" s="12"/>
      <c r="J16998" s="12"/>
      <c r="K16998" s="12"/>
      <c r="L16998" s="12"/>
      <c r="M16998" s="11"/>
      <c r="N16998" s="11"/>
      <c r="O16998" s="11"/>
      <c r="P16998" s="11"/>
    </row>
    <row r="16999" spans="8:16" x14ac:dyDescent="0.25">
      <c r="H16999" s="12"/>
      <c r="I16999" s="12"/>
      <c r="J16999" s="12"/>
      <c r="K16999" s="12"/>
      <c r="L16999" s="12"/>
      <c r="M16999" s="11"/>
      <c r="N16999" s="11"/>
      <c r="O16999" s="11"/>
      <c r="P16999" s="11"/>
    </row>
    <row r="17000" spans="8:16" x14ac:dyDescent="0.25">
      <c r="H17000" s="12"/>
      <c r="I17000" s="12"/>
      <c r="J17000" s="12"/>
      <c r="K17000" s="12"/>
      <c r="L17000" s="12"/>
      <c r="M17000" s="11"/>
      <c r="N17000" s="11"/>
      <c r="O17000" s="11"/>
      <c r="P17000" s="11"/>
    </row>
    <row r="17001" spans="8:16" x14ac:dyDescent="0.25">
      <c r="H17001" s="12"/>
      <c r="I17001" s="12"/>
      <c r="J17001" s="12"/>
      <c r="K17001" s="12"/>
      <c r="L17001" s="12"/>
      <c r="M17001" s="11"/>
      <c r="N17001" s="11"/>
      <c r="O17001" s="11"/>
      <c r="P17001" s="11"/>
    </row>
    <row r="17002" spans="8:16" x14ac:dyDescent="0.25">
      <c r="H17002" s="12"/>
      <c r="I17002" s="12"/>
      <c r="J17002" s="12"/>
      <c r="K17002" s="12"/>
      <c r="L17002" s="12"/>
      <c r="M17002" s="11"/>
      <c r="N17002" s="11"/>
      <c r="O17002" s="11"/>
      <c r="P17002" s="11"/>
    </row>
    <row r="17003" spans="8:16" x14ac:dyDescent="0.25">
      <c r="H17003" s="12"/>
      <c r="I17003" s="12"/>
      <c r="J17003" s="12"/>
      <c r="K17003" s="12"/>
      <c r="L17003" s="12"/>
      <c r="M17003" s="11"/>
      <c r="N17003" s="11"/>
      <c r="O17003" s="11"/>
      <c r="P17003" s="11"/>
    </row>
    <row r="17004" spans="8:16" x14ac:dyDescent="0.25">
      <c r="H17004" s="12"/>
      <c r="I17004" s="12"/>
      <c r="J17004" s="12"/>
      <c r="K17004" s="12"/>
      <c r="L17004" s="12"/>
      <c r="M17004" s="11"/>
      <c r="N17004" s="11"/>
      <c r="O17004" s="11"/>
      <c r="P17004" s="11"/>
    </row>
    <row r="17005" spans="8:16" x14ac:dyDescent="0.25">
      <c r="H17005" s="12"/>
      <c r="I17005" s="12"/>
      <c r="J17005" s="12"/>
      <c r="K17005" s="12"/>
      <c r="L17005" s="12"/>
      <c r="M17005" s="11"/>
      <c r="N17005" s="11"/>
      <c r="O17005" s="11"/>
      <c r="P17005" s="11"/>
    </row>
    <row r="17006" spans="8:16" x14ac:dyDescent="0.25">
      <c r="H17006" s="12"/>
      <c r="I17006" s="12"/>
      <c r="J17006" s="12"/>
      <c r="K17006" s="12"/>
      <c r="L17006" s="12"/>
      <c r="M17006" s="11"/>
      <c r="N17006" s="11"/>
      <c r="O17006" s="11"/>
      <c r="P17006" s="11"/>
    </row>
    <row r="17007" spans="8:16" x14ac:dyDescent="0.25">
      <c r="H17007" s="12"/>
      <c r="I17007" s="12"/>
      <c r="J17007" s="12"/>
      <c r="K17007" s="12"/>
      <c r="L17007" s="12"/>
      <c r="M17007" s="11"/>
      <c r="N17007" s="11"/>
      <c r="O17007" s="11"/>
      <c r="P17007" s="11"/>
    </row>
    <row r="17008" spans="8:16" x14ac:dyDescent="0.25">
      <c r="H17008" s="12"/>
      <c r="I17008" s="12"/>
      <c r="J17008" s="12"/>
      <c r="K17008" s="12"/>
      <c r="L17008" s="12"/>
      <c r="M17008" s="11"/>
      <c r="N17008" s="11"/>
      <c r="O17008" s="11"/>
      <c r="P17008" s="11"/>
    </row>
    <row r="17009" spans="8:16" x14ac:dyDescent="0.25">
      <c r="H17009" s="12"/>
      <c r="I17009" s="12"/>
      <c r="J17009" s="12"/>
      <c r="K17009" s="12"/>
      <c r="L17009" s="12"/>
      <c r="M17009" s="11"/>
      <c r="N17009" s="11"/>
      <c r="O17009" s="11"/>
      <c r="P17009" s="11"/>
    </row>
    <row r="17010" spans="8:16" x14ac:dyDescent="0.25">
      <c r="H17010" s="12"/>
      <c r="I17010" s="12"/>
      <c r="J17010" s="12"/>
      <c r="K17010" s="12"/>
      <c r="L17010" s="12"/>
      <c r="M17010" s="11"/>
      <c r="N17010" s="11"/>
      <c r="O17010" s="11"/>
      <c r="P17010" s="11"/>
    </row>
    <row r="17011" spans="8:16" x14ac:dyDescent="0.25">
      <c r="H17011" s="12"/>
      <c r="I17011" s="12"/>
      <c r="J17011" s="12"/>
      <c r="K17011" s="12"/>
      <c r="L17011" s="12"/>
      <c r="M17011" s="11"/>
      <c r="N17011" s="11"/>
      <c r="O17011" s="11"/>
      <c r="P17011" s="11"/>
    </row>
    <row r="17012" spans="8:16" x14ac:dyDescent="0.25">
      <c r="H17012" s="12"/>
      <c r="I17012" s="12"/>
      <c r="J17012" s="12"/>
      <c r="K17012" s="12"/>
      <c r="L17012" s="12"/>
      <c r="M17012" s="11"/>
      <c r="N17012" s="11"/>
      <c r="O17012" s="11"/>
      <c r="P17012" s="11"/>
    </row>
    <row r="17013" spans="8:16" x14ac:dyDescent="0.25">
      <c r="H17013" s="12"/>
      <c r="I17013" s="12"/>
      <c r="J17013" s="12"/>
      <c r="K17013" s="12"/>
      <c r="L17013" s="12"/>
      <c r="M17013" s="11"/>
      <c r="N17013" s="11"/>
      <c r="O17013" s="11"/>
      <c r="P17013" s="11"/>
    </row>
    <row r="17014" spans="8:16" x14ac:dyDescent="0.25">
      <c r="H17014" s="12"/>
      <c r="I17014" s="12"/>
      <c r="J17014" s="12"/>
      <c r="K17014" s="12"/>
      <c r="L17014" s="12"/>
      <c r="M17014" s="11"/>
      <c r="N17014" s="11"/>
      <c r="O17014" s="11"/>
      <c r="P17014" s="11"/>
    </row>
    <row r="17015" spans="8:16" x14ac:dyDescent="0.25">
      <c r="H17015" s="12"/>
      <c r="I17015" s="12"/>
      <c r="J17015" s="12"/>
      <c r="K17015" s="12"/>
      <c r="L17015" s="12"/>
      <c r="M17015" s="11"/>
      <c r="N17015" s="11"/>
      <c r="O17015" s="11"/>
      <c r="P17015" s="11"/>
    </row>
    <row r="17016" spans="8:16" x14ac:dyDescent="0.25">
      <c r="H17016" s="12"/>
      <c r="I17016" s="12"/>
      <c r="J17016" s="12"/>
      <c r="K17016" s="12"/>
      <c r="L17016" s="12"/>
      <c r="M17016" s="11"/>
      <c r="N17016" s="11"/>
      <c r="O17016" s="11"/>
      <c r="P17016" s="11"/>
    </row>
    <row r="17017" spans="8:16" x14ac:dyDescent="0.25">
      <c r="H17017" s="12"/>
      <c r="I17017" s="12"/>
      <c r="J17017" s="12"/>
      <c r="K17017" s="12"/>
      <c r="L17017" s="12"/>
      <c r="M17017" s="11"/>
      <c r="N17017" s="11"/>
      <c r="O17017" s="11"/>
      <c r="P17017" s="11"/>
    </row>
    <row r="17018" spans="8:16" x14ac:dyDescent="0.25">
      <c r="H17018" s="12"/>
      <c r="I17018" s="12"/>
      <c r="J17018" s="12"/>
      <c r="K17018" s="12"/>
      <c r="L17018" s="12"/>
      <c r="M17018" s="11"/>
      <c r="N17018" s="11"/>
      <c r="O17018" s="11"/>
      <c r="P17018" s="11"/>
    </row>
    <row r="17019" spans="8:16" x14ac:dyDescent="0.25">
      <c r="H17019" s="12"/>
      <c r="I17019" s="12"/>
      <c r="J17019" s="12"/>
      <c r="K17019" s="12"/>
      <c r="L17019" s="12"/>
      <c r="M17019" s="11"/>
      <c r="N17019" s="11"/>
      <c r="O17019" s="11"/>
      <c r="P17019" s="11"/>
    </row>
    <row r="17020" spans="8:16" x14ac:dyDescent="0.25">
      <c r="H17020" s="12"/>
      <c r="I17020" s="12"/>
      <c r="J17020" s="12"/>
      <c r="K17020" s="12"/>
      <c r="L17020" s="12"/>
      <c r="M17020" s="11"/>
      <c r="N17020" s="11"/>
      <c r="O17020" s="11"/>
      <c r="P17020" s="11"/>
    </row>
    <row r="17021" spans="8:16" x14ac:dyDescent="0.25">
      <c r="H17021" s="12"/>
      <c r="I17021" s="12"/>
      <c r="J17021" s="12"/>
      <c r="K17021" s="12"/>
      <c r="L17021" s="12"/>
      <c r="M17021" s="11"/>
      <c r="N17021" s="11"/>
      <c r="O17021" s="11"/>
      <c r="P17021" s="11"/>
    </row>
    <row r="17022" spans="8:16" x14ac:dyDescent="0.25">
      <c r="H17022" s="12"/>
      <c r="I17022" s="12"/>
      <c r="J17022" s="12"/>
      <c r="K17022" s="12"/>
      <c r="L17022" s="12"/>
      <c r="M17022" s="11"/>
      <c r="N17022" s="11"/>
      <c r="O17022" s="11"/>
      <c r="P17022" s="11"/>
    </row>
    <row r="17023" spans="8:16" x14ac:dyDescent="0.25">
      <c r="H17023" s="12"/>
      <c r="I17023" s="12"/>
      <c r="J17023" s="12"/>
      <c r="K17023" s="12"/>
      <c r="L17023" s="12"/>
      <c r="M17023" s="11"/>
      <c r="N17023" s="11"/>
      <c r="O17023" s="11"/>
      <c r="P17023" s="11"/>
    </row>
    <row r="17024" spans="8:16" x14ac:dyDescent="0.25">
      <c r="H17024" s="12"/>
      <c r="I17024" s="12"/>
      <c r="J17024" s="12"/>
      <c r="K17024" s="12"/>
      <c r="L17024" s="12"/>
      <c r="M17024" s="11"/>
      <c r="N17024" s="11"/>
      <c r="O17024" s="11"/>
      <c r="P17024" s="11"/>
    </row>
    <row r="17025" spans="8:16" x14ac:dyDescent="0.25">
      <c r="H17025" s="12"/>
      <c r="I17025" s="12"/>
      <c r="J17025" s="12"/>
      <c r="K17025" s="12"/>
      <c r="L17025" s="12"/>
      <c r="M17025" s="11"/>
      <c r="N17025" s="11"/>
      <c r="O17025" s="11"/>
      <c r="P17025" s="11"/>
    </row>
    <row r="17026" spans="8:16" x14ac:dyDescent="0.25">
      <c r="H17026" s="12"/>
      <c r="I17026" s="12"/>
      <c r="J17026" s="12"/>
      <c r="K17026" s="12"/>
      <c r="L17026" s="12"/>
      <c r="M17026" s="11"/>
      <c r="N17026" s="11"/>
      <c r="O17026" s="11"/>
      <c r="P17026" s="11"/>
    </row>
    <row r="17027" spans="8:16" x14ac:dyDescent="0.25">
      <c r="H17027" s="12"/>
      <c r="I17027" s="12"/>
      <c r="J17027" s="12"/>
      <c r="K17027" s="12"/>
      <c r="L17027" s="12"/>
      <c r="M17027" s="11"/>
      <c r="N17027" s="11"/>
      <c r="O17027" s="11"/>
      <c r="P17027" s="11"/>
    </row>
    <row r="17028" spans="8:16" x14ac:dyDescent="0.25">
      <c r="H17028" s="12"/>
      <c r="I17028" s="12"/>
      <c r="J17028" s="12"/>
      <c r="K17028" s="12"/>
      <c r="L17028" s="12"/>
      <c r="M17028" s="11"/>
      <c r="N17028" s="11"/>
      <c r="O17028" s="11"/>
      <c r="P17028" s="11"/>
    </row>
    <row r="17029" spans="8:16" x14ac:dyDescent="0.25">
      <c r="H17029" s="12"/>
      <c r="I17029" s="12"/>
      <c r="J17029" s="12"/>
      <c r="K17029" s="12"/>
      <c r="L17029" s="12"/>
      <c r="M17029" s="11"/>
      <c r="N17029" s="11"/>
      <c r="O17029" s="11"/>
      <c r="P17029" s="11"/>
    </row>
    <row r="17030" spans="8:16" x14ac:dyDescent="0.25">
      <c r="H17030" s="12"/>
      <c r="I17030" s="12"/>
      <c r="J17030" s="12"/>
      <c r="K17030" s="12"/>
      <c r="L17030" s="12"/>
      <c r="M17030" s="11"/>
      <c r="N17030" s="11"/>
      <c r="O17030" s="11"/>
      <c r="P17030" s="11"/>
    </row>
    <row r="17031" spans="8:16" x14ac:dyDescent="0.25">
      <c r="H17031" s="12"/>
      <c r="I17031" s="12"/>
      <c r="J17031" s="12"/>
      <c r="K17031" s="12"/>
      <c r="L17031" s="12"/>
      <c r="M17031" s="11"/>
      <c r="N17031" s="11"/>
      <c r="O17031" s="11"/>
      <c r="P17031" s="11"/>
    </row>
    <row r="17032" spans="8:16" x14ac:dyDescent="0.25">
      <c r="H17032" s="12"/>
      <c r="I17032" s="12"/>
      <c r="J17032" s="12"/>
      <c r="K17032" s="12"/>
      <c r="L17032" s="12"/>
      <c r="M17032" s="11"/>
      <c r="N17032" s="11"/>
      <c r="O17032" s="11"/>
      <c r="P17032" s="11"/>
    </row>
    <row r="17033" spans="8:16" x14ac:dyDescent="0.25">
      <c r="H17033" s="12"/>
      <c r="I17033" s="12"/>
      <c r="J17033" s="12"/>
      <c r="K17033" s="12"/>
      <c r="L17033" s="12"/>
      <c r="M17033" s="11"/>
      <c r="N17033" s="11"/>
      <c r="O17033" s="11"/>
      <c r="P17033" s="11"/>
    </row>
    <row r="17034" spans="8:16" x14ac:dyDescent="0.25">
      <c r="H17034" s="12"/>
      <c r="I17034" s="12"/>
      <c r="J17034" s="12"/>
      <c r="K17034" s="12"/>
      <c r="L17034" s="12"/>
      <c r="M17034" s="11"/>
      <c r="N17034" s="11"/>
      <c r="O17034" s="11"/>
      <c r="P17034" s="11"/>
    </row>
    <row r="17035" spans="8:16" x14ac:dyDescent="0.25">
      <c r="H17035" s="12"/>
      <c r="I17035" s="12"/>
      <c r="J17035" s="12"/>
      <c r="K17035" s="12"/>
      <c r="L17035" s="12"/>
      <c r="M17035" s="11"/>
      <c r="N17035" s="11"/>
      <c r="O17035" s="11"/>
      <c r="P17035" s="11"/>
    </row>
    <row r="17036" spans="8:16" x14ac:dyDescent="0.25">
      <c r="H17036" s="12"/>
      <c r="I17036" s="12"/>
      <c r="J17036" s="12"/>
      <c r="K17036" s="12"/>
      <c r="L17036" s="12"/>
      <c r="M17036" s="11"/>
      <c r="N17036" s="11"/>
      <c r="O17036" s="11"/>
      <c r="P17036" s="11"/>
    </row>
    <row r="17037" spans="8:16" x14ac:dyDescent="0.25">
      <c r="H17037" s="12"/>
      <c r="I17037" s="12"/>
      <c r="J17037" s="12"/>
      <c r="K17037" s="12"/>
      <c r="L17037" s="12"/>
      <c r="M17037" s="11"/>
      <c r="N17037" s="11"/>
      <c r="O17037" s="11"/>
      <c r="P17037" s="11"/>
    </row>
    <row r="17038" spans="8:16" x14ac:dyDescent="0.25">
      <c r="H17038" s="12"/>
      <c r="I17038" s="12"/>
      <c r="J17038" s="12"/>
      <c r="K17038" s="12"/>
      <c r="L17038" s="12"/>
      <c r="M17038" s="11"/>
      <c r="N17038" s="11"/>
      <c r="O17038" s="11"/>
      <c r="P17038" s="11"/>
    </row>
    <row r="17039" spans="8:16" x14ac:dyDescent="0.25">
      <c r="H17039" s="12"/>
      <c r="I17039" s="12"/>
      <c r="J17039" s="12"/>
      <c r="K17039" s="12"/>
      <c r="L17039" s="12"/>
      <c r="M17039" s="11"/>
      <c r="N17039" s="11"/>
      <c r="O17039" s="11"/>
      <c r="P17039" s="11"/>
    </row>
    <row r="17040" spans="8:16" x14ac:dyDescent="0.25">
      <c r="H17040" s="12"/>
      <c r="I17040" s="12"/>
      <c r="J17040" s="12"/>
      <c r="K17040" s="12"/>
      <c r="L17040" s="12"/>
      <c r="M17040" s="11"/>
      <c r="N17040" s="11"/>
      <c r="O17040" s="11"/>
      <c r="P17040" s="11"/>
    </row>
    <row r="17041" spans="8:16" x14ac:dyDescent="0.25">
      <c r="H17041" s="12"/>
      <c r="I17041" s="12"/>
      <c r="J17041" s="12"/>
      <c r="K17041" s="12"/>
      <c r="L17041" s="12"/>
      <c r="M17041" s="11"/>
      <c r="N17041" s="11"/>
      <c r="O17041" s="11"/>
      <c r="P17041" s="11"/>
    </row>
    <row r="17042" spans="8:16" x14ac:dyDescent="0.25">
      <c r="H17042" s="12"/>
      <c r="I17042" s="12"/>
      <c r="J17042" s="12"/>
      <c r="K17042" s="12"/>
      <c r="L17042" s="12"/>
      <c r="M17042" s="11"/>
      <c r="N17042" s="11"/>
      <c r="O17042" s="11"/>
      <c r="P17042" s="11"/>
    </row>
    <row r="17043" spans="8:16" x14ac:dyDescent="0.25">
      <c r="H17043" s="12"/>
      <c r="I17043" s="12"/>
      <c r="J17043" s="12"/>
      <c r="K17043" s="12"/>
      <c r="L17043" s="12"/>
      <c r="M17043" s="11"/>
      <c r="N17043" s="11"/>
      <c r="O17043" s="11"/>
      <c r="P17043" s="11"/>
    </row>
    <row r="17044" spans="8:16" x14ac:dyDescent="0.25">
      <c r="H17044" s="12"/>
      <c r="I17044" s="12"/>
      <c r="J17044" s="12"/>
      <c r="K17044" s="12"/>
      <c r="L17044" s="12"/>
      <c r="M17044" s="11"/>
      <c r="N17044" s="11"/>
      <c r="O17044" s="11"/>
      <c r="P17044" s="11"/>
    </row>
    <row r="17045" spans="8:16" x14ac:dyDescent="0.25">
      <c r="H17045" s="12"/>
      <c r="I17045" s="12"/>
      <c r="J17045" s="12"/>
      <c r="K17045" s="12"/>
      <c r="L17045" s="12"/>
      <c r="M17045" s="11"/>
      <c r="N17045" s="11"/>
      <c r="O17045" s="11"/>
      <c r="P17045" s="11"/>
    </row>
    <row r="17046" spans="8:16" x14ac:dyDescent="0.25">
      <c r="H17046" s="12"/>
      <c r="I17046" s="12"/>
      <c r="J17046" s="12"/>
      <c r="K17046" s="12"/>
      <c r="L17046" s="12"/>
      <c r="M17046" s="11"/>
      <c r="N17046" s="11"/>
      <c r="O17046" s="11"/>
      <c r="P17046" s="11"/>
    </row>
    <row r="17047" spans="8:16" x14ac:dyDescent="0.25">
      <c r="H17047" s="12"/>
      <c r="I17047" s="12"/>
      <c r="J17047" s="12"/>
      <c r="K17047" s="12"/>
      <c r="L17047" s="12"/>
      <c r="M17047" s="11"/>
      <c r="N17047" s="11"/>
      <c r="O17047" s="11"/>
      <c r="P17047" s="11"/>
    </row>
    <row r="17048" spans="8:16" x14ac:dyDescent="0.25">
      <c r="H17048" s="12"/>
      <c r="I17048" s="12"/>
      <c r="J17048" s="12"/>
      <c r="K17048" s="12"/>
      <c r="L17048" s="12"/>
      <c r="M17048" s="11"/>
      <c r="N17048" s="11"/>
      <c r="O17048" s="11"/>
      <c r="P17048" s="11"/>
    </row>
    <row r="17049" spans="8:16" x14ac:dyDescent="0.25">
      <c r="H17049" s="12"/>
      <c r="I17049" s="12"/>
      <c r="J17049" s="12"/>
      <c r="K17049" s="12"/>
      <c r="L17049" s="12"/>
      <c r="M17049" s="11"/>
      <c r="N17049" s="11"/>
      <c r="O17049" s="11"/>
      <c r="P17049" s="11"/>
    </row>
    <row r="17050" spans="8:16" x14ac:dyDescent="0.25">
      <c r="H17050" s="12"/>
      <c r="I17050" s="12"/>
      <c r="J17050" s="12"/>
      <c r="K17050" s="12"/>
      <c r="L17050" s="12"/>
      <c r="M17050" s="11"/>
      <c r="N17050" s="11"/>
      <c r="O17050" s="11"/>
      <c r="P17050" s="11"/>
    </row>
    <row r="17051" spans="8:16" x14ac:dyDescent="0.25">
      <c r="H17051" s="12"/>
      <c r="I17051" s="12"/>
      <c r="J17051" s="12"/>
      <c r="K17051" s="12"/>
      <c r="L17051" s="12"/>
      <c r="M17051" s="11"/>
      <c r="N17051" s="11"/>
      <c r="O17051" s="11"/>
      <c r="P17051" s="11"/>
    </row>
    <row r="17052" spans="8:16" x14ac:dyDescent="0.25">
      <c r="H17052" s="12"/>
      <c r="I17052" s="12"/>
      <c r="J17052" s="12"/>
      <c r="K17052" s="12"/>
      <c r="L17052" s="12"/>
      <c r="M17052" s="11"/>
      <c r="N17052" s="11"/>
      <c r="O17052" s="11"/>
      <c r="P17052" s="11"/>
    </row>
    <row r="17053" spans="8:16" x14ac:dyDescent="0.25">
      <c r="H17053" s="12"/>
      <c r="I17053" s="12"/>
      <c r="J17053" s="12"/>
      <c r="K17053" s="12"/>
      <c r="L17053" s="12"/>
      <c r="M17053" s="11"/>
      <c r="N17053" s="11"/>
      <c r="O17053" s="11"/>
      <c r="P17053" s="11"/>
    </row>
    <row r="17054" spans="8:16" x14ac:dyDescent="0.25">
      <c r="H17054" s="12"/>
      <c r="I17054" s="12"/>
      <c r="J17054" s="12"/>
      <c r="K17054" s="12"/>
      <c r="L17054" s="12"/>
      <c r="M17054" s="11"/>
      <c r="N17054" s="11"/>
      <c r="O17054" s="11"/>
      <c r="P17054" s="11"/>
    </row>
    <row r="17055" spans="8:16" x14ac:dyDescent="0.25">
      <c r="H17055" s="12"/>
      <c r="I17055" s="12"/>
      <c r="J17055" s="12"/>
      <c r="K17055" s="12"/>
      <c r="L17055" s="12"/>
      <c r="M17055" s="11"/>
      <c r="N17055" s="11"/>
      <c r="O17055" s="11"/>
      <c r="P17055" s="11"/>
    </row>
    <row r="17056" spans="8:16" x14ac:dyDescent="0.25">
      <c r="H17056" s="12"/>
      <c r="I17056" s="12"/>
      <c r="J17056" s="12"/>
      <c r="K17056" s="12"/>
      <c r="L17056" s="12"/>
      <c r="M17056" s="11"/>
      <c r="N17056" s="11"/>
      <c r="O17056" s="11"/>
      <c r="P17056" s="11"/>
    </row>
    <row r="17057" spans="8:16" x14ac:dyDescent="0.25">
      <c r="H17057" s="12"/>
      <c r="I17057" s="12"/>
      <c r="J17057" s="12"/>
      <c r="K17057" s="12"/>
      <c r="L17057" s="12"/>
      <c r="M17057" s="11"/>
      <c r="N17057" s="11"/>
      <c r="O17057" s="11"/>
      <c r="P17057" s="11"/>
    </row>
    <row r="17058" spans="8:16" x14ac:dyDescent="0.25">
      <c r="H17058" s="12"/>
      <c r="I17058" s="12"/>
      <c r="J17058" s="12"/>
      <c r="K17058" s="12"/>
      <c r="L17058" s="12"/>
      <c r="M17058" s="11"/>
      <c r="N17058" s="11"/>
      <c r="O17058" s="11"/>
      <c r="P17058" s="11"/>
    </row>
    <row r="17059" spans="8:16" x14ac:dyDescent="0.25">
      <c r="H17059" s="12"/>
      <c r="I17059" s="12"/>
      <c r="J17059" s="12"/>
      <c r="K17059" s="12"/>
      <c r="L17059" s="12"/>
      <c r="M17059" s="11"/>
      <c r="N17059" s="11"/>
      <c r="O17059" s="11"/>
      <c r="P17059" s="11"/>
    </row>
    <row r="17060" spans="8:16" x14ac:dyDescent="0.25">
      <c r="H17060" s="12"/>
      <c r="I17060" s="12"/>
      <c r="J17060" s="12"/>
      <c r="K17060" s="12"/>
      <c r="L17060" s="12"/>
      <c r="M17060" s="11"/>
      <c r="N17060" s="11"/>
      <c r="O17060" s="11"/>
      <c r="P17060" s="11"/>
    </row>
    <row r="17061" spans="8:16" x14ac:dyDescent="0.25">
      <c r="H17061" s="12"/>
      <c r="I17061" s="12"/>
      <c r="J17061" s="12"/>
      <c r="K17061" s="12"/>
      <c r="L17061" s="12"/>
      <c r="M17061" s="11"/>
      <c r="N17061" s="11"/>
      <c r="O17061" s="11"/>
      <c r="P17061" s="11"/>
    </row>
    <row r="17062" spans="8:16" x14ac:dyDescent="0.25">
      <c r="H17062" s="12"/>
      <c r="I17062" s="12"/>
      <c r="J17062" s="12"/>
      <c r="K17062" s="12"/>
      <c r="L17062" s="12"/>
      <c r="M17062" s="11"/>
      <c r="N17062" s="11"/>
      <c r="O17062" s="11"/>
      <c r="P17062" s="11"/>
    </row>
    <row r="17063" spans="8:16" x14ac:dyDescent="0.25">
      <c r="H17063" s="12"/>
      <c r="I17063" s="12"/>
      <c r="J17063" s="12"/>
      <c r="K17063" s="12"/>
      <c r="L17063" s="12"/>
      <c r="M17063" s="11"/>
      <c r="N17063" s="11"/>
      <c r="O17063" s="11"/>
      <c r="P17063" s="11"/>
    </row>
    <row r="17064" spans="8:16" x14ac:dyDescent="0.25">
      <c r="H17064" s="12"/>
      <c r="I17064" s="12"/>
      <c r="J17064" s="12"/>
      <c r="K17064" s="12"/>
      <c r="L17064" s="12"/>
      <c r="M17064" s="11"/>
      <c r="N17064" s="11"/>
      <c r="O17064" s="11"/>
      <c r="P17064" s="11"/>
    </row>
    <row r="17065" spans="8:16" x14ac:dyDescent="0.25">
      <c r="H17065" s="12"/>
      <c r="I17065" s="12"/>
      <c r="J17065" s="12"/>
      <c r="K17065" s="12"/>
      <c r="L17065" s="12"/>
      <c r="M17065" s="11"/>
      <c r="N17065" s="11"/>
      <c r="O17065" s="11"/>
      <c r="P17065" s="11"/>
    </row>
    <row r="17066" spans="8:16" x14ac:dyDescent="0.25">
      <c r="H17066" s="12"/>
      <c r="I17066" s="12"/>
      <c r="J17066" s="12"/>
      <c r="K17066" s="12"/>
      <c r="L17066" s="12"/>
      <c r="M17066" s="11"/>
      <c r="N17066" s="11"/>
      <c r="O17066" s="11"/>
      <c r="P17066" s="11"/>
    </row>
    <row r="17067" spans="8:16" x14ac:dyDescent="0.25">
      <c r="H17067" s="12"/>
      <c r="I17067" s="12"/>
      <c r="J17067" s="12"/>
      <c r="K17067" s="12"/>
      <c r="L17067" s="12"/>
      <c r="M17067" s="11"/>
      <c r="N17067" s="11"/>
      <c r="O17067" s="11"/>
      <c r="P17067" s="11"/>
    </row>
    <row r="17068" spans="8:16" x14ac:dyDescent="0.25">
      <c r="H17068" s="12"/>
      <c r="I17068" s="12"/>
      <c r="J17068" s="12"/>
      <c r="K17068" s="12"/>
      <c r="L17068" s="12"/>
      <c r="M17068" s="11"/>
      <c r="N17068" s="11"/>
      <c r="O17068" s="11"/>
      <c r="P17068" s="11"/>
    </row>
    <row r="17069" spans="8:16" x14ac:dyDescent="0.25">
      <c r="H17069" s="12"/>
      <c r="I17069" s="12"/>
      <c r="J17069" s="12"/>
      <c r="K17069" s="12"/>
      <c r="L17069" s="12"/>
      <c r="M17069" s="11"/>
      <c r="N17069" s="11"/>
      <c r="O17069" s="11"/>
      <c r="P17069" s="11"/>
    </row>
    <row r="17070" spans="8:16" x14ac:dyDescent="0.25">
      <c r="H17070" s="12"/>
      <c r="I17070" s="12"/>
      <c r="J17070" s="12"/>
      <c r="K17070" s="12"/>
      <c r="L17070" s="12"/>
      <c r="M17070" s="11"/>
      <c r="N17070" s="11"/>
      <c r="O17070" s="11"/>
      <c r="P17070" s="11"/>
    </row>
    <row r="17071" spans="8:16" x14ac:dyDescent="0.25">
      <c r="H17071" s="12"/>
      <c r="I17071" s="12"/>
      <c r="J17071" s="12"/>
      <c r="K17071" s="12"/>
      <c r="L17071" s="12"/>
      <c r="M17071" s="11"/>
      <c r="N17071" s="11"/>
      <c r="O17071" s="11"/>
      <c r="P17071" s="11"/>
    </row>
    <row r="17072" spans="8:16" x14ac:dyDescent="0.25">
      <c r="H17072" s="12"/>
      <c r="I17072" s="12"/>
      <c r="J17072" s="12"/>
      <c r="K17072" s="12"/>
      <c r="L17072" s="12"/>
      <c r="M17072" s="11"/>
      <c r="N17072" s="11"/>
      <c r="O17072" s="11"/>
      <c r="P17072" s="11"/>
    </row>
    <row r="17073" spans="8:16" x14ac:dyDescent="0.25">
      <c r="H17073" s="12"/>
      <c r="I17073" s="12"/>
      <c r="J17073" s="12"/>
      <c r="K17073" s="12"/>
      <c r="L17073" s="12"/>
      <c r="M17073" s="11"/>
      <c r="N17073" s="11"/>
      <c r="O17073" s="11"/>
      <c r="P17073" s="11"/>
    </row>
    <row r="17074" spans="8:16" x14ac:dyDescent="0.25">
      <c r="H17074" s="12"/>
      <c r="I17074" s="12"/>
      <c r="J17074" s="12"/>
      <c r="K17074" s="12"/>
      <c r="L17074" s="12"/>
      <c r="M17074" s="11"/>
      <c r="N17074" s="11"/>
      <c r="O17074" s="11"/>
      <c r="P17074" s="11"/>
    </row>
    <row r="17075" spans="8:16" x14ac:dyDescent="0.25">
      <c r="H17075" s="12"/>
      <c r="I17075" s="12"/>
      <c r="J17075" s="12"/>
      <c r="K17075" s="12"/>
      <c r="L17075" s="12"/>
      <c r="M17075" s="11"/>
      <c r="N17075" s="11"/>
      <c r="O17075" s="11"/>
      <c r="P17075" s="11"/>
    </row>
    <row r="17076" spans="8:16" x14ac:dyDescent="0.25">
      <c r="H17076" s="12"/>
      <c r="I17076" s="12"/>
      <c r="J17076" s="12"/>
      <c r="K17076" s="12"/>
      <c r="L17076" s="12"/>
      <c r="M17076" s="11"/>
      <c r="N17076" s="11"/>
      <c r="O17076" s="11"/>
      <c r="P17076" s="11"/>
    </row>
    <row r="17077" spans="8:16" x14ac:dyDescent="0.25">
      <c r="H17077" s="12"/>
      <c r="I17077" s="12"/>
      <c r="J17077" s="12"/>
      <c r="K17077" s="12"/>
      <c r="L17077" s="12"/>
      <c r="M17077" s="11"/>
      <c r="N17077" s="11"/>
      <c r="O17077" s="11"/>
      <c r="P17077" s="11"/>
    </row>
    <row r="17078" spans="8:16" x14ac:dyDescent="0.25">
      <c r="H17078" s="12"/>
      <c r="I17078" s="12"/>
      <c r="J17078" s="12"/>
      <c r="K17078" s="12"/>
      <c r="L17078" s="12"/>
      <c r="M17078" s="11"/>
      <c r="N17078" s="11"/>
      <c r="O17078" s="11"/>
      <c r="P17078" s="11"/>
    </row>
    <row r="17079" spans="8:16" x14ac:dyDescent="0.25">
      <c r="H17079" s="12"/>
      <c r="I17079" s="12"/>
      <c r="J17079" s="12"/>
      <c r="K17079" s="12"/>
      <c r="L17079" s="12"/>
      <c r="M17079" s="11"/>
      <c r="N17079" s="11"/>
      <c r="O17079" s="11"/>
      <c r="P17079" s="11"/>
    </row>
    <row r="17080" spans="8:16" x14ac:dyDescent="0.25">
      <c r="H17080" s="12"/>
      <c r="I17080" s="12"/>
      <c r="J17080" s="12"/>
      <c r="K17080" s="12"/>
      <c r="L17080" s="12"/>
      <c r="M17080" s="11"/>
      <c r="N17080" s="11"/>
      <c r="O17080" s="11"/>
      <c r="P17080" s="11"/>
    </row>
    <row r="17081" spans="8:16" x14ac:dyDescent="0.25">
      <c r="H17081" s="12"/>
      <c r="I17081" s="12"/>
      <c r="J17081" s="12"/>
      <c r="K17081" s="12"/>
      <c r="L17081" s="12"/>
      <c r="M17081" s="11"/>
      <c r="N17081" s="11"/>
      <c r="O17081" s="11"/>
      <c r="P17081" s="11"/>
    </row>
    <row r="17082" spans="8:16" x14ac:dyDescent="0.25">
      <c r="H17082" s="12"/>
      <c r="I17082" s="12"/>
      <c r="J17082" s="12"/>
      <c r="K17082" s="12"/>
      <c r="L17082" s="12"/>
      <c r="M17082" s="11"/>
      <c r="N17082" s="11"/>
      <c r="O17082" s="11"/>
      <c r="P17082" s="11"/>
    </row>
    <row r="17083" spans="8:16" x14ac:dyDescent="0.25">
      <c r="H17083" s="12"/>
      <c r="I17083" s="12"/>
      <c r="J17083" s="12"/>
      <c r="K17083" s="12"/>
      <c r="L17083" s="12"/>
      <c r="M17083" s="11"/>
      <c r="N17083" s="11"/>
      <c r="O17083" s="11"/>
      <c r="P17083" s="11"/>
    </row>
    <row r="17084" spans="8:16" x14ac:dyDescent="0.25">
      <c r="H17084" s="12"/>
      <c r="I17084" s="12"/>
      <c r="J17084" s="12"/>
      <c r="K17084" s="12"/>
      <c r="L17084" s="12"/>
      <c r="M17084" s="11"/>
      <c r="N17084" s="11"/>
      <c r="O17084" s="11"/>
      <c r="P17084" s="11"/>
    </row>
    <row r="17085" spans="8:16" x14ac:dyDescent="0.25">
      <c r="H17085" s="12"/>
      <c r="I17085" s="12"/>
      <c r="J17085" s="12"/>
      <c r="K17085" s="12"/>
      <c r="L17085" s="12"/>
      <c r="M17085" s="11"/>
      <c r="N17085" s="11"/>
      <c r="O17085" s="11"/>
      <c r="P17085" s="11"/>
    </row>
    <row r="17086" spans="8:16" x14ac:dyDescent="0.25">
      <c r="H17086" s="12"/>
      <c r="I17086" s="12"/>
      <c r="J17086" s="12"/>
      <c r="K17086" s="12"/>
      <c r="L17086" s="12"/>
      <c r="M17086" s="11"/>
      <c r="N17086" s="11"/>
      <c r="O17086" s="11"/>
      <c r="P17086" s="11"/>
    </row>
    <row r="17087" spans="8:16" x14ac:dyDescent="0.25">
      <c r="H17087" s="12"/>
      <c r="I17087" s="12"/>
      <c r="J17087" s="12"/>
      <c r="K17087" s="12"/>
      <c r="L17087" s="12"/>
      <c r="M17087" s="11"/>
      <c r="N17087" s="11"/>
      <c r="O17087" s="11"/>
      <c r="P17087" s="11"/>
    </row>
    <row r="17088" spans="8:16" x14ac:dyDescent="0.25">
      <c r="H17088" s="12"/>
      <c r="I17088" s="12"/>
      <c r="J17088" s="12"/>
      <c r="K17088" s="12"/>
      <c r="L17088" s="12"/>
      <c r="M17088" s="11"/>
      <c r="N17088" s="11"/>
      <c r="O17088" s="11"/>
      <c r="P17088" s="11"/>
    </row>
    <row r="17089" spans="8:16" x14ac:dyDescent="0.25">
      <c r="H17089" s="12"/>
      <c r="I17089" s="12"/>
      <c r="J17089" s="12"/>
      <c r="K17089" s="12"/>
      <c r="L17089" s="12"/>
      <c r="M17089" s="11"/>
      <c r="N17089" s="11"/>
      <c r="O17089" s="11"/>
      <c r="P17089" s="11"/>
    </row>
    <row r="17090" spans="8:16" x14ac:dyDescent="0.25">
      <c r="H17090" s="12"/>
      <c r="I17090" s="12"/>
      <c r="J17090" s="12"/>
      <c r="K17090" s="12"/>
      <c r="L17090" s="12"/>
      <c r="M17090" s="11"/>
      <c r="N17090" s="11"/>
      <c r="O17090" s="11"/>
      <c r="P17090" s="11"/>
    </row>
    <row r="17091" spans="8:16" x14ac:dyDescent="0.25">
      <c r="H17091" s="12"/>
      <c r="I17091" s="12"/>
      <c r="J17091" s="12"/>
      <c r="K17091" s="12"/>
      <c r="L17091" s="12"/>
      <c r="M17091" s="11"/>
      <c r="N17091" s="11"/>
      <c r="O17091" s="11"/>
      <c r="P17091" s="11"/>
    </row>
    <row r="17092" spans="8:16" x14ac:dyDescent="0.25">
      <c r="H17092" s="12"/>
      <c r="I17092" s="12"/>
      <c r="J17092" s="12"/>
      <c r="K17092" s="12"/>
      <c r="L17092" s="12"/>
      <c r="M17092" s="11"/>
      <c r="N17092" s="11"/>
      <c r="O17092" s="11"/>
      <c r="P17092" s="11"/>
    </row>
    <row r="17093" spans="8:16" x14ac:dyDescent="0.25">
      <c r="H17093" s="12"/>
      <c r="I17093" s="12"/>
      <c r="J17093" s="12"/>
      <c r="K17093" s="12"/>
      <c r="L17093" s="12"/>
      <c r="M17093" s="11"/>
      <c r="N17093" s="11"/>
      <c r="O17093" s="11"/>
      <c r="P17093" s="11"/>
    </row>
    <row r="17094" spans="8:16" x14ac:dyDescent="0.25">
      <c r="H17094" s="12"/>
      <c r="I17094" s="12"/>
      <c r="J17094" s="12"/>
      <c r="K17094" s="12"/>
      <c r="L17094" s="12"/>
      <c r="M17094" s="11"/>
      <c r="N17094" s="11"/>
      <c r="O17094" s="11"/>
      <c r="P17094" s="11"/>
    </row>
    <row r="17095" spans="8:16" x14ac:dyDescent="0.25">
      <c r="H17095" s="12"/>
      <c r="I17095" s="12"/>
      <c r="J17095" s="12"/>
      <c r="K17095" s="12"/>
      <c r="L17095" s="12"/>
      <c r="M17095" s="11"/>
      <c r="N17095" s="11"/>
      <c r="O17095" s="11"/>
      <c r="P17095" s="11"/>
    </row>
    <row r="17096" spans="8:16" x14ac:dyDescent="0.25">
      <c r="H17096" s="12"/>
      <c r="I17096" s="12"/>
      <c r="J17096" s="12"/>
      <c r="K17096" s="12"/>
      <c r="L17096" s="12"/>
      <c r="M17096" s="11"/>
      <c r="N17096" s="11"/>
      <c r="O17096" s="11"/>
      <c r="P17096" s="11"/>
    </row>
    <row r="17097" spans="8:16" x14ac:dyDescent="0.25">
      <c r="H17097" s="12"/>
      <c r="I17097" s="12"/>
      <c r="J17097" s="12"/>
      <c r="K17097" s="12"/>
      <c r="L17097" s="12"/>
      <c r="M17097" s="11"/>
      <c r="N17097" s="11"/>
      <c r="O17097" s="11"/>
      <c r="P17097" s="11"/>
    </row>
    <row r="17098" spans="8:16" x14ac:dyDescent="0.25">
      <c r="H17098" s="12"/>
      <c r="I17098" s="12"/>
      <c r="J17098" s="12"/>
      <c r="K17098" s="12"/>
      <c r="L17098" s="12"/>
      <c r="M17098" s="11"/>
      <c r="N17098" s="11"/>
      <c r="O17098" s="11"/>
      <c r="P17098" s="11"/>
    </row>
    <row r="17099" spans="8:16" x14ac:dyDescent="0.25">
      <c r="H17099" s="12"/>
      <c r="I17099" s="12"/>
      <c r="J17099" s="12"/>
      <c r="K17099" s="12"/>
      <c r="L17099" s="12"/>
      <c r="M17099" s="11"/>
      <c r="N17099" s="11"/>
      <c r="O17099" s="11"/>
      <c r="P17099" s="11"/>
    </row>
    <row r="17100" spans="8:16" x14ac:dyDescent="0.25">
      <c r="H17100" s="12"/>
      <c r="I17100" s="12"/>
      <c r="J17100" s="12"/>
      <c r="K17100" s="12"/>
      <c r="L17100" s="12"/>
      <c r="M17100" s="11"/>
      <c r="N17100" s="11"/>
      <c r="O17100" s="11"/>
      <c r="P17100" s="11"/>
    </row>
    <row r="17101" spans="8:16" x14ac:dyDescent="0.25">
      <c r="H17101" s="12"/>
      <c r="I17101" s="12"/>
      <c r="J17101" s="12"/>
      <c r="K17101" s="12"/>
      <c r="L17101" s="12"/>
      <c r="M17101" s="11"/>
      <c r="N17101" s="11"/>
      <c r="O17101" s="11"/>
      <c r="P17101" s="11"/>
    </row>
    <row r="17102" spans="8:16" x14ac:dyDescent="0.25">
      <c r="H17102" s="12"/>
      <c r="I17102" s="12"/>
      <c r="J17102" s="12"/>
      <c r="K17102" s="12"/>
      <c r="L17102" s="12"/>
      <c r="M17102" s="11"/>
      <c r="N17102" s="11"/>
      <c r="O17102" s="11"/>
      <c r="P17102" s="11"/>
    </row>
    <row r="17103" spans="8:16" x14ac:dyDescent="0.25">
      <c r="H17103" s="12"/>
      <c r="I17103" s="12"/>
      <c r="J17103" s="12"/>
      <c r="K17103" s="12"/>
      <c r="L17103" s="12"/>
      <c r="M17103" s="11"/>
      <c r="N17103" s="11"/>
      <c r="O17103" s="11"/>
      <c r="P17103" s="11"/>
    </row>
    <row r="17104" spans="8:16" x14ac:dyDescent="0.25">
      <c r="H17104" s="12"/>
      <c r="I17104" s="12"/>
      <c r="J17104" s="12"/>
      <c r="K17104" s="12"/>
      <c r="L17104" s="12"/>
      <c r="M17104" s="11"/>
      <c r="N17104" s="11"/>
      <c r="O17104" s="11"/>
      <c r="P17104" s="11"/>
    </row>
    <row r="17105" spans="8:16" x14ac:dyDescent="0.25">
      <c r="H17105" s="12"/>
      <c r="I17105" s="12"/>
      <c r="J17105" s="12"/>
      <c r="K17105" s="12"/>
      <c r="L17105" s="12"/>
      <c r="M17105" s="11"/>
      <c r="N17105" s="11"/>
      <c r="O17105" s="11"/>
      <c r="P17105" s="11"/>
    </row>
    <row r="17106" spans="8:16" x14ac:dyDescent="0.25">
      <c r="H17106" s="12"/>
      <c r="I17106" s="12"/>
      <c r="J17106" s="12"/>
      <c r="K17106" s="12"/>
      <c r="L17106" s="12"/>
      <c r="M17106" s="11"/>
      <c r="N17106" s="11"/>
      <c r="O17106" s="11"/>
      <c r="P17106" s="11"/>
    </row>
    <row r="17107" spans="8:16" x14ac:dyDescent="0.25">
      <c r="H17107" s="12"/>
      <c r="I17107" s="12"/>
      <c r="J17107" s="12"/>
      <c r="K17107" s="12"/>
      <c r="L17107" s="12"/>
      <c r="M17107" s="11"/>
      <c r="N17107" s="11"/>
      <c r="O17107" s="11"/>
      <c r="P17107" s="11"/>
    </row>
    <row r="17108" spans="8:16" x14ac:dyDescent="0.25">
      <c r="H17108" s="12"/>
      <c r="I17108" s="12"/>
      <c r="J17108" s="12"/>
      <c r="K17108" s="12"/>
      <c r="L17108" s="12"/>
      <c r="M17108" s="11"/>
      <c r="N17108" s="11"/>
      <c r="O17108" s="11"/>
      <c r="P17108" s="11"/>
    </row>
    <row r="17109" spans="8:16" x14ac:dyDescent="0.25">
      <c r="H17109" s="12"/>
      <c r="I17109" s="12"/>
      <c r="J17109" s="12"/>
      <c r="K17109" s="12"/>
      <c r="L17109" s="12"/>
      <c r="M17109" s="11"/>
      <c r="N17109" s="11"/>
      <c r="O17109" s="11"/>
      <c r="P17109" s="11"/>
    </row>
    <row r="17110" spans="8:16" x14ac:dyDescent="0.25">
      <c r="H17110" s="12"/>
      <c r="I17110" s="12"/>
      <c r="J17110" s="12"/>
      <c r="K17110" s="12"/>
      <c r="L17110" s="12"/>
      <c r="M17110" s="11"/>
      <c r="N17110" s="11"/>
      <c r="O17110" s="11"/>
      <c r="P17110" s="11"/>
    </row>
    <row r="17111" spans="8:16" x14ac:dyDescent="0.25">
      <c r="H17111" s="12"/>
      <c r="I17111" s="12"/>
      <c r="J17111" s="12"/>
      <c r="K17111" s="12"/>
      <c r="L17111" s="12"/>
      <c r="M17111" s="11"/>
      <c r="N17111" s="11"/>
      <c r="O17111" s="11"/>
      <c r="P17111" s="11"/>
    </row>
    <row r="17112" spans="8:16" x14ac:dyDescent="0.25">
      <c r="H17112" s="12"/>
      <c r="I17112" s="12"/>
      <c r="J17112" s="12"/>
      <c r="K17112" s="12"/>
      <c r="L17112" s="12"/>
      <c r="M17112" s="11"/>
      <c r="N17112" s="11"/>
      <c r="O17112" s="11"/>
      <c r="P17112" s="11"/>
    </row>
    <row r="17113" spans="8:16" x14ac:dyDescent="0.25">
      <c r="H17113" s="12"/>
      <c r="I17113" s="12"/>
      <c r="J17113" s="12"/>
      <c r="K17113" s="12"/>
      <c r="L17113" s="12"/>
      <c r="M17113" s="11"/>
      <c r="N17113" s="11"/>
      <c r="O17113" s="11"/>
      <c r="P17113" s="11"/>
    </row>
    <row r="17114" spans="8:16" x14ac:dyDescent="0.25">
      <c r="H17114" s="12"/>
      <c r="I17114" s="12"/>
      <c r="J17114" s="12"/>
      <c r="K17114" s="12"/>
      <c r="L17114" s="12"/>
      <c r="M17114" s="11"/>
      <c r="N17114" s="11"/>
      <c r="O17114" s="11"/>
      <c r="P17114" s="11"/>
    </row>
    <row r="17115" spans="8:16" x14ac:dyDescent="0.25">
      <c r="H17115" s="12"/>
      <c r="I17115" s="12"/>
      <c r="J17115" s="12"/>
      <c r="K17115" s="12"/>
      <c r="L17115" s="12"/>
      <c r="M17115" s="11"/>
      <c r="N17115" s="11"/>
      <c r="O17115" s="11"/>
      <c r="P17115" s="11"/>
    </row>
    <row r="17116" spans="8:16" x14ac:dyDescent="0.25">
      <c r="H17116" s="12"/>
      <c r="I17116" s="12"/>
      <c r="J17116" s="12"/>
      <c r="K17116" s="12"/>
      <c r="L17116" s="12"/>
      <c r="M17116" s="11"/>
      <c r="N17116" s="11"/>
      <c r="O17116" s="11"/>
      <c r="P17116" s="11"/>
    </row>
    <row r="17117" spans="8:16" x14ac:dyDescent="0.25">
      <c r="H17117" s="12"/>
      <c r="I17117" s="12"/>
      <c r="J17117" s="12"/>
      <c r="K17117" s="12"/>
      <c r="L17117" s="12"/>
      <c r="M17117" s="11"/>
      <c r="N17117" s="11"/>
      <c r="O17117" s="11"/>
      <c r="P17117" s="11"/>
    </row>
    <row r="17118" spans="8:16" x14ac:dyDescent="0.25">
      <c r="H17118" s="12"/>
      <c r="I17118" s="12"/>
      <c r="J17118" s="12"/>
      <c r="K17118" s="12"/>
      <c r="L17118" s="12"/>
      <c r="M17118" s="11"/>
      <c r="N17118" s="11"/>
      <c r="O17118" s="11"/>
      <c r="P17118" s="11"/>
    </row>
    <row r="17119" spans="8:16" x14ac:dyDescent="0.25">
      <c r="H17119" s="12"/>
      <c r="I17119" s="12"/>
      <c r="J17119" s="12"/>
      <c r="K17119" s="12"/>
      <c r="L17119" s="12"/>
      <c r="M17119" s="11"/>
      <c r="N17119" s="11"/>
      <c r="O17119" s="11"/>
      <c r="P17119" s="11"/>
    </row>
    <row r="17120" spans="8:16" x14ac:dyDescent="0.25">
      <c r="H17120" s="12"/>
      <c r="I17120" s="12"/>
      <c r="J17120" s="12"/>
      <c r="K17120" s="12"/>
      <c r="L17120" s="12"/>
      <c r="M17120" s="11"/>
      <c r="N17120" s="11"/>
      <c r="O17120" s="11"/>
      <c r="P17120" s="11"/>
    </row>
    <row r="17121" spans="8:16" x14ac:dyDescent="0.25">
      <c r="H17121" s="12"/>
      <c r="I17121" s="12"/>
      <c r="J17121" s="12"/>
      <c r="K17121" s="12"/>
      <c r="L17121" s="12"/>
      <c r="M17121" s="11"/>
      <c r="N17121" s="11"/>
      <c r="O17121" s="11"/>
      <c r="P17121" s="11"/>
    </row>
    <row r="17122" spans="8:16" x14ac:dyDescent="0.25">
      <c r="H17122" s="12"/>
      <c r="I17122" s="12"/>
      <c r="J17122" s="12"/>
      <c r="K17122" s="12"/>
      <c r="L17122" s="12"/>
      <c r="M17122" s="11"/>
      <c r="N17122" s="11"/>
      <c r="O17122" s="11"/>
      <c r="P17122" s="11"/>
    </row>
    <row r="17123" spans="8:16" x14ac:dyDescent="0.25">
      <c r="H17123" s="12"/>
      <c r="I17123" s="12"/>
      <c r="J17123" s="12"/>
      <c r="K17123" s="12"/>
      <c r="L17123" s="12"/>
      <c r="M17123" s="11"/>
      <c r="N17123" s="11"/>
      <c r="O17123" s="11"/>
      <c r="P17123" s="11"/>
    </row>
    <row r="17124" spans="8:16" x14ac:dyDescent="0.25">
      <c r="H17124" s="12"/>
      <c r="I17124" s="12"/>
      <c r="J17124" s="12"/>
      <c r="K17124" s="12"/>
      <c r="L17124" s="12"/>
      <c r="M17124" s="11"/>
      <c r="N17124" s="11"/>
      <c r="O17124" s="11"/>
      <c r="P17124" s="11"/>
    </row>
    <row r="17125" spans="8:16" x14ac:dyDescent="0.25">
      <c r="H17125" s="12"/>
      <c r="I17125" s="12"/>
      <c r="J17125" s="12"/>
      <c r="K17125" s="12"/>
      <c r="L17125" s="12"/>
      <c r="M17125" s="11"/>
      <c r="N17125" s="11"/>
      <c r="O17125" s="11"/>
      <c r="P17125" s="11"/>
    </row>
    <row r="17126" spans="8:16" x14ac:dyDescent="0.25">
      <c r="H17126" s="12"/>
      <c r="I17126" s="12"/>
      <c r="J17126" s="12"/>
      <c r="K17126" s="12"/>
      <c r="L17126" s="12"/>
      <c r="M17126" s="11"/>
      <c r="N17126" s="11"/>
      <c r="O17126" s="11"/>
      <c r="P17126" s="11"/>
    </row>
    <row r="17127" spans="8:16" x14ac:dyDescent="0.25">
      <c r="H17127" s="12"/>
      <c r="I17127" s="12"/>
      <c r="J17127" s="12"/>
      <c r="K17127" s="12"/>
      <c r="L17127" s="12"/>
      <c r="M17127" s="11"/>
      <c r="N17127" s="11"/>
      <c r="O17127" s="11"/>
      <c r="P17127" s="11"/>
    </row>
    <row r="17128" spans="8:16" x14ac:dyDescent="0.25">
      <c r="H17128" s="12"/>
      <c r="I17128" s="12"/>
      <c r="J17128" s="12"/>
      <c r="K17128" s="12"/>
      <c r="L17128" s="12"/>
      <c r="M17128" s="11"/>
      <c r="N17128" s="11"/>
      <c r="O17128" s="11"/>
      <c r="P17128" s="11"/>
    </row>
    <row r="17129" spans="8:16" x14ac:dyDescent="0.25">
      <c r="H17129" s="12"/>
      <c r="I17129" s="12"/>
      <c r="J17129" s="12"/>
      <c r="K17129" s="12"/>
      <c r="L17129" s="12"/>
      <c r="M17129" s="11"/>
      <c r="N17129" s="11"/>
      <c r="O17129" s="11"/>
      <c r="P17129" s="11"/>
    </row>
    <row r="17130" spans="8:16" x14ac:dyDescent="0.25">
      <c r="H17130" s="12"/>
      <c r="I17130" s="12"/>
      <c r="J17130" s="12"/>
      <c r="K17130" s="12"/>
      <c r="L17130" s="12"/>
      <c r="M17130" s="11"/>
      <c r="N17130" s="11"/>
      <c r="O17130" s="11"/>
      <c r="P17130" s="11"/>
    </row>
    <row r="17131" spans="8:16" x14ac:dyDescent="0.25">
      <c r="H17131" s="12"/>
      <c r="I17131" s="12"/>
      <c r="J17131" s="12"/>
      <c r="K17131" s="12"/>
      <c r="L17131" s="12"/>
      <c r="M17131" s="11"/>
      <c r="N17131" s="11"/>
      <c r="O17131" s="11"/>
      <c r="P17131" s="11"/>
    </row>
    <row r="17132" spans="8:16" x14ac:dyDescent="0.25">
      <c r="H17132" s="12"/>
      <c r="I17132" s="12"/>
      <c r="J17132" s="12"/>
      <c r="K17132" s="12"/>
      <c r="L17132" s="12"/>
      <c r="M17132" s="11"/>
      <c r="N17132" s="11"/>
      <c r="O17132" s="11"/>
      <c r="P17132" s="11"/>
    </row>
    <row r="17133" spans="8:16" x14ac:dyDescent="0.25">
      <c r="H17133" s="12"/>
      <c r="I17133" s="12"/>
      <c r="J17133" s="12"/>
      <c r="K17133" s="12"/>
      <c r="L17133" s="12"/>
      <c r="M17133" s="11"/>
      <c r="N17133" s="11"/>
      <c r="O17133" s="11"/>
      <c r="P17133" s="11"/>
    </row>
    <row r="17134" spans="8:16" x14ac:dyDescent="0.25">
      <c r="H17134" s="12"/>
      <c r="I17134" s="12"/>
      <c r="J17134" s="12"/>
      <c r="K17134" s="12"/>
      <c r="L17134" s="12"/>
      <c r="M17134" s="11"/>
      <c r="N17134" s="11"/>
      <c r="O17134" s="11"/>
      <c r="P17134" s="11"/>
    </row>
    <row r="17135" spans="8:16" x14ac:dyDescent="0.25">
      <c r="H17135" s="12"/>
      <c r="I17135" s="12"/>
      <c r="J17135" s="12"/>
      <c r="K17135" s="12"/>
      <c r="L17135" s="12"/>
      <c r="M17135" s="11"/>
      <c r="N17135" s="11"/>
      <c r="O17135" s="11"/>
      <c r="P17135" s="11"/>
    </row>
    <row r="17136" spans="8:16" x14ac:dyDescent="0.25">
      <c r="H17136" s="12"/>
      <c r="I17136" s="12"/>
      <c r="J17136" s="12"/>
      <c r="K17136" s="12"/>
      <c r="L17136" s="12"/>
      <c r="M17136" s="11"/>
      <c r="N17136" s="11"/>
      <c r="O17136" s="11"/>
      <c r="P17136" s="11"/>
    </row>
    <row r="17137" spans="8:16" x14ac:dyDescent="0.25">
      <c r="H17137" s="12"/>
      <c r="I17137" s="12"/>
      <c r="J17137" s="12"/>
      <c r="K17137" s="12"/>
      <c r="L17137" s="12"/>
      <c r="M17137" s="11"/>
      <c r="N17137" s="11"/>
      <c r="O17137" s="11"/>
      <c r="P17137" s="11"/>
    </row>
    <row r="17138" spans="8:16" x14ac:dyDescent="0.25">
      <c r="H17138" s="12"/>
      <c r="I17138" s="12"/>
      <c r="J17138" s="12"/>
      <c r="K17138" s="12"/>
      <c r="L17138" s="12"/>
      <c r="M17138" s="11"/>
      <c r="N17138" s="11"/>
      <c r="O17138" s="11"/>
      <c r="P17138" s="11"/>
    </row>
    <row r="17139" spans="8:16" x14ac:dyDescent="0.25">
      <c r="H17139" s="12"/>
      <c r="I17139" s="12"/>
      <c r="J17139" s="12"/>
      <c r="K17139" s="12"/>
      <c r="L17139" s="12"/>
      <c r="M17139" s="11"/>
      <c r="N17139" s="11"/>
      <c r="O17139" s="11"/>
      <c r="P17139" s="11"/>
    </row>
    <row r="17140" spans="8:16" x14ac:dyDescent="0.25">
      <c r="H17140" s="12"/>
      <c r="I17140" s="12"/>
      <c r="J17140" s="12"/>
      <c r="K17140" s="12"/>
      <c r="L17140" s="12"/>
      <c r="M17140" s="11"/>
      <c r="N17140" s="11"/>
      <c r="O17140" s="11"/>
      <c r="P17140" s="11"/>
    </row>
    <row r="17141" spans="8:16" x14ac:dyDescent="0.25">
      <c r="H17141" s="12"/>
      <c r="I17141" s="12"/>
      <c r="J17141" s="12"/>
      <c r="K17141" s="12"/>
      <c r="L17141" s="12"/>
      <c r="M17141" s="11"/>
      <c r="N17141" s="11"/>
      <c r="O17141" s="11"/>
      <c r="P17141" s="11"/>
    </row>
    <row r="17142" spans="8:16" x14ac:dyDescent="0.25">
      <c r="H17142" s="12"/>
      <c r="I17142" s="12"/>
      <c r="J17142" s="12"/>
      <c r="K17142" s="12"/>
      <c r="L17142" s="12"/>
      <c r="M17142" s="11"/>
      <c r="N17142" s="11"/>
      <c r="O17142" s="11"/>
      <c r="P17142" s="11"/>
    </row>
    <row r="17143" spans="8:16" x14ac:dyDescent="0.25">
      <c r="H17143" s="12"/>
      <c r="I17143" s="12"/>
      <c r="J17143" s="12"/>
      <c r="K17143" s="12"/>
      <c r="L17143" s="12"/>
      <c r="M17143" s="11"/>
      <c r="N17143" s="11"/>
      <c r="O17143" s="11"/>
      <c r="P17143" s="11"/>
    </row>
    <row r="17144" spans="8:16" x14ac:dyDescent="0.25">
      <c r="H17144" s="12"/>
      <c r="I17144" s="12"/>
      <c r="J17144" s="12"/>
      <c r="K17144" s="12"/>
      <c r="L17144" s="12"/>
      <c r="M17144" s="11"/>
      <c r="N17144" s="11"/>
      <c r="O17144" s="11"/>
      <c r="P17144" s="11"/>
    </row>
    <row r="17145" spans="8:16" x14ac:dyDescent="0.25">
      <c r="H17145" s="12"/>
      <c r="I17145" s="12"/>
      <c r="J17145" s="12"/>
      <c r="K17145" s="12"/>
      <c r="L17145" s="12"/>
      <c r="M17145" s="11"/>
      <c r="N17145" s="11"/>
      <c r="O17145" s="11"/>
      <c r="P17145" s="11"/>
    </row>
    <row r="17146" spans="8:16" x14ac:dyDescent="0.25">
      <c r="H17146" s="12"/>
      <c r="I17146" s="12"/>
      <c r="J17146" s="12"/>
      <c r="K17146" s="12"/>
      <c r="L17146" s="12"/>
      <c r="M17146" s="11"/>
      <c r="N17146" s="11"/>
      <c r="O17146" s="11"/>
      <c r="P17146" s="11"/>
    </row>
    <row r="17147" spans="8:16" x14ac:dyDescent="0.25">
      <c r="H17147" s="12"/>
      <c r="I17147" s="12"/>
      <c r="J17147" s="12"/>
      <c r="K17147" s="12"/>
      <c r="L17147" s="12"/>
      <c r="M17147" s="11"/>
      <c r="N17147" s="11"/>
      <c r="O17147" s="11"/>
      <c r="P17147" s="11"/>
    </row>
    <row r="17148" spans="8:16" x14ac:dyDescent="0.25">
      <c r="H17148" s="12"/>
      <c r="I17148" s="12"/>
      <c r="J17148" s="12"/>
      <c r="K17148" s="12"/>
      <c r="L17148" s="12"/>
      <c r="M17148" s="11"/>
      <c r="N17148" s="11"/>
      <c r="O17148" s="11"/>
      <c r="P17148" s="11"/>
    </row>
    <row r="17149" spans="8:16" x14ac:dyDescent="0.25">
      <c r="H17149" s="12"/>
      <c r="I17149" s="12"/>
      <c r="J17149" s="12"/>
      <c r="K17149" s="12"/>
      <c r="L17149" s="12"/>
      <c r="M17149" s="11"/>
      <c r="N17149" s="11"/>
      <c r="O17149" s="11"/>
      <c r="P17149" s="11"/>
    </row>
    <row r="17150" spans="8:16" x14ac:dyDescent="0.25">
      <c r="H17150" s="12"/>
      <c r="I17150" s="12"/>
      <c r="J17150" s="12"/>
      <c r="K17150" s="12"/>
      <c r="L17150" s="12"/>
      <c r="M17150" s="11"/>
      <c r="N17150" s="11"/>
      <c r="O17150" s="11"/>
      <c r="P17150" s="11"/>
    </row>
    <row r="17151" spans="8:16" x14ac:dyDescent="0.25">
      <c r="H17151" s="12"/>
      <c r="I17151" s="12"/>
      <c r="J17151" s="12"/>
      <c r="K17151" s="12"/>
      <c r="L17151" s="12"/>
      <c r="M17151" s="11"/>
      <c r="N17151" s="11"/>
      <c r="O17151" s="11"/>
      <c r="P17151" s="11"/>
    </row>
    <row r="17152" spans="8:16" x14ac:dyDescent="0.25">
      <c r="H17152" s="12"/>
      <c r="I17152" s="12"/>
      <c r="J17152" s="12"/>
      <c r="K17152" s="12"/>
      <c r="L17152" s="12"/>
      <c r="M17152" s="11"/>
      <c r="N17152" s="11"/>
      <c r="O17152" s="11"/>
      <c r="P17152" s="11"/>
    </row>
    <row r="17153" spans="8:16" x14ac:dyDescent="0.25">
      <c r="H17153" s="12"/>
      <c r="I17153" s="12"/>
      <c r="J17153" s="12"/>
      <c r="K17153" s="12"/>
      <c r="L17153" s="12"/>
      <c r="M17153" s="11"/>
      <c r="N17153" s="11"/>
      <c r="O17153" s="11"/>
      <c r="P17153" s="11"/>
    </row>
    <row r="17154" spans="8:16" x14ac:dyDescent="0.25">
      <c r="H17154" s="12"/>
      <c r="I17154" s="12"/>
      <c r="J17154" s="12"/>
      <c r="K17154" s="12"/>
      <c r="L17154" s="12"/>
      <c r="M17154" s="11"/>
      <c r="N17154" s="11"/>
      <c r="O17154" s="11"/>
      <c r="P17154" s="11"/>
    </row>
    <row r="17155" spans="8:16" x14ac:dyDescent="0.25">
      <c r="H17155" s="12"/>
      <c r="I17155" s="12"/>
      <c r="J17155" s="12"/>
      <c r="K17155" s="12"/>
      <c r="L17155" s="12"/>
      <c r="M17155" s="11"/>
      <c r="N17155" s="11"/>
      <c r="O17155" s="11"/>
      <c r="P17155" s="11"/>
    </row>
    <row r="17156" spans="8:16" x14ac:dyDescent="0.25">
      <c r="H17156" s="12"/>
      <c r="I17156" s="12"/>
      <c r="J17156" s="12"/>
      <c r="K17156" s="12"/>
      <c r="L17156" s="12"/>
      <c r="M17156" s="11"/>
      <c r="N17156" s="11"/>
      <c r="O17156" s="11"/>
      <c r="P17156" s="11"/>
    </row>
    <row r="17157" spans="8:16" x14ac:dyDescent="0.25">
      <c r="H17157" s="12"/>
      <c r="I17157" s="12"/>
      <c r="J17157" s="12"/>
      <c r="K17157" s="12"/>
      <c r="L17157" s="12"/>
      <c r="M17157" s="11"/>
      <c r="N17157" s="11"/>
      <c r="O17157" s="11"/>
      <c r="P17157" s="11"/>
    </row>
    <row r="17158" spans="8:16" x14ac:dyDescent="0.25">
      <c r="H17158" s="12"/>
      <c r="I17158" s="12"/>
      <c r="J17158" s="12"/>
      <c r="K17158" s="12"/>
      <c r="L17158" s="12"/>
      <c r="M17158" s="11"/>
      <c r="N17158" s="11"/>
      <c r="O17158" s="11"/>
      <c r="P17158" s="11"/>
    </row>
    <row r="17159" spans="8:16" x14ac:dyDescent="0.25">
      <c r="H17159" s="12"/>
      <c r="I17159" s="12"/>
      <c r="J17159" s="12"/>
      <c r="K17159" s="12"/>
      <c r="L17159" s="12"/>
      <c r="M17159" s="11"/>
      <c r="N17159" s="11"/>
      <c r="O17159" s="11"/>
      <c r="P17159" s="11"/>
    </row>
    <row r="17160" spans="8:16" x14ac:dyDescent="0.25">
      <c r="H17160" s="12"/>
      <c r="I17160" s="12"/>
      <c r="J17160" s="12"/>
      <c r="K17160" s="12"/>
      <c r="L17160" s="12"/>
      <c r="M17160" s="11"/>
      <c r="N17160" s="11"/>
      <c r="O17160" s="11"/>
      <c r="P17160" s="11"/>
    </row>
    <row r="17161" spans="8:16" x14ac:dyDescent="0.25">
      <c r="H17161" s="12"/>
      <c r="I17161" s="12"/>
      <c r="J17161" s="12"/>
      <c r="K17161" s="12"/>
      <c r="L17161" s="12"/>
      <c r="M17161" s="11"/>
      <c r="N17161" s="11"/>
      <c r="O17161" s="11"/>
      <c r="P17161" s="11"/>
    </row>
    <row r="17162" spans="8:16" x14ac:dyDescent="0.25">
      <c r="H17162" s="12"/>
      <c r="I17162" s="12"/>
      <c r="J17162" s="12"/>
      <c r="K17162" s="12"/>
      <c r="L17162" s="12"/>
      <c r="M17162" s="11"/>
      <c r="N17162" s="11"/>
      <c r="O17162" s="11"/>
      <c r="P17162" s="11"/>
    </row>
    <row r="17163" spans="8:16" x14ac:dyDescent="0.25">
      <c r="H17163" s="12"/>
      <c r="I17163" s="12"/>
      <c r="J17163" s="12"/>
      <c r="K17163" s="12"/>
      <c r="L17163" s="12"/>
      <c r="M17163" s="11"/>
      <c r="N17163" s="11"/>
      <c r="O17163" s="11"/>
      <c r="P17163" s="11"/>
    </row>
    <row r="17164" spans="8:16" x14ac:dyDescent="0.25">
      <c r="H17164" s="12"/>
      <c r="I17164" s="12"/>
      <c r="J17164" s="12"/>
      <c r="K17164" s="12"/>
      <c r="L17164" s="12"/>
      <c r="M17164" s="11"/>
      <c r="N17164" s="11"/>
      <c r="O17164" s="11"/>
      <c r="P17164" s="11"/>
    </row>
    <row r="17165" spans="8:16" x14ac:dyDescent="0.25">
      <c r="H17165" s="12"/>
      <c r="I17165" s="12"/>
      <c r="J17165" s="12"/>
      <c r="K17165" s="12"/>
      <c r="L17165" s="12"/>
      <c r="M17165" s="11"/>
      <c r="N17165" s="11"/>
      <c r="O17165" s="11"/>
      <c r="P17165" s="11"/>
    </row>
    <row r="17166" spans="8:16" x14ac:dyDescent="0.25">
      <c r="H17166" s="12"/>
      <c r="I17166" s="12"/>
      <c r="J17166" s="12"/>
      <c r="K17166" s="12"/>
      <c r="L17166" s="12"/>
      <c r="M17166" s="11"/>
      <c r="N17166" s="11"/>
      <c r="O17166" s="11"/>
      <c r="P17166" s="11"/>
    </row>
    <row r="17167" spans="8:16" x14ac:dyDescent="0.25">
      <c r="H17167" s="12"/>
      <c r="I17167" s="12"/>
      <c r="J17167" s="12"/>
      <c r="K17167" s="12"/>
      <c r="L17167" s="12"/>
      <c r="M17167" s="11"/>
      <c r="N17167" s="11"/>
      <c r="O17167" s="11"/>
      <c r="P17167" s="11"/>
    </row>
    <row r="17168" spans="8:16" x14ac:dyDescent="0.25">
      <c r="H17168" s="12"/>
      <c r="I17168" s="12"/>
      <c r="J17168" s="12"/>
      <c r="K17168" s="12"/>
      <c r="L17168" s="12"/>
      <c r="M17168" s="11"/>
      <c r="N17168" s="11"/>
      <c r="O17168" s="11"/>
      <c r="P17168" s="11"/>
    </row>
    <row r="17169" spans="8:16" x14ac:dyDescent="0.25">
      <c r="H17169" s="12"/>
      <c r="I17169" s="12"/>
      <c r="J17169" s="12"/>
      <c r="K17169" s="12"/>
      <c r="L17169" s="12"/>
      <c r="M17169" s="11"/>
      <c r="N17169" s="11"/>
      <c r="O17169" s="11"/>
      <c r="P17169" s="11"/>
    </row>
    <row r="17170" spans="8:16" x14ac:dyDescent="0.25">
      <c r="H17170" s="12"/>
      <c r="I17170" s="12"/>
      <c r="J17170" s="12"/>
      <c r="K17170" s="12"/>
      <c r="L17170" s="12"/>
      <c r="M17170" s="11"/>
      <c r="N17170" s="11"/>
      <c r="O17170" s="11"/>
      <c r="P17170" s="11"/>
    </row>
    <row r="17171" spans="8:16" x14ac:dyDescent="0.25">
      <c r="H17171" s="12"/>
      <c r="I17171" s="12"/>
      <c r="J17171" s="12"/>
      <c r="K17171" s="12"/>
      <c r="L17171" s="12"/>
      <c r="M17171" s="11"/>
      <c r="N17171" s="11"/>
      <c r="O17171" s="11"/>
      <c r="P17171" s="11"/>
    </row>
    <row r="17172" spans="8:16" x14ac:dyDescent="0.25">
      <c r="H17172" s="12"/>
      <c r="I17172" s="12"/>
      <c r="J17172" s="12"/>
      <c r="K17172" s="12"/>
      <c r="L17172" s="12"/>
      <c r="M17172" s="11"/>
      <c r="N17172" s="11"/>
      <c r="O17172" s="11"/>
      <c r="P17172" s="11"/>
    </row>
    <row r="17173" spans="8:16" x14ac:dyDescent="0.25">
      <c r="H17173" s="12"/>
      <c r="I17173" s="12"/>
      <c r="J17173" s="12"/>
      <c r="K17173" s="12"/>
      <c r="L17173" s="12"/>
      <c r="M17173" s="11"/>
      <c r="N17173" s="11"/>
      <c r="O17173" s="11"/>
      <c r="P17173" s="11"/>
    </row>
    <row r="17174" spans="8:16" x14ac:dyDescent="0.25">
      <c r="H17174" s="12"/>
      <c r="I17174" s="12"/>
      <c r="J17174" s="12"/>
      <c r="K17174" s="12"/>
      <c r="L17174" s="12"/>
      <c r="M17174" s="11"/>
      <c r="N17174" s="11"/>
      <c r="O17174" s="11"/>
      <c r="P17174" s="11"/>
    </row>
    <row r="17175" spans="8:16" x14ac:dyDescent="0.25">
      <c r="H17175" s="12"/>
      <c r="I17175" s="12"/>
      <c r="J17175" s="12"/>
      <c r="K17175" s="12"/>
      <c r="L17175" s="12"/>
      <c r="M17175" s="11"/>
      <c r="N17175" s="11"/>
      <c r="O17175" s="11"/>
      <c r="P17175" s="11"/>
    </row>
    <row r="17176" spans="8:16" x14ac:dyDescent="0.25">
      <c r="H17176" s="12"/>
      <c r="I17176" s="12"/>
      <c r="J17176" s="12"/>
      <c r="K17176" s="12"/>
      <c r="L17176" s="12"/>
      <c r="M17176" s="11"/>
      <c r="N17176" s="11"/>
      <c r="O17176" s="11"/>
      <c r="P17176" s="11"/>
    </row>
    <row r="17177" spans="8:16" x14ac:dyDescent="0.25">
      <c r="H17177" s="12"/>
      <c r="I17177" s="12"/>
      <c r="J17177" s="12"/>
      <c r="K17177" s="12"/>
      <c r="L17177" s="12"/>
      <c r="M17177" s="11"/>
      <c r="N17177" s="11"/>
      <c r="O17177" s="11"/>
      <c r="P17177" s="11"/>
    </row>
    <row r="17178" spans="8:16" x14ac:dyDescent="0.25">
      <c r="H17178" s="12"/>
      <c r="I17178" s="12"/>
      <c r="J17178" s="12"/>
      <c r="K17178" s="12"/>
      <c r="L17178" s="12"/>
      <c r="M17178" s="11"/>
      <c r="N17178" s="11"/>
      <c r="O17178" s="11"/>
      <c r="P17178" s="11"/>
    </row>
    <row r="17179" spans="8:16" x14ac:dyDescent="0.25">
      <c r="H17179" s="12"/>
      <c r="I17179" s="12"/>
      <c r="J17179" s="12"/>
      <c r="K17179" s="12"/>
      <c r="L17179" s="12"/>
      <c r="M17179" s="11"/>
      <c r="N17179" s="11"/>
      <c r="O17179" s="11"/>
      <c r="P17179" s="11"/>
    </row>
    <row r="17180" spans="8:16" x14ac:dyDescent="0.25">
      <c r="H17180" s="12"/>
      <c r="I17180" s="12"/>
      <c r="J17180" s="12"/>
      <c r="K17180" s="12"/>
      <c r="L17180" s="12"/>
      <c r="M17180" s="11"/>
      <c r="N17180" s="11"/>
      <c r="O17180" s="11"/>
      <c r="P17180" s="11"/>
    </row>
    <row r="17181" spans="8:16" x14ac:dyDescent="0.25">
      <c r="H17181" s="12"/>
      <c r="I17181" s="12"/>
      <c r="J17181" s="12"/>
      <c r="K17181" s="12"/>
      <c r="L17181" s="12"/>
      <c r="M17181" s="11"/>
      <c r="N17181" s="11"/>
      <c r="O17181" s="11"/>
      <c r="P17181" s="11"/>
    </row>
    <row r="17182" spans="8:16" x14ac:dyDescent="0.25">
      <c r="H17182" s="12"/>
      <c r="I17182" s="12"/>
      <c r="J17182" s="12"/>
      <c r="K17182" s="12"/>
      <c r="L17182" s="12"/>
      <c r="M17182" s="11"/>
      <c r="N17182" s="11"/>
      <c r="O17182" s="11"/>
      <c r="P17182" s="11"/>
    </row>
    <row r="17183" spans="8:16" x14ac:dyDescent="0.25">
      <c r="H17183" s="12"/>
      <c r="I17183" s="12"/>
      <c r="J17183" s="12"/>
      <c r="K17183" s="12"/>
      <c r="L17183" s="12"/>
      <c r="M17183" s="11"/>
      <c r="N17183" s="11"/>
      <c r="O17183" s="11"/>
      <c r="P17183" s="11"/>
    </row>
    <row r="17184" spans="8:16" x14ac:dyDescent="0.25">
      <c r="H17184" s="12"/>
      <c r="I17184" s="12"/>
      <c r="J17184" s="12"/>
      <c r="K17184" s="12"/>
      <c r="L17184" s="12"/>
      <c r="M17184" s="11"/>
      <c r="N17184" s="11"/>
      <c r="O17184" s="11"/>
      <c r="P17184" s="11"/>
    </row>
    <row r="17185" spans="8:16" x14ac:dyDescent="0.25">
      <c r="H17185" s="12"/>
      <c r="I17185" s="12"/>
      <c r="J17185" s="12"/>
      <c r="K17185" s="12"/>
      <c r="L17185" s="12"/>
      <c r="M17185" s="11"/>
      <c r="N17185" s="11"/>
      <c r="O17185" s="11"/>
      <c r="P17185" s="11"/>
    </row>
    <row r="17186" spans="8:16" x14ac:dyDescent="0.25">
      <c r="H17186" s="12"/>
      <c r="I17186" s="12"/>
      <c r="J17186" s="12"/>
      <c r="K17186" s="12"/>
      <c r="L17186" s="12"/>
      <c r="M17186" s="11"/>
      <c r="N17186" s="11"/>
      <c r="O17186" s="11"/>
      <c r="P17186" s="11"/>
    </row>
    <row r="17187" spans="8:16" x14ac:dyDescent="0.25">
      <c r="H17187" s="12"/>
      <c r="I17187" s="12"/>
      <c r="J17187" s="12"/>
      <c r="K17187" s="12"/>
      <c r="L17187" s="12"/>
      <c r="M17187" s="11"/>
      <c r="N17187" s="11"/>
      <c r="O17187" s="11"/>
      <c r="P17187" s="11"/>
    </row>
    <row r="17188" spans="8:16" x14ac:dyDescent="0.25">
      <c r="H17188" s="12"/>
      <c r="I17188" s="12"/>
      <c r="J17188" s="12"/>
      <c r="K17188" s="12"/>
      <c r="L17188" s="12"/>
      <c r="M17188" s="11"/>
      <c r="N17188" s="11"/>
      <c r="O17188" s="11"/>
      <c r="P17188" s="11"/>
    </row>
    <row r="17189" spans="8:16" x14ac:dyDescent="0.25">
      <c r="H17189" s="12"/>
      <c r="I17189" s="12"/>
      <c r="J17189" s="12"/>
      <c r="K17189" s="12"/>
      <c r="L17189" s="12"/>
      <c r="M17189" s="11"/>
      <c r="N17189" s="11"/>
      <c r="O17189" s="11"/>
      <c r="P17189" s="11"/>
    </row>
    <row r="17190" spans="8:16" x14ac:dyDescent="0.25">
      <c r="H17190" s="12"/>
      <c r="I17190" s="12"/>
      <c r="J17190" s="12"/>
      <c r="K17190" s="12"/>
      <c r="L17190" s="12"/>
      <c r="M17190" s="11"/>
      <c r="N17190" s="11"/>
      <c r="O17190" s="11"/>
      <c r="P17190" s="11"/>
    </row>
    <row r="17191" spans="8:16" x14ac:dyDescent="0.25">
      <c r="H17191" s="12"/>
      <c r="I17191" s="12"/>
      <c r="J17191" s="12"/>
      <c r="K17191" s="12"/>
      <c r="L17191" s="12"/>
      <c r="M17191" s="11"/>
      <c r="N17191" s="11"/>
      <c r="O17191" s="11"/>
      <c r="P17191" s="11"/>
    </row>
    <row r="17192" spans="8:16" x14ac:dyDescent="0.25">
      <c r="H17192" s="12"/>
      <c r="I17192" s="12"/>
      <c r="J17192" s="12"/>
      <c r="K17192" s="12"/>
      <c r="L17192" s="12"/>
      <c r="M17192" s="11"/>
      <c r="N17192" s="11"/>
      <c r="O17192" s="11"/>
      <c r="P17192" s="11"/>
    </row>
    <row r="17193" spans="8:16" x14ac:dyDescent="0.25">
      <c r="H17193" s="12"/>
      <c r="I17193" s="12"/>
      <c r="J17193" s="12"/>
      <c r="K17193" s="12"/>
      <c r="L17193" s="12"/>
      <c r="M17193" s="11"/>
      <c r="N17193" s="11"/>
      <c r="O17193" s="11"/>
      <c r="P17193" s="11"/>
    </row>
    <row r="17194" spans="8:16" x14ac:dyDescent="0.25">
      <c r="H17194" s="12"/>
      <c r="I17194" s="12"/>
      <c r="J17194" s="12"/>
      <c r="K17194" s="12"/>
      <c r="L17194" s="12"/>
      <c r="M17194" s="11"/>
      <c r="N17194" s="11"/>
      <c r="O17194" s="11"/>
      <c r="P17194" s="11"/>
    </row>
    <row r="17195" spans="8:16" x14ac:dyDescent="0.25">
      <c r="H17195" s="12"/>
      <c r="I17195" s="12"/>
      <c r="J17195" s="12"/>
      <c r="K17195" s="12"/>
      <c r="L17195" s="12"/>
      <c r="M17195" s="11"/>
      <c r="N17195" s="11"/>
      <c r="O17195" s="11"/>
      <c r="P17195" s="11"/>
    </row>
    <row r="17196" spans="8:16" x14ac:dyDescent="0.25">
      <c r="H17196" s="12"/>
      <c r="I17196" s="12"/>
      <c r="J17196" s="12"/>
      <c r="K17196" s="12"/>
      <c r="L17196" s="12"/>
      <c r="M17196" s="11"/>
      <c r="N17196" s="11"/>
      <c r="O17196" s="11"/>
      <c r="P17196" s="11"/>
    </row>
    <row r="17197" spans="8:16" x14ac:dyDescent="0.25">
      <c r="H17197" s="12"/>
      <c r="I17197" s="12"/>
      <c r="J17197" s="12"/>
      <c r="K17197" s="12"/>
      <c r="L17197" s="12"/>
      <c r="M17197" s="11"/>
      <c r="N17197" s="11"/>
      <c r="O17197" s="11"/>
      <c r="P17197" s="11"/>
    </row>
    <row r="17198" spans="8:16" x14ac:dyDescent="0.25">
      <c r="H17198" s="12"/>
      <c r="I17198" s="12"/>
      <c r="J17198" s="12"/>
      <c r="K17198" s="12"/>
      <c r="L17198" s="12"/>
      <c r="M17198" s="11"/>
      <c r="N17198" s="11"/>
      <c r="O17198" s="11"/>
      <c r="P17198" s="11"/>
    </row>
    <row r="17199" spans="8:16" x14ac:dyDescent="0.25">
      <c r="H17199" s="12"/>
      <c r="I17199" s="12"/>
      <c r="J17199" s="12"/>
      <c r="K17199" s="12"/>
      <c r="L17199" s="12"/>
      <c r="M17199" s="11"/>
      <c r="N17199" s="11"/>
      <c r="O17199" s="11"/>
      <c r="P17199" s="11"/>
    </row>
    <row r="17200" spans="8:16" x14ac:dyDescent="0.25">
      <c r="H17200" s="12"/>
      <c r="I17200" s="12"/>
      <c r="J17200" s="12"/>
      <c r="K17200" s="12"/>
      <c r="L17200" s="12"/>
      <c r="M17200" s="11"/>
      <c r="N17200" s="11"/>
      <c r="O17200" s="11"/>
      <c r="P17200" s="11"/>
    </row>
    <row r="17201" spans="8:16" x14ac:dyDescent="0.25">
      <c r="H17201" s="12"/>
      <c r="I17201" s="12"/>
      <c r="J17201" s="12"/>
      <c r="K17201" s="12"/>
      <c r="L17201" s="12"/>
      <c r="M17201" s="11"/>
      <c r="N17201" s="11"/>
      <c r="O17201" s="11"/>
      <c r="P17201" s="11"/>
    </row>
    <row r="17202" spans="8:16" x14ac:dyDescent="0.25">
      <c r="H17202" s="12"/>
      <c r="I17202" s="12"/>
      <c r="J17202" s="12"/>
      <c r="K17202" s="12"/>
      <c r="L17202" s="12"/>
      <c r="M17202" s="11"/>
      <c r="N17202" s="11"/>
      <c r="O17202" s="11"/>
      <c r="P17202" s="11"/>
    </row>
    <row r="17203" spans="8:16" x14ac:dyDescent="0.25">
      <c r="H17203" s="12"/>
      <c r="I17203" s="12"/>
      <c r="J17203" s="12"/>
      <c r="K17203" s="12"/>
      <c r="L17203" s="12"/>
      <c r="M17203" s="11"/>
      <c r="N17203" s="11"/>
      <c r="O17203" s="11"/>
      <c r="P17203" s="11"/>
    </row>
    <row r="17204" spans="8:16" x14ac:dyDescent="0.25">
      <c r="H17204" s="12"/>
      <c r="I17204" s="12"/>
      <c r="J17204" s="12"/>
      <c r="K17204" s="12"/>
      <c r="L17204" s="12"/>
      <c r="M17204" s="11"/>
      <c r="N17204" s="11"/>
      <c r="O17204" s="11"/>
      <c r="P17204" s="11"/>
    </row>
    <row r="17205" spans="8:16" x14ac:dyDescent="0.25">
      <c r="H17205" s="12"/>
      <c r="I17205" s="12"/>
      <c r="J17205" s="12"/>
      <c r="K17205" s="12"/>
      <c r="L17205" s="12"/>
      <c r="M17205" s="11"/>
      <c r="N17205" s="11"/>
      <c r="O17205" s="11"/>
      <c r="P17205" s="11"/>
    </row>
    <row r="17206" spans="8:16" x14ac:dyDescent="0.25">
      <c r="H17206" s="12"/>
      <c r="I17206" s="12"/>
      <c r="J17206" s="12"/>
      <c r="K17206" s="12"/>
      <c r="L17206" s="12"/>
      <c r="M17206" s="11"/>
      <c r="N17206" s="11"/>
      <c r="O17206" s="11"/>
      <c r="P17206" s="11"/>
    </row>
    <row r="17207" spans="8:16" x14ac:dyDescent="0.25">
      <c r="H17207" s="12"/>
      <c r="I17207" s="12"/>
      <c r="J17207" s="12"/>
      <c r="K17207" s="12"/>
      <c r="L17207" s="12"/>
      <c r="M17207" s="11"/>
      <c r="N17207" s="11"/>
      <c r="O17207" s="11"/>
      <c r="P17207" s="11"/>
    </row>
    <row r="17208" spans="8:16" x14ac:dyDescent="0.25">
      <c r="H17208" s="12"/>
      <c r="I17208" s="12"/>
      <c r="J17208" s="12"/>
      <c r="K17208" s="12"/>
      <c r="L17208" s="12"/>
      <c r="M17208" s="11"/>
      <c r="N17208" s="11"/>
      <c r="O17208" s="11"/>
      <c r="P17208" s="11"/>
    </row>
    <row r="17209" spans="8:16" x14ac:dyDescent="0.25">
      <c r="H17209" s="12"/>
      <c r="I17209" s="12"/>
      <c r="J17209" s="12"/>
      <c r="K17209" s="12"/>
      <c r="L17209" s="12"/>
      <c r="M17209" s="11"/>
      <c r="N17209" s="11"/>
      <c r="O17209" s="11"/>
      <c r="P17209" s="11"/>
    </row>
    <row r="17210" spans="8:16" x14ac:dyDescent="0.25">
      <c r="H17210" s="12"/>
      <c r="I17210" s="12"/>
      <c r="J17210" s="12"/>
      <c r="K17210" s="12"/>
      <c r="L17210" s="12"/>
      <c r="M17210" s="11"/>
      <c r="N17210" s="11"/>
      <c r="O17210" s="11"/>
      <c r="P17210" s="11"/>
    </row>
    <row r="17211" spans="8:16" x14ac:dyDescent="0.25">
      <c r="H17211" s="12"/>
      <c r="I17211" s="12"/>
      <c r="J17211" s="12"/>
      <c r="K17211" s="12"/>
      <c r="L17211" s="12"/>
      <c r="M17211" s="11"/>
      <c r="N17211" s="11"/>
      <c r="O17211" s="11"/>
      <c r="P17211" s="11"/>
    </row>
    <row r="17212" spans="8:16" x14ac:dyDescent="0.25">
      <c r="H17212" s="12"/>
      <c r="I17212" s="12"/>
      <c r="J17212" s="12"/>
      <c r="K17212" s="12"/>
      <c r="L17212" s="12"/>
      <c r="M17212" s="11"/>
      <c r="N17212" s="11"/>
      <c r="O17212" s="11"/>
      <c r="P17212" s="11"/>
    </row>
    <row r="17213" spans="8:16" x14ac:dyDescent="0.25">
      <c r="H17213" s="12"/>
      <c r="I17213" s="12"/>
      <c r="J17213" s="12"/>
      <c r="K17213" s="12"/>
      <c r="L17213" s="12"/>
      <c r="M17213" s="11"/>
      <c r="N17213" s="11"/>
      <c r="O17213" s="11"/>
      <c r="P17213" s="11"/>
    </row>
    <row r="17214" spans="8:16" x14ac:dyDescent="0.25">
      <c r="H17214" s="12"/>
      <c r="I17214" s="12"/>
      <c r="J17214" s="12"/>
      <c r="K17214" s="12"/>
      <c r="L17214" s="12"/>
      <c r="M17214" s="11"/>
      <c r="N17214" s="11"/>
      <c r="O17214" s="11"/>
      <c r="P17214" s="11"/>
    </row>
    <row r="17215" spans="8:16" x14ac:dyDescent="0.25">
      <c r="H17215" s="12"/>
      <c r="I17215" s="12"/>
      <c r="J17215" s="12"/>
      <c r="K17215" s="12"/>
      <c r="L17215" s="12"/>
      <c r="M17215" s="11"/>
      <c r="N17215" s="11"/>
      <c r="O17215" s="11"/>
      <c r="P17215" s="11"/>
    </row>
    <row r="17216" spans="8:16" x14ac:dyDescent="0.25">
      <c r="H17216" s="12"/>
      <c r="I17216" s="12"/>
      <c r="J17216" s="12"/>
      <c r="K17216" s="12"/>
      <c r="L17216" s="12"/>
      <c r="M17216" s="11"/>
      <c r="N17216" s="11"/>
      <c r="O17216" s="11"/>
      <c r="P17216" s="11"/>
    </row>
    <row r="17217" spans="8:16" x14ac:dyDescent="0.25">
      <c r="H17217" s="12"/>
      <c r="I17217" s="12"/>
      <c r="J17217" s="12"/>
      <c r="K17217" s="12"/>
      <c r="L17217" s="12"/>
      <c r="M17217" s="11"/>
      <c r="N17217" s="11"/>
      <c r="O17217" s="11"/>
      <c r="P17217" s="11"/>
    </row>
    <row r="17218" spans="8:16" x14ac:dyDescent="0.25">
      <c r="H17218" s="12"/>
      <c r="I17218" s="12"/>
      <c r="J17218" s="12"/>
      <c r="K17218" s="12"/>
      <c r="L17218" s="12"/>
      <c r="M17218" s="11"/>
      <c r="N17218" s="11"/>
      <c r="O17218" s="11"/>
      <c r="P17218" s="11"/>
    </row>
    <row r="17219" spans="8:16" x14ac:dyDescent="0.25">
      <c r="H17219" s="12"/>
      <c r="I17219" s="12"/>
      <c r="J17219" s="12"/>
      <c r="K17219" s="12"/>
      <c r="L17219" s="12"/>
      <c r="M17219" s="11"/>
      <c r="N17219" s="11"/>
      <c r="O17219" s="11"/>
      <c r="P17219" s="11"/>
    </row>
    <row r="17220" spans="8:16" x14ac:dyDescent="0.25">
      <c r="H17220" s="12"/>
      <c r="I17220" s="12"/>
      <c r="J17220" s="12"/>
      <c r="K17220" s="12"/>
      <c r="L17220" s="12"/>
      <c r="M17220" s="11"/>
      <c r="N17220" s="11"/>
      <c r="O17220" s="11"/>
      <c r="P17220" s="11"/>
    </row>
    <row r="17221" spans="8:16" x14ac:dyDescent="0.25">
      <c r="H17221" s="12"/>
      <c r="I17221" s="12"/>
      <c r="J17221" s="12"/>
      <c r="K17221" s="12"/>
      <c r="L17221" s="12"/>
      <c r="M17221" s="11"/>
      <c r="N17221" s="11"/>
      <c r="O17221" s="11"/>
      <c r="P17221" s="11"/>
    </row>
    <row r="17222" spans="8:16" x14ac:dyDescent="0.25">
      <c r="H17222" s="12"/>
      <c r="I17222" s="12"/>
      <c r="J17222" s="12"/>
      <c r="K17222" s="12"/>
      <c r="L17222" s="12"/>
      <c r="M17222" s="11"/>
      <c r="N17222" s="11"/>
      <c r="O17222" s="11"/>
      <c r="P17222" s="11"/>
    </row>
    <row r="17223" spans="8:16" x14ac:dyDescent="0.25">
      <c r="H17223" s="12"/>
      <c r="I17223" s="12"/>
      <c r="J17223" s="12"/>
      <c r="K17223" s="12"/>
      <c r="L17223" s="12"/>
      <c r="M17223" s="11"/>
      <c r="N17223" s="11"/>
      <c r="O17223" s="11"/>
      <c r="P17223" s="11"/>
    </row>
    <row r="17224" spans="8:16" x14ac:dyDescent="0.25">
      <c r="H17224" s="12"/>
      <c r="I17224" s="12"/>
      <c r="J17224" s="12"/>
      <c r="K17224" s="12"/>
      <c r="L17224" s="12"/>
      <c r="M17224" s="11"/>
      <c r="N17224" s="11"/>
      <c r="O17224" s="11"/>
      <c r="P17224" s="11"/>
    </row>
    <row r="17225" spans="8:16" x14ac:dyDescent="0.25">
      <c r="H17225" s="12"/>
      <c r="I17225" s="12"/>
      <c r="J17225" s="12"/>
      <c r="K17225" s="12"/>
      <c r="L17225" s="12"/>
      <c r="M17225" s="11"/>
      <c r="N17225" s="11"/>
      <c r="O17225" s="11"/>
      <c r="P17225" s="11"/>
    </row>
    <row r="17226" spans="8:16" x14ac:dyDescent="0.25">
      <c r="H17226" s="12"/>
      <c r="I17226" s="12"/>
      <c r="J17226" s="12"/>
      <c r="K17226" s="12"/>
      <c r="L17226" s="12"/>
      <c r="M17226" s="11"/>
      <c r="N17226" s="11"/>
      <c r="O17226" s="11"/>
      <c r="P17226" s="11"/>
    </row>
    <row r="17227" spans="8:16" x14ac:dyDescent="0.25">
      <c r="H17227" s="12"/>
      <c r="I17227" s="12"/>
      <c r="J17227" s="12"/>
      <c r="K17227" s="12"/>
      <c r="L17227" s="12"/>
      <c r="M17227" s="11"/>
      <c r="N17227" s="11"/>
      <c r="O17227" s="11"/>
      <c r="P17227" s="11"/>
    </row>
    <row r="17228" spans="8:16" x14ac:dyDescent="0.25">
      <c r="H17228" s="12"/>
      <c r="I17228" s="12"/>
      <c r="J17228" s="12"/>
      <c r="K17228" s="12"/>
      <c r="L17228" s="12"/>
      <c r="M17228" s="11"/>
      <c r="N17228" s="11"/>
      <c r="O17228" s="11"/>
      <c r="P17228" s="11"/>
    </row>
    <row r="17229" spans="8:16" x14ac:dyDescent="0.25">
      <c r="H17229" s="12"/>
      <c r="I17229" s="12"/>
      <c r="J17229" s="12"/>
      <c r="K17229" s="12"/>
      <c r="L17229" s="12"/>
      <c r="M17229" s="11"/>
      <c r="N17229" s="11"/>
      <c r="O17229" s="11"/>
      <c r="P17229" s="11"/>
    </row>
    <row r="17230" spans="8:16" x14ac:dyDescent="0.25">
      <c r="H17230" s="12"/>
      <c r="I17230" s="12"/>
      <c r="J17230" s="12"/>
      <c r="K17230" s="12"/>
      <c r="L17230" s="12"/>
      <c r="M17230" s="11"/>
      <c r="N17230" s="11"/>
      <c r="O17230" s="11"/>
      <c r="P17230" s="11"/>
    </row>
    <row r="17231" spans="8:16" x14ac:dyDescent="0.25">
      <c r="H17231" s="12"/>
      <c r="I17231" s="12"/>
      <c r="J17231" s="12"/>
      <c r="K17231" s="12"/>
      <c r="L17231" s="12"/>
      <c r="M17231" s="11"/>
      <c r="N17231" s="11"/>
      <c r="O17231" s="11"/>
      <c r="P17231" s="11"/>
    </row>
    <row r="17232" spans="8:16" x14ac:dyDescent="0.25">
      <c r="H17232" s="12"/>
      <c r="I17232" s="12"/>
      <c r="J17232" s="12"/>
      <c r="K17232" s="12"/>
      <c r="L17232" s="12"/>
      <c r="M17232" s="11"/>
      <c r="N17232" s="11"/>
      <c r="O17232" s="11"/>
      <c r="P17232" s="11"/>
    </row>
    <row r="17233" spans="8:16" x14ac:dyDescent="0.25">
      <c r="H17233" s="12"/>
      <c r="I17233" s="12"/>
      <c r="J17233" s="12"/>
      <c r="K17233" s="12"/>
      <c r="L17233" s="12"/>
      <c r="M17233" s="11"/>
      <c r="N17233" s="11"/>
      <c r="O17233" s="11"/>
      <c r="P17233" s="11"/>
    </row>
    <row r="17234" spans="8:16" x14ac:dyDescent="0.25">
      <c r="H17234" s="12"/>
      <c r="I17234" s="12"/>
      <c r="J17234" s="12"/>
      <c r="K17234" s="12"/>
      <c r="L17234" s="12"/>
      <c r="M17234" s="11"/>
      <c r="N17234" s="11"/>
      <c r="O17234" s="11"/>
      <c r="P17234" s="11"/>
    </row>
    <row r="17235" spans="8:16" x14ac:dyDescent="0.25">
      <c r="H17235" s="12"/>
      <c r="I17235" s="12"/>
      <c r="J17235" s="12"/>
      <c r="K17235" s="12"/>
      <c r="L17235" s="12"/>
      <c r="M17235" s="11"/>
      <c r="N17235" s="11"/>
      <c r="O17235" s="11"/>
      <c r="P17235" s="11"/>
    </row>
    <row r="17236" spans="8:16" x14ac:dyDescent="0.25">
      <c r="H17236" s="12"/>
      <c r="I17236" s="12"/>
      <c r="J17236" s="12"/>
      <c r="K17236" s="12"/>
      <c r="L17236" s="12"/>
      <c r="M17236" s="11"/>
      <c r="N17236" s="11"/>
      <c r="O17236" s="11"/>
      <c r="P17236" s="11"/>
    </row>
    <row r="17237" spans="8:16" x14ac:dyDescent="0.25">
      <c r="H17237" s="12"/>
      <c r="I17237" s="12"/>
      <c r="J17237" s="12"/>
      <c r="K17237" s="12"/>
      <c r="L17237" s="12"/>
      <c r="M17237" s="11"/>
      <c r="N17237" s="11"/>
      <c r="O17237" s="11"/>
      <c r="P17237" s="11"/>
    </row>
    <row r="17238" spans="8:16" x14ac:dyDescent="0.25">
      <c r="H17238" s="12"/>
      <c r="I17238" s="12"/>
      <c r="J17238" s="12"/>
      <c r="K17238" s="12"/>
      <c r="L17238" s="12"/>
      <c r="M17238" s="11"/>
      <c r="N17238" s="11"/>
      <c r="O17238" s="11"/>
      <c r="P17238" s="11"/>
    </row>
    <row r="17239" spans="8:16" x14ac:dyDescent="0.25">
      <c r="H17239" s="12"/>
      <c r="I17239" s="12"/>
      <c r="J17239" s="12"/>
      <c r="K17239" s="12"/>
      <c r="L17239" s="12"/>
      <c r="M17239" s="11"/>
      <c r="N17239" s="11"/>
      <c r="O17239" s="11"/>
      <c r="P17239" s="11"/>
    </row>
    <row r="17240" spans="8:16" x14ac:dyDescent="0.25">
      <c r="H17240" s="12"/>
      <c r="I17240" s="12"/>
      <c r="J17240" s="12"/>
      <c r="K17240" s="12"/>
      <c r="L17240" s="12"/>
      <c r="M17240" s="11"/>
      <c r="N17240" s="11"/>
      <c r="O17240" s="11"/>
      <c r="P17240" s="11"/>
    </row>
    <row r="17241" spans="8:16" x14ac:dyDescent="0.25">
      <c r="H17241" s="12"/>
      <c r="I17241" s="12"/>
      <c r="J17241" s="12"/>
      <c r="K17241" s="12"/>
      <c r="L17241" s="12"/>
      <c r="M17241" s="11"/>
      <c r="N17241" s="11"/>
      <c r="O17241" s="11"/>
      <c r="P17241" s="11"/>
    </row>
    <row r="17242" spans="8:16" x14ac:dyDescent="0.25">
      <c r="H17242" s="12"/>
      <c r="I17242" s="12"/>
      <c r="J17242" s="12"/>
      <c r="K17242" s="12"/>
      <c r="L17242" s="12"/>
      <c r="M17242" s="11"/>
      <c r="N17242" s="11"/>
      <c r="O17242" s="11"/>
      <c r="P17242" s="11"/>
    </row>
    <row r="17243" spans="8:16" x14ac:dyDescent="0.25">
      <c r="H17243" s="12"/>
      <c r="I17243" s="12"/>
      <c r="J17243" s="12"/>
      <c r="K17243" s="12"/>
      <c r="L17243" s="12"/>
      <c r="M17243" s="11"/>
      <c r="N17243" s="11"/>
      <c r="O17243" s="11"/>
      <c r="P17243" s="11"/>
    </row>
    <row r="17244" spans="8:16" x14ac:dyDescent="0.25">
      <c r="H17244" s="12"/>
      <c r="I17244" s="12"/>
      <c r="J17244" s="12"/>
      <c r="K17244" s="12"/>
      <c r="L17244" s="12"/>
      <c r="M17244" s="11"/>
      <c r="N17244" s="11"/>
      <c r="O17244" s="11"/>
      <c r="P17244" s="11"/>
    </row>
    <row r="17245" spans="8:16" x14ac:dyDescent="0.25">
      <c r="H17245" s="12"/>
      <c r="I17245" s="12"/>
      <c r="J17245" s="12"/>
      <c r="K17245" s="12"/>
      <c r="L17245" s="12"/>
      <c r="M17245" s="11"/>
      <c r="N17245" s="11"/>
      <c r="O17245" s="11"/>
      <c r="P17245" s="11"/>
    </row>
    <row r="17246" spans="8:16" x14ac:dyDescent="0.25">
      <c r="H17246" s="12"/>
      <c r="I17246" s="12"/>
      <c r="J17246" s="12"/>
      <c r="K17246" s="12"/>
      <c r="L17246" s="12"/>
      <c r="M17246" s="11"/>
      <c r="N17246" s="11"/>
      <c r="O17246" s="11"/>
      <c r="P17246" s="11"/>
    </row>
    <row r="17247" spans="8:16" x14ac:dyDescent="0.25">
      <c r="H17247" s="12"/>
      <c r="I17247" s="12"/>
      <c r="J17247" s="12"/>
      <c r="K17247" s="12"/>
      <c r="L17247" s="12"/>
      <c r="M17247" s="11"/>
      <c r="N17247" s="11"/>
      <c r="O17247" s="11"/>
      <c r="P17247" s="11"/>
    </row>
    <row r="17248" spans="8:16" x14ac:dyDescent="0.25">
      <c r="H17248" s="12"/>
      <c r="I17248" s="12"/>
      <c r="J17248" s="12"/>
      <c r="K17248" s="12"/>
      <c r="L17248" s="12"/>
      <c r="M17248" s="11"/>
      <c r="N17248" s="11"/>
      <c r="O17248" s="11"/>
      <c r="P17248" s="11"/>
    </row>
    <row r="17249" spans="8:16" x14ac:dyDescent="0.25">
      <c r="H17249" s="12"/>
      <c r="I17249" s="12"/>
      <c r="J17249" s="12"/>
      <c r="K17249" s="12"/>
      <c r="L17249" s="12"/>
      <c r="M17249" s="11"/>
      <c r="N17249" s="11"/>
      <c r="O17249" s="11"/>
      <c r="P17249" s="11"/>
    </row>
    <row r="17250" spans="8:16" x14ac:dyDescent="0.25">
      <c r="H17250" s="12"/>
      <c r="I17250" s="12"/>
      <c r="J17250" s="12"/>
      <c r="K17250" s="12"/>
      <c r="L17250" s="12"/>
      <c r="M17250" s="11"/>
      <c r="N17250" s="11"/>
      <c r="O17250" s="11"/>
      <c r="P17250" s="11"/>
    </row>
    <row r="17251" spans="8:16" x14ac:dyDescent="0.25">
      <c r="H17251" s="12"/>
      <c r="I17251" s="12"/>
      <c r="J17251" s="12"/>
      <c r="K17251" s="12"/>
      <c r="L17251" s="12"/>
      <c r="M17251" s="11"/>
      <c r="N17251" s="11"/>
      <c r="O17251" s="11"/>
      <c r="P17251" s="11"/>
    </row>
    <row r="17252" spans="8:16" x14ac:dyDescent="0.25">
      <c r="H17252" s="12"/>
      <c r="I17252" s="12"/>
      <c r="J17252" s="12"/>
      <c r="K17252" s="12"/>
      <c r="L17252" s="12"/>
      <c r="M17252" s="11"/>
      <c r="N17252" s="11"/>
      <c r="O17252" s="11"/>
      <c r="P17252" s="11"/>
    </row>
    <row r="17253" spans="8:16" x14ac:dyDescent="0.25">
      <c r="H17253" s="12"/>
      <c r="I17253" s="12"/>
      <c r="J17253" s="12"/>
      <c r="K17253" s="12"/>
      <c r="L17253" s="12"/>
      <c r="M17253" s="11"/>
      <c r="N17253" s="11"/>
      <c r="O17253" s="11"/>
      <c r="P17253" s="11"/>
    </row>
    <row r="17254" spans="8:16" x14ac:dyDescent="0.25">
      <c r="H17254" s="12"/>
      <c r="I17254" s="12"/>
      <c r="J17254" s="12"/>
      <c r="K17254" s="12"/>
      <c r="L17254" s="12"/>
      <c r="M17254" s="11"/>
      <c r="N17254" s="11"/>
      <c r="O17254" s="11"/>
      <c r="P17254" s="11"/>
    </row>
    <row r="17255" spans="8:16" x14ac:dyDescent="0.25">
      <c r="H17255" s="12"/>
      <c r="I17255" s="12"/>
      <c r="J17255" s="12"/>
      <c r="K17255" s="12"/>
      <c r="L17255" s="12"/>
      <c r="M17255" s="11"/>
      <c r="N17255" s="11"/>
      <c r="O17255" s="11"/>
      <c r="P17255" s="11"/>
    </row>
    <row r="17256" spans="8:16" x14ac:dyDescent="0.25">
      <c r="H17256" s="12"/>
      <c r="I17256" s="12"/>
      <c r="J17256" s="12"/>
      <c r="K17256" s="12"/>
      <c r="L17256" s="12"/>
      <c r="M17256" s="11"/>
      <c r="N17256" s="11"/>
      <c r="O17256" s="11"/>
      <c r="P17256" s="11"/>
    </row>
    <row r="17257" spans="8:16" x14ac:dyDescent="0.25">
      <c r="H17257" s="12"/>
      <c r="I17257" s="12"/>
      <c r="J17257" s="12"/>
      <c r="K17257" s="12"/>
      <c r="L17257" s="12"/>
      <c r="M17257" s="11"/>
      <c r="N17257" s="11"/>
      <c r="O17257" s="11"/>
      <c r="P17257" s="11"/>
    </row>
    <row r="17258" spans="8:16" x14ac:dyDescent="0.25">
      <c r="H17258" s="12"/>
      <c r="I17258" s="12"/>
      <c r="J17258" s="12"/>
      <c r="K17258" s="12"/>
      <c r="L17258" s="12"/>
      <c r="M17258" s="11"/>
      <c r="N17258" s="11"/>
      <c r="O17258" s="11"/>
      <c r="P17258" s="11"/>
    </row>
    <row r="17259" spans="8:16" x14ac:dyDescent="0.25">
      <c r="H17259" s="12"/>
      <c r="I17259" s="12"/>
      <c r="J17259" s="12"/>
      <c r="K17259" s="12"/>
      <c r="L17259" s="12"/>
      <c r="M17259" s="11"/>
      <c r="N17259" s="11"/>
      <c r="O17259" s="11"/>
      <c r="P17259" s="11"/>
    </row>
    <row r="17260" spans="8:16" x14ac:dyDescent="0.25">
      <c r="H17260" s="12"/>
      <c r="I17260" s="12"/>
      <c r="J17260" s="12"/>
      <c r="K17260" s="12"/>
      <c r="L17260" s="12"/>
      <c r="M17260" s="11"/>
      <c r="N17260" s="11"/>
      <c r="O17260" s="11"/>
      <c r="P17260" s="11"/>
    </row>
    <row r="17261" spans="8:16" x14ac:dyDescent="0.25">
      <c r="H17261" s="12"/>
      <c r="I17261" s="12"/>
      <c r="J17261" s="12"/>
      <c r="K17261" s="12"/>
      <c r="L17261" s="12"/>
      <c r="M17261" s="11"/>
      <c r="N17261" s="11"/>
      <c r="O17261" s="11"/>
      <c r="P17261" s="11"/>
    </row>
    <row r="17262" spans="8:16" x14ac:dyDescent="0.25">
      <c r="H17262" s="12"/>
      <c r="I17262" s="12"/>
      <c r="J17262" s="12"/>
      <c r="K17262" s="12"/>
      <c r="L17262" s="12"/>
      <c r="M17262" s="11"/>
      <c r="N17262" s="11"/>
      <c r="O17262" s="11"/>
      <c r="P17262" s="11"/>
    </row>
    <row r="17263" spans="8:16" x14ac:dyDescent="0.25">
      <c r="H17263" s="12"/>
      <c r="I17263" s="12"/>
      <c r="J17263" s="12"/>
      <c r="K17263" s="12"/>
      <c r="L17263" s="12"/>
      <c r="M17263" s="11"/>
      <c r="N17263" s="11"/>
      <c r="O17263" s="11"/>
      <c r="P17263" s="11"/>
    </row>
    <row r="17264" spans="8:16" x14ac:dyDescent="0.25">
      <c r="H17264" s="12"/>
      <c r="I17264" s="12"/>
      <c r="J17264" s="12"/>
      <c r="K17264" s="12"/>
      <c r="L17264" s="12"/>
      <c r="M17264" s="11"/>
      <c r="N17264" s="11"/>
      <c r="O17264" s="11"/>
      <c r="P17264" s="11"/>
    </row>
    <row r="17265" spans="8:16" x14ac:dyDescent="0.25">
      <c r="H17265" s="12"/>
      <c r="I17265" s="12"/>
      <c r="J17265" s="12"/>
      <c r="K17265" s="12"/>
      <c r="L17265" s="12"/>
      <c r="M17265" s="11"/>
      <c r="N17265" s="11"/>
      <c r="O17265" s="11"/>
      <c r="P17265" s="11"/>
    </row>
    <row r="17266" spans="8:16" x14ac:dyDescent="0.25">
      <c r="H17266" s="12"/>
      <c r="I17266" s="12"/>
      <c r="J17266" s="12"/>
      <c r="K17266" s="12"/>
      <c r="L17266" s="12"/>
      <c r="M17266" s="11"/>
      <c r="N17266" s="11"/>
      <c r="O17266" s="11"/>
      <c r="P17266" s="11"/>
    </row>
    <row r="17267" spans="8:16" x14ac:dyDescent="0.25">
      <c r="H17267" s="12"/>
      <c r="I17267" s="12"/>
      <c r="J17267" s="12"/>
      <c r="K17267" s="12"/>
      <c r="L17267" s="12"/>
      <c r="M17267" s="11"/>
      <c r="N17267" s="11"/>
      <c r="O17267" s="11"/>
      <c r="P17267" s="11"/>
    </row>
    <row r="17268" spans="8:16" x14ac:dyDescent="0.25">
      <c r="H17268" s="12"/>
      <c r="I17268" s="12"/>
      <c r="J17268" s="12"/>
      <c r="K17268" s="12"/>
      <c r="L17268" s="12"/>
      <c r="M17268" s="11"/>
      <c r="N17268" s="11"/>
      <c r="O17268" s="11"/>
      <c r="P17268" s="11"/>
    </row>
    <row r="17269" spans="8:16" x14ac:dyDescent="0.25">
      <c r="H17269" s="12"/>
      <c r="I17269" s="12"/>
      <c r="J17269" s="12"/>
      <c r="K17269" s="12"/>
      <c r="L17269" s="12"/>
      <c r="M17269" s="11"/>
      <c r="N17269" s="11"/>
      <c r="O17269" s="11"/>
      <c r="P17269" s="11"/>
    </row>
    <row r="17270" spans="8:16" x14ac:dyDescent="0.25">
      <c r="H17270" s="12"/>
      <c r="I17270" s="12"/>
      <c r="J17270" s="12"/>
      <c r="K17270" s="12"/>
      <c r="L17270" s="12"/>
      <c r="M17270" s="11"/>
      <c r="N17270" s="11"/>
      <c r="O17270" s="11"/>
      <c r="P17270" s="11"/>
    </row>
    <row r="17271" spans="8:16" x14ac:dyDescent="0.25">
      <c r="H17271" s="12"/>
      <c r="I17271" s="12"/>
      <c r="J17271" s="12"/>
      <c r="K17271" s="12"/>
      <c r="L17271" s="12"/>
      <c r="M17271" s="11"/>
      <c r="N17271" s="11"/>
      <c r="O17271" s="11"/>
      <c r="P17271" s="11"/>
    </row>
    <row r="17272" spans="8:16" x14ac:dyDescent="0.25">
      <c r="H17272" s="12"/>
      <c r="I17272" s="12"/>
      <c r="J17272" s="12"/>
      <c r="K17272" s="12"/>
      <c r="L17272" s="12"/>
      <c r="M17272" s="11"/>
      <c r="N17272" s="11"/>
      <c r="O17272" s="11"/>
      <c r="P17272" s="11"/>
    </row>
    <row r="17273" spans="8:16" x14ac:dyDescent="0.25">
      <c r="H17273" s="12"/>
      <c r="I17273" s="12"/>
      <c r="J17273" s="12"/>
      <c r="K17273" s="12"/>
      <c r="L17273" s="12"/>
      <c r="M17273" s="11"/>
      <c r="N17273" s="11"/>
      <c r="O17273" s="11"/>
      <c r="P17273" s="11"/>
    </row>
    <row r="17274" spans="8:16" x14ac:dyDescent="0.25">
      <c r="H17274" s="12"/>
      <c r="I17274" s="12"/>
      <c r="J17274" s="12"/>
      <c r="K17274" s="12"/>
      <c r="L17274" s="12"/>
      <c r="M17274" s="11"/>
      <c r="N17274" s="11"/>
      <c r="O17274" s="11"/>
      <c r="P17274" s="11"/>
    </row>
    <row r="17275" spans="8:16" x14ac:dyDescent="0.25">
      <c r="H17275" s="12"/>
      <c r="I17275" s="12"/>
      <c r="J17275" s="12"/>
      <c r="K17275" s="12"/>
      <c r="L17275" s="12"/>
      <c r="M17275" s="11"/>
      <c r="N17275" s="11"/>
      <c r="O17275" s="11"/>
      <c r="P17275" s="11"/>
    </row>
    <row r="17276" spans="8:16" x14ac:dyDescent="0.25">
      <c r="H17276" s="12"/>
      <c r="I17276" s="12"/>
      <c r="J17276" s="12"/>
      <c r="K17276" s="12"/>
      <c r="L17276" s="12"/>
      <c r="M17276" s="11"/>
      <c r="N17276" s="11"/>
      <c r="O17276" s="11"/>
      <c r="P17276" s="11"/>
    </row>
    <row r="17277" spans="8:16" x14ac:dyDescent="0.25">
      <c r="H17277" s="12"/>
      <c r="I17277" s="12"/>
      <c r="J17277" s="12"/>
      <c r="K17277" s="12"/>
      <c r="L17277" s="12"/>
      <c r="M17277" s="11"/>
      <c r="N17277" s="11"/>
      <c r="O17277" s="11"/>
      <c r="P17277" s="11"/>
    </row>
    <row r="17278" spans="8:16" x14ac:dyDescent="0.25">
      <c r="H17278" s="12"/>
      <c r="I17278" s="12"/>
      <c r="J17278" s="12"/>
      <c r="K17278" s="12"/>
      <c r="L17278" s="12"/>
      <c r="M17278" s="11"/>
      <c r="N17278" s="11"/>
      <c r="O17278" s="11"/>
      <c r="P17278" s="11"/>
    </row>
    <row r="17279" spans="8:16" x14ac:dyDescent="0.25">
      <c r="H17279" s="12"/>
      <c r="I17279" s="12"/>
      <c r="J17279" s="12"/>
      <c r="K17279" s="12"/>
      <c r="L17279" s="12"/>
      <c r="M17279" s="11"/>
      <c r="N17279" s="11"/>
      <c r="O17279" s="11"/>
      <c r="P17279" s="11"/>
    </row>
    <row r="17280" spans="8:16" x14ac:dyDescent="0.25">
      <c r="H17280" s="12"/>
      <c r="I17280" s="12"/>
      <c r="J17280" s="12"/>
      <c r="K17280" s="12"/>
      <c r="L17280" s="12"/>
      <c r="M17280" s="11"/>
      <c r="N17280" s="11"/>
      <c r="O17280" s="11"/>
      <c r="P17280" s="11"/>
    </row>
    <row r="17281" spans="8:16" x14ac:dyDescent="0.25">
      <c r="H17281" s="12"/>
      <c r="I17281" s="12"/>
      <c r="J17281" s="12"/>
      <c r="K17281" s="12"/>
      <c r="L17281" s="12"/>
      <c r="M17281" s="11"/>
      <c r="N17281" s="11"/>
      <c r="O17281" s="11"/>
      <c r="P17281" s="11"/>
    </row>
    <row r="17282" spans="8:16" x14ac:dyDescent="0.25">
      <c r="H17282" s="12"/>
      <c r="I17282" s="12"/>
      <c r="J17282" s="12"/>
      <c r="K17282" s="12"/>
      <c r="L17282" s="12"/>
      <c r="M17282" s="11"/>
      <c r="N17282" s="11"/>
      <c r="O17282" s="11"/>
      <c r="P17282" s="11"/>
    </row>
    <row r="17283" spans="8:16" x14ac:dyDescent="0.25">
      <c r="H17283" s="12"/>
      <c r="I17283" s="12"/>
      <c r="J17283" s="12"/>
      <c r="K17283" s="12"/>
      <c r="L17283" s="12"/>
      <c r="M17283" s="11"/>
      <c r="N17283" s="11"/>
      <c r="O17283" s="11"/>
      <c r="P17283" s="11"/>
    </row>
    <row r="17284" spans="8:16" x14ac:dyDescent="0.25">
      <c r="H17284" s="12"/>
      <c r="I17284" s="12"/>
      <c r="J17284" s="12"/>
      <c r="K17284" s="12"/>
      <c r="L17284" s="12"/>
      <c r="M17284" s="11"/>
      <c r="N17284" s="11"/>
      <c r="O17284" s="11"/>
      <c r="P17284" s="11"/>
    </row>
    <row r="17285" spans="8:16" x14ac:dyDescent="0.25">
      <c r="H17285" s="12"/>
      <c r="I17285" s="12"/>
      <c r="J17285" s="12"/>
      <c r="K17285" s="12"/>
      <c r="L17285" s="12"/>
      <c r="M17285" s="11"/>
      <c r="N17285" s="11"/>
      <c r="O17285" s="11"/>
      <c r="P17285" s="11"/>
    </row>
    <row r="17286" spans="8:16" x14ac:dyDescent="0.25">
      <c r="H17286" s="12"/>
      <c r="I17286" s="12"/>
      <c r="J17286" s="12"/>
      <c r="K17286" s="12"/>
      <c r="L17286" s="12"/>
      <c r="M17286" s="11"/>
      <c r="N17286" s="11"/>
      <c r="O17286" s="11"/>
      <c r="P17286" s="11"/>
    </row>
    <row r="17287" spans="8:16" x14ac:dyDescent="0.25">
      <c r="H17287" s="12"/>
      <c r="I17287" s="12"/>
      <c r="J17287" s="12"/>
      <c r="K17287" s="12"/>
      <c r="L17287" s="12"/>
      <c r="M17287" s="11"/>
      <c r="N17287" s="11"/>
      <c r="O17287" s="11"/>
      <c r="P17287" s="11"/>
    </row>
    <row r="17288" spans="8:16" x14ac:dyDescent="0.25">
      <c r="H17288" s="12"/>
      <c r="I17288" s="12"/>
      <c r="J17288" s="12"/>
      <c r="K17288" s="12"/>
      <c r="L17288" s="12"/>
      <c r="M17288" s="11"/>
      <c r="N17288" s="11"/>
      <c r="O17288" s="11"/>
      <c r="P17288" s="11"/>
    </row>
    <row r="17289" spans="8:16" x14ac:dyDescent="0.25">
      <c r="H17289" s="12"/>
      <c r="I17289" s="12"/>
      <c r="J17289" s="12"/>
      <c r="K17289" s="12"/>
      <c r="L17289" s="12"/>
      <c r="M17289" s="11"/>
      <c r="N17289" s="11"/>
      <c r="O17289" s="11"/>
      <c r="P17289" s="11"/>
    </row>
    <row r="17290" spans="8:16" x14ac:dyDescent="0.25">
      <c r="H17290" s="12"/>
      <c r="I17290" s="12"/>
      <c r="J17290" s="12"/>
      <c r="K17290" s="12"/>
      <c r="L17290" s="12"/>
      <c r="M17290" s="11"/>
      <c r="N17290" s="11"/>
      <c r="O17290" s="11"/>
      <c r="P17290" s="11"/>
    </row>
    <row r="17291" spans="8:16" x14ac:dyDescent="0.25">
      <c r="H17291" s="12"/>
      <c r="I17291" s="12"/>
      <c r="J17291" s="12"/>
      <c r="K17291" s="12"/>
      <c r="L17291" s="12"/>
      <c r="M17291" s="11"/>
      <c r="N17291" s="11"/>
      <c r="O17291" s="11"/>
      <c r="P17291" s="11"/>
    </row>
    <row r="17292" spans="8:16" x14ac:dyDescent="0.25">
      <c r="H17292" s="12"/>
      <c r="I17292" s="12"/>
      <c r="J17292" s="12"/>
      <c r="K17292" s="12"/>
      <c r="L17292" s="12"/>
      <c r="M17292" s="11"/>
      <c r="N17292" s="11"/>
      <c r="O17292" s="11"/>
      <c r="P17292" s="11"/>
    </row>
    <row r="17293" spans="8:16" x14ac:dyDescent="0.25">
      <c r="H17293" s="12"/>
      <c r="I17293" s="12"/>
      <c r="J17293" s="12"/>
      <c r="K17293" s="12"/>
      <c r="L17293" s="12"/>
      <c r="M17293" s="11"/>
      <c r="N17293" s="11"/>
      <c r="O17293" s="11"/>
      <c r="P17293" s="11"/>
    </row>
    <row r="17294" spans="8:16" x14ac:dyDescent="0.25">
      <c r="H17294" s="12"/>
      <c r="I17294" s="12"/>
      <c r="J17294" s="12"/>
      <c r="K17294" s="12"/>
      <c r="L17294" s="12"/>
      <c r="M17294" s="11"/>
      <c r="N17294" s="11"/>
      <c r="O17294" s="11"/>
      <c r="P17294" s="11"/>
    </row>
    <row r="17295" spans="8:16" x14ac:dyDescent="0.25">
      <c r="H17295" s="12"/>
      <c r="I17295" s="12"/>
      <c r="J17295" s="12"/>
      <c r="K17295" s="12"/>
      <c r="L17295" s="12"/>
      <c r="M17295" s="11"/>
      <c r="N17295" s="11"/>
      <c r="O17295" s="11"/>
      <c r="P17295" s="11"/>
    </row>
    <row r="17296" spans="8:16" x14ac:dyDescent="0.25">
      <c r="H17296" s="12"/>
      <c r="I17296" s="12"/>
      <c r="J17296" s="12"/>
      <c r="K17296" s="12"/>
      <c r="L17296" s="12"/>
      <c r="M17296" s="11"/>
      <c r="N17296" s="11"/>
      <c r="O17296" s="11"/>
      <c r="P17296" s="11"/>
    </row>
    <row r="17297" spans="8:16" x14ac:dyDescent="0.25">
      <c r="H17297" s="12"/>
      <c r="I17297" s="12"/>
      <c r="J17297" s="12"/>
      <c r="K17297" s="12"/>
      <c r="L17297" s="12"/>
      <c r="M17297" s="11"/>
      <c r="N17297" s="11"/>
      <c r="O17297" s="11"/>
      <c r="P17297" s="11"/>
    </row>
    <row r="17298" spans="8:16" x14ac:dyDescent="0.25">
      <c r="H17298" s="12"/>
      <c r="I17298" s="12"/>
      <c r="J17298" s="12"/>
      <c r="K17298" s="12"/>
      <c r="L17298" s="12"/>
      <c r="M17298" s="11"/>
      <c r="N17298" s="11"/>
      <c r="O17298" s="11"/>
      <c r="P17298" s="11"/>
    </row>
    <row r="17299" spans="8:16" x14ac:dyDescent="0.25">
      <c r="H17299" s="12"/>
      <c r="I17299" s="12"/>
      <c r="J17299" s="12"/>
      <c r="K17299" s="12"/>
      <c r="L17299" s="12"/>
      <c r="M17299" s="11"/>
      <c r="N17299" s="11"/>
      <c r="O17299" s="11"/>
      <c r="P17299" s="11"/>
    </row>
    <row r="17300" spans="8:16" x14ac:dyDescent="0.25">
      <c r="H17300" s="12"/>
      <c r="I17300" s="12"/>
      <c r="J17300" s="12"/>
      <c r="K17300" s="12"/>
      <c r="L17300" s="12"/>
      <c r="M17300" s="11"/>
      <c r="N17300" s="11"/>
      <c r="O17300" s="11"/>
      <c r="P17300" s="11"/>
    </row>
    <row r="17301" spans="8:16" x14ac:dyDescent="0.25">
      <c r="H17301" s="12"/>
      <c r="I17301" s="12"/>
      <c r="J17301" s="12"/>
      <c r="K17301" s="12"/>
      <c r="L17301" s="12"/>
      <c r="M17301" s="11"/>
      <c r="N17301" s="11"/>
      <c r="O17301" s="11"/>
      <c r="P17301" s="11"/>
    </row>
    <row r="17302" spans="8:16" x14ac:dyDescent="0.25">
      <c r="H17302" s="12"/>
      <c r="I17302" s="12"/>
      <c r="J17302" s="12"/>
      <c r="K17302" s="12"/>
      <c r="L17302" s="12"/>
      <c r="M17302" s="11"/>
      <c r="N17302" s="11"/>
      <c r="O17302" s="11"/>
      <c r="P17302" s="11"/>
    </row>
    <row r="17303" spans="8:16" x14ac:dyDescent="0.25">
      <c r="H17303" s="12"/>
      <c r="I17303" s="12"/>
      <c r="J17303" s="12"/>
      <c r="K17303" s="12"/>
      <c r="L17303" s="12"/>
      <c r="M17303" s="11"/>
      <c r="N17303" s="11"/>
      <c r="O17303" s="11"/>
      <c r="P17303" s="11"/>
    </row>
    <row r="17304" spans="8:16" x14ac:dyDescent="0.25">
      <c r="H17304" s="12"/>
      <c r="I17304" s="12"/>
      <c r="J17304" s="12"/>
      <c r="K17304" s="12"/>
      <c r="L17304" s="12"/>
      <c r="M17304" s="11"/>
      <c r="N17304" s="11"/>
      <c r="O17304" s="11"/>
      <c r="P17304" s="11"/>
    </row>
    <row r="17305" spans="8:16" x14ac:dyDescent="0.25">
      <c r="H17305" s="12"/>
      <c r="I17305" s="12"/>
      <c r="J17305" s="12"/>
      <c r="K17305" s="12"/>
      <c r="L17305" s="12"/>
      <c r="M17305" s="11"/>
      <c r="N17305" s="11"/>
      <c r="O17305" s="11"/>
      <c r="P17305" s="11"/>
    </row>
    <row r="17306" spans="8:16" x14ac:dyDescent="0.25">
      <c r="H17306" s="12"/>
      <c r="I17306" s="12"/>
      <c r="J17306" s="12"/>
      <c r="K17306" s="12"/>
      <c r="L17306" s="12"/>
      <c r="M17306" s="11"/>
      <c r="N17306" s="11"/>
      <c r="O17306" s="11"/>
      <c r="P17306" s="11"/>
    </row>
    <row r="17307" spans="8:16" x14ac:dyDescent="0.25">
      <c r="H17307" s="12"/>
      <c r="I17307" s="12"/>
      <c r="J17307" s="12"/>
      <c r="K17307" s="12"/>
      <c r="L17307" s="12"/>
      <c r="M17307" s="11"/>
      <c r="N17307" s="11"/>
      <c r="O17307" s="11"/>
      <c r="P17307" s="11"/>
    </row>
    <row r="17308" spans="8:16" x14ac:dyDescent="0.25">
      <c r="H17308" s="12"/>
      <c r="I17308" s="12"/>
      <c r="J17308" s="12"/>
      <c r="K17308" s="12"/>
      <c r="L17308" s="12"/>
      <c r="M17308" s="11"/>
      <c r="N17308" s="11"/>
      <c r="O17308" s="11"/>
      <c r="P17308" s="11"/>
    </row>
    <row r="17309" spans="8:16" x14ac:dyDescent="0.25">
      <c r="H17309" s="12"/>
      <c r="I17309" s="12"/>
      <c r="J17309" s="12"/>
      <c r="K17309" s="12"/>
      <c r="L17309" s="12"/>
      <c r="M17309" s="11"/>
      <c r="N17309" s="11"/>
      <c r="O17309" s="11"/>
      <c r="P17309" s="11"/>
    </row>
    <row r="17310" spans="8:16" x14ac:dyDescent="0.25">
      <c r="H17310" s="12"/>
      <c r="I17310" s="12"/>
      <c r="J17310" s="12"/>
      <c r="K17310" s="12"/>
      <c r="L17310" s="12"/>
      <c r="M17310" s="11"/>
      <c r="N17310" s="11"/>
      <c r="O17310" s="11"/>
      <c r="P17310" s="11"/>
    </row>
    <row r="17311" spans="8:16" x14ac:dyDescent="0.25">
      <c r="H17311" s="12"/>
      <c r="I17311" s="12"/>
      <c r="J17311" s="12"/>
      <c r="K17311" s="12"/>
      <c r="L17311" s="12"/>
      <c r="M17311" s="11"/>
      <c r="N17311" s="11"/>
      <c r="O17311" s="11"/>
      <c r="P17311" s="11"/>
    </row>
    <row r="17312" spans="8:16" x14ac:dyDescent="0.25">
      <c r="H17312" s="12"/>
      <c r="I17312" s="12"/>
      <c r="J17312" s="12"/>
      <c r="K17312" s="12"/>
      <c r="L17312" s="12"/>
      <c r="M17312" s="11"/>
      <c r="N17312" s="11"/>
      <c r="O17312" s="11"/>
      <c r="P17312" s="11"/>
    </row>
    <row r="17313" spans="8:16" x14ac:dyDescent="0.25">
      <c r="H17313" s="12"/>
      <c r="I17313" s="12"/>
      <c r="J17313" s="12"/>
      <c r="K17313" s="12"/>
      <c r="L17313" s="12"/>
      <c r="M17313" s="11"/>
      <c r="N17313" s="11"/>
      <c r="O17313" s="11"/>
      <c r="P17313" s="11"/>
    </row>
    <row r="17314" spans="8:16" x14ac:dyDescent="0.25">
      <c r="H17314" s="12"/>
      <c r="I17314" s="12"/>
      <c r="J17314" s="12"/>
      <c r="K17314" s="12"/>
      <c r="L17314" s="12"/>
      <c r="M17314" s="11"/>
      <c r="N17314" s="11"/>
      <c r="O17314" s="11"/>
      <c r="P17314" s="11"/>
    </row>
    <row r="17315" spans="8:16" x14ac:dyDescent="0.25">
      <c r="H17315" s="12"/>
      <c r="I17315" s="12"/>
      <c r="J17315" s="12"/>
      <c r="K17315" s="12"/>
      <c r="L17315" s="12"/>
      <c r="M17315" s="11"/>
      <c r="N17315" s="11"/>
      <c r="O17315" s="11"/>
      <c r="P17315" s="11"/>
    </row>
    <row r="17316" spans="8:16" x14ac:dyDescent="0.25">
      <c r="H17316" s="12"/>
      <c r="I17316" s="12"/>
      <c r="J17316" s="12"/>
      <c r="K17316" s="12"/>
      <c r="L17316" s="12"/>
      <c r="M17316" s="11"/>
      <c r="N17316" s="11"/>
      <c r="O17316" s="11"/>
      <c r="P17316" s="11"/>
    </row>
    <row r="17317" spans="8:16" x14ac:dyDescent="0.25">
      <c r="H17317" s="12"/>
      <c r="I17317" s="12"/>
      <c r="J17317" s="12"/>
      <c r="K17317" s="12"/>
      <c r="L17317" s="12"/>
      <c r="M17317" s="11"/>
      <c r="N17317" s="11"/>
      <c r="O17317" s="11"/>
      <c r="P17317" s="11"/>
    </row>
    <row r="17318" spans="8:16" x14ac:dyDescent="0.25">
      <c r="H17318" s="12"/>
      <c r="I17318" s="12"/>
      <c r="J17318" s="12"/>
      <c r="K17318" s="12"/>
      <c r="L17318" s="12"/>
      <c r="M17318" s="11"/>
      <c r="N17318" s="11"/>
      <c r="O17318" s="11"/>
      <c r="P17318" s="11"/>
    </row>
    <row r="17319" spans="8:16" x14ac:dyDescent="0.25">
      <c r="H17319" s="12"/>
      <c r="I17319" s="12"/>
      <c r="J17319" s="12"/>
      <c r="K17319" s="12"/>
      <c r="L17319" s="12"/>
      <c r="M17319" s="11"/>
      <c r="N17319" s="11"/>
      <c r="O17319" s="11"/>
      <c r="P17319" s="11"/>
    </row>
    <row r="17320" spans="8:16" x14ac:dyDescent="0.25">
      <c r="H17320" s="12"/>
      <c r="I17320" s="12"/>
      <c r="J17320" s="12"/>
      <c r="K17320" s="12"/>
      <c r="L17320" s="12"/>
      <c r="M17320" s="11"/>
      <c r="N17320" s="11"/>
      <c r="O17320" s="11"/>
      <c r="P17320" s="11"/>
    </row>
    <row r="17321" spans="8:16" x14ac:dyDescent="0.25">
      <c r="H17321" s="12"/>
      <c r="I17321" s="12"/>
      <c r="J17321" s="12"/>
      <c r="K17321" s="12"/>
      <c r="L17321" s="12"/>
      <c r="M17321" s="11"/>
      <c r="N17321" s="11"/>
      <c r="O17321" s="11"/>
      <c r="P17321" s="11"/>
    </row>
    <row r="17322" spans="8:16" x14ac:dyDescent="0.25">
      <c r="H17322" s="12"/>
      <c r="I17322" s="12"/>
      <c r="J17322" s="12"/>
      <c r="K17322" s="12"/>
      <c r="L17322" s="12"/>
      <c r="M17322" s="11"/>
      <c r="N17322" s="11"/>
      <c r="O17322" s="11"/>
      <c r="P17322" s="11"/>
    </row>
    <row r="17323" spans="8:16" x14ac:dyDescent="0.25">
      <c r="H17323" s="12"/>
      <c r="I17323" s="12"/>
      <c r="J17323" s="12"/>
      <c r="K17323" s="12"/>
      <c r="L17323" s="12"/>
      <c r="M17323" s="11"/>
      <c r="N17323" s="11"/>
      <c r="O17323" s="11"/>
      <c r="P17323" s="11"/>
    </row>
    <row r="17324" spans="8:16" x14ac:dyDescent="0.25">
      <c r="H17324" s="12"/>
      <c r="I17324" s="12"/>
      <c r="J17324" s="12"/>
      <c r="K17324" s="12"/>
      <c r="L17324" s="12"/>
      <c r="M17324" s="11"/>
      <c r="N17324" s="11"/>
      <c r="O17324" s="11"/>
      <c r="P17324" s="11"/>
    </row>
    <row r="17325" spans="8:16" x14ac:dyDescent="0.25">
      <c r="H17325" s="12"/>
      <c r="I17325" s="12"/>
      <c r="J17325" s="12"/>
      <c r="K17325" s="12"/>
      <c r="L17325" s="12"/>
      <c r="M17325" s="11"/>
      <c r="N17325" s="11"/>
      <c r="O17325" s="11"/>
      <c r="P17325" s="11"/>
    </row>
    <row r="17326" spans="8:16" x14ac:dyDescent="0.25">
      <c r="H17326" s="12"/>
      <c r="I17326" s="12"/>
      <c r="J17326" s="12"/>
      <c r="K17326" s="12"/>
      <c r="L17326" s="12"/>
      <c r="M17326" s="11"/>
      <c r="N17326" s="11"/>
      <c r="O17326" s="11"/>
      <c r="P17326" s="11"/>
    </row>
    <row r="17327" spans="8:16" x14ac:dyDescent="0.25">
      <c r="H17327" s="12"/>
      <c r="I17327" s="12"/>
      <c r="J17327" s="12"/>
      <c r="K17327" s="12"/>
      <c r="L17327" s="12"/>
      <c r="M17327" s="11"/>
      <c r="N17327" s="11"/>
      <c r="O17327" s="11"/>
      <c r="P17327" s="11"/>
    </row>
    <row r="17328" spans="8:16" x14ac:dyDescent="0.25">
      <c r="H17328" s="12"/>
      <c r="I17328" s="12"/>
      <c r="J17328" s="12"/>
      <c r="K17328" s="12"/>
      <c r="L17328" s="12"/>
      <c r="M17328" s="11"/>
      <c r="N17328" s="11"/>
      <c r="O17328" s="11"/>
      <c r="P17328" s="11"/>
    </row>
    <row r="17329" spans="8:16" x14ac:dyDescent="0.25">
      <c r="H17329" s="12"/>
      <c r="I17329" s="12"/>
      <c r="J17329" s="12"/>
      <c r="K17329" s="12"/>
      <c r="L17329" s="12"/>
      <c r="M17329" s="11"/>
      <c r="N17329" s="11"/>
      <c r="O17329" s="11"/>
      <c r="P17329" s="11"/>
    </row>
    <row r="17330" spans="8:16" x14ac:dyDescent="0.25">
      <c r="H17330" s="12"/>
      <c r="I17330" s="12"/>
      <c r="J17330" s="12"/>
      <c r="K17330" s="12"/>
      <c r="L17330" s="12"/>
      <c r="M17330" s="11"/>
      <c r="N17330" s="11"/>
      <c r="O17330" s="11"/>
      <c r="P17330" s="11"/>
    </row>
    <row r="17331" spans="8:16" x14ac:dyDescent="0.25">
      <c r="H17331" s="12"/>
      <c r="I17331" s="12"/>
      <c r="J17331" s="12"/>
      <c r="K17331" s="12"/>
      <c r="L17331" s="12"/>
      <c r="M17331" s="11"/>
      <c r="N17331" s="11"/>
      <c r="O17331" s="11"/>
      <c r="P17331" s="11"/>
    </row>
    <row r="17332" spans="8:16" x14ac:dyDescent="0.25">
      <c r="H17332" s="12"/>
      <c r="I17332" s="12"/>
      <c r="J17332" s="12"/>
      <c r="K17332" s="12"/>
      <c r="L17332" s="12"/>
      <c r="M17332" s="11"/>
      <c r="N17332" s="11"/>
      <c r="O17332" s="11"/>
      <c r="P17332" s="11"/>
    </row>
    <row r="17333" spans="8:16" x14ac:dyDescent="0.25">
      <c r="H17333" s="12"/>
      <c r="I17333" s="12"/>
      <c r="J17333" s="12"/>
      <c r="K17333" s="12"/>
      <c r="L17333" s="12"/>
      <c r="M17333" s="11"/>
      <c r="N17333" s="11"/>
      <c r="O17333" s="11"/>
      <c r="P17333" s="11"/>
    </row>
    <row r="17334" spans="8:16" x14ac:dyDescent="0.25">
      <c r="H17334" s="12"/>
      <c r="I17334" s="12"/>
      <c r="J17334" s="12"/>
      <c r="K17334" s="12"/>
      <c r="L17334" s="12"/>
      <c r="M17334" s="11"/>
      <c r="N17334" s="11"/>
      <c r="O17334" s="11"/>
      <c r="P17334" s="11"/>
    </row>
    <row r="17335" spans="8:16" x14ac:dyDescent="0.25">
      <c r="H17335" s="12"/>
      <c r="I17335" s="12"/>
      <c r="J17335" s="12"/>
      <c r="K17335" s="12"/>
      <c r="L17335" s="12"/>
      <c r="M17335" s="11"/>
      <c r="N17335" s="11"/>
      <c r="O17335" s="11"/>
      <c r="P17335" s="11"/>
    </row>
    <row r="17336" spans="8:16" x14ac:dyDescent="0.25">
      <c r="H17336" s="12"/>
      <c r="I17336" s="12"/>
      <c r="J17336" s="12"/>
      <c r="K17336" s="12"/>
      <c r="L17336" s="12"/>
      <c r="M17336" s="11"/>
      <c r="N17336" s="11"/>
      <c r="O17336" s="11"/>
      <c r="P17336" s="11"/>
    </row>
    <row r="17337" spans="8:16" x14ac:dyDescent="0.25">
      <c r="H17337" s="12"/>
      <c r="I17337" s="12"/>
      <c r="J17337" s="12"/>
      <c r="K17337" s="12"/>
      <c r="L17337" s="12"/>
      <c r="M17337" s="11"/>
      <c r="N17337" s="11"/>
      <c r="O17337" s="11"/>
      <c r="P17337" s="11"/>
    </row>
    <row r="17338" spans="8:16" x14ac:dyDescent="0.25">
      <c r="H17338" s="12"/>
      <c r="I17338" s="12"/>
      <c r="J17338" s="12"/>
      <c r="K17338" s="12"/>
      <c r="L17338" s="12"/>
      <c r="M17338" s="11"/>
      <c r="N17338" s="11"/>
      <c r="O17338" s="11"/>
      <c r="P17338" s="11"/>
    </row>
    <row r="17339" spans="8:16" x14ac:dyDescent="0.25">
      <c r="H17339" s="12"/>
      <c r="I17339" s="12"/>
      <c r="J17339" s="12"/>
      <c r="K17339" s="12"/>
      <c r="L17339" s="12"/>
      <c r="M17339" s="11"/>
      <c r="N17339" s="11"/>
      <c r="O17339" s="11"/>
      <c r="P17339" s="11"/>
    </row>
    <row r="17340" spans="8:16" x14ac:dyDescent="0.25">
      <c r="H17340" s="12"/>
      <c r="I17340" s="12"/>
      <c r="J17340" s="12"/>
      <c r="K17340" s="12"/>
      <c r="L17340" s="12"/>
      <c r="M17340" s="11"/>
      <c r="N17340" s="11"/>
      <c r="O17340" s="11"/>
      <c r="P17340" s="11"/>
    </row>
    <row r="17341" spans="8:16" x14ac:dyDescent="0.25">
      <c r="H17341" s="12"/>
      <c r="I17341" s="12"/>
      <c r="J17341" s="12"/>
      <c r="K17341" s="12"/>
      <c r="L17341" s="12"/>
      <c r="M17341" s="11"/>
      <c r="N17341" s="11"/>
      <c r="O17341" s="11"/>
      <c r="P17341" s="11"/>
    </row>
    <row r="17342" spans="8:16" x14ac:dyDescent="0.25">
      <c r="H17342" s="12"/>
      <c r="I17342" s="12"/>
      <c r="J17342" s="12"/>
      <c r="K17342" s="12"/>
      <c r="L17342" s="12"/>
      <c r="M17342" s="11"/>
      <c r="N17342" s="11"/>
      <c r="O17342" s="11"/>
      <c r="P17342" s="11"/>
    </row>
    <row r="17343" spans="8:16" x14ac:dyDescent="0.25">
      <c r="H17343" s="12"/>
      <c r="I17343" s="12"/>
      <c r="J17343" s="12"/>
      <c r="K17343" s="12"/>
      <c r="L17343" s="12"/>
      <c r="M17343" s="11"/>
      <c r="N17343" s="11"/>
      <c r="O17343" s="11"/>
      <c r="P17343" s="11"/>
    </row>
    <row r="17344" spans="8:16" x14ac:dyDescent="0.25">
      <c r="H17344" s="12"/>
      <c r="I17344" s="12"/>
      <c r="J17344" s="12"/>
      <c r="K17344" s="12"/>
      <c r="L17344" s="12"/>
      <c r="M17344" s="11"/>
      <c r="N17344" s="11"/>
      <c r="O17344" s="11"/>
      <c r="P17344" s="11"/>
    </row>
    <row r="17345" spans="8:16" x14ac:dyDescent="0.25">
      <c r="H17345" s="12"/>
      <c r="I17345" s="12"/>
      <c r="J17345" s="12"/>
      <c r="K17345" s="12"/>
      <c r="L17345" s="12"/>
      <c r="M17345" s="11"/>
      <c r="N17345" s="11"/>
      <c r="O17345" s="11"/>
      <c r="P17345" s="11"/>
    </row>
    <row r="17346" spans="8:16" x14ac:dyDescent="0.25">
      <c r="H17346" s="12"/>
      <c r="I17346" s="12"/>
      <c r="J17346" s="12"/>
      <c r="K17346" s="12"/>
      <c r="L17346" s="12"/>
      <c r="M17346" s="11"/>
      <c r="N17346" s="11"/>
      <c r="O17346" s="11"/>
      <c r="P17346" s="11"/>
    </row>
    <row r="17347" spans="8:16" x14ac:dyDescent="0.25">
      <c r="H17347" s="12"/>
      <c r="I17347" s="12"/>
      <c r="J17347" s="12"/>
      <c r="K17347" s="12"/>
      <c r="L17347" s="12"/>
      <c r="M17347" s="11"/>
      <c r="N17347" s="11"/>
      <c r="O17347" s="11"/>
      <c r="P17347" s="11"/>
    </row>
    <row r="17348" spans="8:16" x14ac:dyDescent="0.25">
      <c r="H17348" s="12"/>
      <c r="I17348" s="12"/>
      <c r="J17348" s="12"/>
      <c r="K17348" s="12"/>
      <c r="L17348" s="12"/>
      <c r="M17348" s="11"/>
      <c r="N17348" s="11"/>
      <c r="O17348" s="11"/>
      <c r="P17348" s="11"/>
    </row>
    <row r="17349" spans="8:16" x14ac:dyDescent="0.25">
      <c r="H17349" s="12"/>
      <c r="I17349" s="12"/>
      <c r="J17349" s="12"/>
      <c r="K17349" s="12"/>
      <c r="L17349" s="12"/>
      <c r="M17349" s="11"/>
      <c r="N17349" s="11"/>
      <c r="O17349" s="11"/>
      <c r="P17349" s="11"/>
    </row>
    <row r="17350" spans="8:16" x14ac:dyDescent="0.25">
      <c r="H17350" s="12"/>
      <c r="I17350" s="12"/>
      <c r="J17350" s="12"/>
      <c r="K17350" s="12"/>
      <c r="L17350" s="12"/>
      <c r="M17350" s="11"/>
      <c r="N17350" s="11"/>
      <c r="O17350" s="11"/>
      <c r="P17350" s="11"/>
    </row>
    <row r="17351" spans="8:16" x14ac:dyDescent="0.25">
      <c r="H17351" s="12"/>
      <c r="I17351" s="12"/>
      <c r="J17351" s="12"/>
      <c r="K17351" s="12"/>
      <c r="L17351" s="12"/>
      <c r="M17351" s="11"/>
      <c r="N17351" s="11"/>
      <c r="O17351" s="11"/>
      <c r="P17351" s="11"/>
    </row>
    <row r="17352" spans="8:16" x14ac:dyDescent="0.25">
      <c r="H17352" s="12"/>
      <c r="I17352" s="12"/>
      <c r="J17352" s="12"/>
      <c r="K17352" s="12"/>
      <c r="L17352" s="12"/>
      <c r="M17352" s="11"/>
      <c r="N17352" s="11"/>
      <c r="O17352" s="11"/>
      <c r="P17352" s="11"/>
    </row>
    <row r="17353" spans="8:16" x14ac:dyDescent="0.25">
      <c r="H17353" s="12"/>
      <c r="I17353" s="12"/>
      <c r="J17353" s="12"/>
      <c r="K17353" s="12"/>
      <c r="L17353" s="12"/>
      <c r="M17353" s="11"/>
      <c r="N17353" s="11"/>
      <c r="O17353" s="11"/>
      <c r="P17353" s="11"/>
    </row>
    <row r="17354" spans="8:16" x14ac:dyDescent="0.25">
      <c r="H17354" s="12"/>
      <c r="I17354" s="12"/>
      <c r="J17354" s="12"/>
      <c r="K17354" s="12"/>
      <c r="L17354" s="12"/>
      <c r="M17354" s="11"/>
      <c r="N17354" s="11"/>
      <c r="O17354" s="11"/>
      <c r="P17354" s="11"/>
    </row>
    <row r="17355" spans="8:16" x14ac:dyDescent="0.25">
      <c r="H17355" s="12"/>
      <c r="I17355" s="12"/>
      <c r="J17355" s="12"/>
      <c r="K17355" s="12"/>
      <c r="L17355" s="12"/>
      <c r="M17355" s="11"/>
      <c r="N17355" s="11"/>
      <c r="O17355" s="11"/>
      <c r="P17355" s="11"/>
    </row>
    <row r="17356" spans="8:16" x14ac:dyDescent="0.25">
      <c r="H17356" s="12"/>
      <c r="I17356" s="12"/>
      <c r="J17356" s="12"/>
      <c r="K17356" s="12"/>
      <c r="L17356" s="12"/>
      <c r="M17356" s="11"/>
      <c r="N17356" s="11"/>
      <c r="O17356" s="11"/>
      <c r="P17356" s="11"/>
    </row>
    <row r="17357" spans="8:16" x14ac:dyDescent="0.25">
      <c r="H17357" s="12"/>
      <c r="I17357" s="12"/>
      <c r="J17357" s="12"/>
      <c r="K17357" s="12"/>
      <c r="L17357" s="12"/>
      <c r="M17357" s="11"/>
      <c r="N17357" s="11"/>
      <c r="O17357" s="11"/>
      <c r="P17357" s="11"/>
    </row>
    <row r="17358" spans="8:16" x14ac:dyDescent="0.25">
      <c r="H17358" s="12"/>
      <c r="I17358" s="12"/>
      <c r="J17358" s="12"/>
      <c r="K17358" s="12"/>
      <c r="L17358" s="12"/>
      <c r="M17358" s="11"/>
      <c r="N17358" s="11"/>
      <c r="O17358" s="11"/>
      <c r="P17358" s="11"/>
    </row>
    <row r="17359" spans="8:16" x14ac:dyDescent="0.25">
      <c r="H17359" s="12"/>
      <c r="I17359" s="12"/>
      <c r="J17359" s="12"/>
      <c r="K17359" s="12"/>
      <c r="L17359" s="12"/>
      <c r="M17359" s="11"/>
      <c r="N17359" s="11"/>
      <c r="O17359" s="11"/>
      <c r="P17359" s="11"/>
    </row>
    <row r="17360" spans="8:16" x14ac:dyDescent="0.25">
      <c r="H17360" s="12"/>
      <c r="I17360" s="12"/>
      <c r="J17360" s="12"/>
      <c r="K17360" s="12"/>
      <c r="L17360" s="12"/>
      <c r="M17360" s="11"/>
      <c r="N17360" s="11"/>
      <c r="O17360" s="11"/>
      <c r="P17360" s="11"/>
    </row>
    <row r="17361" spans="8:16" x14ac:dyDescent="0.25">
      <c r="H17361" s="12"/>
      <c r="I17361" s="12"/>
      <c r="J17361" s="12"/>
      <c r="K17361" s="12"/>
      <c r="L17361" s="12"/>
      <c r="M17361" s="11"/>
      <c r="N17361" s="11"/>
      <c r="O17361" s="11"/>
      <c r="P17361" s="11"/>
    </row>
    <row r="17362" spans="8:16" x14ac:dyDescent="0.25">
      <c r="H17362" s="12"/>
      <c r="I17362" s="12"/>
      <c r="J17362" s="12"/>
      <c r="K17362" s="12"/>
      <c r="L17362" s="12"/>
      <c r="M17362" s="11"/>
      <c r="N17362" s="11"/>
      <c r="O17362" s="11"/>
      <c r="P17362" s="11"/>
    </row>
    <row r="17363" spans="8:16" x14ac:dyDescent="0.25">
      <c r="H17363" s="12"/>
      <c r="I17363" s="12"/>
      <c r="J17363" s="12"/>
      <c r="K17363" s="12"/>
      <c r="L17363" s="12"/>
      <c r="M17363" s="11"/>
      <c r="N17363" s="11"/>
      <c r="O17363" s="11"/>
      <c r="P17363" s="11"/>
    </row>
    <row r="17364" spans="8:16" x14ac:dyDescent="0.25">
      <c r="H17364" s="12"/>
      <c r="I17364" s="12"/>
      <c r="J17364" s="12"/>
      <c r="K17364" s="12"/>
      <c r="L17364" s="12"/>
      <c r="M17364" s="11"/>
      <c r="N17364" s="11"/>
      <c r="O17364" s="11"/>
      <c r="P17364" s="11"/>
    </row>
    <row r="17365" spans="8:16" x14ac:dyDescent="0.25">
      <c r="H17365" s="12"/>
      <c r="I17365" s="12"/>
      <c r="J17365" s="12"/>
      <c r="K17365" s="12"/>
      <c r="L17365" s="12"/>
      <c r="M17365" s="11"/>
      <c r="N17365" s="11"/>
      <c r="O17365" s="11"/>
      <c r="P17365" s="11"/>
    </row>
    <row r="17366" spans="8:16" x14ac:dyDescent="0.25">
      <c r="H17366" s="12"/>
      <c r="I17366" s="12"/>
      <c r="J17366" s="12"/>
      <c r="K17366" s="12"/>
      <c r="L17366" s="12"/>
      <c r="M17366" s="11"/>
      <c r="N17366" s="11"/>
      <c r="O17366" s="11"/>
      <c r="P17366" s="11"/>
    </row>
    <row r="17367" spans="8:16" x14ac:dyDescent="0.25">
      <c r="H17367" s="12"/>
      <c r="I17367" s="12"/>
      <c r="J17367" s="12"/>
      <c r="K17367" s="12"/>
      <c r="L17367" s="12"/>
      <c r="M17367" s="11"/>
      <c r="N17367" s="11"/>
      <c r="O17367" s="11"/>
      <c r="P17367" s="11"/>
    </row>
    <row r="17368" spans="8:16" x14ac:dyDescent="0.25">
      <c r="H17368" s="12"/>
      <c r="I17368" s="12"/>
      <c r="J17368" s="12"/>
      <c r="K17368" s="12"/>
      <c r="L17368" s="12"/>
      <c r="M17368" s="11"/>
      <c r="N17368" s="11"/>
      <c r="O17368" s="11"/>
      <c r="P17368" s="11"/>
    </row>
    <row r="17369" spans="8:16" x14ac:dyDescent="0.25">
      <c r="H17369" s="12"/>
      <c r="I17369" s="12"/>
      <c r="J17369" s="12"/>
      <c r="K17369" s="12"/>
      <c r="L17369" s="12"/>
      <c r="M17369" s="11"/>
      <c r="N17369" s="11"/>
      <c r="O17369" s="11"/>
      <c r="P17369" s="11"/>
    </row>
    <row r="17370" spans="8:16" x14ac:dyDescent="0.25">
      <c r="H17370" s="12"/>
      <c r="I17370" s="12"/>
      <c r="J17370" s="12"/>
      <c r="K17370" s="12"/>
      <c r="L17370" s="12"/>
      <c r="M17370" s="11"/>
      <c r="N17370" s="11"/>
      <c r="O17370" s="11"/>
      <c r="P17370" s="11"/>
    </row>
    <row r="17371" spans="8:16" x14ac:dyDescent="0.25">
      <c r="H17371" s="12"/>
      <c r="I17371" s="12"/>
      <c r="J17371" s="12"/>
      <c r="K17371" s="12"/>
      <c r="L17371" s="12"/>
      <c r="M17371" s="11"/>
      <c r="N17371" s="11"/>
      <c r="O17371" s="11"/>
      <c r="P17371" s="11"/>
    </row>
    <row r="17372" spans="8:16" x14ac:dyDescent="0.25">
      <c r="H17372" s="12"/>
      <c r="I17372" s="12"/>
      <c r="J17372" s="12"/>
      <c r="K17372" s="12"/>
      <c r="L17372" s="12"/>
      <c r="M17372" s="11"/>
      <c r="N17372" s="11"/>
      <c r="O17372" s="11"/>
      <c r="P17372" s="11"/>
    </row>
    <row r="17373" spans="8:16" x14ac:dyDescent="0.25">
      <c r="H17373" s="12"/>
      <c r="I17373" s="12"/>
      <c r="J17373" s="12"/>
      <c r="K17373" s="12"/>
      <c r="L17373" s="12"/>
      <c r="M17373" s="11"/>
      <c r="N17373" s="11"/>
      <c r="O17373" s="11"/>
      <c r="P17373" s="11"/>
    </row>
    <row r="17374" spans="8:16" x14ac:dyDescent="0.25">
      <c r="H17374" s="12"/>
      <c r="I17374" s="12"/>
      <c r="J17374" s="12"/>
      <c r="K17374" s="12"/>
      <c r="L17374" s="12"/>
      <c r="M17374" s="11"/>
      <c r="N17374" s="11"/>
      <c r="O17374" s="11"/>
      <c r="P17374" s="11"/>
    </row>
    <row r="17375" spans="8:16" x14ac:dyDescent="0.25">
      <c r="H17375" s="12"/>
      <c r="I17375" s="12"/>
      <c r="J17375" s="12"/>
      <c r="K17375" s="12"/>
      <c r="L17375" s="12"/>
      <c r="M17375" s="11"/>
      <c r="N17375" s="11"/>
      <c r="O17375" s="11"/>
      <c r="P17375" s="11"/>
    </row>
    <row r="17376" spans="8:16" x14ac:dyDescent="0.25">
      <c r="H17376" s="12"/>
      <c r="I17376" s="12"/>
      <c r="J17376" s="12"/>
      <c r="K17376" s="12"/>
      <c r="L17376" s="12"/>
      <c r="M17376" s="11"/>
      <c r="N17376" s="11"/>
      <c r="O17376" s="11"/>
      <c r="P17376" s="11"/>
    </row>
    <row r="17377" spans="8:16" x14ac:dyDescent="0.25">
      <c r="H17377" s="12"/>
      <c r="I17377" s="12"/>
      <c r="J17377" s="12"/>
      <c r="K17377" s="12"/>
      <c r="L17377" s="12"/>
      <c r="M17377" s="11"/>
      <c r="N17377" s="11"/>
      <c r="O17377" s="11"/>
      <c r="P17377" s="11"/>
    </row>
    <row r="17378" spans="8:16" x14ac:dyDescent="0.25">
      <c r="H17378" s="12"/>
      <c r="I17378" s="12"/>
      <c r="J17378" s="12"/>
      <c r="K17378" s="12"/>
      <c r="L17378" s="12"/>
      <c r="M17378" s="11"/>
      <c r="N17378" s="11"/>
      <c r="O17378" s="11"/>
      <c r="P17378" s="11"/>
    </row>
    <row r="17379" spans="8:16" x14ac:dyDescent="0.25">
      <c r="H17379" s="12"/>
      <c r="I17379" s="12"/>
      <c r="J17379" s="12"/>
      <c r="K17379" s="12"/>
      <c r="L17379" s="12"/>
      <c r="M17379" s="11"/>
      <c r="N17379" s="11"/>
      <c r="O17379" s="11"/>
      <c r="P17379" s="11"/>
    </row>
    <row r="17380" spans="8:16" x14ac:dyDescent="0.25">
      <c r="H17380" s="12"/>
      <c r="I17380" s="12"/>
      <c r="J17380" s="12"/>
      <c r="K17380" s="12"/>
      <c r="L17380" s="12"/>
      <c r="M17380" s="11"/>
      <c r="N17380" s="11"/>
      <c r="O17380" s="11"/>
      <c r="P17380" s="11"/>
    </row>
    <row r="17381" spans="8:16" x14ac:dyDescent="0.25">
      <c r="H17381" s="12"/>
      <c r="I17381" s="12"/>
      <c r="J17381" s="12"/>
      <c r="K17381" s="12"/>
      <c r="L17381" s="12"/>
      <c r="M17381" s="11"/>
      <c r="N17381" s="11"/>
      <c r="O17381" s="11"/>
      <c r="P17381" s="11"/>
    </row>
    <row r="17382" spans="8:16" x14ac:dyDescent="0.25">
      <c r="H17382" s="12"/>
      <c r="I17382" s="12"/>
      <c r="J17382" s="12"/>
      <c r="K17382" s="12"/>
      <c r="L17382" s="12"/>
      <c r="M17382" s="11"/>
      <c r="N17382" s="11"/>
      <c r="O17382" s="11"/>
      <c r="P17382" s="11"/>
    </row>
    <row r="17383" spans="8:16" x14ac:dyDescent="0.25">
      <c r="H17383" s="12"/>
      <c r="I17383" s="12"/>
      <c r="J17383" s="12"/>
      <c r="K17383" s="12"/>
      <c r="L17383" s="12"/>
      <c r="M17383" s="11"/>
      <c r="N17383" s="11"/>
      <c r="O17383" s="11"/>
      <c r="P17383" s="11"/>
    </row>
    <row r="17384" spans="8:16" x14ac:dyDescent="0.25">
      <c r="H17384" s="12"/>
      <c r="I17384" s="12"/>
      <c r="J17384" s="12"/>
      <c r="K17384" s="12"/>
      <c r="L17384" s="12"/>
      <c r="M17384" s="11"/>
      <c r="N17384" s="11"/>
      <c r="O17384" s="11"/>
      <c r="P17384" s="11"/>
    </row>
    <row r="17385" spans="8:16" x14ac:dyDescent="0.25">
      <c r="H17385" s="12"/>
      <c r="I17385" s="12"/>
      <c r="J17385" s="12"/>
      <c r="K17385" s="12"/>
      <c r="L17385" s="12"/>
      <c r="M17385" s="11"/>
      <c r="N17385" s="11"/>
      <c r="O17385" s="11"/>
      <c r="P17385" s="11"/>
    </row>
    <row r="17386" spans="8:16" x14ac:dyDescent="0.25">
      <c r="H17386" s="12"/>
      <c r="I17386" s="12"/>
      <c r="J17386" s="12"/>
      <c r="K17386" s="12"/>
      <c r="L17386" s="12"/>
      <c r="M17386" s="11"/>
      <c r="N17386" s="11"/>
      <c r="O17386" s="11"/>
      <c r="P17386" s="11"/>
    </row>
    <row r="17387" spans="8:16" x14ac:dyDescent="0.25">
      <c r="H17387" s="12"/>
      <c r="I17387" s="12"/>
      <c r="J17387" s="12"/>
      <c r="K17387" s="12"/>
      <c r="L17387" s="12"/>
      <c r="M17387" s="11"/>
      <c r="N17387" s="11"/>
      <c r="O17387" s="11"/>
      <c r="P17387" s="11"/>
    </row>
    <row r="17388" spans="8:16" x14ac:dyDescent="0.25">
      <c r="H17388" s="12"/>
      <c r="I17388" s="12"/>
      <c r="J17388" s="12"/>
      <c r="K17388" s="12"/>
      <c r="L17388" s="12"/>
      <c r="M17388" s="11"/>
      <c r="N17388" s="11"/>
      <c r="O17388" s="11"/>
      <c r="P17388" s="11"/>
    </row>
    <row r="17389" spans="8:16" x14ac:dyDescent="0.25">
      <c r="H17389" s="12"/>
      <c r="I17389" s="12"/>
      <c r="J17389" s="12"/>
      <c r="K17389" s="12"/>
      <c r="L17389" s="12"/>
      <c r="M17389" s="11"/>
      <c r="N17389" s="11"/>
      <c r="O17389" s="11"/>
      <c r="P17389" s="11"/>
    </row>
    <row r="17390" spans="8:16" x14ac:dyDescent="0.25">
      <c r="H17390" s="12"/>
      <c r="I17390" s="12"/>
      <c r="J17390" s="12"/>
      <c r="K17390" s="12"/>
      <c r="L17390" s="12"/>
      <c r="M17390" s="11"/>
      <c r="N17390" s="11"/>
      <c r="O17390" s="11"/>
      <c r="P17390" s="11"/>
    </row>
    <row r="17391" spans="8:16" x14ac:dyDescent="0.25">
      <c r="H17391" s="12"/>
      <c r="I17391" s="12"/>
      <c r="J17391" s="12"/>
      <c r="K17391" s="12"/>
      <c r="L17391" s="12"/>
      <c r="M17391" s="11"/>
      <c r="N17391" s="11"/>
      <c r="O17391" s="11"/>
      <c r="P17391" s="11"/>
    </row>
    <row r="17392" spans="8:16" x14ac:dyDescent="0.25">
      <c r="H17392" s="12"/>
      <c r="I17392" s="12"/>
      <c r="J17392" s="12"/>
      <c r="K17392" s="12"/>
      <c r="L17392" s="12"/>
      <c r="M17392" s="11"/>
      <c r="N17392" s="11"/>
      <c r="O17392" s="11"/>
      <c r="P17392" s="11"/>
    </row>
    <row r="17393" spans="8:16" x14ac:dyDescent="0.25">
      <c r="H17393" s="12"/>
      <c r="I17393" s="12"/>
      <c r="J17393" s="12"/>
      <c r="K17393" s="12"/>
      <c r="L17393" s="12"/>
      <c r="M17393" s="11"/>
      <c r="N17393" s="11"/>
      <c r="O17393" s="11"/>
      <c r="P17393" s="11"/>
    </row>
    <row r="17394" spans="8:16" x14ac:dyDescent="0.25">
      <c r="H17394" s="12"/>
      <c r="I17394" s="12"/>
      <c r="J17394" s="12"/>
      <c r="K17394" s="12"/>
      <c r="L17394" s="12"/>
      <c r="M17394" s="11"/>
      <c r="N17394" s="11"/>
      <c r="O17394" s="11"/>
      <c r="P17394" s="11"/>
    </row>
    <row r="17395" spans="8:16" x14ac:dyDescent="0.25">
      <c r="H17395" s="12"/>
      <c r="I17395" s="12"/>
      <c r="J17395" s="12"/>
      <c r="K17395" s="12"/>
      <c r="L17395" s="12"/>
      <c r="M17395" s="11"/>
      <c r="N17395" s="11"/>
      <c r="O17395" s="11"/>
      <c r="P17395" s="11"/>
    </row>
    <row r="17396" spans="8:16" x14ac:dyDescent="0.25">
      <c r="H17396" s="12"/>
      <c r="I17396" s="12"/>
      <c r="J17396" s="12"/>
      <c r="K17396" s="12"/>
      <c r="L17396" s="12"/>
      <c r="M17396" s="11"/>
      <c r="N17396" s="11"/>
      <c r="O17396" s="11"/>
      <c r="P17396" s="11"/>
    </row>
    <row r="17397" spans="8:16" x14ac:dyDescent="0.25">
      <c r="H17397" s="12"/>
      <c r="I17397" s="12"/>
      <c r="J17397" s="12"/>
      <c r="K17397" s="12"/>
      <c r="L17397" s="12"/>
      <c r="M17397" s="11"/>
      <c r="N17397" s="11"/>
      <c r="O17397" s="11"/>
      <c r="P17397" s="11"/>
    </row>
    <row r="17398" spans="8:16" x14ac:dyDescent="0.25">
      <c r="H17398" s="12"/>
      <c r="I17398" s="12"/>
      <c r="J17398" s="12"/>
      <c r="K17398" s="12"/>
      <c r="L17398" s="12"/>
      <c r="M17398" s="11"/>
      <c r="N17398" s="11"/>
      <c r="O17398" s="11"/>
      <c r="P17398" s="11"/>
    </row>
    <row r="17399" spans="8:16" x14ac:dyDescent="0.25">
      <c r="H17399" s="12"/>
      <c r="I17399" s="12"/>
      <c r="J17399" s="12"/>
      <c r="K17399" s="12"/>
      <c r="L17399" s="12"/>
      <c r="M17399" s="11"/>
      <c r="N17399" s="11"/>
      <c r="O17399" s="11"/>
      <c r="P17399" s="11"/>
    </row>
    <row r="17400" spans="8:16" x14ac:dyDescent="0.25">
      <c r="H17400" s="12"/>
      <c r="I17400" s="12"/>
      <c r="J17400" s="12"/>
      <c r="K17400" s="12"/>
      <c r="L17400" s="12"/>
      <c r="M17400" s="11"/>
      <c r="N17400" s="11"/>
      <c r="O17400" s="11"/>
      <c r="P17400" s="11"/>
    </row>
    <row r="17401" spans="8:16" x14ac:dyDescent="0.25">
      <c r="H17401" s="12"/>
      <c r="I17401" s="12"/>
      <c r="J17401" s="12"/>
      <c r="K17401" s="12"/>
      <c r="L17401" s="12"/>
      <c r="M17401" s="11"/>
      <c r="N17401" s="11"/>
      <c r="O17401" s="11"/>
      <c r="P17401" s="11"/>
    </row>
    <row r="17402" spans="8:16" x14ac:dyDescent="0.25">
      <c r="H17402" s="12"/>
      <c r="I17402" s="12"/>
      <c r="J17402" s="12"/>
      <c r="K17402" s="12"/>
      <c r="L17402" s="12"/>
      <c r="M17402" s="11"/>
      <c r="N17402" s="11"/>
      <c r="O17402" s="11"/>
      <c r="P17402" s="11"/>
    </row>
    <row r="17403" spans="8:16" x14ac:dyDescent="0.25">
      <c r="H17403" s="12"/>
      <c r="I17403" s="12"/>
      <c r="J17403" s="12"/>
      <c r="K17403" s="12"/>
      <c r="L17403" s="12"/>
      <c r="M17403" s="11"/>
      <c r="N17403" s="11"/>
      <c r="O17403" s="11"/>
      <c r="P17403" s="11"/>
    </row>
    <row r="17404" spans="8:16" x14ac:dyDescent="0.25">
      <c r="H17404" s="12"/>
      <c r="I17404" s="12"/>
      <c r="J17404" s="12"/>
      <c r="K17404" s="12"/>
      <c r="L17404" s="12"/>
      <c r="M17404" s="11"/>
      <c r="N17404" s="11"/>
      <c r="O17404" s="11"/>
      <c r="P17404" s="11"/>
    </row>
    <row r="17405" spans="8:16" x14ac:dyDescent="0.25">
      <c r="H17405" s="12"/>
      <c r="I17405" s="12"/>
      <c r="J17405" s="12"/>
      <c r="K17405" s="12"/>
      <c r="L17405" s="12"/>
      <c r="M17405" s="11"/>
      <c r="N17405" s="11"/>
      <c r="O17405" s="11"/>
      <c r="P17405" s="11"/>
    </row>
    <row r="17406" spans="8:16" x14ac:dyDescent="0.25">
      <c r="H17406" s="12"/>
      <c r="I17406" s="12"/>
      <c r="J17406" s="12"/>
      <c r="K17406" s="12"/>
      <c r="L17406" s="12"/>
      <c r="M17406" s="11"/>
      <c r="N17406" s="11"/>
      <c r="O17406" s="11"/>
      <c r="P17406" s="11"/>
    </row>
    <row r="17407" spans="8:16" x14ac:dyDescent="0.25">
      <c r="H17407" s="12"/>
      <c r="I17407" s="12"/>
      <c r="J17407" s="12"/>
      <c r="K17407" s="12"/>
      <c r="L17407" s="12"/>
      <c r="M17407" s="11"/>
      <c r="N17407" s="11"/>
      <c r="O17407" s="11"/>
      <c r="P17407" s="11"/>
    </row>
    <row r="17408" spans="8:16" x14ac:dyDescent="0.25">
      <c r="H17408" s="12"/>
      <c r="I17408" s="12"/>
      <c r="J17408" s="12"/>
      <c r="K17408" s="12"/>
      <c r="L17408" s="12"/>
      <c r="M17408" s="11"/>
      <c r="N17408" s="11"/>
      <c r="O17408" s="11"/>
      <c r="P17408" s="11"/>
    </row>
    <row r="17409" spans="8:16" x14ac:dyDescent="0.25">
      <c r="H17409" s="12"/>
      <c r="I17409" s="12"/>
      <c r="J17409" s="12"/>
      <c r="K17409" s="12"/>
      <c r="L17409" s="12"/>
      <c r="M17409" s="11"/>
      <c r="N17409" s="11"/>
      <c r="O17409" s="11"/>
      <c r="P17409" s="11"/>
    </row>
    <row r="17410" spans="8:16" x14ac:dyDescent="0.25">
      <c r="H17410" s="12"/>
      <c r="I17410" s="12"/>
      <c r="J17410" s="12"/>
      <c r="K17410" s="12"/>
      <c r="L17410" s="12"/>
      <c r="M17410" s="11"/>
      <c r="N17410" s="11"/>
      <c r="O17410" s="11"/>
      <c r="P17410" s="11"/>
    </row>
    <row r="17411" spans="8:16" x14ac:dyDescent="0.25">
      <c r="H17411" s="12"/>
      <c r="I17411" s="12"/>
      <c r="J17411" s="12"/>
      <c r="K17411" s="12"/>
      <c r="L17411" s="12"/>
      <c r="M17411" s="11"/>
      <c r="N17411" s="11"/>
      <c r="O17411" s="11"/>
      <c r="P17411" s="11"/>
    </row>
    <row r="17412" spans="8:16" x14ac:dyDescent="0.25">
      <c r="H17412" s="12"/>
      <c r="I17412" s="12"/>
      <c r="J17412" s="12"/>
      <c r="K17412" s="12"/>
      <c r="L17412" s="12"/>
      <c r="M17412" s="11"/>
      <c r="N17412" s="11"/>
      <c r="O17412" s="11"/>
      <c r="P17412" s="11"/>
    </row>
    <row r="17413" spans="8:16" x14ac:dyDescent="0.25">
      <c r="H17413" s="12"/>
      <c r="I17413" s="12"/>
      <c r="J17413" s="12"/>
      <c r="K17413" s="12"/>
      <c r="L17413" s="12"/>
      <c r="M17413" s="11"/>
      <c r="N17413" s="11"/>
      <c r="O17413" s="11"/>
      <c r="P17413" s="11"/>
    </row>
    <row r="17414" spans="8:16" x14ac:dyDescent="0.25">
      <c r="H17414" s="12"/>
      <c r="I17414" s="12"/>
      <c r="J17414" s="12"/>
      <c r="K17414" s="12"/>
      <c r="L17414" s="12"/>
      <c r="M17414" s="11"/>
      <c r="N17414" s="11"/>
      <c r="O17414" s="11"/>
      <c r="P17414" s="11"/>
    </row>
    <row r="17415" spans="8:16" x14ac:dyDescent="0.25">
      <c r="H17415" s="12"/>
      <c r="I17415" s="12"/>
      <c r="J17415" s="12"/>
      <c r="K17415" s="12"/>
      <c r="L17415" s="12"/>
      <c r="M17415" s="11"/>
      <c r="N17415" s="11"/>
      <c r="O17415" s="11"/>
      <c r="P17415" s="11"/>
    </row>
    <row r="17416" spans="8:16" x14ac:dyDescent="0.25">
      <c r="H17416" s="12"/>
      <c r="I17416" s="12"/>
      <c r="J17416" s="12"/>
      <c r="K17416" s="12"/>
      <c r="L17416" s="12"/>
      <c r="M17416" s="11"/>
      <c r="N17416" s="11"/>
      <c r="O17416" s="11"/>
      <c r="P17416" s="11"/>
    </row>
    <row r="17417" spans="8:16" x14ac:dyDescent="0.25">
      <c r="H17417" s="12"/>
      <c r="I17417" s="12"/>
      <c r="J17417" s="12"/>
      <c r="K17417" s="12"/>
      <c r="L17417" s="12"/>
      <c r="M17417" s="11"/>
      <c r="N17417" s="11"/>
      <c r="O17417" s="11"/>
      <c r="P17417" s="11"/>
    </row>
    <row r="17418" spans="8:16" x14ac:dyDescent="0.25">
      <c r="H17418" s="12"/>
      <c r="I17418" s="12"/>
      <c r="J17418" s="12"/>
      <c r="K17418" s="12"/>
      <c r="L17418" s="12"/>
      <c r="M17418" s="11"/>
      <c r="N17418" s="11"/>
      <c r="O17418" s="11"/>
      <c r="P17418" s="11"/>
    </row>
    <row r="17419" spans="8:16" x14ac:dyDescent="0.25">
      <c r="H17419" s="12"/>
      <c r="I17419" s="12"/>
      <c r="J17419" s="12"/>
      <c r="K17419" s="12"/>
      <c r="L17419" s="12"/>
      <c r="M17419" s="11"/>
      <c r="N17419" s="11"/>
      <c r="O17419" s="11"/>
      <c r="P17419" s="11"/>
    </row>
    <row r="17420" spans="8:16" x14ac:dyDescent="0.25">
      <c r="H17420" s="12"/>
      <c r="I17420" s="12"/>
      <c r="J17420" s="12"/>
      <c r="K17420" s="12"/>
      <c r="L17420" s="12"/>
      <c r="M17420" s="11"/>
      <c r="N17420" s="11"/>
      <c r="O17420" s="11"/>
      <c r="P17420" s="11"/>
    </row>
    <row r="17421" spans="8:16" x14ac:dyDescent="0.25">
      <c r="H17421" s="12"/>
      <c r="I17421" s="12"/>
      <c r="J17421" s="12"/>
      <c r="K17421" s="12"/>
      <c r="L17421" s="12"/>
      <c r="M17421" s="11"/>
      <c r="N17421" s="11"/>
      <c r="O17421" s="11"/>
      <c r="P17421" s="11"/>
    </row>
    <row r="17422" spans="8:16" x14ac:dyDescent="0.25">
      <c r="H17422" s="12"/>
      <c r="I17422" s="12"/>
      <c r="J17422" s="12"/>
      <c r="K17422" s="12"/>
      <c r="L17422" s="12"/>
      <c r="M17422" s="11"/>
      <c r="N17422" s="11"/>
      <c r="O17422" s="11"/>
      <c r="P17422" s="11"/>
    </row>
    <row r="17423" spans="8:16" x14ac:dyDescent="0.25">
      <c r="H17423" s="12"/>
      <c r="I17423" s="12"/>
      <c r="J17423" s="12"/>
      <c r="K17423" s="12"/>
      <c r="L17423" s="12"/>
      <c r="M17423" s="11"/>
      <c r="N17423" s="11"/>
      <c r="O17423" s="11"/>
      <c r="P17423" s="11"/>
    </row>
    <row r="17424" spans="8:16" x14ac:dyDescent="0.25">
      <c r="H17424" s="12"/>
      <c r="I17424" s="12"/>
      <c r="J17424" s="12"/>
      <c r="K17424" s="12"/>
      <c r="L17424" s="12"/>
      <c r="M17424" s="11"/>
      <c r="N17424" s="11"/>
      <c r="O17424" s="11"/>
      <c r="P17424" s="11"/>
    </row>
    <row r="17425" spans="8:16" x14ac:dyDescent="0.25">
      <c r="H17425" s="12"/>
      <c r="I17425" s="12"/>
      <c r="J17425" s="12"/>
      <c r="K17425" s="12"/>
      <c r="L17425" s="12"/>
      <c r="M17425" s="11"/>
      <c r="N17425" s="11"/>
      <c r="O17425" s="11"/>
      <c r="P17425" s="11"/>
    </row>
    <row r="17426" spans="8:16" x14ac:dyDescent="0.25">
      <c r="H17426" s="12"/>
      <c r="I17426" s="12"/>
      <c r="J17426" s="12"/>
      <c r="K17426" s="12"/>
      <c r="L17426" s="12"/>
      <c r="M17426" s="11"/>
      <c r="N17426" s="11"/>
      <c r="O17426" s="11"/>
      <c r="P17426" s="11"/>
    </row>
    <row r="17427" spans="8:16" x14ac:dyDescent="0.25">
      <c r="H17427" s="12"/>
      <c r="I17427" s="12"/>
      <c r="J17427" s="12"/>
      <c r="K17427" s="12"/>
      <c r="L17427" s="12"/>
      <c r="M17427" s="11"/>
      <c r="N17427" s="11"/>
      <c r="O17427" s="11"/>
      <c r="P17427" s="11"/>
    </row>
    <row r="17428" spans="8:16" x14ac:dyDescent="0.25">
      <c r="H17428" s="12"/>
      <c r="I17428" s="12"/>
      <c r="J17428" s="12"/>
      <c r="K17428" s="12"/>
      <c r="L17428" s="12"/>
      <c r="M17428" s="11"/>
      <c r="N17428" s="11"/>
      <c r="O17428" s="11"/>
      <c r="P17428" s="11"/>
    </row>
    <row r="17429" spans="8:16" x14ac:dyDescent="0.25">
      <c r="H17429" s="12"/>
      <c r="I17429" s="12"/>
      <c r="J17429" s="12"/>
      <c r="K17429" s="12"/>
      <c r="L17429" s="12"/>
      <c r="M17429" s="11"/>
      <c r="N17429" s="11"/>
      <c r="O17429" s="11"/>
      <c r="P17429" s="11"/>
    </row>
    <row r="17430" spans="8:16" x14ac:dyDescent="0.25">
      <c r="H17430" s="12"/>
      <c r="I17430" s="12"/>
      <c r="J17430" s="12"/>
      <c r="K17430" s="12"/>
      <c r="L17430" s="12"/>
      <c r="M17430" s="11"/>
      <c r="N17430" s="11"/>
      <c r="O17430" s="11"/>
      <c r="P17430" s="11"/>
    </row>
    <row r="17431" spans="8:16" x14ac:dyDescent="0.25">
      <c r="H17431" s="12"/>
      <c r="I17431" s="12"/>
      <c r="J17431" s="12"/>
      <c r="K17431" s="12"/>
      <c r="L17431" s="12"/>
      <c r="M17431" s="11"/>
      <c r="N17431" s="11"/>
      <c r="O17431" s="11"/>
      <c r="P17431" s="11"/>
    </row>
    <row r="17432" spans="8:16" x14ac:dyDescent="0.25">
      <c r="H17432" s="12"/>
      <c r="I17432" s="12"/>
      <c r="J17432" s="12"/>
      <c r="K17432" s="12"/>
      <c r="L17432" s="12"/>
      <c r="M17432" s="11"/>
      <c r="N17432" s="11"/>
      <c r="O17432" s="11"/>
      <c r="P17432" s="11"/>
    </row>
    <row r="17433" spans="8:16" x14ac:dyDescent="0.25">
      <c r="H17433" s="12"/>
      <c r="I17433" s="12"/>
      <c r="J17433" s="12"/>
      <c r="K17433" s="12"/>
      <c r="L17433" s="12"/>
      <c r="M17433" s="11"/>
      <c r="N17433" s="11"/>
      <c r="O17433" s="11"/>
      <c r="P17433" s="11"/>
    </row>
    <row r="17434" spans="8:16" x14ac:dyDescent="0.25">
      <c r="H17434" s="12"/>
      <c r="I17434" s="12"/>
      <c r="J17434" s="12"/>
      <c r="K17434" s="12"/>
      <c r="L17434" s="12"/>
      <c r="M17434" s="11"/>
      <c r="N17434" s="11"/>
      <c r="O17434" s="11"/>
      <c r="P17434" s="11"/>
    </row>
    <row r="17435" spans="8:16" x14ac:dyDescent="0.25">
      <c r="H17435" s="12"/>
      <c r="I17435" s="12"/>
      <c r="J17435" s="12"/>
      <c r="K17435" s="12"/>
      <c r="L17435" s="12"/>
      <c r="M17435" s="11"/>
      <c r="N17435" s="11"/>
      <c r="O17435" s="11"/>
      <c r="P17435" s="11"/>
    </row>
    <row r="17436" spans="8:16" x14ac:dyDescent="0.25">
      <c r="H17436" s="12"/>
      <c r="I17436" s="12"/>
      <c r="J17436" s="12"/>
      <c r="K17436" s="12"/>
      <c r="L17436" s="12"/>
      <c r="M17436" s="11"/>
      <c r="N17436" s="11"/>
      <c r="O17436" s="11"/>
      <c r="P17436" s="11"/>
    </row>
    <row r="17437" spans="8:16" x14ac:dyDescent="0.25">
      <c r="H17437" s="12"/>
      <c r="I17437" s="12"/>
      <c r="J17437" s="12"/>
      <c r="K17437" s="12"/>
      <c r="L17437" s="12"/>
      <c r="M17437" s="11"/>
      <c r="N17437" s="11"/>
      <c r="O17437" s="11"/>
      <c r="P17437" s="11"/>
    </row>
    <row r="17438" spans="8:16" x14ac:dyDescent="0.25">
      <c r="H17438" s="12"/>
      <c r="I17438" s="12"/>
      <c r="J17438" s="12"/>
      <c r="K17438" s="12"/>
      <c r="L17438" s="12"/>
      <c r="M17438" s="11"/>
      <c r="N17438" s="11"/>
      <c r="O17438" s="11"/>
      <c r="P17438" s="11"/>
    </row>
    <row r="17439" spans="8:16" x14ac:dyDescent="0.25">
      <c r="H17439" s="12"/>
      <c r="I17439" s="12"/>
      <c r="J17439" s="12"/>
      <c r="K17439" s="12"/>
      <c r="L17439" s="12"/>
      <c r="M17439" s="11"/>
      <c r="N17439" s="11"/>
      <c r="O17439" s="11"/>
      <c r="P17439" s="11"/>
    </row>
    <row r="17440" spans="8:16" x14ac:dyDescent="0.25">
      <c r="H17440" s="12"/>
      <c r="I17440" s="12"/>
      <c r="J17440" s="12"/>
      <c r="K17440" s="12"/>
      <c r="L17440" s="12"/>
      <c r="M17440" s="11"/>
      <c r="N17440" s="11"/>
      <c r="O17440" s="11"/>
      <c r="P17440" s="11"/>
    </row>
    <row r="17441" spans="8:16" x14ac:dyDescent="0.25">
      <c r="H17441" s="12"/>
      <c r="I17441" s="12"/>
      <c r="J17441" s="12"/>
      <c r="K17441" s="12"/>
      <c r="L17441" s="12"/>
      <c r="M17441" s="11"/>
      <c r="N17441" s="11"/>
      <c r="O17441" s="11"/>
      <c r="P17441" s="11"/>
    </row>
    <row r="17442" spans="8:16" x14ac:dyDescent="0.25">
      <c r="H17442" s="12"/>
      <c r="I17442" s="12"/>
      <c r="J17442" s="12"/>
      <c r="K17442" s="12"/>
      <c r="L17442" s="12"/>
      <c r="M17442" s="11"/>
      <c r="N17442" s="11"/>
      <c r="O17442" s="11"/>
      <c r="P17442" s="11"/>
    </row>
    <row r="17443" spans="8:16" x14ac:dyDescent="0.25">
      <c r="H17443" s="12"/>
      <c r="I17443" s="12"/>
      <c r="J17443" s="12"/>
      <c r="K17443" s="12"/>
      <c r="L17443" s="12"/>
      <c r="M17443" s="11"/>
      <c r="N17443" s="11"/>
      <c r="O17443" s="11"/>
      <c r="P17443" s="11"/>
    </row>
    <row r="17444" spans="8:16" x14ac:dyDescent="0.25">
      <c r="H17444" s="12"/>
      <c r="I17444" s="12"/>
      <c r="J17444" s="12"/>
      <c r="K17444" s="12"/>
      <c r="L17444" s="12"/>
      <c r="M17444" s="11"/>
      <c r="N17444" s="11"/>
      <c r="O17444" s="11"/>
      <c r="P17444" s="11"/>
    </row>
    <row r="17445" spans="8:16" x14ac:dyDescent="0.25">
      <c r="H17445" s="12"/>
      <c r="I17445" s="12"/>
      <c r="J17445" s="12"/>
      <c r="K17445" s="12"/>
      <c r="L17445" s="12"/>
      <c r="M17445" s="11"/>
      <c r="N17445" s="11"/>
      <c r="O17445" s="11"/>
      <c r="P17445" s="11"/>
    </row>
    <row r="17446" spans="8:16" x14ac:dyDescent="0.25">
      <c r="H17446" s="12"/>
      <c r="I17446" s="12"/>
      <c r="J17446" s="12"/>
      <c r="K17446" s="12"/>
      <c r="L17446" s="12"/>
      <c r="M17446" s="11"/>
      <c r="N17446" s="11"/>
      <c r="O17446" s="11"/>
      <c r="P17446" s="11"/>
    </row>
    <row r="17447" spans="8:16" x14ac:dyDescent="0.25">
      <c r="H17447" s="12"/>
      <c r="I17447" s="12"/>
      <c r="J17447" s="12"/>
      <c r="K17447" s="12"/>
      <c r="L17447" s="12"/>
      <c r="M17447" s="11"/>
      <c r="N17447" s="11"/>
      <c r="O17447" s="11"/>
      <c r="P17447" s="11"/>
    </row>
    <row r="17448" spans="8:16" x14ac:dyDescent="0.25">
      <c r="H17448" s="12"/>
      <c r="I17448" s="12"/>
      <c r="J17448" s="12"/>
      <c r="K17448" s="12"/>
      <c r="L17448" s="12"/>
      <c r="M17448" s="11"/>
      <c r="N17448" s="11"/>
      <c r="O17448" s="11"/>
      <c r="P17448" s="11"/>
    </row>
    <row r="17449" spans="8:16" x14ac:dyDescent="0.25">
      <c r="H17449" s="12"/>
      <c r="I17449" s="12"/>
      <c r="J17449" s="12"/>
      <c r="K17449" s="12"/>
      <c r="L17449" s="12"/>
      <c r="M17449" s="11"/>
      <c r="N17449" s="11"/>
      <c r="O17449" s="11"/>
      <c r="P17449" s="11"/>
    </row>
    <row r="17450" spans="8:16" x14ac:dyDescent="0.25">
      <c r="H17450" s="12"/>
      <c r="I17450" s="12"/>
      <c r="J17450" s="12"/>
      <c r="K17450" s="12"/>
      <c r="L17450" s="12"/>
      <c r="M17450" s="11"/>
      <c r="N17450" s="11"/>
      <c r="O17450" s="11"/>
      <c r="P17450" s="11"/>
    </row>
    <row r="17451" spans="8:16" x14ac:dyDescent="0.25">
      <c r="H17451" s="12"/>
      <c r="I17451" s="12"/>
      <c r="J17451" s="12"/>
      <c r="K17451" s="12"/>
      <c r="L17451" s="12"/>
      <c r="M17451" s="11"/>
      <c r="N17451" s="11"/>
      <c r="O17451" s="11"/>
      <c r="P17451" s="11"/>
    </row>
    <row r="17452" spans="8:16" x14ac:dyDescent="0.25">
      <c r="H17452" s="12"/>
      <c r="I17452" s="12"/>
      <c r="J17452" s="12"/>
      <c r="K17452" s="12"/>
      <c r="L17452" s="12"/>
      <c r="M17452" s="11"/>
      <c r="N17452" s="11"/>
      <c r="O17452" s="11"/>
      <c r="P17452" s="11"/>
    </row>
    <row r="17453" spans="8:16" x14ac:dyDescent="0.25">
      <c r="H17453" s="12"/>
      <c r="I17453" s="12"/>
      <c r="J17453" s="12"/>
      <c r="K17453" s="12"/>
      <c r="L17453" s="12"/>
      <c r="M17453" s="11"/>
      <c r="N17453" s="11"/>
      <c r="O17453" s="11"/>
      <c r="P17453" s="11"/>
    </row>
    <row r="17454" spans="8:16" x14ac:dyDescent="0.25">
      <c r="H17454" s="12"/>
      <c r="I17454" s="12"/>
      <c r="J17454" s="12"/>
      <c r="K17454" s="12"/>
      <c r="L17454" s="12"/>
      <c r="M17454" s="11"/>
      <c r="N17454" s="11"/>
      <c r="O17454" s="11"/>
      <c r="P17454" s="11"/>
    </row>
    <row r="17455" spans="8:16" x14ac:dyDescent="0.25">
      <c r="H17455" s="12"/>
      <c r="I17455" s="12"/>
      <c r="J17455" s="12"/>
      <c r="K17455" s="12"/>
      <c r="L17455" s="12"/>
      <c r="M17455" s="11"/>
      <c r="N17455" s="11"/>
      <c r="O17455" s="11"/>
      <c r="P17455" s="11"/>
    </row>
    <row r="17456" spans="8:16" x14ac:dyDescent="0.25">
      <c r="H17456" s="12"/>
      <c r="I17456" s="12"/>
      <c r="J17456" s="12"/>
      <c r="K17456" s="12"/>
      <c r="L17456" s="12"/>
      <c r="M17456" s="11"/>
      <c r="N17456" s="11"/>
      <c r="O17456" s="11"/>
      <c r="P17456" s="11"/>
    </row>
    <row r="17457" spans="8:16" x14ac:dyDescent="0.25">
      <c r="H17457" s="12"/>
      <c r="I17457" s="12"/>
      <c r="J17457" s="12"/>
      <c r="K17457" s="12"/>
      <c r="L17457" s="12"/>
      <c r="M17457" s="11"/>
      <c r="N17457" s="11"/>
      <c r="O17457" s="11"/>
      <c r="P17457" s="11"/>
    </row>
    <row r="17458" spans="8:16" x14ac:dyDescent="0.25">
      <c r="H17458" s="12"/>
      <c r="I17458" s="12"/>
      <c r="J17458" s="12"/>
      <c r="K17458" s="12"/>
      <c r="L17458" s="12"/>
      <c r="M17458" s="11"/>
      <c r="N17458" s="11"/>
      <c r="O17458" s="11"/>
      <c r="P17458" s="11"/>
    </row>
    <row r="17459" spans="8:16" x14ac:dyDescent="0.25">
      <c r="H17459" s="12"/>
      <c r="I17459" s="12"/>
      <c r="J17459" s="12"/>
      <c r="K17459" s="12"/>
      <c r="L17459" s="12"/>
      <c r="M17459" s="11"/>
      <c r="N17459" s="11"/>
      <c r="O17459" s="11"/>
      <c r="P17459" s="11"/>
    </row>
    <row r="17460" spans="8:16" x14ac:dyDescent="0.25">
      <c r="H17460" s="12"/>
      <c r="I17460" s="12"/>
      <c r="J17460" s="12"/>
      <c r="K17460" s="12"/>
      <c r="L17460" s="12"/>
      <c r="M17460" s="11"/>
      <c r="N17460" s="11"/>
      <c r="O17460" s="11"/>
      <c r="P17460" s="11"/>
    </row>
    <row r="17461" spans="8:16" x14ac:dyDescent="0.25">
      <c r="H17461" s="12"/>
      <c r="I17461" s="12"/>
      <c r="J17461" s="12"/>
      <c r="K17461" s="12"/>
      <c r="L17461" s="12"/>
      <c r="M17461" s="11"/>
      <c r="N17461" s="11"/>
      <c r="O17461" s="11"/>
      <c r="P17461" s="11"/>
    </row>
    <row r="17462" spans="8:16" x14ac:dyDescent="0.25">
      <c r="H17462" s="12"/>
      <c r="I17462" s="12"/>
      <c r="J17462" s="12"/>
      <c r="K17462" s="12"/>
      <c r="L17462" s="12"/>
      <c r="M17462" s="11"/>
      <c r="N17462" s="11"/>
      <c r="O17462" s="11"/>
      <c r="P17462" s="11"/>
    </row>
    <row r="17463" spans="8:16" x14ac:dyDescent="0.25">
      <c r="H17463" s="12"/>
      <c r="I17463" s="12"/>
      <c r="J17463" s="12"/>
      <c r="K17463" s="12"/>
      <c r="L17463" s="12"/>
      <c r="M17463" s="11"/>
      <c r="N17463" s="11"/>
      <c r="O17463" s="11"/>
      <c r="P17463" s="11"/>
    </row>
    <row r="17464" spans="8:16" x14ac:dyDescent="0.25">
      <c r="H17464" s="12"/>
      <c r="I17464" s="12"/>
      <c r="J17464" s="12"/>
      <c r="K17464" s="12"/>
      <c r="L17464" s="12"/>
      <c r="M17464" s="11"/>
      <c r="N17464" s="11"/>
      <c r="O17464" s="11"/>
      <c r="P17464" s="11"/>
    </row>
    <row r="17465" spans="8:16" x14ac:dyDescent="0.25">
      <c r="H17465" s="12"/>
      <c r="I17465" s="12"/>
      <c r="J17465" s="12"/>
      <c r="K17465" s="12"/>
      <c r="L17465" s="12"/>
      <c r="M17465" s="11"/>
      <c r="N17465" s="11"/>
      <c r="O17465" s="11"/>
      <c r="P17465" s="11"/>
    </row>
    <row r="17466" spans="8:16" x14ac:dyDescent="0.25">
      <c r="H17466" s="12"/>
      <c r="I17466" s="12"/>
      <c r="J17466" s="12"/>
      <c r="K17466" s="12"/>
      <c r="L17466" s="12"/>
      <c r="M17466" s="11"/>
      <c r="N17466" s="11"/>
      <c r="O17466" s="11"/>
      <c r="P17466" s="11"/>
    </row>
    <row r="17467" spans="8:16" x14ac:dyDescent="0.25">
      <c r="H17467" s="12"/>
      <c r="I17467" s="12"/>
      <c r="J17467" s="12"/>
      <c r="K17467" s="12"/>
      <c r="L17467" s="12"/>
      <c r="M17467" s="11"/>
      <c r="N17467" s="11"/>
      <c r="O17467" s="11"/>
      <c r="P17467" s="11"/>
    </row>
    <row r="17468" spans="8:16" x14ac:dyDescent="0.25">
      <c r="H17468" s="12"/>
      <c r="I17468" s="12"/>
      <c r="J17468" s="12"/>
      <c r="K17468" s="12"/>
      <c r="L17468" s="12"/>
      <c r="M17468" s="11"/>
      <c r="N17468" s="11"/>
      <c r="O17468" s="11"/>
      <c r="P17468" s="11"/>
    </row>
    <row r="17469" spans="8:16" x14ac:dyDescent="0.25">
      <c r="H17469" s="12"/>
      <c r="I17469" s="12"/>
      <c r="J17469" s="12"/>
      <c r="K17469" s="12"/>
      <c r="L17469" s="12"/>
      <c r="M17469" s="11"/>
      <c r="N17469" s="11"/>
      <c r="O17469" s="11"/>
      <c r="P17469" s="11"/>
    </row>
    <row r="17470" spans="8:16" x14ac:dyDescent="0.25">
      <c r="H17470" s="12"/>
      <c r="I17470" s="12"/>
      <c r="J17470" s="12"/>
      <c r="K17470" s="12"/>
      <c r="L17470" s="12"/>
      <c r="M17470" s="11"/>
      <c r="N17470" s="11"/>
      <c r="O17470" s="11"/>
      <c r="P17470" s="11"/>
    </row>
    <row r="17471" spans="8:16" x14ac:dyDescent="0.25">
      <c r="H17471" s="12"/>
      <c r="I17471" s="12"/>
      <c r="J17471" s="12"/>
      <c r="K17471" s="12"/>
      <c r="L17471" s="12"/>
      <c r="M17471" s="11"/>
      <c r="N17471" s="11"/>
      <c r="O17471" s="11"/>
      <c r="P17471" s="11"/>
    </row>
    <row r="17472" spans="8:16" x14ac:dyDescent="0.25">
      <c r="H17472" s="12"/>
      <c r="I17472" s="12"/>
      <c r="J17472" s="12"/>
      <c r="K17472" s="12"/>
      <c r="L17472" s="12"/>
      <c r="M17472" s="11"/>
      <c r="N17472" s="11"/>
      <c r="O17472" s="11"/>
      <c r="P17472" s="11"/>
    </row>
    <row r="17473" spans="8:16" x14ac:dyDescent="0.25">
      <c r="H17473" s="12"/>
      <c r="I17473" s="12"/>
      <c r="J17473" s="12"/>
      <c r="K17473" s="12"/>
      <c r="L17473" s="12"/>
      <c r="M17473" s="11"/>
      <c r="N17473" s="11"/>
      <c r="O17473" s="11"/>
      <c r="P17473" s="11"/>
    </row>
    <row r="17474" spans="8:16" x14ac:dyDescent="0.25">
      <c r="H17474" s="12"/>
      <c r="I17474" s="12"/>
      <c r="J17474" s="12"/>
      <c r="K17474" s="12"/>
      <c r="L17474" s="12"/>
      <c r="M17474" s="11"/>
      <c r="N17474" s="11"/>
      <c r="O17474" s="11"/>
      <c r="P17474" s="11"/>
    </row>
    <row r="17475" spans="8:16" x14ac:dyDescent="0.25">
      <c r="H17475" s="12"/>
      <c r="I17475" s="12"/>
      <c r="J17475" s="12"/>
      <c r="K17475" s="12"/>
      <c r="L17475" s="12"/>
      <c r="M17475" s="11"/>
      <c r="N17475" s="11"/>
      <c r="O17475" s="11"/>
      <c r="P17475" s="11"/>
    </row>
    <row r="17476" spans="8:16" x14ac:dyDescent="0.25">
      <c r="H17476" s="12"/>
      <c r="I17476" s="12"/>
      <c r="J17476" s="12"/>
      <c r="K17476" s="12"/>
      <c r="L17476" s="12"/>
      <c r="M17476" s="11"/>
      <c r="N17476" s="11"/>
      <c r="O17476" s="11"/>
      <c r="P17476" s="11"/>
    </row>
    <row r="17477" spans="8:16" x14ac:dyDescent="0.25">
      <c r="H17477" s="12"/>
      <c r="I17477" s="12"/>
      <c r="J17477" s="12"/>
      <c r="K17477" s="12"/>
      <c r="L17477" s="12"/>
      <c r="M17477" s="11"/>
      <c r="N17477" s="11"/>
      <c r="O17477" s="11"/>
      <c r="P17477" s="11"/>
    </row>
    <row r="17478" spans="8:16" x14ac:dyDescent="0.25">
      <c r="H17478" s="12"/>
      <c r="I17478" s="12"/>
      <c r="J17478" s="12"/>
      <c r="K17478" s="12"/>
      <c r="L17478" s="12"/>
      <c r="M17478" s="11"/>
      <c r="N17478" s="11"/>
      <c r="O17478" s="11"/>
      <c r="P17478" s="11"/>
    </row>
    <row r="17479" spans="8:16" x14ac:dyDescent="0.25">
      <c r="H17479" s="12"/>
      <c r="I17479" s="12"/>
      <c r="J17479" s="12"/>
      <c r="K17479" s="12"/>
      <c r="L17479" s="12"/>
      <c r="M17479" s="11"/>
      <c r="N17479" s="11"/>
      <c r="O17479" s="11"/>
      <c r="P17479" s="11"/>
    </row>
    <row r="17480" spans="8:16" x14ac:dyDescent="0.25">
      <c r="H17480" s="12"/>
      <c r="I17480" s="12"/>
      <c r="J17480" s="12"/>
      <c r="K17480" s="12"/>
      <c r="L17480" s="12"/>
      <c r="M17480" s="11"/>
      <c r="N17480" s="11"/>
      <c r="O17480" s="11"/>
      <c r="P17480" s="11"/>
    </row>
    <row r="17481" spans="8:16" x14ac:dyDescent="0.25">
      <c r="H17481" s="12"/>
      <c r="I17481" s="12"/>
      <c r="J17481" s="12"/>
      <c r="K17481" s="12"/>
      <c r="L17481" s="12"/>
      <c r="M17481" s="11"/>
      <c r="N17481" s="11"/>
      <c r="O17481" s="11"/>
      <c r="P17481" s="11"/>
    </row>
    <row r="17482" spans="8:16" x14ac:dyDescent="0.25">
      <c r="H17482" s="12"/>
      <c r="I17482" s="12"/>
      <c r="J17482" s="12"/>
      <c r="K17482" s="12"/>
      <c r="L17482" s="12"/>
      <c r="M17482" s="11"/>
      <c r="N17482" s="11"/>
      <c r="O17482" s="11"/>
      <c r="P17482" s="11"/>
    </row>
    <row r="17483" spans="8:16" x14ac:dyDescent="0.25">
      <c r="H17483" s="12"/>
      <c r="I17483" s="12"/>
      <c r="J17483" s="12"/>
      <c r="K17483" s="12"/>
      <c r="L17483" s="12"/>
      <c r="M17483" s="11"/>
      <c r="N17483" s="11"/>
      <c r="O17483" s="11"/>
      <c r="P17483" s="11"/>
    </row>
    <row r="17484" spans="8:16" x14ac:dyDescent="0.25">
      <c r="H17484" s="12"/>
      <c r="I17484" s="12"/>
      <c r="J17484" s="12"/>
      <c r="K17484" s="12"/>
      <c r="L17484" s="12"/>
      <c r="M17484" s="11"/>
      <c r="N17484" s="11"/>
      <c r="O17484" s="11"/>
      <c r="P17484" s="11"/>
    </row>
    <row r="17485" spans="8:16" x14ac:dyDescent="0.25">
      <c r="H17485" s="12"/>
      <c r="I17485" s="12"/>
      <c r="J17485" s="12"/>
      <c r="K17485" s="12"/>
      <c r="L17485" s="12"/>
      <c r="M17485" s="11"/>
      <c r="N17485" s="11"/>
      <c r="O17485" s="11"/>
      <c r="P17485" s="11"/>
    </row>
    <row r="17486" spans="8:16" x14ac:dyDescent="0.25">
      <c r="H17486" s="12"/>
      <c r="I17486" s="12"/>
      <c r="J17486" s="12"/>
      <c r="K17486" s="12"/>
      <c r="L17486" s="12"/>
      <c r="M17486" s="11"/>
      <c r="N17486" s="11"/>
      <c r="O17486" s="11"/>
      <c r="P17486" s="11"/>
    </row>
    <row r="17487" spans="8:16" x14ac:dyDescent="0.25">
      <c r="H17487" s="12"/>
      <c r="I17487" s="12"/>
      <c r="J17487" s="12"/>
      <c r="K17487" s="12"/>
      <c r="L17487" s="12"/>
      <c r="M17487" s="11"/>
      <c r="N17487" s="11"/>
      <c r="O17487" s="11"/>
      <c r="P17487" s="11"/>
    </row>
    <row r="17488" spans="8:16" x14ac:dyDescent="0.25">
      <c r="H17488" s="12"/>
      <c r="I17488" s="12"/>
      <c r="J17488" s="12"/>
      <c r="K17488" s="12"/>
      <c r="L17488" s="12"/>
      <c r="M17488" s="11"/>
      <c r="N17488" s="11"/>
      <c r="O17488" s="11"/>
      <c r="P17488" s="11"/>
    </row>
    <row r="17489" spans="8:16" x14ac:dyDescent="0.25">
      <c r="H17489" s="12"/>
      <c r="I17489" s="12"/>
      <c r="J17489" s="12"/>
      <c r="K17489" s="12"/>
      <c r="L17489" s="12"/>
      <c r="M17489" s="11"/>
      <c r="N17489" s="11"/>
      <c r="O17489" s="11"/>
      <c r="P17489" s="11"/>
    </row>
    <row r="17490" spans="8:16" x14ac:dyDescent="0.25">
      <c r="H17490" s="12"/>
      <c r="I17490" s="12"/>
      <c r="J17490" s="12"/>
      <c r="K17490" s="12"/>
      <c r="L17490" s="12"/>
      <c r="M17490" s="11"/>
      <c r="N17490" s="11"/>
      <c r="O17490" s="11"/>
      <c r="P17490" s="11"/>
    </row>
    <row r="17491" spans="8:16" x14ac:dyDescent="0.25">
      <c r="H17491" s="12"/>
      <c r="I17491" s="12"/>
      <c r="J17491" s="12"/>
      <c r="K17491" s="12"/>
      <c r="L17491" s="12"/>
      <c r="M17491" s="11"/>
      <c r="N17491" s="11"/>
      <c r="O17491" s="11"/>
      <c r="P17491" s="11"/>
    </row>
    <row r="17492" spans="8:16" x14ac:dyDescent="0.25">
      <c r="H17492" s="12"/>
      <c r="I17492" s="12"/>
      <c r="J17492" s="12"/>
      <c r="K17492" s="12"/>
      <c r="L17492" s="12"/>
      <c r="M17492" s="11"/>
      <c r="N17492" s="11"/>
      <c r="O17492" s="11"/>
      <c r="P17492" s="11"/>
    </row>
    <row r="17493" spans="8:16" x14ac:dyDescent="0.25">
      <c r="H17493" s="12"/>
      <c r="I17493" s="12"/>
      <c r="J17493" s="12"/>
      <c r="K17493" s="12"/>
      <c r="L17493" s="12"/>
      <c r="M17493" s="11"/>
      <c r="N17493" s="11"/>
      <c r="O17493" s="11"/>
      <c r="P17493" s="11"/>
    </row>
    <row r="17494" spans="8:16" x14ac:dyDescent="0.25">
      <c r="H17494" s="12"/>
      <c r="I17494" s="12"/>
      <c r="J17494" s="12"/>
      <c r="K17494" s="12"/>
      <c r="L17494" s="12"/>
      <c r="M17494" s="11"/>
      <c r="N17494" s="11"/>
      <c r="O17494" s="11"/>
      <c r="P17494" s="11"/>
    </row>
    <row r="17495" spans="8:16" x14ac:dyDescent="0.25">
      <c r="H17495" s="12"/>
      <c r="I17495" s="12"/>
      <c r="J17495" s="12"/>
      <c r="K17495" s="12"/>
      <c r="L17495" s="12"/>
      <c r="M17495" s="11"/>
      <c r="N17495" s="11"/>
      <c r="O17495" s="11"/>
      <c r="P17495" s="11"/>
    </row>
    <row r="17496" spans="8:16" x14ac:dyDescent="0.25">
      <c r="H17496" s="12"/>
      <c r="I17496" s="12"/>
      <c r="J17496" s="12"/>
      <c r="K17496" s="12"/>
      <c r="L17496" s="12"/>
      <c r="M17496" s="11"/>
      <c r="N17496" s="11"/>
      <c r="O17496" s="11"/>
      <c r="P17496" s="11"/>
    </row>
    <row r="17497" spans="8:16" x14ac:dyDescent="0.25">
      <c r="H17497" s="12"/>
      <c r="I17497" s="12"/>
      <c r="J17497" s="12"/>
      <c r="K17497" s="12"/>
      <c r="L17497" s="12"/>
      <c r="M17497" s="11"/>
      <c r="N17497" s="11"/>
      <c r="O17497" s="11"/>
      <c r="P17497" s="11"/>
    </row>
    <row r="17498" spans="8:16" x14ac:dyDescent="0.25">
      <c r="H17498" s="12"/>
      <c r="I17498" s="12"/>
      <c r="J17498" s="12"/>
      <c r="K17498" s="12"/>
      <c r="L17498" s="12"/>
      <c r="M17498" s="11"/>
      <c r="N17498" s="11"/>
      <c r="O17498" s="11"/>
      <c r="P17498" s="11"/>
    </row>
    <row r="17499" spans="8:16" x14ac:dyDescent="0.25">
      <c r="H17499" s="12"/>
      <c r="I17499" s="12"/>
      <c r="J17499" s="12"/>
      <c r="K17499" s="12"/>
      <c r="L17499" s="12"/>
      <c r="M17499" s="11"/>
      <c r="N17499" s="11"/>
      <c r="O17499" s="11"/>
      <c r="P17499" s="11"/>
    </row>
    <row r="17500" spans="8:16" x14ac:dyDescent="0.25">
      <c r="H17500" s="12"/>
      <c r="I17500" s="12"/>
      <c r="J17500" s="12"/>
      <c r="K17500" s="12"/>
      <c r="L17500" s="12"/>
      <c r="M17500" s="11"/>
      <c r="N17500" s="11"/>
      <c r="O17500" s="11"/>
      <c r="P17500" s="11"/>
    </row>
    <row r="17501" spans="8:16" x14ac:dyDescent="0.25">
      <c r="H17501" s="12"/>
      <c r="I17501" s="12"/>
      <c r="J17501" s="12"/>
      <c r="K17501" s="12"/>
      <c r="L17501" s="12"/>
      <c r="M17501" s="11"/>
      <c r="N17501" s="11"/>
      <c r="O17501" s="11"/>
      <c r="P17501" s="11"/>
    </row>
    <row r="17502" spans="8:16" x14ac:dyDescent="0.25">
      <c r="H17502" s="12"/>
      <c r="I17502" s="12"/>
      <c r="J17502" s="12"/>
      <c r="K17502" s="12"/>
      <c r="L17502" s="12"/>
      <c r="M17502" s="11"/>
      <c r="N17502" s="11"/>
      <c r="O17502" s="11"/>
      <c r="P17502" s="11"/>
    </row>
    <row r="17503" spans="8:16" x14ac:dyDescent="0.25">
      <c r="H17503" s="12"/>
      <c r="I17503" s="12"/>
      <c r="J17503" s="12"/>
      <c r="K17503" s="12"/>
      <c r="L17503" s="12"/>
      <c r="M17503" s="11"/>
      <c r="N17503" s="11"/>
      <c r="O17503" s="11"/>
      <c r="P17503" s="11"/>
    </row>
    <row r="17504" spans="8:16" x14ac:dyDescent="0.25">
      <c r="H17504" s="12"/>
      <c r="I17504" s="12"/>
      <c r="J17504" s="12"/>
      <c r="K17504" s="12"/>
      <c r="L17504" s="12"/>
      <c r="M17504" s="11"/>
      <c r="N17504" s="11"/>
      <c r="O17504" s="11"/>
      <c r="P17504" s="11"/>
    </row>
    <row r="17505" spans="8:16" x14ac:dyDescent="0.25">
      <c r="H17505" s="12"/>
      <c r="I17505" s="12"/>
      <c r="J17505" s="12"/>
      <c r="K17505" s="12"/>
      <c r="L17505" s="12"/>
      <c r="M17505" s="11"/>
      <c r="N17505" s="11"/>
      <c r="O17505" s="11"/>
      <c r="P17505" s="11"/>
    </row>
    <row r="17506" spans="8:16" x14ac:dyDescent="0.25">
      <c r="H17506" s="12"/>
      <c r="I17506" s="12"/>
      <c r="J17506" s="12"/>
      <c r="K17506" s="12"/>
      <c r="L17506" s="12"/>
      <c r="M17506" s="11"/>
      <c r="N17506" s="11"/>
      <c r="O17506" s="11"/>
      <c r="P17506" s="11"/>
    </row>
    <row r="17507" spans="8:16" x14ac:dyDescent="0.25">
      <c r="H17507" s="12"/>
      <c r="I17507" s="12"/>
      <c r="J17507" s="12"/>
      <c r="K17507" s="12"/>
      <c r="L17507" s="12"/>
      <c r="M17507" s="11"/>
      <c r="N17507" s="11"/>
      <c r="O17507" s="11"/>
      <c r="P17507" s="11"/>
    </row>
    <row r="17508" spans="8:16" x14ac:dyDescent="0.25">
      <c r="H17508" s="12"/>
      <c r="I17508" s="12"/>
      <c r="J17508" s="12"/>
      <c r="K17508" s="12"/>
      <c r="L17508" s="12"/>
      <c r="M17508" s="11"/>
      <c r="N17508" s="11"/>
      <c r="O17508" s="11"/>
      <c r="P17508" s="11"/>
    </row>
    <row r="17509" spans="8:16" x14ac:dyDescent="0.25">
      <c r="H17509" s="12"/>
      <c r="I17509" s="12"/>
      <c r="J17509" s="12"/>
      <c r="K17509" s="12"/>
      <c r="L17509" s="12"/>
      <c r="M17509" s="11"/>
      <c r="N17509" s="11"/>
      <c r="O17509" s="11"/>
      <c r="P17509" s="11"/>
    </row>
    <row r="17510" spans="8:16" x14ac:dyDescent="0.25">
      <c r="H17510" s="12"/>
      <c r="I17510" s="12"/>
      <c r="J17510" s="12"/>
      <c r="K17510" s="12"/>
      <c r="L17510" s="12"/>
      <c r="M17510" s="11"/>
      <c r="N17510" s="11"/>
      <c r="O17510" s="11"/>
      <c r="P17510" s="11"/>
    </row>
    <row r="17511" spans="8:16" x14ac:dyDescent="0.25">
      <c r="H17511" s="12"/>
      <c r="I17511" s="12"/>
      <c r="J17511" s="12"/>
      <c r="K17511" s="12"/>
      <c r="L17511" s="12"/>
      <c r="M17511" s="11"/>
      <c r="N17511" s="11"/>
      <c r="O17511" s="11"/>
      <c r="P17511" s="11"/>
    </row>
    <row r="17512" spans="8:16" x14ac:dyDescent="0.25">
      <c r="H17512" s="12"/>
      <c r="I17512" s="12"/>
      <c r="J17512" s="12"/>
      <c r="K17512" s="12"/>
      <c r="L17512" s="12"/>
      <c r="M17512" s="11"/>
      <c r="N17512" s="11"/>
      <c r="O17512" s="11"/>
      <c r="P17512" s="11"/>
    </row>
    <row r="17513" spans="8:16" x14ac:dyDescent="0.25">
      <c r="H17513" s="12"/>
      <c r="I17513" s="12"/>
      <c r="J17513" s="12"/>
      <c r="K17513" s="12"/>
      <c r="L17513" s="12"/>
      <c r="M17513" s="11"/>
      <c r="N17513" s="11"/>
      <c r="O17513" s="11"/>
      <c r="P17513" s="11"/>
    </row>
    <row r="17514" spans="8:16" x14ac:dyDescent="0.25">
      <c r="H17514" s="12"/>
      <c r="I17514" s="12"/>
      <c r="J17514" s="12"/>
      <c r="K17514" s="12"/>
      <c r="L17514" s="12"/>
      <c r="M17514" s="11"/>
      <c r="N17514" s="11"/>
      <c r="O17514" s="11"/>
      <c r="P17514" s="11"/>
    </row>
    <row r="17515" spans="8:16" x14ac:dyDescent="0.25">
      <c r="H17515" s="12"/>
      <c r="I17515" s="12"/>
      <c r="J17515" s="12"/>
      <c r="K17515" s="12"/>
      <c r="L17515" s="12"/>
      <c r="M17515" s="11"/>
      <c r="N17515" s="11"/>
      <c r="O17515" s="11"/>
      <c r="P17515" s="11"/>
    </row>
    <row r="17516" spans="8:16" x14ac:dyDescent="0.25">
      <c r="H17516" s="12"/>
      <c r="I17516" s="12"/>
      <c r="J17516" s="12"/>
      <c r="K17516" s="12"/>
      <c r="L17516" s="12"/>
      <c r="M17516" s="11"/>
      <c r="N17516" s="11"/>
      <c r="O17516" s="11"/>
      <c r="P17516" s="11"/>
    </row>
    <row r="17517" spans="8:16" x14ac:dyDescent="0.25">
      <c r="H17517" s="12"/>
      <c r="I17517" s="12"/>
      <c r="J17517" s="12"/>
      <c r="K17517" s="12"/>
      <c r="L17517" s="12"/>
      <c r="M17517" s="11"/>
      <c r="N17517" s="11"/>
      <c r="O17517" s="11"/>
      <c r="P17517" s="11"/>
    </row>
    <row r="17518" spans="8:16" x14ac:dyDescent="0.25">
      <c r="H17518" s="12"/>
      <c r="I17518" s="12"/>
      <c r="J17518" s="12"/>
      <c r="K17518" s="12"/>
      <c r="L17518" s="12"/>
      <c r="M17518" s="11"/>
      <c r="N17518" s="11"/>
      <c r="O17518" s="11"/>
      <c r="P17518" s="11"/>
    </row>
    <row r="17519" spans="8:16" x14ac:dyDescent="0.25">
      <c r="H17519" s="12"/>
      <c r="I17519" s="12"/>
      <c r="J17519" s="12"/>
      <c r="K17519" s="12"/>
      <c r="L17519" s="12"/>
      <c r="M17519" s="11"/>
      <c r="N17519" s="11"/>
      <c r="O17519" s="11"/>
      <c r="P17519" s="11"/>
    </row>
    <row r="17520" spans="8:16" x14ac:dyDescent="0.25">
      <c r="H17520" s="12"/>
      <c r="I17520" s="12"/>
      <c r="J17520" s="12"/>
      <c r="K17520" s="12"/>
      <c r="L17520" s="12"/>
      <c r="M17520" s="11"/>
      <c r="N17520" s="11"/>
      <c r="O17520" s="11"/>
      <c r="P17520" s="11"/>
    </row>
    <row r="17521" spans="8:16" x14ac:dyDescent="0.25">
      <c r="H17521" s="12"/>
      <c r="I17521" s="12"/>
      <c r="J17521" s="12"/>
      <c r="K17521" s="12"/>
      <c r="L17521" s="12"/>
      <c r="M17521" s="11"/>
      <c r="N17521" s="11"/>
      <c r="O17521" s="11"/>
      <c r="P17521" s="11"/>
    </row>
    <row r="17522" spans="8:16" x14ac:dyDescent="0.25">
      <c r="H17522" s="12"/>
      <c r="I17522" s="12"/>
      <c r="J17522" s="12"/>
      <c r="K17522" s="12"/>
      <c r="L17522" s="12"/>
      <c r="M17522" s="11"/>
      <c r="N17522" s="11"/>
      <c r="O17522" s="11"/>
      <c r="P17522" s="11"/>
    </row>
    <row r="17523" spans="8:16" x14ac:dyDescent="0.25">
      <c r="H17523" s="12"/>
      <c r="I17523" s="12"/>
      <c r="J17523" s="12"/>
      <c r="K17523" s="12"/>
      <c r="L17523" s="12"/>
      <c r="M17523" s="11"/>
      <c r="N17523" s="11"/>
      <c r="O17523" s="11"/>
      <c r="P17523" s="11"/>
    </row>
    <row r="17524" spans="8:16" x14ac:dyDescent="0.25">
      <c r="H17524" s="12"/>
      <c r="I17524" s="12"/>
      <c r="J17524" s="12"/>
      <c r="K17524" s="12"/>
      <c r="L17524" s="12"/>
      <c r="M17524" s="11"/>
      <c r="N17524" s="11"/>
      <c r="O17524" s="11"/>
      <c r="P17524" s="11"/>
    </row>
    <row r="17525" spans="8:16" x14ac:dyDescent="0.25">
      <c r="H17525" s="12"/>
      <c r="I17525" s="12"/>
      <c r="J17525" s="12"/>
      <c r="K17525" s="12"/>
      <c r="L17525" s="12"/>
      <c r="M17525" s="11"/>
      <c r="N17525" s="11"/>
      <c r="O17525" s="11"/>
      <c r="P17525" s="11"/>
    </row>
    <row r="17526" spans="8:16" x14ac:dyDescent="0.25">
      <c r="H17526" s="12"/>
      <c r="I17526" s="12"/>
      <c r="J17526" s="12"/>
      <c r="K17526" s="12"/>
      <c r="L17526" s="12"/>
      <c r="M17526" s="11"/>
      <c r="N17526" s="11"/>
      <c r="O17526" s="11"/>
      <c r="P17526" s="11"/>
    </row>
    <row r="17527" spans="8:16" x14ac:dyDescent="0.25">
      <c r="H17527" s="12"/>
      <c r="I17527" s="12"/>
      <c r="J17527" s="12"/>
      <c r="K17527" s="12"/>
      <c r="L17527" s="12"/>
      <c r="M17527" s="11"/>
      <c r="N17527" s="11"/>
      <c r="O17527" s="11"/>
      <c r="P17527" s="11"/>
    </row>
    <row r="17528" spans="8:16" x14ac:dyDescent="0.25">
      <c r="H17528" s="12"/>
      <c r="I17528" s="12"/>
      <c r="J17528" s="12"/>
      <c r="K17528" s="12"/>
      <c r="L17528" s="12"/>
      <c r="M17528" s="11"/>
      <c r="N17528" s="11"/>
      <c r="O17528" s="11"/>
      <c r="P17528" s="11"/>
    </row>
    <row r="17529" spans="8:16" x14ac:dyDescent="0.25">
      <c r="H17529" s="12"/>
      <c r="I17529" s="12"/>
      <c r="J17529" s="12"/>
      <c r="K17529" s="12"/>
      <c r="L17529" s="12"/>
      <c r="M17529" s="11"/>
      <c r="N17529" s="11"/>
      <c r="O17529" s="11"/>
      <c r="P17529" s="11"/>
    </row>
    <row r="17530" spans="8:16" x14ac:dyDescent="0.25">
      <c r="H17530" s="12"/>
      <c r="I17530" s="12"/>
      <c r="J17530" s="12"/>
      <c r="K17530" s="12"/>
      <c r="L17530" s="12"/>
      <c r="M17530" s="11"/>
      <c r="N17530" s="11"/>
      <c r="O17530" s="11"/>
      <c r="P17530" s="11"/>
    </row>
    <row r="17531" spans="8:16" x14ac:dyDescent="0.25">
      <c r="H17531" s="12"/>
      <c r="I17531" s="12"/>
      <c r="J17531" s="12"/>
      <c r="K17531" s="12"/>
      <c r="L17531" s="12"/>
      <c r="M17531" s="11"/>
      <c r="N17531" s="11"/>
      <c r="O17531" s="11"/>
      <c r="P17531" s="11"/>
    </row>
    <row r="17532" spans="8:16" x14ac:dyDescent="0.25">
      <c r="H17532" s="12"/>
      <c r="I17532" s="12"/>
      <c r="J17532" s="12"/>
      <c r="K17532" s="12"/>
      <c r="L17532" s="12"/>
      <c r="M17532" s="11"/>
      <c r="N17532" s="11"/>
      <c r="O17532" s="11"/>
      <c r="P17532" s="11"/>
    </row>
    <row r="17533" spans="8:16" x14ac:dyDescent="0.25">
      <c r="H17533" s="12"/>
      <c r="I17533" s="12"/>
      <c r="J17533" s="12"/>
      <c r="K17533" s="12"/>
      <c r="L17533" s="12"/>
      <c r="M17533" s="11"/>
      <c r="N17533" s="11"/>
      <c r="O17533" s="11"/>
      <c r="P17533" s="11"/>
    </row>
    <row r="17534" spans="8:16" x14ac:dyDescent="0.25">
      <c r="H17534" s="12"/>
      <c r="I17534" s="12"/>
      <c r="J17534" s="12"/>
      <c r="K17534" s="12"/>
      <c r="L17534" s="12"/>
      <c r="M17534" s="11"/>
      <c r="N17534" s="11"/>
      <c r="O17534" s="11"/>
      <c r="P17534" s="11"/>
    </row>
    <row r="17535" spans="8:16" x14ac:dyDescent="0.25">
      <c r="H17535" s="12"/>
      <c r="I17535" s="12"/>
      <c r="J17535" s="12"/>
      <c r="K17535" s="12"/>
      <c r="L17535" s="12"/>
      <c r="M17535" s="11"/>
      <c r="N17535" s="11"/>
      <c r="O17535" s="11"/>
      <c r="P17535" s="11"/>
    </row>
    <row r="17536" spans="8:16" x14ac:dyDescent="0.25">
      <c r="H17536" s="12"/>
      <c r="I17536" s="12"/>
      <c r="J17536" s="12"/>
      <c r="K17536" s="12"/>
      <c r="L17536" s="12"/>
      <c r="M17536" s="11"/>
      <c r="N17536" s="11"/>
      <c r="O17536" s="11"/>
      <c r="P17536" s="11"/>
    </row>
    <row r="17537" spans="8:16" x14ac:dyDescent="0.25">
      <c r="H17537" s="12"/>
      <c r="I17537" s="12"/>
      <c r="J17537" s="12"/>
      <c r="K17537" s="12"/>
      <c r="L17537" s="12"/>
      <c r="M17537" s="11"/>
      <c r="N17537" s="11"/>
      <c r="O17537" s="11"/>
      <c r="P17537" s="11"/>
    </row>
    <row r="17538" spans="8:16" x14ac:dyDescent="0.25">
      <c r="H17538" s="12"/>
      <c r="I17538" s="12"/>
      <c r="J17538" s="12"/>
      <c r="K17538" s="12"/>
      <c r="L17538" s="12"/>
      <c r="M17538" s="11"/>
      <c r="N17538" s="11"/>
      <c r="O17538" s="11"/>
      <c r="P17538" s="11"/>
    </row>
    <row r="17539" spans="8:16" x14ac:dyDescent="0.25">
      <c r="H17539" s="12"/>
      <c r="I17539" s="12"/>
      <c r="J17539" s="12"/>
      <c r="K17539" s="12"/>
      <c r="L17539" s="12"/>
      <c r="M17539" s="11"/>
      <c r="N17539" s="11"/>
      <c r="O17539" s="11"/>
      <c r="P17539" s="11"/>
    </row>
    <row r="17540" spans="8:16" x14ac:dyDescent="0.25">
      <c r="H17540" s="12"/>
      <c r="I17540" s="12"/>
      <c r="J17540" s="12"/>
      <c r="K17540" s="12"/>
      <c r="L17540" s="12"/>
      <c r="M17540" s="11"/>
      <c r="N17540" s="11"/>
      <c r="O17540" s="11"/>
      <c r="P17540" s="11"/>
    </row>
    <row r="17541" spans="8:16" x14ac:dyDescent="0.25">
      <c r="H17541" s="12"/>
      <c r="I17541" s="12"/>
      <c r="J17541" s="12"/>
      <c r="K17541" s="12"/>
      <c r="L17541" s="12"/>
      <c r="M17541" s="11"/>
      <c r="N17541" s="11"/>
      <c r="O17541" s="11"/>
      <c r="P17541" s="11"/>
    </row>
    <row r="17542" spans="8:16" x14ac:dyDescent="0.25">
      <c r="H17542" s="12"/>
      <c r="I17542" s="12"/>
      <c r="J17542" s="12"/>
      <c r="K17542" s="12"/>
      <c r="L17542" s="12"/>
      <c r="M17542" s="11"/>
      <c r="N17542" s="11"/>
      <c r="O17542" s="11"/>
      <c r="P17542" s="11"/>
    </row>
    <row r="17543" spans="8:16" x14ac:dyDescent="0.25">
      <c r="H17543" s="12"/>
      <c r="I17543" s="12"/>
      <c r="J17543" s="12"/>
      <c r="K17543" s="12"/>
      <c r="L17543" s="12"/>
      <c r="M17543" s="11"/>
      <c r="N17543" s="11"/>
      <c r="O17543" s="11"/>
      <c r="P17543" s="11"/>
    </row>
    <row r="17544" spans="8:16" x14ac:dyDescent="0.25">
      <c r="H17544" s="12"/>
      <c r="I17544" s="12"/>
      <c r="J17544" s="12"/>
      <c r="K17544" s="12"/>
      <c r="L17544" s="12"/>
      <c r="M17544" s="11"/>
      <c r="N17544" s="11"/>
      <c r="O17544" s="11"/>
      <c r="P17544" s="11"/>
    </row>
    <row r="17545" spans="8:16" x14ac:dyDescent="0.25">
      <c r="H17545" s="12"/>
      <c r="I17545" s="12"/>
      <c r="J17545" s="12"/>
      <c r="K17545" s="12"/>
      <c r="L17545" s="12"/>
      <c r="M17545" s="11"/>
      <c r="N17545" s="11"/>
      <c r="O17545" s="11"/>
      <c r="P17545" s="11"/>
    </row>
    <row r="17546" spans="8:16" x14ac:dyDescent="0.25">
      <c r="H17546" s="12"/>
      <c r="I17546" s="12"/>
      <c r="J17546" s="12"/>
      <c r="K17546" s="12"/>
      <c r="L17546" s="12"/>
      <c r="M17546" s="11"/>
      <c r="N17546" s="11"/>
      <c r="O17546" s="11"/>
      <c r="P17546" s="11"/>
    </row>
    <row r="17547" spans="8:16" x14ac:dyDescent="0.25">
      <c r="H17547" s="12"/>
      <c r="I17547" s="12"/>
      <c r="J17547" s="12"/>
      <c r="K17547" s="12"/>
      <c r="L17547" s="12"/>
      <c r="M17547" s="11"/>
      <c r="N17547" s="11"/>
      <c r="O17547" s="11"/>
      <c r="P17547" s="11"/>
    </row>
    <row r="17548" spans="8:16" x14ac:dyDescent="0.25">
      <c r="H17548" s="12"/>
      <c r="I17548" s="12"/>
      <c r="J17548" s="12"/>
      <c r="K17548" s="12"/>
      <c r="L17548" s="12"/>
      <c r="M17548" s="11"/>
      <c r="N17548" s="11"/>
      <c r="O17548" s="11"/>
      <c r="P17548" s="11"/>
    </row>
    <row r="17549" spans="8:16" x14ac:dyDescent="0.25">
      <c r="H17549" s="12"/>
      <c r="I17549" s="12"/>
      <c r="J17549" s="12"/>
      <c r="K17549" s="12"/>
      <c r="L17549" s="12"/>
      <c r="M17549" s="11"/>
      <c r="N17549" s="11"/>
      <c r="O17549" s="11"/>
      <c r="P17549" s="11"/>
    </row>
    <row r="17550" spans="8:16" x14ac:dyDescent="0.25">
      <c r="H17550" s="12"/>
      <c r="I17550" s="12"/>
      <c r="J17550" s="12"/>
      <c r="K17550" s="12"/>
      <c r="L17550" s="12"/>
      <c r="M17550" s="11"/>
      <c r="N17550" s="11"/>
      <c r="O17550" s="11"/>
      <c r="P17550" s="11"/>
    </row>
    <row r="17551" spans="8:16" x14ac:dyDescent="0.25">
      <c r="H17551" s="12"/>
      <c r="I17551" s="12"/>
      <c r="J17551" s="12"/>
      <c r="K17551" s="12"/>
      <c r="L17551" s="12"/>
      <c r="M17551" s="11"/>
      <c r="N17551" s="11"/>
      <c r="O17551" s="11"/>
      <c r="P17551" s="11"/>
    </row>
    <row r="17552" spans="8:16" x14ac:dyDescent="0.25">
      <c r="H17552" s="12"/>
      <c r="I17552" s="12"/>
      <c r="J17552" s="12"/>
      <c r="K17552" s="12"/>
      <c r="L17552" s="12"/>
      <c r="M17552" s="11"/>
      <c r="N17552" s="11"/>
      <c r="O17552" s="11"/>
      <c r="P17552" s="11"/>
    </row>
    <row r="17553" spans="8:16" x14ac:dyDescent="0.25">
      <c r="H17553" s="12"/>
      <c r="I17553" s="12"/>
      <c r="J17553" s="12"/>
      <c r="K17553" s="12"/>
      <c r="L17553" s="12"/>
      <c r="M17553" s="11"/>
      <c r="N17553" s="11"/>
      <c r="O17553" s="11"/>
      <c r="P17553" s="11"/>
    </row>
    <row r="17554" spans="8:16" x14ac:dyDescent="0.25">
      <c r="H17554" s="12"/>
      <c r="I17554" s="12"/>
      <c r="J17554" s="12"/>
      <c r="K17554" s="12"/>
      <c r="L17554" s="12"/>
      <c r="M17554" s="11"/>
      <c r="N17554" s="11"/>
      <c r="O17554" s="11"/>
      <c r="P17554" s="11"/>
    </row>
    <row r="17555" spans="8:16" x14ac:dyDescent="0.25">
      <c r="H17555" s="12"/>
      <c r="I17555" s="12"/>
      <c r="J17555" s="12"/>
      <c r="K17555" s="12"/>
      <c r="L17555" s="12"/>
      <c r="M17555" s="11"/>
      <c r="N17555" s="11"/>
      <c r="O17555" s="11"/>
      <c r="P17555" s="11"/>
    </row>
    <row r="17556" spans="8:16" x14ac:dyDescent="0.25">
      <c r="H17556" s="12"/>
      <c r="I17556" s="12"/>
      <c r="J17556" s="12"/>
      <c r="K17556" s="12"/>
      <c r="L17556" s="12"/>
      <c r="M17556" s="11"/>
      <c r="N17556" s="11"/>
      <c r="O17556" s="11"/>
      <c r="P17556" s="11"/>
    </row>
    <row r="17557" spans="8:16" x14ac:dyDescent="0.25">
      <c r="H17557" s="12"/>
      <c r="I17557" s="12"/>
      <c r="J17557" s="12"/>
      <c r="K17557" s="12"/>
      <c r="L17557" s="12"/>
      <c r="M17557" s="11"/>
      <c r="N17557" s="11"/>
      <c r="O17557" s="11"/>
      <c r="P17557" s="11"/>
    </row>
    <row r="17558" spans="8:16" x14ac:dyDescent="0.25">
      <c r="H17558" s="12"/>
      <c r="I17558" s="12"/>
      <c r="J17558" s="12"/>
      <c r="K17558" s="12"/>
      <c r="L17558" s="12"/>
      <c r="M17558" s="11"/>
      <c r="N17558" s="11"/>
      <c r="O17558" s="11"/>
      <c r="P17558" s="11"/>
    </row>
    <row r="17559" spans="8:16" x14ac:dyDescent="0.25">
      <c r="H17559" s="12"/>
      <c r="I17559" s="12"/>
      <c r="J17559" s="12"/>
      <c r="K17559" s="12"/>
      <c r="L17559" s="12"/>
      <c r="M17559" s="11"/>
      <c r="N17559" s="11"/>
      <c r="O17559" s="11"/>
      <c r="P17559" s="11"/>
    </row>
    <row r="17560" spans="8:16" x14ac:dyDescent="0.25">
      <c r="H17560" s="12"/>
      <c r="I17560" s="12"/>
      <c r="J17560" s="12"/>
      <c r="K17560" s="12"/>
      <c r="L17560" s="12"/>
      <c r="M17560" s="11"/>
      <c r="N17560" s="11"/>
      <c r="O17560" s="11"/>
      <c r="P17560" s="11"/>
    </row>
    <row r="17561" spans="8:16" x14ac:dyDescent="0.25">
      <c r="H17561" s="12"/>
      <c r="I17561" s="12"/>
      <c r="J17561" s="12"/>
      <c r="K17561" s="12"/>
      <c r="L17561" s="12"/>
      <c r="M17561" s="11"/>
      <c r="N17561" s="11"/>
      <c r="O17561" s="11"/>
      <c r="P17561" s="11"/>
    </row>
    <row r="17562" spans="8:16" x14ac:dyDescent="0.25">
      <c r="H17562" s="12"/>
      <c r="I17562" s="12"/>
      <c r="J17562" s="12"/>
      <c r="K17562" s="12"/>
      <c r="L17562" s="12"/>
      <c r="M17562" s="11"/>
      <c r="N17562" s="11"/>
      <c r="O17562" s="11"/>
      <c r="P17562" s="11"/>
    </row>
    <row r="17563" spans="8:16" x14ac:dyDescent="0.25">
      <c r="H17563" s="12"/>
      <c r="I17563" s="12"/>
      <c r="J17563" s="12"/>
      <c r="K17563" s="12"/>
      <c r="L17563" s="12"/>
      <c r="M17563" s="11"/>
      <c r="N17563" s="11"/>
      <c r="O17563" s="11"/>
      <c r="P17563" s="11"/>
    </row>
    <row r="17564" spans="8:16" x14ac:dyDescent="0.25">
      <c r="H17564" s="12"/>
      <c r="I17564" s="12"/>
      <c r="J17564" s="12"/>
      <c r="K17564" s="12"/>
      <c r="L17564" s="12"/>
      <c r="M17564" s="11"/>
      <c r="N17564" s="11"/>
      <c r="O17564" s="11"/>
      <c r="P17564" s="11"/>
    </row>
    <row r="17565" spans="8:16" x14ac:dyDescent="0.25">
      <c r="H17565" s="12"/>
      <c r="I17565" s="12"/>
      <c r="J17565" s="12"/>
      <c r="K17565" s="12"/>
      <c r="L17565" s="12"/>
      <c r="M17565" s="11"/>
      <c r="N17565" s="11"/>
      <c r="O17565" s="11"/>
      <c r="P17565" s="11"/>
    </row>
    <row r="17566" spans="8:16" x14ac:dyDescent="0.25">
      <c r="H17566" s="12"/>
      <c r="I17566" s="12"/>
      <c r="J17566" s="12"/>
      <c r="K17566" s="12"/>
      <c r="L17566" s="12"/>
      <c r="M17566" s="11"/>
      <c r="N17566" s="11"/>
      <c r="O17566" s="11"/>
      <c r="P17566" s="11"/>
    </row>
    <row r="17567" spans="8:16" x14ac:dyDescent="0.25">
      <c r="H17567" s="12"/>
      <c r="I17567" s="12"/>
      <c r="J17567" s="12"/>
      <c r="K17567" s="12"/>
      <c r="L17567" s="12"/>
      <c r="M17567" s="11"/>
      <c r="N17567" s="11"/>
      <c r="O17567" s="11"/>
      <c r="P17567" s="11"/>
    </row>
    <row r="17568" spans="8:16" x14ac:dyDescent="0.25">
      <c r="H17568" s="12"/>
      <c r="I17568" s="12"/>
      <c r="J17568" s="12"/>
      <c r="K17568" s="12"/>
      <c r="L17568" s="12"/>
      <c r="M17568" s="11"/>
      <c r="N17568" s="11"/>
      <c r="O17568" s="11"/>
      <c r="P17568" s="11"/>
    </row>
    <row r="17569" spans="8:16" x14ac:dyDescent="0.25">
      <c r="H17569" s="12"/>
      <c r="I17569" s="12"/>
      <c r="J17569" s="12"/>
      <c r="K17569" s="12"/>
      <c r="L17569" s="12"/>
      <c r="M17569" s="11"/>
      <c r="N17569" s="11"/>
      <c r="O17569" s="11"/>
      <c r="P17569" s="11"/>
    </row>
    <row r="17570" spans="8:16" x14ac:dyDescent="0.25">
      <c r="H17570" s="12"/>
      <c r="I17570" s="12"/>
      <c r="J17570" s="12"/>
      <c r="K17570" s="12"/>
      <c r="L17570" s="12"/>
      <c r="M17570" s="11"/>
      <c r="N17570" s="11"/>
      <c r="O17570" s="11"/>
      <c r="P17570" s="11"/>
    </row>
    <row r="17571" spans="8:16" x14ac:dyDescent="0.25">
      <c r="H17571" s="12"/>
      <c r="I17571" s="12"/>
      <c r="J17571" s="12"/>
      <c r="K17571" s="12"/>
      <c r="L17571" s="12"/>
      <c r="M17571" s="11"/>
      <c r="N17571" s="11"/>
      <c r="O17571" s="11"/>
      <c r="P17571" s="11"/>
    </row>
    <row r="17572" spans="8:16" x14ac:dyDescent="0.25">
      <c r="H17572" s="12"/>
      <c r="I17572" s="12"/>
      <c r="J17572" s="12"/>
      <c r="K17572" s="12"/>
      <c r="L17572" s="12"/>
      <c r="M17572" s="11"/>
      <c r="N17572" s="11"/>
      <c r="O17572" s="11"/>
      <c r="P17572" s="11"/>
    </row>
    <row r="17573" spans="8:16" x14ac:dyDescent="0.25">
      <c r="H17573" s="12"/>
      <c r="I17573" s="12"/>
      <c r="J17573" s="12"/>
      <c r="K17573" s="12"/>
      <c r="L17573" s="12"/>
      <c r="M17573" s="11"/>
      <c r="N17573" s="11"/>
      <c r="O17573" s="11"/>
      <c r="P17573" s="11"/>
    </row>
    <row r="17574" spans="8:16" x14ac:dyDescent="0.25">
      <c r="H17574" s="12"/>
      <c r="I17574" s="12"/>
      <c r="J17574" s="12"/>
      <c r="K17574" s="12"/>
      <c r="L17574" s="12"/>
      <c r="M17574" s="11"/>
      <c r="N17574" s="11"/>
      <c r="O17574" s="11"/>
      <c r="P17574" s="11"/>
    </row>
    <row r="17575" spans="8:16" x14ac:dyDescent="0.25">
      <c r="H17575" s="12"/>
      <c r="I17575" s="12"/>
      <c r="J17575" s="12"/>
      <c r="K17575" s="12"/>
      <c r="L17575" s="12"/>
      <c r="M17575" s="11"/>
      <c r="N17575" s="11"/>
      <c r="O17575" s="11"/>
      <c r="P17575" s="11"/>
    </row>
    <row r="17576" spans="8:16" x14ac:dyDescent="0.25">
      <c r="H17576" s="12"/>
      <c r="I17576" s="12"/>
      <c r="J17576" s="12"/>
      <c r="K17576" s="12"/>
      <c r="L17576" s="12"/>
      <c r="M17576" s="11"/>
      <c r="N17576" s="11"/>
      <c r="O17576" s="11"/>
      <c r="P17576" s="11"/>
    </row>
    <row r="17577" spans="8:16" x14ac:dyDescent="0.25">
      <c r="H17577" s="12"/>
      <c r="I17577" s="12"/>
      <c r="J17577" s="12"/>
      <c r="K17577" s="12"/>
      <c r="L17577" s="12"/>
      <c r="M17577" s="11"/>
      <c r="N17577" s="11"/>
      <c r="O17577" s="11"/>
      <c r="P17577" s="11"/>
    </row>
    <row r="17578" spans="8:16" x14ac:dyDescent="0.25">
      <c r="H17578" s="12"/>
      <c r="I17578" s="12"/>
      <c r="J17578" s="12"/>
      <c r="K17578" s="12"/>
      <c r="L17578" s="12"/>
      <c r="M17578" s="11"/>
      <c r="N17578" s="11"/>
      <c r="O17578" s="11"/>
      <c r="P17578" s="11"/>
    </row>
    <row r="17579" spans="8:16" x14ac:dyDescent="0.25">
      <c r="H17579" s="12"/>
      <c r="I17579" s="12"/>
      <c r="J17579" s="12"/>
      <c r="K17579" s="12"/>
      <c r="L17579" s="12"/>
      <c r="M17579" s="11"/>
      <c r="N17579" s="11"/>
      <c r="O17579" s="11"/>
      <c r="P17579" s="11"/>
    </row>
    <row r="17580" spans="8:16" x14ac:dyDescent="0.25">
      <c r="H17580" s="12"/>
      <c r="I17580" s="12"/>
      <c r="J17580" s="12"/>
      <c r="K17580" s="12"/>
      <c r="L17580" s="12"/>
      <c r="M17580" s="11"/>
      <c r="N17580" s="11"/>
      <c r="O17580" s="11"/>
      <c r="P17580" s="11"/>
    </row>
    <row r="17581" spans="8:16" x14ac:dyDescent="0.25">
      <c r="H17581" s="12"/>
      <c r="I17581" s="12"/>
      <c r="J17581" s="12"/>
      <c r="K17581" s="12"/>
      <c r="L17581" s="12"/>
      <c r="M17581" s="11"/>
      <c r="N17581" s="11"/>
      <c r="O17581" s="11"/>
      <c r="P17581" s="11"/>
    </row>
    <row r="17582" spans="8:16" x14ac:dyDescent="0.25">
      <c r="H17582" s="12"/>
      <c r="I17582" s="12"/>
      <c r="J17582" s="12"/>
      <c r="K17582" s="12"/>
      <c r="L17582" s="12"/>
      <c r="M17582" s="11"/>
      <c r="N17582" s="11"/>
      <c r="O17582" s="11"/>
      <c r="P17582" s="11"/>
    </row>
    <row r="17583" spans="8:16" x14ac:dyDescent="0.25">
      <c r="H17583" s="12"/>
      <c r="I17583" s="12"/>
      <c r="J17583" s="12"/>
      <c r="K17583" s="12"/>
      <c r="L17583" s="12"/>
      <c r="M17583" s="11"/>
      <c r="N17583" s="11"/>
      <c r="O17583" s="11"/>
      <c r="P17583" s="11"/>
    </row>
    <row r="17584" spans="8:16" x14ac:dyDescent="0.25">
      <c r="H17584" s="12"/>
      <c r="I17584" s="12"/>
      <c r="J17584" s="12"/>
      <c r="K17584" s="12"/>
      <c r="L17584" s="12"/>
      <c r="M17584" s="11"/>
      <c r="N17584" s="11"/>
      <c r="O17584" s="11"/>
      <c r="P17584" s="11"/>
    </row>
    <row r="17585" spans="8:16" x14ac:dyDescent="0.25">
      <c r="H17585" s="12"/>
      <c r="I17585" s="12"/>
      <c r="J17585" s="12"/>
      <c r="K17585" s="12"/>
      <c r="L17585" s="12"/>
      <c r="M17585" s="11"/>
      <c r="N17585" s="11"/>
      <c r="O17585" s="11"/>
      <c r="P17585" s="11"/>
    </row>
    <row r="17586" spans="8:16" x14ac:dyDescent="0.25">
      <c r="H17586" s="12"/>
      <c r="I17586" s="12"/>
      <c r="J17586" s="12"/>
      <c r="K17586" s="12"/>
      <c r="L17586" s="12"/>
      <c r="M17586" s="11"/>
      <c r="N17586" s="11"/>
      <c r="O17586" s="11"/>
      <c r="P17586" s="11"/>
    </row>
    <row r="17587" spans="8:16" x14ac:dyDescent="0.25">
      <c r="H17587" s="12"/>
      <c r="I17587" s="12"/>
      <c r="J17587" s="12"/>
      <c r="K17587" s="12"/>
      <c r="L17587" s="12"/>
      <c r="M17587" s="11"/>
      <c r="N17587" s="11"/>
      <c r="O17587" s="11"/>
      <c r="P17587" s="11"/>
    </row>
    <row r="17588" spans="8:16" x14ac:dyDescent="0.25">
      <c r="H17588" s="12"/>
      <c r="I17588" s="12"/>
      <c r="J17588" s="12"/>
      <c r="K17588" s="12"/>
      <c r="L17588" s="12"/>
      <c r="M17588" s="11"/>
      <c r="N17588" s="11"/>
      <c r="O17588" s="11"/>
      <c r="P17588" s="11"/>
    </row>
    <row r="17589" spans="8:16" x14ac:dyDescent="0.25">
      <c r="H17589" s="12"/>
      <c r="I17589" s="12"/>
      <c r="J17589" s="12"/>
      <c r="K17589" s="12"/>
      <c r="L17589" s="12"/>
      <c r="M17589" s="11"/>
      <c r="N17589" s="11"/>
      <c r="O17589" s="11"/>
      <c r="P17589" s="11"/>
    </row>
    <row r="17590" spans="8:16" x14ac:dyDescent="0.25">
      <c r="H17590" s="12"/>
      <c r="I17590" s="12"/>
      <c r="J17590" s="12"/>
      <c r="K17590" s="12"/>
      <c r="L17590" s="12"/>
      <c r="M17590" s="11"/>
      <c r="N17590" s="11"/>
      <c r="O17590" s="11"/>
      <c r="P17590" s="11"/>
    </row>
    <row r="17591" spans="8:16" x14ac:dyDescent="0.25">
      <c r="H17591" s="12"/>
      <c r="I17591" s="12"/>
      <c r="J17591" s="12"/>
      <c r="K17591" s="12"/>
      <c r="L17591" s="12"/>
      <c r="M17591" s="11"/>
      <c r="N17591" s="11"/>
      <c r="O17591" s="11"/>
      <c r="P17591" s="11"/>
    </row>
    <row r="17592" spans="8:16" x14ac:dyDescent="0.25">
      <c r="H17592" s="12"/>
      <c r="I17592" s="12"/>
      <c r="J17592" s="12"/>
      <c r="K17592" s="12"/>
      <c r="L17592" s="12"/>
      <c r="M17592" s="11"/>
      <c r="N17592" s="11"/>
      <c r="O17592" s="11"/>
      <c r="P17592" s="11"/>
    </row>
    <row r="17593" spans="8:16" x14ac:dyDescent="0.25">
      <c r="H17593" s="12"/>
      <c r="I17593" s="12"/>
      <c r="J17593" s="12"/>
      <c r="K17593" s="12"/>
      <c r="L17593" s="12"/>
      <c r="M17593" s="11"/>
      <c r="N17593" s="11"/>
      <c r="O17593" s="11"/>
      <c r="P17593" s="11"/>
    </row>
    <row r="17594" spans="8:16" x14ac:dyDescent="0.25">
      <c r="H17594" s="12"/>
      <c r="I17594" s="12"/>
      <c r="J17594" s="12"/>
      <c r="K17594" s="12"/>
      <c r="L17594" s="12"/>
      <c r="M17594" s="11"/>
      <c r="N17594" s="11"/>
      <c r="O17594" s="11"/>
      <c r="P17594" s="11"/>
    </row>
    <row r="17595" spans="8:16" x14ac:dyDescent="0.25">
      <c r="H17595" s="12"/>
      <c r="I17595" s="12"/>
      <c r="J17595" s="12"/>
      <c r="K17595" s="12"/>
      <c r="L17595" s="12"/>
      <c r="M17595" s="11"/>
      <c r="N17595" s="11"/>
      <c r="O17595" s="11"/>
      <c r="P17595" s="11"/>
    </row>
    <row r="17596" spans="8:16" x14ac:dyDescent="0.25">
      <c r="H17596" s="12"/>
      <c r="I17596" s="12"/>
      <c r="J17596" s="12"/>
      <c r="K17596" s="12"/>
      <c r="L17596" s="12"/>
      <c r="M17596" s="11"/>
      <c r="N17596" s="11"/>
      <c r="O17596" s="11"/>
      <c r="P17596" s="11"/>
    </row>
    <row r="17597" spans="8:16" x14ac:dyDescent="0.25">
      <c r="H17597" s="12"/>
      <c r="I17597" s="12"/>
      <c r="J17597" s="12"/>
      <c r="K17597" s="12"/>
      <c r="L17597" s="12"/>
      <c r="M17597" s="11"/>
      <c r="N17597" s="11"/>
      <c r="O17597" s="11"/>
      <c r="P17597" s="11"/>
    </row>
    <row r="17598" spans="8:16" x14ac:dyDescent="0.25">
      <c r="H17598" s="12"/>
      <c r="I17598" s="12"/>
      <c r="J17598" s="12"/>
      <c r="K17598" s="12"/>
      <c r="L17598" s="12"/>
      <c r="M17598" s="11"/>
      <c r="N17598" s="11"/>
      <c r="O17598" s="11"/>
      <c r="P17598" s="11"/>
    </row>
    <row r="17599" spans="8:16" x14ac:dyDescent="0.25">
      <c r="H17599" s="12"/>
      <c r="I17599" s="12"/>
      <c r="J17599" s="12"/>
      <c r="K17599" s="12"/>
      <c r="L17599" s="12"/>
      <c r="M17599" s="11"/>
      <c r="N17599" s="11"/>
      <c r="O17599" s="11"/>
      <c r="P17599" s="11"/>
    </row>
    <row r="17600" spans="8:16" x14ac:dyDescent="0.25">
      <c r="H17600" s="12"/>
      <c r="I17600" s="12"/>
      <c r="J17600" s="12"/>
      <c r="K17600" s="12"/>
      <c r="L17600" s="12"/>
      <c r="M17600" s="11"/>
      <c r="N17600" s="11"/>
      <c r="O17600" s="11"/>
      <c r="P17600" s="11"/>
    </row>
    <row r="17601" spans="8:16" x14ac:dyDescent="0.25">
      <c r="H17601" s="12"/>
      <c r="I17601" s="12"/>
      <c r="J17601" s="12"/>
      <c r="K17601" s="12"/>
      <c r="L17601" s="12"/>
      <c r="M17601" s="11"/>
      <c r="N17601" s="11"/>
      <c r="O17601" s="11"/>
      <c r="P17601" s="11"/>
    </row>
    <row r="17602" spans="8:16" x14ac:dyDescent="0.25">
      <c r="H17602" s="12"/>
      <c r="I17602" s="12"/>
      <c r="J17602" s="12"/>
      <c r="K17602" s="12"/>
      <c r="L17602" s="12"/>
      <c r="M17602" s="11"/>
      <c r="N17602" s="11"/>
      <c r="O17602" s="11"/>
      <c r="P17602" s="11"/>
    </row>
    <row r="17603" spans="8:16" x14ac:dyDescent="0.25">
      <c r="H17603" s="12"/>
      <c r="I17603" s="12"/>
      <c r="J17603" s="12"/>
      <c r="K17603" s="12"/>
      <c r="L17603" s="12"/>
      <c r="M17603" s="11"/>
      <c r="N17603" s="11"/>
      <c r="O17603" s="11"/>
      <c r="P17603" s="11"/>
    </row>
    <row r="17604" spans="8:16" x14ac:dyDescent="0.25">
      <c r="H17604" s="12"/>
      <c r="I17604" s="12"/>
      <c r="J17604" s="12"/>
      <c r="K17604" s="12"/>
      <c r="L17604" s="12"/>
      <c r="M17604" s="11"/>
      <c r="N17604" s="11"/>
      <c r="O17604" s="11"/>
      <c r="P17604" s="11"/>
    </row>
    <row r="17605" spans="8:16" x14ac:dyDescent="0.25">
      <c r="H17605" s="12"/>
      <c r="I17605" s="12"/>
      <c r="J17605" s="12"/>
      <c r="K17605" s="12"/>
      <c r="L17605" s="12"/>
      <c r="M17605" s="11"/>
      <c r="N17605" s="11"/>
      <c r="O17605" s="11"/>
      <c r="P17605" s="11"/>
    </row>
    <row r="17606" spans="8:16" x14ac:dyDescent="0.25">
      <c r="H17606" s="12"/>
      <c r="I17606" s="12"/>
      <c r="J17606" s="12"/>
      <c r="K17606" s="12"/>
      <c r="L17606" s="12"/>
      <c r="M17606" s="11"/>
      <c r="N17606" s="11"/>
      <c r="O17606" s="11"/>
      <c r="P17606" s="11"/>
    </row>
    <row r="17607" spans="8:16" x14ac:dyDescent="0.25">
      <c r="H17607" s="12"/>
      <c r="I17607" s="12"/>
      <c r="J17607" s="12"/>
      <c r="K17607" s="12"/>
      <c r="L17607" s="12"/>
      <c r="M17607" s="11"/>
      <c r="N17607" s="11"/>
      <c r="O17607" s="11"/>
      <c r="P17607" s="11"/>
    </row>
    <row r="17608" spans="8:16" x14ac:dyDescent="0.25">
      <c r="H17608" s="12"/>
      <c r="I17608" s="12"/>
      <c r="J17608" s="12"/>
      <c r="K17608" s="12"/>
      <c r="L17608" s="12"/>
      <c r="M17608" s="11"/>
      <c r="N17608" s="11"/>
      <c r="O17608" s="11"/>
      <c r="P17608" s="11"/>
    </row>
    <row r="17609" spans="8:16" x14ac:dyDescent="0.25">
      <c r="H17609" s="12"/>
      <c r="I17609" s="12"/>
      <c r="J17609" s="12"/>
      <c r="K17609" s="12"/>
      <c r="L17609" s="12"/>
      <c r="M17609" s="11"/>
      <c r="N17609" s="11"/>
      <c r="O17609" s="11"/>
      <c r="P17609" s="11"/>
    </row>
    <row r="17610" spans="8:16" x14ac:dyDescent="0.25">
      <c r="H17610" s="12"/>
      <c r="I17610" s="12"/>
      <c r="J17610" s="12"/>
      <c r="K17610" s="12"/>
      <c r="L17610" s="12"/>
      <c r="M17610" s="11"/>
      <c r="N17610" s="11"/>
      <c r="O17610" s="11"/>
      <c r="P17610" s="11"/>
    </row>
    <row r="17611" spans="8:16" x14ac:dyDescent="0.25">
      <c r="H17611" s="12"/>
      <c r="I17611" s="12"/>
      <c r="J17611" s="12"/>
      <c r="K17611" s="12"/>
      <c r="L17611" s="12"/>
      <c r="M17611" s="11"/>
      <c r="N17611" s="11"/>
      <c r="O17611" s="11"/>
      <c r="P17611" s="11"/>
    </row>
    <row r="17612" spans="8:16" x14ac:dyDescent="0.25">
      <c r="H17612" s="12"/>
      <c r="I17612" s="12"/>
      <c r="J17612" s="12"/>
      <c r="K17612" s="12"/>
      <c r="L17612" s="12"/>
      <c r="M17612" s="11"/>
      <c r="N17612" s="11"/>
      <c r="O17612" s="11"/>
      <c r="P17612" s="11"/>
    </row>
    <row r="17613" spans="8:16" x14ac:dyDescent="0.25">
      <c r="H17613" s="12"/>
      <c r="I17613" s="12"/>
      <c r="J17613" s="12"/>
      <c r="K17613" s="12"/>
      <c r="L17613" s="12"/>
      <c r="M17613" s="11"/>
      <c r="N17613" s="11"/>
      <c r="O17613" s="11"/>
      <c r="P17613" s="11"/>
    </row>
    <row r="17614" spans="8:16" x14ac:dyDescent="0.25">
      <c r="H17614" s="12"/>
      <c r="I17614" s="12"/>
      <c r="J17614" s="12"/>
      <c r="K17614" s="12"/>
      <c r="L17614" s="12"/>
      <c r="M17614" s="11"/>
      <c r="N17614" s="11"/>
      <c r="O17614" s="11"/>
      <c r="P17614" s="11"/>
    </row>
    <row r="17615" spans="8:16" x14ac:dyDescent="0.25">
      <c r="H17615" s="12"/>
      <c r="I17615" s="12"/>
      <c r="J17615" s="12"/>
      <c r="K17615" s="12"/>
      <c r="L17615" s="12"/>
      <c r="M17615" s="11"/>
      <c r="N17615" s="11"/>
      <c r="O17615" s="11"/>
      <c r="P17615" s="11"/>
    </row>
    <row r="17616" spans="8:16" x14ac:dyDescent="0.25">
      <c r="H17616" s="12"/>
      <c r="I17616" s="12"/>
      <c r="J17616" s="12"/>
      <c r="K17616" s="12"/>
      <c r="L17616" s="12"/>
      <c r="M17616" s="11"/>
      <c r="N17616" s="11"/>
      <c r="O17616" s="11"/>
      <c r="P17616" s="11"/>
    </row>
    <row r="17617" spans="8:16" x14ac:dyDescent="0.25">
      <c r="H17617" s="12"/>
      <c r="I17617" s="12"/>
      <c r="J17617" s="12"/>
      <c r="K17617" s="12"/>
      <c r="L17617" s="12"/>
      <c r="M17617" s="11"/>
      <c r="N17617" s="11"/>
      <c r="O17617" s="11"/>
      <c r="P17617" s="11"/>
    </row>
    <row r="17618" spans="8:16" x14ac:dyDescent="0.25">
      <c r="H17618" s="12"/>
      <c r="I17618" s="12"/>
      <c r="J17618" s="12"/>
      <c r="K17618" s="12"/>
      <c r="L17618" s="12"/>
      <c r="M17618" s="11"/>
      <c r="N17618" s="11"/>
      <c r="O17618" s="11"/>
      <c r="P17618" s="11"/>
    </row>
    <row r="17619" spans="8:16" x14ac:dyDescent="0.25">
      <c r="H17619" s="12"/>
      <c r="I17619" s="12"/>
      <c r="J17619" s="12"/>
      <c r="K17619" s="12"/>
      <c r="L17619" s="12"/>
      <c r="M17619" s="11"/>
      <c r="N17619" s="11"/>
      <c r="O17619" s="11"/>
      <c r="P17619" s="11"/>
    </row>
    <row r="17620" spans="8:16" x14ac:dyDescent="0.25">
      <c r="H17620" s="12"/>
      <c r="I17620" s="12"/>
      <c r="J17620" s="12"/>
      <c r="K17620" s="12"/>
      <c r="L17620" s="12"/>
      <c r="M17620" s="11"/>
      <c r="N17620" s="11"/>
      <c r="O17620" s="11"/>
      <c r="P17620" s="11"/>
    </row>
    <row r="17621" spans="8:16" x14ac:dyDescent="0.25">
      <c r="H17621" s="12"/>
      <c r="I17621" s="12"/>
      <c r="J17621" s="12"/>
      <c r="K17621" s="12"/>
      <c r="L17621" s="12"/>
      <c r="M17621" s="11"/>
      <c r="N17621" s="11"/>
      <c r="O17621" s="11"/>
      <c r="P17621" s="11"/>
    </row>
    <row r="17622" spans="8:16" x14ac:dyDescent="0.25">
      <c r="H17622" s="12"/>
      <c r="I17622" s="12"/>
      <c r="J17622" s="12"/>
      <c r="K17622" s="12"/>
      <c r="L17622" s="12"/>
      <c r="M17622" s="11"/>
      <c r="N17622" s="11"/>
      <c r="O17622" s="11"/>
      <c r="P17622" s="11"/>
    </row>
    <row r="17623" spans="8:16" x14ac:dyDescent="0.25">
      <c r="H17623" s="12"/>
      <c r="I17623" s="12"/>
      <c r="J17623" s="12"/>
      <c r="K17623" s="12"/>
      <c r="L17623" s="12"/>
      <c r="M17623" s="11"/>
      <c r="N17623" s="11"/>
      <c r="O17623" s="11"/>
      <c r="P17623" s="11"/>
    </row>
    <row r="17624" spans="8:16" x14ac:dyDescent="0.25">
      <c r="H17624" s="12"/>
      <c r="I17624" s="12"/>
      <c r="J17624" s="12"/>
      <c r="K17624" s="12"/>
      <c r="L17624" s="12"/>
      <c r="M17624" s="11"/>
      <c r="N17624" s="11"/>
      <c r="O17624" s="11"/>
      <c r="P17624" s="11"/>
    </row>
    <row r="17625" spans="8:16" x14ac:dyDescent="0.25">
      <c r="H17625" s="12"/>
      <c r="I17625" s="12"/>
      <c r="J17625" s="12"/>
      <c r="K17625" s="12"/>
      <c r="L17625" s="12"/>
      <c r="M17625" s="11"/>
      <c r="N17625" s="11"/>
      <c r="O17625" s="11"/>
      <c r="P17625" s="11"/>
    </row>
    <row r="17626" spans="8:16" x14ac:dyDescent="0.25">
      <c r="H17626" s="12"/>
      <c r="I17626" s="12"/>
      <c r="J17626" s="12"/>
      <c r="K17626" s="12"/>
      <c r="L17626" s="12"/>
      <c r="M17626" s="11"/>
      <c r="N17626" s="11"/>
      <c r="O17626" s="11"/>
      <c r="P17626" s="11"/>
    </row>
    <row r="17627" spans="8:16" x14ac:dyDescent="0.25">
      <c r="H17627" s="12"/>
      <c r="I17627" s="12"/>
      <c r="J17627" s="12"/>
      <c r="K17627" s="12"/>
      <c r="L17627" s="12"/>
      <c r="M17627" s="11"/>
      <c r="N17627" s="11"/>
      <c r="O17627" s="11"/>
      <c r="P17627" s="11"/>
    </row>
    <row r="17628" spans="8:16" x14ac:dyDescent="0.25">
      <c r="H17628" s="12"/>
      <c r="I17628" s="12"/>
      <c r="J17628" s="12"/>
      <c r="K17628" s="12"/>
      <c r="L17628" s="12"/>
      <c r="M17628" s="11"/>
      <c r="N17628" s="11"/>
      <c r="O17628" s="11"/>
      <c r="P17628" s="11"/>
    </row>
    <row r="17629" spans="8:16" x14ac:dyDescent="0.25">
      <c r="H17629" s="12"/>
      <c r="I17629" s="12"/>
      <c r="J17629" s="12"/>
      <c r="K17629" s="12"/>
      <c r="L17629" s="12"/>
      <c r="M17629" s="11"/>
      <c r="N17629" s="11"/>
      <c r="O17629" s="11"/>
      <c r="P17629" s="11"/>
    </row>
    <row r="17630" spans="8:16" x14ac:dyDescent="0.25">
      <c r="H17630" s="12"/>
      <c r="I17630" s="12"/>
      <c r="J17630" s="12"/>
      <c r="K17630" s="12"/>
      <c r="L17630" s="12"/>
      <c r="M17630" s="11"/>
      <c r="N17630" s="11"/>
      <c r="O17630" s="11"/>
      <c r="P17630" s="11"/>
    </row>
    <row r="17631" spans="8:16" x14ac:dyDescent="0.25">
      <c r="H17631" s="12"/>
      <c r="I17631" s="12"/>
      <c r="J17631" s="12"/>
      <c r="K17631" s="12"/>
      <c r="L17631" s="12"/>
      <c r="M17631" s="11"/>
      <c r="N17631" s="11"/>
      <c r="O17631" s="11"/>
      <c r="P17631" s="11"/>
    </row>
    <row r="17632" spans="8:16" x14ac:dyDescent="0.25">
      <c r="H17632" s="12"/>
      <c r="I17632" s="12"/>
      <c r="J17632" s="12"/>
      <c r="K17632" s="12"/>
      <c r="L17632" s="12"/>
      <c r="M17632" s="11"/>
      <c r="N17632" s="11"/>
      <c r="O17632" s="11"/>
      <c r="P17632" s="11"/>
    </row>
    <row r="17633" spans="8:16" x14ac:dyDescent="0.25">
      <c r="H17633" s="12"/>
      <c r="I17633" s="12"/>
      <c r="J17633" s="12"/>
      <c r="K17633" s="12"/>
      <c r="L17633" s="12"/>
      <c r="M17633" s="11"/>
      <c r="N17633" s="11"/>
      <c r="O17633" s="11"/>
      <c r="P17633" s="11"/>
    </row>
    <row r="17634" spans="8:16" x14ac:dyDescent="0.25">
      <c r="H17634" s="12"/>
      <c r="I17634" s="12"/>
      <c r="J17634" s="12"/>
      <c r="K17634" s="12"/>
      <c r="L17634" s="12"/>
      <c r="M17634" s="11"/>
      <c r="N17634" s="11"/>
      <c r="O17634" s="11"/>
      <c r="P17634" s="11"/>
    </row>
    <row r="17635" spans="8:16" x14ac:dyDescent="0.25">
      <c r="H17635" s="12"/>
      <c r="I17635" s="12"/>
      <c r="J17635" s="12"/>
      <c r="K17635" s="12"/>
      <c r="L17635" s="12"/>
      <c r="M17635" s="11"/>
      <c r="N17635" s="11"/>
      <c r="O17635" s="11"/>
      <c r="P17635" s="11"/>
    </row>
    <row r="17636" spans="8:16" x14ac:dyDescent="0.25">
      <c r="H17636" s="12"/>
      <c r="I17636" s="12"/>
      <c r="J17636" s="12"/>
      <c r="K17636" s="12"/>
      <c r="L17636" s="12"/>
      <c r="M17636" s="11"/>
      <c r="N17636" s="11"/>
      <c r="O17636" s="11"/>
      <c r="P17636" s="11"/>
    </row>
    <row r="17637" spans="8:16" x14ac:dyDescent="0.25">
      <c r="H17637" s="12"/>
      <c r="I17637" s="12"/>
      <c r="J17637" s="12"/>
      <c r="K17637" s="12"/>
      <c r="L17637" s="12"/>
      <c r="M17637" s="11"/>
      <c r="N17637" s="11"/>
      <c r="O17637" s="11"/>
      <c r="P17637" s="11"/>
    </row>
    <row r="17638" spans="8:16" x14ac:dyDescent="0.25">
      <c r="H17638" s="12"/>
      <c r="I17638" s="12"/>
      <c r="J17638" s="12"/>
      <c r="K17638" s="12"/>
      <c r="L17638" s="12"/>
      <c r="M17638" s="11"/>
      <c r="N17638" s="11"/>
      <c r="O17638" s="11"/>
      <c r="P17638" s="11"/>
    </row>
    <row r="17639" spans="8:16" x14ac:dyDescent="0.25">
      <c r="H17639" s="12"/>
      <c r="I17639" s="12"/>
      <c r="J17639" s="12"/>
      <c r="K17639" s="12"/>
      <c r="L17639" s="12"/>
      <c r="M17639" s="11"/>
      <c r="N17639" s="11"/>
      <c r="O17639" s="11"/>
      <c r="P17639" s="11"/>
    </row>
    <row r="17640" spans="8:16" x14ac:dyDescent="0.25">
      <c r="H17640" s="12"/>
      <c r="I17640" s="12"/>
      <c r="J17640" s="12"/>
      <c r="K17640" s="12"/>
      <c r="L17640" s="12"/>
      <c r="M17640" s="11"/>
      <c r="N17640" s="11"/>
      <c r="O17640" s="11"/>
      <c r="P17640" s="11"/>
    </row>
    <row r="17641" spans="8:16" x14ac:dyDescent="0.25">
      <c r="H17641" s="12"/>
      <c r="I17641" s="12"/>
      <c r="J17641" s="12"/>
      <c r="K17641" s="12"/>
      <c r="L17641" s="12"/>
      <c r="M17641" s="11"/>
      <c r="N17641" s="11"/>
      <c r="O17641" s="11"/>
      <c r="P17641" s="11"/>
    </row>
    <row r="17642" spans="8:16" x14ac:dyDescent="0.25">
      <c r="H17642" s="12"/>
      <c r="I17642" s="12"/>
      <c r="J17642" s="12"/>
      <c r="K17642" s="12"/>
      <c r="L17642" s="12"/>
      <c r="M17642" s="11"/>
      <c r="N17642" s="11"/>
      <c r="O17642" s="11"/>
      <c r="P17642" s="11"/>
    </row>
    <row r="17643" spans="8:16" x14ac:dyDescent="0.25">
      <c r="H17643" s="12"/>
      <c r="I17643" s="12"/>
      <c r="J17643" s="12"/>
      <c r="K17643" s="12"/>
      <c r="L17643" s="12"/>
      <c r="M17643" s="11"/>
      <c r="N17643" s="11"/>
      <c r="O17643" s="11"/>
      <c r="P17643" s="11"/>
    </row>
    <row r="17644" spans="8:16" x14ac:dyDescent="0.25">
      <c r="H17644" s="12"/>
      <c r="I17644" s="12"/>
      <c r="J17644" s="12"/>
      <c r="K17644" s="12"/>
      <c r="L17644" s="12"/>
      <c r="M17644" s="11"/>
      <c r="N17644" s="11"/>
      <c r="O17644" s="11"/>
      <c r="P17644" s="11"/>
    </row>
    <row r="17645" spans="8:16" x14ac:dyDescent="0.25">
      <c r="H17645" s="12"/>
      <c r="I17645" s="12"/>
      <c r="J17645" s="12"/>
      <c r="K17645" s="12"/>
      <c r="L17645" s="12"/>
      <c r="M17645" s="11"/>
      <c r="N17645" s="11"/>
      <c r="O17645" s="11"/>
      <c r="P17645" s="11"/>
    </row>
    <row r="17646" spans="8:16" x14ac:dyDescent="0.25">
      <c r="H17646" s="12"/>
      <c r="I17646" s="12"/>
      <c r="J17646" s="12"/>
      <c r="K17646" s="12"/>
      <c r="L17646" s="12"/>
      <c r="M17646" s="11"/>
      <c r="N17646" s="11"/>
      <c r="O17646" s="11"/>
      <c r="P17646" s="11"/>
    </row>
    <row r="17647" spans="8:16" x14ac:dyDescent="0.25">
      <c r="H17647" s="12"/>
      <c r="I17647" s="12"/>
      <c r="J17647" s="12"/>
      <c r="K17647" s="12"/>
      <c r="L17647" s="12"/>
      <c r="M17647" s="11"/>
      <c r="N17647" s="11"/>
      <c r="O17647" s="11"/>
      <c r="P17647" s="11"/>
    </row>
    <row r="17648" spans="8:16" x14ac:dyDescent="0.25">
      <c r="H17648" s="12"/>
      <c r="I17648" s="12"/>
      <c r="J17648" s="12"/>
      <c r="K17648" s="12"/>
      <c r="L17648" s="12"/>
      <c r="M17648" s="11"/>
      <c r="N17648" s="11"/>
      <c r="O17648" s="11"/>
      <c r="P17648" s="11"/>
    </row>
    <row r="17649" spans="8:16" x14ac:dyDescent="0.25">
      <c r="H17649" s="12"/>
      <c r="I17649" s="12"/>
      <c r="J17649" s="12"/>
      <c r="K17649" s="12"/>
      <c r="L17649" s="12"/>
      <c r="M17649" s="11"/>
      <c r="N17649" s="11"/>
      <c r="O17649" s="11"/>
      <c r="P17649" s="11"/>
    </row>
    <row r="17650" spans="8:16" x14ac:dyDescent="0.25">
      <c r="H17650" s="12"/>
      <c r="I17650" s="12"/>
      <c r="J17650" s="12"/>
      <c r="K17650" s="12"/>
      <c r="L17650" s="12"/>
      <c r="M17650" s="11"/>
      <c r="N17650" s="11"/>
      <c r="O17650" s="11"/>
      <c r="P17650" s="11"/>
    </row>
    <row r="17651" spans="8:16" x14ac:dyDescent="0.25">
      <c r="H17651" s="12"/>
      <c r="I17651" s="12"/>
      <c r="J17651" s="12"/>
      <c r="K17651" s="12"/>
      <c r="L17651" s="12"/>
      <c r="M17651" s="11"/>
      <c r="N17651" s="11"/>
      <c r="O17651" s="11"/>
      <c r="P17651" s="11"/>
    </row>
    <row r="17652" spans="8:16" x14ac:dyDescent="0.25">
      <c r="H17652" s="12"/>
      <c r="I17652" s="12"/>
      <c r="J17652" s="12"/>
      <c r="K17652" s="12"/>
      <c r="L17652" s="12"/>
      <c r="M17652" s="11"/>
      <c r="N17652" s="11"/>
      <c r="O17652" s="11"/>
      <c r="P17652" s="11"/>
    </row>
    <row r="17653" spans="8:16" x14ac:dyDescent="0.25">
      <c r="H17653" s="12"/>
      <c r="I17653" s="12"/>
      <c r="J17653" s="12"/>
      <c r="K17653" s="12"/>
      <c r="L17653" s="12"/>
      <c r="M17653" s="11"/>
      <c r="N17653" s="11"/>
      <c r="O17653" s="11"/>
      <c r="P17653" s="11"/>
    </row>
    <row r="17654" spans="8:16" x14ac:dyDescent="0.25">
      <c r="H17654" s="12"/>
      <c r="I17654" s="12"/>
      <c r="J17654" s="12"/>
      <c r="K17654" s="12"/>
      <c r="L17654" s="12"/>
      <c r="M17654" s="11"/>
      <c r="N17654" s="11"/>
      <c r="O17654" s="11"/>
      <c r="P17654" s="11"/>
    </row>
    <row r="17655" spans="8:16" x14ac:dyDescent="0.25">
      <c r="H17655" s="12"/>
      <c r="I17655" s="12"/>
      <c r="J17655" s="12"/>
      <c r="K17655" s="12"/>
      <c r="L17655" s="12"/>
      <c r="M17655" s="11"/>
      <c r="N17655" s="11"/>
      <c r="O17655" s="11"/>
      <c r="P17655" s="11"/>
    </row>
    <row r="17656" spans="8:16" x14ac:dyDescent="0.25">
      <c r="H17656" s="12"/>
      <c r="I17656" s="12"/>
      <c r="J17656" s="12"/>
      <c r="K17656" s="12"/>
      <c r="L17656" s="12"/>
      <c r="M17656" s="11"/>
      <c r="N17656" s="11"/>
      <c r="O17656" s="11"/>
      <c r="P17656" s="11"/>
    </row>
    <row r="17657" spans="8:16" x14ac:dyDescent="0.25">
      <c r="H17657" s="12"/>
      <c r="I17657" s="12"/>
      <c r="J17657" s="12"/>
      <c r="K17657" s="12"/>
      <c r="L17657" s="12"/>
      <c r="M17657" s="11"/>
      <c r="N17657" s="11"/>
      <c r="O17657" s="11"/>
      <c r="P17657" s="11"/>
    </row>
    <row r="17658" spans="8:16" x14ac:dyDescent="0.25">
      <c r="H17658" s="12"/>
      <c r="I17658" s="12"/>
      <c r="J17658" s="12"/>
      <c r="K17658" s="12"/>
      <c r="L17658" s="12"/>
      <c r="M17658" s="11"/>
      <c r="N17658" s="11"/>
      <c r="O17658" s="11"/>
      <c r="P17658" s="11"/>
    </row>
    <row r="17659" spans="8:16" x14ac:dyDescent="0.25">
      <c r="H17659" s="12"/>
      <c r="I17659" s="12"/>
      <c r="J17659" s="12"/>
      <c r="K17659" s="12"/>
      <c r="L17659" s="12"/>
      <c r="M17659" s="11"/>
      <c r="N17659" s="11"/>
      <c r="O17659" s="11"/>
      <c r="P17659" s="11"/>
    </row>
    <row r="17660" spans="8:16" x14ac:dyDescent="0.25">
      <c r="H17660" s="12"/>
      <c r="I17660" s="12"/>
      <c r="J17660" s="12"/>
      <c r="K17660" s="12"/>
      <c r="L17660" s="12"/>
      <c r="M17660" s="11"/>
      <c r="N17660" s="11"/>
      <c r="O17660" s="11"/>
      <c r="P17660" s="11"/>
    </row>
    <row r="17661" spans="8:16" x14ac:dyDescent="0.25">
      <c r="H17661" s="12"/>
      <c r="I17661" s="12"/>
      <c r="J17661" s="12"/>
      <c r="K17661" s="12"/>
      <c r="L17661" s="12"/>
      <c r="M17661" s="11"/>
      <c r="N17661" s="11"/>
      <c r="O17661" s="11"/>
      <c r="P17661" s="11"/>
    </row>
    <row r="17662" spans="8:16" x14ac:dyDescent="0.25">
      <c r="H17662" s="12"/>
      <c r="I17662" s="12"/>
      <c r="J17662" s="12"/>
      <c r="K17662" s="12"/>
      <c r="L17662" s="12"/>
      <c r="M17662" s="11"/>
      <c r="N17662" s="11"/>
      <c r="O17662" s="11"/>
      <c r="P17662" s="11"/>
    </row>
    <row r="17663" spans="8:16" x14ac:dyDescent="0.25">
      <c r="H17663" s="12"/>
      <c r="I17663" s="12"/>
      <c r="J17663" s="12"/>
      <c r="K17663" s="12"/>
      <c r="L17663" s="12"/>
      <c r="M17663" s="11"/>
      <c r="N17663" s="11"/>
      <c r="O17663" s="11"/>
      <c r="P17663" s="11"/>
    </row>
    <row r="17664" spans="8:16" x14ac:dyDescent="0.25">
      <c r="H17664" s="12"/>
      <c r="I17664" s="12"/>
      <c r="J17664" s="12"/>
      <c r="K17664" s="12"/>
      <c r="L17664" s="12"/>
      <c r="M17664" s="11"/>
      <c r="N17664" s="11"/>
      <c r="O17664" s="11"/>
      <c r="P17664" s="11"/>
    </row>
    <row r="17665" spans="8:16" x14ac:dyDescent="0.25">
      <c r="H17665" s="12"/>
      <c r="I17665" s="12"/>
      <c r="J17665" s="12"/>
      <c r="K17665" s="12"/>
      <c r="L17665" s="12"/>
      <c r="M17665" s="11"/>
      <c r="N17665" s="11"/>
      <c r="O17665" s="11"/>
      <c r="P17665" s="11"/>
    </row>
    <row r="17666" spans="8:16" x14ac:dyDescent="0.25">
      <c r="H17666" s="12"/>
      <c r="I17666" s="12"/>
      <c r="J17666" s="12"/>
      <c r="K17666" s="12"/>
      <c r="L17666" s="12"/>
      <c r="M17666" s="11"/>
      <c r="N17666" s="11"/>
      <c r="O17666" s="11"/>
      <c r="P17666" s="11"/>
    </row>
    <row r="17667" spans="8:16" x14ac:dyDescent="0.25">
      <c r="H17667" s="12"/>
      <c r="I17667" s="12"/>
      <c r="J17667" s="12"/>
      <c r="K17667" s="12"/>
      <c r="L17667" s="12"/>
      <c r="M17667" s="11"/>
      <c r="N17667" s="11"/>
      <c r="O17667" s="11"/>
      <c r="P17667" s="11"/>
    </row>
    <row r="17668" spans="8:16" x14ac:dyDescent="0.25">
      <c r="H17668" s="12"/>
      <c r="I17668" s="12"/>
      <c r="J17668" s="12"/>
      <c r="K17668" s="12"/>
      <c r="L17668" s="12"/>
      <c r="M17668" s="11"/>
      <c r="N17668" s="11"/>
      <c r="O17668" s="11"/>
      <c r="P17668" s="11"/>
    </row>
    <row r="17669" spans="8:16" x14ac:dyDescent="0.25">
      <c r="H17669" s="12"/>
      <c r="I17669" s="12"/>
      <c r="J17669" s="12"/>
      <c r="K17669" s="12"/>
      <c r="L17669" s="12"/>
      <c r="M17669" s="11"/>
      <c r="N17669" s="11"/>
      <c r="O17669" s="11"/>
      <c r="P17669" s="11"/>
    </row>
    <row r="17670" spans="8:16" x14ac:dyDescent="0.25">
      <c r="H17670" s="12"/>
      <c r="I17670" s="12"/>
      <c r="J17670" s="12"/>
      <c r="K17670" s="12"/>
      <c r="L17670" s="12"/>
      <c r="M17670" s="11"/>
      <c r="N17670" s="11"/>
      <c r="O17670" s="11"/>
      <c r="P17670" s="11"/>
    </row>
    <row r="17671" spans="8:16" x14ac:dyDescent="0.25">
      <c r="H17671" s="12"/>
      <c r="I17671" s="12"/>
      <c r="J17671" s="12"/>
      <c r="K17671" s="12"/>
      <c r="L17671" s="12"/>
      <c r="M17671" s="11"/>
      <c r="N17671" s="11"/>
      <c r="O17671" s="11"/>
      <c r="P17671" s="11"/>
    </row>
    <row r="17672" spans="8:16" x14ac:dyDescent="0.25">
      <c r="H17672" s="12"/>
      <c r="I17672" s="12"/>
      <c r="J17672" s="12"/>
      <c r="K17672" s="12"/>
      <c r="L17672" s="12"/>
      <c r="M17672" s="11"/>
      <c r="N17672" s="11"/>
      <c r="O17672" s="11"/>
      <c r="P17672" s="11"/>
    </row>
    <row r="17673" spans="8:16" x14ac:dyDescent="0.25">
      <c r="H17673" s="12"/>
      <c r="I17673" s="12"/>
      <c r="J17673" s="12"/>
      <c r="K17673" s="12"/>
      <c r="L17673" s="12"/>
      <c r="M17673" s="11"/>
      <c r="N17673" s="11"/>
      <c r="O17673" s="11"/>
      <c r="P17673" s="11"/>
    </row>
    <row r="17674" spans="8:16" x14ac:dyDescent="0.25">
      <c r="H17674" s="12"/>
      <c r="I17674" s="12"/>
      <c r="J17674" s="12"/>
      <c r="K17674" s="12"/>
      <c r="L17674" s="12"/>
      <c r="M17674" s="11"/>
      <c r="N17674" s="11"/>
      <c r="O17674" s="11"/>
      <c r="P17674" s="11"/>
    </row>
    <row r="17675" spans="8:16" x14ac:dyDescent="0.25">
      <c r="H17675" s="12"/>
      <c r="I17675" s="12"/>
      <c r="J17675" s="12"/>
      <c r="K17675" s="12"/>
      <c r="L17675" s="12"/>
      <c r="M17675" s="11"/>
      <c r="N17675" s="11"/>
      <c r="O17675" s="11"/>
      <c r="P17675" s="11"/>
    </row>
    <row r="17676" spans="8:16" x14ac:dyDescent="0.25">
      <c r="H17676" s="12"/>
      <c r="I17676" s="12"/>
      <c r="J17676" s="12"/>
      <c r="K17676" s="12"/>
      <c r="L17676" s="12"/>
      <c r="M17676" s="11"/>
      <c r="N17676" s="11"/>
      <c r="O17676" s="11"/>
      <c r="P17676" s="11"/>
    </row>
    <row r="17677" spans="8:16" x14ac:dyDescent="0.25">
      <c r="H17677" s="12"/>
      <c r="I17677" s="12"/>
      <c r="J17677" s="12"/>
      <c r="K17677" s="12"/>
      <c r="L17677" s="12"/>
      <c r="M17677" s="11"/>
      <c r="N17677" s="11"/>
      <c r="O17677" s="11"/>
      <c r="P17677" s="11"/>
    </row>
    <row r="17678" spans="8:16" x14ac:dyDescent="0.25">
      <c r="H17678" s="12"/>
      <c r="I17678" s="12"/>
      <c r="J17678" s="12"/>
      <c r="K17678" s="12"/>
      <c r="L17678" s="12"/>
      <c r="M17678" s="11"/>
      <c r="N17678" s="11"/>
      <c r="O17678" s="11"/>
      <c r="P17678" s="11"/>
    </row>
    <row r="17679" spans="8:16" x14ac:dyDescent="0.25">
      <c r="H17679" s="12"/>
      <c r="I17679" s="12"/>
      <c r="J17679" s="12"/>
      <c r="K17679" s="12"/>
      <c r="L17679" s="12"/>
      <c r="M17679" s="11"/>
      <c r="N17679" s="11"/>
      <c r="O17679" s="11"/>
      <c r="P17679" s="11"/>
    </row>
    <row r="17680" spans="8:16" x14ac:dyDescent="0.25">
      <c r="H17680" s="12"/>
      <c r="I17680" s="12"/>
      <c r="J17680" s="12"/>
      <c r="K17680" s="12"/>
      <c r="L17680" s="12"/>
      <c r="M17680" s="11"/>
      <c r="N17680" s="11"/>
      <c r="O17680" s="11"/>
      <c r="P17680" s="11"/>
    </row>
    <row r="17681" spans="8:16" x14ac:dyDescent="0.25">
      <c r="H17681" s="12"/>
      <c r="I17681" s="12"/>
      <c r="J17681" s="12"/>
      <c r="K17681" s="12"/>
      <c r="L17681" s="12"/>
      <c r="M17681" s="11"/>
      <c r="N17681" s="11"/>
      <c r="O17681" s="11"/>
      <c r="P17681" s="11"/>
    </row>
    <row r="17682" spans="8:16" x14ac:dyDescent="0.25">
      <c r="H17682" s="12"/>
      <c r="I17682" s="12"/>
      <c r="J17682" s="12"/>
      <c r="K17682" s="12"/>
      <c r="L17682" s="12"/>
      <c r="M17682" s="11"/>
      <c r="N17682" s="11"/>
      <c r="O17682" s="11"/>
      <c r="P17682" s="11"/>
    </row>
    <row r="17683" spans="8:16" x14ac:dyDescent="0.25">
      <c r="H17683" s="12"/>
      <c r="I17683" s="12"/>
      <c r="J17683" s="12"/>
      <c r="K17683" s="12"/>
      <c r="L17683" s="12"/>
      <c r="M17683" s="11"/>
      <c r="N17683" s="11"/>
      <c r="O17683" s="11"/>
      <c r="P17683" s="11"/>
    </row>
    <row r="17684" spans="8:16" x14ac:dyDescent="0.25">
      <c r="H17684" s="12"/>
      <c r="I17684" s="12"/>
      <c r="J17684" s="12"/>
      <c r="K17684" s="12"/>
      <c r="L17684" s="12"/>
      <c r="M17684" s="11"/>
      <c r="N17684" s="11"/>
      <c r="O17684" s="11"/>
      <c r="P17684" s="11"/>
    </row>
    <row r="17685" spans="8:16" x14ac:dyDescent="0.25">
      <c r="H17685" s="12"/>
      <c r="I17685" s="12"/>
      <c r="J17685" s="12"/>
      <c r="K17685" s="12"/>
      <c r="L17685" s="12"/>
      <c r="M17685" s="11"/>
      <c r="N17685" s="11"/>
      <c r="O17685" s="11"/>
      <c r="P17685" s="11"/>
    </row>
    <row r="17686" spans="8:16" x14ac:dyDescent="0.25">
      <c r="H17686" s="12"/>
      <c r="I17686" s="12"/>
      <c r="J17686" s="12"/>
      <c r="K17686" s="12"/>
      <c r="L17686" s="12"/>
      <c r="M17686" s="11"/>
      <c r="N17686" s="11"/>
      <c r="O17686" s="11"/>
      <c r="P17686" s="11"/>
    </row>
    <row r="17687" spans="8:16" x14ac:dyDescent="0.25">
      <c r="H17687" s="12"/>
      <c r="I17687" s="12"/>
      <c r="J17687" s="12"/>
      <c r="K17687" s="12"/>
      <c r="L17687" s="12"/>
      <c r="M17687" s="11"/>
      <c r="N17687" s="11"/>
      <c r="O17687" s="11"/>
      <c r="P17687" s="11"/>
    </row>
    <row r="17688" spans="8:16" x14ac:dyDescent="0.25">
      <c r="H17688" s="12"/>
      <c r="I17688" s="12"/>
      <c r="J17688" s="12"/>
      <c r="K17688" s="12"/>
      <c r="L17688" s="12"/>
      <c r="M17688" s="11"/>
      <c r="N17688" s="11"/>
      <c r="O17688" s="11"/>
      <c r="P17688" s="11"/>
    </row>
    <row r="17689" spans="8:16" x14ac:dyDescent="0.25">
      <c r="H17689" s="12"/>
      <c r="I17689" s="12"/>
      <c r="J17689" s="12"/>
      <c r="K17689" s="12"/>
      <c r="L17689" s="12"/>
      <c r="M17689" s="11"/>
      <c r="N17689" s="11"/>
      <c r="O17689" s="11"/>
      <c r="P17689" s="11"/>
    </row>
    <row r="17690" spans="8:16" x14ac:dyDescent="0.25">
      <c r="H17690" s="12"/>
      <c r="I17690" s="12"/>
      <c r="J17690" s="12"/>
      <c r="K17690" s="12"/>
      <c r="L17690" s="12"/>
      <c r="M17690" s="11"/>
      <c r="N17690" s="11"/>
      <c r="O17690" s="11"/>
      <c r="P17690" s="11"/>
    </row>
    <row r="17691" spans="8:16" x14ac:dyDescent="0.25">
      <c r="H17691" s="12"/>
      <c r="I17691" s="12"/>
      <c r="J17691" s="12"/>
      <c r="K17691" s="12"/>
      <c r="L17691" s="12"/>
      <c r="M17691" s="11"/>
      <c r="N17691" s="11"/>
      <c r="O17691" s="11"/>
      <c r="P17691" s="11"/>
    </row>
    <row r="17692" spans="8:16" x14ac:dyDescent="0.25">
      <c r="H17692" s="12"/>
      <c r="I17692" s="12"/>
      <c r="J17692" s="12"/>
      <c r="K17692" s="12"/>
      <c r="L17692" s="12"/>
      <c r="M17692" s="11"/>
      <c r="N17692" s="11"/>
      <c r="O17692" s="11"/>
      <c r="P17692" s="11"/>
    </row>
    <row r="17693" spans="8:16" x14ac:dyDescent="0.25">
      <c r="H17693" s="12"/>
      <c r="I17693" s="12"/>
      <c r="J17693" s="12"/>
      <c r="K17693" s="12"/>
      <c r="L17693" s="12"/>
      <c r="M17693" s="11"/>
      <c r="N17693" s="11"/>
      <c r="O17693" s="11"/>
      <c r="P17693" s="11"/>
    </row>
    <row r="17694" spans="8:16" x14ac:dyDescent="0.25">
      <c r="H17694" s="12"/>
      <c r="I17694" s="12"/>
      <c r="J17694" s="12"/>
      <c r="K17694" s="12"/>
      <c r="L17694" s="12"/>
      <c r="M17694" s="11"/>
      <c r="N17694" s="11"/>
      <c r="O17694" s="11"/>
      <c r="P17694" s="11"/>
    </row>
    <row r="17695" spans="8:16" x14ac:dyDescent="0.25">
      <c r="H17695" s="12"/>
      <c r="I17695" s="12"/>
      <c r="J17695" s="12"/>
      <c r="K17695" s="12"/>
      <c r="L17695" s="12"/>
      <c r="M17695" s="11"/>
      <c r="N17695" s="11"/>
      <c r="O17695" s="11"/>
      <c r="P17695" s="11"/>
    </row>
    <row r="17696" spans="8:16" x14ac:dyDescent="0.25">
      <c r="H17696" s="12"/>
      <c r="I17696" s="12"/>
      <c r="J17696" s="12"/>
      <c r="K17696" s="12"/>
      <c r="L17696" s="12"/>
      <c r="M17696" s="11"/>
      <c r="N17696" s="11"/>
      <c r="O17696" s="11"/>
      <c r="P17696" s="11"/>
    </row>
    <row r="17697" spans="8:16" x14ac:dyDescent="0.25">
      <c r="H17697" s="12"/>
      <c r="I17697" s="12"/>
      <c r="J17697" s="12"/>
      <c r="K17697" s="12"/>
      <c r="L17697" s="12"/>
      <c r="M17697" s="11"/>
      <c r="N17697" s="11"/>
      <c r="O17697" s="11"/>
      <c r="P17697" s="11"/>
    </row>
    <row r="17698" spans="8:16" x14ac:dyDescent="0.25">
      <c r="H17698" s="12"/>
      <c r="I17698" s="12"/>
      <c r="J17698" s="12"/>
      <c r="K17698" s="12"/>
      <c r="L17698" s="12"/>
      <c r="M17698" s="11"/>
      <c r="N17698" s="11"/>
      <c r="O17698" s="11"/>
      <c r="P17698" s="11"/>
    </row>
    <row r="17699" spans="8:16" x14ac:dyDescent="0.25">
      <c r="H17699" s="12"/>
      <c r="I17699" s="12"/>
      <c r="J17699" s="12"/>
      <c r="K17699" s="12"/>
      <c r="L17699" s="12"/>
      <c r="M17699" s="11"/>
      <c r="N17699" s="11"/>
      <c r="O17699" s="11"/>
      <c r="P17699" s="11"/>
    </row>
    <row r="17700" spans="8:16" x14ac:dyDescent="0.25">
      <c r="H17700" s="12"/>
      <c r="I17700" s="12"/>
      <c r="J17700" s="12"/>
      <c r="K17700" s="12"/>
      <c r="L17700" s="12"/>
      <c r="M17700" s="11"/>
      <c r="N17700" s="11"/>
      <c r="O17700" s="11"/>
      <c r="P17700" s="11"/>
    </row>
    <row r="17701" spans="8:16" x14ac:dyDescent="0.25">
      <c r="H17701" s="12"/>
      <c r="I17701" s="12"/>
      <c r="J17701" s="12"/>
      <c r="K17701" s="12"/>
      <c r="L17701" s="12"/>
      <c r="M17701" s="11"/>
      <c r="N17701" s="11"/>
      <c r="O17701" s="11"/>
      <c r="P17701" s="11"/>
    </row>
    <row r="17702" spans="8:16" x14ac:dyDescent="0.25">
      <c r="H17702" s="12"/>
      <c r="I17702" s="12"/>
      <c r="J17702" s="12"/>
      <c r="K17702" s="12"/>
      <c r="L17702" s="12"/>
      <c r="M17702" s="11"/>
      <c r="N17702" s="11"/>
      <c r="O17702" s="11"/>
      <c r="P17702" s="11"/>
    </row>
    <row r="17703" spans="8:16" x14ac:dyDescent="0.25">
      <c r="H17703" s="12"/>
      <c r="I17703" s="12"/>
      <c r="J17703" s="12"/>
      <c r="K17703" s="12"/>
      <c r="L17703" s="12"/>
      <c r="M17703" s="11"/>
      <c r="N17703" s="11"/>
      <c r="O17703" s="11"/>
      <c r="P17703" s="11"/>
    </row>
    <row r="17704" spans="8:16" x14ac:dyDescent="0.25">
      <c r="H17704" s="12"/>
      <c r="I17704" s="12"/>
      <c r="J17704" s="12"/>
      <c r="K17704" s="12"/>
      <c r="L17704" s="12"/>
      <c r="M17704" s="11"/>
      <c r="N17704" s="11"/>
      <c r="O17704" s="11"/>
      <c r="P17704" s="11"/>
    </row>
    <row r="17705" spans="8:16" x14ac:dyDescent="0.25">
      <c r="H17705" s="12"/>
      <c r="I17705" s="12"/>
      <c r="J17705" s="12"/>
      <c r="K17705" s="12"/>
      <c r="L17705" s="12"/>
      <c r="M17705" s="11"/>
      <c r="N17705" s="11"/>
      <c r="O17705" s="11"/>
      <c r="P17705" s="11"/>
    </row>
    <row r="17706" spans="8:16" x14ac:dyDescent="0.25">
      <c r="H17706" s="12"/>
      <c r="I17706" s="12"/>
      <c r="J17706" s="12"/>
      <c r="K17706" s="12"/>
      <c r="L17706" s="12"/>
      <c r="M17706" s="11"/>
      <c r="N17706" s="11"/>
      <c r="O17706" s="11"/>
      <c r="P17706" s="11"/>
    </row>
    <row r="17707" spans="8:16" x14ac:dyDescent="0.25">
      <c r="H17707" s="12"/>
      <c r="I17707" s="12"/>
      <c r="J17707" s="12"/>
      <c r="K17707" s="12"/>
      <c r="L17707" s="12"/>
      <c r="M17707" s="11"/>
      <c r="N17707" s="11"/>
      <c r="O17707" s="11"/>
      <c r="P17707" s="11"/>
    </row>
    <row r="17708" spans="8:16" x14ac:dyDescent="0.25">
      <c r="H17708" s="12"/>
      <c r="I17708" s="12"/>
      <c r="J17708" s="12"/>
      <c r="K17708" s="12"/>
      <c r="L17708" s="12"/>
      <c r="M17708" s="11"/>
      <c r="N17708" s="11"/>
      <c r="O17708" s="11"/>
      <c r="P17708" s="11"/>
    </row>
    <row r="17709" spans="8:16" x14ac:dyDescent="0.25">
      <c r="H17709" s="12"/>
      <c r="I17709" s="12"/>
      <c r="J17709" s="12"/>
      <c r="K17709" s="12"/>
      <c r="L17709" s="12"/>
      <c r="M17709" s="11"/>
      <c r="N17709" s="11"/>
      <c r="O17709" s="11"/>
      <c r="P17709" s="11"/>
    </row>
    <row r="17710" spans="8:16" x14ac:dyDescent="0.25">
      <c r="H17710" s="12"/>
      <c r="I17710" s="12"/>
      <c r="J17710" s="12"/>
      <c r="K17710" s="12"/>
      <c r="L17710" s="12"/>
      <c r="M17710" s="11"/>
      <c r="N17710" s="11"/>
      <c r="O17710" s="11"/>
      <c r="P17710" s="11"/>
    </row>
    <row r="17711" spans="8:16" x14ac:dyDescent="0.25">
      <c r="H17711" s="12"/>
      <c r="I17711" s="12"/>
      <c r="J17711" s="12"/>
      <c r="K17711" s="12"/>
      <c r="L17711" s="12"/>
      <c r="M17711" s="11"/>
      <c r="N17711" s="11"/>
      <c r="O17711" s="11"/>
      <c r="P17711" s="11"/>
    </row>
    <row r="17712" spans="8:16" x14ac:dyDescent="0.25">
      <c r="H17712" s="12"/>
      <c r="I17712" s="12"/>
      <c r="J17712" s="12"/>
      <c r="K17712" s="12"/>
      <c r="L17712" s="12"/>
      <c r="M17712" s="11"/>
      <c r="N17712" s="11"/>
      <c r="O17712" s="11"/>
      <c r="P17712" s="11"/>
    </row>
    <row r="17713" spans="8:16" x14ac:dyDescent="0.25">
      <c r="H17713" s="12"/>
      <c r="I17713" s="12"/>
      <c r="J17713" s="12"/>
      <c r="K17713" s="12"/>
      <c r="L17713" s="12"/>
      <c r="M17713" s="11"/>
      <c r="N17713" s="11"/>
      <c r="O17713" s="11"/>
      <c r="P17713" s="11"/>
    </row>
    <row r="17714" spans="8:16" x14ac:dyDescent="0.25">
      <c r="H17714" s="12"/>
      <c r="I17714" s="12"/>
      <c r="J17714" s="12"/>
      <c r="K17714" s="12"/>
      <c r="L17714" s="12"/>
      <c r="M17714" s="11"/>
      <c r="N17714" s="11"/>
      <c r="O17714" s="11"/>
      <c r="P17714" s="11"/>
    </row>
    <row r="17715" spans="8:16" x14ac:dyDescent="0.25">
      <c r="H17715" s="12"/>
      <c r="I17715" s="12"/>
      <c r="J17715" s="12"/>
      <c r="K17715" s="12"/>
      <c r="L17715" s="12"/>
      <c r="M17715" s="11"/>
      <c r="N17715" s="11"/>
      <c r="O17715" s="11"/>
      <c r="P17715" s="11"/>
    </row>
    <row r="17716" spans="8:16" x14ac:dyDescent="0.25">
      <c r="H17716" s="12"/>
      <c r="I17716" s="12"/>
      <c r="J17716" s="12"/>
      <c r="K17716" s="12"/>
      <c r="L17716" s="12"/>
      <c r="M17716" s="11"/>
      <c r="N17716" s="11"/>
      <c r="O17716" s="11"/>
      <c r="P17716" s="11"/>
    </row>
    <row r="17717" spans="8:16" x14ac:dyDescent="0.25">
      <c r="H17717" s="12"/>
      <c r="I17717" s="12"/>
      <c r="J17717" s="12"/>
      <c r="K17717" s="12"/>
      <c r="L17717" s="12"/>
      <c r="M17717" s="11"/>
      <c r="N17717" s="11"/>
      <c r="O17717" s="11"/>
      <c r="P17717" s="11"/>
    </row>
    <row r="17718" spans="8:16" x14ac:dyDescent="0.25">
      <c r="H17718" s="12"/>
      <c r="I17718" s="12"/>
      <c r="J17718" s="12"/>
      <c r="K17718" s="12"/>
      <c r="L17718" s="12"/>
      <c r="M17718" s="11"/>
      <c r="N17718" s="11"/>
      <c r="O17718" s="11"/>
      <c r="P17718" s="11"/>
    </row>
    <row r="17719" spans="8:16" x14ac:dyDescent="0.25">
      <c r="H17719" s="12"/>
      <c r="I17719" s="12"/>
      <c r="J17719" s="12"/>
      <c r="K17719" s="12"/>
      <c r="L17719" s="12"/>
      <c r="M17719" s="11"/>
      <c r="N17719" s="11"/>
      <c r="O17719" s="11"/>
      <c r="P17719" s="11"/>
    </row>
    <row r="17720" spans="8:16" x14ac:dyDescent="0.25">
      <c r="H17720" s="12"/>
      <c r="I17720" s="12"/>
      <c r="J17720" s="12"/>
      <c r="K17720" s="12"/>
      <c r="L17720" s="12"/>
      <c r="M17720" s="11"/>
      <c r="N17720" s="11"/>
      <c r="O17720" s="11"/>
      <c r="P17720" s="11"/>
    </row>
    <row r="17721" spans="8:16" x14ac:dyDescent="0.25">
      <c r="H17721" s="12"/>
      <c r="I17721" s="12"/>
      <c r="J17721" s="12"/>
      <c r="K17721" s="12"/>
      <c r="L17721" s="12"/>
      <c r="M17721" s="11"/>
      <c r="N17721" s="11"/>
      <c r="O17721" s="11"/>
      <c r="P17721" s="11"/>
    </row>
    <row r="17722" spans="8:16" x14ac:dyDescent="0.25">
      <c r="H17722" s="12"/>
      <c r="I17722" s="12"/>
      <c r="J17722" s="12"/>
      <c r="K17722" s="12"/>
      <c r="L17722" s="12"/>
      <c r="M17722" s="11"/>
      <c r="N17722" s="11"/>
      <c r="O17722" s="11"/>
      <c r="P17722" s="11"/>
    </row>
    <row r="17723" spans="8:16" x14ac:dyDescent="0.25">
      <c r="H17723" s="12"/>
      <c r="I17723" s="12"/>
      <c r="J17723" s="12"/>
      <c r="K17723" s="12"/>
      <c r="L17723" s="12"/>
      <c r="M17723" s="11"/>
      <c r="N17723" s="11"/>
      <c r="O17723" s="11"/>
      <c r="P17723" s="11"/>
    </row>
    <row r="17724" spans="8:16" x14ac:dyDescent="0.25">
      <c r="H17724" s="12"/>
      <c r="I17724" s="12"/>
      <c r="J17724" s="12"/>
      <c r="K17724" s="12"/>
      <c r="L17724" s="12"/>
      <c r="M17724" s="11"/>
      <c r="N17724" s="11"/>
      <c r="O17724" s="11"/>
      <c r="P17724" s="11"/>
    </row>
    <row r="17725" spans="8:16" x14ac:dyDescent="0.25">
      <c r="H17725" s="12"/>
      <c r="I17725" s="12"/>
      <c r="J17725" s="12"/>
      <c r="K17725" s="12"/>
      <c r="L17725" s="12"/>
      <c r="M17725" s="11"/>
      <c r="N17725" s="11"/>
      <c r="O17725" s="11"/>
      <c r="P17725" s="11"/>
    </row>
    <row r="17726" spans="8:16" x14ac:dyDescent="0.25">
      <c r="H17726" s="12"/>
      <c r="I17726" s="12"/>
      <c r="J17726" s="12"/>
      <c r="K17726" s="12"/>
      <c r="L17726" s="12"/>
      <c r="M17726" s="11"/>
      <c r="N17726" s="11"/>
      <c r="O17726" s="11"/>
      <c r="P17726" s="11"/>
    </row>
    <row r="17727" spans="8:16" x14ac:dyDescent="0.25">
      <c r="H17727" s="12"/>
      <c r="I17727" s="12"/>
      <c r="J17727" s="12"/>
      <c r="K17727" s="12"/>
      <c r="L17727" s="12"/>
      <c r="M17727" s="11"/>
      <c r="N17727" s="11"/>
      <c r="O17727" s="11"/>
      <c r="P17727" s="11"/>
    </row>
    <row r="17728" spans="8:16" x14ac:dyDescent="0.25">
      <c r="H17728" s="12"/>
      <c r="I17728" s="12"/>
      <c r="J17728" s="12"/>
      <c r="K17728" s="12"/>
      <c r="L17728" s="12"/>
      <c r="M17728" s="11"/>
      <c r="N17728" s="11"/>
      <c r="O17728" s="11"/>
      <c r="P17728" s="11"/>
    </row>
    <row r="17729" spans="8:16" x14ac:dyDescent="0.25">
      <c r="H17729" s="12"/>
      <c r="I17729" s="12"/>
      <c r="J17729" s="12"/>
      <c r="K17729" s="12"/>
      <c r="L17729" s="12"/>
      <c r="M17729" s="11"/>
      <c r="N17729" s="11"/>
      <c r="O17729" s="11"/>
      <c r="P17729" s="11"/>
    </row>
    <row r="17730" spans="8:16" x14ac:dyDescent="0.25">
      <c r="H17730" s="12"/>
      <c r="I17730" s="12"/>
      <c r="J17730" s="12"/>
      <c r="K17730" s="12"/>
      <c r="L17730" s="12"/>
      <c r="M17730" s="11"/>
      <c r="N17730" s="11"/>
      <c r="O17730" s="11"/>
      <c r="P17730" s="11"/>
    </row>
    <row r="17731" spans="8:16" x14ac:dyDescent="0.25">
      <c r="H17731" s="12"/>
      <c r="I17731" s="12"/>
      <c r="J17731" s="12"/>
      <c r="K17731" s="12"/>
      <c r="L17731" s="12"/>
      <c r="M17731" s="11"/>
      <c r="N17731" s="11"/>
      <c r="O17731" s="11"/>
      <c r="P17731" s="11"/>
    </row>
    <row r="17732" spans="8:16" x14ac:dyDescent="0.25">
      <c r="H17732" s="12"/>
      <c r="I17732" s="12"/>
      <c r="J17732" s="12"/>
      <c r="K17732" s="12"/>
      <c r="L17732" s="12"/>
      <c r="M17732" s="11"/>
      <c r="N17732" s="11"/>
      <c r="O17732" s="11"/>
      <c r="P17732" s="11"/>
    </row>
    <row r="17733" spans="8:16" x14ac:dyDescent="0.25">
      <c r="H17733" s="12"/>
      <c r="I17733" s="12"/>
      <c r="J17733" s="12"/>
      <c r="K17733" s="12"/>
      <c r="L17733" s="12"/>
      <c r="M17733" s="11"/>
      <c r="N17733" s="11"/>
      <c r="O17733" s="11"/>
      <c r="P17733" s="11"/>
    </row>
    <row r="17734" spans="8:16" x14ac:dyDescent="0.25">
      <c r="H17734" s="12"/>
      <c r="I17734" s="12"/>
      <c r="J17734" s="12"/>
      <c r="K17734" s="12"/>
      <c r="L17734" s="12"/>
      <c r="M17734" s="11"/>
      <c r="N17734" s="11"/>
      <c r="O17734" s="11"/>
      <c r="P17734" s="11"/>
    </row>
    <row r="17735" spans="8:16" x14ac:dyDescent="0.25">
      <c r="H17735" s="12"/>
      <c r="I17735" s="12"/>
      <c r="J17735" s="12"/>
      <c r="K17735" s="12"/>
      <c r="L17735" s="12"/>
      <c r="M17735" s="11"/>
      <c r="N17735" s="11"/>
      <c r="O17735" s="11"/>
      <c r="P17735" s="11"/>
    </row>
    <row r="17736" spans="8:16" x14ac:dyDescent="0.25">
      <c r="H17736" s="12"/>
      <c r="I17736" s="12"/>
      <c r="J17736" s="12"/>
      <c r="K17736" s="12"/>
      <c r="L17736" s="12"/>
      <c r="M17736" s="11"/>
      <c r="N17736" s="11"/>
      <c r="O17736" s="11"/>
      <c r="P17736" s="11"/>
    </row>
    <row r="17737" spans="8:16" x14ac:dyDescent="0.25">
      <c r="H17737" s="12"/>
      <c r="I17737" s="12"/>
      <c r="J17737" s="12"/>
      <c r="K17737" s="12"/>
      <c r="L17737" s="12"/>
      <c r="M17737" s="11"/>
      <c r="N17737" s="11"/>
      <c r="O17737" s="11"/>
      <c r="P17737" s="11"/>
    </row>
    <row r="17738" spans="8:16" x14ac:dyDescent="0.25">
      <c r="H17738" s="12"/>
      <c r="I17738" s="12"/>
      <c r="J17738" s="12"/>
      <c r="K17738" s="12"/>
      <c r="L17738" s="12"/>
      <c r="M17738" s="11"/>
      <c r="N17738" s="11"/>
      <c r="O17738" s="11"/>
      <c r="P17738" s="11"/>
    </row>
    <row r="17739" spans="8:16" x14ac:dyDescent="0.25">
      <c r="H17739" s="12"/>
      <c r="I17739" s="12"/>
      <c r="J17739" s="12"/>
      <c r="K17739" s="12"/>
      <c r="L17739" s="12"/>
      <c r="M17739" s="11"/>
      <c r="N17739" s="11"/>
      <c r="O17739" s="11"/>
      <c r="P17739" s="11"/>
    </row>
    <row r="17740" spans="8:16" x14ac:dyDescent="0.25">
      <c r="H17740" s="12"/>
      <c r="I17740" s="12"/>
      <c r="J17740" s="12"/>
      <c r="K17740" s="12"/>
      <c r="L17740" s="12"/>
      <c r="M17740" s="11"/>
      <c r="N17740" s="11"/>
      <c r="O17740" s="11"/>
      <c r="P17740" s="11"/>
    </row>
    <row r="17741" spans="8:16" x14ac:dyDescent="0.25">
      <c r="H17741" s="12"/>
      <c r="I17741" s="12"/>
      <c r="J17741" s="12"/>
      <c r="K17741" s="12"/>
      <c r="L17741" s="12"/>
      <c r="M17741" s="11"/>
      <c r="N17741" s="11"/>
      <c r="O17741" s="11"/>
      <c r="P17741" s="11"/>
    </row>
    <row r="17742" spans="8:16" x14ac:dyDescent="0.25">
      <c r="H17742" s="12"/>
      <c r="I17742" s="12"/>
      <c r="J17742" s="12"/>
      <c r="K17742" s="12"/>
      <c r="L17742" s="12"/>
      <c r="M17742" s="11"/>
      <c r="N17742" s="11"/>
      <c r="O17742" s="11"/>
      <c r="P17742" s="11"/>
    </row>
    <row r="17743" spans="8:16" x14ac:dyDescent="0.25">
      <c r="H17743" s="12"/>
      <c r="I17743" s="12"/>
      <c r="J17743" s="12"/>
      <c r="K17743" s="12"/>
      <c r="L17743" s="12"/>
      <c r="M17743" s="11"/>
      <c r="N17743" s="11"/>
      <c r="O17743" s="11"/>
      <c r="P17743" s="11"/>
    </row>
    <row r="17744" spans="8:16" x14ac:dyDescent="0.25">
      <c r="H17744" s="12"/>
      <c r="I17744" s="12"/>
      <c r="J17744" s="12"/>
      <c r="K17744" s="12"/>
      <c r="L17744" s="12"/>
      <c r="M17744" s="11"/>
      <c r="N17744" s="11"/>
      <c r="O17744" s="11"/>
      <c r="P17744" s="11"/>
    </row>
    <row r="17745" spans="8:16" x14ac:dyDescent="0.25">
      <c r="H17745" s="12"/>
      <c r="I17745" s="12"/>
      <c r="J17745" s="12"/>
      <c r="K17745" s="12"/>
      <c r="L17745" s="12"/>
      <c r="M17745" s="11"/>
      <c r="N17745" s="11"/>
      <c r="O17745" s="11"/>
      <c r="P17745" s="11"/>
    </row>
    <row r="17746" spans="8:16" x14ac:dyDescent="0.25">
      <c r="H17746" s="12"/>
      <c r="I17746" s="12"/>
      <c r="J17746" s="12"/>
      <c r="K17746" s="12"/>
      <c r="L17746" s="12"/>
      <c r="M17746" s="11"/>
      <c r="N17746" s="11"/>
      <c r="O17746" s="11"/>
      <c r="P17746" s="11"/>
    </row>
    <row r="17747" spans="8:16" x14ac:dyDescent="0.25">
      <c r="H17747" s="12"/>
      <c r="I17747" s="12"/>
      <c r="J17747" s="12"/>
      <c r="K17747" s="12"/>
      <c r="L17747" s="12"/>
      <c r="M17747" s="11"/>
      <c r="N17747" s="11"/>
      <c r="O17747" s="11"/>
      <c r="P17747" s="11"/>
    </row>
    <row r="17748" spans="8:16" x14ac:dyDescent="0.25">
      <c r="H17748" s="12"/>
      <c r="I17748" s="12"/>
      <c r="J17748" s="12"/>
      <c r="K17748" s="12"/>
      <c r="L17748" s="12"/>
      <c r="M17748" s="11"/>
      <c r="N17748" s="11"/>
      <c r="O17748" s="11"/>
      <c r="P17748" s="11"/>
    </row>
    <row r="17749" spans="8:16" x14ac:dyDescent="0.25">
      <c r="H17749" s="12"/>
      <c r="I17749" s="12"/>
      <c r="J17749" s="12"/>
      <c r="K17749" s="12"/>
      <c r="L17749" s="12"/>
      <c r="M17749" s="11"/>
      <c r="N17749" s="11"/>
      <c r="O17749" s="11"/>
      <c r="P17749" s="11"/>
    </row>
    <row r="17750" spans="8:16" x14ac:dyDescent="0.25">
      <c r="H17750" s="12"/>
      <c r="I17750" s="12"/>
      <c r="J17750" s="12"/>
      <c r="K17750" s="12"/>
      <c r="L17750" s="12"/>
      <c r="M17750" s="11"/>
      <c r="N17750" s="11"/>
      <c r="O17750" s="11"/>
      <c r="P17750" s="11"/>
    </row>
    <row r="17751" spans="8:16" x14ac:dyDescent="0.25">
      <c r="H17751" s="12"/>
      <c r="I17751" s="12"/>
      <c r="J17751" s="12"/>
      <c r="K17751" s="12"/>
      <c r="L17751" s="12"/>
      <c r="M17751" s="11"/>
      <c r="N17751" s="11"/>
      <c r="O17751" s="11"/>
      <c r="P17751" s="11"/>
    </row>
    <row r="17752" spans="8:16" x14ac:dyDescent="0.25">
      <c r="H17752" s="12"/>
      <c r="I17752" s="12"/>
      <c r="J17752" s="12"/>
      <c r="K17752" s="12"/>
      <c r="L17752" s="12"/>
      <c r="M17752" s="11"/>
      <c r="N17752" s="11"/>
      <c r="O17752" s="11"/>
      <c r="P17752" s="11"/>
    </row>
    <row r="17753" spans="8:16" x14ac:dyDescent="0.25">
      <c r="H17753" s="12"/>
      <c r="I17753" s="12"/>
      <c r="J17753" s="12"/>
      <c r="K17753" s="12"/>
      <c r="L17753" s="12"/>
      <c r="M17753" s="11"/>
      <c r="N17753" s="11"/>
      <c r="O17753" s="11"/>
      <c r="P17753" s="11"/>
    </row>
    <row r="17754" spans="8:16" x14ac:dyDescent="0.25">
      <c r="H17754" s="12"/>
      <c r="I17754" s="12"/>
      <c r="J17754" s="12"/>
      <c r="K17754" s="12"/>
      <c r="L17754" s="12"/>
      <c r="M17754" s="11"/>
      <c r="N17754" s="11"/>
      <c r="O17754" s="11"/>
      <c r="P17754" s="11"/>
    </row>
    <row r="17755" spans="8:16" x14ac:dyDescent="0.25">
      <c r="H17755" s="12"/>
      <c r="I17755" s="12"/>
      <c r="J17755" s="12"/>
      <c r="K17755" s="12"/>
      <c r="L17755" s="12"/>
      <c r="M17755" s="11"/>
      <c r="N17755" s="11"/>
      <c r="O17755" s="11"/>
      <c r="P17755" s="11"/>
    </row>
    <row r="17756" spans="8:16" x14ac:dyDescent="0.25">
      <c r="H17756" s="12"/>
      <c r="I17756" s="12"/>
      <c r="J17756" s="12"/>
      <c r="K17756" s="12"/>
      <c r="L17756" s="12"/>
      <c r="M17756" s="11"/>
      <c r="N17756" s="11"/>
      <c r="O17756" s="11"/>
      <c r="P17756" s="11"/>
    </row>
    <row r="17757" spans="8:16" x14ac:dyDescent="0.25">
      <c r="H17757" s="12"/>
      <c r="I17757" s="12"/>
      <c r="J17757" s="12"/>
      <c r="K17757" s="12"/>
      <c r="L17757" s="12"/>
      <c r="M17757" s="11"/>
      <c r="N17757" s="11"/>
      <c r="O17757" s="11"/>
      <c r="P17757" s="11"/>
    </row>
    <row r="17758" spans="8:16" x14ac:dyDescent="0.25">
      <c r="H17758" s="12"/>
      <c r="I17758" s="12"/>
      <c r="J17758" s="12"/>
      <c r="K17758" s="12"/>
      <c r="L17758" s="12"/>
      <c r="M17758" s="11"/>
      <c r="N17758" s="11"/>
      <c r="O17758" s="11"/>
      <c r="P17758" s="11"/>
    </row>
    <row r="17759" spans="8:16" x14ac:dyDescent="0.25">
      <c r="H17759" s="12"/>
      <c r="I17759" s="12"/>
      <c r="J17759" s="12"/>
      <c r="K17759" s="12"/>
      <c r="L17759" s="12"/>
      <c r="M17759" s="11"/>
      <c r="N17759" s="11"/>
      <c r="O17759" s="11"/>
      <c r="P17759" s="11"/>
    </row>
    <row r="17760" spans="8:16" x14ac:dyDescent="0.25">
      <c r="H17760" s="12"/>
      <c r="I17760" s="12"/>
      <c r="J17760" s="12"/>
      <c r="K17760" s="12"/>
      <c r="L17760" s="12"/>
      <c r="M17760" s="11"/>
      <c r="N17760" s="11"/>
      <c r="O17760" s="11"/>
      <c r="P17760" s="11"/>
    </row>
    <row r="17761" spans="8:16" x14ac:dyDescent="0.25">
      <c r="H17761" s="12"/>
      <c r="I17761" s="12"/>
      <c r="J17761" s="12"/>
      <c r="K17761" s="12"/>
      <c r="L17761" s="12"/>
      <c r="M17761" s="11"/>
      <c r="N17761" s="11"/>
      <c r="O17761" s="11"/>
      <c r="P17761" s="11"/>
    </row>
    <row r="17762" spans="8:16" x14ac:dyDescent="0.25">
      <c r="H17762" s="12"/>
      <c r="I17762" s="12"/>
      <c r="J17762" s="12"/>
      <c r="K17762" s="12"/>
      <c r="L17762" s="12"/>
      <c r="M17762" s="11"/>
      <c r="N17762" s="11"/>
      <c r="O17762" s="11"/>
      <c r="P17762" s="11"/>
    </row>
    <row r="17763" spans="8:16" x14ac:dyDescent="0.25">
      <c r="H17763" s="12"/>
      <c r="I17763" s="12"/>
      <c r="J17763" s="12"/>
      <c r="K17763" s="12"/>
      <c r="L17763" s="12"/>
      <c r="M17763" s="11"/>
      <c r="N17763" s="11"/>
      <c r="O17763" s="11"/>
      <c r="P17763" s="11"/>
    </row>
    <row r="17764" spans="8:16" x14ac:dyDescent="0.25">
      <c r="H17764" s="12"/>
      <c r="I17764" s="12"/>
      <c r="J17764" s="12"/>
      <c r="K17764" s="12"/>
      <c r="L17764" s="12"/>
      <c r="M17764" s="11"/>
      <c r="N17764" s="11"/>
      <c r="O17764" s="11"/>
      <c r="P17764" s="11"/>
    </row>
    <row r="17765" spans="8:16" x14ac:dyDescent="0.25">
      <c r="H17765" s="12"/>
      <c r="I17765" s="12"/>
      <c r="J17765" s="12"/>
      <c r="K17765" s="12"/>
      <c r="L17765" s="12"/>
      <c r="M17765" s="11"/>
      <c r="N17765" s="11"/>
      <c r="O17765" s="11"/>
      <c r="P17765" s="11"/>
    </row>
    <row r="17766" spans="8:16" x14ac:dyDescent="0.25">
      <c r="H17766" s="12"/>
      <c r="I17766" s="12"/>
      <c r="J17766" s="12"/>
      <c r="K17766" s="12"/>
      <c r="L17766" s="12"/>
      <c r="M17766" s="11"/>
      <c r="N17766" s="11"/>
      <c r="O17766" s="11"/>
      <c r="P17766" s="11"/>
    </row>
    <row r="17767" spans="8:16" x14ac:dyDescent="0.25">
      <c r="H17767" s="12"/>
      <c r="I17767" s="12"/>
      <c r="J17767" s="12"/>
      <c r="K17767" s="12"/>
      <c r="L17767" s="12"/>
      <c r="M17767" s="11"/>
      <c r="N17767" s="11"/>
      <c r="O17767" s="11"/>
      <c r="P17767" s="11"/>
    </row>
    <row r="17768" spans="8:16" x14ac:dyDescent="0.25">
      <c r="H17768" s="12"/>
      <c r="I17768" s="12"/>
      <c r="J17768" s="12"/>
      <c r="K17768" s="12"/>
      <c r="L17768" s="12"/>
      <c r="M17768" s="11"/>
      <c r="N17768" s="11"/>
      <c r="O17768" s="11"/>
      <c r="P17768" s="11"/>
    </row>
    <row r="17769" spans="8:16" x14ac:dyDescent="0.25">
      <c r="H17769" s="12"/>
      <c r="I17769" s="12"/>
      <c r="J17769" s="12"/>
      <c r="K17769" s="12"/>
      <c r="L17769" s="12"/>
      <c r="M17769" s="11"/>
      <c r="N17769" s="11"/>
      <c r="O17769" s="11"/>
      <c r="P17769" s="11"/>
    </row>
    <row r="17770" spans="8:16" x14ac:dyDescent="0.25">
      <c r="H17770" s="12"/>
      <c r="I17770" s="12"/>
      <c r="J17770" s="12"/>
      <c r="K17770" s="12"/>
      <c r="L17770" s="12"/>
      <c r="M17770" s="11"/>
      <c r="N17770" s="11"/>
      <c r="O17770" s="11"/>
      <c r="P17770" s="11"/>
    </row>
    <row r="17771" spans="8:16" x14ac:dyDescent="0.25">
      <c r="H17771" s="12"/>
      <c r="I17771" s="12"/>
      <c r="J17771" s="12"/>
      <c r="K17771" s="12"/>
      <c r="L17771" s="12"/>
      <c r="M17771" s="11"/>
      <c r="N17771" s="11"/>
      <c r="O17771" s="11"/>
      <c r="P17771" s="11"/>
    </row>
    <row r="17772" spans="8:16" x14ac:dyDescent="0.25">
      <c r="H17772" s="12"/>
      <c r="I17772" s="12"/>
      <c r="J17772" s="12"/>
      <c r="K17772" s="12"/>
      <c r="L17772" s="12"/>
      <c r="M17772" s="11"/>
      <c r="N17772" s="11"/>
      <c r="O17772" s="11"/>
      <c r="P17772" s="11"/>
    </row>
    <row r="17773" spans="8:16" x14ac:dyDescent="0.25">
      <c r="H17773" s="12"/>
      <c r="I17773" s="12"/>
      <c r="J17773" s="12"/>
      <c r="K17773" s="12"/>
      <c r="L17773" s="12"/>
      <c r="M17773" s="11"/>
      <c r="N17773" s="11"/>
      <c r="O17773" s="11"/>
      <c r="P17773" s="11"/>
    </row>
    <row r="17774" spans="8:16" x14ac:dyDescent="0.25">
      <c r="H17774" s="12"/>
      <c r="I17774" s="12"/>
      <c r="J17774" s="12"/>
      <c r="K17774" s="12"/>
      <c r="L17774" s="12"/>
      <c r="M17774" s="11"/>
      <c r="N17774" s="11"/>
      <c r="O17774" s="11"/>
      <c r="P17774" s="11"/>
    </row>
    <row r="17775" spans="8:16" x14ac:dyDescent="0.25">
      <c r="H17775" s="12"/>
      <c r="I17775" s="12"/>
      <c r="J17775" s="12"/>
      <c r="K17775" s="12"/>
      <c r="L17775" s="12"/>
      <c r="M17775" s="11"/>
      <c r="N17775" s="11"/>
      <c r="O17775" s="11"/>
      <c r="P17775" s="11"/>
    </row>
    <row r="17776" spans="8:16" x14ac:dyDescent="0.25">
      <c r="H17776" s="12"/>
      <c r="I17776" s="12"/>
      <c r="J17776" s="12"/>
      <c r="K17776" s="12"/>
      <c r="L17776" s="12"/>
      <c r="M17776" s="11"/>
      <c r="N17776" s="11"/>
      <c r="O17776" s="11"/>
      <c r="P17776" s="11"/>
    </row>
    <row r="17777" spans="8:16" x14ac:dyDescent="0.25">
      <c r="H17777" s="12"/>
      <c r="I17777" s="12"/>
      <c r="J17777" s="12"/>
      <c r="K17777" s="12"/>
      <c r="L17777" s="12"/>
      <c r="M17777" s="11"/>
      <c r="N17777" s="11"/>
      <c r="O17777" s="11"/>
      <c r="P17777" s="11"/>
    </row>
    <row r="17778" spans="8:16" x14ac:dyDescent="0.25">
      <c r="H17778" s="12"/>
      <c r="I17778" s="12"/>
      <c r="J17778" s="12"/>
      <c r="K17778" s="12"/>
      <c r="L17778" s="12"/>
      <c r="M17778" s="11"/>
      <c r="N17778" s="11"/>
      <c r="O17778" s="11"/>
      <c r="P17778" s="11"/>
    </row>
    <row r="17779" spans="8:16" x14ac:dyDescent="0.25">
      <c r="H17779" s="12"/>
      <c r="I17779" s="12"/>
      <c r="J17779" s="12"/>
      <c r="K17779" s="12"/>
      <c r="L17779" s="12"/>
      <c r="M17779" s="11"/>
      <c r="N17779" s="11"/>
      <c r="O17779" s="11"/>
      <c r="P17779" s="11"/>
    </row>
    <row r="17780" spans="8:16" x14ac:dyDescent="0.25">
      <c r="H17780" s="12"/>
      <c r="I17780" s="12"/>
      <c r="J17780" s="12"/>
      <c r="K17780" s="12"/>
      <c r="L17780" s="12"/>
      <c r="M17780" s="11"/>
      <c r="N17780" s="11"/>
      <c r="O17780" s="11"/>
      <c r="P17780" s="11"/>
    </row>
    <row r="17781" spans="8:16" x14ac:dyDescent="0.25">
      <c r="H17781" s="12"/>
      <c r="I17781" s="12"/>
      <c r="J17781" s="12"/>
      <c r="K17781" s="12"/>
      <c r="L17781" s="12"/>
      <c r="M17781" s="11"/>
      <c r="N17781" s="11"/>
      <c r="O17781" s="11"/>
      <c r="P17781" s="11"/>
    </row>
    <row r="17782" spans="8:16" x14ac:dyDescent="0.25">
      <c r="H17782" s="12"/>
      <c r="I17782" s="12"/>
      <c r="J17782" s="12"/>
      <c r="K17782" s="12"/>
      <c r="L17782" s="12"/>
      <c r="M17782" s="11"/>
      <c r="N17782" s="11"/>
      <c r="O17782" s="11"/>
      <c r="P17782" s="11"/>
    </row>
    <row r="17783" spans="8:16" x14ac:dyDescent="0.25">
      <c r="H17783" s="12"/>
      <c r="I17783" s="12"/>
      <c r="J17783" s="12"/>
      <c r="K17783" s="12"/>
      <c r="L17783" s="12"/>
      <c r="M17783" s="11"/>
      <c r="N17783" s="11"/>
      <c r="O17783" s="11"/>
      <c r="P17783" s="11"/>
    </row>
    <row r="17784" spans="8:16" x14ac:dyDescent="0.25">
      <c r="H17784" s="12"/>
      <c r="I17784" s="12"/>
      <c r="J17784" s="12"/>
      <c r="K17784" s="12"/>
      <c r="L17784" s="12"/>
      <c r="M17784" s="11"/>
      <c r="N17784" s="11"/>
      <c r="O17784" s="11"/>
      <c r="P17784" s="11"/>
    </row>
    <row r="17785" spans="8:16" x14ac:dyDescent="0.25">
      <c r="H17785" s="12"/>
      <c r="I17785" s="12"/>
      <c r="J17785" s="12"/>
      <c r="K17785" s="12"/>
      <c r="L17785" s="12"/>
      <c r="M17785" s="11"/>
      <c r="N17785" s="11"/>
      <c r="O17785" s="11"/>
      <c r="P17785" s="11"/>
    </row>
    <row r="17786" spans="8:16" x14ac:dyDescent="0.25">
      <c r="H17786" s="12"/>
      <c r="I17786" s="12"/>
      <c r="J17786" s="12"/>
      <c r="K17786" s="12"/>
      <c r="L17786" s="12"/>
      <c r="M17786" s="11"/>
      <c r="N17786" s="11"/>
      <c r="O17786" s="11"/>
      <c r="P17786" s="11"/>
    </row>
    <row r="17787" spans="8:16" x14ac:dyDescent="0.25">
      <c r="H17787" s="12"/>
      <c r="I17787" s="12"/>
      <c r="J17787" s="12"/>
      <c r="K17787" s="12"/>
      <c r="L17787" s="12"/>
      <c r="M17787" s="11"/>
      <c r="N17787" s="11"/>
      <c r="O17787" s="11"/>
      <c r="P17787" s="11"/>
    </row>
    <row r="17788" spans="8:16" x14ac:dyDescent="0.25">
      <c r="H17788" s="12"/>
      <c r="I17788" s="12"/>
      <c r="J17788" s="12"/>
      <c r="K17788" s="12"/>
      <c r="L17788" s="12"/>
      <c r="M17788" s="11"/>
      <c r="N17788" s="11"/>
      <c r="O17788" s="11"/>
      <c r="P17788" s="11"/>
    </row>
    <row r="17789" spans="8:16" x14ac:dyDescent="0.25">
      <c r="H17789" s="12"/>
      <c r="I17789" s="12"/>
      <c r="J17789" s="12"/>
      <c r="K17789" s="12"/>
      <c r="L17789" s="12"/>
      <c r="M17789" s="11"/>
      <c r="N17789" s="11"/>
      <c r="O17789" s="11"/>
      <c r="P17789" s="11"/>
    </row>
    <row r="17790" spans="8:16" x14ac:dyDescent="0.25">
      <c r="H17790" s="12"/>
      <c r="I17790" s="12"/>
      <c r="J17790" s="12"/>
      <c r="K17790" s="12"/>
      <c r="L17790" s="12"/>
      <c r="M17790" s="11"/>
      <c r="N17790" s="11"/>
      <c r="O17790" s="11"/>
      <c r="P17790" s="11"/>
    </row>
    <row r="17791" spans="8:16" x14ac:dyDescent="0.25">
      <c r="H17791" s="12"/>
      <c r="I17791" s="12"/>
      <c r="J17791" s="12"/>
      <c r="K17791" s="12"/>
      <c r="L17791" s="12"/>
      <c r="M17791" s="11"/>
      <c r="N17791" s="11"/>
      <c r="O17791" s="11"/>
      <c r="P17791" s="11"/>
    </row>
    <row r="17792" spans="8:16" x14ac:dyDescent="0.25">
      <c r="H17792" s="12"/>
      <c r="I17792" s="12"/>
      <c r="J17792" s="12"/>
      <c r="K17792" s="12"/>
      <c r="L17792" s="12"/>
      <c r="M17792" s="11"/>
      <c r="N17792" s="11"/>
      <c r="O17792" s="11"/>
      <c r="P17792" s="11"/>
    </row>
    <row r="17793" spans="8:16" x14ac:dyDescent="0.25">
      <c r="H17793" s="12"/>
      <c r="I17793" s="12"/>
      <c r="J17793" s="12"/>
      <c r="K17793" s="12"/>
      <c r="L17793" s="12"/>
      <c r="M17793" s="11"/>
      <c r="N17793" s="11"/>
      <c r="O17793" s="11"/>
      <c r="P17793" s="11"/>
    </row>
    <row r="17794" spans="8:16" x14ac:dyDescent="0.25">
      <c r="H17794" s="12"/>
      <c r="I17794" s="12"/>
      <c r="J17794" s="12"/>
      <c r="K17794" s="12"/>
      <c r="L17794" s="12"/>
      <c r="M17794" s="11"/>
      <c r="N17794" s="11"/>
      <c r="O17794" s="11"/>
      <c r="P17794" s="11"/>
    </row>
    <row r="17795" spans="8:16" x14ac:dyDescent="0.25">
      <c r="H17795" s="12"/>
      <c r="I17795" s="12"/>
      <c r="J17795" s="12"/>
      <c r="K17795" s="12"/>
      <c r="L17795" s="12"/>
      <c r="M17795" s="11"/>
      <c r="N17795" s="11"/>
      <c r="O17795" s="11"/>
      <c r="P17795" s="11"/>
    </row>
    <row r="17796" spans="8:16" x14ac:dyDescent="0.25">
      <c r="H17796" s="12"/>
      <c r="I17796" s="12"/>
      <c r="J17796" s="12"/>
      <c r="K17796" s="12"/>
      <c r="L17796" s="12"/>
      <c r="M17796" s="11"/>
      <c r="N17796" s="11"/>
      <c r="O17796" s="11"/>
      <c r="P17796" s="11"/>
    </row>
    <row r="17797" spans="8:16" x14ac:dyDescent="0.25">
      <c r="H17797" s="12"/>
      <c r="I17797" s="12"/>
      <c r="J17797" s="12"/>
      <c r="K17797" s="12"/>
      <c r="L17797" s="12"/>
      <c r="M17797" s="11"/>
      <c r="N17797" s="11"/>
      <c r="O17797" s="11"/>
      <c r="P17797" s="11"/>
    </row>
    <row r="17798" spans="8:16" x14ac:dyDescent="0.25">
      <c r="H17798" s="12"/>
      <c r="I17798" s="12"/>
      <c r="J17798" s="12"/>
      <c r="K17798" s="12"/>
      <c r="L17798" s="12"/>
      <c r="M17798" s="11"/>
      <c r="N17798" s="11"/>
      <c r="O17798" s="11"/>
      <c r="P17798" s="11"/>
    </row>
    <row r="17799" spans="8:16" x14ac:dyDescent="0.25">
      <c r="H17799" s="12"/>
      <c r="I17799" s="12"/>
      <c r="J17799" s="12"/>
      <c r="K17799" s="12"/>
      <c r="L17799" s="12"/>
      <c r="M17799" s="11"/>
      <c r="N17799" s="11"/>
      <c r="O17799" s="11"/>
      <c r="P17799" s="11"/>
    </row>
    <row r="17800" spans="8:16" x14ac:dyDescent="0.25">
      <c r="H17800" s="12"/>
      <c r="I17800" s="12"/>
      <c r="J17800" s="12"/>
      <c r="K17800" s="12"/>
      <c r="L17800" s="12"/>
      <c r="M17800" s="11"/>
      <c r="N17800" s="11"/>
      <c r="O17800" s="11"/>
      <c r="P17800" s="11"/>
    </row>
    <row r="17801" spans="8:16" x14ac:dyDescent="0.25">
      <c r="H17801" s="12"/>
      <c r="I17801" s="12"/>
      <c r="J17801" s="12"/>
      <c r="K17801" s="12"/>
      <c r="L17801" s="12"/>
      <c r="M17801" s="11"/>
      <c r="N17801" s="11"/>
      <c r="O17801" s="11"/>
      <c r="P17801" s="11"/>
    </row>
    <row r="17802" spans="8:16" x14ac:dyDescent="0.25">
      <c r="H17802" s="12"/>
      <c r="I17802" s="12"/>
      <c r="J17802" s="12"/>
      <c r="K17802" s="12"/>
      <c r="L17802" s="12"/>
      <c r="M17802" s="11"/>
      <c r="N17802" s="11"/>
      <c r="O17802" s="11"/>
      <c r="P17802" s="11"/>
    </row>
    <row r="17803" spans="8:16" x14ac:dyDescent="0.25">
      <c r="H17803" s="12"/>
      <c r="I17803" s="12"/>
      <c r="J17803" s="12"/>
      <c r="K17803" s="12"/>
      <c r="L17803" s="12"/>
      <c r="M17803" s="11"/>
      <c r="N17803" s="11"/>
      <c r="O17803" s="11"/>
      <c r="P17803" s="11"/>
    </row>
    <row r="17804" spans="8:16" x14ac:dyDescent="0.25">
      <c r="H17804" s="12"/>
      <c r="I17804" s="12"/>
      <c r="J17804" s="12"/>
      <c r="K17804" s="12"/>
      <c r="L17804" s="12"/>
      <c r="M17804" s="11"/>
      <c r="N17804" s="11"/>
      <c r="O17804" s="11"/>
      <c r="P17804" s="11"/>
    </row>
    <row r="17805" spans="8:16" x14ac:dyDescent="0.25">
      <c r="H17805" s="12"/>
      <c r="I17805" s="12"/>
      <c r="J17805" s="12"/>
      <c r="K17805" s="12"/>
      <c r="L17805" s="12"/>
      <c r="M17805" s="11"/>
      <c r="N17805" s="11"/>
      <c r="O17805" s="11"/>
      <c r="P17805" s="11"/>
    </row>
    <row r="17806" spans="8:16" x14ac:dyDescent="0.25">
      <c r="H17806" s="12"/>
      <c r="I17806" s="12"/>
      <c r="J17806" s="12"/>
      <c r="K17806" s="12"/>
      <c r="L17806" s="12"/>
      <c r="M17806" s="11"/>
      <c r="N17806" s="11"/>
      <c r="O17806" s="11"/>
      <c r="P17806" s="11"/>
    </row>
    <row r="17807" spans="8:16" x14ac:dyDescent="0.25">
      <c r="H17807" s="12"/>
      <c r="I17807" s="12"/>
      <c r="J17807" s="12"/>
      <c r="K17807" s="12"/>
      <c r="L17807" s="12"/>
      <c r="M17807" s="11"/>
      <c r="N17807" s="11"/>
      <c r="O17807" s="11"/>
      <c r="P17807" s="11"/>
    </row>
    <row r="17808" spans="8:16" x14ac:dyDescent="0.25">
      <c r="H17808" s="12"/>
      <c r="I17808" s="12"/>
      <c r="J17808" s="12"/>
      <c r="K17808" s="12"/>
      <c r="L17808" s="12"/>
      <c r="M17808" s="11"/>
      <c r="N17808" s="11"/>
      <c r="O17808" s="11"/>
      <c r="P17808" s="11"/>
    </row>
    <row r="17809" spans="8:16" x14ac:dyDescent="0.25">
      <c r="H17809" s="12"/>
      <c r="I17809" s="12"/>
      <c r="J17809" s="12"/>
      <c r="K17809" s="12"/>
      <c r="L17809" s="12"/>
      <c r="M17809" s="11"/>
      <c r="N17809" s="11"/>
      <c r="O17809" s="11"/>
      <c r="P17809" s="11"/>
    </row>
    <row r="17810" spans="8:16" x14ac:dyDescent="0.25">
      <c r="H17810" s="12"/>
      <c r="I17810" s="12"/>
      <c r="J17810" s="12"/>
      <c r="K17810" s="12"/>
      <c r="L17810" s="12"/>
      <c r="M17810" s="11"/>
      <c r="N17810" s="11"/>
      <c r="O17810" s="11"/>
      <c r="P17810" s="11"/>
    </row>
    <row r="17811" spans="8:16" x14ac:dyDescent="0.25">
      <c r="H17811" s="12"/>
      <c r="I17811" s="12"/>
      <c r="J17811" s="12"/>
      <c r="K17811" s="12"/>
      <c r="L17811" s="12"/>
      <c r="M17811" s="11"/>
      <c r="N17811" s="11"/>
      <c r="O17811" s="11"/>
      <c r="P17811" s="11"/>
    </row>
    <row r="17812" spans="8:16" x14ac:dyDescent="0.25">
      <c r="H17812" s="12"/>
      <c r="I17812" s="12"/>
      <c r="J17812" s="12"/>
      <c r="K17812" s="12"/>
      <c r="L17812" s="12"/>
      <c r="M17812" s="11"/>
      <c r="N17812" s="11"/>
      <c r="O17812" s="11"/>
      <c r="P17812" s="11"/>
    </row>
    <row r="17813" spans="8:16" x14ac:dyDescent="0.25">
      <c r="H17813" s="12"/>
      <c r="I17813" s="12"/>
      <c r="J17813" s="12"/>
      <c r="K17813" s="12"/>
      <c r="L17813" s="12"/>
      <c r="M17813" s="11"/>
      <c r="N17813" s="11"/>
      <c r="O17813" s="11"/>
      <c r="P17813" s="11"/>
    </row>
    <row r="17814" spans="8:16" x14ac:dyDescent="0.25">
      <c r="H17814" s="12"/>
      <c r="I17814" s="12"/>
      <c r="J17814" s="12"/>
      <c r="K17814" s="12"/>
      <c r="L17814" s="12"/>
      <c r="M17814" s="11"/>
      <c r="N17814" s="11"/>
      <c r="O17814" s="11"/>
      <c r="P17814" s="11"/>
    </row>
    <row r="17815" spans="8:16" x14ac:dyDescent="0.25">
      <c r="H17815" s="12"/>
      <c r="I17815" s="12"/>
      <c r="J17815" s="12"/>
      <c r="K17815" s="12"/>
      <c r="L17815" s="12"/>
      <c r="M17815" s="11"/>
      <c r="N17815" s="11"/>
      <c r="O17815" s="11"/>
      <c r="P17815" s="11"/>
    </row>
    <row r="17816" spans="8:16" x14ac:dyDescent="0.25">
      <c r="H17816" s="12"/>
      <c r="I17816" s="12"/>
      <c r="J17816" s="12"/>
      <c r="K17816" s="12"/>
      <c r="L17816" s="12"/>
      <c r="M17816" s="11"/>
      <c r="N17816" s="11"/>
      <c r="O17816" s="11"/>
      <c r="P17816" s="11"/>
    </row>
    <row r="17817" spans="8:16" x14ac:dyDescent="0.25">
      <c r="H17817" s="12"/>
      <c r="I17817" s="12"/>
      <c r="J17817" s="12"/>
      <c r="K17817" s="12"/>
      <c r="L17817" s="12"/>
      <c r="M17817" s="11"/>
      <c r="N17817" s="11"/>
      <c r="O17817" s="11"/>
      <c r="P17817" s="11"/>
    </row>
    <row r="17818" spans="8:16" x14ac:dyDescent="0.25">
      <c r="H17818" s="12"/>
      <c r="I17818" s="12"/>
      <c r="J17818" s="12"/>
      <c r="K17818" s="12"/>
      <c r="L17818" s="12"/>
      <c r="M17818" s="11"/>
      <c r="N17818" s="11"/>
      <c r="O17818" s="11"/>
      <c r="P17818" s="11"/>
    </row>
    <row r="17819" spans="8:16" x14ac:dyDescent="0.25">
      <c r="H17819" s="12"/>
      <c r="I17819" s="12"/>
      <c r="J17819" s="12"/>
      <c r="K17819" s="12"/>
      <c r="L17819" s="12"/>
      <c r="M17819" s="11"/>
      <c r="N17819" s="11"/>
      <c r="O17819" s="11"/>
      <c r="P17819" s="11"/>
    </row>
    <row r="17820" spans="8:16" x14ac:dyDescent="0.25">
      <c r="H17820" s="12"/>
      <c r="I17820" s="12"/>
      <c r="J17820" s="12"/>
      <c r="K17820" s="12"/>
      <c r="L17820" s="12"/>
      <c r="M17820" s="11"/>
      <c r="N17820" s="11"/>
      <c r="O17820" s="11"/>
      <c r="P17820" s="11"/>
    </row>
    <row r="17821" spans="8:16" x14ac:dyDescent="0.25">
      <c r="H17821" s="12"/>
      <c r="I17821" s="12"/>
      <c r="J17821" s="12"/>
      <c r="K17821" s="12"/>
      <c r="L17821" s="12"/>
      <c r="M17821" s="11"/>
      <c r="N17821" s="11"/>
      <c r="O17821" s="11"/>
      <c r="P17821" s="11"/>
    </row>
    <row r="17822" spans="8:16" x14ac:dyDescent="0.25">
      <c r="H17822" s="12"/>
      <c r="I17822" s="12"/>
      <c r="J17822" s="12"/>
      <c r="K17822" s="12"/>
      <c r="L17822" s="12"/>
      <c r="M17822" s="11"/>
      <c r="N17822" s="11"/>
      <c r="O17822" s="11"/>
      <c r="P17822" s="11"/>
    </row>
    <row r="17823" spans="8:16" x14ac:dyDescent="0.25">
      <c r="H17823" s="12"/>
      <c r="I17823" s="12"/>
      <c r="J17823" s="12"/>
      <c r="K17823" s="12"/>
      <c r="L17823" s="12"/>
      <c r="M17823" s="11"/>
      <c r="N17823" s="11"/>
      <c r="O17823" s="11"/>
      <c r="P17823" s="11"/>
    </row>
    <row r="17824" spans="8:16" x14ac:dyDescent="0.25">
      <c r="H17824" s="12"/>
      <c r="I17824" s="12"/>
      <c r="J17824" s="12"/>
      <c r="K17824" s="12"/>
      <c r="L17824" s="12"/>
      <c r="M17824" s="11"/>
      <c r="N17824" s="11"/>
      <c r="O17824" s="11"/>
      <c r="P17824" s="11"/>
    </row>
    <row r="17825" spans="8:16" x14ac:dyDescent="0.25">
      <c r="H17825" s="12"/>
      <c r="I17825" s="12"/>
      <c r="J17825" s="12"/>
      <c r="K17825" s="12"/>
      <c r="L17825" s="12"/>
      <c r="M17825" s="11"/>
      <c r="N17825" s="11"/>
      <c r="O17825" s="11"/>
      <c r="P17825" s="11"/>
    </row>
    <row r="17826" spans="8:16" x14ac:dyDescent="0.25">
      <c r="H17826" s="12"/>
      <c r="I17826" s="12"/>
      <c r="J17826" s="12"/>
      <c r="K17826" s="12"/>
      <c r="L17826" s="12"/>
      <c r="M17826" s="11"/>
      <c r="N17826" s="11"/>
      <c r="O17826" s="11"/>
      <c r="P17826" s="11"/>
    </row>
    <row r="17827" spans="8:16" x14ac:dyDescent="0.25">
      <c r="H17827" s="12"/>
      <c r="I17827" s="12"/>
      <c r="J17827" s="12"/>
      <c r="K17827" s="12"/>
      <c r="L17827" s="12"/>
      <c r="M17827" s="11"/>
      <c r="N17827" s="11"/>
      <c r="O17827" s="11"/>
      <c r="P17827" s="11"/>
    </row>
    <row r="17828" spans="8:16" x14ac:dyDescent="0.25">
      <c r="H17828" s="12"/>
      <c r="I17828" s="12"/>
      <c r="J17828" s="12"/>
      <c r="K17828" s="12"/>
      <c r="L17828" s="12"/>
      <c r="M17828" s="11"/>
      <c r="N17828" s="11"/>
      <c r="O17828" s="11"/>
      <c r="P17828" s="11"/>
    </row>
    <row r="17829" spans="8:16" x14ac:dyDescent="0.25">
      <c r="H17829" s="12"/>
      <c r="I17829" s="12"/>
      <c r="J17829" s="12"/>
      <c r="K17829" s="12"/>
      <c r="L17829" s="12"/>
      <c r="M17829" s="11"/>
      <c r="N17829" s="11"/>
      <c r="O17829" s="11"/>
      <c r="P17829" s="11"/>
    </row>
    <row r="17830" spans="8:16" x14ac:dyDescent="0.25">
      <c r="H17830" s="12"/>
      <c r="I17830" s="12"/>
      <c r="J17830" s="12"/>
      <c r="K17830" s="12"/>
      <c r="L17830" s="12"/>
      <c r="M17830" s="11"/>
      <c r="N17830" s="11"/>
      <c r="O17830" s="11"/>
      <c r="P17830" s="11"/>
    </row>
    <row r="17831" spans="8:16" x14ac:dyDescent="0.25">
      <c r="H17831" s="12"/>
      <c r="I17831" s="12"/>
      <c r="J17831" s="12"/>
      <c r="K17831" s="12"/>
      <c r="L17831" s="12"/>
      <c r="M17831" s="11"/>
      <c r="N17831" s="11"/>
      <c r="O17831" s="11"/>
      <c r="P17831" s="11"/>
    </row>
    <row r="17832" spans="8:16" x14ac:dyDescent="0.25">
      <c r="H17832" s="12"/>
      <c r="I17832" s="12"/>
      <c r="J17832" s="12"/>
      <c r="K17832" s="12"/>
      <c r="L17832" s="12"/>
      <c r="M17832" s="11"/>
      <c r="N17832" s="11"/>
      <c r="O17832" s="11"/>
      <c r="P17832" s="11"/>
    </row>
    <row r="17833" spans="8:16" x14ac:dyDescent="0.25">
      <c r="H17833" s="12"/>
      <c r="I17833" s="12"/>
      <c r="J17833" s="12"/>
      <c r="K17833" s="12"/>
      <c r="L17833" s="12"/>
      <c r="M17833" s="11"/>
      <c r="N17833" s="11"/>
      <c r="O17833" s="11"/>
      <c r="P17833" s="11"/>
    </row>
    <row r="17834" spans="8:16" x14ac:dyDescent="0.25">
      <c r="H17834" s="12"/>
      <c r="I17834" s="12"/>
      <c r="J17834" s="12"/>
      <c r="K17834" s="12"/>
      <c r="L17834" s="12"/>
      <c r="M17834" s="11"/>
      <c r="N17834" s="11"/>
      <c r="O17834" s="11"/>
      <c r="P17834" s="11"/>
    </row>
    <row r="17835" spans="8:16" x14ac:dyDescent="0.25">
      <c r="H17835" s="12"/>
      <c r="I17835" s="12"/>
      <c r="J17835" s="12"/>
      <c r="K17835" s="12"/>
      <c r="L17835" s="12"/>
      <c r="M17835" s="11"/>
      <c r="N17835" s="11"/>
      <c r="O17835" s="11"/>
      <c r="P17835" s="11"/>
    </row>
    <row r="17836" spans="8:16" x14ac:dyDescent="0.25">
      <c r="H17836" s="12"/>
      <c r="I17836" s="12"/>
      <c r="J17836" s="12"/>
      <c r="K17836" s="12"/>
      <c r="L17836" s="12"/>
      <c r="M17836" s="11"/>
      <c r="N17836" s="11"/>
      <c r="O17836" s="11"/>
      <c r="P17836" s="11"/>
    </row>
    <row r="17837" spans="8:16" x14ac:dyDescent="0.25">
      <c r="H17837" s="12"/>
      <c r="I17837" s="12"/>
      <c r="J17837" s="12"/>
      <c r="K17837" s="12"/>
      <c r="L17837" s="12"/>
      <c r="M17837" s="11"/>
      <c r="N17837" s="11"/>
      <c r="O17837" s="11"/>
      <c r="P17837" s="11"/>
    </row>
    <row r="17838" spans="8:16" x14ac:dyDescent="0.25">
      <c r="H17838" s="12"/>
      <c r="I17838" s="12"/>
      <c r="J17838" s="12"/>
      <c r="K17838" s="12"/>
      <c r="L17838" s="12"/>
      <c r="M17838" s="11"/>
      <c r="N17838" s="11"/>
      <c r="O17838" s="11"/>
      <c r="P17838" s="11"/>
    </row>
    <row r="17839" spans="8:16" x14ac:dyDescent="0.25">
      <c r="H17839" s="12"/>
      <c r="I17839" s="12"/>
      <c r="J17839" s="12"/>
      <c r="K17839" s="12"/>
      <c r="L17839" s="12"/>
      <c r="M17839" s="11"/>
      <c r="N17839" s="11"/>
      <c r="O17839" s="11"/>
      <c r="P17839" s="11"/>
    </row>
    <row r="17840" spans="8:16" x14ac:dyDescent="0.25">
      <c r="H17840" s="12"/>
      <c r="I17840" s="12"/>
      <c r="J17840" s="12"/>
      <c r="K17840" s="12"/>
      <c r="L17840" s="12"/>
      <c r="M17840" s="11"/>
      <c r="N17840" s="11"/>
      <c r="O17840" s="11"/>
      <c r="P17840" s="11"/>
    </row>
    <row r="17841" spans="8:16" x14ac:dyDescent="0.25">
      <c r="H17841" s="12"/>
      <c r="I17841" s="12"/>
      <c r="J17841" s="12"/>
      <c r="K17841" s="12"/>
      <c r="L17841" s="12"/>
      <c r="M17841" s="11"/>
      <c r="N17841" s="11"/>
      <c r="O17841" s="11"/>
      <c r="P17841" s="11"/>
    </row>
    <row r="17842" spans="8:16" x14ac:dyDescent="0.25">
      <c r="H17842" s="12"/>
      <c r="I17842" s="12"/>
      <c r="J17842" s="12"/>
      <c r="K17842" s="12"/>
      <c r="L17842" s="12"/>
      <c r="M17842" s="11"/>
      <c r="N17842" s="11"/>
      <c r="O17842" s="11"/>
      <c r="P17842" s="11"/>
    </row>
    <row r="17843" spans="8:16" x14ac:dyDescent="0.25">
      <c r="H17843" s="12"/>
      <c r="I17843" s="12"/>
      <c r="J17843" s="12"/>
      <c r="K17843" s="12"/>
      <c r="L17843" s="12"/>
      <c r="M17843" s="11"/>
      <c r="N17843" s="11"/>
      <c r="O17843" s="11"/>
      <c r="P17843" s="11"/>
    </row>
    <row r="17844" spans="8:16" x14ac:dyDescent="0.25">
      <c r="H17844" s="12"/>
      <c r="I17844" s="12"/>
      <c r="J17844" s="12"/>
      <c r="K17844" s="12"/>
      <c r="L17844" s="12"/>
      <c r="M17844" s="11"/>
      <c r="N17844" s="11"/>
      <c r="O17844" s="11"/>
      <c r="P17844" s="11"/>
    </row>
    <row r="17845" spans="8:16" x14ac:dyDescent="0.25">
      <c r="H17845" s="12"/>
      <c r="I17845" s="12"/>
      <c r="J17845" s="12"/>
      <c r="K17845" s="12"/>
      <c r="L17845" s="12"/>
      <c r="M17845" s="11"/>
      <c r="N17845" s="11"/>
      <c r="O17845" s="11"/>
      <c r="P17845" s="11"/>
    </row>
    <row r="17846" spans="8:16" x14ac:dyDescent="0.25">
      <c r="H17846" s="12"/>
      <c r="I17846" s="12"/>
      <c r="J17846" s="12"/>
      <c r="K17846" s="12"/>
      <c r="L17846" s="12"/>
      <c r="M17846" s="11"/>
      <c r="N17846" s="11"/>
      <c r="O17846" s="11"/>
      <c r="P17846" s="11"/>
    </row>
    <row r="17847" spans="8:16" x14ac:dyDescent="0.25">
      <c r="H17847" s="12"/>
      <c r="I17847" s="12"/>
      <c r="J17847" s="12"/>
      <c r="K17847" s="12"/>
      <c r="L17847" s="12"/>
      <c r="M17847" s="11"/>
      <c r="N17847" s="11"/>
      <c r="O17847" s="11"/>
      <c r="P17847" s="11"/>
    </row>
    <row r="17848" spans="8:16" x14ac:dyDescent="0.25">
      <c r="H17848" s="12"/>
      <c r="I17848" s="12"/>
      <c r="J17848" s="12"/>
      <c r="K17848" s="12"/>
      <c r="L17848" s="12"/>
      <c r="M17848" s="11"/>
      <c r="N17848" s="11"/>
      <c r="O17848" s="11"/>
      <c r="P17848" s="11"/>
    </row>
    <row r="17849" spans="8:16" x14ac:dyDescent="0.25">
      <c r="H17849" s="12"/>
      <c r="I17849" s="12"/>
      <c r="J17849" s="12"/>
      <c r="K17849" s="12"/>
      <c r="L17849" s="12"/>
      <c r="M17849" s="11"/>
      <c r="N17849" s="11"/>
      <c r="O17849" s="11"/>
      <c r="P17849" s="11"/>
    </row>
    <row r="17850" spans="8:16" x14ac:dyDescent="0.25">
      <c r="H17850" s="12"/>
      <c r="I17850" s="12"/>
      <c r="J17850" s="12"/>
      <c r="K17850" s="12"/>
      <c r="L17850" s="12"/>
      <c r="M17850" s="11"/>
      <c r="N17850" s="11"/>
      <c r="O17850" s="11"/>
      <c r="P17850" s="11"/>
    </row>
    <row r="17851" spans="8:16" x14ac:dyDescent="0.25">
      <c r="H17851" s="12"/>
      <c r="I17851" s="12"/>
      <c r="J17851" s="12"/>
      <c r="K17851" s="12"/>
      <c r="L17851" s="12"/>
      <c r="M17851" s="11"/>
      <c r="N17851" s="11"/>
      <c r="O17851" s="11"/>
      <c r="P17851" s="11"/>
    </row>
    <row r="17852" spans="8:16" x14ac:dyDescent="0.25">
      <c r="H17852" s="12"/>
      <c r="I17852" s="12"/>
      <c r="J17852" s="12"/>
      <c r="K17852" s="12"/>
      <c r="L17852" s="12"/>
      <c r="M17852" s="11"/>
      <c r="N17852" s="11"/>
      <c r="O17852" s="11"/>
      <c r="P17852" s="11"/>
    </row>
    <row r="17853" spans="8:16" x14ac:dyDescent="0.25">
      <c r="H17853" s="12"/>
      <c r="I17853" s="12"/>
      <c r="J17853" s="12"/>
      <c r="K17853" s="12"/>
      <c r="L17853" s="12"/>
      <c r="M17853" s="11"/>
      <c r="N17853" s="11"/>
      <c r="O17853" s="11"/>
      <c r="P17853" s="11"/>
    </row>
    <row r="17854" spans="8:16" x14ac:dyDescent="0.25">
      <c r="H17854" s="12"/>
      <c r="I17854" s="12"/>
      <c r="J17854" s="12"/>
      <c r="K17854" s="12"/>
      <c r="L17854" s="12"/>
      <c r="M17854" s="11"/>
      <c r="N17854" s="11"/>
      <c r="O17854" s="11"/>
      <c r="P17854" s="11"/>
    </row>
    <row r="17855" spans="8:16" x14ac:dyDescent="0.25">
      <c r="H17855" s="12"/>
      <c r="I17855" s="12"/>
      <c r="J17855" s="12"/>
      <c r="K17855" s="12"/>
      <c r="L17855" s="12"/>
      <c r="M17855" s="11"/>
      <c r="N17855" s="11"/>
      <c r="O17855" s="11"/>
      <c r="P17855" s="11"/>
    </row>
    <row r="17856" spans="8:16" x14ac:dyDescent="0.25">
      <c r="H17856" s="12"/>
      <c r="I17856" s="12"/>
      <c r="J17856" s="12"/>
      <c r="K17856" s="12"/>
      <c r="L17856" s="12"/>
      <c r="M17856" s="11"/>
      <c r="N17856" s="11"/>
      <c r="O17856" s="11"/>
      <c r="P17856" s="11"/>
    </row>
    <row r="17857" spans="8:16" x14ac:dyDescent="0.25">
      <c r="H17857" s="12"/>
      <c r="I17857" s="12"/>
      <c r="J17857" s="12"/>
      <c r="K17857" s="12"/>
      <c r="L17857" s="12"/>
      <c r="M17857" s="11"/>
      <c r="N17857" s="11"/>
      <c r="O17857" s="11"/>
      <c r="P17857" s="11"/>
    </row>
    <row r="17858" spans="8:16" x14ac:dyDescent="0.25">
      <c r="H17858" s="12"/>
      <c r="I17858" s="12"/>
      <c r="J17858" s="12"/>
      <c r="K17858" s="12"/>
      <c r="L17858" s="12"/>
      <c r="M17858" s="11"/>
      <c r="N17858" s="11"/>
      <c r="O17858" s="11"/>
      <c r="P17858" s="11"/>
    </row>
    <row r="17859" spans="8:16" x14ac:dyDescent="0.25">
      <c r="H17859" s="12"/>
      <c r="I17859" s="12"/>
      <c r="J17859" s="12"/>
      <c r="K17859" s="12"/>
      <c r="L17859" s="12"/>
      <c r="M17859" s="11"/>
      <c r="N17859" s="11"/>
      <c r="O17859" s="11"/>
      <c r="P17859" s="11"/>
    </row>
    <row r="17860" spans="8:16" x14ac:dyDescent="0.25">
      <c r="H17860" s="12"/>
      <c r="I17860" s="12"/>
      <c r="J17860" s="12"/>
      <c r="K17860" s="12"/>
      <c r="L17860" s="12"/>
      <c r="M17860" s="11"/>
      <c r="N17860" s="11"/>
      <c r="O17860" s="11"/>
      <c r="P17860" s="11"/>
    </row>
    <row r="17861" spans="8:16" x14ac:dyDescent="0.25">
      <c r="H17861" s="12"/>
      <c r="I17861" s="12"/>
      <c r="J17861" s="12"/>
      <c r="K17861" s="12"/>
      <c r="L17861" s="12"/>
      <c r="M17861" s="11"/>
      <c r="N17861" s="11"/>
      <c r="O17861" s="11"/>
      <c r="P17861" s="11"/>
    </row>
    <row r="17862" spans="8:16" x14ac:dyDescent="0.25">
      <c r="H17862" s="12"/>
      <c r="I17862" s="12"/>
      <c r="J17862" s="12"/>
      <c r="K17862" s="12"/>
      <c r="L17862" s="12"/>
      <c r="M17862" s="11"/>
      <c r="N17862" s="11"/>
      <c r="O17862" s="11"/>
      <c r="P17862" s="11"/>
    </row>
    <row r="17863" spans="8:16" x14ac:dyDescent="0.25">
      <c r="H17863" s="12"/>
      <c r="I17863" s="12"/>
      <c r="J17863" s="12"/>
      <c r="K17863" s="12"/>
      <c r="L17863" s="12"/>
      <c r="M17863" s="11"/>
      <c r="N17863" s="11"/>
      <c r="O17863" s="11"/>
      <c r="P17863" s="11"/>
    </row>
    <row r="17864" spans="8:16" x14ac:dyDescent="0.25">
      <c r="H17864" s="12"/>
      <c r="I17864" s="12"/>
      <c r="J17864" s="12"/>
      <c r="K17864" s="12"/>
      <c r="L17864" s="12"/>
      <c r="M17864" s="11"/>
      <c r="N17864" s="11"/>
      <c r="O17864" s="11"/>
      <c r="P17864" s="11"/>
    </row>
    <row r="17865" spans="8:16" x14ac:dyDescent="0.25">
      <c r="H17865" s="12"/>
      <c r="I17865" s="12"/>
      <c r="J17865" s="12"/>
      <c r="K17865" s="12"/>
      <c r="L17865" s="12"/>
      <c r="M17865" s="11"/>
      <c r="N17865" s="11"/>
      <c r="O17865" s="11"/>
      <c r="P17865" s="11"/>
    </row>
    <row r="17866" spans="8:16" x14ac:dyDescent="0.25">
      <c r="H17866" s="12"/>
      <c r="I17866" s="12"/>
      <c r="J17866" s="12"/>
      <c r="K17866" s="12"/>
      <c r="L17866" s="12"/>
      <c r="M17866" s="11"/>
      <c r="N17866" s="11"/>
      <c r="O17866" s="11"/>
      <c r="P17866" s="11"/>
    </row>
    <row r="17867" spans="8:16" x14ac:dyDescent="0.25">
      <c r="H17867" s="12"/>
      <c r="I17867" s="12"/>
      <c r="J17867" s="12"/>
      <c r="K17867" s="12"/>
      <c r="L17867" s="12"/>
      <c r="M17867" s="11"/>
      <c r="N17867" s="11"/>
      <c r="O17867" s="11"/>
      <c r="P17867" s="11"/>
    </row>
    <row r="17868" spans="8:16" x14ac:dyDescent="0.25">
      <c r="H17868" s="12"/>
      <c r="I17868" s="12"/>
      <c r="J17868" s="12"/>
      <c r="K17868" s="12"/>
      <c r="L17868" s="12"/>
      <c r="M17868" s="11"/>
      <c r="N17868" s="11"/>
      <c r="O17868" s="11"/>
      <c r="P17868" s="11"/>
    </row>
    <row r="17869" spans="8:16" x14ac:dyDescent="0.25">
      <c r="H17869" s="12"/>
      <c r="I17869" s="12"/>
      <c r="J17869" s="12"/>
      <c r="K17869" s="12"/>
      <c r="L17869" s="12"/>
      <c r="M17869" s="11"/>
      <c r="N17869" s="11"/>
      <c r="O17869" s="11"/>
      <c r="P17869" s="11"/>
    </row>
    <row r="17870" spans="8:16" x14ac:dyDescent="0.25">
      <c r="H17870" s="12"/>
      <c r="I17870" s="12"/>
      <c r="J17870" s="12"/>
      <c r="K17870" s="12"/>
      <c r="L17870" s="12"/>
      <c r="M17870" s="11"/>
      <c r="N17870" s="11"/>
      <c r="O17870" s="11"/>
      <c r="P17870" s="11"/>
    </row>
    <row r="17871" spans="8:16" x14ac:dyDescent="0.25">
      <c r="H17871" s="12"/>
      <c r="I17871" s="12"/>
      <c r="J17871" s="12"/>
      <c r="K17871" s="12"/>
      <c r="L17871" s="12"/>
      <c r="M17871" s="11"/>
      <c r="N17871" s="11"/>
      <c r="O17871" s="11"/>
      <c r="P17871" s="11"/>
    </row>
    <row r="17872" spans="8:16" x14ac:dyDescent="0.25">
      <c r="H17872" s="12"/>
      <c r="I17872" s="12"/>
      <c r="J17872" s="12"/>
      <c r="K17872" s="12"/>
      <c r="L17872" s="12"/>
      <c r="M17872" s="11"/>
      <c r="N17872" s="11"/>
      <c r="O17872" s="11"/>
      <c r="P17872" s="11"/>
    </row>
    <row r="17873" spans="8:16" x14ac:dyDescent="0.25">
      <c r="H17873" s="12"/>
      <c r="I17873" s="12"/>
      <c r="J17873" s="12"/>
      <c r="K17873" s="12"/>
      <c r="L17873" s="12"/>
      <c r="M17873" s="11"/>
      <c r="N17873" s="11"/>
      <c r="O17873" s="11"/>
      <c r="P17873" s="11"/>
    </row>
    <row r="17874" spans="8:16" x14ac:dyDescent="0.25">
      <c r="H17874" s="12"/>
      <c r="I17874" s="12"/>
      <c r="J17874" s="12"/>
      <c r="K17874" s="12"/>
      <c r="L17874" s="12"/>
      <c r="M17874" s="11"/>
      <c r="N17874" s="11"/>
      <c r="O17874" s="11"/>
      <c r="P17874" s="11"/>
    </row>
    <row r="17875" spans="8:16" x14ac:dyDescent="0.25">
      <c r="H17875" s="12"/>
      <c r="I17875" s="12"/>
      <c r="J17875" s="12"/>
      <c r="K17875" s="12"/>
      <c r="L17875" s="12"/>
      <c r="M17875" s="11"/>
      <c r="N17875" s="11"/>
      <c r="O17875" s="11"/>
      <c r="P17875" s="11"/>
    </row>
    <row r="17876" spans="8:16" x14ac:dyDescent="0.25">
      <c r="H17876" s="12"/>
      <c r="I17876" s="12"/>
      <c r="J17876" s="12"/>
      <c r="K17876" s="12"/>
      <c r="L17876" s="12"/>
      <c r="M17876" s="11"/>
      <c r="N17876" s="11"/>
      <c r="O17876" s="11"/>
      <c r="P17876" s="11"/>
    </row>
    <row r="17877" spans="8:16" x14ac:dyDescent="0.25">
      <c r="H17877" s="12"/>
      <c r="I17877" s="12"/>
      <c r="J17877" s="12"/>
      <c r="K17877" s="12"/>
      <c r="L17877" s="12"/>
      <c r="M17877" s="11"/>
      <c r="N17877" s="11"/>
      <c r="O17877" s="11"/>
      <c r="P17877" s="11"/>
    </row>
    <row r="17878" spans="8:16" x14ac:dyDescent="0.25">
      <c r="H17878" s="12"/>
      <c r="I17878" s="12"/>
      <c r="J17878" s="12"/>
      <c r="K17878" s="12"/>
      <c r="L17878" s="12"/>
      <c r="M17878" s="11"/>
      <c r="N17878" s="11"/>
      <c r="O17878" s="11"/>
      <c r="P17878" s="11"/>
    </row>
    <row r="17879" spans="8:16" x14ac:dyDescent="0.25">
      <c r="H17879" s="12"/>
      <c r="I17879" s="12"/>
      <c r="J17879" s="12"/>
      <c r="K17879" s="12"/>
      <c r="L17879" s="12"/>
      <c r="M17879" s="11"/>
      <c r="N17879" s="11"/>
      <c r="O17879" s="11"/>
      <c r="P17879" s="11"/>
    </row>
    <row r="17880" spans="8:16" x14ac:dyDescent="0.25">
      <c r="H17880" s="12"/>
      <c r="I17880" s="12"/>
      <c r="J17880" s="12"/>
      <c r="K17880" s="12"/>
      <c r="L17880" s="12"/>
      <c r="M17880" s="11"/>
      <c r="N17880" s="11"/>
      <c r="O17880" s="11"/>
      <c r="P17880" s="11"/>
    </row>
    <row r="17881" spans="8:16" x14ac:dyDescent="0.25">
      <c r="H17881" s="12"/>
      <c r="I17881" s="12"/>
      <c r="J17881" s="12"/>
      <c r="K17881" s="12"/>
      <c r="L17881" s="12"/>
      <c r="M17881" s="11"/>
      <c r="N17881" s="11"/>
      <c r="O17881" s="11"/>
      <c r="P17881" s="11"/>
    </row>
    <row r="17882" spans="8:16" x14ac:dyDescent="0.25">
      <c r="H17882" s="12"/>
      <c r="I17882" s="12"/>
      <c r="J17882" s="12"/>
      <c r="K17882" s="12"/>
      <c r="L17882" s="12"/>
      <c r="M17882" s="11"/>
      <c r="N17882" s="11"/>
      <c r="O17882" s="11"/>
      <c r="P17882" s="11"/>
    </row>
    <row r="17883" spans="8:16" x14ac:dyDescent="0.25">
      <c r="H17883" s="12"/>
      <c r="I17883" s="12"/>
      <c r="J17883" s="12"/>
      <c r="K17883" s="12"/>
      <c r="L17883" s="12"/>
      <c r="M17883" s="11"/>
      <c r="N17883" s="11"/>
      <c r="O17883" s="11"/>
      <c r="P17883" s="11"/>
    </row>
    <row r="17884" spans="8:16" x14ac:dyDescent="0.25">
      <c r="H17884" s="12"/>
      <c r="I17884" s="12"/>
      <c r="J17884" s="12"/>
      <c r="K17884" s="12"/>
      <c r="L17884" s="12"/>
      <c r="M17884" s="11"/>
      <c r="N17884" s="11"/>
      <c r="O17884" s="11"/>
      <c r="P17884" s="11"/>
    </row>
    <row r="17885" spans="8:16" x14ac:dyDescent="0.25">
      <c r="H17885" s="12"/>
      <c r="I17885" s="12"/>
      <c r="J17885" s="12"/>
      <c r="K17885" s="12"/>
      <c r="L17885" s="12"/>
      <c r="M17885" s="11"/>
      <c r="N17885" s="11"/>
      <c r="O17885" s="11"/>
      <c r="P17885" s="11"/>
    </row>
    <row r="17886" spans="8:16" x14ac:dyDescent="0.25">
      <c r="H17886" s="12"/>
      <c r="I17886" s="12"/>
      <c r="J17886" s="12"/>
      <c r="K17886" s="12"/>
      <c r="L17886" s="12"/>
      <c r="M17886" s="11"/>
      <c r="N17886" s="11"/>
      <c r="O17886" s="11"/>
      <c r="P17886" s="11"/>
    </row>
    <row r="17887" spans="8:16" x14ac:dyDescent="0.25">
      <c r="H17887" s="12"/>
      <c r="I17887" s="12"/>
      <c r="J17887" s="12"/>
      <c r="K17887" s="12"/>
      <c r="L17887" s="12"/>
      <c r="M17887" s="11"/>
      <c r="N17887" s="11"/>
      <c r="O17887" s="11"/>
      <c r="P17887" s="11"/>
    </row>
    <row r="17888" spans="8:16" x14ac:dyDescent="0.25">
      <c r="H17888" s="12"/>
      <c r="I17888" s="12"/>
      <c r="J17888" s="12"/>
      <c r="K17888" s="12"/>
      <c r="L17888" s="12"/>
      <c r="M17888" s="11"/>
      <c r="N17888" s="11"/>
      <c r="O17888" s="11"/>
      <c r="P17888" s="11"/>
    </row>
    <row r="17889" spans="8:16" x14ac:dyDescent="0.25">
      <c r="H17889" s="12"/>
      <c r="I17889" s="12"/>
      <c r="J17889" s="12"/>
      <c r="K17889" s="12"/>
      <c r="L17889" s="12"/>
      <c r="M17889" s="11"/>
      <c r="N17889" s="11"/>
      <c r="O17889" s="11"/>
      <c r="P17889" s="11"/>
    </row>
    <row r="17890" spans="8:16" x14ac:dyDescent="0.25">
      <c r="H17890" s="12"/>
      <c r="I17890" s="12"/>
      <c r="J17890" s="12"/>
      <c r="K17890" s="12"/>
      <c r="L17890" s="12"/>
      <c r="M17890" s="11"/>
      <c r="N17890" s="11"/>
      <c r="O17890" s="11"/>
      <c r="P17890" s="11"/>
    </row>
    <row r="17891" spans="8:16" x14ac:dyDescent="0.25">
      <c r="H17891" s="12"/>
      <c r="I17891" s="12"/>
      <c r="J17891" s="12"/>
      <c r="K17891" s="12"/>
      <c r="L17891" s="12"/>
      <c r="M17891" s="11"/>
      <c r="N17891" s="11"/>
      <c r="O17891" s="11"/>
      <c r="P17891" s="11"/>
    </row>
    <row r="17892" spans="8:16" x14ac:dyDescent="0.25">
      <c r="H17892" s="12"/>
      <c r="I17892" s="12"/>
      <c r="J17892" s="12"/>
      <c r="K17892" s="12"/>
      <c r="L17892" s="12"/>
      <c r="M17892" s="11"/>
      <c r="N17892" s="11"/>
      <c r="O17892" s="11"/>
      <c r="P17892" s="11"/>
    </row>
    <row r="17893" spans="8:16" x14ac:dyDescent="0.25">
      <c r="H17893" s="12"/>
      <c r="I17893" s="12"/>
      <c r="J17893" s="12"/>
      <c r="K17893" s="12"/>
      <c r="L17893" s="12"/>
      <c r="M17893" s="11"/>
      <c r="N17893" s="11"/>
      <c r="O17893" s="11"/>
      <c r="P17893" s="11"/>
    </row>
    <row r="17894" spans="8:16" x14ac:dyDescent="0.25">
      <c r="H17894" s="12"/>
      <c r="I17894" s="12"/>
      <c r="J17894" s="12"/>
      <c r="K17894" s="12"/>
      <c r="L17894" s="12"/>
      <c r="M17894" s="11"/>
      <c r="N17894" s="11"/>
      <c r="O17894" s="11"/>
      <c r="P17894" s="11"/>
    </row>
    <row r="17895" spans="8:16" x14ac:dyDescent="0.25">
      <c r="H17895" s="12"/>
      <c r="I17895" s="12"/>
      <c r="J17895" s="12"/>
      <c r="K17895" s="12"/>
      <c r="L17895" s="12"/>
      <c r="M17895" s="11"/>
      <c r="N17895" s="11"/>
      <c r="O17895" s="11"/>
      <c r="P17895" s="11"/>
    </row>
    <row r="17896" spans="8:16" x14ac:dyDescent="0.25">
      <c r="H17896" s="12"/>
      <c r="I17896" s="12"/>
      <c r="J17896" s="12"/>
      <c r="K17896" s="12"/>
      <c r="L17896" s="12"/>
      <c r="M17896" s="11"/>
      <c r="N17896" s="11"/>
      <c r="O17896" s="11"/>
      <c r="P17896" s="11"/>
    </row>
    <row r="17897" spans="8:16" x14ac:dyDescent="0.25">
      <c r="H17897" s="12"/>
      <c r="I17897" s="12"/>
      <c r="J17897" s="12"/>
      <c r="K17897" s="12"/>
      <c r="L17897" s="12"/>
      <c r="M17897" s="11"/>
      <c r="N17897" s="11"/>
      <c r="O17897" s="11"/>
      <c r="P17897" s="11"/>
    </row>
    <row r="17898" spans="8:16" x14ac:dyDescent="0.25">
      <c r="H17898" s="12"/>
      <c r="I17898" s="12"/>
      <c r="J17898" s="12"/>
      <c r="K17898" s="12"/>
      <c r="L17898" s="12"/>
      <c r="M17898" s="11"/>
      <c r="N17898" s="11"/>
      <c r="O17898" s="11"/>
      <c r="P17898" s="11"/>
    </row>
    <row r="17899" spans="8:16" x14ac:dyDescent="0.25">
      <c r="H17899" s="12"/>
      <c r="I17899" s="12"/>
      <c r="J17899" s="12"/>
      <c r="K17899" s="12"/>
      <c r="L17899" s="12"/>
      <c r="M17899" s="11"/>
      <c r="N17899" s="11"/>
      <c r="O17899" s="11"/>
      <c r="P17899" s="11"/>
    </row>
    <row r="17900" spans="8:16" x14ac:dyDescent="0.25">
      <c r="H17900" s="12"/>
      <c r="I17900" s="12"/>
      <c r="J17900" s="12"/>
      <c r="K17900" s="12"/>
      <c r="L17900" s="12"/>
      <c r="M17900" s="11"/>
      <c r="N17900" s="11"/>
      <c r="O17900" s="11"/>
      <c r="P17900" s="11"/>
    </row>
    <row r="17901" spans="8:16" x14ac:dyDescent="0.25">
      <c r="H17901" s="12"/>
      <c r="I17901" s="12"/>
      <c r="J17901" s="12"/>
      <c r="K17901" s="12"/>
      <c r="L17901" s="12"/>
      <c r="M17901" s="11"/>
      <c r="N17901" s="11"/>
      <c r="O17901" s="11"/>
      <c r="P17901" s="11"/>
    </row>
    <row r="17902" spans="8:16" x14ac:dyDescent="0.25">
      <c r="H17902" s="12"/>
      <c r="I17902" s="12"/>
      <c r="J17902" s="12"/>
      <c r="K17902" s="12"/>
      <c r="L17902" s="12"/>
      <c r="M17902" s="11"/>
      <c r="N17902" s="11"/>
      <c r="O17902" s="11"/>
      <c r="P17902" s="11"/>
    </row>
    <row r="17903" spans="8:16" x14ac:dyDescent="0.25">
      <c r="H17903" s="12"/>
      <c r="I17903" s="12"/>
      <c r="J17903" s="12"/>
      <c r="K17903" s="12"/>
      <c r="L17903" s="12"/>
      <c r="M17903" s="11"/>
      <c r="N17903" s="11"/>
      <c r="O17903" s="11"/>
      <c r="P17903" s="11"/>
    </row>
    <row r="17904" spans="8:16" x14ac:dyDescent="0.25">
      <c r="H17904" s="12"/>
      <c r="I17904" s="12"/>
      <c r="J17904" s="12"/>
      <c r="K17904" s="12"/>
      <c r="L17904" s="12"/>
      <c r="M17904" s="11"/>
      <c r="N17904" s="11"/>
      <c r="O17904" s="11"/>
      <c r="P17904" s="11"/>
    </row>
    <row r="17905" spans="8:16" x14ac:dyDescent="0.25">
      <c r="H17905" s="12"/>
      <c r="I17905" s="12"/>
      <c r="J17905" s="12"/>
      <c r="K17905" s="12"/>
      <c r="L17905" s="12"/>
      <c r="M17905" s="11"/>
      <c r="N17905" s="11"/>
      <c r="O17905" s="11"/>
      <c r="P17905" s="11"/>
    </row>
    <row r="17906" spans="8:16" x14ac:dyDescent="0.25">
      <c r="H17906" s="12"/>
      <c r="I17906" s="12"/>
      <c r="J17906" s="12"/>
      <c r="K17906" s="12"/>
      <c r="L17906" s="12"/>
      <c r="M17906" s="11"/>
      <c r="N17906" s="11"/>
      <c r="O17906" s="11"/>
      <c r="P17906" s="11"/>
    </row>
    <row r="17907" spans="8:16" x14ac:dyDescent="0.25">
      <c r="H17907" s="12"/>
      <c r="I17907" s="12"/>
      <c r="J17907" s="12"/>
      <c r="K17907" s="12"/>
      <c r="L17907" s="12"/>
      <c r="M17907" s="11"/>
      <c r="N17907" s="11"/>
      <c r="O17907" s="11"/>
      <c r="P17907" s="11"/>
    </row>
    <row r="17908" spans="8:16" x14ac:dyDescent="0.25">
      <c r="H17908" s="12"/>
      <c r="I17908" s="12"/>
      <c r="J17908" s="12"/>
      <c r="K17908" s="12"/>
      <c r="L17908" s="12"/>
      <c r="M17908" s="11"/>
      <c r="N17908" s="11"/>
      <c r="O17908" s="11"/>
      <c r="P17908" s="11"/>
    </row>
    <row r="17909" spans="8:16" x14ac:dyDescent="0.25">
      <c r="H17909" s="12"/>
      <c r="I17909" s="12"/>
      <c r="J17909" s="12"/>
      <c r="K17909" s="12"/>
      <c r="L17909" s="12"/>
      <c r="M17909" s="11"/>
      <c r="N17909" s="11"/>
      <c r="O17909" s="11"/>
      <c r="P17909" s="11"/>
    </row>
    <row r="17910" spans="8:16" x14ac:dyDescent="0.25">
      <c r="H17910" s="12"/>
      <c r="I17910" s="12"/>
      <c r="J17910" s="12"/>
      <c r="K17910" s="12"/>
      <c r="L17910" s="12"/>
      <c r="M17910" s="11"/>
      <c r="N17910" s="11"/>
      <c r="O17910" s="11"/>
      <c r="P17910" s="11"/>
    </row>
    <row r="17911" spans="8:16" x14ac:dyDescent="0.25">
      <c r="H17911" s="12"/>
      <c r="I17911" s="12"/>
      <c r="J17911" s="12"/>
      <c r="K17911" s="12"/>
      <c r="L17911" s="12"/>
      <c r="M17911" s="11"/>
      <c r="N17911" s="11"/>
      <c r="O17911" s="11"/>
      <c r="P17911" s="11"/>
    </row>
    <row r="17912" spans="8:16" x14ac:dyDescent="0.25">
      <c r="H17912" s="12"/>
      <c r="I17912" s="12"/>
      <c r="J17912" s="12"/>
      <c r="K17912" s="12"/>
      <c r="L17912" s="12"/>
      <c r="M17912" s="11"/>
      <c r="N17912" s="11"/>
      <c r="O17912" s="11"/>
      <c r="P17912" s="11"/>
    </row>
    <row r="17913" spans="8:16" x14ac:dyDescent="0.25">
      <c r="H17913" s="12"/>
      <c r="I17913" s="12"/>
      <c r="J17913" s="12"/>
      <c r="K17913" s="12"/>
      <c r="L17913" s="12"/>
      <c r="M17913" s="11"/>
      <c r="N17913" s="11"/>
      <c r="O17913" s="11"/>
      <c r="P17913" s="11"/>
    </row>
    <row r="17914" spans="8:16" x14ac:dyDescent="0.25">
      <c r="H17914" s="12"/>
      <c r="I17914" s="12"/>
      <c r="J17914" s="12"/>
      <c r="K17914" s="12"/>
      <c r="L17914" s="12"/>
      <c r="M17914" s="11"/>
      <c r="N17914" s="11"/>
      <c r="O17914" s="11"/>
      <c r="P17914" s="11"/>
    </row>
    <row r="17915" spans="8:16" x14ac:dyDescent="0.25">
      <c r="H17915" s="12"/>
      <c r="I17915" s="12"/>
      <c r="J17915" s="12"/>
      <c r="K17915" s="12"/>
      <c r="L17915" s="12"/>
      <c r="M17915" s="11"/>
      <c r="N17915" s="11"/>
      <c r="O17915" s="11"/>
      <c r="P17915" s="11"/>
    </row>
    <row r="17916" spans="8:16" x14ac:dyDescent="0.25">
      <c r="H17916" s="12"/>
      <c r="I17916" s="12"/>
      <c r="J17916" s="12"/>
      <c r="K17916" s="12"/>
      <c r="L17916" s="12"/>
      <c r="M17916" s="11"/>
      <c r="N17916" s="11"/>
      <c r="O17916" s="11"/>
      <c r="P17916" s="11"/>
    </row>
    <row r="17917" spans="8:16" x14ac:dyDescent="0.25">
      <c r="H17917" s="12"/>
      <c r="I17917" s="12"/>
      <c r="J17917" s="12"/>
      <c r="K17917" s="12"/>
      <c r="L17917" s="12"/>
      <c r="M17917" s="11"/>
      <c r="N17917" s="11"/>
      <c r="O17917" s="11"/>
      <c r="P17917" s="11"/>
    </row>
    <row r="17918" spans="8:16" x14ac:dyDescent="0.25">
      <c r="H17918" s="12"/>
      <c r="I17918" s="12"/>
      <c r="J17918" s="12"/>
      <c r="K17918" s="12"/>
      <c r="L17918" s="12"/>
      <c r="M17918" s="11"/>
      <c r="N17918" s="11"/>
      <c r="O17918" s="11"/>
      <c r="P17918" s="11"/>
    </row>
    <row r="17919" spans="8:16" x14ac:dyDescent="0.25">
      <c r="H17919" s="12"/>
      <c r="I17919" s="12"/>
      <c r="J17919" s="12"/>
      <c r="K17919" s="12"/>
      <c r="L17919" s="12"/>
      <c r="M17919" s="11"/>
      <c r="N17919" s="11"/>
      <c r="O17919" s="11"/>
      <c r="P17919" s="11"/>
    </row>
    <row r="17920" spans="8:16" x14ac:dyDescent="0.25">
      <c r="H17920" s="12"/>
      <c r="I17920" s="12"/>
      <c r="J17920" s="12"/>
      <c r="K17920" s="12"/>
      <c r="L17920" s="12"/>
      <c r="M17920" s="11"/>
      <c r="N17920" s="11"/>
      <c r="O17920" s="11"/>
      <c r="P17920" s="11"/>
    </row>
    <row r="17921" spans="8:16" x14ac:dyDescent="0.25">
      <c r="H17921" s="12"/>
      <c r="I17921" s="12"/>
      <c r="J17921" s="12"/>
      <c r="K17921" s="12"/>
      <c r="L17921" s="12"/>
      <c r="M17921" s="11"/>
      <c r="N17921" s="11"/>
      <c r="O17921" s="11"/>
      <c r="P17921" s="11"/>
    </row>
    <row r="17922" spans="8:16" x14ac:dyDescent="0.25">
      <c r="H17922" s="12"/>
      <c r="I17922" s="12"/>
      <c r="J17922" s="12"/>
      <c r="K17922" s="12"/>
      <c r="L17922" s="12"/>
      <c r="M17922" s="11"/>
      <c r="N17922" s="11"/>
      <c r="O17922" s="11"/>
      <c r="P17922" s="11"/>
    </row>
    <row r="17923" spans="8:16" x14ac:dyDescent="0.25">
      <c r="H17923" s="12"/>
      <c r="I17923" s="12"/>
      <c r="J17923" s="12"/>
      <c r="K17923" s="12"/>
      <c r="L17923" s="12"/>
      <c r="M17923" s="11"/>
      <c r="N17923" s="11"/>
      <c r="O17923" s="11"/>
      <c r="P17923" s="11"/>
    </row>
    <row r="17924" spans="8:16" x14ac:dyDescent="0.25">
      <c r="H17924" s="12"/>
      <c r="I17924" s="12"/>
      <c r="J17924" s="12"/>
      <c r="K17924" s="12"/>
      <c r="L17924" s="12"/>
      <c r="M17924" s="11"/>
      <c r="N17924" s="11"/>
      <c r="O17924" s="11"/>
      <c r="P17924" s="11"/>
    </row>
    <row r="17925" spans="8:16" x14ac:dyDescent="0.25">
      <c r="H17925" s="12"/>
      <c r="I17925" s="12"/>
      <c r="J17925" s="12"/>
      <c r="K17925" s="12"/>
      <c r="L17925" s="12"/>
      <c r="M17925" s="11"/>
      <c r="N17925" s="11"/>
      <c r="O17925" s="11"/>
      <c r="P17925" s="11"/>
    </row>
    <row r="17926" spans="8:16" x14ac:dyDescent="0.25">
      <c r="H17926" s="12"/>
      <c r="I17926" s="12"/>
      <c r="J17926" s="12"/>
      <c r="K17926" s="12"/>
      <c r="L17926" s="12"/>
      <c r="M17926" s="11"/>
      <c r="N17926" s="11"/>
      <c r="O17926" s="11"/>
      <c r="P17926" s="11"/>
    </row>
    <row r="17927" spans="8:16" x14ac:dyDescent="0.25">
      <c r="H17927" s="12"/>
      <c r="I17927" s="12"/>
      <c r="J17927" s="12"/>
      <c r="K17927" s="12"/>
      <c r="L17927" s="12"/>
      <c r="M17927" s="11"/>
      <c r="N17927" s="11"/>
      <c r="O17927" s="11"/>
      <c r="P17927" s="11"/>
    </row>
    <row r="17928" spans="8:16" x14ac:dyDescent="0.25">
      <c r="H17928" s="12"/>
      <c r="I17928" s="12"/>
      <c r="J17928" s="12"/>
      <c r="K17928" s="12"/>
      <c r="L17928" s="12"/>
      <c r="M17928" s="11"/>
      <c r="N17928" s="11"/>
      <c r="O17928" s="11"/>
      <c r="P17928" s="11"/>
    </row>
    <row r="17929" spans="8:16" x14ac:dyDescent="0.25">
      <c r="H17929" s="12"/>
      <c r="I17929" s="12"/>
      <c r="J17929" s="12"/>
      <c r="K17929" s="12"/>
      <c r="L17929" s="12"/>
      <c r="M17929" s="11"/>
      <c r="N17929" s="11"/>
      <c r="O17929" s="11"/>
      <c r="P17929" s="11"/>
    </row>
    <row r="17930" spans="8:16" x14ac:dyDescent="0.25">
      <c r="H17930" s="12"/>
      <c r="I17930" s="12"/>
      <c r="J17930" s="12"/>
      <c r="K17930" s="12"/>
      <c r="L17930" s="12"/>
      <c r="M17930" s="11"/>
      <c r="N17930" s="11"/>
      <c r="O17930" s="11"/>
      <c r="P17930" s="11"/>
    </row>
    <row r="17931" spans="8:16" x14ac:dyDescent="0.25">
      <c r="H17931" s="12"/>
      <c r="I17931" s="12"/>
      <c r="J17931" s="12"/>
      <c r="K17931" s="12"/>
      <c r="L17931" s="12"/>
      <c r="M17931" s="11"/>
      <c r="N17931" s="11"/>
      <c r="O17931" s="11"/>
      <c r="P17931" s="11"/>
    </row>
    <row r="17932" spans="8:16" x14ac:dyDescent="0.25">
      <c r="H17932" s="12"/>
      <c r="I17932" s="12"/>
      <c r="J17932" s="12"/>
      <c r="K17932" s="12"/>
      <c r="L17932" s="12"/>
      <c r="M17932" s="11"/>
      <c r="N17932" s="11"/>
      <c r="O17932" s="11"/>
      <c r="P17932" s="11"/>
    </row>
    <row r="17933" spans="8:16" x14ac:dyDescent="0.25">
      <c r="H17933" s="12"/>
      <c r="I17933" s="12"/>
      <c r="J17933" s="12"/>
      <c r="K17933" s="12"/>
      <c r="L17933" s="12"/>
      <c r="M17933" s="11"/>
      <c r="N17933" s="11"/>
      <c r="O17933" s="11"/>
      <c r="P17933" s="11"/>
    </row>
    <row r="17934" spans="8:16" x14ac:dyDescent="0.25">
      <c r="H17934" s="12"/>
      <c r="I17934" s="12"/>
      <c r="J17934" s="12"/>
      <c r="K17934" s="12"/>
      <c r="L17934" s="12"/>
      <c r="M17934" s="11"/>
      <c r="N17934" s="11"/>
      <c r="O17934" s="11"/>
      <c r="P17934" s="11"/>
    </row>
    <row r="17935" spans="8:16" x14ac:dyDescent="0.25">
      <c r="H17935" s="12"/>
      <c r="I17935" s="12"/>
      <c r="J17935" s="12"/>
      <c r="K17935" s="12"/>
      <c r="L17935" s="12"/>
      <c r="M17935" s="11"/>
      <c r="N17935" s="11"/>
      <c r="O17935" s="11"/>
      <c r="P17935" s="11"/>
    </row>
    <row r="17936" spans="8:16" x14ac:dyDescent="0.25">
      <c r="H17936" s="12"/>
      <c r="I17936" s="12"/>
      <c r="J17936" s="12"/>
      <c r="K17936" s="12"/>
      <c r="L17936" s="12"/>
      <c r="M17936" s="11"/>
      <c r="N17936" s="11"/>
      <c r="O17936" s="11"/>
      <c r="P17936" s="11"/>
    </row>
    <row r="17937" spans="8:16" x14ac:dyDescent="0.25">
      <c r="H17937" s="12"/>
      <c r="I17937" s="12"/>
      <c r="J17937" s="12"/>
      <c r="K17937" s="12"/>
      <c r="L17937" s="12"/>
      <c r="M17937" s="11"/>
      <c r="N17937" s="11"/>
      <c r="O17937" s="11"/>
      <c r="P17937" s="11"/>
    </row>
    <row r="17938" spans="8:16" x14ac:dyDescent="0.25">
      <c r="H17938" s="12"/>
      <c r="I17938" s="12"/>
      <c r="J17938" s="12"/>
      <c r="K17938" s="12"/>
      <c r="L17938" s="12"/>
      <c r="M17938" s="11"/>
      <c r="N17938" s="11"/>
      <c r="O17938" s="11"/>
      <c r="P17938" s="11"/>
    </row>
    <row r="17939" spans="8:16" x14ac:dyDescent="0.25">
      <c r="H17939" s="12"/>
      <c r="I17939" s="12"/>
      <c r="J17939" s="12"/>
      <c r="K17939" s="12"/>
      <c r="L17939" s="12"/>
      <c r="M17939" s="11"/>
      <c r="N17939" s="11"/>
      <c r="O17939" s="11"/>
      <c r="P17939" s="11"/>
    </row>
    <row r="17940" spans="8:16" x14ac:dyDescent="0.25">
      <c r="H17940" s="12"/>
      <c r="I17940" s="12"/>
      <c r="J17940" s="12"/>
      <c r="K17940" s="12"/>
      <c r="L17940" s="12"/>
      <c r="M17940" s="11"/>
      <c r="N17940" s="11"/>
      <c r="O17940" s="11"/>
      <c r="P17940" s="11"/>
    </row>
    <row r="17941" spans="8:16" x14ac:dyDescent="0.25">
      <c r="H17941" s="12"/>
      <c r="I17941" s="12"/>
      <c r="J17941" s="12"/>
      <c r="K17941" s="12"/>
      <c r="L17941" s="12"/>
      <c r="M17941" s="11"/>
      <c r="N17941" s="11"/>
      <c r="O17941" s="11"/>
      <c r="P17941" s="11"/>
    </row>
    <row r="17942" spans="8:16" x14ac:dyDescent="0.25">
      <c r="H17942" s="12"/>
      <c r="I17942" s="12"/>
      <c r="J17942" s="12"/>
      <c r="K17942" s="12"/>
      <c r="L17942" s="12"/>
      <c r="M17942" s="11"/>
      <c r="N17942" s="11"/>
      <c r="O17942" s="11"/>
      <c r="P17942" s="11"/>
    </row>
    <row r="17943" spans="8:16" x14ac:dyDescent="0.25">
      <c r="H17943" s="12"/>
      <c r="I17943" s="12"/>
      <c r="J17943" s="12"/>
      <c r="K17943" s="12"/>
      <c r="L17943" s="12"/>
      <c r="M17943" s="11"/>
      <c r="N17943" s="11"/>
      <c r="O17943" s="11"/>
      <c r="P17943" s="11"/>
    </row>
    <row r="17944" spans="8:16" x14ac:dyDescent="0.25">
      <c r="H17944" s="12"/>
      <c r="I17944" s="12"/>
      <c r="J17944" s="12"/>
      <c r="K17944" s="12"/>
      <c r="L17944" s="12"/>
      <c r="M17944" s="11"/>
      <c r="N17944" s="11"/>
      <c r="O17944" s="11"/>
      <c r="P17944" s="11"/>
    </row>
    <row r="17945" spans="8:16" x14ac:dyDescent="0.25">
      <c r="H17945" s="12"/>
      <c r="I17945" s="12"/>
      <c r="J17945" s="12"/>
      <c r="K17945" s="12"/>
      <c r="L17945" s="12"/>
      <c r="M17945" s="11"/>
      <c r="N17945" s="11"/>
      <c r="O17945" s="11"/>
      <c r="P17945" s="11"/>
    </row>
    <row r="17946" spans="8:16" x14ac:dyDescent="0.25">
      <c r="H17946" s="12"/>
      <c r="I17946" s="12"/>
      <c r="J17946" s="12"/>
      <c r="K17946" s="12"/>
      <c r="L17946" s="12"/>
      <c r="M17946" s="11"/>
      <c r="N17946" s="11"/>
      <c r="O17946" s="11"/>
      <c r="P17946" s="11"/>
    </row>
    <row r="17947" spans="8:16" x14ac:dyDescent="0.25">
      <c r="H17947" s="12"/>
      <c r="I17947" s="12"/>
      <c r="J17947" s="12"/>
      <c r="K17947" s="12"/>
      <c r="L17947" s="12"/>
      <c r="M17947" s="11"/>
      <c r="N17947" s="11"/>
      <c r="O17947" s="11"/>
      <c r="P17947" s="11"/>
    </row>
    <row r="17948" spans="8:16" x14ac:dyDescent="0.25">
      <c r="H17948" s="12"/>
      <c r="I17948" s="12"/>
      <c r="J17948" s="12"/>
      <c r="K17948" s="12"/>
      <c r="L17948" s="12"/>
      <c r="M17948" s="11"/>
      <c r="N17948" s="11"/>
      <c r="O17948" s="11"/>
      <c r="P17948" s="11"/>
    </row>
    <row r="17949" spans="8:16" x14ac:dyDescent="0.25">
      <c r="H17949" s="12"/>
      <c r="I17949" s="12"/>
      <c r="J17949" s="12"/>
      <c r="K17949" s="12"/>
      <c r="L17949" s="12"/>
      <c r="M17949" s="11"/>
      <c r="N17949" s="11"/>
      <c r="O17949" s="11"/>
      <c r="P17949" s="11"/>
    </row>
    <row r="17950" spans="8:16" x14ac:dyDescent="0.25">
      <c r="H17950" s="12"/>
      <c r="I17950" s="12"/>
      <c r="J17950" s="12"/>
      <c r="K17950" s="12"/>
      <c r="L17950" s="12"/>
      <c r="M17950" s="11"/>
      <c r="N17950" s="11"/>
      <c r="O17950" s="11"/>
      <c r="P17950" s="11"/>
    </row>
    <row r="17951" spans="8:16" x14ac:dyDescent="0.25">
      <c r="H17951" s="12"/>
      <c r="I17951" s="12"/>
      <c r="J17951" s="12"/>
      <c r="K17951" s="12"/>
      <c r="L17951" s="12"/>
      <c r="M17951" s="11"/>
      <c r="N17951" s="11"/>
      <c r="O17951" s="11"/>
      <c r="P17951" s="11"/>
    </row>
    <row r="17952" spans="8:16" x14ac:dyDescent="0.25">
      <c r="H17952" s="12"/>
      <c r="I17952" s="12"/>
      <c r="J17952" s="12"/>
      <c r="K17952" s="12"/>
      <c r="L17952" s="12"/>
      <c r="M17952" s="11"/>
      <c r="N17952" s="11"/>
      <c r="O17952" s="11"/>
      <c r="P17952" s="11"/>
    </row>
    <row r="17953" spans="8:16" x14ac:dyDescent="0.25">
      <c r="H17953" s="12"/>
      <c r="I17953" s="12"/>
      <c r="J17953" s="12"/>
      <c r="K17953" s="12"/>
      <c r="L17953" s="12"/>
      <c r="M17953" s="11"/>
      <c r="N17953" s="11"/>
      <c r="O17953" s="11"/>
      <c r="P17953" s="11"/>
    </row>
    <row r="17954" spans="8:16" x14ac:dyDescent="0.25">
      <c r="H17954" s="12"/>
      <c r="I17954" s="12"/>
      <c r="J17954" s="12"/>
      <c r="K17954" s="12"/>
      <c r="L17954" s="12"/>
      <c r="M17954" s="11"/>
      <c r="N17954" s="11"/>
      <c r="O17954" s="11"/>
      <c r="P17954" s="11"/>
    </row>
    <row r="17955" spans="8:16" x14ac:dyDescent="0.25">
      <c r="H17955" s="12"/>
      <c r="I17955" s="12"/>
      <c r="J17955" s="12"/>
      <c r="K17955" s="12"/>
      <c r="L17955" s="12"/>
      <c r="M17955" s="11"/>
      <c r="N17955" s="11"/>
      <c r="O17955" s="11"/>
      <c r="P17955" s="11"/>
    </row>
    <row r="17956" spans="8:16" x14ac:dyDescent="0.25">
      <c r="H17956" s="12"/>
      <c r="I17956" s="12"/>
      <c r="J17956" s="12"/>
      <c r="K17956" s="12"/>
      <c r="L17956" s="12"/>
      <c r="M17956" s="11"/>
      <c r="N17956" s="11"/>
      <c r="O17956" s="11"/>
      <c r="P17956" s="11"/>
    </row>
    <row r="17957" spans="8:16" x14ac:dyDescent="0.25">
      <c r="H17957" s="12"/>
      <c r="I17957" s="12"/>
      <c r="J17957" s="12"/>
      <c r="K17957" s="12"/>
      <c r="L17957" s="12"/>
      <c r="M17957" s="11"/>
      <c r="N17957" s="11"/>
      <c r="O17957" s="11"/>
      <c r="P17957" s="11"/>
    </row>
    <row r="17958" spans="8:16" x14ac:dyDescent="0.25">
      <c r="H17958" s="12"/>
      <c r="I17958" s="12"/>
      <c r="J17958" s="12"/>
      <c r="K17958" s="12"/>
      <c r="L17958" s="12"/>
      <c r="M17958" s="11"/>
      <c r="N17958" s="11"/>
      <c r="O17958" s="11"/>
      <c r="P17958" s="11"/>
    </row>
    <row r="17959" spans="8:16" x14ac:dyDescent="0.25">
      <c r="H17959" s="12"/>
      <c r="I17959" s="12"/>
      <c r="J17959" s="12"/>
      <c r="K17959" s="12"/>
      <c r="L17959" s="12"/>
      <c r="M17959" s="11"/>
      <c r="N17959" s="11"/>
      <c r="O17959" s="11"/>
      <c r="P17959" s="11"/>
    </row>
    <row r="17960" spans="8:16" x14ac:dyDescent="0.25">
      <c r="H17960" s="12"/>
      <c r="I17960" s="12"/>
      <c r="J17960" s="12"/>
      <c r="K17960" s="12"/>
      <c r="L17960" s="12"/>
      <c r="M17960" s="11"/>
      <c r="N17960" s="11"/>
      <c r="O17960" s="11"/>
      <c r="P17960" s="11"/>
    </row>
    <row r="17961" spans="8:16" x14ac:dyDescent="0.25">
      <c r="H17961" s="12"/>
      <c r="I17961" s="12"/>
      <c r="J17961" s="12"/>
      <c r="K17961" s="12"/>
      <c r="L17961" s="12"/>
      <c r="M17961" s="11"/>
      <c r="N17961" s="11"/>
      <c r="O17961" s="11"/>
      <c r="P17961" s="11"/>
    </row>
    <row r="17962" spans="8:16" x14ac:dyDescent="0.25">
      <c r="H17962" s="12"/>
      <c r="I17962" s="12"/>
      <c r="J17962" s="12"/>
      <c r="K17962" s="12"/>
      <c r="L17962" s="12"/>
      <c r="M17962" s="11"/>
      <c r="N17962" s="11"/>
      <c r="O17962" s="11"/>
      <c r="P17962" s="11"/>
    </row>
    <row r="17963" spans="8:16" x14ac:dyDescent="0.25">
      <c r="H17963" s="12"/>
      <c r="I17963" s="12"/>
      <c r="J17963" s="12"/>
      <c r="K17963" s="12"/>
      <c r="L17963" s="12"/>
      <c r="M17963" s="11"/>
      <c r="N17963" s="11"/>
      <c r="O17963" s="11"/>
      <c r="P17963" s="11"/>
    </row>
    <row r="17964" spans="8:16" x14ac:dyDescent="0.25">
      <c r="H17964" s="12"/>
      <c r="I17964" s="12"/>
      <c r="J17964" s="12"/>
      <c r="K17964" s="12"/>
      <c r="L17964" s="12"/>
      <c r="M17964" s="11"/>
      <c r="N17964" s="11"/>
      <c r="O17964" s="11"/>
      <c r="P17964" s="11"/>
    </row>
    <row r="17965" spans="8:16" x14ac:dyDescent="0.25">
      <c r="H17965" s="12"/>
      <c r="I17965" s="12"/>
      <c r="J17965" s="12"/>
      <c r="K17965" s="12"/>
      <c r="L17965" s="12"/>
      <c r="M17965" s="11"/>
      <c r="N17965" s="11"/>
      <c r="O17965" s="11"/>
      <c r="P17965" s="11"/>
    </row>
    <row r="17966" spans="8:16" x14ac:dyDescent="0.25">
      <c r="H17966" s="12"/>
      <c r="I17966" s="12"/>
      <c r="J17966" s="12"/>
      <c r="K17966" s="12"/>
      <c r="L17966" s="12"/>
      <c r="M17966" s="11"/>
      <c r="N17966" s="11"/>
      <c r="O17966" s="11"/>
      <c r="P17966" s="11"/>
    </row>
    <row r="17967" spans="8:16" x14ac:dyDescent="0.25">
      <c r="H17967" s="12"/>
      <c r="I17967" s="12"/>
      <c r="J17967" s="12"/>
      <c r="K17967" s="12"/>
      <c r="L17967" s="12"/>
      <c r="M17967" s="11"/>
      <c r="N17967" s="11"/>
      <c r="O17967" s="11"/>
      <c r="P17967" s="11"/>
    </row>
    <row r="17968" spans="8:16" x14ac:dyDescent="0.25">
      <c r="H17968" s="12"/>
      <c r="I17968" s="12"/>
      <c r="J17968" s="12"/>
      <c r="K17968" s="12"/>
      <c r="L17968" s="12"/>
      <c r="M17968" s="11"/>
      <c r="N17968" s="11"/>
      <c r="O17968" s="11"/>
      <c r="P17968" s="11"/>
    </row>
    <row r="17969" spans="8:16" x14ac:dyDescent="0.25">
      <c r="H17969" s="12"/>
      <c r="I17969" s="12"/>
      <c r="J17969" s="12"/>
      <c r="K17969" s="12"/>
      <c r="L17969" s="12"/>
      <c r="M17969" s="11"/>
      <c r="N17969" s="11"/>
      <c r="O17969" s="11"/>
      <c r="P17969" s="11"/>
    </row>
    <row r="17970" spans="8:16" x14ac:dyDescent="0.25">
      <c r="H17970" s="12"/>
      <c r="I17970" s="12"/>
      <c r="J17970" s="12"/>
      <c r="K17970" s="12"/>
      <c r="L17970" s="12"/>
      <c r="M17970" s="11"/>
      <c r="N17970" s="11"/>
      <c r="O17970" s="11"/>
      <c r="P17970" s="11"/>
    </row>
    <row r="17971" spans="8:16" x14ac:dyDescent="0.25">
      <c r="H17971" s="12"/>
      <c r="I17971" s="12"/>
      <c r="J17971" s="12"/>
      <c r="K17971" s="12"/>
      <c r="L17971" s="12"/>
      <c r="M17971" s="11"/>
      <c r="N17971" s="11"/>
      <c r="O17971" s="11"/>
      <c r="P17971" s="11"/>
    </row>
    <row r="17972" spans="8:16" x14ac:dyDescent="0.25">
      <c r="H17972" s="12"/>
      <c r="I17972" s="12"/>
      <c r="J17972" s="12"/>
      <c r="K17972" s="12"/>
      <c r="L17972" s="12"/>
      <c r="M17972" s="11"/>
      <c r="N17972" s="11"/>
      <c r="O17972" s="11"/>
      <c r="P17972" s="11"/>
    </row>
    <row r="17973" spans="8:16" x14ac:dyDescent="0.25">
      <c r="H17973" s="12"/>
      <c r="I17973" s="12"/>
      <c r="J17973" s="12"/>
      <c r="K17973" s="12"/>
      <c r="L17973" s="12"/>
      <c r="M17973" s="11"/>
      <c r="N17973" s="11"/>
      <c r="O17973" s="11"/>
      <c r="P17973" s="11"/>
    </row>
    <row r="17974" spans="8:16" x14ac:dyDescent="0.25">
      <c r="H17974" s="12"/>
      <c r="I17974" s="12"/>
      <c r="J17974" s="12"/>
      <c r="K17974" s="12"/>
      <c r="L17974" s="12"/>
      <c r="M17974" s="11"/>
      <c r="N17974" s="11"/>
      <c r="O17974" s="11"/>
      <c r="P17974" s="11"/>
    </row>
    <row r="17975" spans="8:16" x14ac:dyDescent="0.25">
      <c r="H17975" s="12"/>
      <c r="I17975" s="12"/>
      <c r="J17975" s="12"/>
      <c r="K17975" s="12"/>
      <c r="L17975" s="12"/>
      <c r="M17975" s="11"/>
      <c r="N17975" s="11"/>
      <c r="O17975" s="11"/>
      <c r="P17975" s="11"/>
    </row>
    <row r="17976" spans="8:16" x14ac:dyDescent="0.25">
      <c r="H17976" s="12"/>
      <c r="I17976" s="12"/>
      <c r="J17976" s="12"/>
      <c r="K17976" s="12"/>
      <c r="L17976" s="12"/>
      <c r="M17976" s="11"/>
      <c r="N17976" s="11"/>
      <c r="O17976" s="11"/>
      <c r="P17976" s="11"/>
    </row>
    <row r="17977" spans="8:16" x14ac:dyDescent="0.25">
      <c r="H17977" s="12"/>
      <c r="I17977" s="12"/>
      <c r="J17977" s="12"/>
      <c r="K17977" s="12"/>
      <c r="L17977" s="12"/>
      <c r="M17977" s="11"/>
      <c r="N17977" s="11"/>
      <c r="O17977" s="11"/>
      <c r="P17977" s="11"/>
    </row>
    <row r="17978" spans="8:16" x14ac:dyDescent="0.25">
      <c r="H17978" s="12"/>
      <c r="I17978" s="12"/>
      <c r="J17978" s="12"/>
      <c r="K17978" s="12"/>
      <c r="L17978" s="12"/>
      <c r="M17978" s="11"/>
      <c r="N17978" s="11"/>
      <c r="O17978" s="11"/>
      <c r="P17978" s="11"/>
    </row>
    <row r="17979" spans="8:16" x14ac:dyDescent="0.25">
      <c r="H17979" s="12"/>
      <c r="I17979" s="12"/>
      <c r="J17979" s="12"/>
      <c r="K17979" s="12"/>
      <c r="L17979" s="12"/>
      <c r="M17979" s="11"/>
      <c r="N17979" s="11"/>
      <c r="O17979" s="11"/>
      <c r="P17979" s="11"/>
    </row>
    <row r="17980" spans="8:16" x14ac:dyDescent="0.25">
      <c r="H17980" s="12"/>
      <c r="I17980" s="12"/>
      <c r="J17980" s="12"/>
      <c r="K17980" s="12"/>
      <c r="L17980" s="12"/>
      <c r="M17980" s="11"/>
      <c r="N17980" s="11"/>
      <c r="O17980" s="11"/>
      <c r="P17980" s="11"/>
    </row>
    <row r="17981" spans="8:16" x14ac:dyDescent="0.25">
      <c r="H17981" s="12"/>
      <c r="I17981" s="12"/>
      <c r="J17981" s="12"/>
      <c r="K17981" s="12"/>
      <c r="L17981" s="12"/>
      <c r="M17981" s="11"/>
      <c r="N17981" s="11"/>
      <c r="O17981" s="11"/>
      <c r="P17981" s="11"/>
    </row>
    <row r="17982" spans="8:16" x14ac:dyDescent="0.25">
      <c r="H17982" s="12"/>
      <c r="I17982" s="12"/>
      <c r="J17982" s="12"/>
      <c r="K17982" s="12"/>
      <c r="L17982" s="12"/>
      <c r="M17982" s="11"/>
      <c r="N17982" s="11"/>
      <c r="O17982" s="11"/>
      <c r="P17982" s="11"/>
    </row>
    <row r="17983" spans="8:16" x14ac:dyDescent="0.25">
      <c r="H17983" s="12"/>
      <c r="I17983" s="12"/>
      <c r="J17983" s="12"/>
      <c r="K17983" s="12"/>
      <c r="L17983" s="12"/>
      <c r="M17983" s="11"/>
      <c r="N17983" s="11"/>
      <c r="O17983" s="11"/>
      <c r="P17983" s="11"/>
    </row>
    <row r="17984" spans="8:16" x14ac:dyDescent="0.25">
      <c r="H17984" s="12"/>
      <c r="I17984" s="12"/>
      <c r="J17984" s="12"/>
      <c r="K17984" s="12"/>
      <c r="L17984" s="12"/>
      <c r="M17984" s="11"/>
      <c r="N17984" s="11"/>
      <c r="O17984" s="11"/>
      <c r="P17984" s="11"/>
    </row>
    <row r="17985" spans="8:16" x14ac:dyDescent="0.25">
      <c r="H17985" s="12"/>
      <c r="I17985" s="12"/>
      <c r="J17985" s="12"/>
      <c r="K17985" s="12"/>
      <c r="L17985" s="12"/>
      <c r="M17985" s="11"/>
      <c r="N17985" s="11"/>
      <c r="O17985" s="11"/>
      <c r="P17985" s="11"/>
    </row>
    <row r="17986" spans="8:16" x14ac:dyDescent="0.25">
      <c r="H17986" s="12"/>
      <c r="I17986" s="12"/>
      <c r="J17986" s="12"/>
      <c r="K17986" s="12"/>
      <c r="L17986" s="12"/>
      <c r="M17986" s="11"/>
      <c r="N17986" s="11"/>
      <c r="O17986" s="11"/>
      <c r="P17986" s="11"/>
    </row>
    <row r="17987" spans="8:16" x14ac:dyDescent="0.25">
      <c r="H17987" s="12"/>
      <c r="I17987" s="12"/>
      <c r="J17987" s="12"/>
      <c r="K17987" s="12"/>
      <c r="L17987" s="12"/>
      <c r="M17987" s="11"/>
      <c r="N17987" s="11"/>
      <c r="O17987" s="11"/>
      <c r="P17987" s="11"/>
    </row>
    <row r="17988" spans="8:16" x14ac:dyDescent="0.25">
      <c r="H17988" s="12"/>
      <c r="I17988" s="12"/>
      <c r="J17988" s="12"/>
      <c r="K17988" s="12"/>
      <c r="L17988" s="12"/>
      <c r="M17988" s="11"/>
      <c r="N17988" s="11"/>
      <c r="O17988" s="11"/>
      <c r="P17988" s="11"/>
    </row>
    <row r="17989" spans="8:16" x14ac:dyDescent="0.25">
      <c r="H17989" s="12"/>
      <c r="I17989" s="12"/>
      <c r="J17989" s="12"/>
      <c r="K17989" s="12"/>
      <c r="L17989" s="12"/>
      <c r="M17989" s="11"/>
      <c r="N17989" s="11"/>
      <c r="O17989" s="11"/>
      <c r="P17989" s="11"/>
    </row>
    <row r="17990" spans="8:16" x14ac:dyDescent="0.25">
      <c r="H17990" s="12"/>
      <c r="I17990" s="12"/>
      <c r="J17990" s="12"/>
      <c r="K17990" s="12"/>
      <c r="L17990" s="12"/>
      <c r="M17990" s="11"/>
      <c r="N17990" s="11"/>
      <c r="O17990" s="11"/>
      <c r="P17990" s="11"/>
    </row>
    <row r="17991" spans="8:16" x14ac:dyDescent="0.25">
      <c r="H17991" s="12"/>
      <c r="I17991" s="12"/>
      <c r="J17991" s="12"/>
      <c r="K17991" s="12"/>
      <c r="L17991" s="12"/>
      <c r="M17991" s="11"/>
      <c r="N17991" s="11"/>
      <c r="O17991" s="11"/>
      <c r="P17991" s="11"/>
    </row>
    <row r="17992" spans="8:16" x14ac:dyDescent="0.25">
      <c r="H17992" s="12"/>
      <c r="I17992" s="12"/>
      <c r="J17992" s="12"/>
      <c r="K17992" s="12"/>
      <c r="L17992" s="12"/>
      <c r="M17992" s="11"/>
      <c r="N17992" s="11"/>
      <c r="O17992" s="11"/>
      <c r="P17992" s="11"/>
    </row>
    <row r="17993" spans="8:16" x14ac:dyDescent="0.25">
      <c r="H17993" s="12"/>
      <c r="I17993" s="12"/>
      <c r="J17993" s="12"/>
      <c r="K17993" s="12"/>
      <c r="L17993" s="12"/>
      <c r="M17993" s="11"/>
      <c r="N17993" s="11"/>
      <c r="O17993" s="11"/>
      <c r="P17993" s="11"/>
    </row>
    <row r="17994" spans="8:16" x14ac:dyDescent="0.25">
      <c r="H17994" s="12"/>
      <c r="I17994" s="12"/>
      <c r="J17994" s="12"/>
      <c r="K17994" s="12"/>
      <c r="L17994" s="12"/>
      <c r="M17994" s="11"/>
      <c r="N17994" s="11"/>
      <c r="O17994" s="11"/>
      <c r="P17994" s="11"/>
    </row>
    <row r="17995" spans="8:16" x14ac:dyDescent="0.25">
      <c r="H17995" s="12"/>
      <c r="I17995" s="12"/>
      <c r="J17995" s="12"/>
      <c r="K17995" s="12"/>
      <c r="L17995" s="12"/>
      <c r="M17995" s="11"/>
      <c r="N17995" s="11"/>
      <c r="O17995" s="11"/>
      <c r="P17995" s="11"/>
    </row>
    <row r="17996" spans="8:16" x14ac:dyDescent="0.25">
      <c r="H17996" s="12"/>
      <c r="I17996" s="12"/>
      <c r="J17996" s="12"/>
      <c r="K17996" s="12"/>
      <c r="L17996" s="12"/>
      <c r="M17996" s="11"/>
      <c r="N17996" s="11"/>
      <c r="O17996" s="11"/>
      <c r="P17996" s="11"/>
    </row>
    <row r="17997" spans="8:16" x14ac:dyDescent="0.25">
      <c r="H17997" s="12"/>
      <c r="I17997" s="12"/>
      <c r="J17997" s="12"/>
      <c r="K17997" s="12"/>
      <c r="L17997" s="12"/>
      <c r="M17997" s="11"/>
      <c r="N17997" s="11"/>
      <c r="O17997" s="11"/>
      <c r="P17997" s="11"/>
    </row>
    <row r="17998" spans="8:16" x14ac:dyDescent="0.25">
      <c r="H17998" s="12"/>
      <c r="I17998" s="12"/>
      <c r="J17998" s="12"/>
      <c r="K17998" s="12"/>
      <c r="L17998" s="12"/>
      <c r="M17998" s="11"/>
      <c r="N17998" s="11"/>
      <c r="O17998" s="11"/>
      <c r="P17998" s="11"/>
    </row>
    <row r="17999" spans="8:16" x14ac:dyDescent="0.25">
      <c r="H17999" s="12"/>
      <c r="I17999" s="12"/>
      <c r="J17999" s="12"/>
      <c r="K17999" s="12"/>
      <c r="L17999" s="12"/>
      <c r="M17999" s="11"/>
      <c r="N17999" s="11"/>
      <c r="O17999" s="11"/>
      <c r="P17999" s="11"/>
    </row>
    <row r="18000" spans="8:16" x14ac:dyDescent="0.25">
      <c r="H18000" s="12"/>
      <c r="I18000" s="12"/>
      <c r="J18000" s="12"/>
      <c r="K18000" s="12"/>
      <c r="L18000" s="12"/>
      <c r="M18000" s="11"/>
      <c r="N18000" s="11"/>
      <c r="O18000" s="11"/>
      <c r="P18000" s="11"/>
    </row>
    <row r="18001" spans="8:16" x14ac:dyDescent="0.25">
      <c r="H18001" s="12"/>
      <c r="I18001" s="12"/>
      <c r="J18001" s="12"/>
      <c r="K18001" s="12"/>
      <c r="L18001" s="12"/>
      <c r="M18001" s="11"/>
      <c r="N18001" s="11"/>
      <c r="O18001" s="11"/>
      <c r="P18001" s="11"/>
    </row>
    <row r="18002" spans="8:16" x14ac:dyDescent="0.25">
      <c r="H18002" s="12"/>
      <c r="I18002" s="12"/>
      <c r="J18002" s="12"/>
      <c r="K18002" s="12"/>
      <c r="L18002" s="12"/>
      <c r="M18002" s="11"/>
      <c r="N18002" s="11"/>
      <c r="O18002" s="11"/>
      <c r="P18002" s="11"/>
    </row>
    <row r="18003" spans="8:16" x14ac:dyDescent="0.25">
      <c r="H18003" s="12"/>
      <c r="I18003" s="12"/>
      <c r="J18003" s="12"/>
      <c r="K18003" s="12"/>
      <c r="L18003" s="12"/>
      <c r="M18003" s="11"/>
      <c r="N18003" s="11"/>
      <c r="O18003" s="11"/>
      <c r="P18003" s="11"/>
    </row>
    <row r="18004" spans="8:16" x14ac:dyDescent="0.25">
      <c r="H18004" s="12"/>
      <c r="I18004" s="12"/>
      <c r="J18004" s="12"/>
      <c r="K18004" s="12"/>
      <c r="L18004" s="12"/>
      <c r="M18004" s="11"/>
      <c r="N18004" s="11"/>
      <c r="O18004" s="11"/>
      <c r="P18004" s="11"/>
    </row>
    <row r="18005" spans="8:16" x14ac:dyDescent="0.25">
      <c r="H18005" s="12"/>
      <c r="I18005" s="12"/>
      <c r="J18005" s="12"/>
      <c r="K18005" s="12"/>
      <c r="L18005" s="12"/>
      <c r="M18005" s="11"/>
      <c r="N18005" s="11"/>
      <c r="O18005" s="11"/>
      <c r="P18005" s="11"/>
    </row>
    <row r="18006" spans="8:16" x14ac:dyDescent="0.25">
      <c r="H18006" s="12"/>
      <c r="I18006" s="12"/>
      <c r="J18006" s="12"/>
      <c r="K18006" s="12"/>
      <c r="L18006" s="12"/>
      <c r="M18006" s="11"/>
      <c r="N18006" s="11"/>
      <c r="O18006" s="11"/>
      <c r="P18006" s="11"/>
    </row>
    <row r="18007" spans="8:16" x14ac:dyDescent="0.25">
      <c r="H18007" s="12"/>
      <c r="I18007" s="12"/>
      <c r="J18007" s="12"/>
      <c r="K18007" s="12"/>
      <c r="L18007" s="12"/>
      <c r="M18007" s="11"/>
      <c r="N18007" s="11"/>
      <c r="O18007" s="11"/>
      <c r="P18007" s="11"/>
    </row>
    <row r="18008" spans="8:16" x14ac:dyDescent="0.25">
      <c r="H18008" s="12"/>
      <c r="I18008" s="12"/>
      <c r="J18008" s="12"/>
      <c r="K18008" s="12"/>
      <c r="L18008" s="12"/>
      <c r="M18008" s="11"/>
      <c r="N18008" s="11"/>
      <c r="O18008" s="11"/>
      <c r="P18008" s="11"/>
    </row>
    <row r="18009" spans="8:16" x14ac:dyDescent="0.25">
      <c r="H18009" s="12"/>
      <c r="I18009" s="12"/>
      <c r="J18009" s="12"/>
      <c r="K18009" s="12"/>
      <c r="L18009" s="12"/>
      <c r="M18009" s="11"/>
      <c r="N18009" s="11"/>
      <c r="O18009" s="11"/>
      <c r="P18009" s="11"/>
    </row>
    <row r="18010" spans="8:16" x14ac:dyDescent="0.25">
      <c r="H18010" s="12"/>
      <c r="I18010" s="12"/>
      <c r="J18010" s="12"/>
      <c r="K18010" s="12"/>
      <c r="L18010" s="12"/>
      <c r="M18010" s="11"/>
      <c r="N18010" s="11"/>
      <c r="O18010" s="11"/>
      <c r="P18010" s="11"/>
    </row>
    <row r="18011" spans="8:16" x14ac:dyDescent="0.25">
      <c r="H18011" s="12"/>
      <c r="I18011" s="12"/>
      <c r="J18011" s="12"/>
      <c r="K18011" s="12"/>
      <c r="L18011" s="12"/>
      <c r="M18011" s="11"/>
      <c r="N18011" s="11"/>
      <c r="O18011" s="11"/>
      <c r="P18011" s="11"/>
    </row>
    <row r="18012" spans="8:16" x14ac:dyDescent="0.25">
      <c r="H18012" s="12"/>
      <c r="I18012" s="12"/>
      <c r="J18012" s="12"/>
      <c r="K18012" s="12"/>
      <c r="L18012" s="12"/>
      <c r="M18012" s="11"/>
      <c r="N18012" s="11"/>
      <c r="O18012" s="11"/>
      <c r="P18012" s="11"/>
    </row>
    <row r="18013" spans="8:16" x14ac:dyDescent="0.25">
      <c r="H18013" s="12"/>
      <c r="I18013" s="12"/>
      <c r="J18013" s="12"/>
      <c r="K18013" s="12"/>
      <c r="L18013" s="12"/>
      <c r="M18013" s="11"/>
      <c r="N18013" s="11"/>
      <c r="O18013" s="11"/>
      <c r="P18013" s="11"/>
    </row>
    <row r="18014" spans="8:16" x14ac:dyDescent="0.25">
      <c r="H18014" s="12"/>
      <c r="I18014" s="12"/>
      <c r="J18014" s="12"/>
      <c r="K18014" s="12"/>
      <c r="L18014" s="12"/>
      <c r="M18014" s="11"/>
      <c r="N18014" s="11"/>
      <c r="O18014" s="11"/>
      <c r="P18014" s="11"/>
    </row>
    <row r="18015" spans="8:16" x14ac:dyDescent="0.25">
      <c r="H18015" s="12"/>
      <c r="I18015" s="12"/>
      <c r="J18015" s="12"/>
      <c r="K18015" s="12"/>
      <c r="L18015" s="12"/>
      <c r="M18015" s="11"/>
      <c r="N18015" s="11"/>
      <c r="O18015" s="11"/>
      <c r="P18015" s="11"/>
    </row>
    <row r="18016" spans="8:16" x14ac:dyDescent="0.25">
      <c r="H18016" s="12"/>
      <c r="I18016" s="12"/>
      <c r="J18016" s="12"/>
      <c r="K18016" s="12"/>
      <c r="L18016" s="12"/>
      <c r="M18016" s="11"/>
      <c r="N18016" s="11"/>
      <c r="O18016" s="11"/>
      <c r="P18016" s="11"/>
    </row>
    <row r="18017" spans="8:16" x14ac:dyDescent="0.25">
      <c r="H18017" s="12"/>
      <c r="I18017" s="12"/>
      <c r="J18017" s="12"/>
      <c r="K18017" s="12"/>
      <c r="L18017" s="12"/>
      <c r="M18017" s="11"/>
      <c r="N18017" s="11"/>
      <c r="O18017" s="11"/>
      <c r="P18017" s="11"/>
    </row>
    <row r="18018" spans="8:16" x14ac:dyDescent="0.25">
      <c r="H18018" s="12"/>
      <c r="I18018" s="12"/>
      <c r="J18018" s="12"/>
      <c r="K18018" s="12"/>
      <c r="L18018" s="12"/>
      <c r="M18018" s="11"/>
      <c r="N18018" s="11"/>
      <c r="O18018" s="11"/>
      <c r="P18018" s="11"/>
    </row>
    <row r="18019" spans="8:16" x14ac:dyDescent="0.25">
      <c r="H18019" s="12"/>
      <c r="I18019" s="12"/>
      <c r="J18019" s="12"/>
      <c r="K18019" s="12"/>
      <c r="L18019" s="12"/>
      <c r="M18019" s="11"/>
      <c r="N18019" s="11"/>
      <c r="O18019" s="11"/>
      <c r="P18019" s="11"/>
    </row>
    <row r="18020" spans="8:16" x14ac:dyDescent="0.25">
      <c r="H18020" s="12"/>
      <c r="I18020" s="12"/>
      <c r="J18020" s="12"/>
      <c r="K18020" s="12"/>
      <c r="L18020" s="12"/>
      <c r="M18020" s="11"/>
      <c r="N18020" s="11"/>
      <c r="O18020" s="11"/>
      <c r="P18020" s="11"/>
    </row>
    <row r="18021" spans="8:16" x14ac:dyDescent="0.25">
      <c r="H18021" s="12"/>
      <c r="I18021" s="12"/>
      <c r="J18021" s="12"/>
      <c r="K18021" s="12"/>
      <c r="L18021" s="12"/>
      <c r="M18021" s="11"/>
      <c r="N18021" s="11"/>
      <c r="O18021" s="11"/>
      <c r="P18021" s="11"/>
    </row>
    <row r="18022" spans="8:16" x14ac:dyDescent="0.25">
      <c r="H18022" s="12"/>
      <c r="I18022" s="12"/>
      <c r="J18022" s="12"/>
      <c r="K18022" s="12"/>
      <c r="L18022" s="12"/>
      <c r="M18022" s="11"/>
      <c r="N18022" s="11"/>
      <c r="O18022" s="11"/>
      <c r="P18022" s="11"/>
    </row>
    <row r="18023" spans="8:16" x14ac:dyDescent="0.25">
      <c r="H18023" s="12"/>
      <c r="I18023" s="12"/>
      <c r="J18023" s="12"/>
      <c r="K18023" s="12"/>
      <c r="L18023" s="12"/>
      <c r="M18023" s="11"/>
      <c r="N18023" s="11"/>
      <c r="O18023" s="11"/>
      <c r="P18023" s="11"/>
    </row>
    <row r="18024" spans="8:16" x14ac:dyDescent="0.25">
      <c r="H18024" s="12"/>
      <c r="I18024" s="12"/>
      <c r="J18024" s="12"/>
      <c r="K18024" s="12"/>
      <c r="L18024" s="12"/>
      <c r="M18024" s="11"/>
      <c r="N18024" s="11"/>
      <c r="O18024" s="11"/>
      <c r="P18024" s="11"/>
    </row>
    <row r="18025" spans="8:16" x14ac:dyDescent="0.25">
      <c r="H18025" s="12"/>
      <c r="I18025" s="12"/>
      <c r="J18025" s="12"/>
      <c r="K18025" s="12"/>
      <c r="L18025" s="12"/>
      <c r="M18025" s="11"/>
      <c r="N18025" s="11"/>
      <c r="O18025" s="11"/>
      <c r="P18025" s="11"/>
    </row>
    <row r="18026" spans="8:16" x14ac:dyDescent="0.25">
      <c r="H18026" s="12"/>
      <c r="I18026" s="12"/>
      <c r="J18026" s="12"/>
      <c r="K18026" s="12"/>
      <c r="L18026" s="12"/>
      <c r="M18026" s="11"/>
      <c r="N18026" s="11"/>
      <c r="O18026" s="11"/>
      <c r="P18026" s="11"/>
    </row>
    <row r="18027" spans="8:16" x14ac:dyDescent="0.25">
      <c r="H18027" s="12"/>
      <c r="I18027" s="12"/>
      <c r="J18027" s="12"/>
      <c r="K18027" s="12"/>
      <c r="L18027" s="12"/>
      <c r="M18027" s="11"/>
      <c r="N18027" s="11"/>
      <c r="O18027" s="11"/>
      <c r="P18027" s="11"/>
    </row>
    <row r="18028" spans="8:16" x14ac:dyDescent="0.25">
      <c r="H18028" s="12"/>
      <c r="I18028" s="12"/>
      <c r="J18028" s="12"/>
      <c r="K18028" s="12"/>
      <c r="L18028" s="12"/>
      <c r="M18028" s="11"/>
      <c r="N18028" s="11"/>
      <c r="O18028" s="11"/>
      <c r="P18028" s="11"/>
    </row>
    <row r="18029" spans="8:16" x14ac:dyDescent="0.25">
      <c r="H18029" s="12"/>
      <c r="I18029" s="12"/>
      <c r="J18029" s="12"/>
      <c r="K18029" s="12"/>
      <c r="L18029" s="12"/>
      <c r="M18029" s="11"/>
      <c r="N18029" s="11"/>
      <c r="O18029" s="11"/>
      <c r="P18029" s="11"/>
    </row>
    <row r="18030" spans="8:16" x14ac:dyDescent="0.25">
      <c r="H18030" s="12"/>
      <c r="I18030" s="12"/>
      <c r="J18030" s="12"/>
      <c r="K18030" s="12"/>
      <c r="L18030" s="12"/>
      <c r="M18030" s="11"/>
      <c r="N18030" s="11"/>
      <c r="O18030" s="11"/>
      <c r="P18030" s="11"/>
    </row>
    <row r="18031" spans="8:16" x14ac:dyDescent="0.25">
      <c r="H18031" s="12"/>
      <c r="I18031" s="12"/>
      <c r="J18031" s="12"/>
      <c r="K18031" s="12"/>
      <c r="L18031" s="12"/>
      <c r="M18031" s="11"/>
      <c r="N18031" s="11"/>
      <c r="O18031" s="11"/>
      <c r="P18031" s="11"/>
    </row>
    <row r="18032" spans="8:16" x14ac:dyDescent="0.25">
      <c r="H18032" s="12"/>
      <c r="I18032" s="12"/>
      <c r="J18032" s="12"/>
      <c r="K18032" s="12"/>
      <c r="L18032" s="12"/>
      <c r="M18032" s="11"/>
      <c r="N18032" s="11"/>
      <c r="O18032" s="11"/>
      <c r="P18032" s="11"/>
    </row>
    <row r="18033" spans="8:16" x14ac:dyDescent="0.25">
      <c r="H18033" s="12"/>
      <c r="I18033" s="12"/>
      <c r="J18033" s="12"/>
      <c r="K18033" s="12"/>
      <c r="L18033" s="12"/>
      <c r="M18033" s="11"/>
      <c r="N18033" s="11"/>
      <c r="O18033" s="11"/>
      <c r="P18033" s="11"/>
    </row>
    <row r="18034" spans="8:16" x14ac:dyDescent="0.25">
      <c r="H18034" s="12"/>
      <c r="I18034" s="12"/>
      <c r="J18034" s="12"/>
      <c r="K18034" s="12"/>
      <c r="L18034" s="12"/>
      <c r="M18034" s="11"/>
      <c r="N18034" s="11"/>
      <c r="O18034" s="11"/>
      <c r="P18034" s="11"/>
    </row>
    <row r="18035" spans="8:16" x14ac:dyDescent="0.25">
      <c r="H18035" s="12"/>
      <c r="I18035" s="12"/>
      <c r="J18035" s="12"/>
      <c r="K18035" s="12"/>
      <c r="L18035" s="12"/>
      <c r="M18035" s="11"/>
      <c r="N18035" s="11"/>
      <c r="O18035" s="11"/>
      <c r="P18035" s="11"/>
    </row>
    <row r="18036" spans="8:16" x14ac:dyDescent="0.25">
      <c r="H18036" s="12"/>
      <c r="I18036" s="12"/>
      <c r="J18036" s="12"/>
      <c r="K18036" s="12"/>
      <c r="L18036" s="12"/>
      <c r="M18036" s="11"/>
      <c r="N18036" s="11"/>
      <c r="O18036" s="11"/>
      <c r="P18036" s="11"/>
    </row>
    <row r="18037" spans="8:16" x14ac:dyDescent="0.25">
      <c r="H18037" s="12"/>
      <c r="I18037" s="12"/>
      <c r="J18037" s="12"/>
      <c r="K18037" s="12"/>
      <c r="L18037" s="12"/>
      <c r="M18037" s="11"/>
      <c r="N18037" s="11"/>
      <c r="O18037" s="11"/>
      <c r="P18037" s="11"/>
    </row>
    <row r="18038" spans="8:16" x14ac:dyDescent="0.25">
      <c r="H18038" s="12"/>
      <c r="I18038" s="12"/>
      <c r="J18038" s="12"/>
      <c r="K18038" s="12"/>
      <c r="L18038" s="12"/>
      <c r="M18038" s="11"/>
      <c r="N18038" s="11"/>
      <c r="O18038" s="11"/>
      <c r="P18038" s="11"/>
    </row>
    <row r="18039" spans="8:16" x14ac:dyDescent="0.25">
      <c r="H18039" s="12"/>
      <c r="I18039" s="12"/>
      <c r="J18039" s="12"/>
      <c r="K18039" s="12"/>
      <c r="L18039" s="12"/>
      <c r="M18039" s="11"/>
      <c r="N18039" s="11"/>
      <c r="O18039" s="11"/>
      <c r="P18039" s="11"/>
    </row>
    <row r="18040" spans="8:16" x14ac:dyDescent="0.25">
      <c r="H18040" s="12"/>
      <c r="I18040" s="12"/>
      <c r="J18040" s="12"/>
      <c r="K18040" s="12"/>
      <c r="L18040" s="12"/>
      <c r="M18040" s="11"/>
      <c r="N18040" s="11"/>
      <c r="O18040" s="11"/>
      <c r="P18040" s="11"/>
    </row>
    <row r="18041" spans="8:16" x14ac:dyDescent="0.25">
      <c r="H18041" s="12"/>
      <c r="I18041" s="12"/>
      <c r="J18041" s="12"/>
      <c r="K18041" s="12"/>
      <c r="L18041" s="12"/>
      <c r="M18041" s="11"/>
      <c r="N18041" s="11"/>
      <c r="O18041" s="11"/>
      <c r="P18041" s="11"/>
    </row>
    <row r="18042" spans="8:16" x14ac:dyDescent="0.25">
      <c r="H18042" s="12"/>
      <c r="I18042" s="12"/>
      <c r="J18042" s="12"/>
      <c r="K18042" s="12"/>
      <c r="L18042" s="12"/>
      <c r="M18042" s="11"/>
      <c r="N18042" s="11"/>
      <c r="O18042" s="11"/>
      <c r="P18042" s="11"/>
    </row>
    <row r="18043" spans="8:16" x14ac:dyDescent="0.25">
      <c r="H18043" s="12"/>
      <c r="I18043" s="12"/>
      <c r="J18043" s="12"/>
      <c r="K18043" s="12"/>
      <c r="L18043" s="12"/>
      <c r="M18043" s="11"/>
      <c r="N18043" s="11"/>
      <c r="O18043" s="11"/>
      <c r="P18043" s="11"/>
    </row>
    <row r="18044" spans="8:16" x14ac:dyDescent="0.25">
      <c r="H18044" s="12"/>
      <c r="I18044" s="12"/>
      <c r="J18044" s="12"/>
      <c r="K18044" s="12"/>
      <c r="L18044" s="12"/>
      <c r="M18044" s="11"/>
      <c r="N18044" s="11"/>
      <c r="O18044" s="11"/>
      <c r="P18044" s="11"/>
    </row>
    <row r="18045" spans="8:16" x14ac:dyDescent="0.25">
      <c r="H18045" s="12"/>
      <c r="I18045" s="12"/>
      <c r="J18045" s="12"/>
      <c r="K18045" s="12"/>
      <c r="L18045" s="12"/>
      <c r="M18045" s="11"/>
      <c r="N18045" s="11"/>
      <c r="O18045" s="11"/>
      <c r="P18045" s="11"/>
    </row>
    <row r="18046" spans="8:16" x14ac:dyDescent="0.25">
      <c r="H18046" s="12"/>
      <c r="I18046" s="12"/>
      <c r="J18046" s="12"/>
      <c r="K18046" s="12"/>
      <c r="L18046" s="12"/>
      <c r="M18046" s="11"/>
      <c r="N18046" s="11"/>
      <c r="O18046" s="11"/>
      <c r="P18046" s="11"/>
    </row>
    <row r="18047" spans="8:16" x14ac:dyDescent="0.25">
      <c r="H18047" s="12"/>
      <c r="I18047" s="12"/>
      <c r="J18047" s="12"/>
      <c r="K18047" s="12"/>
      <c r="L18047" s="12"/>
      <c r="M18047" s="11"/>
      <c r="N18047" s="11"/>
      <c r="O18047" s="11"/>
      <c r="P18047" s="11"/>
    </row>
    <row r="18048" spans="8:16" x14ac:dyDescent="0.25">
      <c r="H18048" s="12"/>
      <c r="I18048" s="12"/>
      <c r="J18048" s="12"/>
      <c r="K18048" s="12"/>
      <c r="L18048" s="12"/>
      <c r="M18048" s="11"/>
      <c r="N18048" s="11"/>
      <c r="O18048" s="11"/>
      <c r="P18048" s="11"/>
    </row>
    <row r="18049" spans="8:16" x14ac:dyDescent="0.25">
      <c r="H18049" s="12"/>
      <c r="I18049" s="12"/>
      <c r="J18049" s="12"/>
      <c r="K18049" s="12"/>
      <c r="L18049" s="12"/>
      <c r="M18049" s="11"/>
      <c r="N18049" s="11"/>
      <c r="O18049" s="11"/>
      <c r="P18049" s="11"/>
    </row>
    <row r="18050" spans="8:16" x14ac:dyDescent="0.25">
      <c r="H18050" s="12"/>
      <c r="I18050" s="12"/>
      <c r="J18050" s="12"/>
      <c r="K18050" s="12"/>
      <c r="L18050" s="12"/>
      <c r="M18050" s="11"/>
      <c r="N18050" s="11"/>
      <c r="O18050" s="11"/>
      <c r="P18050" s="11"/>
    </row>
    <row r="18051" spans="8:16" x14ac:dyDescent="0.25">
      <c r="H18051" s="12"/>
      <c r="I18051" s="12"/>
      <c r="J18051" s="12"/>
      <c r="K18051" s="12"/>
      <c r="L18051" s="12"/>
      <c r="M18051" s="11"/>
      <c r="N18051" s="11"/>
      <c r="O18051" s="11"/>
      <c r="P18051" s="11"/>
    </row>
    <row r="18052" spans="8:16" x14ac:dyDescent="0.25">
      <c r="H18052" s="12"/>
      <c r="I18052" s="12"/>
      <c r="J18052" s="12"/>
      <c r="K18052" s="12"/>
      <c r="L18052" s="12"/>
      <c r="M18052" s="11"/>
      <c r="N18052" s="11"/>
      <c r="O18052" s="11"/>
      <c r="P18052" s="11"/>
    </row>
    <row r="18053" spans="8:16" x14ac:dyDescent="0.25">
      <c r="H18053" s="12"/>
      <c r="I18053" s="12"/>
      <c r="J18053" s="12"/>
      <c r="K18053" s="12"/>
      <c r="L18053" s="12"/>
      <c r="M18053" s="11"/>
      <c r="N18053" s="11"/>
      <c r="O18053" s="11"/>
      <c r="P18053" s="11"/>
    </row>
    <row r="18054" spans="8:16" x14ac:dyDescent="0.25">
      <c r="H18054" s="12"/>
      <c r="I18054" s="12"/>
      <c r="J18054" s="12"/>
      <c r="K18054" s="12"/>
      <c r="L18054" s="12"/>
      <c r="M18054" s="11"/>
      <c r="N18054" s="11"/>
      <c r="O18054" s="11"/>
      <c r="P18054" s="11"/>
    </row>
    <row r="18055" spans="8:16" x14ac:dyDescent="0.25">
      <c r="H18055" s="12"/>
      <c r="I18055" s="12"/>
      <c r="J18055" s="12"/>
      <c r="K18055" s="12"/>
      <c r="L18055" s="12"/>
      <c r="M18055" s="11"/>
      <c r="N18055" s="11"/>
      <c r="O18055" s="11"/>
      <c r="P18055" s="11"/>
    </row>
    <row r="18056" spans="8:16" x14ac:dyDescent="0.25">
      <c r="H18056" s="12"/>
      <c r="I18056" s="12"/>
      <c r="J18056" s="12"/>
      <c r="K18056" s="12"/>
      <c r="L18056" s="12"/>
      <c r="M18056" s="11"/>
      <c r="N18056" s="11"/>
      <c r="O18056" s="11"/>
      <c r="P18056" s="11"/>
    </row>
    <row r="18057" spans="8:16" x14ac:dyDescent="0.25">
      <c r="H18057" s="12"/>
      <c r="I18057" s="12"/>
      <c r="J18057" s="12"/>
      <c r="K18057" s="12"/>
      <c r="L18057" s="12"/>
      <c r="M18057" s="11"/>
      <c r="N18057" s="11"/>
      <c r="O18057" s="11"/>
      <c r="P18057" s="11"/>
    </row>
    <row r="18058" spans="8:16" x14ac:dyDescent="0.25">
      <c r="H18058" s="12"/>
      <c r="I18058" s="12"/>
      <c r="J18058" s="12"/>
      <c r="K18058" s="12"/>
      <c r="L18058" s="12"/>
      <c r="M18058" s="11"/>
      <c r="N18058" s="11"/>
      <c r="O18058" s="11"/>
      <c r="P18058" s="11"/>
    </row>
    <row r="18059" spans="8:16" x14ac:dyDescent="0.25">
      <c r="H18059" s="12"/>
      <c r="I18059" s="12"/>
      <c r="J18059" s="12"/>
      <c r="K18059" s="12"/>
      <c r="L18059" s="12"/>
      <c r="M18059" s="11"/>
      <c r="N18059" s="11"/>
      <c r="O18059" s="11"/>
      <c r="P18059" s="11"/>
    </row>
    <row r="18060" spans="8:16" x14ac:dyDescent="0.25">
      <c r="H18060" s="12"/>
      <c r="I18060" s="12"/>
      <c r="J18060" s="12"/>
      <c r="K18060" s="12"/>
      <c r="L18060" s="12"/>
      <c r="M18060" s="11"/>
      <c r="N18060" s="11"/>
      <c r="O18060" s="11"/>
      <c r="P18060" s="11"/>
    </row>
    <row r="18061" spans="8:16" x14ac:dyDescent="0.25">
      <c r="H18061" s="12"/>
      <c r="I18061" s="12"/>
      <c r="J18061" s="12"/>
      <c r="K18061" s="12"/>
      <c r="L18061" s="12"/>
      <c r="M18061" s="11"/>
      <c r="N18061" s="11"/>
      <c r="O18061" s="11"/>
      <c r="P18061" s="11"/>
    </row>
    <row r="18062" spans="8:16" x14ac:dyDescent="0.25">
      <c r="H18062" s="12"/>
      <c r="I18062" s="12"/>
      <c r="J18062" s="12"/>
      <c r="K18062" s="12"/>
      <c r="L18062" s="12"/>
      <c r="M18062" s="11"/>
      <c r="N18062" s="11"/>
      <c r="O18062" s="11"/>
      <c r="P18062" s="11"/>
    </row>
    <row r="18063" spans="8:16" x14ac:dyDescent="0.25">
      <c r="H18063" s="12"/>
      <c r="I18063" s="12"/>
      <c r="J18063" s="12"/>
      <c r="K18063" s="12"/>
      <c r="L18063" s="12"/>
      <c r="M18063" s="11"/>
      <c r="N18063" s="11"/>
      <c r="O18063" s="11"/>
      <c r="P18063" s="11"/>
    </row>
    <row r="18064" spans="8:16" x14ac:dyDescent="0.25">
      <c r="H18064" s="12"/>
      <c r="I18064" s="12"/>
      <c r="J18064" s="12"/>
      <c r="K18064" s="12"/>
      <c r="L18064" s="12"/>
      <c r="M18064" s="11"/>
      <c r="N18064" s="11"/>
      <c r="O18064" s="11"/>
      <c r="P18064" s="11"/>
    </row>
    <row r="18065" spans="8:16" x14ac:dyDescent="0.25">
      <c r="H18065" s="12"/>
      <c r="I18065" s="12"/>
      <c r="J18065" s="12"/>
      <c r="K18065" s="12"/>
      <c r="L18065" s="12"/>
      <c r="M18065" s="11"/>
      <c r="N18065" s="11"/>
      <c r="O18065" s="11"/>
      <c r="P18065" s="11"/>
    </row>
    <row r="18066" spans="8:16" x14ac:dyDescent="0.25">
      <c r="H18066" s="12"/>
      <c r="I18066" s="12"/>
      <c r="J18066" s="12"/>
      <c r="K18066" s="12"/>
      <c r="L18066" s="12"/>
      <c r="M18066" s="11"/>
      <c r="N18066" s="11"/>
      <c r="O18066" s="11"/>
      <c r="P18066" s="11"/>
    </row>
    <row r="18067" spans="8:16" x14ac:dyDescent="0.25">
      <c r="H18067" s="12"/>
      <c r="I18067" s="12"/>
      <c r="J18067" s="12"/>
      <c r="K18067" s="12"/>
      <c r="L18067" s="12"/>
      <c r="M18067" s="11"/>
      <c r="N18067" s="11"/>
      <c r="O18067" s="11"/>
      <c r="P18067" s="11"/>
    </row>
    <row r="18068" spans="8:16" x14ac:dyDescent="0.25">
      <c r="H18068" s="12"/>
      <c r="I18068" s="12"/>
      <c r="J18068" s="12"/>
      <c r="K18068" s="12"/>
      <c r="L18068" s="12"/>
      <c r="M18068" s="11"/>
      <c r="N18068" s="11"/>
      <c r="O18068" s="11"/>
      <c r="P18068" s="11"/>
    </row>
    <row r="18069" spans="8:16" x14ac:dyDescent="0.25">
      <c r="H18069" s="12"/>
      <c r="I18069" s="12"/>
      <c r="J18069" s="12"/>
      <c r="K18069" s="12"/>
      <c r="L18069" s="12"/>
      <c r="M18069" s="11"/>
      <c r="N18069" s="11"/>
      <c r="O18069" s="11"/>
      <c r="P18069" s="11"/>
    </row>
    <row r="18070" spans="8:16" x14ac:dyDescent="0.25">
      <c r="H18070" s="12"/>
      <c r="I18070" s="12"/>
      <c r="J18070" s="12"/>
      <c r="K18070" s="12"/>
      <c r="L18070" s="12"/>
      <c r="M18070" s="11"/>
      <c r="N18070" s="11"/>
      <c r="O18070" s="11"/>
      <c r="P18070" s="11"/>
    </row>
    <row r="18071" spans="8:16" x14ac:dyDescent="0.25">
      <c r="H18071" s="12"/>
      <c r="I18071" s="12"/>
      <c r="J18071" s="12"/>
      <c r="K18071" s="12"/>
      <c r="L18071" s="12"/>
      <c r="M18071" s="11"/>
      <c r="N18071" s="11"/>
      <c r="O18071" s="11"/>
      <c r="P18071" s="11"/>
    </row>
    <row r="18072" spans="8:16" x14ac:dyDescent="0.25">
      <c r="H18072" s="12"/>
      <c r="I18072" s="12"/>
      <c r="J18072" s="12"/>
      <c r="K18072" s="12"/>
      <c r="L18072" s="12"/>
      <c r="M18072" s="11"/>
      <c r="N18072" s="11"/>
      <c r="O18072" s="11"/>
      <c r="P18072" s="11"/>
    </row>
    <row r="18073" spans="8:16" x14ac:dyDescent="0.25">
      <c r="H18073" s="12"/>
      <c r="I18073" s="12"/>
      <c r="J18073" s="12"/>
      <c r="K18073" s="12"/>
      <c r="L18073" s="12"/>
      <c r="M18073" s="11"/>
      <c r="N18073" s="11"/>
      <c r="O18073" s="11"/>
      <c r="P18073" s="11"/>
    </row>
    <row r="18074" spans="8:16" x14ac:dyDescent="0.25">
      <c r="H18074" s="12"/>
      <c r="I18074" s="12"/>
      <c r="J18074" s="12"/>
      <c r="K18074" s="12"/>
      <c r="L18074" s="12"/>
      <c r="M18074" s="11"/>
      <c r="N18074" s="11"/>
      <c r="O18074" s="11"/>
      <c r="P18074" s="11"/>
    </row>
    <row r="18075" spans="8:16" x14ac:dyDescent="0.25">
      <c r="H18075" s="12"/>
      <c r="I18075" s="12"/>
      <c r="J18075" s="12"/>
      <c r="K18075" s="12"/>
      <c r="L18075" s="12"/>
      <c r="M18075" s="11"/>
      <c r="N18075" s="11"/>
      <c r="O18075" s="11"/>
      <c r="P18075" s="11"/>
    </row>
    <row r="18076" spans="8:16" x14ac:dyDescent="0.25">
      <c r="H18076" s="12"/>
      <c r="I18076" s="12"/>
      <c r="J18076" s="12"/>
      <c r="K18076" s="12"/>
      <c r="L18076" s="12"/>
      <c r="M18076" s="11"/>
      <c r="N18076" s="11"/>
      <c r="O18076" s="11"/>
      <c r="P18076" s="11"/>
    </row>
    <row r="18077" spans="8:16" x14ac:dyDescent="0.25">
      <c r="H18077" s="12"/>
      <c r="I18077" s="12"/>
      <c r="J18077" s="12"/>
      <c r="K18077" s="12"/>
      <c r="L18077" s="12"/>
      <c r="M18077" s="11"/>
      <c r="N18077" s="11"/>
      <c r="O18077" s="11"/>
      <c r="P18077" s="11"/>
    </row>
    <row r="18078" spans="8:16" x14ac:dyDescent="0.25">
      <c r="H18078" s="12"/>
      <c r="I18078" s="12"/>
      <c r="J18078" s="12"/>
      <c r="K18078" s="12"/>
      <c r="L18078" s="12"/>
      <c r="M18078" s="11"/>
      <c r="N18078" s="11"/>
      <c r="O18078" s="11"/>
      <c r="P18078" s="11"/>
    </row>
    <row r="18079" spans="8:16" x14ac:dyDescent="0.25">
      <c r="H18079" s="12"/>
      <c r="I18079" s="12"/>
      <c r="J18079" s="12"/>
      <c r="K18079" s="12"/>
      <c r="L18079" s="12"/>
      <c r="M18079" s="11"/>
      <c r="N18079" s="11"/>
      <c r="O18079" s="11"/>
      <c r="P18079" s="11"/>
    </row>
    <row r="18080" spans="8:16" x14ac:dyDescent="0.25">
      <c r="H18080" s="12"/>
      <c r="I18080" s="12"/>
      <c r="J18080" s="12"/>
      <c r="K18080" s="12"/>
      <c r="L18080" s="12"/>
      <c r="M18080" s="11"/>
      <c r="N18080" s="11"/>
      <c r="O18080" s="11"/>
      <c r="P18080" s="11"/>
    </row>
    <row r="18081" spans="8:16" x14ac:dyDescent="0.25">
      <c r="H18081" s="12"/>
      <c r="I18081" s="12"/>
      <c r="J18081" s="12"/>
      <c r="K18081" s="12"/>
      <c r="L18081" s="12"/>
      <c r="M18081" s="11"/>
      <c r="N18081" s="11"/>
      <c r="O18081" s="11"/>
      <c r="P18081" s="11"/>
    </row>
    <row r="18082" spans="8:16" x14ac:dyDescent="0.25">
      <c r="H18082" s="12"/>
      <c r="I18082" s="12"/>
      <c r="J18082" s="12"/>
      <c r="K18082" s="12"/>
      <c r="L18082" s="12"/>
      <c r="M18082" s="11"/>
      <c r="N18082" s="11"/>
      <c r="O18082" s="11"/>
      <c r="P18082" s="11"/>
    </row>
    <row r="18083" spans="8:16" x14ac:dyDescent="0.25">
      <c r="H18083" s="12"/>
      <c r="I18083" s="12"/>
      <c r="J18083" s="12"/>
      <c r="K18083" s="12"/>
      <c r="L18083" s="12"/>
      <c r="M18083" s="11"/>
      <c r="N18083" s="11"/>
      <c r="O18083" s="11"/>
      <c r="P18083" s="11"/>
    </row>
    <row r="18084" spans="8:16" x14ac:dyDescent="0.25">
      <c r="H18084" s="12"/>
      <c r="I18084" s="12"/>
      <c r="J18084" s="12"/>
      <c r="K18084" s="12"/>
      <c r="L18084" s="12"/>
      <c r="M18084" s="11"/>
      <c r="N18084" s="11"/>
      <c r="O18084" s="11"/>
      <c r="P18084" s="11"/>
    </row>
    <row r="18085" spans="8:16" x14ac:dyDescent="0.25">
      <c r="H18085" s="12"/>
      <c r="I18085" s="12"/>
      <c r="J18085" s="12"/>
      <c r="K18085" s="12"/>
      <c r="L18085" s="12"/>
      <c r="M18085" s="11"/>
      <c r="N18085" s="11"/>
      <c r="O18085" s="11"/>
      <c r="P18085" s="11"/>
    </row>
    <row r="18086" spans="8:16" x14ac:dyDescent="0.25">
      <c r="H18086" s="12"/>
      <c r="I18086" s="12"/>
      <c r="J18086" s="12"/>
      <c r="K18086" s="12"/>
      <c r="L18086" s="12"/>
      <c r="M18086" s="11"/>
      <c r="N18086" s="11"/>
      <c r="O18086" s="11"/>
      <c r="P18086" s="11"/>
    </row>
    <row r="18087" spans="8:16" x14ac:dyDescent="0.25">
      <c r="H18087" s="12"/>
      <c r="I18087" s="12"/>
      <c r="J18087" s="12"/>
      <c r="K18087" s="12"/>
      <c r="L18087" s="12"/>
      <c r="M18087" s="11"/>
      <c r="N18087" s="11"/>
      <c r="O18087" s="11"/>
      <c r="P18087" s="11"/>
    </row>
    <row r="18088" spans="8:16" x14ac:dyDescent="0.25">
      <c r="H18088" s="12"/>
      <c r="I18088" s="12"/>
      <c r="J18088" s="12"/>
      <c r="K18088" s="12"/>
      <c r="L18088" s="12"/>
      <c r="M18088" s="11"/>
      <c r="N18088" s="11"/>
      <c r="O18088" s="11"/>
      <c r="P18088" s="11"/>
    </row>
    <row r="18089" spans="8:16" x14ac:dyDescent="0.25">
      <c r="H18089" s="12"/>
      <c r="I18089" s="12"/>
      <c r="J18089" s="12"/>
      <c r="K18089" s="12"/>
      <c r="L18089" s="12"/>
      <c r="M18089" s="11"/>
      <c r="N18089" s="11"/>
      <c r="O18089" s="11"/>
      <c r="P18089" s="11"/>
    </row>
    <row r="18090" spans="8:16" x14ac:dyDescent="0.25">
      <c r="H18090" s="12"/>
      <c r="I18090" s="12"/>
      <c r="J18090" s="12"/>
      <c r="K18090" s="12"/>
      <c r="L18090" s="12"/>
      <c r="M18090" s="11"/>
      <c r="N18090" s="11"/>
      <c r="O18090" s="11"/>
      <c r="P18090" s="11"/>
    </row>
    <row r="18091" spans="8:16" x14ac:dyDescent="0.25">
      <c r="H18091" s="12"/>
      <c r="I18091" s="12"/>
      <c r="J18091" s="12"/>
      <c r="K18091" s="12"/>
      <c r="L18091" s="12"/>
      <c r="M18091" s="11"/>
      <c r="N18091" s="11"/>
      <c r="O18091" s="11"/>
      <c r="P18091" s="11"/>
    </row>
    <row r="18092" spans="8:16" x14ac:dyDescent="0.25">
      <c r="H18092" s="12"/>
      <c r="I18092" s="12"/>
      <c r="J18092" s="12"/>
      <c r="K18092" s="12"/>
      <c r="L18092" s="12"/>
      <c r="M18092" s="11"/>
      <c r="N18092" s="11"/>
      <c r="O18092" s="11"/>
      <c r="P18092" s="11"/>
    </row>
    <row r="18093" spans="8:16" x14ac:dyDescent="0.25">
      <c r="H18093" s="12"/>
      <c r="I18093" s="12"/>
      <c r="J18093" s="12"/>
      <c r="K18093" s="12"/>
      <c r="L18093" s="12"/>
      <c r="M18093" s="11"/>
      <c r="N18093" s="11"/>
      <c r="O18093" s="11"/>
      <c r="P18093" s="11"/>
    </row>
    <row r="18094" spans="8:16" x14ac:dyDescent="0.25">
      <c r="H18094" s="12"/>
      <c r="I18094" s="12"/>
      <c r="J18094" s="12"/>
      <c r="K18094" s="12"/>
      <c r="L18094" s="12"/>
      <c r="M18094" s="11"/>
      <c r="N18094" s="11"/>
      <c r="O18094" s="11"/>
      <c r="P18094" s="11"/>
    </row>
    <row r="18095" spans="8:16" x14ac:dyDescent="0.25">
      <c r="H18095" s="12"/>
      <c r="I18095" s="12"/>
      <c r="J18095" s="12"/>
      <c r="K18095" s="12"/>
      <c r="L18095" s="12"/>
      <c r="M18095" s="11"/>
      <c r="N18095" s="11"/>
      <c r="O18095" s="11"/>
      <c r="P18095" s="11"/>
    </row>
    <row r="18096" spans="8:16" x14ac:dyDescent="0.25">
      <c r="H18096" s="12"/>
      <c r="I18096" s="12"/>
      <c r="J18096" s="12"/>
      <c r="K18096" s="12"/>
      <c r="L18096" s="12"/>
      <c r="M18096" s="11"/>
      <c r="N18096" s="11"/>
      <c r="O18096" s="11"/>
      <c r="P18096" s="11"/>
    </row>
    <row r="18097" spans="8:16" x14ac:dyDescent="0.25">
      <c r="H18097" s="12"/>
      <c r="I18097" s="12"/>
      <c r="J18097" s="12"/>
      <c r="K18097" s="12"/>
      <c r="L18097" s="12"/>
      <c r="M18097" s="11"/>
      <c r="N18097" s="11"/>
      <c r="O18097" s="11"/>
      <c r="P18097" s="11"/>
    </row>
    <row r="18098" spans="8:16" x14ac:dyDescent="0.25">
      <c r="H18098" s="12"/>
      <c r="I18098" s="12"/>
      <c r="J18098" s="12"/>
      <c r="K18098" s="12"/>
      <c r="L18098" s="12"/>
      <c r="M18098" s="11"/>
      <c r="N18098" s="11"/>
      <c r="O18098" s="11"/>
      <c r="P18098" s="11"/>
    </row>
    <row r="18099" spans="8:16" x14ac:dyDescent="0.25">
      <c r="H18099" s="12"/>
      <c r="I18099" s="12"/>
      <c r="J18099" s="12"/>
      <c r="K18099" s="12"/>
      <c r="L18099" s="12"/>
      <c r="M18099" s="11"/>
      <c r="N18099" s="11"/>
      <c r="O18099" s="11"/>
      <c r="P18099" s="11"/>
    </row>
    <row r="18100" spans="8:16" x14ac:dyDescent="0.25">
      <c r="H18100" s="12"/>
      <c r="I18100" s="12"/>
      <c r="J18100" s="12"/>
      <c r="K18100" s="12"/>
      <c r="L18100" s="12"/>
      <c r="M18100" s="11"/>
      <c r="N18100" s="11"/>
      <c r="O18100" s="11"/>
      <c r="P18100" s="11"/>
    </row>
    <row r="18101" spans="8:16" x14ac:dyDescent="0.25">
      <c r="H18101" s="12"/>
      <c r="I18101" s="12"/>
      <c r="J18101" s="12"/>
      <c r="K18101" s="12"/>
      <c r="L18101" s="12"/>
      <c r="M18101" s="11"/>
      <c r="N18101" s="11"/>
      <c r="O18101" s="11"/>
      <c r="P18101" s="11"/>
    </row>
    <row r="18102" spans="8:16" x14ac:dyDescent="0.25">
      <c r="H18102" s="12"/>
      <c r="I18102" s="12"/>
      <c r="J18102" s="12"/>
      <c r="K18102" s="12"/>
      <c r="L18102" s="12"/>
      <c r="M18102" s="11"/>
      <c r="N18102" s="11"/>
      <c r="O18102" s="11"/>
      <c r="P18102" s="11"/>
    </row>
    <row r="18103" spans="8:16" x14ac:dyDescent="0.25">
      <c r="H18103" s="12"/>
      <c r="I18103" s="12"/>
      <c r="J18103" s="12"/>
      <c r="K18103" s="12"/>
      <c r="L18103" s="12"/>
      <c r="M18103" s="11"/>
      <c r="N18103" s="11"/>
      <c r="O18103" s="11"/>
      <c r="P18103" s="11"/>
    </row>
    <row r="18104" spans="8:16" x14ac:dyDescent="0.25">
      <c r="H18104" s="12"/>
      <c r="I18104" s="12"/>
      <c r="J18104" s="12"/>
      <c r="K18104" s="12"/>
      <c r="L18104" s="12"/>
      <c r="M18104" s="11"/>
      <c r="N18104" s="11"/>
      <c r="O18104" s="11"/>
      <c r="P18104" s="11"/>
    </row>
    <row r="18105" spans="8:16" x14ac:dyDescent="0.25">
      <c r="H18105" s="12"/>
      <c r="I18105" s="12"/>
      <c r="J18105" s="12"/>
      <c r="K18105" s="12"/>
      <c r="L18105" s="12"/>
      <c r="M18105" s="11"/>
      <c r="N18105" s="11"/>
      <c r="O18105" s="11"/>
      <c r="P18105" s="11"/>
    </row>
    <row r="18106" spans="8:16" x14ac:dyDescent="0.25">
      <c r="H18106" s="12"/>
      <c r="I18106" s="12"/>
      <c r="J18106" s="12"/>
      <c r="K18106" s="12"/>
      <c r="L18106" s="12"/>
      <c r="M18106" s="11"/>
      <c r="N18106" s="11"/>
      <c r="O18106" s="11"/>
      <c r="P18106" s="11"/>
    </row>
    <row r="18107" spans="8:16" x14ac:dyDescent="0.25">
      <c r="H18107" s="12"/>
      <c r="I18107" s="12"/>
      <c r="J18107" s="12"/>
      <c r="K18107" s="12"/>
      <c r="L18107" s="12"/>
      <c r="M18107" s="11"/>
      <c r="N18107" s="11"/>
      <c r="O18107" s="11"/>
      <c r="P18107" s="11"/>
    </row>
    <row r="18108" spans="8:16" x14ac:dyDescent="0.25">
      <c r="H18108" s="12"/>
      <c r="I18108" s="12"/>
      <c r="J18108" s="12"/>
      <c r="K18108" s="12"/>
      <c r="L18108" s="12"/>
      <c r="M18108" s="11"/>
      <c r="N18108" s="11"/>
      <c r="O18108" s="11"/>
      <c r="P18108" s="11"/>
    </row>
    <row r="18109" spans="8:16" x14ac:dyDescent="0.25">
      <c r="H18109" s="12"/>
      <c r="I18109" s="12"/>
      <c r="J18109" s="12"/>
      <c r="K18109" s="12"/>
      <c r="L18109" s="12"/>
      <c r="M18109" s="11"/>
      <c r="N18109" s="11"/>
      <c r="O18109" s="11"/>
      <c r="P18109" s="11"/>
    </row>
    <row r="18110" spans="8:16" x14ac:dyDescent="0.25">
      <c r="H18110" s="12"/>
      <c r="I18110" s="12"/>
      <c r="J18110" s="12"/>
      <c r="K18110" s="12"/>
      <c r="L18110" s="12"/>
      <c r="M18110" s="11"/>
      <c r="N18110" s="11"/>
      <c r="O18110" s="11"/>
      <c r="P18110" s="11"/>
    </row>
    <row r="18111" spans="8:16" x14ac:dyDescent="0.25">
      <c r="H18111" s="12"/>
      <c r="I18111" s="12"/>
      <c r="J18111" s="12"/>
      <c r="K18111" s="12"/>
      <c r="L18111" s="12"/>
      <c r="M18111" s="11"/>
      <c r="N18111" s="11"/>
      <c r="O18111" s="11"/>
      <c r="P18111" s="11"/>
    </row>
    <row r="18112" spans="8:16" x14ac:dyDescent="0.25">
      <c r="H18112" s="12"/>
      <c r="I18112" s="12"/>
      <c r="J18112" s="12"/>
      <c r="K18112" s="12"/>
      <c r="L18112" s="12"/>
      <c r="M18112" s="11"/>
      <c r="N18112" s="11"/>
      <c r="O18112" s="11"/>
      <c r="P18112" s="11"/>
    </row>
    <row r="18113" spans="8:16" x14ac:dyDescent="0.25">
      <c r="H18113" s="12"/>
      <c r="I18113" s="12"/>
      <c r="J18113" s="12"/>
      <c r="K18113" s="12"/>
      <c r="L18113" s="12"/>
      <c r="M18113" s="11"/>
      <c r="N18113" s="11"/>
      <c r="O18113" s="11"/>
      <c r="P18113" s="11"/>
    </row>
    <row r="18114" spans="8:16" x14ac:dyDescent="0.25">
      <c r="H18114" s="12"/>
      <c r="I18114" s="12"/>
      <c r="J18114" s="12"/>
      <c r="K18114" s="12"/>
      <c r="L18114" s="12"/>
      <c r="M18114" s="11"/>
      <c r="N18114" s="11"/>
      <c r="O18114" s="11"/>
      <c r="P18114" s="11"/>
    </row>
    <row r="18115" spans="8:16" x14ac:dyDescent="0.25">
      <c r="H18115" s="12"/>
      <c r="I18115" s="12"/>
      <c r="J18115" s="12"/>
      <c r="K18115" s="12"/>
      <c r="L18115" s="12"/>
      <c r="M18115" s="11"/>
      <c r="N18115" s="11"/>
      <c r="O18115" s="11"/>
      <c r="P18115" s="11"/>
    </row>
    <row r="18116" spans="8:16" x14ac:dyDescent="0.25">
      <c r="H18116" s="12"/>
      <c r="I18116" s="12"/>
      <c r="J18116" s="12"/>
      <c r="K18116" s="12"/>
      <c r="L18116" s="12"/>
      <c r="M18116" s="11"/>
      <c r="N18116" s="11"/>
      <c r="O18116" s="11"/>
      <c r="P18116" s="11"/>
    </row>
    <row r="18117" spans="8:16" x14ac:dyDescent="0.25">
      <c r="H18117" s="12"/>
      <c r="I18117" s="12"/>
      <c r="J18117" s="12"/>
      <c r="K18117" s="12"/>
      <c r="L18117" s="12"/>
      <c r="M18117" s="11"/>
      <c r="N18117" s="11"/>
      <c r="O18117" s="11"/>
      <c r="P18117" s="11"/>
    </row>
    <row r="18118" spans="8:16" x14ac:dyDescent="0.25">
      <c r="H18118" s="12"/>
      <c r="I18118" s="12"/>
      <c r="J18118" s="12"/>
      <c r="K18118" s="12"/>
      <c r="L18118" s="12"/>
      <c r="M18118" s="11"/>
      <c r="N18118" s="11"/>
      <c r="O18118" s="11"/>
      <c r="P18118" s="11"/>
    </row>
    <row r="18119" spans="8:16" x14ac:dyDescent="0.25">
      <c r="H18119" s="12"/>
      <c r="I18119" s="12"/>
      <c r="J18119" s="12"/>
      <c r="K18119" s="12"/>
      <c r="L18119" s="12"/>
      <c r="M18119" s="11"/>
      <c r="N18119" s="11"/>
      <c r="O18119" s="11"/>
      <c r="P18119" s="11"/>
    </row>
    <row r="18120" spans="8:16" x14ac:dyDescent="0.25">
      <c r="H18120" s="12"/>
      <c r="I18120" s="12"/>
      <c r="J18120" s="12"/>
      <c r="K18120" s="12"/>
      <c r="L18120" s="12"/>
      <c r="M18120" s="11"/>
      <c r="N18120" s="11"/>
      <c r="O18120" s="11"/>
      <c r="P18120" s="11"/>
    </row>
    <row r="18121" spans="8:16" x14ac:dyDescent="0.25">
      <c r="H18121" s="12"/>
      <c r="I18121" s="12"/>
      <c r="J18121" s="12"/>
      <c r="K18121" s="12"/>
      <c r="L18121" s="12"/>
      <c r="M18121" s="11"/>
      <c r="N18121" s="11"/>
      <c r="O18121" s="11"/>
      <c r="P18121" s="11"/>
    </row>
    <row r="18122" spans="8:16" x14ac:dyDescent="0.25">
      <c r="H18122" s="12"/>
      <c r="I18122" s="12"/>
      <c r="J18122" s="12"/>
      <c r="K18122" s="12"/>
      <c r="L18122" s="12"/>
      <c r="M18122" s="11"/>
      <c r="N18122" s="11"/>
      <c r="O18122" s="11"/>
      <c r="P18122" s="11"/>
    </row>
    <row r="18123" spans="8:16" x14ac:dyDescent="0.25">
      <c r="H18123" s="12"/>
      <c r="I18123" s="12"/>
      <c r="J18123" s="12"/>
      <c r="K18123" s="12"/>
      <c r="L18123" s="12"/>
      <c r="M18123" s="11"/>
      <c r="N18123" s="11"/>
      <c r="O18123" s="11"/>
      <c r="P18123" s="11"/>
    </row>
    <row r="18124" spans="8:16" x14ac:dyDescent="0.25">
      <c r="H18124" s="12"/>
      <c r="I18124" s="12"/>
      <c r="J18124" s="12"/>
      <c r="K18124" s="12"/>
      <c r="L18124" s="12"/>
      <c r="M18124" s="11"/>
      <c r="N18124" s="11"/>
      <c r="O18124" s="11"/>
      <c r="P18124" s="11"/>
    </row>
    <row r="18125" spans="8:16" x14ac:dyDescent="0.25">
      <c r="H18125" s="12"/>
      <c r="I18125" s="12"/>
      <c r="J18125" s="12"/>
      <c r="K18125" s="12"/>
      <c r="L18125" s="12"/>
      <c r="M18125" s="11"/>
      <c r="N18125" s="11"/>
      <c r="O18125" s="11"/>
      <c r="P18125" s="11"/>
    </row>
    <row r="18126" spans="8:16" x14ac:dyDescent="0.25">
      <c r="H18126" s="12"/>
      <c r="I18126" s="12"/>
      <c r="J18126" s="12"/>
      <c r="K18126" s="12"/>
      <c r="L18126" s="12"/>
      <c r="M18126" s="11"/>
      <c r="N18126" s="11"/>
      <c r="O18126" s="11"/>
      <c r="P18126" s="11"/>
    </row>
    <row r="18127" spans="8:16" x14ac:dyDescent="0.25">
      <c r="H18127" s="12"/>
      <c r="I18127" s="12"/>
      <c r="J18127" s="12"/>
      <c r="K18127" s="12"/>
      <c r="L18127" s="12"/>
      <c r="M18127" s="11"/>
      <c r="N18127" s="11"/>
      <c r="O18127" s="11"/>
      <c r="P18127" s="11"/>
    </row>
    <row r="18128" spans="8:16" x14ac:dyDescent="0.25">
      <c r="H18128" s="12"/>
      <c r="I18128" s="12"/>
      <c r="J18128" s="12"/>
      <c r="K18128" s="12"/>
      <c r="L18128" s="12"/>
      <c r="M18128" s="11"/>
      <c r="N18128" s="11"/>
      <c r="O18128" s="11"/>
      <c r="P18128" s="11"/>
    </row>
    <row r="18129" spans="8:16" x14ac:dyDescent="0.25">
      <c r="H18129" s="12"/>
      <c r="I18129" s="12"/>
      <c r="J18129" s="12"/>
      <c r="K18129" s="12"/>
      <c r="L18129" s="12"/>
      <c r="M18129" s="11"/>
      <c r="N18129" s="11"/>
      <c r="O18129" s="11"/>
      <c r="P18129" s="11"/>
    </row>
    <row r="18130" spans="8:16" x14ac:dyDescent="0.25">
      <c r="H18130" s="12"/>
      <c r="I18130" s="12"/>
      <c r="J18130" s="12"/>
      <c r="K18130" s="12"/>
      <c r="L18130" s="12"/>
      <c r="M18130" s="11"/>
      <c r="N18130" s="11"/>
      <c r="O18130" s="11"/>
      <c r="P18130" s="11"/>
    </row>
    <row r="18131" spans="8:16" x14ac:dyDescent="0.25">
      <c r="H18131" s="12"/>
      <c r="I18131" s="12"/>
      <c r="J18131" s="12"/>
      <c r="K18131" s="12"/>
      <c r="L18131" s="12"/>
      <c r="M18131" s="11"/>
      <c r="N18131" s="11"/>
      <c r="O18131" s="11"/>
      <c r="P18131" s="11"/>
    </row>
    <row r="18132" spans="8:16" x14ac:dyDescent="0.25">
      <c r="H18132" s="12"/>
      <c r="I18132" s="12"/>
      <c r="J18132" s="12"/>
      <c r="K18132" s="12"/>
      <c r="L18132" s="12"/>
      <c r="M18132" s="11"/>
      <c r="N18132" s="11"/>
      <c r="O18132" s="11"/>
      <c r="P18132" s="11"/>
    </row>
    <row r="18133" spans="8:16" x14ac:dyDescent="0.25">
      <c r="H18133" s="12"/>
      <c r="I18133" s="12"/>
      <c r="J18133" s="12"/>
      <c r="K18133" s="12"/>
      <c r="L18133" s="12"/>
      <c r="M18133" s="11"/>
      <c r="N18133" s="11"/>
      <c r="O18133" s="11"/>
      <c r="P18133" s="11"/>
    </row>
    <row r="18134" spans="8:16" x14ac:dyDescent="0.25">
      <c r="H18134" s="12"/>
      <c r="I18134" s="12"/>
      <c r="J18134" s="12"/>
      <c r="K18134" s="12"/>
      <c r="L18134" s="12"/>
      <c r="M18134" s="11"/>
      <c r="N18134" s="11"/>
      <c r="O18134" s="11"/>
      <c r="P18134" s="11"/>
    </row>
    <row r="18135" spans="8:16" x14ac:dyDescent="0.25">
      <c r="H18135" s="12"/>
      <c r="I18135" s="12"/>
      <c r="J18135" s="12"/>
      <c r="K18135" s="12"/>
      <c r="L18135" s="12"/>
      <c r="M18135" s="11"/>
      <c r="N18135" s="11"/>
      <c r="O18135" s="11"/>
      <c r="P18135" s="11"/>
    </row>
    <row r="18136" spans="8:16" x14ac:dyDescent="0.25">
      <c r="H18136" s="12"/>
      <c r="I18136" s="12"/>
      <c r="J18136" s="12"/>
      <c r="K18136" s="12"/>
      <c r="L18136" s="12"/>
      <c r="M18136" s="11"/>
      <c r="N18136" s="11"/>
      <c r="O18136" s="11"/>
      <c r="P18136" s="11"/>
    </row>
    <row r="18137" spans="8:16" x14ac:dyDescent="0.25">
      <c r="H18137" s="12"/>
      <c r="I18137" s="12"/>
      <c r="J18137" s="12"/>
      <c r="K18137" s="12"/>
      <c r="L18137" s="12"/>
      <c r="M18137" s="11"/>
      <c r="N18137" s="11"/>
      <c r="O18137" s="11"/>
      <c r="P18137" s="11"/>
    </row>
    <row r="18138" spans="8:16" x14ac:dyDescent="0.25">
      <c r="H18138" s="12"/>
      <c r="I18138" s="12"/>
      <c r="J18138" s="12"/>
      <c r="K18138" s="12"/>
      <c r="L18138" s="12"/>
      <c r="M18138" s="11"/>
      <c r="N18138" s="11"/>
      <c r="O18138" s="11"/>
      <c r="P18138" s="11"/>
    </row>
    <row r="18139" spans="8:16" x14ac:dyDescent="0.25">
      <c r="H18139" s="12"/>
      <c r="I18139" s="12"/>
      <c r="J18139" s="12"/>
      <c r="K18139" s="12"/>
      <c r="L18139" s="12"/>
      <c r="M18139" s="11"/>
      <c r="N18139" s="11"/>
      <c r="O18139" s="11"/>
      <c r="P18139" s="11"/>
    </row>
    <row r="18140" spans="8:16" x14ac:dyDescent="0.25">
      <c r="H18140" s="12"/>
      <c r="I18140" s="12"/>
      <c r="J18140" s="12"/>
      <c r="K18140" s="12"/>
      <c r="L18140" s="12"/>
      <c r="M18140" s="11"/>
      <c r="N18140" s="11"/>
      <c r="O18140" s="11"/>
      <c r="P18140" s="11"/>
    </row>
    <row r="18141" spans="8:16" x14ac:dyDescent="0.25">
      <c r="H18141" s="12"/>
      <c r="I18141" s="12"/>
      <c r="J18141" s="12"/>
      <c r="K18141" s="12"/>
      <c r="L18141" s="12"/>
      <c r="M18141" s="11"/>
      <c r="N18141" s="11"/>
      <c r="O18141" s="11"/>
      <c r="P18141" s="11"/>
    </row>
    <row r="18142" spans="8:16" x14ac:dyDescent="0.25">
      <c r="H18142" s="12"/>
      <c r="I18142" s="12"/>
      <c r="J18142" s="12"/>
      <c r="K18142" s="12"/>
      <c r="L18142" s="12"/>
      <c r="M18142" s="11"/>
      <c r="N18142" s="11"/>
      <c r="O18142" s="11"/>
      <c r="P18142" s="11"/>
    </row>
    <row r="18143" spans="8:16" x14ac:dyDescent="0.25">
      <c r="H18143" s="12"/>
      <c r="I18143" s="12"/>
      <c r="J18143" s="12"/>
      <c r="K18143" s="12"/>
      <c r="L18143" s="12"/>
      <c r="M18143" s="11"/>
      <c r="N18143" s="11"/>
      <c r="O18143" s="11"/>
      <c r="P18143" s="11"/>
    </row>
    <row r="18144" spans="8:16" x14ac:dyDescent="0.25">
      <c r="H18144" s="12"/>
      <c r="I18144" s="12"/>
      <c r="J18144" s="12"/>
      <c r="K18144" s="12"/>
      <c r="L18144" s="12"/>
      <c r="M18144" s="11"/>
      <c r="N18144" s="11"/>
      <c r="O18144" s="11"/>
      <c r="P18144" s="11"/>
    </row>
    <row r="18145" spans="8:16" x14ac:dyDescent="0.25">
      <c r="H18145" s="12"/>
      <c r="I18145" s="12"/>
      <c r="J18145" s="12"/>
      <c r="K18145" s="12"/>
      <c r="L18145" s="12"/>
      <c r="M18145" s="11"/>
      <c r="N18145" s="11"/>
      <c r="O18145" s="11"/>
      <c r="P18145" s="11"/>
    </row>
    <row r="18146" spans="8:16" x14ac:dyDescent="0.25">
      <c r="H18146" s="12"/>
      <c r="I18146" s="12"/>
      <c r="J18146" s="12"/>
      <c r="K18146" s="12"/>
      <c r="L18146" s="12"/>
      <c r="M18146" s="11"/>
      <c r="N18146" s="11"/>
      <c r="O18146" s="11"/>
      <c r="P18146" s="11"/>
    </row>
    <row r="18147" spans="8:16" x14ac:dyDescent="0.25">
      <c r="H18147" s="12"/>
      <c r="I18147" s="12"/>
      <c r="J18147" s="12"/>
      <c r="K18147" s="12"/>
      <c r="L18147" s="12"/>
      <c r="M18147" s="11"/>
      <c r="N18147" s="11"/>
      <c r="O18147" s="11"/>
      <c r="P18147" s="11"/>
    </row>
    <row r="18148" spans="8:16" x14ac:dyDescent="0.25">
      <c r="H18148" s="12"/>
      <c r="I18148" s="12"/>
      <c r="J18148" s="12"/>
      <c r="K18148" s="12"/>
      <c r="L18148" s="12"/>
      <c r="M18148" s="11"/>
      <c r="N18148" s="11"/>
      <c r="O18148" s="11"/>
      <c r="P18148" s="11"/>
    </row>
    <row r="18149" spans="8:16" x14ac:dyDescent="0.25">
      <c r="H18149" s="12"/>
      <c r="I18149" s="12"/>
      <c r="J18149" s="12"/>
      <c r="K18149" s="12"/>
      <c r="L18149" s="12"/>
      <c r="M18149" s="11"/>
      <c r="N18149" s="11"/>
      <c r="O18149" s="11"/>
      <c r="P18149" s="11"/>
    </row>
    <row r="18150" spans="8:16" x14ac:dyDescent="0.25">
      <c r="H18150" s="12"/>
      <c r="I18150" s="12"/>
      <c r="J18150" s="12"/>
      <c r="K18150" s="12"/>
      <c r="L18150" s="12"/>
      <c r="M18150" s="11"/>
      <c r="N18150" s="11"/>
      <c r="O18150" s="11"/>
      <c r="P18150" s="11"/>
    </row>
    <row r="18151" spans="8:16" x14ac:dyDescent="0.25">
      <c r="H18151" s="12"/>
      <c r="I18151" s="12"/>
      <c r="J18151" s="12"/>
      <c r="K18151" s="12"/>
      <c r="L18151" s="12"/>
      <c r="M18151" s="11"/>
      <c r="N18151" s="11"/>
      <c r="O18151" s="11"/>
      <c r="P18151" s="11"/>
    </row>
    <row r="18152" spans="8:16" x14ac:dyDescent="0.25">
      <c r="H18152" s="12"/>
      <c r="I18152" s="12"/>
      <c r="J18152" s="12"/>
      <c r="K18152" s="12"/>
      <c r="L18152" s="12"/>
      <c r="M18152" s="11"/>
      <c r="N18152" s="11"/>
      <c r="O18152" s="11"/>
      <c r="P18152" s="11"/>
    </row>
    <row r="18153" spans="8:16" x14ac:dyDescent="0.25">
      <c r="H18153" s="12"/>
      <c r="I18153" s="12"/>
      <c r="J18153" s="12"/>
      <c r="K18153" s="12"/>
      <c r="L18153" s="12"/>
      <c r="M18153" s="11"/>
      <c r="N18153" s="11"/>
      <c r="O18153" s="11"/>
      <c r="P18153" s="11"/>
    </row>
    <row r="18154" spans="8:16" x14ac:dyDescent="0.25">
      <c r="H18154" s="12"/>
      <c r="I18154" s="12"/>
      <c r="J18154" s="12"/>
      <c r="K18154" s="12"/>
      <c r="L18154" s="12"/>
      <c r="M18154" s="11"/>
      <c r="N18154" s="11"/>
      <c r="O18154" s="11"/>
      <c r="P18154" s="11"/>
    </row>
    <row r="18155" spans="8:16" x14ac:dyDescent="0.25">
      <c r="H18155" s="12"/>
      <c r="I18155" s="12"/>
      <c r="J18155" s="12"/>
      <c r="K18155" s="12"/>
      <c r="L18155" s="12"/>
      <c r="M18155" s="11"/>
      <c r="N18155" s="11"/>
      <c r="O18155" s="11"/>
      <c r="P18155" s="11"/>
    </row>
    <row r="18156" spans="8:16" x14ac:dyDescent="0.25">
      <c r="H18156" s="12"/>
      <c r="I18156" s="12"/>
      <c r="J18156" s="12"/>
      <c r="K18156" s="12"/>
      <c r="L18156" s="12"/>
      <c r="M18156" s="11"/>
      <c r="N18156" s="11"/>
      <c r="O18156" s="11"/>
      <c r="P18156" s="11"/>
    </row>
    <row r="18157" spans="8:16" x14ac:dyDescent="0.25">
      <c r="H18157" s="12"/>
      <c r="I18157" s="12"/>
      <c r="J18157" s="12"/>
      <c r="K18157" s="12"/>
      <c r="L18157" s="12"/>
      <c r="M18157" s="11"/>
      <c r="N18157" s="11"/>
      <c r="O18157" s="11"/>
      <c r="P18157" s="11"/>
    </row>
    <row r="18158" spans="8:16" x14ac:dyDescent="0.25">
      <c r="H18158" s="12"/>
      <c r="I18158" s="12"/>
      <c r="J18158" s="12"/>
      <c r="K18158" s="12"/>
      <c r="L18158" s="12"/>
      <c r="M18158" s="11"/>
      <c r="N18158" s="11"/>
      <c r="O18158" s="11"/>
      <c r="P18158" s="11"/>
    </row>
    <row r="18159" spans="8:16" x14ac:dyDescent="0.25">
      <c r="H18159" s="12"/>
      <c r="I18159" s="12"/>
      <c r="J18159" s="12"/>
      <c r="K18159" s="12"/>
      <c r="L18159" s="12"/>
      <c r="M18159" s="11"/>
      <c r="N18159" s="11"/>
      <c r="O18159" s="11"/>
      <c r="P18159" s="11"/>
    </row>
    <row r="18160" spans="8:16" x14ac:dyDescent="0.25">
      <c r="H18160" s="12"/>
      <c r="I18160" s="12"/>
      <c r="J18160" s="12"/>
      <c r="K18160" s="12"/>
      <c r="L18160" s="12"/>
      <c r="M18160" s="11"/>
      <c r="N18160" s="11"/>
      <c r="O18160" s="11"/>
      <c r="P18160" s="11"/>
    </row>
    <row r="18161" spans="8:16" x14ac:dyDescent="0.25">
      <c r="H18161" s="12"/>
      <c r="I18161" s="12"/>
      <c r="J18161" s="12"/>
      <c r="K18161" s="12"/>
      <c r="L18161" s="12"/>
      <c r="M18161" s="11"/>
      <c r="N18161" s="11"/>
      <c r="O18161" s="11"/>
      <c r="P18161" s="11"/>
    </row>
    <row r="18162" spans="8:16" x14ac:dyDescent="0.25">
      <c r="H18162" s="12"/>
      <c r="I18162" s="12"/>
      <c r="J18162" s="12"/>
      <c r="K18162" s="12"/>
      <c r="L18162" s="12"/>
      <c r="M18162" s="11"/>
      <c r="N18162" s="11"/>
      <c r="O18162" s="11"/>
      <c r="P18162" s="11"/>
    </row>
    <row r="18163" spans="8:16" x14ac:dyDescent="0.25">
      <c r="H18163" s="12"/>
      <c r="I18163" s="12"/>
      <c r="J18163" s="12"/>
      <c r="K18163" s="12"/>
      <c r="L18163" s="12"/>
      <c r="M18163" s="11"/>
      <c r="N18163" s="11"/>
      <c r="O18163" s="11"/>
      <c r="P18163" s="11"/>
    </row>
    <row r="18164" spans="8:16" x14ac:dyDescent="0.25">
      <c r="H18164" s="12"/>
      <c r="I18164" s="12"/>
      <c r="J18164" s="12"/>
      <c r="K18164" s="12"/>
      <c r="L18164" s="12"/>
      <c r="M18164" s="11"/>
      <c r="N18164" s="11"/>
      <c r="O18164" s="11"/>
      <c r="P18164" s="11"/>
    </row>
    <row r="18165" spans="8:16" x14ac:dyDescent="0.25">
      <c r="H18165" s="12"/>
      <c r="I18165" s="12"/>
      <c r="J18165" s="12"/>
      <c r="K18165" s="12"/>
      <c r="L18165" s="12"/>
      <c r="M18165" s="11"/>
      <c r="N18165" s="11"/>
      <c r="O18165" s="11"/>
      <c r="P18165" s="11"/>
    </row>
    <row r="18166" spans="8:16" x14ac:dyDescent="0.25">
      <c r="H18166" s="12"/>
      <c r="I18166" s="12"/>
      <c r="J18166" s="12"/>
      <c r="K18166" s="12"/>
      <c r="L18166" s="12"/>
      <c r="M18166" s="11"/>
      <c r="N18166" s="11"/>
      <c r="O18166" s="11"/>
      <c r="P18166" s="11"/>
    </row>
    <row r="18167" spans="8:16" x14ac:dyDescent="0.25">
      <c r="H18167" s="12"/>
      <c r="I18167" s="12"/>
      <c r="J18167" s="12"/>
      <c r="K18167" s="12"/>
      <c r="L18167" s="12"/>
      <c r="M18167" s="11"/>
      <c r="N18167" s="11"/>
      <c r="O18167" s="11"/>
      <c r="P18167" s="11"/>
    </row>
    <row r="18168" spans="8:16" x14ac:dyDescent="0.25">
      <c r="H18168" s="12"/>
      <c r="I18168" s="12"/>
      <c r="J18168" s="12"/>
      <c r="K18168" s="12"/>
      <c r="L18168" s="12"/>
      <c r="M18168" s="11"/>
      <c r="N18168" s="11"/>
      <c r="O18168" s="11"/>
      <c r="P18168" s="11"/>
    </row>
    <row r="18169" spans="8:16" x14ac:dyDescent="0.25">
      <c r="H18169" s="12"/>
      <c r="I18169" s="12"/>
      <c r="J18169" s="12"/>
      <c r="K18169" s="12"/>
      <c r="L18169" s="12"/>
      <c r="M18169" s="11"/>
      <c r="N18169" s="11"/>
      <c r="O18169" s="11"/>
      <c r="P18169" s="11"/>
    </row>
    <row r="18170" spans="8:16" x14ac:dyDescent="0.25">
      <c r="H18170" s="12"/>
      <c r="I18170" s="12"/>
      <c r="J18170" s="12"/>
      <c r="K18170" s="12"/>
      <c r="L18170" s="12"/>
      <c r="M18170" s="11"/>
      <c r="N18170" s="11"/>
      <c r="O18170" s="11"/>
      <c r="P18170" s="11"/>
    </row>
    <row r="18171" spans="8:16" x14ac:dyDescent="0.25">
      <c r="H18171" s="12"/>
      <c r="I18171" s="12"/>
      <c r="J18171" s="12"/>
      <c r="K18171" s="12"/>
      <c r="L18171" s="12"/>
      <c r="M18171" s="11"/>
      <c r="N18171" s="11"/>
      <c r="O18171" s="11"/>
      <c r="P18171" s="11"/>
    </row>
    <row r="18172" spans="8:16" x14ac:dyDescent="0.25">
      <c r="H18172" s="12"/>
      <c r="I18172" s="12"/>
      <c r="J18172" s="12"/>
      <c r="K18172" s="12"/>
      <c r="L18172" s="12"/>
      <c r="M18172" s="11"/>
      <c r="N18172" s="11"/>
      <c r="O18172" s="11"/>
      <c r="P18172" s="11"/>
    </row>
    <row r="18173" spans="8:16" x14ac:dyDescent="0.25">
      <c r="H18173" s="12"/>
      <c r="I18173" s="12"/>
      <c r="J18173" s="12"/>
      <c r="K18173" s="12"/>
      <c r="L18173" s="12"/>
      <c r="M18173" s="11"/>
      <c r="N18173" s="11"/>
      <c r="O18173" s="11"/>
      <c r="P18173" s="11"/>
    </row>
    <row r="18174" spans="8:16" x14ac:dyDescent="0.25">
      <c r="H18174" s="12"/>
      <c r="I18174" s="12"/>
      <c r="J18174" s="12"/>
      <c r="K18174" s="12"/>
      <c r="L18174" s="12"/>
      <c r="M18174" s="11"/>
      <c r="N18174" s="11"/>
      <c r="O18174" s="11"/>
      <c r="P18174" s="11"/>
    </row>
    <row r="18175" spans="8:16" x14ac:dyDescent="0.25">
      <c r="H18175" s="12"/>
      <c r="I18175" s="12"/>
      <c r="J18175" s="12"/>
      <c r="K18175" s="12"/>
      <c r="L18175" s="12"/>
      <c r="M18175" s="11"/>
      <c r="N18175" s="11"/>
      <c r="O18175" s="11"/>
      <c r="P18175" s="11"/>
    </row>
    <row r="18176" spans="8:16" x14ac:dyDescent="0.25">
      <c r="H18176" s="12"/>
      <c r="I18176" s="12"/>
      <c r="J18176" s="12"/>
      <c r="K18176" s="12"/>
      <c r="L18176" s="12"/>
      <c r="M18176" s="11"/>
      <c r="N18176" s="11"/>
      <c r="O18176" s="11"/>
      <c r="P18176" s="11"/>
    </row>
    <row r="18177" spans="8:16" x14ac:dyDescent="0.25">
      <c r="H18177" s="12"/>
      <c r="I18177" s="12"/>
      <c r="J18177" s="12"/>
      <c r="K18177" s="12"/>
      <c r="L18177" s="12"/>
      <c r="M18177" s="11"/>
      <c r="N18177" s="11"/>
      <c r="O18177" s="11"/>
      <c r="P18177" s="11"/>
    </row>
    <row r="18178" spans="8:16" x14ac:dyDescent="0.25">
      <c r="H18178" s="12"/>
      <c r="I18178" s="12"/>
      <c r="J18178" s="12"/>
      <c r="K18178" s="12"/>
      <c r="L18178" s="12"/>
      <c r="M18178" s="11"/>
      <c r="N18178" s="11"/>
      <c r="O18178" s="11"/>
      <c r="P18178" s="11"/>
    </row>
    <row r="18179" spans="8:16" x14ac:dyDescent="0.25">
      <c r="H18179" s="12"/>
      <c r="I18179" s="12"/>
      <c r="J18179" s="12"/>
      <c r="K18179" s="12"/>
      <c r="L18179" s="12"/>
      <c r="M18179" s="11"/>
      <c r="N18179" s="11"/>
      <c r="O18179" s="11"/>
      <c r="P18179" s="11"/>
    </row>
    <row r="18180" spans="8:16" x14ac:dyDescent="0.25">
      <c r="H18180" s="12"/>
      <c r="I18180" s="12"/>
      <c r="J18180" s="12"/>
      <c r="K18180" s="12"/>
      <c r="L18180" s="12"/>
      <c r="M18180" s="11"/>
      <c r="N18180" s="11"/>
      <c r="O18180" s="11"/>
      <c r="P18180" s="11"/>
    </row>
    <row r="18181" spans="8:16" x14ac:dyDescent="0.25">
      <c r="H18181" s="12"/>
      <c r="I18181" s="12"/>
      <c r="J18181" s="12"/>
      <c r="K18181" s="12"/>
      <c r="L18181" s="12"/>
      <c r="M18181" s="11"/>
      <c r="N18181" s="11"/>
      <c r="O18181" s="11"/>
      <c r="P18181" s="11"/>
    </row>
    <row r="18182" spans="8:16" x14ac:dyDescent="0.25">
      <c r="H18182" s="12"/>
      <c r="I18182" s="12"/>
      <c r="J18182" s="12"/>
      <c r="K18182" s="12"/>
      <c r="L18182" s="12"/>
      <c r="M18182" s="11"/>
      <c r="N18182" s="11"/>
      <c r="O18182" s="11"/>
      <c r="P18182" s="11"/>
    </row>
    <row r="18183" spans="8:16" x14ac:dyDescent="0.25">
      <c r="H18183" s="12"/>
      <c r="I18183" s="12"/>
      <c r="J18183" s="12"/>
      <c r="K18183" s="12"/>
      <c r="L18183" s="12"/>
      <c r="M18183" s="11"/>
      <c r="N18183" s="11"/>
      <c r="O18183" s="11"/>
      <c r="P18183" s="11"/>
    </row>
    <row r="18184" spans="8:16" x14ac:dyDescent="0.25">
      <c r="H18184" s="12"/>
      <c r="I18184" s="12"/>
      <c r="J18184" s="12"/>
      <c r="K18184" s="12"/>
      <c r="L18184" s="12"/>
      <c r="M18184" s="11"/>
      <c r="N18184" s="11"/>
      <c r="O18184" s="11"/>
      <c r="P18184" s="11"/>
    </row>
    <row r="18185" spans="8:16" x14ac:dyDescent="0.25">
      <c r="H18185" s="12"/>
      <c r="I18185" s="12"/>
      <c r="J18185" s="12"/>
      <c r="K18185" s="12"/>
      <c r="L18185" s="12"/>
      <c r="M18185" s="11"/>
      <c r="N18185" s="11"/>
      <c r="O18185" s="11"/>
      <c r="P18185" s="11"/>
    </row>
    <row r="18186" spans="8:16" x14ac:dyDescent="0.25">
      <c r="H18186" s="12"/>
      <c r="I18186" s="12"/>
      <c r="J18186" s="12"/>
      <c r="K18186" s="12"/>
      <c r="L18186" s="12"/>
      <c r="M18186" s="11"/>
      <c r="N18186" s="11"/>
      <c r="O18186" s="11"/>
      <c r="P18186" s="11"/>
    </row>
    <row r="18187" spans="8:16" x14ac:dyDescent="0.25">
      <c r="H18187" s="12"/>
      <c r="I18187" s="12"/>
      <c r="J18187" s="12"/>
      <c r="K18187" s="12"/>
      <c r="L18187" s="12"/>
      <c r="M18187" s="11"/>
      <c r="N18187" s="11"/>
      <c r="O18187" s="11"/>
      <c r="P18187" s="11"/>
    </row>
    <row r="18188" spans="8:16" x14ac:dyDescent="0.25">
      <c r="H18188" s="12"/>
      <c r="I18188" s="12"/>
      <c r="J18188" s="12"/>
      <c r="K18188" s="12"/>
      <c r="L18188" s="12"/>
      <c r="M18188" s="11"/>
      <c r="N18188" s="11"/>
      <c r="O18188" s="11"/>
      <c r="P18188" s="11"/>
    </row>
    <row r="18189" spans="8:16" x14ac:dyDescent="0.25">
      <c r="H18189" s="12"/>
      <c r="I18189" s="12"/>
      <c r="J18189" s="12"/>
      <c r="K18189" s="12"/>
      <c r="L18189" s="12"/>
      <c r="M18189" s="11"/>
      <c r="N18189" s="11"/>
      <c r="O18189" s="11"/>
      <c r="P18189" s="11"/>
    </row>
    <row r="18190" spans="8:16" x14ac:dyDescent="0.25">
      <c r="H18190" s="12"/>
      <c r="I18190" s="12"/>
      <c r="J18190" s="12"/>
      <c r="K18190" s="12"/>
      <c r="L18190" s="12"/>
      <c r="M18190" s="11"/>
      <c r="N18190" s="11"/>
      <c r="O18190" s="11"/>
      <c r="P18190" s="11"/>
    </row>
    <row r="18191" spans="8:16" x14ac:dyDescent="0.25">
      <c r="H18191" s="12"/>
      <c r="I18191" s="12"/>
      <c r="J18191" s="12"/>
      <c r="K18191" s="12"/>
      <c r="L18191" s="12"/>
      <c r="M18191" s="11"/>
      <c r="N18191" s="11"/>
      <c r="O18191" s="11"/>
      <c r="P18191" s="11"/>
    </row>
    <row r="18192" spans="8:16" x14ac:dyDescent="0.25">
      <c r="H18192" s="12"/>
      <c r="I18192" s="12"/>
      <c r="J18192" s="12"/>
      <c r="K18192" s="12"/>
      <c r="L18192" s="12"/>
      <c r="M18192" s="11"/>
      <c r="N18192" s="11"/>
      <c r="O18192" s="11"/>
      <c r="P18192" s="11"/>
    </row>
    <row r="18193" spans="8:16" x14ac:dyDescent="0.25">
      <c r="H18193" s="12"/>
      <c r="I18193" s="12"/>
      <c r="J18193" s="12"/>
      <c r="K18193" s="12"/>
      <c r="L18193" s="12"/>
      <c r="M18193" s="11"/>
      <c r="N18193" s="11"/>
      <c r="O18193" s="11"/>
      <c r="P18193" s="11"/>
    </row>
    <row r="18194" spans="8:16" x14ac:dyDescent="0.25">
      <c r="H18194" s="12"/>
      <c r="I18194" s="12"/>
      <c r="J18194" s="12"/>
      <c r="K18194" s="12"/>
      <c r="L18194" s="12"/>
      <c r="M18194" s="11"/>
      <c r="N18194" s="11"/>
      <c r="O18194" s="11"/>
      <c r="P18194" s="11"/>
    </row>
    <row r="18195" spans="8:16" x14ac:dyDescent="0.25">
      <c r="H18195" s="12"/>
      <c r="I18195" s="12"/>
      <c r="J18195" s="12"/>
      <c r="K18195" s="12"/>
      <c r="L18195" s="12"/>
      <c r="M18195" s="11"/>
      <c r="N18195" s="11"/>
      <c r="O18195" s="11"/>
      <c r="P18195" s="11"/>
    </row>
    <row r="18196" spans="8:16" x14ac:dyDescent="0.25">
      <c r="H18196" s="12"/>
      <c r="I18196" s="12"/>
      <c r="J18196" s="12"/>
      <c r="K18196" s="12"/>
      <c r="L18196" s="12"/>
      <c r="M18196" s="11"/>
      <c r="N18196" s="11"/>
      <c r="O18196" s="11"/>
      <c r="P18196" s="11"/>
    </row>
    <row r="18197" spans="8:16" x14ac:dyDescent="0.25">
      <c r="H18197" s="12"/>
      <c r="I18197" s="12"/>
      <c r="J18197" s="12"/>
      <c r="K18197" s="12"/>
      <c r="L18197" s="12"/>
      <c r="M18197" s="11"/>
      <c r="N18197" s="11"/>
      <c r="O18197" s="11"/>
      <c r="P18197" s="11"/>
    </row>
    <row r="18198" spans="8:16" x14ac:dyDescent="0.25">
      <c r="H18198" s="12"/>
      <c r="I18198" s="12"/>
      <c r="J18198" s="12"/>
      <c r="K18198" s="12"/>
      <c r="L18198" s="12"/>
      <c r="M18198" s="11"/>
      <c r="N18198" s="11"/>
      <c r="O18198" s="11"/>
      <c r="P18198" s="11"/>
    </row>
    <row r="18199" spans="8:16" x14ac:dyDescent="0.25">
      <c r="H18199" s="12"/>
      <c r="I18199" s="12"/>
      <c r="J18199" s="12"/>
      <c r="K18199" s="12"/>
      <c r="L18199" s="12"/>
      <c r="M18199" s="11"/>
      <c r="N18199" s="11"/>
      <c r="O18199" s="11"/>
      <c r="P18199" s="11"/>
    </row>
    <row r="18200" spans="8:16" x14ac:dyDescent="0.25">
      <c r="H18200" s="12"/>
      <c r="I18200" s="12"/>
      <c r="J18200" s="12"/>
      <c r="K18200" s="12"/>
      <c r="L18200" s="12"/>
      <c r="M18200" s="11"/>
      <c r="N18200" s="11"/>
      <c r="O18200" s="11"/>
      <c r="P18200" s="11"/>
    </row>
    <row r="18201" spans="8:16" x14ac:dyDescent="0.25">
      <c r="H18201" s="12"/>
      <c r="I18201" s="12"/>
      <c r="J18201" s="12"/>
      <c r="K18201" s="12"/>
      <c r="L18201" s="12"/>
      <c r="M18201" s="11"/>
      <c r="N18201" s="11"/>
      <c r="O18201" s="11"/>
      <c r="P18201" s="11"/>
    </row>
    <row r="18202" spans="8:16" x14ac:dyDescent="0.25">
      <c r="H18202" s="12"/>
      <c r="I18202" s="12"/>
      <c r="J18202" s="12"/>
      <c r="K18202" s="12"/>
      <c r="L18202" s="12"/>
      <c r="M18202" s="11"/>
      <c r="N18202" s="11"/>
      <c r="O18202" s="11"/>
      <c r="P18202" s="11"/>
    </row>
    <row r="18203" spans="8:16" x14ac:dyDescent="0.25">
      <c r="H18203" s="12"/>
      <c r="I18203" s="12"/>
      <c r="J18203" s="12"/>
      <c r="K18203" s="12"/>
      <c r="L18203" s="12"/>
      <c r="M18203" s="11"/>
      <c r="N18203" s="11"/>
      <c r="O18203" s="11"/>
      <c r="P18203" s="11"/>
    </row>
    <row r="18204" spans="8:16" x14ac:dyDescent="0.25">
      <c r="H18204" s="12"/>
      <c r="I18204" s="12"/>
      <c r="J18204" s="12"/>
      <c r="K18204" s="12"/>
      <c r="L18204" s="12"/>
      <c r="M18204" s="11"/>
      <c r="N18204" s="11"/>
      <c r="O18204" s="11"/>
      <c r="P18204" s="11"/>
    </row>
    <row r="18205" spans="8:16" x14ac:dyDescent="0.25">
      <c r="H18205" s="12"/>
      <c r="I18205" s="12"/>
      <c r="J18205" s="12"/>
      <c r="K18205" s="12"/>
      <c r="L18205" s="12"/>
      <c r="M18205" s="11"/>
      <c r="N18205" s="11"/>
      <c r="O18205" s="11"/>
      <c r="P18205" s="11"/>
    </row>
    <row r="18206" spans="8:16" x14ac:dyDescent="0.25">
      <c r="H18206" s="12"/>
      <c r="I18206" s="12"/>
      <c r="J18206" s="12"/>
      <c r="K18206" s="12"/>
      <c r="L18206" s="12"/>
      <c r="M18206" s="11"/>
      <c r="N18206" s="11"/>
      <c r="O18206" s="11"/>
      <c r="P18206" s="11"/>
    </row>
    <row r="18207" spans="8:16" x14ac:dyDescent="0.25">
      <c r="H18207" s="12"/>
      <c r="I18207" s="12"/>
      <c r="J18207" s="12"/>
      <c r="K18207" s="12"/>
      <c r="L18207" s="12"/>
      <c r="M18207" s="11"/>
      <c r="N18207" s="11"/>
      <c r="O18207" s="11"/>
      <c r="P18207" s="11"/>
    </row>
    <row r="18208" spans="8:16" x14ac:dyDescent="0.25">
      <c r="H18208" s="12"/>
      <c r="I18208" s="12"/>
      <c r="J18208" s="12"/>
      <c r="K18208" s="12"/>
      <c r="L18208" s="12"/>
      <c r="M18208" s="11"/>
      <c r="N18208" s="11"/>
      <c r="O18208" s="11"/>
      <c r="P18208" s="11"/>
    </row>
    <row r="18209" spans="8:16" x14ac:dyDescent="0.25">
      <c r="H18209" s="12"/>
      <c r="I18209" s="12"/>
      <c r="J18209" s="12"/>
      <c r="K18209" s="12"/>
      <c r="L18209" s="12"/>
      <c r="M18209" s="11"/>
      <c r="N18209" s="11"/>
      <c r="O18209" s="11"/>
      <c r="P18209" s="11"/>
    </row>
    <row r="18210" spans="8:16" x14ac:dyDescent="0.25">
      <c r="H18210" s="12"/>
      <c r="I18210" s="12"/>
      <c r="J18210" s="12"/>
      <c r="K18210" s="12"/>
      <c r="L18210" s="12"/>
      <c r="M18210" s="11"/>
      <c r="N18210" s="11"/>
      <c r="O18210" s="11"/>
      <c r="P18210" s="11"/>
    </row>
    <row r="18211" spans="8:16" x14ac:dyDescent="0.25">
      <c r="H18211" s="12"/>
      <c r="I18211" s="12"/>
      <c r="J18211" s="12"/>
      <c r="K18211" s="12"/>
      <c r="L18211" s="12"/>
      <c r="M18211" s="11"/>
      <c r="N18211" s="11"/>
      <c r="O18211" s="11"/>
      <c r="P18211" s="11"/>
    </row>
    <row r="18212" spans="8:16" x14ac:dyDescent="0.25">
      <c r="H18212" s="12"/>
      <c r="I18212" s="12"/>
      <c r="J18212" s="12"/>
      <c r="K18212" s="12"/>
      <c r="L18212" s="12"/>
      <c r="M18212" s="11"/>
      <c r="N18212" s="11"/>
      <c r="O18212" s="11"/>
      <c r="P18212" s="11"/>
    </row>
    <row r="18213" spans="8:16" x14ac:dyDescent="0.25">
      <c r="H18213" s="12"/>
      <c r="I18213" s="12"/>
      <c r="J18213" s="12"/>
      <c r="K18213" s="12"/>
      <c r="L18213" s="12"/>
      <c r="M18213" s="11"/>
      <c r="N18213" s="11"/>
      <c r="O18213" s="11"/>
      <c r="P18213" s="11"/>
    </row>
    <row r="18214" spans="8:16" x14ac:dyDescent="0.25">
      <c r="H18214" s="12"/>
      <c r="I18214" s="12"/>
      <c r="J18214" s="12"/>
      <c r="K18214" s="12"/>
      <c r="L18214" s="12"/>
      <c r="M18214" s="11"/>
      <c r="N18214" s="11"/>
      <c r="O18214" s="11"/>
      <c r="P18214" s="11"/>
    </row>
    <row r="18215" spans="8:16" x14ac:dyDescent="0.25">
      <c r="H18215" s="12"/>
      <c r="I18215" s="12"/>
      <c r="J18215" s="12"/>
      <c r="K18215" s="12"/>
      <c r="L18215" s="12"/>
      <c r="M18215" s="11"/>
      <c r="N18215" s="11"/>
      <c r="O18215" s="11"/>
      <c r="P18215" s="11"/>
    </row>
    <row r="18216" spans="8:16" x14ac:dyDescent="0.25">
      <c r="H18216" s="12"/>
      <c r="I18216" s="12"/>
      <c r="J18216" s="12"/>
      <c r="K18216" s="12"/>
      <c r="L18216" s="12"/>
      <c r="M18216" s="11"/>
      <c r="N18216" s="11"/>
      <c r="O18216" s="11"/>
      <c r="P18216" s="11"/>
    </row>
    <row r="18217" spans="8:16" x14ac:dyDescent="0.25">
      <c r="H18217" s="12"/>
      <c r="I18217" s="12"/>
      <c r="J18217" s="12"/>
      <c r="K18217" s="12"/>
      <c r="L18217" s="12"/>
      <c r="M18217" s="11"/>
      <c r="N18217" s="11"/>
      <c r="O18217" s="11"/>
      <c r="P18217" s="11"/>
    </row>
    <row r="18218" spans="8:16" x14ac:dyDescent="0.25">
      <c r="H18218" s="12"/>
      <c r="I18218" s="12"/>
      <c r="J18218" s="12"/>
      <c r="K18218" s="12"/>
      <c r="L18218" s="12"/>
      <c r="M18218" s="11"/>
      <c r="N18218" s="11"/>
      <c r="O18218" s="11"/>
      <c r="P18218" s="11"/>
    </row>
    <row r="18219" spans="8:16" x14ac:dyDescent="0.25">
      <c r="H18219" s="12"/>
      <c r="I18219" s="12"/>
      <c r="J18219" s="12"/>
      <c r="K18219" s="12"/>
      <c r="L18219" s="12"/>
      <c r="M18219" s="11"/>
      <c r="N18219" s="11"/>
      <c r="O18219" s="11"/>
      <c r="P18219" s="11"/>
    </row>
    <row r="18220" spans="8:16" x14ac:dyDescent="0.25">
      <c r="H18220" s="12"/>
      <c r="I18220" s="12"/>
      <c r="J18220" s="12"/>
      <c r="K18220" s="12"/>
      <c r="L18220" s="12"/>
      <c r="M18220" s="11"/>
      <c r="N18220" s="11"/>
      <c r="O18220" s="11"/>
      <c r="P18220" s="11"/>
    </row>
    <row r="18221" spans="8:16" x14ac:dyDescent="0.25">
      <c r="H18221" s="12"/>
      <c r="I18221" s="12"/>
      <c r="J18221" s="12"/>
      <c r="K18221" s="12"/>
      <c r="L18221" s="12"/>
      <c r="M18221" s="11"/>
      <c r="N18221" s="11"/>
      <c r="O18221" s="11"/>
      <c r="P18221" s="11"/>
    </row>
    <row r="18222" spans="8:16" x14ac:dyDescent="0.25">
      <c r="H18222" s="12"/>
      <c r="I18222" s="12"/>
      <c r="J18222" s="12"/>
      <c r="K18222" s="12"/>
      <c r="L18222" s="12"/>
      <c r="M18222" s="11"/>
      <c r="N18222" s="11"/>
      <c r="O18222" s="11"/>
      <c r="P18222" s="11"/>
    </row>
    <row r="18223" spans="8:16" x14ac:dyDescent="0.25">
      <c r="H18223" s="12"/>
      <c r="I18223" s="12"/>
      <c r="J18223" s="12"/>
      <c r="K18223" s="12"/>
      <c r="L18223" s="12"/>
      <c r="M18223" s="11"/>
      <c r="N18223" s="11"/>
      <c r="O18223" s="11"/>
      <c r="P18223" s="11"/>
    </row>
    <row r="18224" spans="8:16" x14ac:dyDescent="0.25">
      <c r="H18224" s="12"/>
      <c r="I18224" s="12"/>
      <c r="J18224" s="12"/>
      <c r="K18224" s="12"/>
      <c r="L18224" s="12"/>
      <c r="M18224" s="11"/>
      <c r="N18224" s="11"/>
      <c r="O18224" s="11"/>
      <c r="P18224" s="11"/>
    </row>
    <row r="18225" spans="8:16" x14ac:dyDescent="0.25">
      <c r="H18225" s="12"/>
      <c r="I18225" s="12"/>
      <c r="J18225" s="12"/>
      <c r="K18225" s="12"/>
      <c r="L18225" s="12"/>
      <c r="M18225" s="11"/>
      <c r="N18225" s="11"/>
      <c r="O18225" s="11"/>
      <c r="P18225" s="11"/>
    </row>
    <row r="18226" spans="8:16" x14ac:dyDescent="0.25">
      <c r="H18226" s="12"/>
      <c r="I18226" s="12"/>
      <c r="J18226" s="12"/>
      <c r="K18226" s="12"/>
      <c r="L18226" s="12"/>
      <c r="M18226" s="11"/>
      <c r="N18226" s="11"/>
      <c r="O18226" s="11"/>
      <c r="P18226" s="11"/>
    </row>
    <row r="18227" spans="8:16" x14ac:dyDescent="0.25">
      <c r="H18227" s="12"/>
      <c r="I18227" s="12"/>
      <c r="J18227" s="12"/>
      <c r="K18227" s="12"/>
      <c r="L18227" s="12"/>
      <c r="M18227" s="11"/>
      <c r="N18227" s="11"/>
      <c r="O18227" s="11"/>
      <c r="P18227" s="11"/>
    </row>
    <row r="18228" spans="8:16" x14ac:dyDescent="0.25">
      <c r="H18228" s="12"/>
      <c r="I18228" s="12"/>
      <c r="J18228" s="12"/>
      <c r="K18228" s="12"/>
      <c r="L18228" s="12"/>
      <c r="M18228" s="11"/>
      <c r="N18228" s="11"/>
      <c r="O18228" s="11"/>
      <c r="P18228" s="11"/>
    </row>
    <row r="18229" spans="8:16" x14ac:dyDescent="0.25">
      <c r="H18229" s="12"/>
      <c r="I18229" s="12"/>
      <c r="J18229" s="12"/>
      <c r="K18229" s="12"/>
      <c r="L18229" s="12"/>
      <c r="M18229" s="11"/>
      <c r="N18229" s="11"/>
      <c r="O18229" s="11"/>
      <c r="P18229" s="11"/>
    </row>
    <row r="18230" spans="8:16" x14ac:dyDescent="0.25">
      <c r="H18230" s="12"/>
      <c r="I18230" s="12"/>
      <c r="J18230" s="12"/>
      <c r="K18230" s="12"/>
      <c r="L18230" s="12"/>
      <c r="M18230" s="11"/>
      <c r="N18230" s="11"/>
      <c r="O18230" s="11"/>
      <c r="P18230" s="11"/>
    </row>
    <row r="18231" spans="8:16" x14ac:dyDescent="0.25">
      <c r="H18231" s="12"/>
      <c r="I18231" s="12"/>
      <c r="J18231" s="12"/>
      <c r="K18231" s="12"/>
      <c r="L18231" s="12"/>
      <c r="M18231" s="11"/>
      <c r="N18231" s="11"/>
      <c r="O18231" s="11"/>
      <c r="P18231" s="11"/>
    </row>
    <row r="18232" spans="8:16" x14ac:dyDescent="0.25">
      <c r="H18232" s="12"/>
      <c r="I18232" s="12"/>
      <c r="J18232" s="12"/>
      <c r="K18232" s="12"/>
      <c r="L18232" s="12"/>
      <c r="M18232" s="11"/>
      <c r="N18232" s="11"/>
      <c r="O18232" s="11"/>
      <c r="P18232" s="11"/>
    </row>
    <row r="18233" spans="8:16" x14ac:dyDescent="0.25">
      <c r="H18233" s="12"/>
      <c r="I18233" s="12"/>
      <c r="J18233" s="12"/>
      <c r="K18233" s="12"/>
      <c r="L18233" s="12"/>
      <c r="M18233" s="11"/>
      <c r="N18233" s="11"/>
      <c r="O18233" s="11"/>
      <c r="P18233" s="11"/>
    </row>
    <row r="18234" spans="8:16" x14ac:dyDescent="0.25">
      <c r="H18234" s="12"/>
      <c r="I18234" s="12"/>
      <c r="J18234" s="12"/>
      <c r="K18234" s="12"/>
      <c r="L18234" s="12"/>
      <c r="M18234" s="11"/>
      <c r="N18234" s="11"/>
      <c r="O18234" s="11"/>
      <c r="P18234" s="11"/>
    </row>
    <row r="18235" spans="8:16" x14ac:dyDescent="0.25">
      <c r="H18235" s="12"/>
      <c r="I18235" s="12"/>
      <c r="J18235" s="12"/>
      <c r="K18235" s="12"/>
      <c r="L18235" s="12"/>
      <c r="M18235" s="11"/>
      <c r="N18235" s="11"/>
      <c r="O18235" s="11"/>
      <c r="P18235" s="11"/>
    </row>
    <row r="18236" spans="8:16" x14ac:dyDescent="0.25">
      <c r="H18236" s="12"/>
      <c r="I18236" s="12"/>
      <c r="J18236" s="12"/>
      <c r="K18236" s="12"/>
      <c r="L18236" s="12"/>
      <c r="M18236" s="11"/>
      <c r="N18236" s="11"/>
      <c r="O18236" s="11"/>
      <c r="P18236" s="11"/>
    </row>
    <row r="18237" spans="8:16" x14ac:dyDescent="0.25">
      <c r="H18237" s="12"/>
      <c r="I18237" s="12"/>
      <c r="J18237" s="12"/>
      <c r="K18237" s="12"/>
      <c r="L18237" s="12"/>
      <c r="M18237" s="11"/>
      <c r="N18237" s="11"/>
      <c r="O18237" s="11"/>
      <c r="P18237" s="11"/>
    </row>
    <row r="18238" spans="8:16" x14ac:dyDescent="0.25">
      <c r="H18238" s="12"/>
      <c r="I18238" s="12"/>
      <c r="J18238" s="12"/>
      <c r="K18238" s="12"/>
      <c r="L18238" s="12"/>
      <c r="M18238" s="11"/>
      <c r="N18238" s="11"/>
      <c r="O18238" s="11"/>
      <c r="P18238" s="11"/>
    </row>
    <row r="18239" spans="8:16" x14ac:dyDescent="0.25">
      <c r="H18239" s="12"/>
      <c r="I18239" s="12"/>
      <c r="J18239" s="12"/>
      <c r="K18239" s="12"/>
      <c r="L18239" s="12"/>
      <c r="M18239" s="11"/>
      <c r="N18239" s="11"/>
      <c r="O18239" s="11"/>
      <c r="P18239" s="11"/>
    </row>
    <row r="18240" spans="8:16" x14ac:dyDescent="0.25">
      <c r="H18240" s="12"/>
      <c r="I18240" s="12"/>
      <c r="J18240" s="12"/>
      <c r="K18240" s="12"/>
      <c r="L18240" s="12"/>
      <c r="M18240" s="11"/>
      <c r="N18240" s="11"/>
      <c r="O18240" s="11"/>
      <c r="P18240" s="11"/>
    </row>
    <row r="18241" spans="8:16" x14ac:dyDescent="0.25">
      <c r="H18241" s="12"/>
      <c r="I18241" s="12"/>
      <c r="J18241" s="12"/>
      <c r="K18241" s="12"/>
      <c r="L18241" s="12"/>
      <c r="M18241" s="11"/>
      <c r="N18241" s="11"/>
      <c r="O18241" s="11"/>
      <c r="P18241" s="11"/>
    </row>
    <row r="18242" spans="8:16" x14ac:dyDescent="0.25">
      <c r="H18242" s="12"/>
      <c r="I18242" s="12"/>
      <c r="J18242" s="12"/>
      <c r="K18242" s="12"/>
      <c r="L18242" s="12"/>
      <c r="M18242" s="11"/>
      <c r="N18242" s="11"/>
      <c r="O18242" s="11"/>
      <c r="P18242" s="11"/>
    </row>
    <row r="18243" spans="8:16" x14ac:dyDescent="0.25">
      <c r="H18243" s="12"/>
      <c r="I18243" s="12"/>
      <c r="J18243" s="12"/>
      <c r="K18243" s="12"/>
      <c r="L18243" s="12"/>
      <c r="M18243" s="11"/>
      <c r="N18243" s="11"/>
      <c r="O18243" s="11"/>
      <c r="P18243" s="11"/>
    </row>
    <row r="18244" spans="8:16" x14ac:dyDescent="0.25">
      <c r="H18244" s="12"/>
      <c r="I18244" s="12"/>
      <c r="J18244" s="12"/>
      <c r="K18244" s="12"/>
      <c r="L18244" s="12"/>
      <c r="M18244" s="11"/>
      <c r="N18244" s="11"/>
      <c r="O18244" s="11"/>
      <c r="P18244" s="11"/>
    </row>
    <row r="18245" spans="8:16" x14ac:dyDescent="0.25">
      <c r="H18245" s="12"/>
      <c r="I18245" s="12"/>
      <c r="J18245" s="12"/>
      <c r="K18245" s="12"/>
      <c r="L18245" s="12"/>
      <c r="M18245" s="11"/>
      <c r="N18245" s="11"/>
      <c r="O18245" s="11"/>
      <c r="P18245" s="11"/>
    </row>
    <row r="18246" spans="8:16" x14ac:dyDescent="0.25">
      <c r="H18246" s="12"/>
      <c r="I18246" s="12"/>
      <c r="J18246" s="12"/>
      <c r="K18246" s="12"/>
      <c r="L18246" s="12"/>
      <c r="M18246" s="11"/>
      <c r="N18246" s="11"/>
      <c r="O18246" s="11"/>
      <c r="P18246" s="11"/>
    </row>
    <row r="18247" spans="8:16" x14ac:dyDescent="0.25">
      <c r="H18247" s="12"/>
      <c r="I18247" s="12"/>
      <c r="J18247" s="12"/>
      <c r="K18247" s="12"/>
      <c r="L18247" s="12"/>
      <c r="M18247" s="11"/>
      <c r="N18247" s="11"/>
      <c r="O18247" s="11"/>
      <c r="P18247" s="11"/>
    </row>
    <row r="18248" spans="8:16" x14ac:dyDescent="0.25">
      <c r="H18248" s="12"/>
      <c r="I18248" s="12"/>
      <c r="J18248" s="12"/>
      <c r="K18248" s="12"/>
      <c r="L18248" s="12"/>
      <c r="M18248" s="11"/>
      <c r="N18248" s="11"/>
      <c r="O18248" s="11"/>
      <c r="P18248" s="11"/>
    </row>
    <row r="18249" spans="8:16" x14ac:dyDescent="0.25">
      <c r="H18249" s="12"/>
      <c r="I18249" s="12"/>
      <c r="J18249" s="12"/>
      <c r="K18249" s="12"/>
      <c r="L18249" s="12"/>
      <c r="M18249" s="11"/>
      <c r="N18249" s="11"/>
      <c r="O18249" s="11"/>
      <c r="P18249" s="11"/>
    </row>
    <row r="18250" spans="8:16" x14ac:dyDescent="0.25">
      <c r="H18250" s="12"/>
      <c r="I18250" s="12"/>
      <c r="J18250" s="12"/>
      <c r="K18250" s="12"/>
      <c r="L18250" s="12"/>
      <c r="M18250" s="11"/>
      <c r="N18250" s="11"/>
      <c r="O18250" s="11"/>
      <c r="P18250" s="11"/>
    </row>
    <row r="18251" spans="8:16" x14ac:dyDescent="0.25">
      <c r="H18251" s="12"/>
      <c r="I18251" s="12"/>
      <c r="J18251" s="12"/>
      <c r="K18251" s="12"/>
      <c r="L18251" s="12"/>
      <c r="M18251" s="11"/>
      <c r="N18251" s="11"/>
      <c r="O18251" s="11"/>
      <c r="P18251" s="11"/>
    </row>
    <row r="18252" spans="8:16" x14ac:dyDescent="0.25">
      <c r="H18252" s="12"/>
      <c r="I18252" s="12"/>
      <c r="J18252" s="12"/>
      <c r="K18252" s="12"/>
      <c r="L18252" s="12"/>
      <c r="M18252" s="11"/>
      <c r="N18252" s="11"/>
      <c r="O18252" s="11"/>
      <c r="P18252" s="11"/>
    </row>
    <row r="18253" spans="8:16" x14ac:dyDescent="0.25">
      <c r="H18253" s="12"/>
      <c r="I18253" s="12"/>
      <c r="J18253" s="12"/>
      <c r="K18253" s="12"/>
      <c r="L18253" s="12"/>
      <c r="M18253" s="11"/>
      <c r="N18253" s="11"/>
      <c r="O18253" s="11"/>
      <c r="P18253" s="11"/>
    </row>
    <row r="18254" spans="8:16" x14ac:dyDescent="0.25">
      <c r="H18254" s="12"/>
      <c r="I18254" s="12"/>
      <c r="J18254" s="12"/>
      <c r="K18254" s="12"/>
      <c r="L18254" s="12"/>
      <c r="M18254" s="11"/>
      <c r="N18254" s="11"/>
      <c r="O18254" s="11"/>
      <c r="P18254" s="11"/>
    </row>
    <row r="18255" spans="8:16" x14ac:dyDescent="0.25">
      <c r="H18255" s="12"/>
      <c r="I18255" s="12"/>
      <c r="J18255" s="12"/>
      <c r="K18255" s="12"/>
      <c r="L18255" s="12"/>
      <c r="M18255" s="11"/>
      <c r="N18255" s="11"/>
      <c r="O18255" s="11"/>
      <c r="P18255" s="11"/>
    </row>
    <row r="18256" spans="8:16" x14ac:dyDescent="0.25">
      <c r="H18256" s="12"/>
      <c r="I18256" s="12"/>
      <c r="J18256" s="12"/>
      <c r="K18256" s="12"/>
      <c r="L18256" s="12"/>
      <c r="M18256" s="11"/>
      <c r="N18256" s="11"/>
      <c r="O18256" s="11"/>
      <c r="P18256" s="11"/>
    </row>
    <row r="18257" spans="8:16" x14ac:dyDescent="0.25">
      <c r="H18257" s="12"/>
      <c r="I18257" s="12"/>
      <c r="J18257" s="12"/>
      <c r="K18257" s="12"/>
      <c r="L18257" s="12"/>
      <c r="M18257" s="11"/>
      <c r="N18257" s="11"/>
      <c r="O18257" s="11"/>
      <c r="P18257" s="11"/>
    </row>
    <row r="18258" spans="8:16" x14ac:dyDescent="0.25">
      <c r="H18258" s="12"/>
      <c r="I18258" s="12"/>
      <c r="J18258" s="12"/>
      <c r="K18258" s="12"/>
      <c r="L18258" s="12"/>
      <c r="M18258" s="11"/>
      <c r="N18258" s="11"/>
      <c r="O18258" s="11"/>
      <c r="P18258" s="11"/>
    </row>
    <row r="18259" spans="8:16" x14ac:dyDescent="0.25">
      <c r="H18259" s="12"/>
      <c r="I18259" s="12"/>
      <c r="J18259" s="12"/>
      <c r="K18259" s="12"/>
      <c r="L18259" s="12"/>
      <c r="M18259" s="11"/>
      <c r="N18259" s="11"/>
      <c r="O18259" s="11"/>
      <c r="P18259" s="11"/>
    </row>
    <row r="18260" spans="8:16" x14ac:dyDescent="0.25">
      <c r="H18260" s="12"/>
      <c r="I18260" s="12"/>
      <c r="J18260" s="12"/>
      <c r="K18260" s="12"/>
      <c r="L18260" s="12"/>
      <c r="M18260" s="11"/>
      <c r="N18260" s="11"/>
      <c r="O18260" s="11"/>
      <c r="P18260" s="11"/>
    </row>
    <row r="18261" spans="8:16" x14ac:dyDescent="0.25">
      <c r="H18261" s="12"/>
      <c r="I18261" s="12"/>
      <c r="J18261" s="12"/>
      <c r="K18261" s="12"/>
      <c r="L18261" s="12"/>
      <c r="M18261" s="11"/>
      <c r="N18261" s="11"/>
      <c r="O18261" s="11"/>
      <c r="P18261" s="11"/>
    </row>
    <row r="18262" spans="8:16" x14ac:dyDescent="0.25">
      <c r="H18262" s="12"/>
      <c r="I18262" s="12"/>
      <c r="J18262" s="12"/>
      <c r="K18262" s="12"/>
      <c r="L18262" s="12"/>
      <c r="M18262" s="11"/>
      <c r="N18262" s="11"/>
      <c r="O18262" s="11"/>
      <c r="P18262" s="11"/>
    </row>
    <row r="18263" spans="8:16" x14ac:dyDescent="0.25">
      <c r="H18263" s="12"/>
      <c r="I18263" s="12"/>
      <c r="J18263" s="12"/>
      <c r="K18263" s="12"/>
      <c r="L18263" s="12"/>
      <c r="M18263" s="11"/>
      <c r="N18263" s="11"/>
      <c r="O18263" s="11"/>
      <c r="P18263" s="11"/>
    </row>
    <row r="18264" spans="8:16" x14ac:dyDescent="0.25">
      <c r="H18264" s="12"/>
      <c r="I18264" s="12"/>
      <c r="J18264" s="12"/>
      <c r="K18264" s="12"/>
      <c r="L18264" s="12"/>
      <c r="M18264" s="11"/>
      <c r="N18264" s="11"/>
      <c r="O18264" s="11"/>
      <c r="P18264" s="11"/>
    </row>
    <row r="18265" spans="8:16" x14ac:dyDescent="0.25">
      <c r="H18265" s="12"/>
      <c r="I18265" s="12"/>
      <c r="J18265" s="12"/>
      <c r="K18265" s="12"/>
      <c r="L18265" s="12"/>
      <c r="M18265" s="11"/>
      <c r="N18265" s="11"/>
      <c r="O18265" s="11"/>
      <c r="P18265" s="11"/>
    </row>
    <row r="18266" spans="8:16" x14ac:dyDescent="0.25">
      <c r="H18266" s="12"/>
      <c r="I18266" s="12"/>
      <c r="J18266" s="12"/>
      <c r="K18266" s="12"/>
      <c r="L18266" s="12"/>
      <c r="M18266" s="11"/>
      <c r="N18266" s="11"/>
      <c r="O18266" s="11"/>
      <c r="P18266" s="11"/>
    </row>
    <row r="18267" spans="8:16" x14ac:dyDescent="0.25">
      <c r="H18267" s="12"/>
      <c r="I18267" s="12"/>
      <c r="J18267" s="12"/>
      <c r="K18267" s="12"/>
      <c r="L18267" s="12"/>
      <c r="M18267" s="11"/>
      <c r="N18267" s="11"/>
      <c r="O18267" s="11"/>
      <c r="P18267" s="11"/>
    </row>
    <row r="18268" spans="8:16" x14ac:dyDescent="0.25">
      <c r="H18268" s="12"/>
      <c r="I18268" s="12"/>
      <c r="J18268" s="12"/>
      <c r="K18268" s="12"/>
      <c r="L18268" s="12"/>
      <c r="M18268" s="11"/>
      <c r="N18268" s="11"/>
      <c r="O18268" s="11"/>
      <c r="P18268" s="11"/>
    </row>
    <row r="18269" spans="8:16" x14ac:dyDescent="0.25">
      <c r="H18269" s="12"/>
      <c r="I18269" s="12"/>
      <c r="J18269" s="12"/>
      <c r="K18269" s="12"/>
      <c r="L18269" s="12"/>
      <c r="M18269" s="11"/>
      <c r="N18269" s="11"/>
      <c r="O18269" s="11"/>
      <c r="P18269" s="11"/>
    </row>
    <row r="18270" spans="8:16" x14ac:dyDescent="0.25">
      <c r="H18270" s="12"/>
      <c r="I18270" s="12"/>
      <c r="J18270" s="12"/>
      <c r="K18270" s="12"/>
      <c r="L18270" s="12"/>
      <c r="M18270" s="11"/>
      <c r="N18270" s="11"/>
      <c r="O18270" s="11"/>
      <c r="P18270" s="11"/>
    </row>
    <row r="18271" spans="8:16" x14ac:dyDescent="0.25">
      <c r="H18271" s="12"/>
      <c r="I18271" s="12"/>
      <c r="J18271" s="12"/>
      <c r="K18271" s="12"/>
      <c r="L18271" s="12"/>
      <c r="M18271" s="11"/>
      <c r="N18271" s="11"/>
      <c r="O18271" s="11"/>
      <c r="P18271" s="11"/>
    </row>
    <row r="18272" spans="8:16" x14ac:dyDescent="0.25">
      <c r="H18272" s="12"/>
      <c r="I18272" s="12"/>
      <c r="J18272" s="12"/>
      <c r="K18272" s="12"/>
      <c r="L18272" s="12"/>
      <c r="M18272" s="11"/>
      <c r="N18272" s="11"/>
      <c r="O18272" s="11"/>
      <c r="P18272" s="11"/>
    </row>
    <row r="18273" spans="8:16" x14ac:dyDescent="0.25">
      <c r="H18273" s="12"/>
      <c r="I18273" s="12"/>
      <c r="J18273" s="12"/>
      <c r="K18273" s="12"/>
      <c r="L18273" s="12"/>
      <c r="M18273" s="11"/>
      <c r="N18273" s="11"/>
      <c r="O18273" s="11"/>
      <c r="P18273" s="11"/>
    </row>
    <row r="18274" spans="8:16" x14ac:dyDescent="0.25">
      <c r="H18274" s="12"/>
      <c r="I18274" s="12"/>
      <c r="J18274" s="12"/>
      <c r="K18274" s="12"/>
      <c r="L18274" s="12"/>
      <c r="M18274" s="11"/>
      <c r="N18274" s="11"/>
      <c r="O18274" s="11"/>
      <c r="P18274" s="11"/>
    </row>
    <row r="18275" spans="8:16" x14ac:dyDescent="0.25">
      <c r="H18275" s="12"/>
      <c r="I18275" s="12"/>
      <c r="J18275" s="12"/>
      <c r="K18275" s="12"/>
      <c r="L18275" s="12"/>
      <c r="M18275" s="11"/>
      <c r="N18275" s="11"/>
      <c r="O18275" s="11"/>
      <c r="P18275" s="11"/>
    </row>
    <row r="18276" spans="8:16" x14ac:dyDescent="0.25">
      <c r="H18276" s="12"/>
      <c r="I18276" s="12"/>
      <c r="J18276" s="12"/>
      <c r="K18276" s="12"/>
      <c r="L18276" s="12"/>
      <c r="M18276" s="11"/>
      <c r="N18276" s="11"/>
      <c r="O18276" s="11"/>
      <c r="P18276" s="11"/>
    </row>
    <row r="18277" spans="8:16" x14ac:dyDescent="0.25">
      <c r="H18277" s="12"/>
      <c r="I18277" s="12"/>
      <c r="J18277" s="12"/>
      <c r="K18277" s="12"/>
      <c r="L18277" s="12"/>
      <c r="M18277" s="11"/>
      <c r="N18277" s="11"/>
      <c r="O18277" s="11"/>
      <c r="P18277" s="11"/>
    </row>
    <row r="18278" spans="8:16" x14ac:dyDescent="0.25">
      <c r="H18278" s="12"/>
      <c r="I18278" s="12"/>
      <c r="J18278" s="12"/>
      <c r="K18278" s="12"/>
      <c r="L18278" s="12"/>
      <c r="M18278" s="11"/>
      <c r="N18278" s="11"/>
      <c r="O18278" s="11"/>
      <c r="P18278" s="11"/>
    </row>
    <row r="18279" spans="8:16" x14ac:dyDescent="0.25">
      <c r="H18279" s="12"/>
      <c r="I18279" s="12"/>
      <c r="J18279" s="12"/>
      <c r="K18279" s="12"/>
      <c r="L18279" s="12"/>
      <c r="M18279" s="11"/>
      <c r="N18279" s="11"/>
      <c r="O18279" s="11"/>
      <c r="P18279" s="11"/>
    </row>
    <row r="18280" spans="8:16" x14ac:dyDescent="0.25">
      <c r="H18280" s="12"/>
      <c r="I18280" s="12"/>
      <c r="J18280" s="12"/>
      <c r="K18280" s="12"/>
      <c r="L18280" s="12"/>
      <c r="M18280" s="11"/>
      <c r="N18280" s="11"/>
      <c r="O18280" s="11"/>
      <c r="P18280" s="11"/>
    </row>
    <row r="18281" spans="8:16" x14ac:dyDescent="0.25">
      <c r="H18281" s="12"/>
      <c r="I18281" s="12"/>
      <c r="J18281" s="12"/>
      <c r="K18281" s="12"/>
      <c r="L18281" s="12"/>
      <c r="M18281" s="11"/>
      <c r="N18281" s="11"/>
      <c r="O18281" s="11"/>
      <c r="P18281" s="11"/>
    </row>
    <row r="18282" spans="8:16" x14ac:dyDescent="0.25">
      <c r="H18282" s="12"/>
      <c r="I18282" s="12"/>
      <c r="J18282" s="12"/>
      <c r="K18282" s="12"/>
      <c r="L18282" s="12"/>
      <c r="M18282" s="11"/>
      <c r="N18282" s="11"/>
      <c r="O18282" s="11"/>
      <c r="P18282" s="11"/>
    </row>
    <row r="18283" spans="8:16" x14ac:dyDescent="0.25">
      <c r="H18283" s="12"/>
      <c r="I18283" s="12"/>
      <c r="J18283" s="12"/>
      <c r="K18283" s="12"/>
      <c r="L18283" s="12"/>
      <c r="M18283" s="11"/>
      <c r="N18283" s="11"/>
      <c r="O18283" s="11"/>
      <c r="P18283" s="11"/>
    </row>
    <row r="18284" spans="8:16" x14ac:dyDescent="0.25">
      <c r="H18284" s="12"/>
      <c r="I18284" s="12"/>
      <c r="J18284" s="12"/>
      <c r="K18284" s="12"/>
      <c r="L18284" s="12"/>
      <c r="M18284" s="11"/>
      <c r="N18284" s="11"/>
      <c r="O18284" s="11"/>
      <c r="P18284" s="11"/>
    </row>
    <row r="18285" spans="8:16" x14ac:dyDescent="0.25">
      <c r="H18285" s="12"/>
      <c r="I18285" s="12"/>
      <c r="J18285" s="12"/>
      <c r="K18285" s="12"/>
      <c r="L18285" s="12"/>
      <c r="M18285" s="11"/>
      <c r="N18285" s="11"/>
      <c r="O18285" s="11"/>
      <c r="P18285" s="11"/>
    </row>
    <row r="18286" spans="8:16" x14ac:dyDescent="0.25">
      <c r="H18286" s="12"/>
      <c r="I18286" s="12"/>
      <c r="J18286" s="12"/>
      <c r="K18286" s="12"/>
      <c r="L18286" s="12"/>
      <c r="M18286" s="11"/>
      <c r="N18286" s="11"/>
      <c r="O18286" s="11"/>
      <c r="P18286" s="11"/>
    </row>
    <row r="18287" spans="8:16" x14ac:dyDescent="0.25">
      <c r="H18287" s="12"/>
      <c r="I18287" s="12"/>
      <c r="J18287" s="12"/>
      <c r="K18287" s="12"/>
      <c r="L18287" s="12"/>
      <c r="M18287" s="11"/>
      <c r="N18287" s="11"/>
      <c r="O18287" s="11"/>
      <c r="P18287" s="11"/>
    </row>
    <row r="18288" spans="8:16" x14ac:dyDescent="0.25">
      <c r="H18288" s="12"/>
      <c r="I18288" s="12"/>
      <c r="J18288" s="12"/>
      <c r="K18288" s="12"/>
      <c r="L18288" s="12"/>
      <c r="M18288" s="11"/>
      <c r="N18288" s="11"/>
      <c r="O18288" s="11"/>
      <c r="P18288" s="11"/>
    </row>
    <row r="18289" spans="8:16" x14ac:dyDescent="0.25">
      <c r="H18289" s="12"/>
      <c r="I18289" s="12"/>
      <c r="J18289" s="12"/>
      <c r="K18289" s="12"/>
      <c r="L18289" s="12"/>
      <c r="M18289" s="11"/>
      <c r="N18289" s="11"/>
      <c r="O18289" s="11"/>
      <c r="P18289" s="11"/>
    </row>
    <row r="18290" spans="8:16" x14ac:dyDescent="0.25">
      <c r="H18290" s="12"/>
      <c r="I18290" s="12"/>
      <c r="J18290" s="12"/>
      <c r="K18290" s="12"/>
      <c r="L18290" s="12"/>
      <c r="M18290" s="11"/>
      <c r="N18290" s="11"/>
      <c r="O18290" s="11"/>
      <c r="P18290" s="11"/>
    </row>
    <row r="18291" spans="8:16" x14ac:dyDescent="0.25">
      <c r="H18291" s="12"/>
      <c r="I18291" s="12"/>
      <c r="J18291" s="12"/>
      <c r="K18291" s="12"/>
      <c r="L18291" s="12"/>
      <c r="M18291" s="11"/>
      <c r="N18291" s="11"/>
      <c r="O18291" s="11"/>
      <c r="P18291" s="11"/>
    </row>
    <row r="18292" spans="8:16" x14ac:dyDescent="0.25">
      <c r="H18292" s="12"/>
      <c r="I18292" s="12"/>
      <c r="J18292" s="12"/>
      <c r="K18292" s="12"/>
      <c r="L18292" s="12"/>
      <c r="M18292" s="11"/>
      <c r="N18292" s="11"/>
      <c r="O18292" s="11"/>
      <c r="P18292" s="11"/>
    </row>
    <row r="18293" spans="8:16" x14ac:dyDescent="0.25">
      <c r="H18293" s="12"/>
      <c r="I18293" s="12"/>
      <c r="J18293" s="12"/>
      <c r="K18293" s="12"/>
      <c r="L18293" s="12"/>
      <c r="M18293" s="11"/>
      <c r="N18293" s="11"/>
      <c r="O18293" s="11"/>
      <c r="P18293" s="11"/>
    </row>
    <row r="18294" spans="8:16" x14ac:dyDescent="0.25">
      <c r="H18294" s="12"/>
      <c r="I18294" s="12"/>
      <c r="J18294" s="12"/>
      <c r="K18294" s="12"/>
      <c r="L18294" s="12"/>
      <c r="M18294" s="11"/>
      <c r="N18294" s="11"/>
      <c r="O18294" s="11"/>
      <c r="P18294" s="11"/>
    </row>
    <row r="18295" spans="8:16" x14ac:dyDescent="0.25">
      <c r="H18295" s="12"/>
      <c r="I18295" s="12"/>
      <c r="J18295" s="12"/>
      <c r="K18295" s="12"/>
      <c r="L18295" s="12"/>
      <c r="M18295" s="11"/>
      <c r="N18295" s="11"/>
      <c r="O18295" s="11"/>
      <c r="P18295" s="11"/>
    </row>
    <row r="18296" spans="8:16" x14ac:dyDescent="0.25">
      <c r="H18296" s="12"/>
      <c r="I18296" s="12"/>
      <c r="J18296" s="12"/>
      <c r="K18296" s="12"/>
      <c r="L18296" s="12"/>
      <c r="M18296" s="11"/>
      <c r="N18296" s="11"/>
      <c r="O18296" s="11"/>
      <c r="P18296" s="11"/>
    </row>
    <row r="18297" spans="8:16" x14ac:dyDescent="0.25">
      <c r="H18297" s="12"/>
      <c r="I18297" s="12"/>
      <c r="J18297" s="12"/>
      <c r="K18297" s="12"/>
      <c r="L18297" s="12"/>
      <c r="M18297" s="11"/>
      <c r="N18297" s="11"/>
      <c r="O18297" s="11"/>
      <c r="P18297" s="11"/>
    </row>
    <row r="18298" spans="8:16" x14ac:dyDescent="0.25">
      <c r="H18298" s="12"/>
      <c r="I18298" s="12"/>
      <c r="J18298" s="12"/>
      <c r="K18298" s="12"/>
      <c r="L18298" s="12"/>
      <c r="M18298" s="11"/>
      <c r="N18298" s="11"/>
      <c r="O18298" s="11"/>
      <c r="P18298" s="11"/>
    </row>
    <row r="18299" spans="8:16" x14ac:dyDescent="0.25">
      <c r="H18299" s="12"/>
      <c r="I18299" s="12"/>
      <c r="J18299" s="12"/>
      <c r="K18299" s="12"/>
      <c r="L18299" s="12"/>
      <c r="M18299" s="11"/>
      <c r="N18299" s="11"/>
      <c r="O18299" s="11"/>
      <c r="P18299" s="11"/>
    </row>
    <row r="18300" spans="8:16" x14ac:dyDescent="0.25">
      <c r="H18300" s="12"/>
      <c r="I18300" s="12"/>
      <c r="J18300" s="12"/>
      <c r="K18300" s="12"/>
      <c r="L18300" s="12"/>
      <c r="M18300" s="11"/>
      <c r="N18300" s="11"/>
      <c r="O18300" s="11"/>
      <c r="P18300" s="11"/>
    </row>
    <row r="18301" spans="8:16" x14ac:dyDescent="0.25">
      <c r="H18301" s="12"/>
      <c r="I18301" s="12"/>
      <c r="J18301" s="12"/>
      <c r="K18301" s="12"/>
      <c r="L18301" s="12"/>
      <c r="M18301" s="11"/>
      <c r="N18301" s="11"/>
      <c r="O18301" s="11"/>
      <c r="P18301" s="11"/>
    </row>
    <row r="18302" spans="8:16" x14ac:dyDescent="0.25">
      <c r="H18302" s="12"/>
      <c r="I18302" s="12"/>
      <c r="J18302" s="12"/>
      <c r="K18302" s="12"/>
      <c r="L18302" s="12"/>
      <c r="M18302" s="11"/>
      <c r="N18302" s="11"/>
      <c r="O18302" s="11"/>
      <c r="P18302" s="11"/>
    </row>
    <row r="18303" spans="8:16" x14ac:dyDescent="0.25">
      <c r="H18303" s="12"/>
      <c r="I18303" s="12"/>
      <c r="J18303" s="12"/>
      <c r="K18303" s="12"/>
      <c r="L18303" s="12"/>
      <c r="M18303" s="11"/>
      <c r="N18303" s="11"/>
      <c r="O18303" s="11"/>
      <c r="P18303" s="11"/>
    </row>
    <row r="18304" spans="8:16" x14ac:dyDescent="0.25">
      <c r="H18304" s="12"/>
      <c r="I18304" s="12"/>
      <c r="J18304" s="12"/>
      <c r="K18304" s="12"/>
      <c r="L18304" s="12"/>
      <c r="M18304" s="11"/>
      <c r="N18304" s="11"/>
      <c r="O18304" s="11"/>
      <c r="P18304" s="11"/>
    </row>
    <row r="18305" spans="8:16" x14ac:dyDescent="0.25">
      <c r="H18305" s="12"/>
      <c r="I18305" s="12"/>
      <c r="J18305" s="12"/>
      <c r="K18305" s="12"/>
      <c r="L18305" s="12"/>
      <c r="M18305" s="11"/>
      <c r="N18305" s="11"/>
      <c r="O18305" s="11"/>
      <c r="P18305" s="11"/>
    </row>
    <row r="18306" spans="8:16" x14ac:dyDescent="0.25">
      <c r="H18306" s="12"/>
      <c r="I18306" s="12"/>
      <c r="J18306" s="12"/>
      <c r="K18306" s="12"/>
      <c r="L18306" s="12"/>
      <c r="M18306" s="11"/>
      <c r="N18306" s="11"/>
      <c r="O18306" s="11"/>
      <c r="P18306" s="11"/>
    </row>
    <row r="18307" spans="8:16" x14ac:dyDescent="0.25">
      <c r="H18307" s="12"/>
      <c r="I18307" s="12"/>
      <c r="J18307" s="12"/>
      <c r="K18307" s="12"/>
      <c r="L18307" s="12"/>
      <c r="M18307" s="11"/>
      <c r="N18307" s="11"/>
      <c r="O18307" s="11"/>
      <c r="P18307" s="11"/>
    </row>
    <row r="18308" spans="8:16" x14ac:dyDescent="0.25">
      <c r="H18308" s="12"/>
      <c r="I18308" s="12"/>
      <c r="J18308" s="12"/>
      <c r="K18308" s="12"/>
      <c r="L18308" s="12"/>
      <c r="M18308" s="11"/>
      <c r="N18308" s="11"/>
      <c r="O18308" s="11"/>
      <c r="P18308" s="11"/>
    </row>
    <row r="18309" spans="8:16" x14ac:dyDescent="0.25">
      <c r="H18309" s="12"/>
      <c r="I18309" s="12"/>
      <c r="J18309" s="12"/>
      <c r="K18309" s="12"/>
      <c r="L18309" s="12"/>
      <c r="M18309" s="11"/>
      <c r="N18309" s="11"/>
      <c r="O18309" s="11"/>
      <c r="P18309" s="11"/>
    </row>
    <row r="18310" spans="8:16" x14ac:dyDescent="0.25">
      <c r="H18310" s="12"/>
      <c r="I18310" s="12"/>
      <c r="J18310" s="12"/>
      <c r="K18310" s="12"/>
      <c r="L18310" s="12"/>
      <c r="M18310" s="11"/>
      <c r="N18310" s="11"/>
      <c r="O18310" s="11"/>
      <c r="P18310" s="11"/>
    </row>
    <row r="18311" spans="8:16" x14ac:dyDescent="0.25">
      <c r="H18311" s="12"/>
      <c r="I18311" s="12"/>
      <c r="J18311" s="12"/>
      <c r="K18311" s="12"/>
      <c r="L18311" s="12"/>
      <c r="M18311" s="11"/>
      <c r="N18311" s="11"/>
      <c r="O18311" s="11"/>
      <c r="P18311" s="11"/>
    </row>
    <row r="18312" spans="8:16" x14ac:dyDescent="0.25">
      <c r="H18312" s="12"/>
      <c r="I18312" s="12"/>
      <c r="J18312" s="12"/>
      <c r="K18312" s="12"/>
      <c r="L18312" s="12"/>
      <c r="M18312" s="11"/>
      <c r="N18312" s="11"/>
      <c r="O18312" s="11"/>
      <c r="P18312" s="11"/>
    </row>
    <row r="18313" spans="8:16" x14ac:dyDescent="0.25">
      <c r="H18313" s="12"/>
      <c r="I18313" s="12"/>
      <c r="J18313" s="12"/>
      <c r="K18313" s="12"/>
      <c r="L18313" s="12"/>
      <c r="M18313" s="11"/>
      <c r="N18313" s="11"/>
      <c r="O18313" s="11"/>
      <c r="P18313" s="11"/>
    </row>
    <row r="18314" spans="8:16" x14ac:dyDescent="0.25">
      <c r="H18314" s="12"/>
      <c r="I18314" s="12"/>
      <c r="J18314" s="12"/>
      <c r="K18314" s="12"/>
      <c r="L18314" s="12"/>
      <c r="M18314" s="11"/>
      <c r="N18314" s="11"/>
      <c r="O18314" s="11"/>
      <c r="P18314" s="11"/>
    </row>
    <row r="18315" spans="8:16" x14ac:dyDescent="0.25">
      <c r="H18315" s="12"/>
      <c r="I18315" s="12"/>
      <c r="J18315" s="12"/>
      <c r="K18315" s="12"/>
      <c r="L18315" s="12"/>
      <c r="M18315" s="11"/>
      <c r="N18315" s="11"/>
      <c r="O18315" s="11"/>
      <c r="P18315" s="11"/>
    </row>
    <row r="18316" spans="8:16" x14ac:dyDescent="0.25">
      <c r="H18316" s="12"/>
      <c r="I18316" s="12"/>
      <c r="J18316" s="12"/>
      <c r="K18316" s="12"/>
      <c r="L18316" s="12"/>
      <c r="M18316" s="11"/>
      <c r="N18316" s="11"/>
      <c r="O18316" s="11"/>
      <c r="P18316" s="11"/>
    </row>
    <row r="18317" spans="8:16" x14ac:dyDescent="0.25">
      <c r="H18317" s="12"/>
      <c r="I18317" s="12"/>
      <c r="J18317" s="12"/>
      <c r="K18317" s="12"/>
      <c r="L18317" s="12"/>
      <c r="M18317" s="11"/>
      <c r="N18317" s="11"/>
      <c r="O18317" s="11"/>
      <c r="P18317" s="11"/>
    </row>
    <row r="18318" spans="8:16" x14ac:dyDescent="0.25">
      <c r="H18318" s="12"/>
      <c r="I18318" s="12"/>
      <c r="J18318" s="12"/>
      <c r="K18318" s="12"/>
      <c r="L18318" s="12"/>
      <c r="M18318" s="11"/>
      <c r="N18318" s="11"/>
      <c r="O18318" s="11"/>
      <c r="P18318" s="11"/>
    </row>
    <row r="18319" spans="8:16" x14ac:dyDescent="0.25">
      <c r="H18319" s="12"/>
      <c r="I18319" s="12"/>
      <c r="J18319" s="12"/>
      <c r="K18319" s="12"/>
      <c r="L18319" s="12"/>
      <c r="M18319" s="11"/>
      <c r="N18319" s="11"/>
      <c r="O18319" s="11"/>
      <c r="P18319" s="11"/>
    </row>
    <row r="18320" spans="8:16" x14ac:dyDescent="0.25">
      <c r="H18320" s="12"/>
      <c r="I18320" s="12"/>
      <c r="J18320" s="12"/>
      <c r="K18320" s="12"/>
      <c r="L18320" s="12"/>
      <c r="M18320" s="11"/>
      <c r="N18320" s="11"/>
      <c r="O18320" s="11"/>
      <c r="P18320" s="11"/>
    </row>
    <row r="18321" spans="8:16" x14ac:dyDescent="0.25">
      <c r="H18321" s="12"/>
      <c r="I18321" s="12"/>
      <c r="J18321" s="12"/>
      <c r="K18321" s="12"/>
      <c r="L18321" s="12"/>
      <c r="M18321" s="11"/>
      <c r="N18321" s="11"/>
      <c r="O18321" s="11"/>
      <c r="P18321" s="11"/>
    </row>
    <row r="18322" spans="8:16" x14ac:dyDescent="0.25">
      <c r="H18322" s="12"/>
      <c r="I18322" s="12"/>
      <c r="J18322" s="12"/>
      <c r="K18322" s="12"/>
      <c r="L18322" s="12"/>
      <c r="M18322" s="11"/>
      <c r="N18322" s="11"/>
      <c r="O18322" s="11"/>
      <c r="P18322" s="11"/>
    </row>
    <row r="18323" spans="8:16" x14ac:dyDescent="0.25">
      <c r="H18323" s="12"/>
      <c r="I18323" s="12"/>
      <c r="J18323" s="12"/>
      <c r="K18323" s="12"/>
      <c r="L18323" s="12"/>
      <c r="M18323" s="11"/>
      <c r="N18323" s="11"/>
      <c r="O18323" s="11"/>
      <c r="P18323" s="11"/>
    </row>
    <row r="18324" spans="8:16" x14ac:dyDescent="0.25">
      <c r="H18324" s="12"/>
      <c r="I18324" s="12"/>
      <c r="J18324" s="12"/>
      <c r="K18324" s="12"/>
      <c r="L18324" s="12"/>
      <c r="M18324" s="11"/>
      <c r="N18324" s="11"/>
      <c r="O18324" s="11"/>
      <c r="P18324" s="11"/>
    </row>
    <row r="18325" spans="8:16" x14ac:dyDescent="0.25">
      <c r="H18325" s="12"/>
      <c r="I18325" s="12"/>
      <c r="J18325" s="12"/>
      <c r="K18325" s="12"/>
      <c r="L18325" s="12"/>
      <c r="M18325" s="11"/>
      <c r="N18325" s="11"/>
      <c r="O18325" s="11"/>
      <c r="P18325" s="11"/>
    </row>
    <row r="18326" spans="8:16" x14ac:dyDescent="0.25">
      <c r="H18326" s="12"/>
      <c r="I18326" s="12"/>
      <c r="J18326" s="12"/>
      <c r="K18326" s="12"/>
      <c r="L18326" s="12"/>
      <c r="M18326" s="11"/>
      <c r="N18326" s="11"/>
      <c r="O18326" s="11"/>
      <c r="P18326" s="11"/>
    </row>
    <row r="18327" spans="8:16" x14ac:dyDescent="0.25">
      <c r="H18327" s="12"/>
      <c r="I18327" s="12"/>
      <c r="J18327" s="12"/>
      <c r="K18327" s="12"/>
      <c r="L18327" s="12"/>
      <c r="M18327" s="11"/>
      <c r="N18327" s="11"/>
      <c r="O18327" s="11"/>
      <c r="P18327" s="11"/>
    </row>
    <row r="18328" spans="8:16" x14ac:dyDescent="0.25">
      <c r="H18328" s="12"/>
      <c r="I18328" s="12"/>
      <c r="J18328" s="12"/>
      <c r="K18328" s="12"/>
      <c r="L18328" s="12"/>
      <c r="M18328" s="11"/>
      <c r="N18328" s="11"/>
      <c r="O18328" s="11"/>
      <c r="P18328" s="11"/>
    </row>
    <row r="18329" spans="8:16" x14ac:dyDescent="0.25">
      <c r="H18329" s="12"/>
      <c r="I18329" s="12"/>
      <c r="J18329" s="12"/>
      <c r="K18329" s="12"/>
      <c r="L18329" s="12"/>
      <c r="M18329" s="11"/>
      <c r="N18329" s="11"/>
      <c r="O18329" s="11"/>
      <c r="P18329" s="11"/>
    </row>
    <row r="18330" spans="8:16" x14ac:dyDescent="0.25">
      <c r="H18330" s="12"/>
      <c r="I18330" s="12"/>
      <c r="J18330" s="12"/>
      <c r="K18330" s="12"/>
      <c r="L18330" s="12"/>
      <c r="M18330" s="11"/>
      <c r="N18330" s="11"/>
      <c r="O18330" s="11"/>
      <c r="P18330" s="11"/>
    </row>
    <row r="18331" spans="8:16" x14ac:dyDescent="0.25">
      <c r="H18331" s="12"/>
      <c r="I18331" s="12"/>
      <c r="J18331" s="12"/>
      <c r="K18331" s="12"/>
      <c r="L18331" s="12"/>
      <c r="M18331" s="11"/>
      <c r="N18331" s="11"/>
      <c r="O18331" s="11"/>
      <c r="P18331" s="11"/>
    </row>
    <row r="18332" spans="8:16" x14ac:dyDescent="0.25">
      <c r="H18332" s="12"/>
      <c r="I18332" s="12"/>
      <c r="J18332" s="12"/>
      <c r="K18332" s="12"/>
      <c r="L18332" s="12"/>
      <c r="M18332" s="11"/>
      <c r="N18332" s="11"/>
      <c r="O18332" s="11"/>
      <c r="P18332" s="11"/>
    </row>
    <row r="18333" spans="8:16" x14ac:dyDescent="0.25">
      <c r="H18333" s="12"/>
      <c r="I18333" s="12"/>
      <c r="J18333" s="12"/>
      <c r="K18333" s="12"/>
      <c r="L18333" s="12"/>
      <c r="M18333" s="11"/>
      <c r="N18333" s="11"/>
      <c r="O18333" s="11"/>
      <c r="P18333" s="11"/>
    </row>
    <row r="18334" spans="8:16" x14ac:dyDescent="0.25">
      <c r="H18334" s="12"/>
      <c r="I18334" s="12"/>
      <c r="J18334" s="12"/>
      <c r="K18334" s="12"/>
      <c r="L18334" s="12"/>
      <c r="M18334" s="11"/>
      <c r="N18334" s="11"/>
      <c r="O18334" s="11"/>
      <c r="P18334" s="11"/>
    </row>
    <row r="18335" spans="8:16" x14ac:dyDescent="0.25">
      <c r="H18335" s="12"/>
      <c r="I18335" s="12"/>
      <c r="J18335" s="12"/>
      <c r="K18335" s="12"/>
      <c r="L18335" s="12"/>
      <c r="M18335" s="11"/>
      <c r="N18335" s="11"/>
      <c r="O18335" s="11"/>
      <c r="P18335" s="11"/>
    </row>
    <row r="18336" spans="8:16" x14ac:dyDescent="0.25">
      <c r="H18336" s="12"/>
      <c r="I18336" s="12"/>
      <c r="J18336" s="12"/>
      <c r="K18336" s="12"/>
      <c r="L18336" s="12"/>
      <c r="M18336" s="11"/>
      <c r="N18336" s="11"/>
      <c r="O18336" s="11"/>
      <c r="P18336" s="11"/>
    </row>
    <row r="18337" spans="8:16" x14ac:dyDescent="0.25">
      <c r="H18337" s="12"/>
      <c r="I18337" s="12"/>
      <c r="J18337" s="12"/>
      <c r="K18337" s="12"/>
      <c r="L18337" s="12"/>
      <c r="M18337" s="11"/>
      <c r="N18337" s="11"/>
      <c r="O18337" s="11"/>
      <c r="P18337" s="11"/>
    </row>
    <row r="18338" spans="8:16" x14ac:dyDescent="0.25">
      <c r="H18338" s="12"/>
      <c r="I18338" s="12"/>
      <c r="J18338" s="12"/>
      <c r="K18338" s="12"/>
      <c r="L18338" s="12"/>
      <c r="M18338" s="11"/>
      <c r="N18338" s="11"/>
      <c r="O18338" s="11"/>
      <c r="P18338" s="11"/>
    </row>
    <row r="18339" spans="8:16" x14ac:dyDescent="0.25">
      <c r="H18339" s="12"/>
      <c r="I18339" s="12"/>
      <c r="J18339" s="12"/>
      <c r="K18339" s="12"/>
      <c r="L18339" s="12"/>
      <c r="M18339" s="11"/>
      <c r="N18339" s="11"/>
      <c r="O18339" s="11"/>
      <c r="P18339" s="11"/>
    </row>
    <row r="18340" spans="8:16" x14ac:dyDescent="0.25">
      <c r="H18340" s="12"/>
      <c r="I18340" s="12"/>
      <c r="J18340" s="12"/>
      <c r="K18340" s="12"/>
      <c r="L18340" s="12"/>
      <c r="M18340" s="11"/>
      <c r="N18340" s="11"/>
      <c r="O18340" s="11"/>
      <c r="P18340" s="11"/>
    </row>
    <row r="18341" spans="8:16" x14ac:dyDescent="0.25">
      <c r="H18341" s="12"/>
      <c r="I18341" s="12"/>
      <c r="J18341" s="12"/>
      <c r="K18341" s="12"/>
      <c r="L18341" s="12"/>
      <c r="M18341" s="11"/>
      <c r="N18341" s="11"/>
      <c r="O18341" s="11"/>
      <c r="P18341" s="11"/>
    </row>
    <row r="18342" spans="8:16" x14ac:dyDescent="0.25">
      <c r="H18342" s="12"/>
      <c r="I18342" s="12"/>
      <c r="J18342" s="12"/>
      <c r="K18342" s="12"/>
      <c r="L18342" s="12"/>
      <c r="M18342" s="11"/>
      <c r="N18342" s="11"/>
      <c r="O18342" s="11"/>
      <c r="P18342" s="11"/>
    </row>
    <row r="18343" spans="8:16" x14ac:dyDescent="0.25">
      <c r="H18343" s="12"/>
      <c r="I18343" s="12"/>
      <c r="J18343" s="12"/>
      <c r="K18343" s="12"/>
      <c r="L18343" s="12"/>
      <c r="M18343" s="11"/>
      <c r="N18343" s="11"/>
      <c r="O18343" s="11"/>
      <c r="P18343" s="11"/>
    </row>
    <row r="18344" spans="8:16" x14ac:dyDescent="0.25">
      <c r="H18344" s="12"/>
      <c r="I18344" s="12"/>
      <c r="J18344" s="12"/>
      <c r="K18344" s="12"/>
      <c r="L18344" s="12"/>
      <c r="M18344" s="11"/>
      <c r="N18344" s="11"/>
      <c r="O18344" s="11"/>
      <c r="P18344" s="11"/>
    </row>
    <row r="18345" spans="8:16" x14ac:dyDescent="0.25">
      <c r="H18345" s="12"/>
      <c r="I18345" s="12"/>
      <c r="J18345" s="12"/>
      <c r="K18345" s="12"/>
      <c r="L18345" s="12"/>
      <c r="M18345" s="11"/>
      <c r="N18345" s="11"/>
      <c r="O18345" s="11"/>
      <c r="P18345" s="11"/>
    </row>
    <row r="18346" spans="8:16" x14ac:dyDescent="0.25">
      <c r="H18346" s="12"/>
      <c r="I18346" s="12"/>
      <c r="J18346" s="12"/>
      <c r="K18346" s="12"/>
      <c r="L18346" s="12"/>
      <c r="M18346" s="11"/>
      <c r="N18346" s="11"/>
      <c r="O18346" s="11"/>
      <c r="P18346" s="11"/>
    </row>
    <row r="18347" spans="8:16" x14ac:dyDescent="0.25">
      <c r="H18347" s="12"/>
      <c r="I18347" s="12"/>
      <c r="J18347" s="12"/>
      <c r="K18347" s="12"/>
      <c r="L18347" s="12"/>
      <c r="M18347" s="11"/>
      <c r="N18347" s="11"/>
      <c r="O18347" s="11"/>
      <c r="P18347" s="11"/>
    </row>
    <row r="18348" spans="8:16" x14ac:dyDescent="0.25">
      <c r="H18348" s="12"/>
      <c r="I18348" s="12"/>
      <c r="J18348" s="12"/>
      <c r="K18348" s="12"/>
      <c r="L18348" s="12"/>
      <c r="M18348" s="11"/>
      <c r="N18348" s="11"/>
      <c r="O18348" s="11"/>
      <c r="P18348" s="11"/>
    </row>
    <row r="18349" spans="8:16" x14ac:dyDescent="0.25">
      <c r="H18349" s="12"/>
      <c r="I18349" s="12"/>
      <c r="J18349" s="12"/>
      <c r="K18349" s="12"/>
      <c r="L18349" s="12"/>
      <c r="M18349" s="11"/>
      <c r="N18349" s="11"/>
      <c r="O18349" s="11"/>
      <c r="P18349" s="11"/>
    </row>
    <row r="18350" spans="8:16" x14ac:dyDescent="0.25">
      <c r="H18350" s="12"/>
      <c r="I18350" s="12"/>
      <c r="J18350" s="12"/>
      <c r="K18350" s="12"/>
      <c r="L18350" s="12"/>
      <c r="M18350" s="11"/>
      <c r="N18350" s="11"/>
      <c r="O18350" s="11"/>
      <c r="P18350" s="11"/>
    </row>
    <row r="18351" spans="8:16" x14ac:dyDescent="0.25">
      <c r="H18351" s="12"/>
      <c r="I18351" s="12"/>
      <c r="J18351" s="12"/>
      <c r="K18351" s="12"/>
      <c r="L18351" s="12"/>
      <c r="M18351" s="11"/>
      <c r="N18351" s="11"/>
      <c r="O18351" s="11"/>
      <c r="P18351" s="11"/>
    </row>
    <row r="18352" spans="8:16" x14ac:dyDescent="0.25">
      <c r="H18352" s="12"/>
      <c r="I18352" s="12"/>
      <c r="J18352" s="12"/>
      <c r="K18352" s="12"/>
      <c r="L18352" s="12"/>
      <c r="M18352" s="11"/>
      <c r="N18352" s="11"/>
      <c r="O18352" s="11"/>
      <c r="P18352" s="11"/>
    </row>
    <row r="18353" spans="8:16" x14ac:dyDescent="0.25">
      <c r="H18353" s="12"/>
      <c r="I18353" s="12"/>
      <c r="J18353" s="12"/>
      <c r="K18353" s="12"/>
      <c r="L18353" s="12"/>
      <c r="M18353" s="11"/>
      <c r="N18353" s="11"/>
      <c r="O18353" s="11"/>
      <c r="P18353" s="11"/>
    </row>
    <row r="18354" spans="8:16" x14ac:dyDescent="0.25">
      <c r="H18354" s="12"/>
      <c r="I18354" s="12"/>
      <c r="J18354" s="12"/>
      <c r="K18354" s="12"/>
      <c r="L18354" s="12"/>
      <c r="M18354" s="11"/>
      <c r="N18354" s="11"/>
      <c r="O18354" s="11"/>
      <c r="P18354" s="11"/>
    </row>
    <row r="18355" spans="8:16" x14ac:dyDescent="0.25">
      <c r="H18355" s="12"/>
      <c r="I18355" s="12"/>
      <c r="J18355" s="12"/>
      <c r="K18355" s="12"/>
      <c r="L18355" s="12"/>
      <c r="M18355" s="11"/>
      <c r="N18355" s="11"/>
      <c r="O18355" s="11"/>
      <c r="P18355" s="11"/>
    </row>
    <row r="18356" spans="8:16" x14ac:dyDescent="0.25">
      <c r="H18356" s="12"/>
      <c r="I18356" s="12"/>
      <c r="J18356" s="12"/>
      <c r="K18356" s="12"/>
      <c r="L18356" s="12"/>
      <c r="M18356" s="11"/>
      <c r="N18356" s="11"/>
      <c r="O18356" s="11"/>
      <c r="P18356" s="11"/>
    </row>
    <row r="18357" spans="8:16" x14ac:dyDescent="0.25">
      <c r="H18357" s="12"/>
      <c r="I18357" s="12"/>
      <c r="J18357" s="12"/>
      <c r="K18357" s="12"/>
      <c r="L18357" s="12"/>
      <c r="M18357" s="11"/>
      <c r="N18357" s="11"/>
      <c r="O18357" s="11"/>
      <c r="P18357" s="11"/>
    </row>
    <row r="18358" spans="8:16" x14ac:dyDescent="0.25">
      <c r="H18358" s="12"/>
      <c r="I18358" s="12"/>
      <c r="J18358" s="12"/>
      <c r="K18358" s="12"/>
      <c r="L18358" s="12"/>
      <c r="M18358" s="11"/>
      <c r="N18358" s="11"/>
      <c r="O18358" s="11"/>
      <c r="P18358" s="11"/>
    </row>
    <row r="18359" spans="8:16" x14ac:dyDescent="0.25">
      <c r="H18359" s="12"/>
      <c r="I18359" s="12"/>
      <c r="J18359" s="12"/>
      <c r="K18359" s="12"/>
      <c r="L18359" s="12"/>
      <c r="M18359" s="11"/>
      <c r="N18359" s="11"/>
      <c r="O18359" s="11"/>
      <c r="P18359" s="11"/>
    </row>
    <row r="18360" spans="8:16" x14ac:dyDescent="0.25">
      <c r="H18360" s="12"/>
      <c r="I18360" s="12"/>
      <c r="J18360" s="12"/>
      <c r="K18360" s="12"/>
      <c r="L18360" s="12"/>
      <c r="M18360" s="11"/>
      <c r="N18360" s="11"/>
      <c r="O18360" s="11"/>
      <c r="P18360" s="11"/>
    </row>
    <row r="18361" spans="8:16" x14ac:dyDescent="0.25">
      <c r="H18361" s="12"/>
      <c r="I18361" s="12"/>
      <c r="J18361" s="12"/>
      <c r="K18361" s="12"/>
      <c r="L18361" s="12"/>
      <c r="M18361" s="11"/>
      <c r="N18361" s="11"/>
      <c r="O18361" s="11"/>
      <c r="P18361" s="11"/>
    </row>
    <row r="18362" spans="8:16" x14ac:dyDescent="0.25">
      <c r="H18362" s="12"/>
      <c r="I18362" s="12"/>
      <c r="J18362" s="12"/>
      <c r="K18362" s="12"/>
      <c r="L18362" s="12"/>
      <c r="M18362" s="11"/>
      <c r="N18362" s="11"/>
      <c r="O18362" s="11"/>
      <c r="P18362" s="11"/>
    </row>
    <row r="18363" spans="8:16" x14ac:dyDescent="0.25">
      <c r="H18363" s="12"/>
      <c r="I18363" s="12"/>
      <c r="J18363" s="12"/>
      <c r="K18363" s="12"/>
      <c r="L18363" s="12"/>
      <c r="M18363" s="11"/>
      <c r="N18363" s="11"/>
      <c r="O18363" s="11"/>
      <c r="P18363" s="11"/>
    </row>
    <row r="18364" spans="8:16" x14ac:dyDescent="0.25">
      <c r="H18364" s="12"/>
      <c r="I18364" s="12"/>
      <c r="J18364" s="12"/>
      <c r="K18364" s="12"/>
      <c r="L18364" s="12"/>
      <c r="M18364" s="11"/>
      <c r="N18364" s="11"/>
      <c r="O18364" s="11"/>
      <c r="P18364" s="11"/>
    </row>
    <row r="18365" spans="8:16" x14ac:dyDescent="0.25">
      <c r="H18365" s="12"/>
      <c r="I18365" s="12"/>
      <c r="J18365" s="12"/>
      <c r="K18365" s="12"/>
      <c r="L18365" s="12"/>
      <c r="M18365" s="11"/>
      <c r="N18365" s="11"/>
      <c r="O18365" s="11"/>
      <c r="P18365" s="11"/>
    </row>
    <row r="18366" spans="8:16" x14ac:dyDescent="0.25">
      <c r="H18366" s="12"/>
      <c r="I18366" s="12"/>
      <c r="J18366" s="12"/>
      <c r="K18366" s="12"/>
      <c r="L18366" s="12"/>
      <c r="M18366" s="11"/>
      <c r="N18366" s="11"/>
      <c r="O18366" s="11"/>
      <c r="P18366" s="11"/>
    </row>
    <row r="18367" spans="8:16" x14ac:dyDescent="0.25">
      <c r="H18367" s="12"/>
      <c r="I18367" s="12"/>
      <c r="J18367" s="12"/>
      <c r="K18367" s="12"/>
      <c r="L18367" s="12"/>
      <c r="M18367" s="11"/>
      <c r="N18367" s="11"/>
      <c r="O18367" s="11"/>
      <c r="P18367" s="11"/>
    </row>
    <row r="18368" spans="8:16" x14ac:dyDescent="0.25">
      <c r="H18368" s="12"/>
      <c r="I18368" s="12"/>
      <c r="J18368" s="12"/>
      <c r="K18368" s="12"/>
      <c r="L18368" s="12"/>
      <c r="M18368" s="11"/>
      <c r="N18368" s="11"/>
      <c r="O18368" s="11"/>
      <c r="P18368" s="11"/>
    </row>
    <row r="18369" spans="8:16" x14ac:dyDescent="0.25">
      <c r="H18369" s="12"/>
      <c r="I18369" s="12"/>
      <c r="J18369" s="12"/>
      <c r="K18369" s="12"/>
      <c r="L18369" s="12"/>
      <c r="M18369" s="11"/>
      <c r="N18369" s="11"/>
      <c r="O18369" s="11"/>
      <c r="P18369" s="11"/>
    </row>
    <row r="18370" spans="8:16" x14ac:dyDescent="0.25">
      <c r="H18370" s="12"/>
      <c r="I18370" s="12"/>
      <c r="J18370" s="12"/>
      <c r="K18370" s="12"/>
      <c r="L18370" s="12"/>
      <c r="M18370" s="11"/>
      <c r="N18370" s="11"/>
      <c r="O18370" s="11"/>
      <c r="P18370" s="11"/>
    </row>
    <row r="18371" spans="8:16" x14ac:dyDescent="0.25">
      <c r="H18371" s="12"/>
      <c r="I18371" s="12"/>
      <c r="J18371" s="12"/>
      <c r="K18371" s="12"/>
      <c r="L18371" s="12"/>
      <c r="M18371" s="11"/>
      <c r="N18371" s="11"/>
      <c r="O18371" s="11"/>
      <c r="P18371" s="11"/>
    </row>
    <row r="18372" spans="8:16" x14ac:dyDescent="0.25">
      <c r="H18372" s="12"/>
      <c r="I18372" s="12"/>
      <c r="J18372" s="12"/>
      <c r="K18372" s="12"/>
      <c r="L18372" s="12"/>
      <c r="M18372" s="11"/>
      <c r="N18372" s="11"/>
      <c r="O18372" s="11"/>
      <c r="P18372" s="11"/>
    </row>
    <row r="18373" spans="8:16" x14ac:dyDescent="0.25">
      <c r="H18373" s="12"/>
      <c r="I18373" s="12"/>
      <c r="J18373" s="12"/>
      <c r="K18373" s="12"/>
      <c r="L18373" s="12"/>
      <c r="M18373" s="11"/>
      <c r="N18373" s="11"/>
      <c r="O18373" s="11"/>
      <c r="P18373" s="11"/>
    </row>
    <row r="18374" spans="8:16" x14ac:dyDescent="0.25">
      <c r="H18374" s="12"/>
      <c r="I18374" s="12"/>
      <c r="J18374" s="12"/>
      <c r="K18374" s="12"/>
      <c r="L18374" s="12"/>
      <c r="M18374" s="11"/>
      <c r="N18374" s="11"/>
      <c r="O18374" s="11"/>
      <c r="P18374" s="11"/>
    </row>
    <row r="18375" spans="8:16" x14ac:dyDescent="0.25">
      <c r="H18375" s="12"/>
      <c r="I18375" s="12"/>
      <c r="J18375" s="12"/>
      <c r="K18375" s="12"/>
      <c r="L18375" s="12"/>
      <c r="M18375" s="11"/>
      <c r="N18375" s="11"/>
      <c r="O18375" s="11"/>
      <c r="P18375" s="11"/>
    </row>
    <row r="18376" spans="8:16" x14ac:dyDescent="0.25">
      <c r="H18376" s="12"/>
      <c r="I18376" s="12"/>
      <c r="J18376" s="12"/>
      <c r="K18376" s="12"/>
      <c r="L18376" s="12"/>
      <c r="M18376" s="11"/>
      <c r="N18376" s="11"/>
      <c r="O18376" s="11"/>
      <c r="P18376" s="11"/>
    </row>
    <row r="18377" spans="8:16" x14ac:dyDescent="0.25">
      <c r="H18377" s="12"/>
      <c r="I18377" s="12"/>
      <c r="J18377" s="12"/>
      <c r="K18377" s="12"/>
      <c r="L18377" s="12"/>
      <c r="M18377" s="11"/>
      <c r="N18377" s="11"/>
      <c r="O18377" s="11"/>
      <c r="P18377" s="11"/>
    </row>
    <row r="18378" spans="8:16" x14ac:dyDescent="0.25">
      <c r="H18378" s="12"/>
      <c r="I18378" s="12"/>
      <c r="J18378" s="12"/>
      <c r="K18378" s="12"/>
      <c r="L18378" s="12"/>
      <c r="M18378" s="11"/>
      <c r="N18378" s="11"/>
      <c r="O18378" s="11"/>
      <c r="P18378" s="11"/>
    </row>
    <row r="18379" spans="8:16" x14ac:dyDescent="0.25">
      <c r="H18379" s="12"/>
      <c r="I18379" s="12"/>
      <c r="J18379" s="12"/>
      <c r="K18379" s="12"/>
      <c r="L18379" s="12"/>
      <c r="M18379" s="11"/>
      <c r="N18379" s="11"/>
      <c r="O18379" s="11"/>
      <c r="P18379" s="11"/>
    </row>
    <row r="18380" spans="8:16" x14ac:dyDescent="0.25">
      <c r="H18380" s="12"/>
      <c r="I18380" s="12"/>
      <c r="J18380" s="12"/>
      <c r="K18380" s="12"/>
      <c r="L18380" s="12"/>
      <c r="M18380" s="11"/>
      <c r="N18380" s="11"/>
      <c r="O18380" s="11"/>
      <c r="P18380" s="11"/>
    </row>
    <row r="18381" spans="8:16" x14ac:dyDescent="0.25">
      <c r="H18381" s="12"/>
      <c r="I18381" s="12"/>
      <c r="J18381" s="12"/>
      <c r="K18381" s="12"/>
      <c r="L18381" s="12"/>
      <c r="M18381" s="11"/>
      <c r="N18381" s="11"/>
      <c r="O18381" s="11"/>
      <c r="P18381" s="11"/>
    </row>
    <row r="18382" spans="8:16" x14ac:dyDescent="0.25">
      <c r="H18382" s="12"/>
      <c r="I18382" s="12"/>
      <c r="J18382" s="12"/>
      <c r="K18382" s="12"/>
      <c r="L18382" s="12"/>
      <c r="M18382" s="11"/>
      <c r="N18382" s="11"/>
      <c r="O18382" s="11"/>
      <c r="P18382" s="11"/>
    </row>
    <row r="18383" spans="8:16" x14ac:dyDescent="0.25">
      <c r="H18383" s="12"/>
      <c r="I18383" s="12"/>
      <c r="J18383" s="12"/>
      <c r="K18383" s="12"/>
      <c r="L18383" s="12"/>
      <c r="M18383" s="11"/>
      <c r="N18383" s="11"/>
      <c r="O18383" s="11"/>
      <c r="P18383" s="11"/>
    </row>
    <row r="18384" spans="8:16" x14ac:dyDescent="0.25">
      <c r="H18384" s="12"/>
      <c r="I18384" s="12"/>
      <c r="J18384" s="12"/>
      <c r="K18384" s="12"/>
      <c r="L18384" s="12"/>
      <c r="M18384" s="11"/>
      <c r="N18384" s="11"/>
      <c r="O18384" s="11"/>
      <c r="P18384" s="11"/>
    </row>
    <row r="18385" spans="8:16" x14ac:dyDescent="0.25">
      <c r="H18385" s="12"/>
      <c r="I18385" s="12"/>
      <c r="J18385" s="12"/>
      <c r="K18385" s="12"/>
      <c r="L18385" s="12"/>
      <c r="M18385" s="11"/>
      <c r="N18385" s="11"/>
      <c r="O18385" s="11"/>
      <c r="P18385" s="11"/>
    </row>
    <row r="18386" spans="8:16" x14ac:dyDescent="0.25">
      <c r="H18386" s="12"/>
      <c r="I18386" s="12"/>
      <c r="J18386" s="12"/>
      <c r="K18386" s="12"/>
      <c r="L18386" s="12"/>
      <c r="M18386" s="11"/>
      <c r="N18386" s="11"/>
      <c r="O18386" s="11"/>
      <c r="P18386" s="11"/>
    </row>
    <row r="18387" spans="8:16" x14ac:dyDescent="0.25">
      <c r="H18387" s="12"/>
      <c r="I18387" s="12"/>
      <c r="J18387" s="12"/>
      <c r="K18387" s="12"/>
      <c r="L18387" s="12"/>
      <c r="M18387" s="11"/>
      <c r="N18387" s="11"/>
      <c r="O18387" s="11"/>
      <c r="P18387" s="11"/>
    </row>
    <row r="18388" spans="8:16" x14ac:dyDescent="0.25">
      <c r="H18388" s="12"/>
      <c r="I18388" s="12"/>
      <c r="J18388" s="12"/>
      <c r="K18388" s="12"/>
      <c r="L18388" s="12"/>
      <c r="M18388" s="11"/>
      <c r="N18388" s="11"/>
      <c r="O18388" s="11"/>
      <c r="P18388" s="11"/>
    </row>
    <row r="18389" spans="8:16" x14ac:dyDescent="0.25">
      <c r="H18389" s="12"/>
      <c r="I18389" s="12"/>
      <c r="J18389" s="12"/>
      <c r="K18389" s="12"/>
      <c r="L18389" s="12"/>
      <c r="M18389" s="11"/>
      <c r="N18389" s="11"/>
      <c r="O18389" s="11"/>
      <c r="P18389" s="11"/>
    </row>
    <row r="18390" spans="8:16" x14ac:dyDescent="0.25">
      <c r="H18390" s="12"/>
      <c r="I18390" s="12"/>
      <c r="J18390" s="12"/>
      <c r="K18390" s="12"/>
      <c r="L18390" s="12"/>
      <c r="M18390" s="11"/>
      <c r="N18390" s="11"/>
      <c r="O18390" s="11"/>
      <c r="P18390" s="11"/>
    </row>
    <row r="18391" spans="8:16" x14ac:dyDescent="0.25">
      <c r="H18391" s="12"/>
      <c r="I18391" s="12"/>
      <c r="J18391" s="12"/>
      <c r="K18391" s="12"/>
      <c r="L18391" s="12"/>
      <c r="M18391" s="11"/>
      <c r="N18391" s="11"/>
      <c r="O18391" s="11"/>
      <c r="P18391" s="11"/>
    </row>
    <row r="18392" spans="8:16" x14ac:dyDescent="0.25">
      <c r="H18392" s="12"/>
      <c r="I18392" s="12"/>
      <c r="J18392" s="12"/>
      <c r="K18392" s="12"/>
      <c r="L18392" s="12"/>
      <c r="M18392" s="11"/>
      <c r="N18392" s="11"/>
      <c r="O18392" s="11"/>
      <c r="P18392" s="11"/>
    </row>
    <row r="18393" spans="8:16" x14ac:dyDescent="0.25">
      <c r="H18393" s="12"/>
      <c r="I18393" s="12"/>
      <c r="J18393" s="12"/>
      <c r="K18393" s="12"/>
      <c r="L18393" s="12"/>
      <c r="M18393" s="11"/>
      <c r="N18393" s="11"/>
      <c r="O18393" s="11"/>
      <c r="P18393" s="11"/>
    </row>
    <row r="18394" spans="8:16" x14ac:dyDescent="0.25">
      <c r="H18394" s="12"/>
      <c r="I18394" s="12"/>
      <c r="J18394" s="12"/>
      <c r="K18394" s="12"/>
      <c r="L18394" s="12"/>
      <c r="M18394" s="11"/>
      <c r="N18394" s="11"/>
      <c r="O18394" s="11"/>
      <c r="P18394" s="11"/>
    </row>
    <row r="18395" spans="8:16" x14ac:dyDescent="0.25">
      <c r="H18395" s="12"/>
      <c r="I18395" s="12"/>
      <c r="J18395" s="12"/>
      <c r="K18395" s="12"/>
      <c r="L18395" s="12"/>
      <c r="M18395" s="11"/>
      <c r="N18395" s="11"/>
      <c r="O18395" s="11"/>
      <c r="P18395" s="11"/>
    </row>
    <row r="18396" spans="8:16" x14ac:dyDescent="0.25">
      <c r="H18396" s="12"/>
      <c r="I18396" s="12"/>
      <c r="J18396" s="12"/>
      <c r="K18396" s="12"/>
      <c r="L18396" s="12"/>
      <c r="M18396" s="11"/>
      <c r="N18396" s="11"/>
      <c r="O18396" s="11"/>
      <c r="P18396" s="11"/>
    </row>
    <row r="18397" spans="8:16" x14ac:dyDescent="0.25">
      <c r="H18397" s="12"/>
      <c r="I18397" s="12"/>
      <c r="J18397" s="12"/>
      <c r="K18397" s="12"/>
      <c r="L18397" s="12"/>
      <c r="M18397" s="11"/>
      <c r="N18397" s="11"/>
      <c r="O18397" s="11"/>
      <c r="P18397" s="11"/>
    </row>
    <row r="18398" spans="8:16" x14ac:dyDescent="0.25">
      <c r="H18398" s="12"/>
      <c r="I18398" s="12"/>
      <c r="J18398" s="12"/>
      <c r="K18398" s="12"/>
      <c r="L18398" s="12"/>
      <c r="M18398" s="11"/>
      <c r="N18398" s="11"/>
      <c r="O18398" s="11"/>
      <c r="P18398" s="11"/>
    </row>
    <row r="18399" spans="8:16" x14ac:dyDescent="0.25">
      <c r="H18399" s="12"/>
      <c r="I18399" s="12"/>
      <c r="J18399" s="12"/>
      <c r="K18399" s="12"/>
      <c r="L18399" s="12"/>
      <c r="M18399" s="11"/>
      <c r="N18399" s="11"/>
      <c r="O18399" s="11"/>
      <c r="P18399" s="11"/>
    </row>
    <row r="18400" spans="8:16" x14ac:dyDescent="0.25">
      <c r="H18400" s="12"/>
      <c r="I18400" s="12"/>
      <c r="J18400" s="12"/>
      <c r="K18400" s="12"/>
      <c r="L18400" s="12"/>
      <c r="M18400" s="11"/>
      <c r="N18400" s="11"/>
      <c r="O18400" s="11"/>
      <c r="P18400" s="11"/>
    </row>
    <row r="18401" spans="8:16" x14ac:dyDescent="0.25">
      <c r="H18401" s="12"/>
      <c r="I18401" s="12"/>
      <c r="J18401" s="12"/>
      <c r="K18401" s="12"/>
      <c r="L18401" s="12"/>
      <c r="M18401" s="11"/>
      <c r="N18401" s="11"/>
      <c r="O18401" s="11"/>
      <c r="P18401" s="11"/>
    </row>
    <row r="18402" spans="8:16" x14ac:dyDescent="0.25">
      <c r="H18402" s="12"/>
      <c r="I18402" s="12"/>
      <c r="J18402" s="12"/>
      <c r="K18402" s="12"/>
      <c r="L18402" s="12"/>
      <c r="M18402" s="11"/>
      <c r="N18402" s="11"/>
      <c r="O18402" s="11"/>
      <c r="P18402" s="11"/>
    </row>
    <row r="18403" spans="8:16" x14ac:dyDescent="0.25">
      <c r="H18403" s="12"/>
      <c r="I18403" s="12"/>
      <c r="J18403" s="12"/>
      <c r="K18403" s="12"/>
      <c r="L18403" s="12"/>
      <c r="M18403" s="11"/>
      <c r="N18403" s="11"/>
      <c r="O18403" s="11"/>
      <c r="P18403" s="11"/>
    </row>
    <row r="18404" spans="8:16" x14ac:dyDescent="0.25">
      <c r="H18404" s="12"/>
      <c r="I18404" s="12"/>
      <c r="J18404" s="12"/>
      <c r="K18404" s="12"/>
      <c r="L18404" s="12"/>
      <c r="M18404" s="11"/>
      <c r="N18404" s="11"/>
      <c r="O18404" s="11"/>
      <c r="P18404" s="11"/>
    </row>
    <row r="18405" spans="8:16" x14ac:dyDescent="0.25">
      <c r="H18405" s="12"/>
      <c r="I18405" s="12"/>
      <c r="J18405" s="12"/>
      <c r="K18405" s="12"/>
      <c r="L18405" s="12"/>
      <c r="M18405" s="11"/>
      <c r="N18405" s="11"/>
      <c r="O18405" s="11"/>
      <c r="P18405" s="11"/>
    </row>
    <row r="18406" spans="8:16" x14ac:dyDescent="0.25">
      <c r="H18406" s="12"/>
      <c r="I18406" s="12"/>
      <c r="J18406" s="12"/>
      <c r="K18406" s="12"/>
      <c r="L18406" s="12"/>
      <c r="M18406" s="11"/>
      <c r="N18406" s="11"/>
      <c r="O18406" s="11"/>
      <c r="P18406" s="11"/>
    </row>
    <row r="18407" spans="8:16" x14ac:dyDescent="0.25">
      <c r="H18407" s="12"/>
      <c r="I18407" s="12"/>
      <c r="J18407" s="12"/>
      <c r="K18407" s="12"/>
      <c r="L18407" s="12"/>
      <c r="M18407" s="11"/>
      <c r="N18407" s="11"/>
      <c r="O18407" s="11"/>
      <c r="P18407" s="11"/>
    </row>
    <row r="18408" spans="8:16" x14ac:dyDescent="0.25">
      <c r="H18408" s="12"/>
      <c r="I18408" s="12"/>
      <c r="J18408" s="12"/>
      <c r="K18408" s="12"/>
      <c r="L18408" s="12"/>
      <c r="M18408" s="11"/>
      <c r="N18408" s="11"/>
      <c r="O18408" s="11"/>
      <c r="P18408" s="11"/>
    </row>
    <row r="18409" spans="8:16" x14ac:dyDescent="0.25">
      <c r="H18409" s="12"/>
      <c r="I18409" s="12"/>
      <c r="J18409" s="12"/>
      <c r="K18409" s="12"/>
      <c r="L18409" s="12"/>
      <c r="M18409" s="11"/>
      <c r="N18409" s="11"/>
      <c r="O18409" s="11"/>
      <c r="P18409" s="11"/>
    </row>
    <row r="18410" spans="8:16" x14ac:dyDescent="0.25">
      <c r="H18410" s="12"/>
      <c r="I18410" s="12"/>
      <c r="J18410" s="12"/>
      <c r="K18410" s="12"/>
      <c r="L18410" s="12"/>
      <c r="M18410" s="11"/>
      <c r="N18410" s="11"/>
      <c r="O18410" s="11"/>
      <c r="P18410" s="11"/>
    </row>
    <row r="18411" spans="8:16" x14ac:dyDescent="0.25">
      <c r="H18411" s="12"/>
      <c r="I18411" s="12"/>
      <c r="J18411" s="12"/>
      <c r="K18411" s="12"/>
      <c r="L18411" s="12"/>
      <c r="M18411" s="11"/>
      <c r="N18411" s="11"/>
      <c r="O18411" s="11"/>
      <c r="P18411" s="11"/>
    </row>
    <row r="18412" spans="8:16" x14ac:dyDescent="0.25">
      <c r="H18412" s="12"/>
      <c r="I18412" s="12"/>
      <c r="J18412" s="12"/>
      <c r="K18412" s="12"/>
      <c r="L18412" s="12"/>
      <c r="M18412" s="11"/>
      <c r="N18412" s="11"/>
      <c r="O18412" s="11"/>
      <c r="P18412" s="11"/>
    </row>
    <row r="18413" spans="8:16" x14ac:dyDescent="0.25">
      <c r="H18413" s="12"/>
      <c r="I18413" s="12"/>
      <c r="J18413" s="12"/>
      <c r="K18413" s="12"/>
      <c r="L18413" s="12"/>
      <c r="M18413" s="11"/>
      <c r="N18413" s="11"/>
      <c r="O18413" s="11"/>
      <c r="P18413" s="11"/>
    </row>
    <row r="18414" spans="8:16" x14ac:dyDescent="0.25">
      <c r="H18414" s="12"/>
      <c r="I18414" s="12"/>
      <c r="J18414" s="12"/>
      <c r="K18414" s="12"/>
      <c r="L18414" s="12"/>
      <c r="M18414" s="11"/>
      <c r="N18414" s="11"/>
      <c r="O18414" s="11"/>
      <c r="P18414" s="11"/>
    </row>
    <row r="18415" spans="8:16" x14ac:dyDescent="0.25">
      <c r="H18415" s="12"/>
      <c r="I18415" s="12"/>
      <c r="J18415" s="12"/>
      <c r="K18415" s="12"/>
      <c r="L18415" s="12"/>
      <c r="M18415" s="11"/>
      <c r="N18415" s="11"/>
      <c r="O18415" s="11"/>
      <c r="P18415" s="11"/>
    </row>
    <row r="18416" spans="8:16" x14ac:dyDescent="0.25">
      <c r="H18416" s="12"/>
      <c r="I18416" s="12"/>
      <c r="J18416" s="12"/>
      <c r="K18416" s="12"/>
      <c r="L18416" s="12"/>
      <c r="M18416" s="11"/>
      <c r="N18416" s="11"/>
      <c r="O18416" s="11"/>
      <c r="P18416" s="11"/>
    </row>
    <row r="18417" spans="8:16" x14ac:dyDescent="0.25">
      <c r="H18417" s="12"/>
      <c r="I18417" s="12"/>
      <c r="J18417" s="12"/>
      <c r="K18417" s="12"/>
      <c r="L18417" s="12"/>
      <c r="M18417" s="11"/>
      <c r="N18417" s="11"/>
      <c r="O18417" s="11"/>
      <c r="P18417" s="11"/>
    </row>
    <row r="18418" spans="8:16" x14ac:dyDescent="0.25">
      <c r="H18418" s="12"/>
      <c r="I18418" s="12"/>
      <c r="J18418" s="12"/>
      <c r="K18418" s="12"/>
      <c r="L18418" s="12"/>
      <c r="M18418" s="11"/>
      <c r="N18418" s="11"/>
      <c r="O18418" s="11"/>
      <c r="P18418" s="11"/>
    </row>
    <row r="18419" spans="8:16" x14ac:dyDescent="0.25">
      <c r="H18419" s="12"/>
      <c r="I18419" s="12"/>
      <c r="J18419" s="12"/>
      <c r="K18419" s="12"/>
      <c r="L18419" s="12"/>
      <c r="M18419" s="11"/>
      <c r="N18419" s="11"/>
      <c r="O18419" s="11"/>
      <c r="P18419" s="11"/>
    </row>
    <row r="18420" spans="8:16" x14ac:dyDescent="0.25">
      <c r="H18420" s="12"/>
      <c r="I18420" s="12"/>
      <c r="J18420" s="12"/>
      <c r="K18420" s="12"/>
      <c r="L18420" s="12"/>
      <c r="M18420" s="11"/>
      <c r="N18420" s="11"/>
      <c r="O18420" s="11"/>
      <c r="P18420" s="11"/>
    </row>
    <row r="18421" spans="8:16" x14ac:dyDescent="0.25">
      <c r="H18421" s="12"/>
      <c r="I18421" s="12"/>
      <c r="J18421" s="12"/>
      <c r="K18421" s="12"/>
      <c r="L18421" s="12"/>
      <c r="M18421" s="11"/>
      <c r="N18421" s="11"/>
      <c r="O18421" s="11"/>
      <c r="P18421" s="11"/>
    </row>
    <row r="18422" spans="8:16" x14ac:dyDescent="0.25">
      <c r="H18422" s="12"/>
      <c r="I18422" s="12"/>
      <c r="J18422" s="12"/>
      <c r="K18422" s="12"/>
      <c r="L18422" s="12"/>
      <c r="M18422" s="11"/>
      <c r="N18422" s="11"/>
      <c r="O18422" s="11"/>
      <c r="P18422" s="11"/>
    </row>
    <row r="18423" spans="8:16" x14ac:dyDescent="0.25">
      <c r="H18423" s="12"/>
      <c r="I18423" s="12"/>
      <c r="J18423" s="12"/>
      <c r="K18423" s="12"/>
      <c r="L18423" s="12"/>
      <c r="M18423" s="11"/>
      <c r="N18423" s="11"/>
      <c r="O18423" s="11"/>
      <c r="P18423" s="11"/>
    </row>
    <row r="18424" spans="8:16" x14ac:dyDescent="0.25">
      <c r="H18424" s="12"/>
      <c r="I18424" s="12"/>
      <c r="J18424" s="12"/>
      <c r="K18424" s="12"/>
      <c r="L18424" s="12"/>
      <c r="M18424" s="11"/>
      <c r="N18424" s="11"/>
      <c r="O18424" s="11"/>
      <c r="P18424" s="11"/>
    </row>
    <row r="18425" spans="8:16" x14ac:dyDescent="0.25">
      <c r="H18425" s="12"/>
      <c r="I18425" s="12"/>
      <c r="J18425" s="12"/>
      <c r="K18425" s="12"/>
      <c r="L18425" s="12"/>
      <c r="M18425" s="11"/>
      <c r="N18425" s="11"/>
      <c r="O18425" s="11"/>
      <c r="P18425" s="11"/>
    </row>
    <row r="18426" spans="8:16" x14ac:dyDescent="0.25">
      <c r="H18426" s="12"/>
      <c r="I18426" s="12"/>
      <c r="J18426" s="12"/>
      <c r="K18426" s="12"/>
      <c r="L18426" s="12"/>
      <c r="M18426" s="11"/>
      <c r="N18426" s="11"/>
      <c r="O18426" s="11"/>
      <c r="P18426" s="11"/>
    </row>
    <row r="18427" spans="8:16" x14ac:dyDescent="0.25">
      <c r="H18427" s="12"/>
      <c r="I18427" s="12"/>
      <c r="J18427" s="12"/>
      <c r="K18427" s="12"/>
      <c r="L18427" s="12"/>
      <c r="M18427" s="11"/>
      <c r="N18427" s="11"/>
      <c r="O18427" s="11"/>
      <c r="P18427" s="11"/>
    </row>
    <row r="18428" spans="8:16" x14ac:dyDescent="0.25">
      <c r="H18428" s="12"/>
      <c r="I18428" s="12"/>
      <c r="J18428" s="12"/>
      <c r="K18428" s="12"/>
      <c r="L18428" s="12"/>
      <c r="M18428" s="11"/>
      <c r="N18428" s="11"/>
      <c r="O18428" s="11"/>
      <c r="P18428" s="11"/>
    </row>
    <row r="18429" spans="8:16" x14ac:dyDescent="0.25">
      <c r="H18429" s="12"/>
      <c r="I18429" s="12"/>
      <c r="J18429" s="12"/>
      <c r="K18429" s="12"/>
      <c r="L18429" s="12"/>
      <c r="M18429" s="11"/>
      <c r="N18429" s="11"/>
      <c r="O18429" s="11"/>
      <c r="P18429" s="11"/>
    </row>
    <row r="18430" spans="8:16" x14ac:dyDescent="0.25">
      <c r="H18430" s="12"/>
      <c r="I18430" s="12"/>
      <c r="J18430" s="12"/>
      <c r="K18430" s="12"/>
      <c r="L18430" s="12"/>
      <c r="M18430" s="11"/>
      <c r="N18430" s="11"/>
      <c r="O18430" s="11"/>
      <c r="P18430" s="11"/>
    </row>
    <row r="18431" spans="8:16" x14ac:dyDescent="0.25">
      <c r="H18431" s="12"/>
      <c r="I18431" s="12"/>
      <c r="J18431" s="12"/>
      <c r="K18431" s="12"/>
      <c r="L18431" s="12"/>
      <c r="M18431" s="11"/>
      <c r="N18431" s="11"/>
      <c r="O18431" s="11"/>
      <c r="P18431" s="11"/>
    </row>
    <row r="18432" spans="8:16" x14ac:dyDescent="0.25">
      <c r="H18432" s="12"/>
      <c r="I18432" s="12"/>
      <c r="J18432" s="12"/>
      <c r="K18432" s="12"/>
      <c r="L18432" s="12"/>
      <c r="M18432" s="11"/>
      <c r="N18432" s="11"/>
      <c r="O18432" s="11"/>
      <c r="P18432" s="11"/>
    </row>
    <row r="18433" spans="8:16" x14ac:dyDescent="0.25">
      <c r="H18433" s="12"/>
      <c r="I18433" s="12"/>
      <c r="J18433" s="12"/>
      <c r="K18433" s="12"/>
      <c r="L18433" s="12"/>
      <c r="M18433" s="11"/>
      <c r="N18433" s="11"/>
      <c r="O18433" s="11"/>
      <c r="P18433" s="11"/>
    </row>
    <row r="18434" spans="8:16" x14ac:dyDescent="0.25">
      <c r="H18434" s="12"/>
      <c r="I18434" s="12"/>
      <c r="J18434" s="12"/>
      <c r="K18434" s="12"/>
      <c r="L18434" s="12"/>
      <c r="M18434" s="11"/>
      <c r="N18434" s="11"/>
      <c r="O18434" s="11"/>
      <c r="P18434" s="11"/>
    </row>
    <row r="18435" spans="8:16" x14ac:dyDescent="0.25">
      <c r="H18435" s="12"/>
      <c r="I18435" s="12"/>
      <c r="J18435" s="12"/>
      <c r="K18435" s="12"/>
      <c r="L18435" s="12"/>
      <c r="M18435" s="11"/>
      <c r="N18435" s="11"/>
      <c r="O18435" s="11"/>
      <c r="P18435" s="11"/>
    </row>
    <row r="18436" spans="8:16" x14ac:dyDescent="0.25">
      <c r="H18436" s="12"/>
      <c r="I18436" s="12"/>
      <c r="J18436" s="12"/>
      <c r="K18436" s="12"/>
      <c r="L18436" s="12"/>
      <c r="M18436" s="11"/>
      <c r="N18436" s="11"/>
      <c r="O18436" s="11"/>
      <c r="P18436" s="11"/>
    </row>
    <row r="18437" spans="8:16" x14ac:dyDescent="0.25">
      <c r="H18437" s="12"/>
      <c r="I18437" s="12"/>
      <c r="J18437" s="12"/>
      <c r="K18437" s="12"/>
      <c r="L18437" s="12"/>
      <c r="M18437" s="11"/>
      <c r="N18437" s="11"/>
      <c r="O18437" s="11"/>
      <c r="P18437" s="11"/>
    </row>
    <row r="18438" spans="8:16" x14ac:dyDescent="0.25">
      <c r="H18438" s="12"/>
      <c r="I18438" s="12"/>
      <c r="J18438" s="12"/>
      <c r="K18438" s="12"/>
      <c r="L18438" s="12"/>
      <c r="M18438" s="11"/>
      <c r="N18438" s="11"/>
      <c r="O18438" s="11"/>
      <c r="P18438" s="11"/>
    </row>
    <row r="18439" spans="8:16" x14ac:dyDescent="0.25">
      <c r="H18439" s="12"/>
      <c r="I18439" s="12"/>
      <c r="J18439" s="12"/>
      <c r="K18439" s="12"/>
      <c r="L18439" s="12"/>
      <c r="M18439" s="11"/>
      <c r="N18439" s="11"/>
      <c r="O18439" s="11"/>
      <c r="P18439" s="11"/>
    </row>
    <row r="18440" spans="8:16" x14ac:dyDescent="0.25">
      <c r="H18440" s="12"/>
      <c r="I18440" s="12"/>
      <c r="J18440" s="12"/>
      <c r="K18440" s="12"/>
      <c r="L18440" s="12"/>
      <c r="M18440" s="11"/>
      <c r="N18440" s="11"/>
      <c r="O18440" s="11"/>
      <c r="P18440" s="11"/>
    </row>
    <row r="18441" spans="8:16" x14ac:dyDescent="0.25">
      <c r="H18441" s="12"/>
      <c r="I18441" s="12"/>
      <c r="J18441" s="12"/>
      <c r="K18441" s="12"/>
      <c r="L18441" s="12"/>
      <c r="M18441" s="11"/>
      <c r="N18441" s="11"/>
      <c r="O18441" s="11"/>
      <c r="P18441" s="11"/>
    </row>
    <row r="18442" spans="8:16" x14ac:dyDescent="0.25">
      <c r="H18442" s="12"/>
      <c r="I18442" s="12"/>
      <c r="J18442" s="12"/>
      <c r="K18442" s="12"/>
      <c r="L18442" s="12"/>
      <c r="M18442" s="11"/>
      <c r="N18442" s="11"/>
      <c r="O18442" s="11"/>
      <c r="P18442" s="11"/>
    </row>
    <row r="18443" spans="8:16" x14ac:dyDescent="0.25">
      <c r="H18443" s="12"/>
      <c r="I18443" s="12"/>
      <c r="J18443" s="12"/>
      <c r="K18443" s="12"/>
      <c r="L18443" s="12"/>
      <c r="M18443" s="11"/>
      <c r="N18443" s="11"/>
      <c r="O18443" s="11"/>
      <c r="P18443" s="11"/>
    </row>
    <row r="18444" spans="8:16" x14ac:dyDescent="0.25">
      <c r="H18444" s="12"/>
      <c r="I18444" s="12"/>
      <c r="J18444" s="12"/>
      <c r="K18444" s="12"/>
      <c r="L18444" s="12"/>
      <c r="M18444" s="11"/>
      <c r="N18444" s="11"/>
      <c r="O18444" s="11"/>
      <c r="P18444" s="11"/>
    </row>
    <row r="18445" spans="8:16" x14ac:dyDescent="0.25">
      <c r="H18445" s="12"/>
      <c r="I18445" s="12"/>
      <c r="J18445" s="12"/>
      <c r="K18445" s="12"/>
      <c r="L18445" s="12"/>
      <c r="M18445" s="11"/>
      <c r="N18445" s="11"/>
      <c r="O18445" s="11"/>
      <c r="P18445" s="11"/>
    </row>
    <row r="18446" spans="8:16" x14ac:dyDescent="0.25">
      <c r="H18446" s="12"/>
      <c r="I18446" s="12"/>
      <c r="J18446" s="12"/>
      <c r="K18446" s="12"/>
      <c r="L18446" s="12"/>
      <c r="M18446" s="11"/>
      <c r="N18446" s="11"/>
      <c r="O18446" s="11"/>
      <c r="P18446" s="11"/>
    </row>
    <row r="18447" spans="8:16" x14ac:dyDescent="0.25">
      <c r="H18447" s="12"/>
      <c r="I18447" s="12"/>
      <c r="J18447" s="12"/>
      <c r="K18447" s="12"/>
      <c r="L18447" s="12"/>
      <c r="M18447" s="11"/>
      <c r="N18447" s="11"/>
      <c r="O18447" s="11"/>
      <c r="P18447" s="11"/>
    </row>
    <row r="18448" spans="8:16" x14ac:dyDescent="0.25">
      <c r="H18448" s="12"/>
      <c r="I18448" s="12"/>
      <c r="J18448" s="12"/>
      <c r="K18448" s="12"/>
      <c r="L18448" s="12"/>
      <c r="M18448" s="11"/>
      <c r="N18448" s="11"/>
      <c r="O18448" s="11"/>
      <c r="P18448" s="11"/>
    </row>
    <row r="18449" spans="8:16" x14ac:dyDescent="0.25">
      <c r="H18449" s="12"/>
      <c r="I18449" s="12"/>
      <c r="J18449" s="12"/>
      <c r="K18449" s="12"/>
      <c r="L18449" s="12"/>
      <c r="M18449" s="11"/>
      <c r="N18449" s="11"/>
      <c r="O18449" s="11"/>
      <c r="P18449" s="11"/>
    </row>
    <row r="18450" spans="8:16" x14ac:dyDescent="0.25">
      <c r="H18450" s="12"/>
      <c r="I18450" s="12"/>
      <c r="J18450" s="12"/>
      <c r="K18450" s="12"/>
      <c r="L18450" s="12"/>
      <c r="M18450" s="11"/>
      <c r="N18450" s="11"/>
      <c r="O18450" s="11"/>
      <c r="P18450" s="11"/>
    </row>
    <row r="18451" spans="8:16" x14ac:dyDescent="0.25">
      <c r="H18451" s="12"/>
      <c r="I18451" s="12"/>
      <c r="J18451" s="12"/>
      <c r="K18451" s="12"/>
      <c r="L18451" s="12"/>
      <c r="M18451" s="11"/>
      <c r="N18451" s="11"/>
      <c r="O18451" s="11"/>
      <c r="P18451" s="11"/>
    </row>
    <row r="18452" spans="8:16" x14ac:dyDescent="0.25">
      <c r="H18452" s="12"/>
      <c r="I18452" s="12"/>
      <c r="J18452" s="12"/>
      <c r="K18452" s="12"/>
      <c r="L18452" s="12"/>
      <c r="M18452" s="11"/>
      <c r="N18452" s="11"/>
      <c r="O18452" s="11"/>
      <c r="P18452" s="11"/>
    </row>
    <row r="18453" spans="8:16" x14ac:dyDescent="0.25">
      <c r="H18453" s="12"/>
      <c r="I18453" s="12"/>
      <c r="J18453" s="12"/>
      <c r="K18453" s="12"/>
      <c r="L18453" s="12"/>
      <c r="M18453" s="11"/>
      <c r="N18453" s="11"/>
      <c r="O18453" s="11"/>
      <c r="P18453" s="11"/>
    </row>
    <row r="18454" spans="8:16" x14ac:dyDescent="0.25">
      <c r="H18454" s="12"/>
      <c r="I18454" s="12"/>
      <c r="J18454" s="12"/>
      <c r="K18454" s="12"/>
      <c r="L18454" s="12"/>
      <c r="M18454" s="11"/>
      <c r="N18454" s="11"/>
      <c r="O18454" s="11"/>
      <c r="P18454" s="11"/>
    </row>
    <row r="18455" spans="8:16" x14ac:dyDescent="0.25">
      <c r="H18455" s="12"/>
      <c r="I18455" s="12"/>
      <c r="J18455" s="12"/>
      <c r="K18455" s="12"/>
      <c r="L18455" s="12"/>
      <c r="M18455" s="11"/>
      <c r="N18455" s="11"/>
      <c r="O18455" s="11"/>
      <c r="P18455" s="11"/>
    </row>
    <row r="18456" spans="8:16" x14ac:dyDescent="0.25">
      <c r="H18456" s="12"/>
      <c r="I18456" s="12"/>
      <c r="J18456" s="12"/>
      <c r="K18456" s="12"/>
      <c r="L18456" s="12"/>
      <c r="M18456" s="11"/>
      <c r="N18456" s="11"/>
      <c r="O18456" s="11"/>
      <c r="P18456" s="11"/>
    </row>
    <row r="18457" spans="8:16" x14ac:dyDescent="0.25">
      <c r="H18457" s="12"/>
      <c r="I18457" s="12"/>
      <c r="J18457" s="12"/>
      <c r="K18457" s="12"/>
      <c r="L18457" s="12"/>
      <c r="M18457" s="11"/>
      <c r="N18457" s="11"/>
      <c r="O18457" s="11"/>
      <c r="P18457" s="11"/>
    </row>
    <row r="18458" spans="8:16" x14ac:dyDescent="0.25">
      <c r="H18458" s="12"/>
      <c r="I18458" s="12"/>
      <c r="J18458" s="12"/>
      <c r="K18458" s="12"/>
      <c r="L18458" s="12"/>
      <c r="M18458" s="11"/>
      <c r="N18458" s="11"/>
      <c r="O18458" s="11"/>
      <c r="P18458" s="11"/>
    </row>
    <row r="18459" spans="8:16" x14ac:dyDescent="0.25">
      <c r="H18459" s="12"/>
      <c r="I18459" s="12"/>
      <c r="J18459" s="12"/>
      <c r="K18459" s="12"/>
      <c r="L18459" s="12"/>
      <c r="M18459" s="11"/>
      <c r="N18459" s="11"/>
      <c r="O18459" s="11"/>
      <c r="P18459" s="11"/>
    </row>
    <row r="18460" spans="8:16" x14ac:dyDescent="0.25">
      <c r="H18460" s="12"/>
      <c r="I18460" s="12"/>
      <c r="J18460" s="12"/>
      <c r="K18460" s="12"/>
      <c r="L18460" s="12"/>
      <c r="M18460" s="11"/>
      <c r="N18460" s="11"/>
      <c r="O18460" s="11"/>
      <c r="P18460" s="11"/>
    </row>
    <row r="18461" spans="8:16" x14ac:dyDescent="0.25">
      <c r="H18461" s="12"/>
      <c r="I18461" s="12"/>
      <c r="J18461" s="12"/>
      <c r="K18461" s="12"/>
      <c r="L18461" s="12"/>
      <c r="M18461" s="11"/>
      <c r="N18461" s="11"/>
      <c r="O18461" s="11"/>
      <c r="P18461" s="11"/>
    </row>
    <row r="18462" spans="8:16" x14ac:dyDescent="0.25">
      <c r="H18462" s="12"/>
      <c r="I18462" s="12"/>
      <c r="J18462" s="12"/>
      <c r="K18462" s="12"/>
      <c r="L18462" s="12"/>
      <c r="M18462" s="11"/>
      <c r="N18462" s="11"/>
      <c r="O18462" s="11"/>
      <c r="P18462" s="11"/>
    </row>
    <row r="18463" spans="8:16" x14ac:dyDescent="0.25">
      <c r="H18463" s="12"/>
      <c r="I18463" s="12"/>
      <c r="J18463" s="12"/>
      <c r="K18463" s="12"/>
      <c r="L18463" s="12"/>
      <c r="M18463" s="11"/>
      <c r="N18463" s="11"/>
      <c r="O18463" s="11"/>
      <c r="P18463" s="11"/>
    </row>
    <row r="18464" spans="8:16" x14ac:dyDescent="0.25">
      <c r="H18464" s="12"/>
      <c r="I18464" s="12"/>
      <c r="J18464" s="12"/>
      <c r="K18464" s="12"/>
      <c r="L18464" s="12"/>
      <c r="M18464" s="11"/>
      <c r="N18464" s="11"/>
      <c r="O18464" s="11"/>
      <c r="P18464" s="11"/>
    </row>
    <row r="18465" spans="8:16" x14ac:dyDescent="0.25">
      <c r="H18465" s="12"/>
      <c r="I18465" s="12"/>
      <c r="J18465" s="12"/>
      <c r="K18465" s="12"/>
      <c r="L18465" s="12"/>
      <c r="M18465" s="11"/>
      <c r="N18465" s="11"/>
      <c r="O18465" s="11"/>
      <c r="P18465" s="11"/>
    </row>
    <row r="18466" spans="8:16" x14ac:dyDescent="0.25">
      <c r="H18466" s="12"/>
      <c r="I18466" s="12"/>
      <c r="J18466" s="12"/>
      <c r="K18466" s="12"/>
      <c r="L18466" s="12"/>
      <c r="M18466" s="11"/>
      <c r="N18466" s="11"/>
      <c r="O18466" s="11"/>
      <c r="P18466" s="11"/>
    </row>
    <row r="18467" spans="8:16" x14ac:dyDescent="0.25">
      <c r="H18467" s="12"/>
      <c r="I18467" s="12"/>
      <c r="J18467" s="12"/>
      <c r="K18467" s="12"/>
      <c r="L18467" s="12"/>
      <c r="M18467" s="11"/>
      <c r="N18467" s="11"/>
      <c r="O18467" s="11"/>
      <c r="P18467" s="11"/>
    </row>
    <row r="18468" spans="8:16" x14ac:dyDescent="0.25">
      <c r="H18468" s="12"/>
      <c r="I18468" s="12"/>
      <c r="J18468" s="12"/>
      <c r="K18468" s="12"/>
      <c r="L18468" s="12"/>
      <c r="M18468" s="11"/>
      <c r="N18468" s="11"/>
      <c r="O18468" s="11"/>
      <c r="P18468" s="11"/>
    </row>
    <row r="18469" spans="8:16" x14ac:dyDescent="0.25">
      <c r="H18469" s="12"/>
      <c r="I18469" s="12"/>
      <c r="J18469" s="12"/>
      <c r="K18469" s="12"/>
      <c r="L18469" s="12"/>
      <c r="M18469" s="11"/>
      <c r="N18469" s="11"/>
      <c r="O18469" s="11"/>
      <c r="P18469" s="11"/>
    </row>
    <row r="18470" spans="8:16" x14ac:dyDescent="0.25">
      <c r="H18470" s="12"/>
      <c r="I18470" s="12"/>
      <c r="J18470" s="12"/>
      <c r="K18470" s="12"/>
      <c r="L18470" s="12"/>
      <c r="M18470" s="11"/>
      <c r="N18470" s="11"/>
      <c r="O18470" s="11"/>
      <c r="P18470" s="11"/>
    </row>
    <row r="18471" spans="8:16" x14ac:dyDescent="0.25">
      <c r="H18471" s="12"/>
      <c r="I18471" s="12"/>
      <c r="J18471" s="12"/>
      <c r="K18471" s="12"/>
      <c r="L18471" s="12"/>
      <c r="M18471" s="11"/>
      <c r="N18471" s="11"/>
      <c r="O18471" s="11"/>
      <c r="P18471" s="11"/>
    </row>
    <row r="18472" spans="8:16" x14ac:dyDescent="0.25">
      <c r="H18472" s="12"/>
      <c r="I18472" s="12"/>
      <c r="J18472" s="12"/>
      <c r="K18472" s="12"/>
      <c r="L18472" s="12"/>
      <c r="M18472" s="11"/>
      <c r="N18472" s="11"/>
      <c r="O18472" s="11"/>
      <c r="P18472" s="11"/>
    </row>
    <row r="18473" spans="8:16" x14ac:dyDescent="0.25">
      <c r="H18473" s="12"/>
      <c r="I18473" s="12"/>
      <c r="J18473" s="12"/>
      <c r="K18473" s="12"/>
      <c r="L18473" s="12"/>
      <c r="M18473" s="11"/>
      <c r="N18473" s="11"/>
      <c r="O18473" s="11"/>
      <c r="P18473" s="11"/>
    </row>
    <row r="18474" spans="8:16" x14ac:dyDescent="0.25">
      <c r="H18474" s="12"/>
      <c r="I18474" s="12"/>
      <c r="J18474" s="12"/>
      <c r="K18474" s="12"/>
      <c r="L18474" s="12"/>
      <c r="M18474" s="11"/>
      <c r="N18474" s="11"/>
      <c r="O18474" s="11"/>
      <c r="P18474" s="11"/>
    </row>
    <row r="18475" spans="8:16" x14ac:dyDescent="0.25">
      <c r="H18475" s="12"/>
      <c r="I18475" s="12"/>
      <c r="J18475" s="12"/>
      <c r="K18475" s="12"/>
      <c r="L18475" s="12"/>
      <c r="M18475" s="11"/>
      <c r="N18475" s="11"/>
      <c r="O18475" s="11"/>
      <c r="P18475" s="11"/>
    </row>
    <row r="18476" spans="8:16" x14ac:dyDescent="0.25">
      <c r="H18476" s="12"/>
      <c r="I18476" s="12"/>
      <c r="J18476" s="12"/>
      <c r="K18476" s="12"/>
      <c r="L18476" s="12"/>
      <c r="M18476" s="11"/>
      <c r="N18476" s="11"/>
      <c r="O18476" s="11"/>
      <c r="P18476" s="11"/>
    </row>
    <row r="18477" spans="8:16" x14ac:dyDescent="0.25">
      <c r="H18477" s="12"/>
      <c r="I18477" s="12"/>
      <c r="J18477" s="12"/>
      <c r="K18477" s="12"/>
      <c r="L18477" s="12"/>
      <c r="M18477" s="11"/>
      <c r="N18477" s="11"/>
      <c r="O18477" s="11"/>
      <c r="P18477" s="11"/>
    </row>
    <row r="18478" spans="8:16" x14ac:dyDescent="0.25">
      <c r="H18478" s="12"/>
      <c r="I18478" s="12"/>
      <c r="J18478" s="12"/>
      <c r="K18478" s="12"/>
      <c r="L18478" s="12"/>
      <c r="M18478" s="11"/>
      <c r="N18478" s="11"/>
      <c r="O18478" s="11"/>
      <c r="P18478" s="11"/>
    </row>
    <row r="18479" spans="8:16" x14ac:dyDescent="0.25">
      <c r="H18479" s="12"/>
      <c r="I18479" s="12"/>
      <c r="J18479" s="12"/>
      <c r="K18479" s="12"/>
      <c r="L18479" s="12"/>
      <c r="M18479" s="11"/>
      <c r="N18479" s="11"/>
      <c r="O18479" s="11"/>
      <c r="P18479" s="11"/>
    </row>
    <row r="18480" spans="8:16" x14ac:dyDescent="0.25">
      <c r="H18480" s="12"/>
      <c r="I18480" s="12"/>
      <c r="J18480" s="12"/>
      <c r="K18480" s="12"/>
      <c r="L18480" s="12"/>
      <c r="M18480" s="11"/>
      <c r="N18480" s="11"/>
      <c r="O18480" s="11"/>
      <c r="P18480" s="11"/>
    </row>
    <row r="18481" spans="8:16" x14ac:dyDescent="0.25">
      <c r="H18481" s="12"/>
      <c r="I18481" s="12"/>
      <c r="J18481" s="12"/>
      <c r="K18481" s="12"/>
      <c r="L18481" s="12"/>
      <c r="M18481" s="11"/>
      <c r="N18481" s="11"/>
      <c r="O18481" s="11"/>
      <c r="P18481" s="11"/>
    </row>
    <row r="18482" spans="8:16" x14ac:dyDescent="0.25">
      <c r="H18482" s="12"/>
      <c r="I18482" s="12"/>
      <c r="J18482" s="12"/>
      <c r="K18482" s="12"/>
      <c r="L18482" s="12"/>
      <c r="M18482" s="11"/>
      <c r="N18482" s="11"/>
      <c r="O18482" s="11"/>
      <c r="P18482" s="11"/>
    </row>
    <row r="18483" spans="8:16" x14ac:dyDescent="0.25">
      <c r="H18483" s="12"/>
      <c r="I18483" s="12"/>
      <c r="J18483" s="12"/>
      <c r="K18483" s="12"/>
      <c r="L18483" s="12"/>
      <c r="M18483" s="11"/>
      <c r="N18483" s="11"/>
      <c r="O18483" s="11"/>
      <c r="P18483" s="11"/>
    </row>
    <row r="18484" spans="8:16" x14ac:dyDescent="0.25">
      <c r="H18484" s="12"/>
      <c r="I18484" s="12"/>
      <c r="J18484" s="12"/>
      <c r="K18484" s="12"/>
      <c r="L18484" s="12"/>
      <c r="M18484" s="11"/>
      <c r="N18484" s="11"/>
      <c r="O18484" s="11"/>
      <c r="P18484" s="11"/>
    </row>
    <row r="18485" spans="8:16" x14ac:dyDescent="0.25">
      <c r="H18485" s="12"/>
      <c r="I18485" s="12"/>
      <c r="J18485" s="12"/>
      <c r="K18485" s="12"/>
      <c r="L18485" s="12"/>
      <c r="M18485" s="11"/>
      <c r="N18485" s="11"/>
      <c r="O18485" s="11"/>
      <c r="P18485" s="11"/>
    </row>
    <row r="18486" spans="8:16" x14ac:dyDescent="0.25">
      <c r="H18486" s="12"/>
      <c r="I18486" s="12"/>
      <c r="J18486" s="12"/>
      <c r="K18486" s="12"/>
      <c r="L18486" s="12"/>
      <c r="M18486" s="11"/>
      <c r="N18486" s="11"/>
      <c r="O18486" s="11"/>
      <c r="P18486" s="11"/>
    </row>
    <row r="18487" spans="8:16" x14ac:dyDescent="0.25">
      <c r="H18487" s="12"/>
      <c r="I18487" s="12"/>
      <c r="J18487" s="12"/>
      <c r="K18487" s="12"/>
      <c r="L18487" s="12"/>
      <c r="M18487" s="11"/>
      <c r="N18487" s="11"/>
      <c r="O18487" s="11"/>
      <c r="P18487" s="11"/>
    </row>
    <row r="18488" spans="8:16" x14ac:dyDescent="0.25">
      <c r="H18488" s="12"/>
      <c r="I18488" s="12"/>
      <c r="J18488" s="12"/>
      <c r="K18488" s="12"/>
      <c r="L18488" s="12"/>
      <c r="M18488" s="11"/>
      <c r="N18488" s="11"/>
      <c r="O18488" s="11"/>
      <c r="P18488" s="11"/>
    </row>
    <row r="18489" spans="8:16" x14ac:dyDescent="0.25">
      <c r="H18489" s="12"/>
      <c r="I18489" s="12"/>
      <c r="J18489" s="12"/>
      <c r="K18489" s="12"/>
      <c r="L18489" s="12"/>
      <c r="M18489" s="11"/>
      <c r="N18489" s="11"/>
      <c r="O18489" s="11"/>
      <c r="P18489" s="11"/>
    </row>
    <row r="18490" spans="8:16" x14ac:dyDescent="0.25">
      <c r="H18490" s="12"/>
      <c r="I18490" s="12"/>
      <c r="J18490" s="12"/>
      <c r="K18490" s="12"/>
      <c r="L18490" s="12"/>
      <c r="M18490" s="11"/>
      <c r="N18490" s="11"/>
      <c r="O18490" s="11"/>
      <c r="P18490" s="11"/>
    </row>
    <row r="18491" spans="8:16" x14ac:dyDescent="0.25">
      <c r="H18491" s="12"/>
      <c r="I18491" s="12"/>
      <c r="J18491" s="12"/>
      <c r="K18491" s="12"/>
      <c r="L18491" s="12"/>
      <c r="M18491" s="11"/>
      <c r="N18491" s="11"/>
      <c r="O18491" s="11"/>
      <c r="P18491" s="11"/>
    </row>
    <row r="18492" spans="8:16" x14ac:dyDescent="0.25">
      <c r="H18492" s="12"/>
      <c r="I18492" s="12"/>
      <c r="J18492" s="12"/>
      <c r="K18492" s="12"/>
      <c r="L18492" s="12"/>
      <c r="M18492" s="11"/>
      <c r="N18492" s="11"/>
      <c r="O18492" s="11"/>
      <c r="P18492" s="11"/>
    </row>
    <row r="18493" spans="8:16" x14ac:dyDescent="0.25">
      <c r="H18493" s="12"/>
      <c r="I18493" s="12"/>
      <c r="J18493" s="12"/>
      <c r="K18493" s="12"/>
      <c r="L18493" s="12"/>
      <c r="M18493" s="11"/>
      <c r="N18493" s="11"/>
      <c r="O18493" s="11"/>
      <c r="P18493" s="11"/>
    </row>
    <row r="18494" spans="8:16" x14ac:dyDescent="0.25">
      <c r="H18494" s="12"/>
      <c r="I18494" s="12"/>
      <c r="J18494" s="12"/>
      <c r="K18494" s="12"/>
      <c r="L18494" s="12"/>
      <c r="M18494" s="11"/>
      <c r="N18494" s="11"/>
      <c r="O18494" s="11"/>
      <c r="P18494" s="11"/>
    </row>
    <row r="18495" spans="8:16" x14ac:dyDescent="0.25">
      <c r="H18495" s="12"/>
      <c r="I18495" s="12"/>
      <c r="J18495" s="12"/>
      <c r="K18495" s="12"/>
      <c r="L18495" s="12"/>
      <c r="M18495" s="11"/>
      <c r="N18495" s="11"/>
      <c r="O18495" s="11"/>
      <c r="P18495" s="11"/>
    </row>
    <row r="18496" spans="8:16" x14ac:dyDescent="0.25">
      <c r="H18496" s="12"/>
      <c r="I18496" s="12"/>
      <c r="J18496" s="12"/>
      <c r="K18496" s="12"/>
      <c r="L18496" s="12"/>
      <c r="M18496" s="11"/>
      <c r="N18496" s="11"/>
      <c r="O18496" s="11"/>
      <c r="P18496" s="11"/>
    </row>
    <row r="18497" spans="8:16" x14ac:dyDescent="0.25">
      <c r="H18497" s="12"/>
      <c r="I18497" s="12"/>
      <c r="J18497" s="12"/>
      <c r="K18497" s="12"/>
      <c r="L18497" s="12"/>
      <c r="M18497" s="11"/>
      <c r="N18497" s="11"/>
      <c r="O18497" s="11"/>
      <c r="P18497" s="11"/>
    </row>
    <row r="18498" spans="8:16" x14ac:dyDescent="0.25">
      <c r="H18498" s="12"/>
      <c r="I18498" s="12"/>
      <c r="J18498" s="12"/>
      <c r="K18498" s="12"/>
      <c r="L18498" s="12"/>
      <c r="M18498" s="11"/>
      <c r="N18498" s="11"/>
      <c r="O18498" s="11"/>
      <c r="P18498" s="11"/>
    </row>
    <row r="18499" spans="8:16" x14ac:dyDescent="0.25">
      <c r="H18499" s="12"/>
      <c r="I18499" s="12"/>
      <c r="J18499" s="12"/>
      <c r="K18499" s="12"/>
      <c r="L18499" s="12"/>
      <c r="M18499" s="11"/>
      <c r="N18499" s="11"/>
      <c r="O18499" s="11"/>
      <c r="P18499" s="11"/>
    </row>
    <row r="18500" spans="8:16" x14ac:dyDescent="0.25">
      <c r="H18500" s="12"/>
      <c r="I18500" s="12"/>
      <c r="J18500" s="12"/>
      <c r="K18500" s="12"/>
      <c r="L18500" s="12"/>
      <c r="M18500" s="11"/>
      <c r="N18500" s="11"/>
      <c r="O18500" s="11"/>
      <c r="P18500" s="11"/>
    </row>
    <row r="18501" spans="8:16" x14ac:dyDescent="0.25">
      <c r="H18501" s="12"/>
      <c r="I18501" s="12"/>
      <c r="J18501" s="12"/>
      <c r="K18501" s="12"/>
      <c r="L18501" s="12"/>
      <c r="M18501" s="11"/>
      <c r="N18501" s="11"/>
      <c r="O18501" s="11"/>
      <c r="P18501" s="11"/>
    </row>
    <row r="18502" spans="8:16" x14ac:dyDescent="0.25">
      <c r="H18502" s="12"/>
      <c r="I18502" s="12"/>
      <c r="J18502" s="12"/>
      <c r="K18502" s="12"/>
      <c r="L18502" s="12"/>
      <c r="M18502" s="11"/>
      <c r="N18502" s="11"/>
      <c r="O18502" s="11"/>
      <c r="P18502" s="11"/>
    </row>
    <row r="18503" spans="8:16" x14ac:dyDescent="0.25">
      <c r="H18503" s="12"/>
      <c r="I18503" s="12"/>
      <c r="J18503" s="12"/>
      <c r="K18503" s="12"/>
      <c r="L18503" s="12"/>
      <c r="M18503" s="11"/>
      <c r="N18503" s="11"/>
      <c r="O18503" s="11"/>
      <c r="P18503" s="11"/>
    </row>
    <row r="18504" spans="8:16" x14ac:dyDescent="0.25">
      <c r="H18504" s="12"/>
      <c r="I18504" s="12"/>
      <c r="J18504" s="12"/>
      <c r="K18504" s="12"/>
      <c r="L18504" s="12"/>
      <c r="M18504" s="11"/>
      <c r="N18504" s="11"/>
      <c r="O18504" s="11"/>
      <c r="P18504" s="11"/>
    </row>
    <row r="18505" spans="8:16" x14ac:dyDescent="0.25">
      <c r="H18505" s="12"/>
      <c r="I18505" s="12"/>
      <c r="J18505" s="12"/>
      <c r="K18505" s="12"/>
      <c r="L18505" s="12"/>
      <c r="M18505" s="11"/>
      <c r="N18505" s="11"/>
      <c r="O18505" s="11"/>
      <c r="P18505" s="11"/>
    </row>
    <row r="18506" spans="8:16" x14ac:dyDescent="0.25">
      <c r="H18506" s="12"/>
      <c r="I18506" s="12"/>
      <c r="J18506" s="12"/>
      <c r="K18506" s="12"/>
      <c r="L18506" s="12"/>
      <c r="M18506" s="11"/>
      <c r="N18506" s="11"/>
      <c r="O18506" s="11"/>
      <c r="P18506" s="11"/>
    </row>
    <row r="18507" spans="8:16" x14ac:dyDescent="0.25">
      <c r="H18507" s="12"/>
      <c r="I18507" s="12"/>
      <c r="J18507" s="12"/>
      <c r="K18507" s="12"/>
      <c r="L18507" s="12"/>
      <c r="M18507" s="11"/>
      <c r="N18507" s="11"/>
      <c r="O18507" s="11"/>
      <c r="P18507" s="11"/>
    </row>
    <row r="18508" spans="8:16" x14ac:dyDescent="0.25">
      <c r="H18508" s="12"/>
      <c r="I18508" s="12"/>
      <c r="J18508" s="12"/>
      <c r="K18508" s="12"/>
      <c r="L18508" s="12"/>
      <c r="M18508" s="11"/>
      <c r="N18508" s="11"/>
      <c r="O18508" s="11"/>
      <c r="P18508" s="11"/>
    </row>
    <row r="18509" spans="8:16" x14ac:dyDescent="0.25">
      <c r="H18509" s="12"/>
      <c r="I18509" s="12"/>
      <c r="J18509" s="12"/>
      <c r="K18509" s="12"/>
      <c r="L18509" s="12"/>
      <c r="M18509" s="11"/>
      <c r="N18509" s="11"/>
      <c r="O18509" s="11"/>
      <c r="P18509" s="11"/>
    </row>
    <row r="18510" spans="8:16" x14ac:dyDescent="0.25">
      <c r="H18510" s="12"/>
      <c r="I18510" s="12"/>
      <c r="J18510" s="12"/>
      <c r="K18510" s="12"/>
      <c r="L18510" s="12"/>
      <c r="M18510" s="11"/>
      <c r="N18510" s="11"/>
      <c r="O18510" s="11"/>
      <c r="P18510" s="11"/>
    </row>
    <row r="18511" spans="8:16" x14ac:dyDescent="0.25">
      <c r="H18511" s="12"/>
      <c r="I18511" s="12"/>
      <c r="J18511" s="12"/>
      <c r="K18511" s="12"/>
      <c r="L18511" s="12"/>
      <c r="M18511" s="11"/>
      <c r="N18511" s="11"/>
      <c r="O18511" s="11"/>
      <c r="P18511" s="11"/>
    </row>
    <row r="18512" spans="8:16" x14ac:dyDescent="0.25">
      <c r="H18512" s="12"/>
      <c r="I18512" s="12"/>
      <c r="J18512" s="12"/>
      <c r="K18512" s="12"/>
      <c r="L18512" s="12"/>
      <c r="M18512" s="11"/>
      <c r="N18512" s="11"/>
      <c r="O18512" s="11"/>
      <c r="P18512" s="11"/>
    </row>
    <row r="18513" spans="8:16" x14ac:dyDescent="0.25">
      <c r="H18513" s="12"/>
      <c r="I18513" s="12"/>
      <c r="J18513" s="12"/>
      <c r="K18513" s="12"/>
      <c r="L18513" s="12"/>
      <c r="M18513" s="11"/>
      <c r="N18513" s="11"/>
      <c r="O18513" s="11"/>
      <c r="P18513" s="11"/>
    </row>
    <row r="18514" spans="8:16" x14ac:dyDescent="0.25">
      <c r="H18514" s="12"/>
      <c r="I18514" s="12"/>
      <c r="J18514" s="12"/>
      <c r="K18514" s="12"/>
      <c r="L18514" s="12"/>
      <c r="M18514" s="11"/>
      <c r="N18514" s="11"/>
      <c r="O18514" s="11"/>
      <c r="P18514" s="11"/>
    </row>
    <row r="18515" spans="8:16" x14ac:dyDescent="0.25">
      <c r="H18515" s="12"/>
      <c r="I18515" s="12"/>
      <c r="J18515" s="12"/>
      <c r="K18515" s="12"/>
      <c r="L18515" s="12"/>
      <c r="M18515" s="11"/>
      <c r="N18515" s="11"/>
      <c r="O18515" s="11"/>
      <c r="P18515" s="11"/>
    </row>
    <row r="18516" spans="8:16" x14ac:dyDescent="0.25">
      <c r="H18516" s="12"/>
      <c r="I18516" s="12"/>
      <c r="J18516" s="12"/>
      <c r="K18516" s="12"/>
      <c r="L18516" s="12"/>
      <c r="M18516" s="11"/>
      <c r="N18516" s="11"/>
      <c r="O18516" s="11"/>
      <c r="P18516" s="11"/>
    </row>
    <row r="18517" spans="8:16" x14ac:dyDescent="0.25">
      <c r="H18517" s="12"/>
      <c r="I18517" s="12"/>
      <c r="J18517" s="12"/>
      <c r="K18517" s="12"/>
      <c r="L18517" s="12"/>
      <c r="M18517" s="11"/>
      <c r="N18517" s="11"/>
      <c r="O18517" s="11"/>
      <c r="P18517" s="11"/>
    </row>
    <row r="18518" spans="8:16" x14ac:dyDescent="0.25">
      <c r="H18518" s="12"/>
      <c r="I18518" s="12"/>
      <c r="J18518" s="12"/>
      <c r="K18518" s="12"/>
      <c r="L18518" s="12"/>
      <c r="M18518" s="11"/>
      <c r="N18518" s="11"/>
      <c r="O18518" s="11"/>
      <c r="P18518" s="11"/>
    </row>
    <row r="18519" spans="8:16" x14ac:dyDescent="0.25">
      <c r="H18519" s="12"/>
      <c r="I18519" s="12"/>
      <c r="J18519" s="12"/>
      <c r="K18519" s="12"/>
      <c r="L18519" s="12"/>
      <c r="M18519" s="11"/>
      <c r="N18519" s="11"/>
      <c r="O18519" s="11"/>
      <c r="P18519" s="11"/>
    </row>
    <row r="18520" spans="8:16" x14ac:dyDescent="0.25">
      <c r="H18520" s="12"/>
      <c r="I18520" s="12"/>
      <c r="J18520" s="12"/>
      <c r="K18520" s="12"/>
      <c r="L18520" s="12"/>
      <c r="M18520" s="11"/>
      <c r="N18520" s="11"/>
      <c r="O18520" s="11"/>
      <c r="P18520" s="11"/>
    </row>
    <row r="18521" spans="8:16" x14ac:dyDescent="0.25">
      <c r="H18521" s="12"/>
      <c r="I18521" s="12"/>
      <c r="J18521" s="12"/>
      <c r="K18521" s="12"/>
      <c r="L18521" s="12"/>
      <c r="M18521" s="11"/>
      <c r="N18521" s="11"/>
      <c r="O18521" s="11"/>
      <c r="P18521" s="11"/>
    </row>
    <row r="18522" spans="8:16" x14ac:dyDescent="0.25">
      <c r="H18522" s="12"/>
      <c r="I18522" s="12"/>
      <c r="J18522" s="12"/>
      <c r="K18522" s="12"/>
      <c r="L18522" s="12"/>
      <c r="M18522" s="11"/>
      <c r="N18522" s="11"/>
      <c r="O18522" s="11"/>
      <c r="P18522" s="11"/>
    </row>
    <row r="18523" spans="8:16" x14ac:dyDescent="0.25">
      <c r="H18523" s="12"/>
      <c r="I18523" s="12"/>
      <c r="J18523" s="12"/>
      <c r="K18523" s="12"/>
      <c r="L18523" s="12"/>
      <c r="M18523" s="11"/>
      <c r="N18523" s="11"/>
      <c r="O18523" s="11"/>
      <c r="P18523" s="11"/>
    </row>
    <row r="18524" spans="8:16" x14ac:dyDescent="0.25">
      <c r="H18524" s="12"/>
      <c r="I18524" s="12"/>
      <c r="J18524" s="12"/>
      <c r="K18524" s="12"/>
      <c r="L18524" s="12"/>
      <c r="M18524" s="11"/>
      <c r="N18524" s="11"/>
      <c r="O18524" s="11"/>
      <c r="P18524" s="11"/>
    </row>
    <row r="18525" spans="8:16" x14ac:dyDescent="0.25">
      <c r="H18525" s="12"/>
      <c r="I18525" s="12"/>
      <c r="J18525" s="12"/>
      <c r="K18525" s="12"/>
      <c r="L18525" s="12"/>
      <c r="M18525" s="11"/>
      <c r="N18525" s="11"/>
      <c r="O18525" s="11"/>
      <c r="P18525" s="11"/>
    </row>
    <row r="18526" spans="8:16" x14ac:dyDescent="0.25">
      <c r="H18526" s="12"/>
      <c r="I18526" s="12"/>
      <c r="J18526" s="12"/>
      <c r="K18526" s="12"/>
      <c r="L18526" s="12"/>
      <c r="M18526" s="11"/>
      <c r="N18526" s="11"/>
      <c r="O18526" s="11"/>
      <c r="P18526" s="11"/>
    </row>
    <row r="18527" spans="8:16" x14ac:dyDescent="0.25">
      <c r="H18527" s="12"/>
      <c r="I18527" s="12"/>
      <c r="J18527" s="12"/>
      <c r="K18527" s="12"/>
      <c r="L18527" s="12"/>
      <c r="M18527" s="11"/>
      <c r="N18527" s="11"/>
      <c r="O18527" s="11"/>
      <c r="P18527" s="11"/>
    </row>
    <row r="18528" spans="8:16" x14ac:dyDescent="0.25">
      <c r="H18528" s="12"/>
      <c r="I18528" s="12"/>
      <c r="J18528" s="12"/>
      <c r="K18528" s="12"/>
      <c r="L18528" s="12"/>
      <c r="M18528" s="11"/>
      <c r="N18528" s="11"/>
      <c r="O18528" s="11"/>
      <c r="P18528" s="11"/>
    </row>
    <row r="18529" spans="8:16" x14ac:dyDescent="0.25">
      <c r="H18529" s="12"/>
      <c r="I18529" s="12"/>
      <c r="J18529" s="12"/>
      <c r="K18529" s="12"/>
      <c r="L18529" s="12"/>
      <c r="M18529" s="11"/>
      <c r="N18529" s="11"/>
      <c r="O18529" s="11"/>
      <c r="P18529" s="11"/>
    </row>
    <row r="18530" spans="8:16" x14ac:dyDescent="0.25">
      <c r="H18530" s="12"/>
      <c r="I18530" s="12"/>
      <c r="J18530" s="12"/>
      <c r="K18530" s="12"/>
      <c r="L18530" s="12"/>
      <c r="M18530" s="11"/>
      <c r="N18530" s="11"/>
      <c r="O18530" s="11"/>
      <c r="P18530" s="11"/>
    </row>
    <row r="18531" spans="8:16" x14ac:dyDescent="0.25">
      <c r="H18531" s="12"/>
      <c r="I18531" s="12"/>
      <c r="J18531" s="12"/>
      <c r="K18531" s="12"/>
      <c r="L18531" s="12"/>
      <c r="M18531" s="11"/>
      <c r="N18531" s="11"/>
      <c r="O18531" s="11"/>
      <c r="P18531" s="11"/>
    </row>
    <row r="18532" spans="8:16" x14ac:dyDescent="0.25">
      <c r="H18532" s="12"/>
      <c r="I18532" s="12"/>
      <c r="J18532" s="12"/>
      <c r="K18532" s="12"/>
      <c r="L18532" s="12"/>
      <c r="M18532" s="11"/>
      <c r="N18532" s="11"/>
      <c r="O18532" s="11"/>
      <c r="P18532" s="11"/>
    </row>
    <row r="18533" spans="8:16" x14ac:dyDescent="0.25">
      <c r="H18533" s="12"/>
      <c r="I18533" s="12"/>
      <c r="J18533" s="12"/>
      <c r="K18533" s="12"/>
      <c r="L18533" s="12"/>
      <c r="M18533" s="11"/>
      <c r="N18533" s="11"/>
      <c r="O18533" s="11"/>
      <c r="P18533" s="11"/>
    </row>
    <row r="18534" spans="8:16" x14ac:dyDescent="0.25">
      <c r="H18534" s="12"/>
      <c r="I18534" s="12"/>
      <c r="J18534" s="12"/>
      <c r="K18534" s="12"/>
      <c r="L18534" s="12"/>
      <c r="M18534" s="11"/>
      <c r="N18534" s="11"/>
      <c r="O18534" s="11"/>
      <c r="P18534" s="11"/>
    </row>
    <row r="18535" spans="8:16" x14ac:dyDescent="0.25">
      <c r="H18535" s="12"/>
      <c r="I18535" s="12"/>
      <c r="J18535" s="12"/>
      <c r="K18535" s="12"/>
      <c r="L18535" s="12"/>
      <c r="M18535" s="11"/>
      <c r="N18535" s="11"/>
      <c r="O18535" s="11"/>
      <c r="P18535" s="11"/>
    </row>
    <row r="18536" spans="8:16" x14ac:dyDescent="0.25">
      <c r="H18536" s="12"/>
      <c r="I18536" s="12"/>
      <c r="J18536" s="12"/>
      <c r="K18536" s="12"/>
      <c r="L18536" s="12"/>
      <c r="M18536" s="11"/>
      <c r="N18536" s="11"/>
      <c r="O18536" s="11"/>
      <c r="P18536" s="11"/>
    </row>
    <row r="18537" spans="8:16" x14ac:dyDescent="0.25">
      <c r="H18537" s="12"/>
      <c r="I18537" s="12"/>
      <c r="J18537" s="12"/>
      <c r="K18537" s="12"/>
      <c r="L18537" s="12"/>
      <c r="M18537" s="11"/>
      <c r="N18537" s="11"/>
      <c r="O18537" s="11"/>
      <c r="P18537" s="11"/>
    </row>
    <row r="18538" spans="8:16" x14ac:dyDescent="0.25">
      <c r="H18538" s="12"/>
      <c r="I18538" s="12"/>
      <c r="J18538" s="12"/>
      <c r="K18538" s="12"/>
      <c r="L18538" s="12"/>
      <c r="M18538" s="11"/>
      <c r="N18538" s="11"/>
      <c r="O18538" s="11"/>
      <c r="P18538" s="11"/>
    </row>
    <row r="18539" spans="8:16" x14ac:dyDescent="0.25">
      <c r="H18539" s="12"/>
      <c r="I18539" s="12"/>
      <c r="J18539" s="12"/>
      <c r="K18539" s="12"/>
      <c r="L18539" s="12"/>
      <c r="M18539" s="11"/>
      <c r="N18539" s="11"/>
      <c r="O18539" s="11"/>
      <c r="P18539" s="11"/>
    </row>
    <row r="18540" spans="8:16" x14ac:dyDescent="0.25">
      <c r="H18540" s="12"/>
      <c r="I18540" s="12"/>
      <c r="J18540" s="12"/>
      <c r="K18540" s="12"/>
      <c r="L18540" s="12"/>
      <c r="M18540" s="11"/>
      <c r="N18540" s="11"/>
      <c r="O18540" s="11"/>
      <c r="P18540" s="11"/>
    </row>
    <row r="18541" spans="8:16" x14ac:dyDescent="0.25">
      <c r="H18541" s="12"/>
      <c r="I18541" s="12"/>
      <c r="J18541" s="12"/>
      <c r="K18541" s="12"/>
      <c r="L18541" s="12"/>
      <c r="M18541" s="11"/>
      <c r="N18541" s="11"/>
      <c r="O18541" s="11"/>
      <c r="P18541" s="11"/>
    </row>
    <row r="18542" spans="8:16" x14ac:dyDescent="0.25">
      <c r="H18542" s="12"/>
      <c r="I18542" s="12"/>
      <c r="J18542" s="12"/>
      <c r="K18542" s="12"/>
      <c r="L18542" s="12"/>
      <c r="M18542" s="11"/>
      <c r="N18542" s="11"/>
      <c r="O18542" s="11"/>
      <c r="P18542" s="11"/>
    </row>
    <row r="18543" spans="8:16" x14ac:dyDescent="0.25">
      <c r="H18543" s="12"/>
      <c r="I18543" s="12"/>
      <c r="J18543" s="12"/>
      <c r="K18543" s="12"/>
      <c r="L18543" s="12"/>
      <c r="M18543" s="11"/>
      <c r="N18543" s="11"/>
      <c r="O18543" s="11"/>
      <c r="P18543" s="11"/>
    </row>
    <row r="18544" spans="8:16" x14ac:dyDescent="0.25">
      <c r="H18544" s="12"/>
      <c r="I18544" s="12"/>
      <c r="J18544" s="12"/>
      <c r="K18544" s="12"/>
      <c r="L18544" s="12"/>
      <c r="M18544" s="11"/>
      <c r="N18544" s="11"/>
      <c r="O18544" s="11"/>
      <c r="P18544" s="11"/>
    </row>
    <row r="18545" spans="8:16" x14ac:dyDescent="0.25">
      <c r="H18545" s="12"/>
      <c r="I18545" s="12"/>
      <c r="J18545" s="12"/>
      <c r="K18545" s="12"/>
      <c r="L18545" s="12"/>
      <c r="M18545" s="11"/>
      <c r="N18545" s="11"/>
      <c r="O18545" s="11"/>
      <c r="P18545" s="11"/>
    </row>
    <row r="18546" spans="8:16" x14ac:dyDescent="0.25">
      <c r="H18546" s="12"/>
      <c r="I18546" s="12"/>
      <c r="J18546" s="12"/>
      <c r="K18546" s="12"/>
      <c r="L18546" s="12"/>
      <c r="M18546" s="11"/>
      <c r="N18546" s="11"/>
      <c r="O18546" s="11"/>
      <c r="P18546" s="11"/>
    </row>
    <row r="18547" spans="8:16" x14ac:dyDescent="0.25">
      <c r="H18547" s="12"/>
      <c r="I18547" s="12"/>
      <c r="J18547" s="12"/>
      <c r="K18547" s="12"/>
      <c r="L18547" s="12"/>
      <c r="M18547" s="11"/>
      <c r="N18547" s="11"/>
      <c r="O18547" s="11"/>
      <c r="P18547" s="11"/>
    </row>
    <row r="18548" spans="8:16" x14ac:dyDescent="0.25">
      <c r="H18548" s="12"/>
      <c r="I18548" s="12"/>
      <c r="J18548" s="12"/>
      <c r="K18548" s="12"/>
      <c r="L18548" s="12"/>
      <c r="M18548" s="11"/>
      <c r="N18548" s="11"/>
      <c r="O18548" s="11"/>
      <c r="P18548" s="11"/>
    </row>
    <row r="18549" spans="8:16" x14ac:dyDescent="0.25">
      <c r="H18549" s="12"/>
      <c r="I18549" s="12"/>
      <c r="J18549" s="12"/>
      <c r="K18549" s="12"/>
      <c r="L18549" s="12"/>
      <c r="M18549" s="11"/>
      <c r="N18549" s="11"/>
      <c r="O18549" s="11"/>
      <c r="P18549" s="11"/>
    </row>
    <row r="18550" spans="8:16" x14ac:dyDescent="0.25">
      <c r="H18550" s="12"/>
      <c r="I18550" s="12"/>
      <c r="J18550" s="12"/>
      <c r="K18550" s="12"/>
      <c r="L18550" s="12"/>
      <c r="M18550" s="11"/>
      <c r="N18550" s="11"/>
      <c r="O18550" s="11"/>
      <c r="P18550" s="11"/>
    </row>
    <row r="18551" spans="8:16" x14ac:dyDescent="0.25">
      <c r="H18551" s="12"/>
      <c r="I18551" s="12"/>
      <c r="J18551" s="12"/>
      <c r="K18551" s="12"/>
      <c r="L18551" s="12"/>
      <c r="M18551" s="11"/>
      <c r="N18551" s="11"/>
      <c r="O18551" s="11"/>
      <c r="P18551" s="11"/>
    </row>
    <row r="18552" spans="8:16" x14ac:dyDescent="0.25">
      <c r="H18552" s="12"/>
      <c r="I18552" s="12"/>
      <c r="J18552" s="12"/>
      <c r="K18552" s="12"/>
      <c r="L18552" s="12"/>
      <c r="M18552" s="11"/>
      <c r="N18552" s="11"/>
      <c r="O18552" s="11"/>
      <c r="P18552" s="11"/>
    </row>
    <row r="18553" spans="8:16" x14ac:dyDescent="0.25">
      <c r="H18553" s="12"/>
      <c r="I18553" s="12"/>
      <c r="J18553" s="12"/>
      <c r="K18553" s="12"/>
      <c r="L18553" s="12"/>
      <c r="M18553" s="11"/>
      <c r="N18553" s="11"/>
      <c r="O18553" s="11"/>
      <c r="P18553" s="11"/>
    </row>
    <row r="18554" spans="8:16" x14ac:dyDescent="0.25">
      <c r="H18554" s="12"/>
      <c r="I18554" s="12"/>
      <c r="J18554" s="12"/>
      <c r="K18554" s="12"/>
      <c r="L18554" s="12"/>
      <c r="M18554" s="11"/>
      <c r="N18554" s="11"/>
      <c r="O18554" s="11"/>
      <c r="P18554" s="11"/>
    </row>
    <row r="18555" spans="8:16" x14ac:dyDescent="0.25">
      <c r="H18555" s="12"/>
      <c r="I18555" s="12"/>
      <c r="J18555" s="12"/>
      <c r="K18555" s="12"/>
      <c r="L18555" s="12"/>
      <c r="M18555" s="11"/>
      <c r="N18555" s="11"/>
      <c r="O18555" s="11"/>
      <c r="P18555" s="11"/>
    </row>
    <row r="18556" spans="8:16" x14ac:dyDescent="0.25">
      <c r="H18556" s="12"/>
      <c r="I18556" s="12"/>
      <c r="J18556" s="12"/>
      <c r="K18556" s="12"/>
      <c r="L18556" s="12"/>
      <c r="M18556" s="11"/>
      <c r="N18556" s="11"/>
      <c r="O18556" s="11"/>
      <c r="P18556" s="11"/>
    </row>
    <row r="18557" spans="8:16" x14ac:dyDescent="0.25">
      <c r="H18557" s="12"/>
      <c r="I18557" s="12"/>
      <c r="J18557" s="12"/>
      <c r="K18557" s="12"/>
      <c r="L18557" s="12"/>
      <c r="M18557" s="11"/>
      <c r="N18557" s="11"/>
      <c r="O18557" s="11"/>
      <c r="P18557" s="11"/>
    </row>
    <row r="18558" spans="8:16" x14ac:dyDescent="0.25">
      <c r="H18558" s="12"/>
      <c r="I18558" s="12"/>
      <c r="J18558" s="12"/>
      <c r="K18558" s="12"/>
      <c r="L18558" s="12"/>
      <c r="M18558" s="11"/>
      <c r="N18558" s="11"/>
      <c r="O18558" s="11"/>
      <c r="P18558" s="11"/>
    </row>
    <row r="18559" spans="8:16" x14ac:dyDescent="0.25">
      <c r="H18559" s="12"/>
      <c r="I18559" s="12"/>
      <c r="J18559" s="12"/>
      <c r="K18559" s="12"/>
      <c r="L18559" s="12"/>
      <c r="M18559" s="11"/>
      <c r="N18559" s="11"/>
      <c r="O18559" s="11"/>
      <c r="P18559" s="11"/>
    </row>
    <row r="18560" spans="8:16" x14ac:dyDescent="0.25">
      <c r="H18560" s="12"/>
      <c r="I18560" s="12"/>
      <c r="J18560" s="12"/>
      <c r="K18560" s="12"/>
      <c r="L18560" s="12"/>
      <c r="M18560" s="11"/>
      <c r="N18560" s="11"/>
      <c r="O18560" s="11"/>
      <c r="P18560" s="11"/>
    </row>
    <row r="18561" spans="8:16" x14ac:dyDescent="0.25">
      <c r="H18561" s="12"/>
      <c r="I18561" s="12"/>
      <c r="J18561" s="12"/>
      <c r="K18561" s="12"/>
      <c r="L18561" s="12"/>
      <c r="M18561" s="11"/>
      <c r="N18561" s="11"/>
      <c r="O18561" s="11"/>
      <c r="P18561" s="11"/>
    </row>
    <row r="18562" spans="8:16" x14ac:dyDescent="0.25">
      <c r="H18562" s="12"/>
      <c r="I18562" s="12"/>
      <c r="J18562" s="12"/>
      <c r="K18562" s="12"/>
      <c r="L18562" s="12"/>
      <c r="M18562" s="11"/>
      <c r="N18562" s="11"/>
      <c r="O18562" s="11"/>
      <c r="P18562" s="11"/>
    </row>
    <row r="18563" spans="8:16" x14ac:dyDescent="0.25">
      <c r="H18563" s="12"/>
      <c r="I18563" s="12"/>
      <c r="J18563" s="12"/>
      <c r="K18563" s="12"/>
      <c r="L18563" s="12"/>
      <c r="M18563" s="11"/>
      <c r="N18563" s="11"/>
      <c r="O18563" s="11"/>
      <c r="P18563" s="11"/>
    </row>
    <row r="18564" spans="8:16" x14ac:dyDescent="0.25">
      <c r="H18564" s="12"/>
      <c r="I18564" s="12"/>
      <c r="J18564" s="12"/>
      <c r="K18564" s="12"/>
      <c r="L18564" s="12"/>
      <c r="M18564" s="11"/>
      <c r="N18564" s="11"/>
      <c r="O18564" s="11"/>
      <c r="P18564" s="11"/>
    </row>
    <row r="18565" spans="8:16" x14ac:dyDescent="0.25">
      <c r="H18565" s="12"/>
      <c r="I18565" s="12"/>
      <c r="J18565" s="12"/>
      <c r="K18565" s="12"/>
      <c r="L18565" s="12"/>
      <c r="M18565" s="11"/>
      <c r="N18565" s="11"/>
      <c r="O18565" s="11"/>
      <c r="P18565" s="11"/>
    </row>
    <row r="18566" spans="8:16" x14ac:dyDescent="0.25">
      <c r="H18566" s="12"/>
      <c r="I18566" s="12"/>
      <c r="J18566" s="12"/>
      <c r="K18566" s="12"/>
      <c r="L18566" s="12"/>
      <c r="M18566" s="11"/>
      <c r="N18566" s="11"/>
      <c r="O18566" s="11"/>
      <c r="P18566" s="11"/>
    </row>
    <row r="18567" spans="8:16" x14ac:dyDescent="0.25">
      <c r="H18567" s="12"/>
      <c r="I18567" s="12"/>
      <c r="J18567" s="12"/>
      <c r="K18567" s="12"/>
      <c r="L18567" s="12"/>
      <c r="M18567" s="11"/>
      <c r="N18567" s="11"/>
      <c r="O18567" s="11"/>
      <c r="P18567" s="11"/>
    </row>
    <row r="18568" spans="8:16" x14ac:dyDescent="0.25">
      <c r="H18568" s="12"/>
      <c r="I18568" s="12"/>
      <c r="J18568" s="12"/>
      <c r="K18568" s="12"/>
      <c r="L18568" s="12"/>
      <c r="M18568" s="11"/>
      <c r="N18568" s="11"/>
      <c r="O18568" s="11"/>
      <c r="P18568" s="11"/>
    </row>
    <row r="18569" spans="8:16" x14ac:dyDescent="0.25">
      <c r="H18569" s="12"/>
      <c r="I18569" s="12"/>
      <c r="J18569" s="12"/>
      <c r="K18569" s="12"/>
      <c r="L18569" s="12"/>
      <c r="M18569" s="11"/>
      <c r="N18569" s="11"/>
      <c r="O18569" s="11"/>
      <c r="P18569" s="11"/>
    </row>
    <row r="18570" spans="8:16" x14ac:dyDescent="0.25">
      <c r="H18570" s="12"/>
      <c r="I18570" s="12"/>
      <c r="J18570" s="12"/>
      <c r="K18570" s="12"/>
      <c r="L18570" s="12"/>
      <c r="M18570" s="11"/>
      <c r="N18570" s="11"/>
      <c r="O18570" s="11"/>
      <c r="P18570" s="11"/>
    </row>
    <row r="18571" spans="8:16" x14ac:dyDescent="0.25">
      <c r="H18571" s="12"/>
      <c r="I18571" s="12"/>
      <c r="J18571" s="12"/>
      <c r="K18571" s="12"/>
      <c r="L18571" s="12"/>
      <c r="M18571" s="11"/>
      <c r="N18571" s="11"/>
      <c r="O18571" s="11"/>
      <c r="P18571" s="11"/>
    </row>
    <row r="18572" spans="8:16" x14ac:dyDescent="0.25">
      <c r="H18572" s="12"/>
      <c r="I18572" s="12"/>
      <c r="J18572" s="12"/>
      <c r="K18572" s="12"/>
      <c r="L18572" s="12"/>
      <c r="M18572" s="11"/>
      <c r="N18572" s="11"/>
      <c r="O18572" s="11"/>
      <c r="P18572" s="11"/>
    </row>
    <row r="18573" spans="8:16" x14ac:dyDescent="0.25">
      <c r="H18573" s="12"/>
      <c r="I18573" s="12"/>
      <c r="J18573" s="12"/>
      <c r="K18573" s="12"/>
      <c r="L18573" s="12"/>
      <c r="M18573" s="11"/>
      <c r="N18573" s="11"/>
      <c r="O18573" s="11"/>
      <c r="P18573" s="11"/>
    </row>
    <row r="18574" spans="8:16" x14ac:dyDescent="0.25">
      <c r="H18574" s="12"/>
      <c r="I18574" s="12"/>
      <c r="J18574" s="12"/>
      <c r="K18574" s="12"/>
      <c r="L18574" s="12"/>
      <c r="M18574" s="11"/>
      <c r="N18574" s="11"/>
      <c r="O18574" s="11"/>
      <c r="P18574" s="11"/>
    </row>
    <row r="18575" spans="8:16" x14ac:dyDescent="0.25">
      <c r="H18575" s="12"/>
      <c r="I18575" s="12"/>
      <c r="J18575" s="12"/>
      <c r="K18575" s="12"/>
      <c r="L18575" s="12"/>
      <c r="M18575" s="11"/>
      <c r="N18575" s="11"/>
      <c r="O18575" s="11"/>
      <c r="P18575" s="11"/>
    </row>
    <row r="18576" spans="8:16" x14ac:dyDescent="0.25">
      <c r="H18576" s="12"/>
      <c r="I18576" s="12"/>
      <c r="J18576" s="12"/>
      <c r="K18576" s="12"/>
      <c r="L18576" s="12"/>
      <c r="M18576" s="11"/>
      <c r="N18576" s="11"/>
      <c r="O18576" s="11"/>
      <c r="P18576" s="11"/>
    </row>
    <row r="18577" spans="8:16" x14ac:dyDescent="0.25">
      <c r="H18577" s="12"/>
      <c r="I18577" s="12"/>
      <c r="J18577" s="12"/>
      <c r="K18577" s="12"/>
      <c r="L18577" s="12"/>
      <c r="M18577" s="11"/>
      <c r="N18577" s="11"/>
      <c r="O18577" s="11"/>
      <c r="P18577" s="11"/>
    </row>
    <row r="18578" spans="8:16" x14ac:dyDescent="0.25">
      <c r="H18578" s="12"/>
      <c r="I18578" s="12"/>
      <c r="J18578" s="12"/>
      <c r="K18578" s="12"/>
      <c r="L18578" s="12"/>
      <c r="M18578" s="11"/>
      <c r="N18578" s="11"/>
      <c r="O18578" s="11"/>
      <c r="P18578" s="11"/>
    </row>
    <row r="18579" spans="8:16" x14ac:dyDescent="0.25">
      <c r="H18579" s="12"/>
      <c r="I18579" s="12"/>
      <c r="J18579" s="12"/>
      <c r="K18579" s="12"/>
      <c r="L18579" s="12"/>
      <c r="M18579" s="11"/>
      <c r="N18579" s="11"/>
      <c r="O18579" s="11"/>
      <c r="P18579" s="11"/>
    </row>
    <row r="18580" spans="8:16" x14ac:dyDescent="0.25">
      <c r="H18580" s="12"/>
      <c r="I18580" s="12"/>
      <c r="J18580" s="12"/>
      <c r="K18580" s="12"/>
      <c r="L18580" s="12"/>
      <c r="M18580" s="11"/>
      <c r="N18580" s="11"/>
      <c r="O18580" s="11"/>
      <c r="P18580" s="11"/>
    </row>
    <row r="18581" spans="8:16" x14ac:dyDescent="0.25">
      <c r="H18581" s="12"/>
      <c r="I18581" s="12"/>
      <c r="J18581" s="12"/>
      <c r="K18581" s="12"/>
      <c r="L18581" s="12"/>
      <c r="M18581" s="11"/>
      <c r="N18581" s="11"/>
      <c r="O18581" s="11"/>
      <c r="P18581" s="11"/>
    </row>
    <row r="18582" spans="8:16" x14ac:dyDescent="0.25">
      <c r="H18582" s="12"/>
      <c r="I18582" s="12"/>
      <c r="J18582" s="12"/>
      <c r="K18582" s="12"/>
      <c r="L18582" s="12"/>
      <c r="M18582" s="11"/>
      <c r="N18582" s="11"/>
      <c r="O18582" s="11"/>
      <c r="P18582" s="11"/>
    </row>
    <row r="18583" spans="8:16" x14ac:dyDescent="0.25">
      <c r="H18583" s="12"/>
      <c r="I18583" s="12"/>
      <c r="J18583" s="12"/>
      <c r="K18583" s="12"/>
      <c r="L18583" s="12"/>
      <c r="M18583" s="11"/>
      <c r="N18583" s="11"/>
      <c r="O18583" s="11"/>
      <c r="P18583" s="11"/>
    </row>
    <row r="18584" spans="8:16" x14ac:dyDescent="0.25">
      <c r="H18584" s="12"/>
      <c r="I18584" s="12"/>
      <c r="J18584" s="12"/>
      <c r="K18584" s="12"/>
      <c r="L18584" s="12"/>
      <c r="M18584" s="11"/>
      <c r="N18584" s="11"/>
      <c r="O18584" s="11"/>
      <c r="P18584" s="11"/>
    </row>
    <row r="18585" spans="8:16" x14ac:dyDescent="0.25">
      <c r="H18585" s="12"/>
      <c r="I18585" s="12"/>
      <c r="J18585" s="12"/>
      <c r="K18585" s="12"/>
      <c r="L18585" s="12"/>
      <c r="M18585" s="11"/>
      <c r="N18585" s="11"/>
      <c r="O18585" s="11"/>
      <c r="P18585" s="11"/>
    </row>
    <row r="18586" spans="8:16" x14ac:dyDescent="0.25">
      <c r="H18586" s="12"/>
      <c r="I18586" s="12"/>
      <c r="J18586" s="12"/>
      <c r="K18586" s="12"/>
      <c r="L18586" s="12"/>
      <c r="M18586" s="11"/>
      <c r="N18586" s="11"/>
      <c r="O18586" s="11"/>
      <c r="P18586" s="11"/>
    </row>
    <row r="18587" spans="8:16" x14ac:dyDescent="0.25">
      <c r="H18587" s="12"/>
      <c r="I18587" s="12"/>
      <c r="J18587" s="12"/>
      <c r="K18587" s="12"/>
      <c r="L18587" s="12"/>
      <c r="M18587" s="11"/>
      <c r="N18587" s="11"/>
      <c r="O18587" s="11"/>
      <c r="P18587" s="11"/>
    </row>
    <row r="18588" spans="8:16" x14ac:dyDescent="0.25">
      <c r="H18588" s="12"/>
      <c r="I18588" s="12"/>
      <c r="J18588" s="12"/>
      <c r="K18588" s="12"/>
      <c r="L18588" s="12"/>
      <c r="M18588" s="11"/>
      <c r="N18588" s="11"/>
      <c r="O18588" s="11"/>
      <c r="P18588" s="11"/>
    </row>
    <row r="18589" spans="8:16" x14ac:dyDescent="0.25">
      <c r="H18589" s="12"/>
      <c r="I18589" s="12"/>
      <c r="J18589" s="12"/>
      <c r="K18589" s="12"/>
      <c r="L18589" s="12"/>
      <c r="M18589" s="11"/>
      <c r="N18589" s="11"/>
      <c r="O18589" s="11"/>
      <c r="P18589" s="11"/>
    </row>
    <row r="18590" spans="8:16" x14ac:dyDescent="0.25">
      <c r="H18590" s="12"/>
      <c r="I18590" s="12"/>
      <c r="J18590" s="12"/>
      <c r="K18590" s="12"/>
      <c r="L18590" s="12"/>
      <c r="M18590" s="11"/>
      <c r="N18590" s="11"/>
      <c r="O18590" s="11"/>
      <c r="P18590" s="11"/>
    </row>
    <row r="18591" spans="8:16" x14ac:dyDescent="0.25">
      <c r="H18591" s="12"/>
      <c r="I18591" s="12"/>
      <c r="J18591" s="12"/>
      <c r="K18591" s="12"/>
      <c r="L18591" s="12"/>
      <c r="M18591" s="11"/>
      <c r="N18591" s="11"/>
      <c r="O18591" s="11"/>
      <c r="P18591" s="11"/>
    </row>
    <row r="18592" spans="8:16" x14ac:dyDescent="0.25">
      <c r="H18592" s="12"/>
      <c r="I18592" s="12"/>
      <c r="J18592" s="12"/>
      <c r="K18592" s="12"/>
      <c r="L18592" s="12"/>
      <c r="M18592" s="11"/>
      <c r="N18592" s="11"/>
      <c r="O18592" s="11"/>
      <c r="P18592" s="11"/>
    </row>
    <row r="18593" spans="8:16" x14ac:dyDescent="0.25">
      <c r="H18593" s="12"/>
      <c r="I18593" s="12"/>
      <c r="J18593" s="12"/>
      <c r="K18593" s="12"/>
      <c r="L18593" s="12"/>
      <c r="M18593" s="11"/>
      <c r="N18593" s="11"/>
      <c r="O18593" s="11"/>
      <c r="P18593" s="11"/>
    </row>
    <row r="18594" spans="8:16" x14ac:dyDescent="0.25">
      <c r="H18594" s="12"/>
      <c r="I18594" s="12"/>
      <c r="J18594" s="12"/>
      <c r="K18594" s="12"/>
      <c r="L18594" s="12"/>
      <c r="M18594" s="11"/>
      <c r="N18594" s="11"/>
      <c r="O18594" s="11"/>
      <c r="P18594" s="11"/>
    </row>
    <row r="18595" spans="8:16" x14ac:dyDescent="0.25">
      <c r="H18595" s="12"/>
      <c r="I18595" s="12"/>
      <c r="J18595" s="12"/>
      <c r="K18595" s="12"/>
      <c r="L18595" s="12"/>
      <c r="M18595" s="11"/>
      <c r="N18595" s="11"/>
      <c r="O18595" s="11"/>
      <c r="P18595" s="11"/>
    </row>
    <row r="18596" spans="8:16" x14ac:dyDescent="0.25">
      <c r="H18596" s="12"/>
      <c r="I18596" s="12"/>
      <c r="J18596" s="12"/>
      <c r="K18596" s="12"/>
      <c r="L18596" s="12"/>
      <c r="M18596" s="11"/>
      <c r="N18596" s="11"/>
      <c r="O18596" s="11"/>
      <c r="P18596" s="11"/>
    </row>
    <row r="18597" spans="8:16" x14ac:dyDescent="0.25">
      <c r="H18597" s="12"/>
      <c r="I18597" s="12"/>
      <c r="J18597" s="12"/>
      <c r="K18597" s="12"/>
      <c r="L18597" s="12"/>
      <c r="M18597" s="11"/>
      <c r="N18597" s="11"/>
      <c r="O18597" s="11"/>
      <c r="P18597" s="11"/>
    </row>
    <row r="18598" spans="8:16" x14ac:dyDescent="0.25">
      <c r="H18598" s="12"/>
      <c r="I18598" s="12"/>
      <c r="J18598" s="12"/>
      <c r="K18598" s="12"/>
      <c r="L18598" s="12"/>
      <c r="M18598" s="11"/>
      <c r="N18598" s="11"/>
      <c r="O18598" s="11"/>
      <c r="P18598" s="11"/>
    </row>
    <row r="18599" spans="8:16" x14ac:dyDescent="0.25">
      <c r="H18599" s="12"/>
      <c r="I18599" s="12"/>
      <c r="J18599" s="12"/>
      <c r="K18599" s="12"/>
      <c r="L18599" s="12"/>
      <c r="M18599" s="11"/>
      <c r="N18599" s="11"/>
      <c r="O18599" s="11"/>
      <c r="P18599" s="11"/>
    </row>
    <row r="18600" spans="8:16" x14ac:dyDescent="0.25">
      <c r="H18600" s="12"/>
      <c r="I18600" s="12"/>
      <c r="J18600" s="12"/>
      <c r="K18600" s="12"/>
      <c r="L18600" s="12"/>
      <c r="M18600" s="11"/>
      <c r="N18600" s="11"/>
      <c r="O18600" s="11"/>
      <c r="P18600" s="11"/>
    </row>
    <row r="18601" spans="8:16" x14ac:dyDescent="0.25">
      <c r="H18601" s="12"/>
      <c r="I18601" s="12"/>
      <c r="J18601" s="12"/>
      <c r="K18601" s="12"/>
      <c r="L18601" s="12"/>
      <c r="M18601" s="11"/>
      <c r="N18601" s="11"/>
      <c r="O18601" s="11"/>
      <c r="P18601" s="11"/>
    </row>
    <row r="18602" spans="8:16" x14ac:dyDescent="0.25">
      <c r="H18602" s="12"/>
      <c r="I18602" s="12"/>
      <c r="J18602" s="12"/>
      <c r="K18602" s="12"/>
      <c r="L18602" s="12"/>
      <c r="M18602" s="11"/>
      <c r="N18602" s="11"/>
      <c r="O18602" s="11"/>
      <c r="P18602" s="11"/>
    </row>
    <row r="18603" spans="8:16" x14ac:dyDescent="0.25">
      <c r="H18603" s="12"/>
      <c r="I18603" s="12"/>
      <c r="J18603" s="12"/>
      <c r="K18603" s="12"/>
      <c r="L18603" s="12"/>
      <c r="M18603" s="11"/>
      <c r="N18603" s="11"/>
      <c r="O18603" s="11"/>
      <c r="P18603" s="11"/>
    </row>
    <row r="18604" spans="8:16" x14ac:dyDescent="0.25">
      <c r="H18604" s="12"/>
      <c r="I18604" s="12"/>
      <c r="J18604" s="12"/>
      <c r="K18604" s="12"/>
      <c r="L18604" s="12"/>
      <c r="M18604" s="11"/>
      <c r="N18604" s="11"/>
      <c r="O18604" s="11"/>
      <c r="P18604" s="11"/>
    </row>
    <row r="18605" spans="8:16" x14ac:dyDescent="0.25">
      <c r="H18605" s="12"/>
      <c r="I18605" s="12"/>
      <c r="J18605" s="12"/>
      <c r="K18605" s="12"/>
      <c r="L18605" s="12"/>
      <c r="M18605" s="11"/>
      <c r="N18605" s="11"/>
      <c r="O18605" s="11"/>
      <c r="P18605" s="11"/>
    </row>
    <row r="18606" spans="8:16" x14ac:dyDescent="0.25">
      <c r="H18606" s="12"/>
      <c r="I18606" s="12"/>
      <c r="J18606" s="12"/>
      <c r="K18606" s="12"/>
      <c r="L18606" s="12"/>
      <c r="M18606" s="11"/>
      <c r="N18606" s="11"/>
      <c r="O18606" s="11"/>
      <c r="P18606" s="11"/>
    </row>
    <row r="18607" spans="8:16" x14ac:dyDescent="0.25">
      <c r="H18607" s="12"/>
      <c r="I18607" s="12"/>
      <c r="J18607" s="12"/>
      <c r="K18607" s="12"/>
      <c r="L18607" s="12"/>
      <c r="M18607" s="11"/>
      <c r="N18607" s="11"/>
      <c r="O18607" s="11"/>
      <c r="P18607" s="11"/>
    </row>
    <row r="18608" spans="8:16" x14ac:dyDescent="0.25">
      <c r="H18608" s="12"/>
      <c r="I18608" s="12"/>
      <c r="J18608" s="12"/>
      <c r="K18608" s="12"/>
      <c r="L18608" s="12"/>
      <c r="M18608" s="11"/>
      <c r="N18608" s="11"/>
      <c r="O18608" s="11"/>
      <c r="P18608" s="11"/>
    </row>
    <row r="18609" spans="8:16" x14ac:dyDescent="0.25">
      <c r="H18609" s="12"/>
      <c r="I18609" s="12"/>
      <c r="J18609" s="12"/>
      <c r="K18609" s="12"/>
      <c r="L18609" s="12"/>
      <c r="M18609" s="11"/>
      <c r="N18609" s="11"/>
      <c r="O18609" s="11"/>
      <c r="P18609" s="11"/>
    </row>
    <row r="18610" spans="8:16" x14ac:dyDescent="0.25">
      <c r="H18610" s="12"/>
      <c r="I18610" s="12"/>
      <c r="J18610" s="12"/>
      <c r="K18610" s="12"/>
      <c r="L18610" s="12"/>
      <c r="M18610" s="11"/>
      <c r="N18610" s="11"/>
      <c r="O18610" s="11"/>
      <c r="P18610" s="11"/>
    </row>
    <row r="18611" spans="8:16" x14ac:dyDescent="0.25">
      <c r="H18611" s="12"/>
      <c r="I18611" s="12"/>
      <c r="J18611" s="12"/>
      <c r="K18611" s="12"/>
      <c r="L18611" s="12"/>
      <c r="M18611" s="11"/>
      <c r="N18611" s="11"/>
      <c r="O18611" s="11"/>
      <c r="P18611" s="11"/>
    </row>
    <row r="18612" spans="8:16" x14ac:dyDescent="0.25">
      <c r="H18612" s="12"/>
      <c r="I18612" s="12"/>
      <c r="J18612" s="12"/>
      <c r="K18612" s="12"/>
      <c r="L18612" s="12"/>
      <c r="M18612" s="11"/>
      <c r="N18612" s="11"/>
      <c r="O18612" s="11"/>
      <c r="P18612" s="11"/>
    </row>
    <row r="18613" spans="8:16" x14ac:dyDescent="0.25">
      <c r="H18613" s="12"/>
      <c r="I18613" s="12"/>
      <c r="J18613" s="12"/>
      <c r="K18613" s="12"/>
      <c r="L18613" s="12"/>
      <c r="M18613" s="11"/>
      <c r="N18613" s="11"/>
      <c r="O18613" s="11"/>
      <c r="P18613" s="11"/>
    </row>
    <row r="18614" spans="8:16" x14ac:dyDescent="0.25">
      <c r="H18614" s="12"/>
      <c r="I18614" s="12"/>
      <c r="J18614" s="12"/>
      <c r="K18614" s="12"/>
      <c r="L18614" s="12"/>
      <c r="M18614" s="11"/>
      <c r="N18614" s="11"/>
      <c r="O18614" s="11"/>
      <c r="P18614" s="11"/>
    </row>
    <row r="18615" spans="8:16" x14ac:dyDescent="0.25">
      <c r="H18615" s="12"/>
      <c r="I18615" s="12"/>
      <c r="J18615" s="12"/>
      <c r="K18615" s="12"/>
      <c r="L18615" s="12"/>
      <c r="M18615" s="11"/>
      <c r="N18615" s="11"/>
      <c r="O18615" s="11"/>
      <c r="P18615" s="11"/>
    </row>
    <row r="18616" spans="8:16" x14ac:dyDescent="0.25">
      <c r="H18616" s="12"/>
      <c r="I18616" s="12"/>
      <c r="J18616" s="12"/>
      <c r="K18616" s="12"/>
      <c r="L18616" s="12"/>
      <c r="M18616" s="11"/>
      <c r="N18616" s="11"/>
      <c r="O18616" s="11"/>
      <c r="P18616" s="11"/>
    </row>
    <row r="18617" spans="8:16" x14ac:dyDescent="0.25">
      <c r="H18617" s="12"/>
      <c r="I18617" s="12"/>
      <c r="J18617" s="12"/>
      <c r="K18617" s="12"/>
      <c r="L18617" s="12"/>
      <c r="M18617" s="11"/>
      <c r="N18617" s="11"/>
      <c r="O18617" s="11"/>
      <c r="P18617" s="11"/>
    </row>
    <row r="18618" spans="8:16" x14ac:dyDescent="0.25">
      <c r="H18618" s="12"/>
      <c r="I18618" s="12"/>
      <c r="J18618" s="12"/>
      <c r="K18618" s="12"/>
      <c r="L18618" s="12"/>
      <c r="M18618" s="11"/>
      <c r="N18618" s="11"/>
      <c r="O18618" s="11"/>
      <c r="P18618" s="11"/>
    </row>
    <row r="18619" spans="8:16" x14ac:dyDescent="0.25">
      <c r="H18619" s="12"/>
      <c r="I18619" s="12"/>
      <c r="J18619" s="12"/>
      <c r="K18619" s="12"/>
      <c r="L18619" s="12"/>
      <c r="M18619" s="11"/>
      <c r="N18619" s="11"/>
      <c r="O18619" s="11"/>
      <c r="P18619" s="11"/>
    </row>
    <row r="18620" spans="8:16" x14ac:dyDescent="0.25">
      <c r="H18620" s="12"/>
      <c r="I18620" s="12"/>
      <c r="J18620" s="12"/>
      <c r="K18620" s="12"/>
      <c r="L18620" s="12"/>
      <c r="M18620" s="11"/>
      <c r="N18620" s="11"/>
      <c r="O18620" s="11"/>
      <c r="P18620" s="11"/>
    </row>
    <row r="18621" spans="8:16" x14ac:dyDescent="0.25">
      <c r="H18621" s="12"/>
      <c r="I18621" s="12"/>
      <c r="J18621" s="12"/>
      <c r="K18621" s="12"/>
      <c r="L18621" s="12"/>
      <c r="M18621" s="11"/>
      <c r="N18621" s="11"/>
      <c r="O18621" s="11"/>
      <c r="P18621" s="11"/>
    </row>
    <row r="18622" spans="8:16" x14ac:dyDescent="0.25">
      <c r="H18622" s="12"/>
      <c r="I18622" s="12"/>
      <c r="J18622" s="12"/>
      <c r="K18622" s="12"/>
      <c r="L18622" s="12"/>
      <c r="M18622" s="11"/>
      <c r="N18622" s="11"/>
      <c r="O18622" s="11"/>
      <c r="P18622" s="11"/>
    </row>
    <row r="18623" spans="8:16" x14ac:dyDescent="0.25">
      <c r="H18623" s="12"/>
      <c r="I18623" s="12"/>
      <c r="J18623" s="12"/>
      <c r="K18623" s="12"/>
      <c r="L18623" s="12"/>
      <c r="M18623" s="11"/>
      <c r="N18623" s="11"/>
      <c r="O18623" s="11"/>
      <c r="P18623" s="11"/>
    </row>
    <row r="18624" spans="8:16" x14ac:dyDescent="0.25">
      <c r="H18624" s="12"/>
      <c r="I18624" s="12"/>
      <c r="J18624" s="12"/>
      <c r="K18624" s="12"/>
      <c r="L18624" s="12"/>
      <c r="M18624" s="11"/>
      <c r="N18624" s="11"/>
      <c r="O18624" s="11"/>
      <c r="P18624" s="11"/>
    </row>
    <row r="18625" spans="8:16" x14ac:dyDescent="0.25">
      <c r="H18625" s="12"/>
      <c r="I18625" s="12"/>
      <c r="J18625" s="12"/>
      <c r="K18625" s="12"/>
      <c r="L18625" s="12"/>
      <c r="M18625" s="11"/>
      <c r="N18625" s="11"/>
      <c r="O18625" s="11"/>
      <c r="P18625" s="11"/>
    </row>
    <row r="18626" spans="8:16" x14ac:dyDescent="0.25">
      <c r="H18626" s="12"/>
      <c r="I18626" s="12"/>
      <c r="J18626" s="12"/>
      <c r="K18626" s="12"/>
      <c r="L18626" s="12"/>
      <c r="M18626" s="11"/>
      <c r="N18626" s="11"/>
      <c r="O18626" s="11"/>
      <c r="P18626" s="11"/>
    </row>
    <row r="18627" spans="8:16" x14ac:dyDescent="0.25">
      <c r="H18627" s="12"/>
      <c r="I18627" s="12"/>
      <c r="J18627" s="12"/>
      <c r="K18627" s="12"/>
      <c r="L18627" s="12"/>
      <c r="M18627" s="11"/>
      <c r="N18627" s="11"/>
      <c r="O18627" s="11"/>
      <c r="P18627" s="11"/>
    </row>
    <row r="18628" spans="8:16" x14ac:dyDescent="0.25">
      <c r="H18628" s="12"/>
      <c r="I18628" s="12"/>
      <c r="J18628" s="12"/>
      <c r="K18628" s="12"/>
      <c r="L18628" s="12"/>
      <c r="M18628" s="11"/>
      <c r="N18628" s="11"/>
      <c r="O18628" s="11"/>
      <c r="P18628" s="11"/>
    </row>
    <row r="18629" spans="8:16" x14ac:dyDescent="0.25">
      <c r="H18629" s="12"/>
      <c r="I18629" s="12"/>
      <c r="J18629" s="12"/>
      <c r="K18629" s="12"/>
      <c r="L18629" s="12"/>
      <c r="M18629" s="11"/>
      <c r="N18629" s="11"/>
      <c r="O18629" s="11"/>
      <c r="P18629" s="11"/>
    </row>
    <row r="18630" spans="8:16" x14ac:dyDescent="0.25">
      <c r="H18630" s="12"/>
      <c r="I18630" s="12"/>
      <c r="J18630" s="12"/>
      <c r="K18630" s="12"/>
      <c r="L18630" s="12"/>
      <c r="M18630" s="11"/>
      <c r="N18630" s="11"/>
      <c r="O18630" s="11"/>
      <c r="P18630" s="11"/>
    </row>
    <row r="18631" spans="8:16" x14ac:dyDescent="0.25">
      <c r="H18631" s="12"/>
      <c r="I18631" s="12"/>
      <c r="J18631" s="12"/>
      <c r="K18631" s="12"/>
      <c r="L18631" s="12"/>
      <c r="M18631" s="11"/>
      <c r="N18631" s="11"/>
      <c r="O18631" s="11"/>
      <c r="P18631" s="11"/>
    </row>
    <row r="18632" spans="8:16" x14ac:dyDescent="0.25">
      <c r="H18632" s="12"/>
      <c r="I18632" s="12"/>
      <c r="J18632" s="12"/>
      <c r="K18632" s="12"/>
      <c r="L18632" s="12"/>
      <c r="M18632" s="11"/>
      <c r="N18632" s="11"/>
      <c r="O18632" s="11"/>
      <c r="P18632" s="11"/>
    </row>
    <row r="18633" spans="8:16" x14ac:dyDescent="0.25">
      <c r="H18633" s="12"/>
      <c r="I18633" s="12"/>
      <c r="J18633" s="12"/>
      <c r="K18633" s="12"/>
      <c r="L18633" s="12"/>
      <c r="M18633" s="11"/>
      <c r="N18633" s="11"/>
      <c r="O18633" s="11"/>
      <c r="P18633" s="11"/>
    </row>
    <row r="18634" spans="8:16" x14ac:dyDescent="0.25">
      <c r="H18634" s="12"/>
      <c r="I18634" s="12"/>
      <c r="J18634" s="12"/>
      <c r="K18634" s="12"/>
      <c r="L18634" s="12"/>
      <c r="M18634" s="11"/>
      <c r="N18634" s="11"/>
      <c r="O18634" s="11"/>
      <c r="P18634" s="11"/>
    </row>
    <row r="18635" spans="8:16" x14ac:dyDescent="0.25">
      <c r="H18635" s="12"/>
      <c r="I18635" s="12"/>
      <c r="J18635" s="12"/>
      <c r="K18635" s="12"/>
      <c r="L18635" s="12"/>
      <c r="M18635" s="11"/>
      <c r="N18635" s="11"/>
      <c r="O18635" s="11"/>
      <c r="P18635" s="11"/>
    </row>
    <row r="18636" spans="8:16" x14ac:dyDescent="0.25">
      <c r="H18636" s="12"/>
      <c r="I18636" s="12"/>
      <c r="J18636" s="12"/>
      <c r="K18636" s="12"/>
      <c r="L18636" s="12"/>
      <c r="M18636" s="11"/>
      <c r="N18636" s="11"/>
      <c r="O18636" s="11"/>
      <c r="P18636" s="11"/>
    </row>
    <row r="18637" spans="8:16" x14ac:dyDescent="0.25">
      <c r="H18637" s="12"/>
      <c r="I18637" s="12"/>
      <c r="J18637" s="12"/>
      <c r="K18637" s="12"/>
      <c r="L18637" s="12"/>
      <c r="M18637" s="11"/>
      <c r="N18637" s="11"/>
      <c r="O18637" s="11"/>
      <c r="P18637" s="11"/>
    </row>
    <row r="18638" spans="8:16" x14ac:dyDescent="0.25">
      <c r="H18638" s="12"/>
      <c r="I18638" s="12"/>
      <c r="J18638" s="12"/>
      <c r="K18638" s="12"/>
      <c r="L18638" s="12"/>
      <c r="M18638" s="11"/>
      <c r="N18638" s="11"/>
      <c r="O18638" s="11"/>
      <c r="P18638" s="11"/>
    </row>
    <row r="18639" spans="8:16" x14ac:dyDescent="0.25">
      <c r="H18639" s="12"/>
      <c r="I18639" s="12"/>
      <c r="J18639" s="12"/>
      <c r="K18639" s="12"/>
      <c r="L18639" s="12"/>
      <c r="M18639" s="11"/>
      <c r="N18639" s="11"/>
      <c r="O18639" s="11"/>
      <c r="P18639" s="11"/>
    </row>
    <row r="18640" spans="8:16" x14ac:dyDescent="0.25">
      <c r="H18640" s="12"/>
      <c r="I18640" s="12"/>
      <c r="J18640" s="12"/>
      <c r="K18640" s="12"/>
      <c r="L18640" s="12"/>
      <c r="M18640" s="11"/>
      <c r="N18640" s="11"/>
      <c r="O18640" s="11"/>
      <c r="P18640" s="11"/>
    </row>
    <row r="18641" spans="8:16" x14ac:dyDescent="0.25">
      <c r="H18641" s="12"/>
      <c r="I18641" s="12"/>
      <c r="J18641" s="12"/>
      <c r="K18641" s="12"/>
      <c r="L18641" s="12"/>
      <c r="M18641" s="11"/>
      <c r="N18641" s="11"/>
      <c r="O18641" s="11"/>
      <c r="P18641" s="11"/>
    </row>
    <row r="18642" spans="8:16" x14ac:dyDescent="0.25">
      <c r="H18642" s="12"/>
      <c r="I18642" s="12"/>
      <c r="J18642" s="12"/>
      <c r="K18642" s="12"/>
      <c r="L18642" s="12"/>
      <c r="M18642" s="11"/>
      <c r="N18642" s="11"/>
      <c r="O18642" s="11"/>
      <c r="P18642" s="11"/>
    </row>
    <row r="18643" spans="8:16" x14ac:dyDescent="0.25">
      <c r="H18643" s="12"/>
      <c r="I18643" s="12"/>
      <c r="J18643" s="12"/>
      <c r="K18643" s="12"/>
      <c r="L18643" s="12"/>
      <c r="M18643" s="11"/>
      <c r="N18643" s="11"/>
      <c r="O18643" s="11"/>
      <c r="P18643" s="11"/>
    </row>
    <row r="18644" spans="8:16" x14ac:dyDescent="0.25">
      <c r="H18644" s="12"/>
      <c r="I18644" s="12"/>
      <c r="J18644" s="12"/>
      <c r="K18644" s="12"/>
      <c r="L18644" s="12"/>
      <c r="M18644" s="11"/>
      <c r="N18644" s="11"/>
      <c r="O18644" s="11"/>
      <c r="P18644" s="11"/>
    </row>
    <row r="18645" spans="8:16" x14ac:dyDescent="0.25">
      <c r="H18645" s="12"/>
      <c r="I18645" s="12"/>
      <c r="J18645" s="12"/>
      <c r="K18645" s="12"/>
      <c r="L18645" s="12"/>
      <c r="M18645" s="11"/>
      <c r="N18645" s="11"/>
      <c r="O18645" s="11"/>
      <c r="P18645" s="11"/>
    </row>
    <row r="18646" spans="8:16" x14ac:dyDescent="0.25">
      <c r="H18646" s="12"/>
      <c r="I18646" s="12"/>
      <c r="J18646" s="12"/>
      <c r="K18646" s="12"/>
      <c r="L18646" s="12"/>
      <c r="M18646" s="11"/>
      <c r="N18646" s="11"/>
      <c r="O18646" s="11"/>
      <c r="P18646" s="11"/>
    </row>
    <row r="18647" spans="8:16" x14ac:dyDescent="0.25">
      <c r="H18647" s="12"/>
      <c r="I18647" s="12"/>
      <c r="J18647" s="12"/>
      <c r="K18647" s="12"/>
      <c r="L18647" s="12"/>
      <c r="M18647" s="11"/>
      <c r="N18647" s="11"/>
      <c r="O18647" s="11"/>
      <c r="P18647" s="11"/>
    </row>
    <row r="18648" spans="8:16" x14ac:dyDescent="0.25">
      <c r="H18648" s="12"/>
      <c r="I18648" s="12"/>
      <c r="J18648" s="12"/>
      <c r="K18648" s="12"/>
      <c r="L18648" s="12"/>
      <c r="M18648" s="11"/>
      <c r="N18648" s="11"/>
      <c r="O18648" s="11"/>
      <c r="P18648" s="11"/>
    </row>
    <row r="18649" spans="8:16" x14ac:dyDescent="0.25">
      <c r="H18649" s="12"/>
      <c r="I18649" s="12"/>
      <c r="J18649" s="12"/>
      <c r="K18649" s="12"/>
      <c r="L18649" s="12"/>
      <c r="M18649" s="11"/>
      <c r="N18649" s="11"/>
      <c r="O18649" s="11"/>
      <c r="P18649" s="11"/>
    </row>
    <row r="18650" spans="8:16" x14ac:dyDescent="0.25">
      <c r="H18650" s="12"/>
      <c r="I18650" s="12"/>
      <c r="J18650" s="12"/>
      <c r="K18650" s="12"/>
      <c r="L18650" s="12"/>
      <c r="M18650" s="11"/>
      <c r="N18650" s="11"/>
      <c r="O18650" s="11"/>
      <c r="P18650" s="11"/>
    </row>
    <row r="18651" spans="8:16" x14ac:dyDescent="0.25">
      <c r="H18651" s="12"/>
      <c r="I18651" s="12"/>
      <c r="J18651" s="12"/>
      <c r="K18651" s="12"/>
      <c r="L18651" s="12"/>
      <c r="M18651" s="11"/>
      <c r="N18651" s="11"/>
      <c r="O18651" s="11"/>
      <c r="P18651" s="11"/>
    </row>
    <row r="18652" spans="8:16" x14ac:dyDescent="0.25">
      <c r="H18652" s="12"/>
      <c r="I18652" s="12"/>
      <c r="J18652" s="12"/>
      <c r="K18652" s="12"/>
      <c r="L18652" s="12"/>
      <c r="M18652" s="11"/>
      <c r="N18652" s="11"/>
      <c r="O18652" s="11"/>
      <c r="P18652" s="11"/>
    </row>
    <row r="18653" spans="8:16" x14ac:dyDescent="0.25">
      <c r="H18653" s="12"/>
      <c r="I18653" s="12"/>
      <c r="J18653" s="12"/>
      <c r="K18653" s="12"/>
      <c r="L18653" s="12"/>
      <c r="M18653" s="11"/>
      <c r="N18653" s="11"/>
      <c r="O18653" s="11"/>
      <c r="P18653" s="11"/>
    </row>
    <row r="18654" spans="8:16" x14ac:dyDescent="0.25">
      <c r="H18654" s="12"/>
      <c r="I18654" s="12"/>
      <c r="J18654" s="12"/>
      <c r="K18654" s="12"/>
      <c r="L18654" s="12"/>
      <c r="M18654" s="11"/>
      <c r="N18654" s="11"/>
      <c r="O18654" s="11"/>
      <c r="P18654" s="11"/>
    </row>
    <row r="18655" spans="8:16" x14ac:dyDescent="0.25">
      <c r="H18655" s="12"/>
      <c r="I18655" s="12"/>
      <c r="J18655" s="12"/>
      <c r="K18655" s="12"/>
      <c r="L18655" s="12"/>
      <c r="M18655" s="11"/>
      <c r="N18655" s="11"/>
      <c r="O18655" s="11"/>
      <c r="P18655" s="11"/>
    </row>
    <row r="18656" spans="8:16" x14ac:dyDescent="0.25">
      <c r="H18656" s="12"/>
      <c r="I18656" s="12"/>
      <c r="J18656" s="12"/>
      <c r="K18656" s="12"/>
      <c r="L18656" s="12"/>
      <c r="M18656" s="11"/>
      <c r="N18656" s="11"/>
      <c r="O18656" s="11"/>
      <c r="P18656" s="11"/>
    </row>
    <row r="18657" spans="8:16" x14ac:dyDescent="0.25">
      <c r="H18657" s="12"/>
      <c r="I18657" s="12"/>
      <c r="J18657" s="12"/>
      <c r="K18657" s="12"/>
      <c r="L18657" s="12"/>
      <c r="M18657" s="11"/>
      <c r="N18657" s="11"/>
      <c r="O18657" s="11"/>
      <c r="P18657" s="11"/>
    </row>
    <row r="18658" spans="8:16" x14ac:dyDescent="0.25">
      <c r="H18658" s="12"/>
      <c r="I18658" s="12"/>
      <c r="J18658" s="12"/>
      <c r="K18658" s="12"/>
      <c r="L18658" s="12"/>
      <c r="M18658" s="11"/>
      <c r="N18658" s="11"/>
      <c r="O18658" s="11"/>
      <c r="P18658" s="11"/>
    </row>
    <row r="18659" spans="8:16" x14ac:dyDescent="0.25">
      <c r="H18659" s="12"/>
      <c r="I18659" s="12"/>
      <c r="J18659" s="12"/>
      <c r="K18659" s="12"/>
      <c r="L18659" s="12"/>
      <c r="M18659" s="11"/>
      <c r="N18659" s="11"/>
      <c r="O18659" s="11"/>
      <c r="P18659" s="11"/>
    </row>
    <row r="18660" spans="8:16" x14ac:dyDescent="0.25">
      <c r="H18660" s="12"/>
      <c r="I18660" s="12"/>
      <c r="J18660" s="12"/>
      <c r="K18660" s="12"/>
      <c r="L18660" s="12"/>
      <c r="M18660" s="11"/>
      <c r="N18660" s="11"/>
      <c r="O18660" s="11"/>
      <c r="P18660" s="11"/>
    </row>
    <row r="18661" spans="8:16" x14ac:dyDescent="0.25">
      <c r="H18661" s="12"/>
      <c r="I18661" s="12"/>
      <c r="J18661" s="12"/>
      <c r="K18661" s="12"/>
      <c r="L18661" s="12"/>
      <c r="M18661" s="11"/>
      <c r="N18661" s="11"/>
      <c r="O18661" s="11"/>
      <c r="P18661" s="11"/>
    </row>
    <row r="18662" spans="8:16" x14ac:dyDescent="0.25">
      <c r="H18662" s="12"/>
      <c r="I18662" s="12"/>
      <c r="J18662" s="12"/>
      <c r="K18662" s="12"/>
      <c r="L18662" s="12"/>
      <c r="M18662" s="11"/>
      <c r="N18662" s="11"/>
      <c r="O18662" s="11"/>
      <c r="P18662" s="11"/>
    </row>
    <row r="18663" spans="8:16" x14ac:dyDescent="0.25">
      <c r="H18663" s="12"/>
      <c r="I18663" s="12"/>
      <c r="J18663" s="12"/>
      <c r="K18663" s="12"/>
      <c r="L18663" s="12"/>
      <c r="M18663" s="11"/>
      <c r="N18663" s="11"/>
      <c r="O18663" s="11"/>
      <c r="P18663" s="11"/>
    </row>
    <row r="18664" spans="8:16" x14ac:dyDescent="0.25">
      <c r="H18664" s="12"/>
      <c r="I18664" s="12"/>
      <c r="J18664" s="12"/>
      <c r="K18664" s="12"/>
      <c r="L18664" s="12"/>
      <c r="M18664" s="11"/>
      <c r="N18664" s="11"/>
      <c r="O18664" s="11"/>
      <c r="P18664" s="11"/>
    </row>
    <row r="18665" spans="8:16" x14ac:dyDescent="0.25">
      <c r="H18665" s="12"/>
      <c r="I18665" s="12"/>
      <c r="J18665" s="12"/>
      <c r="K18665" s="12"/>
      <c r="L18665" s="12"/>
      <c r="M18665" s="11"/>
      <c r="N18665" s="11"/>
      <c r="O18665" s="11"/>
      <c r="P18665" s="11"/>
    </row>
    <row r="18666" spans="8:16" x14ac:dyDescent="0.25">
      <c r="H18666" s="12"/>
      <c r="I18666" s="12"/>
      <c r="J18666" s="12"/>
      <c r="K18666" s="12"/>
      <c r="L18666" s="12"/>
      <c r="M18666" s="11"/>
      <c r="N18666" s="11"/>
      <c r="O18666" s="11"/>
      <c r="P18666" s="11"/>
    </row>
    <row r="18667" spans="8:16" x14ac:dyDescent="0.25">
      <c r="H18667" s="12"/>
      <c r="I18667" s="12"/>
      <c r="J18667" s="12"/>
      <c r="K18667" s="12"/>
      <c r="L18667" s="12"/>
      <c r="M18667" s="11"/>
      <c r="N18667" s="11"/>
      <c r="O18667" s="11"/>
      <c r="P18667" s="11"/>
    </row>
    <row r="18668" spans="8:16" x14ac:dyDescent="0.25">
      <c r="H18668" s="12"/>
      <c r="I18668" s="12"/>
      <c r="J18668" s="12"/>
      <c r="K18668" s="12"/>
      <c r="L18668" s="12"/>
      <c r="M18668" s="11"/>
      <c r="N18668" s="11"/>
      <c r="O18668" s="11"/>
      <c r="P18668" s="11"/>
    </row>
    <row r="18669" spans="8:16" x14ac:dyDescent="0.25">
      <c r="H18669" s="12"/>
      <c r="I18669" s="12"/>
      <c r="J18669" s="12"/>
      <c r="K18669" s="12"/>
      <c r="L18669" s="12"/>
      <c r="M18669" s="11"/>
      <c r="N18669" s="11"/>
      <c r="O18669" s="11"/>
      <c r="P18669" s="11"/>
    </row>
    <row r="18670" spans="8:16" x14ac:dyDescent="0.25">
      <c r="H18670" s="12"/>
      <c r="I18670" s="12"/>
      <c r="J18670" s="12"/>
      <c r="K18670" s="12"/>
      <c r="L18670" s="12"/>
      <c r="M18670" s="11"/>
      <c r="N18670" s="11"/>
      <c r="O18670" s="11"/>
      <c r="P18670" s="11"/>
    </row>
    <row r="18671" spans="8:16" x14ac:dyDescent="0.25">
      <c r="H18671" s="12"/>
      <c r="I18671" s="12"/>
      <c r="J18671" s="12"/>
      <c r="K18671" s="12"/>
      <c r="L18671" s="12"/>
      <c r="M18671" s="11"/>
      <c r="N18671" s="11"/>
      <c r="O18671" s="11"/>
      <c r="P18671" s="11"/>
    </row>
    <row r="18672" spans="8:16" x14ac:dyDescent="0.25">
      <c r="H18672" s="12"/>
      <c r="I18672" s="12"/>
      <c r="J18672" s="12"/>
      <c r="K18672" s="12"/>
      <c r="L18672" s="12"/>
      <c r="M18672" s="11"/>
      <c r="N18672" s="11"/>
      <c r="O18672" s="11"/>
      <c r="P18672" s="11"/>
    </row>
    <row r="18673" spans="8:16" x14ac:dyDescent="0.25">
      <c r="H18673" s="12"/>
      <c r="I18673" s="12"/>
      <c r="J18673" s="12"/>
      <c r="K18673" s="12"/>
      <c r="L18673" s="12"/>
      <c r="M18673" s="11"/>
      <c r="N18673" s="11"/>
      <c r="O18673" s="11"/>
      <c r="P18673" s="11"/>
    </row>
    <row r="18674" spans="8:16" x14ac:dyDescent="0.25">
      <c r="H18674" s="12"/>
      <c r="I18674" s="12"/>
      <c r="J18674" s="12"/>
      <c r="K18674" s="12"/>
      <c r="L18674" s="12"/>
      <c r="M18674" s="11"/>
      <c r="N18674" s="11"/>
      <c r="O18674" s="11"/>
      <c r="P18674" s="11"/>
    </row>
    <row r="18675" spans="8:16" x14ac:dyDescent="0.25">
      <c r="H18675" s="12"/>
      <c r="I18675" s="12"/>
      <c r="J18675" s="12"/>
      <c r="K18675" s="12"/>
      <c r="L18675" s="12"/>
      <c r="M18675" s="11"/>
      <c r="N18675" s="11"/>
      <c r="O18675" s="11"/>
      <c r="P18675" s="11"/>
    </row>
    <row r="18676" spans="8:16" x14ac:dyDescent="0.25">
      <c r="H18676" s="12"/>
      <c r="I18676" s="12"/>
      <c r="J18676" s="12"/>
      <c r="K18676" s="12"/>
      <c r="L18676" s="12"/>
      <c r="M18676" s="11"/>
      <c r="N18676" s="11"/>
      <c r="O18676" s="11"/>
      <c r="P18676" s="11"/>
    </row>
    <row r="18677" spans="8:16" x14ac:dyDescent="0.25">
      <c r="H18677" s="12"/>
      <c r="I18677" s="12"/>
      <c r="J18677" s="12"/>
      <c r="K18677" s="12"/>
      <c r="L18677" s="12"/>
      <c r="M18677" s="11"/>
      <c r="N18677" s="11"/>
      <c r="O18677" s="11"/>
      <c r="P18677" s="11"/>
    </row>
    <row r="18678" spans="8:16" x14ac:dyDescent="0.25">
      <c r="H18678" s="12"/>
      <c r="I18678" s="12"/>
      <c r="J18678" s="12"/>
      <c r="K18678" s="12"/>
      <c r="L18678" s="12"/>
      <c r="M18678" s="11"/>
      <c r="N18678" s="11"/>
      <c r="O18678" s="11"/>
      <c r="P18678" s="11"/>
    </row>
    <row r="18679" spans="8:16" x14ac:dyDescent="0.25">
      <c r="H18679" s="12"/>
      <c r="I18679" s="12"/>
      <c r="J18679" s="12"/>
      <c r="K18679" s="12"/>
      <c r="L18679" s="12"/>
      <c r="M18679" s="11"/>
      <c r="N18679" s="11"/>
      <c r="O18679" s="11"/>
      <c r="P18679" s="11"/>
    </row>
    <row r="18680" spans="8:16" x14ac:dyDescent="0.25">
      <c r="H18680" s="12"/>
      <c r="I18680" s="12"/>
      <c r="J18680" s="12"/>
      <c r="K18680" s="12"/>
      <c r="L18680" s="12"/>
      <c r="M18680" s="11"/>
      <c r="N18680" s="11"/>
      <c r="O18680" s="11"/>
      <c r="P18680" s="11"/>
    </row>
    <row r="18681" spans="8:16" x14ac:dyDescent="0.25">
      <c r="H18681" s="12"/>
      <c r="I18681" s="12"/>
      <c r="J18681" s="12"/>
      <c r="K18681" s="12"/>
      <c r="L18681" s="12"/>
      <c r="M18681" s="11"/>
      <c r="N18681" s="11"/>
      <c r="O18681" s="11"/>
      <c r="P18681" s="11"/>
    </row>
    <row r="18682" spans="8:16" x14ac:dyDescent="0.25">
      <c r="H18682" s="12"/>
      <c r="I18682" s="12"/>
      <c r="J18682" s="12"/>
      <c r="K18682" s="12"/>
      <c r="L18682" s="12"/>
      <c r="M18682" s="11"/>
      <c r="N18682" s="11"/>
      <c r="O18682" s="11"/>
      <c r="P18682" s="11"/>
    </row>
    <row r="18683" spans="8:16" x14ac:dyDescent="0.25">
      <c r="H18683" s="12"/>
      <c r="I18683" s="12"/>
      <c r="J18683" s="12"/>
      <c r="K18683" s="12"/>
      <c r="L18683" s="12"/>
      <c r="M18683" s="11"/>
      <c r="N18683" s="11"/>
      <c r="O18683" s="11"/>
      <c r="P18683" s="11"/>
    </row>
    <row r="18684" spans="8:16" x14ac:dyDescent="0.25">
      <c r="H18684" s="12"/>
      <c r="I18684" s="12"/>
      <c r="J18684" s="12"/>
      <c r="K18684" s="12"/>
      <c r="L18684" s="12"/>
      <c r="M18684" s="11"/>
      <c r="N18684" s="11"/>
      <c r="O18684" s="11"/>
      <c r="P18684" s="11"/>
    </row>
    <row r="18685" spans="8:16" x14ac:dyDescent="0.25">
      <c r="H18685" s="12"/>
      <c r="I18685" s="12"/>
      <c r="J18685" s="12"/>
      <c r="K18685" s="12"/>
      <c r="L18685" s="12"/>
      <c r="M18685" s="11"/>
      <c r="N18685" s="11"/>
      <c r="O18685" s="11"/>
      <c r="P18685" s="11"/>
    </row>
    <row r="18686" spans="8:16" x14ac:dyDescent="0.25">
      <c r="H18686" s="12"/>
      <c r="I18686" s="12"/>
      <c r="J18686" s="12"/>
      <c r="K18686" s="12"/>
      <c r="L18686" s="12"/>
      <c r="M18686" s="11"/>
      <c r="N18686" s="11"/>
      <c r="O18686" s="11"/>
      <c r="P18686" s="11"/>
    </row>
    <row r="18687" spans="8:16" x14ac:dyDescent="0.25">
      <c r="H18687" s="12"/>
      <c r="I18687" s="12"/>
      <c r="J18687" s="12"/>
      <c r="K18687" s="12"/>
      <c r="L18687" s="12"/>
      <c r="M18687" s="11"/>
      <c r="N18687" s="11"/>
      <c r="O18687" s="11"/>
      <c r="P18687" s="11"/>
    </row>
    <row r="18688" spans="8:16" x14ac:dyDescent="0.25">
      <c r="H18688" s="12"/>
      <c r="I18688" s="12"/>
      <c r="J18688" s="12"/>
      <c r="K18688" s="12"/>
      <c r="L18688" s="12"/>
      <c r="M18688" s="11"/>
      <c r="N18688" s="11"/>
      <c r="O18688" s="11"/>
      <c r="P18688" s="11"/>
    </row>
    <row r="18689" spans="8:16" x14ac:dyDescent="0.25">
      <c r="H18689" s="12"/>
      <c r="I18689" s="12"/>
      <c r="J18689" s="12"/>
      <c r="K18689" s="12"/>
      <c r="L18689" s="12"/>
      <c r="M18689" s="11"/>
      <c r="N18689" s="11"/>
      <c r="O18689" s="11"/>
      <c r="P18689" s="11"/>
    </row>
    <row r="18690" spans="8:16" x14ac:dyDescent="0.25">
      <c r="H18690" s="12"/>
      <c r="I18690" s="12"/>
      <c r="J18690" s="12"/>
      <c r="K18690" s="12"/>
      <c r="L18690" s="12"/>
      <c r="M18690" s="11"/>
      <c r="N18690" s="11"/>
      <c r="O18690" s="11"/>
      <c r="P18690" s="11"/>
    </row>
    <row r="18691" spans="8:16" x14ac:dyDescent="0.25">
      <c r="H18691" s="12"/>
      <c r="I18691" s="12"/>
      <c r="J18691" s="12"/>
      <c r="K18691" s="12"/>
      <c r="L18691" s="12"/>
      <c r="M18691" s="11"/>
      <c r="N18691" s="11"/>
      <c r="O18691" s="11"/>
      <c r="P18691" s="11"/>
    </row>
    <row r="18692" spans="8:16" x14ac:dyDescent="0.25">
      <c r="H18692" s="12"/>
      <c r="I18692" s="12"/>
      <c r="J18692" s="12"/>
      <c r="K18692" s="12"/>
      <c r="L18692" s="12"/>
      <c r="M18692" s="11"/>
      <c r="N18692" s="11"/>
      <c r="O18692" s="11"/>
      <c r="P18692" s="11"/>
    </row>
    <row r="18693" spans="8:16" x14ac:dyDescent="0.25">
      <c r="H18693" s="12"/>
      <c r="I18693" s="12"/>
      <c r="J18693" s="12"/>
      <c r="K18693" s="12"/>
      <c r="L18693" s="12"/>
      <c r="M18693" s="11"/>
      <c r="N18693" s="11"/>
      <c r="O18693" s="11"/>
      <c r="P18693" s="11"/>
    </row>
    <row r="18694" spans="8:16" x14ac:dyDescent="0.25">
      <c r="H18694" s="12"/>
      <c r="I18694" s="12"/>
      <c r="J18694" s="12"/>
      <c r="K18694" s="12"/>
      <c r="L18694" s="12"/>
      <c r="M18694" s="11"/>
      <c r="N18694" s="11"/>
      <c r="O18694" s="11"/>
      <c r="P18694" s="11"/>
    </row>
    <row r="18695" spans="8:16" x14ac:dyDescent="0.25">
      <c r="H18695" s="12"/>
      <c r="I18695" s="12"/>
      <c r="J18695" s="12"/>
      <c r="K18695" s="12"/>
      <c r="L18695" s="12"/>
      <c r="M18695" s="11"/>
      <c r="N18695" s="11"/>
      <c r="O18695" s="11"/>
      <c r="P18695" s="11"/>
    </row>
    <row r="18696" spans="8:16" x14ac:dyDescent="0.25">
      <c r="H18696" s="12"/>
      <c r="I18696" s="12"/>
      <c r="J18696" s="12"/>
      <c r="K18696" s="12"/>
      <c r="L18696" s="12"/>
      <c r="M18696" s="11"/>
      <c r="N18696" s="11"/>
      <c r="O18696" s="11"/>
      <c r="P18696" s="11"/>
    </row>
    <row r="18697" spans="8:16" x14ac:dyDescent="0.25">
      <c r="H18697" s="12"/>
      <c r="I18697" s="12"/>
      <c r="J18697" s="12"/>
      <c r="K18697" s="12"/>
      <c r="L18697" s="12"/>
      <c r="M18697" s="11"/>
      <c r="N18697" s="11"/>
      <c r="O18697" s="11"/>
      <c r="P18697" s="11"/>
    </row>
    <row r="18698" spans="8:16" x14ac:dyDescent="0.25">
      <c r="H18698" s="12"/>
      <c r="I18698" s="12"/>
      <c r="J18698" s="12"/>
      <c r="K18698" s="12"/>
      <c r="L18698" s="12"/>
      <c r="M18698" s="11"/>
      <c r="N18698" s="11"/>
      <c r="O18698" s="11"/>
      <c r="P18698" s="11"/>
    </row>
    <row r="18699" spans="8:16" x14ac:dyDescent="0.25">
      <c r="H18699" s="12"/>
      <c r="I18699" s="12"/>
      <c r="J18699" s="12"/>
      <c r="K18699" s="12"/>
      <c r="L18699" s="12"/>
      <c r="M18699" s="11"/>
      <c r="N18699" s="11"/>
      <c r="O18699" s="11"/>
      <c r="P18699" s="11"/>
    </row>
    <row r="18700" spans="8:16" x14ac:dyDescent="0.25">
      <c r="H18700" s="12"/>
      <c r="I18700" s="12"/>
      <c r="J18700" s="12"/>
      <c r="K18700" s="12"/>
      <c r="L18700" s="12"/>
      <c r="M18700" s="11"/>
      <c r="N18700" s="11"/>
      <c r="O18700" s="11"/>
      <c r="P18700" s="11"/>
    </row>
    <row r="18701" spans="8:16" x14ac:dyDescent="0.25">
      <c r="H18701" s="12"/>
      <c r="I18701" s="12"/>
      <c r="J18701" s="12"/>
      <c r="K18701" s="12"/>
      <c r="L18701" s="12"/>
      <c r="M18701" s="11"/>
      <c r="N18701" s="11"/>
      <c r="O18701" s="11"/>
      <c r="P18701" s="11"/>
    </row>
    <row r="18702" spans="8:16" x14ac:dyDescent="0.25">
      <c r="H18702" s="12"/>
      <c r="I18702" s="12"/>
      <c r="J18702" s="12"/>
      <c r="K18702" s="12"/>
      <c r="L18702" s="12"/>
      <c r="M18702" s="11"/>
      <c r="N18702" s="11"/>
      <c r="O18702" s="11"/>
      <c r="P18702" s="11"/>
    </row>
    <row r="18703" spans="8:16" x14ac:dyDescent="0.25">
      <c r="H18703" s="12"/>
      <c r="I18703" s="12"/>
      <c r="J18703" s="12"/>
      <c r="K18703" s="12"/>
      <c r="L18703" s="12"/>
      <c r="M18703" s="11"/>
      <c r="N18703" s="11"/>
      <c r="O18703" s="11"/>
      <c r="P18703" s="11"/>
    </row>
    <row r="18704" spans="8:16" x14ac:dyDescent="0.25">
      <c r="H18704" s="12"/>
      <c r="I18704" s="12"/>
      <c r="J18704" s="12"/>
      <c r="K18704" s="12"/>
      <c r="L18704" s="12"/>
      <c r="M18704" s="11"/>
      <c r="N18704" s="11"/>
      <c r="O18704" s="11"/>
      <c r="P18704" s="11"/>
    </row>
    <row r="18705" spans="8:16" x14ac:dyDescent="0.25">
      <c r="H18705" s="12"/>
      <c r="I18705" s="12"/>
      <c r="J18705" s="12"/>
      <c r="K18705" s="12"/>
      <c r="L18705" s="12"/>
      <c r="M18705" s="11"/>
      <c r="N18705" s="11"/>
      <c r="O18705" s="11"/>
      <c r="P18705" s="11"/>
    </row>
    <row r="18706" spans="8:16" x14ac:dyDescent="0.25">
      <c r="H18706" s="12"/>
      <c r="I18706" s="12"/>
      <c r="J18706" s="12"/>
      <c r="K18706" s="12"/>
      <c r="L18706" s="12"/>
      <c r="M18706" s="11"/>
      <c r="N18706" s="11"/>
      <c r="O18706" s="11"/>
      <c r="P18706" s="11"/>
    </row>
    <row r="18707" spans="8:16" x14ac:dyDescent="0.25">
      <c r="H18707" s="12"/>
      <c r="I18707" s="12"/>
      <c r="J18707" s="12"/>
      <c r="K18707" s="12"/>
      <c r="L18707" s="12"/>
      <c r="M18707" s="11"/>
      <c r="N18707" s="11"/>
      <c r="O18707" s="11"/>
      <c r="P18707" s="11"/>
    </row>
    <row r="18708" spans="8:16" x14ac:dyDescent="0.25">
      <c r="H18708" s="12"/>
      <c r="I18708" s="12"/>
      <c r="J18708" s="12"/>
      <c r="K18708" s="12"/>
      <c r="L18708" s="12"/>
      <c r="M18708" s="11"/>
      <c r="N18708" s="11"/>
      <c r="O18708" s="11"/>
      <c r="P18708" s="11"/>
    </row>
    <row r="18709" spans="8:16" x14ac:dyDescent="0.25">
      <c r="H18709" s="12"/>
      <c r="I18709" s="12"/>
      <c r="J18709" s="12"/>
      <c r="K18709" s="12"/>
      <c r="L18709" s="12"/>
      <c r="M18709" s="11"/>
      <c r="N18709" s="11"/>
      <c r="O18709" s="11"/>
      <c r="P18709" s="11"/>
    </row>
    <row r="18710" spans="8:16" x14ac:dyDescent="0.25">
      <c r="H18710" s="12"/>
      <c r="I18710" s="12"/>
      <c r="J18710" s="12"/>
      <c r="K18710" s="12"/>
      <c r="L18710" s="12"/>
      <c r="M18710" s="11"/>
      <c r="N18710" s="11"/>
      <c r="O18710" s="11"/>
      <c r="P18710" s="11"/>
    </row>
    <row r="18711" spans="8:16" x14ac:dyDescent="0.25">
      <c r="H18711" s="12"/>
      <c r="I18711" s="12"/>
      <c r="J18711" s="12"/>
      <c r="K18711" s="12"/>
      <c r="L18711" s="12"/>
      <c r="M18711" s="11"/>
      <c r="N18711" s="11"/>
      <c r="O18711" s="11"/>
      <c r="P18711" s="11"/>
    </row>
    <row r="18712" spans="8:16" x14ac:dyDescent="0.25">
      <c r="H18712" s="12"/>
      <c r="I18712" s="12"/>
      <c r="J18712" s="12"/>
      <c r="K18712" s="12"/>
      <c r="L18712" s="12"/>
      <c r="M18712" s="11"/>
      <c r="N18712" s="11"/>
      <c r="O18712" s="11"/>
      <c r="P18712" s="11"/>
    </row>
    <row r="18713" spans="8:16" x14ac:dyDescent="0.25">
      <c r="H18713" s="12"/>
      <c r="I18713" s="12"/>
      <c r="J18713" s="12"/>
      <c r="K18713" s="12"/>
      <c r="L18713" s="12"/>
      <c r="M18713" s="11"/>
      <c r="N18713" s="11"/>
      <c r="O18713" s="11"/>
      <c r="P18713" s="11"/>
    </row>
    <row r="18714" spans="8:16" x14ac:dyDescent="0.25">
      <c r="H18714" s="12"/>
      <c r="I18714" s="12"/>
      <c r="J18714" s="12"/>
      <c r="K18714" s="12"/>
      <c r="L18714" s="12"/>
      <c r="M18714" s="11"/>
      <c r="N18714" s="11"/>
      <c r="O18714" s="11"/>
      <c r="P18714" s="11"/>
    </row>
    <row r="18715" spans="8:16" x14ac:dyDescent="0.25">
      <c r="H18715" s="12"/>
      <c r="I18715" s="12"/>
      <c r="J18715" s="12"/>
      <c r="K18715" s="12"/>
      <c r="L18715" s="12"/>
      <c r="M18715" s="11"/>
      <c r="N18715" s="11"/>
      <c r="O18715" s="11"/>
      <c r="P18715" s="11"/>
    </row>
    <row r="18716" spans="8:16" x14ac:dyDescent="0.25">
      <c r="H18716" s="12"/>
      <c r="I18716" s="12"/>
      <c r="J18716" s="12"/>
      <c r="K18716" s="12"/>
      <c r="L18716" s="12"/>
      <c r="M18716" s="11"/>
      <c r="N18716" s="11"/>
      <c r="O18716" s="11"/>
      <c r="P18716" s="11"/>
    </row>
    <row r="18717" spans="8:16" x14ac:dyDescent="0.25">
      <c r="H18717" s="12"/>
      <c r="I18717" s="12"/>
      <c r="J18717" s="12"/>
      <c r="K18717" s="12"/>
      <c r="L18717" s="12"/>
      <c r="M18717" s="11"/>
      <c r="N18717" s="11"/>
      <c r="O18717" s="11"/>
      <c r="P18717" s="11"/>
    </row>
    <row r="18718" spans="8:16" x14ac:dyDescent="0.25">
      <c r="H18718" s="12"/>
      <c r="I18718" s="12"/>
      <c r="J18718" s="12"/>
      <c r="K18718" s="12"/>
      <c r="L18718" s="12"/>
      <c r="M18718" s="11"/>
      <c r="N18718" s="11"/>
      <c r="O18718" s="11"/>
      <c r="P18718" s="11"/>
    </row>
    <row r="18719" spans="8:16" x14ac:dyDescent="0.25">
      <c r="H18719" s="12"/>
      <c r="I18719" s="12"/>
      <c r="J18719" s="12"/>
      <c r="K18719" s="12"/>
      <c r="L18719" s="12"/>
      <c r="M18719" s="11"/>
      <c r="N18719" s="11"/>
      <c r="O18719" s="11"/>
      <c r="P18719" s="11"/>
    </row>
    <row r="18720" spans="8:16" x14ac:dyDescent="0.25">
      <c r="H18720" s="12"/>
      <c r="I18720" s="12"/>
      <c r="J18720" s="12"/>
      <c r="K18720" s="12"/>
      <c r="L18720" s="12"/>
      <c r="M18720" s="11"/>
      <c r="N18720" s="11"/>
      <c r="O18720" s="11"/>
      <c r="P18720" s="11"/>
    </row>
    <row r="18721" spans="8:16" x14ac:dyDescent="0.25">
      <c r="H18721" s="12"/>
      <c r="I18721" s="12"/>
      <c r="J18721" s="12"/>
      <c r="K18721" s="12"/>
      <c r="L18721" s="12"/>
      <c r="M18721" s="11"/>
      <c r="N18721" s="11"/>
      <c r="O18721" s="11"/>
      <c r="P18721" s="11"/>
    </row>
    <row r="18722" spans="8:16" x14ac:dyDescent="0.25">
      <c r="H18722" s="12"/>
      <c r="I18722" s="12"/>
      <c r="J18722" s="12"/>
      <c r="K18722" s="12"/>
      <c r="L18722" s="12"/>
      <c r="M18722" s="11"/>
      <c r="N18722" s="11"/>
      <c r="O18722" s="11"/>
      <c r="P18722" s="11"/>
    </row>
    <row r="18723" spans="8:16" x14ac:dyDescent="0.25">
      <c r="H18723" s="12"/>
      <c r="I18723" s="12"/>
      <c r="J18723" s="12"/>
      <c r="K18723" s="12"/>
      <c r="L18723" s="12"/>
      <c r="M18723" s="11"/>
      <c r="N18723" s="11"/>
      <c r="O18723" s="11"/>
      <c r="P18723" s="11"/>
    </row>
    <row r="18724" spans="8:16" x14ac:dyDescent="0.25">
      <c r="H18724" s="12"/>
      <c r="I18724" s="12"/>
      <c r="J18724" s="12"/>
      <c r="K18724" s="12"/>
      <c r="L18724" s="12"/>
      <c r="M18724" s="11"/>
      <c r="N18724" s="11"/>
      <c r="O18724" s="11"/>
      <c r="P18724" s="11"/>
    </row>
    <row r="18725" spans="8:16" x14ac:dyDescent="0.25">
      <c r="H18725" s="12"/>
      <c r="I18725" s="12"/>
      <c r="J18725" s="12"/>
      <c r="K18725" s="12"/>
      <c r="L18725" s="12"/>
      <c r="M18725" s="11"/>
      <c r="N18725" s="11"/>
      <c r="O18725" s="11"/>
      <c r="P18725" s="11"/>
    </row>
    <row r="18726" spans="8:16" x14ac:dyDescent="0.25">
      <c r="H18726" s="12"/>
      <c r="I18726" s="12"/>
      <c r="J18726" s="12"/>
      <c r="K18726" s="12"/>
      <c r="L18726" s="12"/>
      <c r="M18726" s="11"/>
      <c r="N18726" s="11"/>
      <c r="O18726" s="11"/>
      <c r="P18726" s="11"/>
    </row>
    <row r="18727" spans="8:16" x14ac:dyDescent="0.25">
      <c r="H18727" s="12"/>
      <c r="I18727" s="12"/>
      <c r="J18727" s="12"/>
      <c r="K18727" s="12"/>
      <c r="L18727" s="12"/>
      <c r="M18727" s="11"/>
      <c r="N18727" s="11"/>
      <c r="O18727" s="11"/>
      <c r="P18727" s="11"/>
    </row>
    <row r="18728" spans="8:16" x14ac:dyDescent="0.25">
      <c r="H18728" s="12"/>
      <c r="I18728" s="12"/>
      <c r="J18728" s="12"/>
      <c r="K18728" s="12"/>
      <c r="L18728" s="12"/>
      <c r="M18728" s="11"/>
      <c r="N18728" s="11"/>
      <c r="O18728" s="11"/>
      <c r="P18728" s="11"/>
    </row>
    <row r="18729" spans="8:16" x14ac:dyDescent="0.25">
      <c r="H18729" s="12"/>
      <c r="I18729" s="12"/>
      <c r="J18729" s="12"/>
      <c r="K18729" s="12"/>
      <c r="L18729" s="12"/>
      <c r="M18729" s="11"/>
      <c r="N18729" s="11"/>
      <c r="O18729" s="11"/>
      <c r="P18729" s="11"/>
    </row>
    <row r="18730" spans="8:16" x14ac:dyDescent="0.25">
      <c r="H18730" s="12"/>
      <c r="I18730" s="12"/>
      <c r="J18730" s="12"/>
      <c r="K18730" s="12"/>
      <c r="L18730" s="12"/>
      <c r="M18730" s="11"/>
      <c r="N18730" s="11"/>
      <c r="O18730" s="11"/>
      <c r="P18730" s="11"/>
    </row>
    <row r="18731" spans="8:16" x14ac:dyDescent="0.25">
      <c r="H18731" s="12"/>
      <c r="I18731" s="12"/>
      <c r="J18731" s="12"/>
      <c r="K18731" s="12"/>
      <c r="L18731" s="12"/>
      <c r="M18731" s="11"/>
      <c r="N18731" s="11"/>
      <c r="O18731" s="11"/>
      <c r="P18731" s="11"/>
    </row>
    <row r="18732" spans="8:16" x14ac:dyDescent="0.25">
      <c r="H18732" s="12"/>
      <c r="I18732" s="12"/>
      <c r="J18732" s="12"/>
      <c r="K18732" s="12"/>
      <c r="L18732" s="12"/>
      <c r="M18732" s="11"/>
      <c r="N18732" s="11"/>
      <c r="O18732" s="11"/>
      <c r="P18732" s="11"/>
    </row>
    <row r="18733" spans="8:16" x14ac:dyDescent="0.25">
      <c r="H18733" s="12"/>
      <c r="I18733" s="12"/>
      <c r="J18733" s="12"/>
      <c r="K18733" s="12"/>
      <c r="L18733" s="12"/>
      <c r="M18733" s="11"/>
      <c r="N18733" s="11"/>
      <c r="O18733" s="11"/>
      <c r="P18733" s="11"/>
    </row>
    <row r="18734" spans="8:16" x14ac:dyDescent="0.25">
      <c r="H18734" s="12"/>
      <c r="I18734" s="12"/>
      <c r="J18734" s="12"/>
      <c r="K18734" s="12"/>
      <c r="L18734" s="12"/>
      <c r="M18734" s="11"/>
      <c r="N18734" s="11"/>
      <c r="O18734" s="11"/>
      <c r="P18734" s="11"/>
    </row>
    <row r="18735" spans="8:16" x14ac:dyDescent="0.25">
      <c r="H18735" s="12"/>
      <c r="I18735" s="12"/>
      <c r="J18735" s="12"/>
      <c r="K18735" s="12"/>
      <c r="L18735" s="12"/>
      <c r="M18735" s="11"/>
      <c r="N18735" s="11"/>
      <c r="O18735" s="11"/>
      <c r="P18735" s="11"/>
    </row>
    <row r="18736" spans="8:16" x14ac:dyDescent="0.25">
      <c r="H18736" s="12"/>
      <c r="I18736" s="12"/>
      <c r="J18736" s="12"/>
      <c r="K18736" s="12"/>
      <c r="L18736" s="12"/>
      <c r="M18736" s="11"/>
      <c r="N18736" s="11"/>
      <c r="O18736" s="11"/>
      <c r="P18736" s="11"/>
    </row>
    <row r="18737" spans="8:16" x14ac:dyDescent="0.25">
      <c r="H18737" s="12"/>
      <c r="I18737" s="12"/>
      <c r="J18737" s="12"/>
      <c r="K18737" s="12"/>
      <c r="L18737" s="12"/>
      <c r="M18737" s="11"/>
      <c r="N18737" s="11"/>
      <c r="O18737" s="11"/>
      <c r="P18737" s="11"/>
    </row>
    <row r="18738" spans="8:16" x14ac:dyDescent="0.25">
      <c r="H18738" s="12"/>
      <c r="I18738" s="12"/>
      <c r="J18738" s="12"/>
      <c r="K18738" s="12"/>
      <c r="L18738" s="12"/>
      <c r="M18738" s="11"/>
      <c r="N18738" s="11"/>
      <c r="O18738" s="11"/>
      <c r="P18738" s="11"/>
    </row>
    <row r="18739" spans="8:16" x14ac:dyDescent="0.25">
      <c r="H18739" s="12"/>
      <c r="I18739" s="12"/>
      <c r="J18739" s="12"/>
      <c r="K18739" s="12"/>
      <c r="L18739" s="12"/>
      <c r="M18739" s="11"/>
      <c r="N18739" s="11"/>
      <c r="O18739" s="11"/>
      <c r="P18739" s="11"/>
    </row>
    <row r="18740" spans="8:16" x14ac:dyDescent="0.25">
      <c r="H18740" s="12"/>
      <c r="I18740" s="12"/>
      <c r="J18740" s="12"/>
      <c r="K18740" s="12"/>
      <c r="L18740" s="12"/>
      <c r="M18740" s="11"/>
      <c r="N18740" s="11"/>
      <c r="O18740" s="11"/>
      <c r="P18740" s="11"/>
    </row>
    <row r="18741" spans="8:16" x14ac:dyDescent="0.25">
      <c r="H18741" s="12"/>
      <c r="I18741" s="12"/>
      <c r="J18741" s="12"/>
      <c r="K18741" s="12"/>
      <c r="L18741" s="12"/>
      <c r="M18741" s="11"/>
      <c r="N18741" s="11"/>
      <c r="O18741" s="11"/>
      <c r="P18741" s="11"/>
    </row>
    <row r="18742" spans="8:16" x14ac:dyDescent="0.25">
      <c r="H18742" s="12"/>
      <c r="I18742" s="12"/>
      <c r="J18742" s="12"/>
      <c r="K18742" s="12"/>
      <c r="L18742" s="12"/>
      <c r="M18742" s="11"/>
      <c r="N18742" s="11"/>
      <c r="O18742" s="11"/>
      <c r="P18742" s="11"/>
    </row>
    <row r="18743" spans="8:16" x14ac:dyDescent="0.25">
      <c r="H18743" s="12"/>
      <c r="I18743" s="12"/>
      <c r="J18743" s="12"/>
      <c r="K18743" s="12"/>
      <c r="L18743" s="12"/>
      <c r="M18743" s="11"/>
      <c r="N18743" s="11"/>
      <c r="O18743" s="11"/>
      <c r="P18743" s="11"/>
    </row>
    <row r="18744" spans="8:16" x14ac:dyDescent="0.25">
      <c r="H18744" s="12"/>
      <c r="I18744" s="12"/>
      <c r="J18744" s="12"/>
      <c r="K18744" s="12"/>
      <c r="L18744" s="12"/>
      <c r="M18744" s="11"/>
      <c r="N18744" s="11"/>
      <c r="O18744" s="11"/>
      <c r="P18744" s="11"/>
    </row>
    <row r="18745" spans="8:16" x14ac:dyDescent="0.25">
      <c r="H18745" s="12"/>
      <c r="I18745" s="12"/>
      <c r="J18745" s="12"/>
      <c r="K18745" s="12"/>
      <c r="L18745" s="12"/>
      <c r="M18745" s="11"/>
      <c r="N18745" s="11"/>
      <c r="O18745" s="11"/>
      <c r="P18745" s="11"/>
    </row>
    <row r="18746" spans="8:16" x14ac:dyDescent="0.25">
      <c r="H18746" s="12"/>
      <c r="I18746" s="12"/>
      <c r="J18746" s="12"/>
      <c r="K18746" s="12"/>
      <c r="L18746" s="12"/>
      <c r="M18746" s="11"/>
      <c r="N18746" s="11"/>
      <c r="O18746" s="11"/>
      <c r="P18746" s="11"/>
    </row>
    <row r="18747" spans="8:16" x14ac:dyDescent="0.25">
      <c r="H18747" s="12"/>
      <c r="I18747" s="12"/>
      <c r="J18747" s="12"/>
      <c r="K18747" s="12"/>
      <c r="L18747" s="12"/>
      <c r="M18747" s="11"/>
      <c r="N18747" s="11"/>
      <c r="O18747" s="11"/>
      <c r="P18747" s="11"/>
    </row>
    <row r="18748" spans="8:16" x14ac:dyDescent="0.25">
      <c r="H18748" s="12"/>
      <c r="I18748" s="12"/>
      <c r="J18748" s="12"/>
      <c r="K18748" s="12"/>
      <c r="L18748" s="12"/>
      <c r="M18748" s="11"/>
      <c r="N18748" s="11"/>
      <c r="O18748" s="11"/>
      <c r="P18748" s="11"/>
    </row>
    <row r="18749" spans="8:16" x14ac:dyDescent="0.25">
      <c r="H18749" s="12"/>
      <c r="I18749" s="12"/>
      <c r="J18749" s="12"/>
      <c r="K18749" s="12"/>
      <c r="L18749" s="12"/>
      <c r="M18749" s="11"/>
      <c r="N18749" s="11"/>
      <c r="O18749" s="11"/>
      <c r="P18749" s="11"/>
    </row>
    <row r="18750" spans="8:16" x14ac:dyDescent="0.25">
      <c r="H18750" s="12"/>
      <c r="I18750" s="12"/>
      <c r="J18750" s="12"/>
      <c r="K18750" s="12"/>
      <c r="L18750" s="12"/>
      <c r="M18750" s="11"/>
      <c r="N18750" s="11"/>
      <c r="O18750" s="11"/>
      <c r="P18750" s="11"/>
    </row>
    <row r="18751" spans="8:16" x14ac:dyDescent="0.25">
      <c r="H18751" s="12"/>
      <c r="I18751" s="12"/>
      <c r="J18751" s="12"/>
      <c r="K18751" s="12"/>
      <c r="L18751" s="12"/>
      <c r="M18751" s="11"/>
      <c r="N18751" s="11"/>
      <c r="O18751" s="11"/>
      <c r="P18751" s="11"/>
    </row>
    <row r="18752" spans="8:16" x14ac:dyDescent="0.25">
      <c r="H18752" s="12"/>
      <c r="I18752" s="12"/>
      <c r="J18752" s="12"/>
      <c r="K18752" s="12"/>
      <c r="L18752" s="12"/>
      <c r="M18752" s="11"/>
      <c r="N18752" s="11"/>
      <c r="O18752" s="11"/>
      <c r="P18752" s="11"/>
    </row>
    <row r="18753" spans="8:16" x14ac:dyDescent="0.25">
      <c r="H18753" s="12"/>
      <c r="I18753" s="12"/>
      <c r="J18753" s="12"/>
      <c r="K18753" s="12"/>
      <c r="L18753" s="12"/>
      <c r="M18753" s="11"/>
      <c r="N18753" s="11"/>
      <c r="O18753" s="11"/>
      <c r="P18753" s="11"/>
    </row>
    <row r="18754" spans="8:16" x14ac:dyDescent="0.25">
      <c r="H18754" s="12"/>
      <c r="I18754" s="12"/>
      <c r="J18754" s="12"/>
      <c r="K18754" s="12"/>
      <c r="L18754" s="12"/>
      <c r="M18754" s="11"/>
      <c r="N18754" s="11"/>
      <c r="O18754" s="11"/>
      <c r="P18754" s="11"/>
    </row>
    <row r="18755" spans="8:16" x14ac:dyDescent="0.25">
      <c r="H18755" s="12"/>
      <c r="I18755" s="12"/>
      <c r="J18755" s="12"/>
      <c r="K18755" s="12"/>
      <c r="L18755" s="12"/>
      <c r="M18755" s="11"/>
      <c r="N18755" s="11"/>
      <c r="O18755" s="11"/>
      <c r="P18755" s="11"/>
    </row>
    <row r="18756" spans="8:16" x14ac:dyDescent="0.25">
      <c r="H18756" s="12"/>
      <c r="I18756" s="12"/>
      <c r="J18756" s="12"/>
      <c r="K18756" s="12"/>
      <c r="L18756" s="12"/>
      <c r="M18756" s="11"/>
      <c r="N18756" s="11"/>
      <c r="O18756" s="11"/>
      <c r="P18756" s="11"/>
    </row>
    <row r="18757" spans="8:16" x14ac:dyDescent="0.25">
      <c r="H18757" s="12"/>
      <c r="I18757" s="12"/>
      <c r="J18757" s="12"/>
      <c r="K18757" s="12"/>
      <c r="L18757" s="12"/>
      <c r="M18757" s="11"/>
      <c r="N18757" s="11"/>
      <c r="O18757" s="11"/>
      <c r="P18757" s="11"/>
    </row>
    <row r="18758" spans="8:16" x14ac:dyDescent="0.25">
      <c r="H18758" s="12"/>
      <c r="I18758" s="12"/>
      <c r="J18758" s="12"/>
      <c r="K18758" s="12"/>
      <c r="L18758" s="12"/>
      <c r="M18758" s="11"/>
      <c r="N18758" s="11"/>
      <c r="O18758" s="11"/>
      <c r="P18758" s="11"/>
    </row>
    <row r="18759" spans="8:16" x14ac:dyDescent="0.25">
      <c r="H18759" s="12"/>
      <c r="I18759" s="12"/>
      <c r="J18759" s="12"/>
      <c r="K18759" s="12"/>
      <c r="L18759" s="12"/>
      <c r="M18759" s="11"/>
      <c r="N18759" s="11"/>
      <c r="O18759" s="11"/>
      <c r="P18759" s="11"/>
    </row>
    <row r="18760" spans="8:16" x14ac:dyDescent="0.25">
      <c r="H18760" s="12"/>
      <c r="I18760" s="12"/>
      <c r="J18760" s="12"/>
      <c r="K18760" s="12"/>
      <c r="L18760" s="12"/>
      <c r="M18760" s="11"/>
      <c r="N18760" s="11"/>
      <c r="O18760" s="11"/>
      <c r="P18760" s="11"/>
    </row>
    <row r="18761" spans="8:16" x14ac:dyDescent="0.25">
      <c r="H18761" s="12"/>
      <c r="I18761" s="12"/>
      <c r="J18761" s="12"/>
      <c r="K18761" s="12"/>
      <c r="L18761" s="12"/>
      <c r="M18761" s="11"/>
      <c r="N18761" s="11"/>
      <c r="O18761" s="11"/>
      <c r="P18761" s="11"/>
    </row>
    <row r="18762" spans="8:16" x14ac:dyDescent="0.25">
      <c r="H18762" s="12"/>
      <c r="I18762" s="12"/>
      <c r="J18762" s="12"/>
      <c r="K18762" s="12"/>
      <c r="L18762" s="12"/>
      <c r="M18762" s="11"/>
      <c r="N18762" s="11"/>
      <c r="O18762" s="11"/>
      <c r="P18762" s="11"/>
    </row>
    <row r="18763" spans="8:16" x14ac:dyDescent="0.25">
      <c r="H18763" s="12"/>
      <c r="I18763" s="12"/>
      <c r="J18763" s="12"/>
      <c r="K18763" s="12"/>
      <c r="L18763" s="12"/>
      <c r="M18763" s="11"/>
      <c r="N18763" s="11"/>
      <c r="O18763" s="11"/>
      <c r="P18763" s="11"/>
    </row>
    <row r="18764" spans="8:16" x14ac:dyDescent="0.25">
      <c r="H18764" s="12"/>
      <c r="I18764" s="12"/>
      <c r="J18764" s="12"/>
      <c r="K18764" s="12"/>
      <c r="L18764" s="12"/>
      <c r="M18764" s="11"/>
      <c r="N18764" s="11"/>
      <c r="O18764" s="11"/>
      <c r="P18764" s="11"/>
    </row>
    <row r="18765" spans="8:16" x14ac:dyDescent="0.25">
      <c r="H18765" s="12"/>
      <c r="I18765" s="12"/>
      <c r="J18765" s="12"/>
      <c r="K18765" s="12"/>
      <c r="L18765" s="12"/>
      <c r="M18765" s="11"/>
      <c r="N18765" s="11"/>
      <c r="O18765" s="11"/>
      <c r="P18765" s="11"/>
    </row>
    <row r="18766" spans="8:16" x14ac:dyDescent="0.25">
      <c r="H18766" s="12"/>
      <c r="I18766" s="12"/>
      <c r="J18766" s="12"/>
      <c r="K18766" s="12"/>
      <c r="L18766" s="12"/>
      <c r="M18766" s="11"/>
      <c r="N18766" s="11"/>
      <c r="O18766" s="11"/>
      <c r="P18766" s="11"/>
    </row>
    <row r="18767" spans="8:16" x14ac:dyDescent="0.25">
      <c r="H18767" s="12"/>
      <c r="I18767" s="12"/>
      <c r="J18767" s="12"/>
      <c r="K18767" s="12"/>
      <c r="L18767" s="12"/>
      <c r="M18767" s="11"/>
      <c r="N18767" s="11"/>
      <c r="O18767" s="11"/>
      <c r="P18767" s="11"/>
    </row>
    <row r="18768" spans="8:16" x14ac:dyDescent="0.25">
      <c r="H18768" s="12"/>
      <c r="I18768" s="12"/>
      <c r="J18768" s="12"/>
      <c r="K18768" s="12"/>
      <c r="L18768" s="12"/>
      <c r="M18768" s="11"/>
      <c r="N18768" s="11"/>
      <c r="O18768" s="11"/>
      <c r="P18768" s="11"/>
    </row>
    <row r="18769" spans="8:16" x14ac:dyDescent="0.25">
      <c r="H18769" s="12"/>
      <c r="I18769" s="12"/>
      <c r="J18769" s="12"/>
      <c r="K18769" s="12"/>
      <c r="L18769" s="12"/>
      <c r="M18769" s="11"/>
      <c r="N18769" s="11"/>
      <c r="O18769" s="11"/>
      <c r="P18769" s="11"/>
    </row>
    <row r="18770" spans="8:16" x14ac:dyDescent="0.25">
      <c r="H18770" s="12"/>
      <c r="I18770" s="12"/>
      <c r="J18770" s="12"/>
      <c r="K18770" s="12"/>
      <c r="L18770" s="12"/>
      <c r="M18770" s="11"/>
      <c r="N18770" s="11"/>
      <c r="O18770" s="11"/>
      <c r="P18770" s="11"/>
    </row>
    <row r="18771" spans="8:16" x14ac:dyDescent="0.25">
      <c r="H18771" s="12"/>
      <c r="I18771" s="12"/>
      <c r="J18771" s="12"/>
      <c r="K18771" s="12"/>
      <c r="L18771" s="12"/>
      <c r="M18771" s="11"/>
      <c r="N18771" s="11"/>
      <c r="O18771" s="11"/>
      <c r="P18771" s="11"/>
    </row>
    <row r="18772" spans="8:16" x14ac:dyDescent="0.25">
      <c r="H18772" s="12"/>
      <c r="I18772" s="12"/>
      <c r="J18772" s="12"/>
      <c r="K18772" s="12"/>
      <c r="L18772" s="12"/>
      <c r="M18772" s="11"/>
      <c r="N18772" s="11"/>
      <c r="O18772" s="11"/>
      <c r="P18772" s="11"/>
    </row>
    <row r="18773" spans="8:16" x14ac:dyDescent="0.25">
      <c r="H18773" s="12"/>
      <c r="I18773" s="12"/>
      <c r="J18773" s="12"/>
      <c r="K18773" s="12"/>
      <c r="L18773" s="12"/>
      <c r="M18773" s="11"/>
      <c r="N18773" s="11"/>
      <c r="O18773" s="11"/>
      <c r="P18773" s="11"/>
    </row>
    <row r="18774" spans="8:16" x14ac:dyDescent="0.25">
      <c r="H18774" s="12"/>
      <c r="I18774" s="12"/>
      <c r="J18774" s="12"/>
      <c r="K18774" s="12"/>
      <c r="L18774" s="12"/>
      <c r="M18774" s="11"/>
      <c r="N18774" s="11"/>
      <c r="O18774" s="11"/>
      <c r="P18774" s="11"/>
    </row>
    <row r="18775" spans="8:16" x14ac:dyDescent="0.25">
      <c r="H18775" s="12"/>
      <c r="I18775" s="12"/>
      <c r="J18775" s="12"/>
      <c r="K18775" s="12"/>
      <c r="L18775" s="12"/>
      <c r="M18775" s="11"/>
      <c r="N18775" s="11"/>
      <c r="O18775" s="11"/>
      <c r="P18775" s="11"/>
    </row>
    <row r="18776" spans="8:16" x14ac:dyDescent="0.25">
      <c r="H18776" s="12"/>
      <c r="I18776" s="12"/>
      <c r="J18776" s="12"/>
      <c r="K18776" s="12"/>
      <c r="L18776" s="12"/>
      <c r="M18776" s="11"/>
      <c r="N18776" s="11"/>
      <c r="O18776" s="11"/>
      <c r="P18776" s="11"/>
    </row>
    <row r="18777" spans="8:16" x14ac:dyDescent="0.25">
      <c r="H18777" s="12"/>
      <c r="I18777" s="12"/>
      <c r="J18777" s="12"/>
      <c r="K18777" s="12"/>
      <c r="L18777" s="12"/>
      <c r="M18777" s="11"/>
      <c r="N18777" s="11"/>
      <c r="O18777" s="11"/>
      <c r="P18777" s="11"/>
    </row>
    <row r="18778" spans="8:16" x14ac:dyDescent="0.25">
      <c r="H18778" s="12"/>
      <c r="I18778" s="12"/>
      <c r="J18778" s="12"/>
      <c r="K18778" s="12"/>
      <c r="L18778" s="12"/>
      <c r="M18778" s="11"/>
      <c r="N18778" s="11"/>
      <c r="O18778" s="11"/>
      <c r="P18778" s="11"/>
    </row>
    <row r="18779" spans="8:16" x14ac:dyDescent="0.25">
      <c r="H18779" s="12"/>
      <c r="I18779" s="12"/>
      <c r="J18779" s="12"/>
      <c r="K18779" s="12"/>
      <c r="L18779" s="12"/>
      <c r="M18779" s="11"/>
      <c r="N18779" s="11"/>
      <c r="O18779" s="11"/>
      <c r="P18779" s="11"/>
    </row>
    <row r="18780" spans="8:16" x14ac:dyDescent="0.25">
      <c r="H18780" s="12"/>
      <c r="I18780" s="12"/>
      <c r="J18780" s="12"/>
      <c r="K18780" s="12"/>
      <c r="L18780" s="12"/>
      <c r="M18780" s="11"/>
      <c r="N18780" s="11"/>
      <c r="O18780" s="11"/>
      <c r="P18780" s="11"/>
    </row>
    <row r="18781" spans="8:16" x14ac:dyDescent="0.25">
      <c r="H18781" s="12"/>
      <c r="I18781" s="12"/>
      <c r="J18781" s="12"/>
      <c r="K18781" s="12"/>
      <c r="L18781" s="12"/>
      <c r="M18781" s="11"/>
      <c r="N18781" s="11"/>
      <c r="O18781" s="11"/>
      <c r="P18781" s="11"/>
    </row>
    <row r="18782" spans="8:16" x14ac:dyDescent="0.25">
      <c r="H18782" s="12"/>
      <c r="I18782" s="12"/>
      <c r="J18782" s="12"/>
      <c r="K18782" s="12"/>
      <c r="L18782" s="12"/>
      <c r="M18782" s="11"/>
      <c r="N18782" s="11"/>
      <c r="O18782" s="11"/>
      <c r="P18782" s="11"/>
    </row>
    <row r="18783" spans="8:16" x14ac:dyDescent="0.25">
      <c r="H18783" s="12"/>
      <c r="I18783" s="12"/>
      <c r="J18783" s="12"/>
      <c r="K18783" s="12"/>
      <c r="L18783" s="12"/>
      <c r="M18783" s="11"/>
      <c r="N18783" s="11"/>
      <c r="O18783" s="11"/>
      <c r="P18783" s="11"/>
    </row>
    <row r="18784" spans="8:16" x14ac:dyDescent="0.25">
      <c r="H18784" s="12"/>
      <c r="I18784" s="12"/>
      <c r="J18784" s="12"/>
      <c r="K18784" s="12"/>
      <c r="L18784" s="12"/>
      <c r="M18784" s="11"/>
      <c r="N18784" s="11"/>
      <c r="O18784" s="11"/>
      <c r="P18784" s="11"/>
    </row>
    <row r="18785" spans="8:16" x14ac:dyDescent="0.25">
      <c r="H18785" s="12"/>
      <c r="I18785" s="12"/>
      <c r="J18785" s="12"/>
      <c r="K18785" s="12"/>
      <c r="L18785" s="12"/>
      <c r="M18785" s="11"/>
      <c r="N18785" s="11"/>
      <c r="O18785" s="11"/>
      <c r="P18785" s="11"/>
    </row>
    <row r="18786" spans="8:16" x14ac:dyDescent="0.25">
      <c r="H18786" s="12"/>
      <c r="I18786" s="12"/>
      <c r="J18786" s="12"/>
      <c r="K18786" s="12"/>
      <c r="L18786" s="12"/>
      <c r="M18786" s="11"/>
      <c r="N18786" s="11"/>
      <c r="O18786" s="11"/>
      <c r="P18786" s="11"/>
    </row>
    <row r="18787" spans="8:16" x14ac:dyDescent="0.25">
      <c r="H18787" s="12"/>
      <c r="I18787" s="12"/>
      <c r="J18787" s="12"/>
      <c r="K18787" s="12"/>
      <c r="L18787" s="12"/>
      <c r="M18787" s="11"/>
      <c r="N18787" s="11"/>
      <c r="O18787" s="11"/>
      <c r="P18787" s="11"/>
    </row>
    <row r="18788" spans="8:16" x14ac:dyDescent="0.25">
      <c r="H18788" s="12"/>
      <c r="I18788" s="12"/>
      <c r="J18788" s="12"/>
      <c r="K18788" s="12"/>
      <c r="L18788" s="12"/>
      <c r="M18788" s="11"/>
      <c r="N18788" s="11"/>
      <c r="O18788" s="11"/>
      <c r="P18788" s="11"/>
    </row>
    <row r="18789" spans="8:16" x14ac:dyDescent="0.25">
      <c r="H18789" s="12"/>
      <c r="I18789" s="12"/>
      <c r="J18789" s="12"/>
      <c r="K18789" s="12"/>
      <c r="L18789" s="12"/>
      <c r="M18789" s="11"/>
      <c r="N18789" s="11"/>
      <c r="O18789" s="11"/>
      <c r="P18789" s="11"/>
    </row>
    <row r="18790" spans="8:16" x14ac:dyDescent="0.25">
      <c r="H18790" s="12"/>
      <c r="I18790" s="12"/>
      <c r="J18790" s="12"/>
      <c r="K18790" s="12"/>
      <c r="L18790" s="12"/>
      <c r="M18790" s="11"/>
      <c r="N18790" s="11"/>
      <c r="O18790" s="11"/>
      <c r="P18790" s="11"/>
    </row>
    <row r="18791" spans="8:16" x14ac:dyDescent="0.25">
      <c r="H18791" s="12"/>
      <c r="I18791" s="12"/>
      <c r="J18791" s="12"/>
      <c r="K18791" s="12"/>
      <c r="L18791" s="12"/>
      <c r="M18791" s="11"/>
      <c r="N18791" s="11"/>
      <c r="O18791" s="11"/>
      <c r="P18791" s="11"/>
    </row>
    <row r="18792" spans="8:16" x14ac:dyDescent="0.25">
      <c r="H18792" s="12"/>
      <c r="I18792" s="12"/>
      <c r="J18792" s="12"/>
      <c r="K18792" s="12"/>
      <c r="L18792" s="12"/>
      <c r="M18792" s="11"/>
      <c r="N18792" s="11"/>
      <c r="O18792" s="11"/>
      <c r="P18792" s="11"/>
    </row>
    <row r="18793" spans="8:16" x14ac:dyDescent="0.25">
      <c r="H18793" s="12"/>
      <c r="I18793" s="12"/>
      <c r="J18793" s="12"/>
      <c r="K18793" s="12"/>
      <c r="L18793" s="12"/>
      <c r="M18793" s="11"/>
      <c r="N18793" s="11"/>
      <c r="O18793" s="11"/>
      <c r="P18793" s="11"/>
    </row>
    <row r="18794" spans="8:16" x14ac:dyDescent="0.25">
      <c r="H18794" s="12"/>
      <c r="I18794" s="12"/>
      <c r="J18794" s="12"/>
      <c r="K18794" s="12"/>
      <c r="L18794" s="12"/>
      <c r="M18794" s="11"/>
      <c r="N18794" s="11"/>
      <c r="O18794" s="11"/>
      <c r="P18794" s="11"/>
    </row>
    <row r="18795" spans="8:16" x14ac:dyDescent="0.25">
      <c r="H18795" s="12"/>
      <c r="I18795" s="12"/>
      <c r="J18795" s="12"/>
      <c r="K18795" s="12"/>
      <c r="L18795" s="12"/>
      <c r="M18795" s="11"/>
      <c r="N18795" s="11"/>
      <c r="O18795" s="11"/>
      <c r="P18795" s="11"/>
    </row>
    <row r="18796" spans="8:16" x14ac:dyDescent="0.25">
      <c r="H18796" s="12"/>
      <c r="I18796" s="12"/>
      <c r="J18796" s="12"/>
      <c r="K18796" s="12"/>
      <c r="L18796" s="12"/>
      <c r="M18796" s="11"/>
      <c r="N18796" s="11"/>
      <c r="O18796" s="11"/>
      <c r="P18796" s="11"/>
    </row>
    <row r="18797" spans="8:16" x14ac:dyDescent="0.25">
      <c r="H18797" s="12"/>
      <c r="I18797" s="12"/>
      <c r="J18797" s="12"/>
      <c r="K18797" s="12"/>
      <c r="L18797" s="12"/>
      <c r="M18797" s="11"/>
      <c r="N18797" s="11"/>
      <c r="O18797" s="11"/>
      <c r="P18797" s="11"/>
    </row>
    <row r="18798" spans="8:16" x14ac:dyDescent="0.25">
      <c r="H18798" s="12"/>
      <c r="I18798" s="12"/>
      <c r="J18798" s="12"/>
      <c r="K18798" s="12"/>
      <c r="L18798" s="12"/>
      <c r="M18798" s="11"/>
      <c r="N18798" s="11"/>
      <c r="O18798" s="11"/>
      <c r="P18798" s="11"/>
    </row>
    <row r="18799" spans="8:16" x14ac:dyDescent="0.25">
      <c r="H18799" s="12"/>
      <c r="I18799" s="12"/>
      <c r="J18799" s="12"/>
      <c r="K18799" s="12"/>
      <c r="L18799" s="12"/>
      <c r="M18799" s="11"/>
      <c r="N18799" s="11"/>
      <c r="O18799" s="11"/>
      <c r="P18799" s="11"/>
    </row>
    <row r="18800" spans="8:16" x14ac:dyDescent="0.25">
      <c r="H18800" s="12"/>
      <c r="I18800" s="12"/>
      <c r="J18800" s="12"/>
      <c r="K18800" s="12"/>
      <c r="L18800" s="12"/>
      <c r="M18800" s="11"/>
      <c r="N18800" s="11"/>
      <c r="O18800" s="11"/>
      <c r="P18800" s="11"/>
    </row>
    <row r="18801" spans="8:16" x14ac:dyDescent="0.25">
      <c r="H18801" s="12"/>
      <c r="I18801" s="12"/>
      <c r="J18801" s="12"/>
      <c r="K18801" s="12"/>
      <c r="L18801" s="12"/>
      <c r="M18801" s="11"/>
      <c r="N18801" s="11"/>
      <c r="O18801" s="11"/>
      <c r="P18801" s="11"/>
    </row>
    <row r="18802" spans="8:16" x14ac:dyDescent="0.25">
      <c r="H18802" s="12"/>
      <c r="I18802" s="12"/>
      <c r="J18802" s="12"/>
      <c r="K18802" s="12"/>
      <c r="L18802" s="12"/>
      <c r="M18802" s="11"/>
      <c r="N18802" s="11"/>
      <c r="O18802" s="11"/>
      <c r="P18802" s="11"/>
    </row>
    <row r="18803" spans="8:16" x14ac:dyDescent="0.25">
      <c r="H18803" s="12"/>
      <c r="I18803" s="12"/>
      <c r="J18803" s="12"/>
      <c r="K18803" s="12"/>
      <c r="L18803" s="12"/>
      <c r="M18803" s="11"/>
      <c r="N18803" s="11"/>
      <c r="O18803" s="11"/>
      <c r="P18803" s="11"/>
    </row>
    <row r="18804" spans="8:16" x14ac:dyDescent="0.25">
      <c r="H18804" s="12"/>
      <c r="I18804" s="12"/>
      <c r="J18804" s="12"/>
      <c r="K18804" s="12"/>
      <c r="L18804" s="12"/>
      <c r="M18804" s="11"/>
      <c r="N18804" s="11"/>
      <c r="O18804" s="11"/>
      <c r="P18804" s="11"/>
    </row>
    <row r="18805" spans="8:16" x14ac:dyDescent="0.25">
      <c r="H18805" s="12"/>
      <c r="I18805" s="12"/>
      <c r="J18805" s="12"/>
      <c r="K18805" s="12"/>
      <c r="L18805" s="12"/>
      <c r="M18805" s="11"/>
      <c r="N18805" s="11"/>
      <c r="O18805" s="11"/>
      <c r="P18805" s="11"/>
    </row>
    <row r="18806" spans="8:16" x14ac:dyDescent="0.25">
      <c r="H18806" s="12"/>
      <c r="I18806" s="12"/>
      <c r="J18806" s="12"/>
      <c r="K18806" s="12"/>
      <c r="L18806" s="12"/>
      <c r="M18806" s="11"/>
      <c r="N18806" s="11"/>
      <c r="O18806" s="11"/>
      <c r="P18806" s="11"/>
    </row>
    <row r="18807" spans="8:16" x14ac:dyDescent="0.25">
      <c r="H18807" s="12"/>
      <c r="I18807" s="12"/>
      <c r="J18807" s="12"/>
      <c r="K18807" s="12"/>
      <c r="L18807" s="12"/>
      <c r="M18807" s="11"/>
      <c r="N18807" s="11"/>
      <c r="O18807" s="11"/>
      <c r="P18807" s="11"/>
    </row>
    <row r="18808" spans="8:16" x14ac:dyDescent="0.25">
      <c r="H18808" s="12"/>
      <c r="I18808" s="12"/>
      <c r="J18808" s="12"/>
      <c r="K18808" s="12"/>
      <c r="L18808" s="12"/>
      <c r="M18808" s="11"/>
      <c r="N18808" s="11"/>
      <c r="O18808" s="11"/>
      <c r="P18808" s="11"/>
    </row>
    <row r="18809" spans="8:16" x14ac:dyDescent="0.25">
      <c r="H18809" s="12"/>
      <c r="I18809" s="12"/>
      <c r="J18809" s="12"/>
      <c r="K18809" s="12"/>
      <c r="L18809" s="12"/>
      <c r="M18809" s="11"/>
      <c r="N18809" s="11"/>
      <c r="O18809" s="11"/>
      <c r="P18809" s="11"/>
    </row>
    <row r="18810" spans="8:16" x14ac:dyDescent="0.25">
      <c r="H18810" s="12"/>
      <c r="I18810" s="12"/>
      <c r="J18810" s="12"/>
      <c r="K18810" s="12"/>
      <c r="L18810" s="12"/>
      <c r="M18810" s="11"/>
      <c r="N18810" s="11"/>
      <c r="O18810" s="11"/>
      <c r="P18810" s="11"/>
    </row>
    <row r="18811" spans="8:16" x14ac:dyDescent="0.25">
      <c r="H18811" s="12"/>
      <c r="I18811" s="12"/>
      <c r="J18811" s="12"/>
      <c r="K18811" s="12"/>
      <c r="L18811" s="12"/>
      <c r="M18811" s="11"/>
      <c r="N18811" s="11"/>
      <c r="O18811" s="11"/>
      <c r="P18811" s="11"/>
    </row>
    <row r="18812" spans="8:16" x14ac:dyDescent="0.25">
      <c r="H18812" s="12"/>
      <c r="I18812" s="12"/>
      <c r="J18812" s="12"/>
      <c r="K18812" s="12"/>
      <c r="L18812" s="12"/>
      <c r="M18812" s="11"/>
      <c r="N18812" s="11"/>
      <c r="O18812" s="11"/>
      <c r="P18812" s="11"/>
    </row>
    <row r="18813" spans="8:16" x14ac:dyDescent="0.25">
      <c r="H18813" s="12"/>
      <c r="I18813" s="12"/>
      <c r="J18813" s="12"/>
      <c r="K18813" s="12"/>
      <c r="L18813" s="12"/>
      <c r="M18813" s="11"/>
      <c r="N18813" s="11"/>
      <c r="O18813" s="11"/>
      <c r="P18813" s="11"/>
    </row>
    <row r="18814" spans="8:16" x14ac:dyDescent="0.25">
      <c r="H18814" s="12"/>
      <c r="I18814" s="12"/>
      <c r="J18814" s="12"/>
      <c r="K18814" s="12"/>
      <c r="L18814" s="12"/>
      <c r="M18814" s="11"/>
      <c r="N18814" s="11"/>
      <c r="O18814" s="11"/>
      <c r="P18814" s="11"/>
    </row>
    <row r="18815" spans="8:16" x14ac:dyDescent="0.25">
      <c r="H18815" s="12"/>
      <c r="I18815" s="12"/>
      <c r="J18815" s="12"/>
      <c r="K18815" s="12"/>
      <c r="L18815" s="12"/>
      <c r="M18815" s="11"/>
      <c r="N18815" s="11"/>
      <c r="O18815" s="11"/>
      <c r="P18815" s="11"/>
    </row>
    <row r="18816" spans="8:16" x14ac:dyDescent="0.25">
      <c r="H18816" s="12"/>
      <c r="I18816" s="12"/>
      <c r="J18816" s="12"/>
      <c r="K18816" s="12"/>
      <c r="L18816" s="12"/>
      <c r="M18816" s="11"/>
      <c r="N18816" s="11"/>
      <c r="O18816" s="11"/>
      <c r="P18816" s="11"/>
    </row>
    <row r="18817" spans="8:16" x14ac:dyDescent="0.25">
      <c r="H18817" s="12"/>
      <c r="I18817" s="12"/>
      <c r="J18817" s="12"/>
      <c r="K18817" s="12"/>
      <c r="L18817" s="12"/>
      <c r="M18817" s="11"/>
      <c r="N18817" s="11"/>
      <c r="O18817" s="11"/>
      <c r="P18817" s="11"/>
    </row>
    <row r="18818" spans="8:16" x14ac:dyDescent="0.25">
      <c r="H18818" s="12"/>
      <c r="I18818" s="12"/>
      <c r="J18818" s="12"/>
      <c r="K18818" s="12"/>
      <c r="L18818" s="12"/>
      <c r="M18818" s="11"/>
      <c r="N18818" s="11"/>
      <c r="O18818" s="11"/>
      <c r="P18818" s="11"/>
    </row>
    <row r="18819" spans="8:16" x14ac:dyDescent="0.25">
      <c r="H18819" s="12"/>
      <c r="I18819" s="12"/>
      <c r="J18819" s="12"/>
      <c r="K18819" s="12"/>
      <c r="L18819" s="12"/>
      <c r="M18819" s="11"/>
      <c r="N18819" s="11"/>
      <c r="O18819" s="11"/>
      <c r="P18819" s="11"/>
    </row>
    <row r="18820" spans="8:16" x14ac:dyDescent="0.25">
      <c r="H18820" s="12"/>
      <c r="I18820" s="12"/>
      <c r="J18820" s="12"/>
      <c r="K18820" s="12"/>
      <c r="L18820" s="12"/>
      <c r="M18820" s="11"/>
      <c r="N18820" s="11"/>
      <c r="O18820" s="11"/>
      <c r="P18820" s="11"/>
    </row>
    <row r="18821" spans="8:16" x14ac:dyDescent="0.25">
      <c r="H18821" s="12"/>
      <c r="I18821" s="12"/>
      <c r="J18821" s="12"/>
      <c r="K18821" s="12"/>
      <c r="L18821" s="12"/>
      <c r="M18821" s="11"/>
      <c r="N18821" s="11"/>
      <c r="O18821" s="11"/>
      <c r="P18821" s="11"/>
    </row>
    <row r="18822" spans="8:16" x14ac:dyDescent="0.25">
      <c r="H18822" s="12"/>
      <c r="I18822" s="12"/>
      <c r="J18822" s="12"/>
      <c r="K18822" s="12"/>
      <c r="L18822" s="12"/>
      <c r="M18822" s="11"/>
      <c r="N18822" s="11"/>
      <c r="O18822" s="11"/>
      <c r="P18822" s="11"/>
    </row>
    <row r="18823" spans="8:16" x14ac:dyDescent="0.25">
      <c r="H18823" s="12"/>
      <c r="I18823" s="12"/>
      <c r="J18823" s="12"/>
      <c r="K18823" s="12"/>
      <c r="L18823" s="12"/>
      <c r="M18823" s="11"/>
      <c r="N18823" s="11"/>
      <c r="O18823" s="11"/>
      <c r="P18823" s="11"/>
    </row>
    <row r="18824" spans="8:16" x14ac:dyDescent="0.25">
      <c r="H18824" s="12"/>
      <c r="I18824" s="12"/>
      <c r="J18824" s="12"/>
      <c r="K18824" s="12"/>
      <c r="L18824" s="12"/>
      <c r="M18824" s="11"/>
      <c r="N18824" s="11"/>
      <c r="O18824" s="11"/>
      <c r="P18824" s="11"/>
    </row>
    <row r="18825" spans="8:16" x14ac:dyDescent="0.25">
      <c r="H18825" s="12"/>
      <c r="I18825" s="12"/>
      <c r="J18825" s="12"/>
      <c r="K18825" s="12"/>
      <c r="L18825" s="12"/>
      <c r="M18825" s="11"/>
      <c r="N18825" s="11"/>
      <c r="O18825" s="11"/>
      <c r="P18825" s="11"/>
    </row>
    <row r="18826" spans="8:16" x14ac:dyDescent="0.25">
      <c r="H18826" s="12"/>
      <c r="I18826" s="12"/>
      <c r="J18826" s="12"/>
      <c r="K18826" s="12"/>
      <c r="L18826" s="12"/>
      <c r="M18826" s="11"/>
      <c r="N18826" s="11"/>
      <c r="O18826" s="11"/>
      <c r="P18826" s="11"/>
    </row>
    <row r="18827" spans="8:16" x14ac:dyDescent="0.25">
      <c r="H18827" s="12"/>
      <c r="I18827" s="12"/>
      <c r="J18827" s="12"/>
      <c r="K18827" s="12"/>
      <c r="L18827" s="12"/>
      <c r="M18827" s="11"/>
      <c r="N18827" s="11"/>
      <c r="O18827" s="11"/>
      <c r="P18827" s="11"/>
    </row>
    <row r="18828" spans="8:16" x14ac:dyDescent="0.25">
      <c r="H18828" s="12"/>
      <c r="I18828" s="12"/>
      <c r="J18828" s="12"/>
      <c r="K18828" s="12"/>
      <c r="L18828" s="12"/>
      <c r="M18828" s="11"/>
      <c r="N18828" s="11"/>
      <c r="O18828" s="11"/>
      <c r="P18828" s="11"/>
    </row>
    <row r="18829" spans="8:16" x14ac:dyDescent="0.25">
      <c r="H18829" s="12"/>
      <c r="I18829" s="12"/>
      <c r="J18829" s="12"/>
      <c r="K18829" s="12"/>
      <c r="L18829" s="12"/>
      <c r="M18829" s="11"/>
      <c r="N18829" s="11"/>
      <c r="O18829" s="11"/>
      <c r="P18829" s="11"/>
    </row>
    <row r="18830" spans="8:16" x14ac:dyDescent="0.25">
      <c r="H18830" s="12"/>
      <c r="I18830" s="12"/>
      <c r="J18830" s="12"/>
      <c r="K18830" s="12"/>
      <c r="L18830" s="12"/>
      <c r="M18830" s="11"/>
      <c r="N18830" s="11"/>
      <c r="O18830" s="11"/>
      <c r="P18830" s="11"/>
    </row>
    <row r="18831" spans="8:16" x14ac:dyDescent="0.25">
      <c r="H18831" s="12"/>
      <c r="I18831" s="12"/>
      <c r="J18831" s="12"/>
      <c r="K18831" s="12"/>
      <c r="L18831" s="12"/>
      <c r="M18831" s="11"/>
      <c r="N18831" s="11"/>
      <c r="O18831" s="11"/>
      <c r="P18831" s="11"/>
    </row>
    <row r="18832" spans="8:16" x14ac:dyDescent="0.25">
      <c r="H18832" s="12"/>
      <c r="I18832" s="12"/>
      <c r="J18832" s="12"/>
      <c r="K18832" s="12"/>
      <c r="L18832" s="12"/>
      <c r="M18832" s="11"/>
      <c r="N18832" s="11"/>
      <c r="O18832" s="11"/>
      <c r="P18832" s="11"/>
    </row>
    <row r="18833" spans="8:16" x14ac:dyDescent="0.25">
      <c r="H18833" s="12"/>
      <c r="I18833" s="12"/>
      <c r="J18833" s="12"/>
      <c r="K18833" s="12"/>
      <c r="L18833" s="12"/>
      <c r="M18833" s="11"/>
      <c r="N18833" s="11"/>
      <c r="O18833" s="11"/>
      <c r="P18833" s="11"/>
    </row>
    <row r="18834" spans="8:16" x14ac:dyDescent="0.25">
      <c r="H18834" s="12"/>
      <c r="I18834" s="12"/>
      <c r="J18834" s="12"/>
      <c r="K18834" s="12"/>
      <c r="L18834" s="12"/>
      <c r="M18834" s="11"/>
      <c r="N18834" s="11"/>
      <c r="O18834" s="11"/>
      <c r="P18834" s="11"/>
    </row>
    <row r="18835" spans="8:16" x14ac:dyDescent="0.25">
      <c r="H18835" s="12"/>
      <c r="I18835" s="12"/>
      <c r="J18835" s="12"/>
      <c r="K18835" s="12"/>
      <c r="L18835" s="12"/>
      <c r="M18835" s="11"/>
      <c r="N18835" s="11"/>
      <c r="O18835" s="11"/>
      <c r="P18835" s="11"/>
    </row>
    <row r="18836" spans="8:16" x14ac:dyDescent="0.25">
      <c r="H18836" s="12"/>
      <c r="I18836" s="12"/>
      <c r="J18836" s="12"/>
      <c r="K18836" s="12"/>
      <c r="L18836" s="12"/>
      <c r="M18836" s="11"/>
      <c r="N18836" s="11"/>
      <c r="O18836" s="11"/>
      <c r="P18836" s="11"/>
    </row>
    <row r="18837" spans="8:16" x14ac:dyDescent="0.25">
      <c r="H18837" s="12"/>
      <c r="I18837" s="12"/>
      <c r="J18837" s="12"/>
      <c r="K18837" s="12"/>
      <c r="L18837" s="12"/>
      <c r="M18837" s="11"/>
      <c r="N18837" s="11"/>
      <c r="O18837" s="11"/>
      <c r="P18837" s="11"/>
    </row>
    <row r="18838" spans="8:16" x14ac:dyDescent="0.25">
      <c r="H18838" s="12"/>
      <c r="I18838" s="12"/>
      <c r="J18838" s="12"/>
      <c r="K18838" s="12"/>
      <c r="L18838" s="12"/>
      <c r="M18838" s="11"/>
      <c r="N18838" s="11"/>
      <c r="O18838" s="11"/>
      <c r="P18838" s="11"/>
    </row>
    <row r="18839" spans="8:16" x14ac:dyDescent="0.25">
      <c r="H18839" s="12"/>
      <c r="I18839" s="12"/>
      <c r="J18839" s="12"/>
      <c r="K18839" s="12"/>
      <c r="L18839" s="12"/>
      <c r="M18839" s="11"/>
      <c r="N18839" s="11"/>
      <c r="O18839" s="11"/>
      <c r="P18839" s="11"/>
    </row>
    <row r="18840" spans="8:16" x14ac:dyDescent="0.25">
      <c r="H18840" s="12"/>
      <c r="I18840" s="12"/>
      <c r="J18840" s="12"/>
      <c r="K18840" s="12"/>
      <c r="L18840" s="12"/>
      <c r="M18840" s="11"/>
      <c r="N18840" s="11"/>
      <c r="O18840" s="11"/>
      <c r="P18840" s="11"/>
    </row>
    <row r="18841" spans="8:16" x14ac:dyDescent="0.25">
      <c r="H18841" s="12"/>
      <c r="I18841" s="12"/>
      <c r="J18841" s="12"/>
      <c r="K18841" s="12"/>
      <c r="L18841" s="12"/>
      <c r="M18841" s="11"/>
      <c r="N18841" s="11"/>
      <c r="O18841" s="11"/>
      <c r="P18841" s="11"/>
    </row>
    <row r="18842" spans="8:16" x14ac:dyDescent="0.25">
      <c r="H18842" s="12"/>
      <c r="I18842" s="12"/>
      <c r="J18842" s="12"/>
      <c r="K18842" s="12"/>
      <c r="L18842" s="12"/>
      <c r="M18842" s="11"/>
      <c r="N18842" s="11"/>
      <c r="O18842" s="11"/>
      <c r="P18842" s="11"/>
    </row>
    <row r="18843" spans="8:16" x14ac:dyDescent="0.25">
      <c r="H18843" s="12"/>
      <c r="I18843" s="12"/>
      <c r="J18843" s="12"/>
      <c r="K18843" s="12"/>
      <c r="L18843" s="12"/>
      <c r="M18843" s="11"/>
      <c r="N18843" s="11"/>
      <c r="O18843" s="11"/>
      <c r="P18843" s="11"/>
    </row>
    <row r="18844" spans="8:16" x14ac:dyDescent="0.25">
      <c r="H18844" s="12"/>
      <c r="I18844" s="12"/>
      <c r="J18844" s="12"/>
      <c r="K18844" s="12"/>
      <c r="L18844" s="12"/>
      <c r="M18844" s="11"/>
      <c r="N18844" s="11"/>
      <c r="O18844" s="11"/>
      <c r="P18844" s="11"/>
    </row>
    <row r="18845" spans="8:16" x14ac:dyDescent="0.25">
      <c r="H18845" s="12"/>
      <c r="I18845" s="12"/>
      <c r="J18845" s="12"/>
      <c r="K18845" s="12"/>
      <c r="L18845" s="12"/>
      <c r="M18845" s="11"/>
      <c r="N18845" s="11"/>
      <c r="O18845" s="11"/>
      <c r="P18845" s="11"/>
    </row>
    <row r="18846" spans="8:16" x14ac:dyDescent="0.25">
      <c r="H18846" s="12"/>
      <c r="I18846" s="12"/>
      <c r="J18846" s="12"/>
      <c r="K18846" s="12"/>
      <c r="L18846" s="12"/>
      <c r="M18846" s="11"/>
      <c r="N18846" s="11"/>
      <c r="O18846" s="11"/>
      <c r="P18846" s="11"/>
    </row>
    <row r="18847" spans="8:16" x14ac:dyDescent="0.25">
      <c r="H18847" s="12"/>
      <c r="I18847" s="12"/>
      <c r="J18847" s="12"/>
      <c r="K18847" s="12"/>
      <c r="L18847" s="12"/>
      <c r="M18847" s="11"/>
      <c r="N18847" s="11"/>
      <c r="O18847" s="11"/>
      <c r="P18847" s="11"/>
    </row>
    <row r="18848" spans="8:16" x14ac:dyDescent="0.25">
      <c r="H18848" s="12"/>
      <c r="I18848" s="12"/>
      <c r="J18848" s="12"/>
      <c r="K18848" s="12"/>
      <c r="L18848" s="12"/>
      <c r="M18848" s="11"/>
      <c r="N18848" s="11"/>
      <c r="O18848" s="11"/>
      <c r="P18848" s="11"/>
    </row>
    <row r="18849" spans="8:16" x14ac:dyDescent="0.25">
      <c r="H18849" s="12"/>
      <c r="I18849" s="12"/>
      <c r="J18849" s="12"/>
      <c r="K18849" s="12"/>
      <c r="L18849" s="12"/>
      <c r="M18849" s="11"/>
      <c r="N18849" s="11"/>
      <c r="O18849" s="11"/>
      <c r="P18849" s="11"/>
    </row>
    <row r="18850" spans="8:16" x14ac:dyDescent="0.25">
      <c r="H18850" s="12"/>
      <c r="I18850" s="12"/>
      <c r="J18850" s="12"/>
      <c r="K18850" s="12"/>
      <c r="L18850" s="12"/>
      <c r="M18850" s="11"/>
      <c r="N18850" s="11"/>
      <c r="O18850" s="11"/>
      <c r="P18850" s="11"/>
    </row>
    <row r="18851" spans="8:16" x14ac:dyDescent="0.25">
      <c r="H18851" s="12"/>
      <c r="I18851" s="12"/>
      <c r="J18851" s="12"/>
      <c r="K18851" s="12"/>
      <c r="L18851" s="12"/>
      <c r="M18851" s="11"/>
      <c r="N18851" s="11"/>
      <c r="O18851" s="11"/>
      <c r="P18851" s="11"/>
    </row>
    <row r="18852" spans="8:16" x14ac:dyDescent="0.25">
      <c r="H18852" s="12"/>
      <c r="I18852" s="12"/>
      <c r="J18852" s="12"/>
      <c r="K18852" s="12"/>
      <c r="L18852" s="12"/>
      <c r="M18852" s="11"/>
      <c r="N18852" s="11"/>
      <c r="O18852" s="11"/>
      <c r="P18852" s="11"/>
    </row>
    <row r="18853" spans="8:16" x14ac:dyDescent="0.25">
      <c r="H18853" s="12"/>
      <c r="I18853" s="12"/>
      <c r="J18853" s="12"/>
      <c r="K18853" s="12"/>
      <c r="L18853" s="12"/>
      <c r="M18853" s="11"/>
      <c r="N18853" s="11"/>
      <c r="O18853" s="11"/>
      <c r="P18853" s="11"/>
    </row>
    <row r="18854" spans="8:16" x14ac:dyDescent="0.25">
      <c r="H18854" s="12"/>
      <c r="I18854" s="12"/>
      <c r="J18854" s="12"/>
      <c r="K18854" s="12"/>
      <c r="L18854" s="12"/>
      <c r="M18854" s="11"/>
      <c r="N18854" s="11"/>
      <c r="O18854" s="11"/>
      <c r="P18854" s="11"/>
    </row>
    <row r="18855" spans="8:16" x14ac:dyDescent="0.25">
      <c r="H18855" s="12"/>
      <c r="I18855" s="12"/>
      <c r="J18855" s="12"/>
      <c r="K18855" s="12"/>
      <c r="L18855" s="12"/>
      <c r="M18855" s="11"/>
      <c r="N18855" s="11"/>
      <c r="O18855" s="11"/>
      <c r="P18855" s="11"/>
    </row>
    <row r="18856" spans="8:16" x14ac:dyDescent="0.25">
      <c r="H18856" s="12"/>
      <c r="I18856" s="12"/>
      <c r="J18856" s="12"/>
      <c r="K18856" s="12"/>
      <c r="L18856" s="12"/>
      <c r="M18856" s="11"/>
      <c r="N18856" s="11"/>
      <c r="O18856" s="11"/>
      <c r="P18856" s="11"/>
    </row>
    <row r="18857" spans="8:16" x14ac:dyDescent="0.25">
      <c r="H18857" s="12"/>
      <c r="I18857" s="12"/>
      <c r="J18857" s="12"/>
      <c r="K18857" s="12"/>
      <c r="L18857" s="12"/>
      <c r="M18857" s="11"/>
      <c r="N18857" s="11"/>
      <c r="O18857" s="11"/>
      <c r="P18857" s="11"/>
    </row>
    <row r="18858" spans="8:16" x14ac:dyDescent="0.25">
      <c r="H18858" s="12"/>
      <c r="I18858" s="12"/>
      <c r="J18858" s="12"/>
      <c r="K18858" s="12"/>
      <c r="L18858" s="12"/>
      <c r="M18858" s="11"/>
      <c r="N18858" s="11"/>
      <c r="O18858" s="11"/>
      <c r="P18858" s="11"/>
    </row>
    <row r="18859" spans="8:16" x14ac:dyDescent="0.25">
      <c r="H18859" s="12"/>
      <c r="I18859" s="12"/>
      <c r="J18859" s="12"/>
      <c r="K18859" s="12"/>
      <c r="L18859" s="12"/>
      <c r="M18859" s="11"/>
      <c r="N18859" s="11"/>
      <c r="O18859" s="11"/>
      <c r="P18859" s="11"/>
    </row>
    <row r="18860" spans="8:16" x14ac:dyDescent="0.25">
      <c r="H18860" s="12"/>
      <c r="I18860" s="12"/>
      <c r="J18860" s="12"/>
      <c r="K18860" s="12"/>
      <c r="L18860" s="12"/>
      <c r="M18860" s="11"/>
      <c r="N18860" s="11"/>
      <c r="O18860" s="11"/>
      <c r="P18860" s="11"/>
    </row>
    <row r="18861" spans="8:16" x14ac:dyDescent="0.25">
      <c r="H18861" s="12"/>
      <c r="I18861" s="12"/>
      <c r="J18861" s="12"/>
      <c r="K18861" s="12"/>
      <c r="L18861" s="12"/>
      <c r="M18861" s="11"/>
      <c r="N18861" s="11"/>
      <c r="O18861" s="11"/>
      <c r="P18861" s="11"/>
    </row>
    <row r="18862" spans="8:16" x14ac:dyDescent="0.25">
      <c r="H18862" s="12"/>
      <c r="I18862" s="12"/>
      <c r="J18862" s="12"/>
      <c r="K18862" s="12"/>
      <c r="L18862" s="12"/>
      <c r="M18862" s="11"/>
      <c r="N18862" s="11"/>
      <c r="O18862" s="11"/>
      <c r="P18862" s="11"/>
    </row>
    <row r="18863" spans="8:16" x14ac:dyDescent="0.25">
      <c r="H18863" s="12"/>
      <c r="I18863" s="12"/>
      <c r="J18863" s="12"/>
      <c r="K18863" s="12"/>
      <c r="L18863" s="12"/>
      <c r="M18863" s="11"/>
      <c r="N18863" s="11"/>
      <c r="O18863" s="11"/>
      <c r="P18863" s="11"/>
    </row>
    <row r="18864" spans="8:16" x14ac:dyDescent="0.25">
      <c r="H18864" s="12"/>
      <c r="I18864" s="12"/>
      <c r="J18864" s="12"/>
      <c r="K18864" s="12"/>
      <c r="L18864" s="12"/>
      <c r="M18864" s="11"/>
      <c r="N18864" s="11"/>
      <c r="O18864" s="11"/>
      <c r="P18864" s="11"/>
    </row>
    <row r="18865" spans="8:16" x14ac:dyDescent="0.25">
      <c r="H18865" s="12"/>
      <c r="I18865" s="12"/>
      <c r="J18865" s="12"/>
      <c r="K18865" s="12"/>
      <c r="L18865" s="12"/>
      <c r="M18865" s="11"/>
      <c r="N18865" s="11"/>
      <c r="O18865" s="11"/>
      <c r="P18865" s="11"/>
    </row>
    <row r="18866" spans="8:16" x14ac:dyDescent="0.25">
      <c r="H18866" s="12"/>
      <c r="I18866" s="12"/>
      <c r="J18866" s="12"/>
      <c r="K18866" s="12"/>
      <c r="L18866" s="12"/>
      <c r="M18866" s="11"/>
      <c r="N18866" s="11"/>
      <c r="O18866" s="11"/>
      <c r="P18866" s="11"/>
    </row>
    <row r="18867" spans="8:16" x14ac:dyDescent="0.25">
      <c r="H18867" s="12"/>
      <c r="I18867" s="12"/>
      <c r="J18867" s="12"/>
      <c r="K18867" s="12"/>
      <c r="L18867" s="12"/>
      <c r="M18867" s="11"/>
      <c r="N18867" s="11"/>
      <c r="O18867" s="11"/>
      <c r="P18867" s="11"/>
    </row>
    <row r="18868" spans="8:16" x14ac:dyDescent="0.25">
      <c r="H18868" s="12"/>
      <c r="I18868" s="12"/>
      <c r="J18868" s="12"/>
      <c r="K18868" s="12"/>
      <c r="L18868" s="12"/>
      <c r="M18868" s="11"/>
      <c r="N18868" s="11"/>
      <c r="O18868" s="11"/>
      <c r="P18868" s="11"/>
    </row>
    <row r="18869" spans="8:16" x14ac:dyDescent="0.25">
      <c r="H18869" s="12"/>
      <c r="I18869" s="12"/>
      <c r="J18869" s="12"/>
      <c r="K18869" s="12"/>
      <c r="L18869" s="12"/>
      <c r="M18869" s="11"/>
      <c r="N18869" s="11"/>
      <c r="O18869" s="11"/>
      <c r="P18869" s="11"/>
    </row>
    <row r="18870" spans="8:16" x14ac:dyDescent="0.25">
      <c r="H18870" s="12"/>
      <c r="I18870" s="12"/>
      <c r="J18870" s="12"/>
      <c r="K18870" s="12"/>
      <c r="L18870" s="12"/>
      <c r="M18870" s="11"/>
      <c r="N18870" s="11"/>
      <c r="O18870" s="11"/>
      <c r="P18870" s="11"/>
    </row>
    <row r="18871" spans="8:16" x14ac:dyDescent="0.25">
      <c r="H18871" s="12"/>
      <c r="I18871" s="12"/>
      <c r="J18871" s="12"/>
      <c r="K18871" s="12"/>
      <c r="L18871" s="12"/>
      <c r="M18871" s="11"/>
      <c r="N18871" s="11"/>
      <c r="O18871" s="11"/>
      <c r="P18871" s="11"/>
    </row>
    <row r="18872" spans="8:16" x14ac:dyDescent="0.25">
      <c r="H18872" s="12"/>
      <c r="I18872" s="12"/>
      <c r="J18872" s="12"/>
      <c r="K18872" s="12"/>
      <c r="L18872" s="12"/>
      <c r="M18872" s="11"/>
      <c r="N18872" s="11"/>
      <c r="O18872" s="11"/>
      <c r="P18872" s="11"/>
    </row>
    <row r="18873" spans="8:16" x14ac:dyDescent="0.25">
      <c r="H18873" s="12"/>
      <c r="I18873" s="12"/>
      <c r="J18873" s="12"/>
      <c r="K18873" s="12"/>
      <c r="L18873" s="12"/>
      <c r="M18873" s="11"/>
      <c r="N18873" s="11"/>
      <c r="O18873" s="11"/>
      <c r="P18873" s="11"/>
    </row>
    <row r="18874" spans="8:16" x14ac:dyDescent="0.25">
      <c r="H18874" s="12"/>
      <c r="I18874" s="12"/>
      <c r="J18874" s="12"/>
      <c r="K18874" s="12"/>
      <c r="L18874" s="12"/>
      <c r="M18874" s="11"/>
      <c r="N18874" s="11"/>
      <c r="O18874" s="11"/>
      <c r="P18874" s="11"/>
    </row>
    <row r="18875" spans="8:16" x14ac:dyDescent="0.25">
      <c r="H18875" s="12"/>
      <c r="I18875" s="12"/>
      <c r="J18875" s="12"/>
      <c r="K18875" s="12"/>
      <c r="L18875" s="12"/>
      <c r="M18875" s="11"/>
      <c r="N18875" s="11"/>
      <c r="O18875" s="11"/>
      <c r="P18875" s="11"/>
    </row>
    <row r="18876" spans="8:16" x14ac:dyDescent="0.25">
      <c r="H18876" s="12"/>
      <c r="I18876" s="12"/>
      <c r="J18876" s="12"/>
      <c r="K18876" s="12"/>
      <c r="L18876" s="12"/>
      <c r="M18876" s="11"/>
      <c r="N18876" s="11"/>
      <c r="O18876" s="11"/>
      <c r="P18876" s="11"/>
    </row>
    <row r="18877" spans="8:16" x14ac:dyDescent="0.25">
      <c r="H18877" s="12"/>
      <c r="I18877" s="12"/>
      <c r="J18877" s="12"/>
      <c r="K18877" s="12"/>
      <c r="L18877" s="12"/>
      <c r="M18877" s="11"/>
      <c r="N18877" s="11"/>
      <c r="O18877" s="11"/>
      <c r="P18877" s="11"/>
    </row>
    <row r="18878" spans="8:16" x14ac:dyDescent="0.25">
      <c r="H18878" s="12"/>
      <c r="I18878" s="12"/>
      <c r="J18878" s="12"/>
      <c r="K18878" s="12"/>
      <c r="L18878" s="12"/>
      <c r="M18878" s="11"/>
      <c r="N18878" s="11"/>
      <c r="O18878" s="11"/>
      <c r="P18878" s="11"/>
    </row>
    <row r="18879" spans="8:16" x14ac:dyDescent="0.25">
      <c r="H18879" s="12"/>
      <c r="I18879" s="12"/>
      <c r="J18879" s="12"/>
      <c r="K18879" s="12"/>
      <c r="L18879" s="12"/>
      <c r="M18879" s="11"/>
      <c r="N18879" s="11"/>
      <c r="O18879" s="11"/>
      <c r="P18879" s="11"/>
    </row>
    <row r="18880" spans="8:16" x14ac:dyDescent="0.25">
      <c r="H18880" s="12"/>
      <c r="I18880" s="12"/>
      <c r="J18880" s="12"/>
      <c r="K18880" s="12"/>
      <c r="L18880" s="12"/>
      <c r="M18880" s="11"/>
      <c r="N18880" s="11"/>
      <c r="O18880" s="11"/>
      <c r="P18880" s="11"/>
    </row>
    <row r="18881" spans="8:16" x14ac:dyDescent="0.25">
      <c r="H18881" s="12"/>
      <c r="I18881" s="12"/>
      <c r="J18881" s="12"/>
      <c r="K18881" s="12"/>
      <c r="L18881" s="12"/>
      <c r="M18881" s="11"/>
      <c r="N18881" s="11"/>
      <c r="O18881" s="11"/>
      <c r="P18881" s="11"/>
    </row>
    <row r="18882" spans="8:16" x14ac:dyDescent="0.25">
      <c r="H18882" s="12"/>
      <c r="I18882" s="12"/>
      <c r="J18882" s="12"/>
      <c r="K18882" s="12"/>
      <c r="L18882" s="12"/>
      <c r="M18882" s="11"/>
      <c r="N18882" s="11"/>
      <c r="O18882" s="11"/>
      <c r="P18882" s="11"/>
    </row>
    <row r="18883" spans="8:16" x14ac:dyDescent="0.25">
      <c r="H18883" s="12"/>
      <c r="I18883" s="12"/>
      <c r="J18883" s="12"/>
      <c r="K18883" s="12"/>
      <c r="L18883" s="12"/>
      <c r="M18883" s="11"/>
      <c r="N18883" s="11"/>
      <c r="O18883" s="11"/>
      <c r="P18883" s="11"/>
    </row>
    <row r="18884" spans="8:16" x14ac:dyDescent="0.25">
      <c r="H18884" s="12"/>
      <c r="I18884" s="12"/>
      <c r="J18884" s="12"/>
      <c r="K18884" s="12"/>
      <c r="L18884" s="12"/>
      <c r="M18884" s="11"/>
      <c r="N18884" s="11"/>
      <c r="O18884" s="11"/>
      <c r="P18884" s="11"/>
    </row>
    <row r="18885" spans="8:16" x14ac:dyDescent="0.25">
      <c r="H18885" s="12"/>
      <c r="I18885" s="12"/>
      <c r="J18885" s="12"/>
      <c r="K18885" s="12"/>
      <c r="L18885" s="12"/>
      <c r="M18885" s="11"/>
      <c r="N18885" s="11"/>
      <c r="O18885" s="11"/>
      <c r="P18885" s="11"/>
    </row>
    <row r="18886" spans="8:16" x14ac:dyDescent="0.25">
      <c r="H18886" s="12"/>
      <c r="I18886" s="12"/>
      <c r="J18886" s="12"/>
      <c r="K18886" s="12"/>
      <c r="L18886" s="12"/>
      <c r="M18886" s="11"/>
      <c r="N18886" s="11"/>
      <c r="O18886" s="11"/>
      <c r="P18886" s="11"/>
    </row>
    <row r="18887" spans="8:16" x14ac:dyDescent="0.25">
      <c r="H18887" s="12"/>
      <c r="I18887" s="12"/>
      <c r="J18887" s="12"/>
      <c r="K18887" s="12"/>
      <c r="L18887" s="12"/>
      <c r="M18887" s="11"/>
      <c r="N18887" s="11"/>
      <c r="O18887" s="11"/>
      <c r="P18887" s="11"/>
    </row>
    <row r="18888" spans="8:16" x14ac:dyDescent="0.25">
      <c r="H18888" s="12"/>
      <c r="I18888" s="12"/>
      <c r="J18888" s="12"/>
      <c r="K18888" s="12"/>
      <c r="L18888" s="12"/>
      <c r="M18888" s="11"/>
      <c r="N18888" s="11"/>
      <c r="O18888" s="11"/>
      <c r="P18888" s="11"/>
    </row>
    <row r="18889" spans="8:16" x14ac:dyDescent="0.25">
      <c r="H18889" s="12"/>
      <c r="I18889" s="12"/>
      <c r="J18889" s="12"/>
      <c r="K18889" s="12"/>
      <c r="L18889" s="12"/>
      <c r="M18889" s="11"/>
      <c r="N18889" s="11"/>
      <c r="O18889" s="11"/>
      <c r="P18889" s="11"/>
    </row>
    <row r="18890" spans="8:16" x14ac:dyDescent="0.25">
      <c r="H18890" s="12"/>
      <c r="I18890" s="12"/>
      <c r="J18890" s="12"/>
      <c r="K18890" s="12"/>
      <c r="L18890" s="12"/>
      <c r="M18890" s="11"/>
      <c r="N18890" s="11"/>
      <c r="O18890" s="11"/>
      <c r="P18890" s="11"/>
    </row>
    <row r="18891" spans="8:16" x14ac:dyDescent="0.25">
      <c r="H18891" s="12"/>
      <c r="I18891" s="12"/>
      <c r="J18891" s="12"/>
      <c r="K18891" s="12"/>
      <c r="L18891" s="12"/>
      <c r="M18891" s="11"/>
      <c r="N18891" s="11"/>
      <c r="O18891" s="11"/>
      <c r="P18891" s="11"/>
    </row>
    <row r="18892" spans="8:16" x14ac:dyDescent="0.25">
      <c r="H18892" s="12"/>
      <c r="I18892" s="12"/>
      <c r="J18892" s="12"/>
      <c r="K18892" s="12"/>
      <c r="L18892" s="12"/>
      <c r="M18892" s="11"/>
      <c r="N18892" s="11"/>
      <c r="O18892" s="11"/>
      <c r="P18892" s="11"/>
    </row>
    <row r="18893" spans="8:16" x14ac:dyDescent="0.25">
      <c r="H18893" s="12"/>
      <c r="I18893" s="12"/>
      <c r="J18893" s="12"/>
      <c r="K18893" s="12"/>
      <c r="L18893" s="12"/>
      <c r="M18893" s="11"/>
      <c r="N18893" s="11"/>
      <c r="O18893" s="11"/>
      <c r="P18893" s="11"/>
    </row>
    <row r="18894" spans="8:16" x14ac:dyDescent="0.25">
      <c r="H18894" s="12"/>
      <c r="I18894" s="12"/>
      <c r="J18894" s="12"/>
      <c r="K18894" s="12"/>
      <c r="L18894" s="12"/>
      <c r="M18894" s="11"/>
      <c r="N18894" s="11"/>
      <c r="O18894" s="11"/>
      <c r="P18894" s="11"/>
    </row>
    <row r="18895" spans="8:16" x14ac:dyDescent="0.25">
      <c r="H18895" s="12"/>
      <c r="I18895" s="12"/>
      <c r="J18895" s="12"/>
      <c r="K18895" s="12"/>
      <c r="L18895" s="12"/>
      <c r="M18895" s="11"/>
      <c r="N18895" s="11"/>
      <c r="O18895" s="11"/>
      <c r="P18895" s="11"/>
    </row>
    <row r="18896" spans="8:16" x14ac:dyDescent="0.25">
      <c r="H18896" s="12"/>
      <c r="I18896" s="12"/>
      <c r="J18896" s="12"/>
      <c r="K18896" s="12"/>
      <c r="L18896" s="12"/>
      <c r="M18896" s="11"/>
      <c r="N18896" s="11"/>
      <c r="O18896" s="11"/>
      <c r="P18896" s="11"/>
    </row>
    <row r="18897" spans="8:16" x14ac:dyDescent="0.25">
      <c r="H18897" s="12"/>
      <c r="I18897" s="12"/>
      <c r="J18897" s="12"/>
      <c r="K18897" s="12"/>
      <c r="L18897" s="12"/>
      <c r="M18897" s="11"/>
      <c r="N18897" s="11"/>
      <c r="O18897" s="11"/>
      <c r="P18897" s="11"/>
    </row>
    <row r="18898" spans="8:16" x14ac:dyDescent="0.25">
      <c r="H18898" s="12"/>
      <c r="I18898" s="12"/>
      <c r="J18898" s="12"/>
      <c r="K18898" s="12"/>
      <c r="L18898" s="12"/>
      <c r="M18898" s="11"/>
      <c r="N18898" s="11"/>
      <c r="O18898" s="11"/>
      <c r="P18898" s="11"/>
    </row>
    <row r="18899" spans="8:16" x14ac:dyDescent="0.25">
      <c r="H18899" s="12"/>
      <c r="I18899" s="12"/>
      <c r="J18899" s="12"/>
      <c r="K18899" s="12"/>
      <c r="L18899" s="12"/>
      <c r="M18899" s="11"/>
      <c r="N18899" s="11"/>
      <c r="O18899" s="11"/>
      <c r="P18899" s="11"/>
    </row>
    <row r="18900" spans="8:16" x14ac:dyDescent="0.25">
      <c r="H18900" s="12"/>
      <c r="I18900" s="12"/>
      <c r="J18900" s="12"/>
      <c r="K18900" s="12"/>
      <c r="L18900" s="12"/>
      <c r="M18900" s="11"/>
      <c r="N18900" s="11"/>
      <c r="O18900" s="11"/>
      <c r="P18900" s="11"/>
    </row>
    <row r="18901" spans="8:16" x14ac:dyDescent="0.25">
      <c r="H18901" s="12"/>
      <c r="I18901" s="12"/>
      <c r="J18901" s="12"/>
      <c r="K18901" s="12"/>
      <c r="L18901" s="12"/>
      <c r="M18901" s="11"/>
      <c r="N18901" s="11"/>
      <c r="O18901" s="11"/>
      <c r="P18901" s="11"/>
    </row>
    <row r="18902" spans="8:16" x14ac:dyDescent="0.25">
      <c r="H18902" s="12"/>
      <c r="I18902" s="12"/>
      <c r="J18902" s="12"/>
      <c r="K18902" s="12"/>
      <c r="L18902" s="12"/>
      <c r="M18902" s="11"/>
      <c r="N18902" s="11"/>
      <c r="O18902" s="11"/>
      <c r="P18902" s="11"/>
    </row>
    <row r="18903" spans="8:16" x14ac:dyDescent="0.25">
      <c r="H18903" s="12"/>
      <c r="I18903" s="12"/>
      <c r="J18903" s="12"/>
      <c r="K18903" s="12"/>
      <c r="L18903" s="12"/>
      <c r="M18903" s="11"/>
      <c r="N18903" s="11"/>
      <c r="O18903" s="11"/>
      <c r="P18903" s="11"/>
    </row>
    <row r="18904" spans="8:16" x14ac:dyDescent="0.25">
      <c r="H18904" s="12"/>
      <c r="I18904" s="12"/>
      <c r="J18904" s="12"/>
      <c r="K18904" s="12"/>
      <c r="L18904" s="12"/>
      <c r="M18904" s="11"/>
      <c r="N18904" s="11"/>
      <c r="O18904" s="11"/>
      <c r="P18904" s="11"/>
    </row>
    <row r="18905" spans="8:16" x14ac:dyDescent="0.25">
      <c r="H18905" s="12"/>
      <c r="I18905" s="12"/>
      <c r="J18905" s="12"/>
      <c r="K18905" s="12"/>
      <c r="L18905" s="12"/>
      <c r="M18905" s="11"/>
      <c r="N18905" s="11"/>
      <c r="O18905" s="11"/>
      <c r="P18905" s="11"/>
    </row>
    <row r="18906" spans="8:16" x14ac:dyDescent="0.25">
      <c r="H18906" s="12"/>
      <c r="I18906" s="12"/>
      <c r="J18906" s="12"/>
      <c r="K18906" s="12"/>
      <c r="L18906" s="12"/>
      <c r="M18906" s="11"/>
      <c r="N18906" s="11"/>
      <c r="O18906" s="11"/>
      <c r="P18906" s="11"/>
    </row>
    <row r="18907" spans="8:16" x14ac:dyDescent="0.25">
      <c r="H18907" s="12"/>
      <c r="I18907" s="12"/>
      <c r="J18907" s="12"/>
      <c r="K18907" s="12"/>
      <c r="L18907" s="12"/>
      <c r="M18907" s="11"/>
      <c r="N18907" s="11"/>
      <c r="O18907" s="11"/>
      <c r="P18907" s="11"/>
    </row>
    <row r="18908" spans="8:16" x14ac:dyDescent="0.25">
      <c r="H18908" s="12"/>
      <c r="I18908" s="12"/>
      <c r="J18908" s="12"/>
      <c r="K18908" s="12"/>
      <c r="L18908" s="12"/>
      <c r="M18908" s="11"/>
      <c r="N18908" s="11"/>
      <c r="O18908" s="11"/>
      <c r="P18908" s="11"/>
    </row>
    <row r="18909" spans="8:16" x14ac:dyDescent="0.25">
      <c r="H18909" s="12"/>
      <c r="I18909" s="12"/>
      <c r="J18909" s="12"/>
      <c r="K18909" s="12"/>
      <c r="L18909" s="12"/>
      <c r="M18909" s="11"/>
      <c r="N18909" s="11"/>
      <c r="O18909" s="11"/>
      <c r="P18909" s="11"/>
    </row>
    <row r="18910" spans="8:16" x14ac:dyDescent="0.25">
      <c r="H18910" s="12"/>
      <c r="I18910" s="12"/>
      <c r="J18910" s="12"/>
      <c r="K18910" s="12"/>
      <c r="L18910" s="12"/>
      <c r="M18910" s="11"/>
      <c r="N18910" s="11"/>
      <c r="O18910" s="11"/>
      <c r="P18910" s="11"/>
    </row>
    <row r="18911" spans="8:16" x14ac:dyDescent="0.25">
      <c r="H18911" s="12"/>
      <c r="I18911" s="12"/>
      <c r="J18911" s="12"/>
      <c r="K18911" s="12"/>
      <c r="L18911" s="12"/>
      <c r="M18911" s="11"/>
      <c r="N18911" s="11"/>
      <c r="O18911" s="11"/>
      <c r="P18911" s="11"/>
    </row>
    <row r="18912" spans="8:16" x14ac:dyDescent="0.25">
      <c r="H18912" s="12"/>
      <c r="I18912" s="12"/>
      <c r="J18912" s="12"/>
      <c r="K18912" s="12"/>
      <c r="L18912" s="12"/>
      <c r="M18912" s="11"/>
      <c r="N18912" s="11"/>
      <c r="O18912" s="11"/>
      <c r="P18912" s="11"/>
    </row>
    <row r="18913" spans="8:16" x14ac:dyDescent="0.25">
      <c r="H18913" s="12"/>
      <c r="I18913" s="12"/>
      <c r="J18913" s="12"/>
      <c r="K18913" s="12"/>
      <c r="L18913" s="12"/>
      <c r="M18913" s="11"/>
      <c r="N18913" s="11"/>
      <c r="O18913" s="11"/>
      <c r="P18913" s="11"/>
    </row>
    <row r="18914" spans="8:16" x14ac:dyDescent="0.25">
      <c r="H18914" s="12"/>
      <c r="I18914" s="12"/>
      <c r="J18914" s="12"/>
      <c r="K18914" s="12"/>
      <c r="L18914" s="12"/>
      <c r="M18914" s="11"/>
      <c r="N18914" s="11"/>
      <c r="O18914" s="11"/>
      <c r="P18914" s="11"/>
    </row>
    <row r="18915" spans="8:16" x14ac:dyDescent="0.25">
      <c r="H18915" s="12"/>
      <c r="I18915" s="12"/>
      <c r="J18915" s="12"/>
      <c r="K18915" s="12"/>
      <c r="L18915" s="12"/>
      <c r="M18915" s="11"/>
      <c r="N18915" s="11"/>
      <c r="O18915" s="11"/>
      <c r="P18915" s="11"/>
    </row>
    <row r="18916" spans="8:16" x14ac:dyDescent="0.25">
      <c r="H18916" s="12"/>
      <c r="I18916" s="12"/>
      <c r="J18916" s="12"/>
      <c r="K18916" s="12"/>
      <c r="L18916" s="12"/>
      <c r="M18916" s="11"/>
      <c r="N18916" s="11"/>
      <c r="O18916" s="11"/>
      <c r="P18916" s="11"/>
    </row>
    <row r="18917" spans="8:16" x14ac:dyDescent="0.25">
      <c r="H18917" s="12"/>
      <c r="I18917" s="12"/>
      <c r="J18917" s="12"/>
      <c r="K18917" s="12"/>
      <c r="L18917" s="12"/>
      <c r="M18917" s="11"/>
      <c r="N18917" s="11"/>
      <c r="O18917" s="11"/>
      <c r="P18917" s="11"/>
    </row>
    <row r="18918" spans="8:16" x14ac:dyDescent="0.25">
      <c r="H18918" s="12"/>
      <c r="I18918" s="12"/>
      <c r="J18918" s="12"/>
      <c r="K18918" s="12"/>
      <c r="L18918" s="12"/>
      <c r="M18918" s="11"/>
      <c r="N18918" s="11"/>
      <c r="O18918" s="11"/>
      <c r="P18918" s="11"/>
    </row>
    <row r="18919" spans="8:16" x14ac:dyDescent="0.25">
      <c r="H18919" s="12"/>
      <c r="I18919" s="12"/>
      <c r="J18919" s="12"/>
      <c r="K18919" s="12"/>
      <c r="L18919" s="12"/>
      <c r="M18919" s="11"/>
      <c r="N18919" s="11"/>
      <c r="O18919" s="11"/>
      <c r="P18919" s="11"/>
    </row>
    <row r="18920" spans="8:16" x14ac:dyDescent="0.25">
      <c r="H18920" s="12"/>
      <c r="I18920" s="12"/>
      <c r="J18920" s="12"/>
      <c r="K18920" s="12"/>
      <c r="L18920" s="12"/>
      <c r="M18920" s="11"/>
      <c r="N18920" s="11"/>
      <c r="O18920" s="11"/>
      <c r="P18920" s="11"/>
    </row>
    <row r="18921" spans="8:16" x14ac:dyDescent="0.25">
      <c r="H18921" s="12"/>
      <c r="I18921" s="12"/>
      <c r="J18921" s="12"/>
      <c r="K18921" s="12"/>
      <c r="L18921" s="12"/>
      <c r="M18921" s="11"/>
      <c r="N18921" s="11"/>
      <c r="O18921" s="11"/>
      <c r="P18921" s="11"/>
    </row>
    <row r="18922" spans="8:16" x14ac:dyDescent="0.25">
      <c r="H18922" s="12"/>
      <c r="I18922" s="12"/>
      <c r="J18922" s="12"/>
      <c r="K18922" s="12"/>
      <c r="L18922" s="12"/>
      <c r="M18922" s="11"/>
      <c r="N18922" s="11"/>
      <c r="O18922" s="11"/>
      <c r="P18922" s="11"/>
    </row>
    <row r="18923" spans="8:16" x14ac:dyDescent="0.25">
      <c r="H18923" s="12"/>
      <c r="I18923" s="12"/>
      <c r="J18923" s="12"/>
      <c r="K18923" s="12"/>
      <c r="L18923" s="12"/>
      <c r="M18923" s="11"/>
      <c r="N18923" s="11"/>
      <c r="O18923" s="11"/>
      <c r="P18923" s="11"/>
    </row>
    <row r="18924" spans="8:16" x14ac:dyDescent="0.25">
      <c r="H18924" s="12"/>
      <c r="I18924" s="12"/>
      <c r="J18924" s="12"/>
      <c r="K18924" s="12"/>
      <c r="L18924" s="12"/>
      <c r="M18924" s="11"/>
      <c r="N18924" s="11"/>
      <c r="O18924" s="11"/>
      <c r="P18924" s="11"/>
    </row>
    <row r="18925" spans="8:16" x14ac:dyDescent="0.25">
      <c r="H18925" s="12"/>
      <c r="I18925" s="12"/>
      <c r="J18925" s="12"/>
      <c r="K18925" s="12"/>
      <c r="L18925" s="12"/>
      <c r="M18925" s="11"/>
      <c r="N18925" s="11"/>
      <c r="O18925" s="11"/>
      <c r="P18925" s="11"/>
    </row>
    <row r="18926" spans="8:16" x14ac:dyDescent="0.25">
      <c r="H18926" s="12"/>
      <c r="I18926" s="12"/>
      <c r="J18926" s="12"/>
      <c r="K18926" s="12"/>
      <c r="L18926" s="12"/>
      <c r="M18926" s="11"/>
      <c r="N18926" s="11"/>
      <c r="O18926" s="11"/>
      <c r="P18926" s="11"/>
    </row>
    <row r="18927" spans="8:16" x14ac:dyDescent="0.25">
      <c r="H18927" s="12"/>
      <c r="I18927" s="12"/>
      <c r="J18927" s="12"/>
      <c r="K18927" s="12"/>
      <c r="L18927" s="12"/>
      <c r="M18927" s="11"/>
      <c r="N18927" s="11"/>
      <c r="O18927" s="11"/>
      <c r="P18927" s="11"/>
    </row>
    <row r="18928" spans="8:16" x14ac:dyDescent="0.25">
      <c r="H18928" s="12"/>
      <c r="I18928" s="12"/>
      <c r="J18928" s="12"/>
      <c r="K18928" s="12"/>
      <c r="L18928" s="12"/>
      <c r="M18928" s="11"/>
      <c r="N18928" s="11"/>
      <c r="O18928" s="11"/>
      <c r="P18928" s="11"/>
    </row>
    <row r="18929" spans="8:16" x14ac:dyDescent="0.25">
      <c r="H18929" s="12"/>
      <c r="I18929" s="12"/>
      <c r="J18929" s="12"/>
      <c r="K18929" s="12"/>
      <c r="L18929" s="12"/>
      <c r="M18929" s="11"/>
      <c r="N18929" s="11"/>
      <c r="O18929" s="11"/>
      <c r="P18929" s="11"/>
    </row>
    <row r="18930" spans="8:16" x14ac:dyDescent="0.25">
      <c r="H18930" s="12"/>
      <c r="I18930" s="12"/>
      <c r="J18930" s="12"/>
      <c r="K18930" s="12"/>
      <c r="L18930" s="12"/>
      <c r="M18930" s="11"/>
      <c r="N18930" s="11"/>
      <c r="O18930" s="11"/>
      <c r="P18930" s="11"/>
    </row>
    <row r="18931" spans="8:16" x14ac:dyDescent="0.25">
      <c r="H18931" s="12"/>
      <c r="I18931" s="12"/>
      <c r="J18931" s="12"/>
      <c r="K18931" s="12"/>
      <c r="L18931" s="12"/>
      <c r="M18931" s="11"/>
      <c r="N18931" s="11"/>
      <c r="O18931" s="11"/>
      <c r="P18931" s="11"/>
    </row>
    <row r="18932" spans="8:16" x14ac:dyDescent="0.25">
      <c r="H18932" s="12"/>
      <c r="I18932" s="12"/>
      <c r="J18932" s="12"/>
      <c r="K18932" s="12"/>
      <c r="L18932" s="12"/>
      <c r="M18932" s="11"/>
      <c r="N18932" s="11"/>
      <c r="O18932" s="11"/>
      <c r="P18932" s="11"/>
    </row>
    <row r="18933" spans="8:16" x14ac:dyDescent="0.25">
      <c r="H18933" s="12"/>
      <c r="I18933" s="12"/>
      <c r="J18933" s="12"/>
      <c r="K18933" s="12"/>
      <c r="L18933" s="12"/>
      <c r="M18933" s="11"/>
      <c r="N18933" s="11"/>
      <c r="O18933" s="11"/>
      <c r="P18933" s="11"/>
    </row>
    <row r="18934" spans="8:16" x14ac:dyDescent="0.25">
      <c r="H18934" s="12"/>
      <c r="I18934" s="12"/>
      <c r="J18934" s="12"/>
      <c r="K18934" s="12"/>
      <c r="L18934" s="12"/>
      <c r="M18934" s="11"/>
      <c r="N18934" s="11"/>
      <c r="O18934" s="11"/>
      <c r="P18934" s="11"/>
    </row>
    <row r="18935" spans="8:16" x14ac:dyDescent="0.25">
      <c r="H18935" s="12"/>
      <c r="I18935" s="12"/>
      <c r="J18935" s="12"/>
      <c r="K18935" s="12"/>
      <c r="L18935" s="12"/>
      <c r="M18935" s="11"/>
      <c r="N18935" s="11"/>
      <c r="O18935" s="11"/>
      <c r="P18935" s="11"/>
    </row>
    <row r="18936" spans="8:16" x14ac:dyDescent="0.25">
      <c r="H18936" s="12"/>
      <c r="I18936" s="12"/>
      <c r="J18936" s="12"/>
      <c r="K18936" s="12"/>
      <c r="L18936" s="12"/>
      <c r="M18936" s="11"/>
      <c r="N18936" s="11"/>
      <c r="O18936" s="11"/>
      <c r="P18936" s="11"/>
    </row>
    <row r="18937" spans="8:16" x14ac:dyDescent="0.25">
      <c r="H18937" s="12"/>
      <c r="I18937" s="12"/>
      <c r="J18937" s="12"/>
      <c r="K18937" s="12"/>
      <c r="L18937" s="12"/>
      <c r="M18937" s="11"/>
      <c r="N18937" s="11"/>
      <c r="O18937" s="11"/>
      <c r="P18937" s="11"/>
    </row>
    <row r="18938" spans="8:16" x14ac:dyDescent="0.25">
      <c r="H18938" s="12"/>
      <c r="I18938" s="12"/>
      <c r="J18938" s="12"/>
      <c r="K18938" s="12"/>
      <c r="L18938" s="12"/>
      <c r="M18938" s="11"/>
      <c r="N18938" s="11"/>
      <c r="O18938" s="11"/>
      <c r="P18938" s="11"/>
    </row>
    <row r="18939" spans="8:16" x14ac:dyDescent="0.25">
      <c r="H18939" s="12"/>
      <c r="I18939" s="12"/>
      <c r="J18939" s="12"/>
      <c r="K18939" s="12"/>
      <c r="L18939" s="12"/>
      <c r="M18939" s="11"/>
      <c r="N18939" s="11"/>
      <c r="O18939" s="11"/>
      <c r="P18939" s="11"/>
    </row>
    <row r="18940" spans="8:16" x14ac:dyDescent="0.25">
      <c r="H18940" s="12"/>
      <c r="I18940" s="12"/>
      <c r="J18940" s="12"/>
      <c r="K18940" s="12"/>
      <c r="L18940" s="12"/>
      <c r="M18940" s="11"/>
      <c r="N18940" s="11"/>
      <c r="O18940" s="11"/>
      <c r="P18940" s="11"/>
    </row>
    <row r="18941" spans="8:16" x14ac:dyDescent="0.25">
      <c r="H18941" s="12"/>
      <c r="I18941" s="12"/>
      <c r="J18941" s="12"/>
      <c r="K18941" s="12"/>
      <c r="L18941" s="12"/>
      <c r="M18941" s="11"/>
      <c r="N18941" s="11"/>
      <c r="O18941" s="11"/>
      <c r="P18941" s="11"/>
    </row>
    <row r="18942" spans="8:16" x14ac:dyDescent="0.25">
      <c r="H18942" s="12"/>
      <c r="I18942" s="12"/>
      <c r="J18942" s="12"/>
      <c r="K18942" s="12"/>
      <c r="L18942" s="12"/>
      <c r="M18942" s="11"/>
      <c r="N18942" s="11"/>
      <c r="O18942" s="11"/>
      <c r="P18942" s="11"/>
    </row>
    <row r="18943" spans="8:16" x14ac:dyDescent="0.25">
      <c r="H18943" s="12"/>
      <c r="I18943" s="12"/>
      <c r="J18943" s="12"/>
      <c r="K18943" s="12"/>
      <c r="L18943" s="12"/>
      <c r="M18943" s="11"/>
      <c r="N18943" s="11"/>
      <c r="O18943" s="11"/>
      <c r="P18943" s="11"/>
    </row>
    <row r="18944" spans="8:16" x14ac:dyDescent="0.25">
      <c r="H18944" s="12"/>
      <c r="I18944" s="12"/>
      <c r="J18944" s="12"/>
      <c r="K18944" s="12"/>
      <c r="L18944" s="12"/>
      <c r="M18944" s="11"/>
      <c r="N18944" s="11"/>
      <c r="O18944" s="11"/>
      <c r="P18944" s="11"/>
    </row>
    <row r="18945" spans="8:16" x14ac:dyDescent="0.25">
      <c r="H18945" s="12"/>
      <c r="I18945" s="12"/>
      <c r="J18945" s="12"/>
      <c r="K18945" s="12"/>
      <c r="L18945" s="12"/>
      <c r="M18945" s="11"/>
      <c r="N18945" s="11"/>
      <c r="O18945" s="11"/>
      <c r="P18945" s="11"/>
    </row>
    <row r="18946" spans="8:16" x14ac:dyDescent="0.25">
      <c r="H18946" s="12"/>
      <c r="I18946" s="12"/>
      <c r="J18946" s="12"/>
      <c r="K18946" s="12"/>
      <c r="L18946" s="12"/>
      <c r="M18946" s="11"/>
      <c r="N18946" s="11"/>
      <c r="O18946" s="11"/>
      <c r="P18946" s="11"/>
    </row>
    <row r="18947" spans="8:16" x14ac:dyDescent="0.25">
      <c r="H18947" s="12"/>
      <c r="I18947" s="12"/>
      <c r="J18947" s="12"/>
      <c r="K18947" s="12"/>
      <c r="L18947" s="12"/>
      <c r="M18947" s="11"/>
      <c r="N18947" s="11"/>
      <c r="O18947" s="11"/>
      <c r="P18947" s="11"/>
    </row>
    <row r="18948" spans="8:16" x14ac:dyDescent="0.25">
      <c r="H18948" s="12"/>
      <c r="I18948" s="12"/>
      <c r="J18948" s="12"/>
      <c r="K18948" s="12"/>
      <c r="L18948" s="12"/>
      <c r="M18948" s="11"/>
      <c r="N18948" s="11"/>
      <c r="O18948" s="11"/>
      <c r="P18948" s="11"/>
    </row>
    <row r="18949" spans="8:16" x14ac:dyDescent="0.25">
      <c r="H18949" s="12"/>
      <c r="I18949" s="12"/>
      <c r="J18949" s="12"/>
      <c r="K18949" s="12"/>
      <c r="L18949" s="12"/>
      <c r="M18949" s="11"/>
      <c r="N18949" s="11"/>
      <c r="O18949" s="11"/>
      <c r="P18949" s="11"/>
    </row>
    <row r="18950" spans="8:16" x14ac:dyDescent="0.25">
      <c r="H18950" s="12"/>
      <c r="I18950" s="12"/>
      <c r="J18950" s="12"/>
      <c r="K18950" s="12"/>
      <c r="L18950" s="12"/>
      <c r="M18950" s="11"/>
      <c r="N18950" s="11"/>
      <c r="O18950" s="11"/>
      <c r="P18950" s="11"/>
    </row>
    <row r="18951" spans="8:16" x14ac:dyDescent="0.25">
      <c r="H18951" s="12"/>
      <c r="I18951" s="12"/>
      <c r="J18951" s="12"/>
      <c r="K18951" s="12"/>
      <c r="L18951" s="12"/>
      <c r="M18951" s="11"/>
      <c r="N18951" s="11"/>
      <c r="O18951" s="11"/>
      <c r="P18951" s="11"/>
    </row>
    <row r="18952" spans="8:16" x14ac:dyDescent="0.25">
      <c r="H18952" s="12"/>
      <c r="I18952" s="12"/>
      <c r="J18952" s="12"/>
      <c r="K18952" s="12"/>
      <c r="L18952" s="12"/>
      <c r="M18952" s="11"/>
      <c r="N18952" s="11"/>
      <c r="O18952" s="11"/>
      <c r="P18952" s="11"/>
    </row>
    <row r="18953" spans="8:16" x14ac:dyDescent="0.25">
      <c r="H18953" s="12"/>
      <c r="I18953" s="12"/>
      <c r="J18953" s="12"/>
      <c r="K18953" s="12"/>
      <c r="L18953" s="12"/>
      <c r="M18953" s="11"/>
      <c r="N18953" s="11"/>
      <c r="O18953" s="11"/>
      <c r="P18953" s="11"/>
    </row>
    <row r="18954" spans="8:16" x14ac:dyDescent="0.25">
      <c r="H18954" s="12"/>
      <c r="I18954" s="12"/>
      <c r="J18954" s="12"/>
      <c r="K18954" s="12"/>
      <c r="L18954" s="12"/>
      <c r="M18954" s="11"/>
      <c r="N18954" s="11"/>
      <c r="O18954" s="11"/>
      <c r="P18954" s="11"/>
    </row>
    <row r="18955" spans="8:16" x14ac:dyDescent="0.25">
      <c r="H18955" s="12"/>
      <c r="I18955" s="12"/>
      <c r="J18955" s="12"/>
      <c r="K18955" s="12"/>
      <c r="L18955" s="12"/>
      <c r="M18955" s="11"/>
      <c r="N18955" s="11"/>
      <c r="O18955" s="11"/>
      <c r="P18955" s="11"/>
    </row>
    <row r="18956" spans="8:16" x14ac:dyDescent="0.25">
      <c r="H18956" s="12"/>
      <c r="I18956" s="12"/>
      <c r="J18956" s="12"/>
      <c r="K18956" s="12"/>
      <c r="L18956" s="12"/>
      <c r="M18956" s="11"/>
      <c r="N18956" s="11"/>
      <c r="O18956" s="11"/>
      <c r="P18956" s="11"/>
    </row>
    <row r="18957" spans="8:16" x14ac:dyDescent="0.25">
      <c r="H18957" s="12"/>
      <c r="I18957" s="12"/>
      <c r="J18957" s="12"/>
      <c r="K18957" s="12"/>
      <c r="L18957" s="12"/>
      <c r="M18957" s="11"/>
      <c r="N18957" s="11"/>
      <c r="O18957" s="11"/>
      <c r="P18957" s="11"/>
    </row>
    <row r="18958" spans="8:16" x14ac:dyDescent="0.25">
      <c r="H18958" s="12"/>
      <c r="I18958" s="12"/>
      <c r="J18958" s="12"/>
      <c r="K18958" s="12"/>
      <c r="L18958" s="12"/>
      <c r="M18958" s="11"/>
      <c r="N18958" s="11"/>
      <c r="O18958" s="11"/>
      <c r="P18958" s="11"/>
    </row>
    <row r="18959" spans="8:16" x14ac:dyDescent="0.25">
      <c r="H18959" s="12"/>
      <c r="I18959" s="12"/>
      <c r="J18959" s="12"/>
      <c r="K18959" s="12"/>
      <c r="L18959" s="12"/>
      <c r="M18959" s="11"/>
      <c r="N18959" s="11"/>
      <c r="O18959" s="11"/>
      <c r="P18959" s="11"/>
    </row>
    <row r="18960" spans="8:16" x14ac:dyDescent="0.25">
      <c r="H18960" s="12"/>
      <c r="I18960" s="12"/>
      <c r="J18960" s="12"/>
      <c r="K18960" s="12"/>
      <c r="L18960" s="12"/>
      <c r="M18960" s="11"/>
      <c r="N18960" s="11"/>
      <c r="O18960" s="11"/>
      <c r="P18960" s="11"/>
    </row>
    <row r="18961" spans="8:16" x14ac:dyDescent="0.25">
      <c r="H18961" s="12"/>
      <c r="I18961" s="12"/>
      <c r="J18961" s="12"/>
      <c r="K18961" s="12"/>
      <c r="L18961" s="12"/>
      <c r="M18961" s="11"/>
      <c r="N18961" s="11"/>
      <c r="O18961" s="11"/>
      <c r="P18961" s="11"/>
    </row>
    <row r="18962" spans="8:16" x14ac:dyDescent="0.25">
      <c r="H18962" s="12"/>
      <c r="I18962" s="12"/>
      <c r="J18962" s="12"/>
      <c r="K18962" s="12"/>
      <c r="L18962" s="12"/>
      <c r="M18962" s="11"/>
      <c r="N18962" s="11"/>
      <c r="O18962" s="11"/>
      <c r="P18962" s="11"/>
    </row>
    <row r="18963" spans="8:16" x14ac:dyDescent="0.25">
      <c r="H18963" s="12"/>
      <c r="I18963" s="12"/>
      <c r="J18963" s="12"/>
      <c r="K18963" s="12"/>
      <c r="L18963" s="12"/>
      <c r="M18963" s="11"/>
      <c r="N18963" s="11"/>
      <c r="O18963" s="11"/>
      <c r="P18963" s="11"/>
    </row>
    <row r="18964" spans="8:16" x14ac:dyDescent="0.25">
      <c r="H18964" s="12"/>
      <c r="I18964" s="12"/>
      <c r="J18964" s="12"/>
      <c r="K18964" s="12"/>
      <c r="L18964" s="12"/>
      <c r="M18964" s="11"/>
      <c r="N18964" s="11"/>
      <c r="O18964" s="11"/>
      <c r="P18964" s="11"/>
    </row>
    <row r="18965" spans="8:16" x14ac:dyDescent="0.25">
      <c r="H18965" s="12"/>
      <c r="I18965" s="12"/>
      <c r="J18965" s="12"/>
      <c r="K18965" s="12"/>
      <c r="L18965" s="12"/>
      <c r="M18965" s="11"/>
      <c r="N18965" s="11"/>
      <c r="O18965" s="11"/>
      <c r="P18965" s="11"/>
    </row>
    <row r="18966" spans="8:16" x14ac:dyDescent="0.25">
      <c r="H18966" s="12"/>
      <c r="I18966" s="12"/>
      <c r="J18966" s="12"/>
      <c r="K18966" s="12"/>
      <c r="L18966" s="12"/>
      <c r="M18966" s="11"/>
      <c r="N18966" s="11"/>
      <c r="O18966" s="11"/>
      <c r="P18966" s="11"/>
    </row>
    <row r="18967" spans="8:16" x14ac:dyDescent="0.25">
      <c r="H18967" s="12"/>
      <c r="I18967" s="12"/>
      <c r="J18967" s="12"/>
      <c r="K18967" s="12"/>
      <c r="L18967" s="12"/>
      <c r="M18967" s="11"/>
      <c r="N18967" s="11"/>
      <c r="O18967" s="11"/>
      <c r="P18967" s="11"/>
    </row>
    <row r="18968" spans="8:16" x14ac:dyDescent="0.25">
      <c r="H18968" s="12"/>
      <c r="I18968" s="12"/>
      <c r="J18968" s="12"/>
      <c r="K18968" s="12"/>
      <c r="L18968" s="12"/>
      <c r="M18968" s="11"/>
      <c r="N18968" s="11"/>
      <c r="O18968" s="11"/>
      <c r="P18968" s="11"/>
    </row>
    <row r="18969" spans="8:16" x14ac:dyDescent="0.25">
      <c r="H18969" s="12"/>
      <c r="I18969" s="12"/>
      <c r="J18969" s="12"/>
      <c r="K18969" s="12"/>
      <c r="L18969" s="12"/>
      <c r="M18969" s="11"/>
      <c r="N18969" s="11"/>
      <c r="O18969" s="11"/>
      <c r="P18969" s="11"/>
    </row>
    <row r="18970" spans="8:16" x14ac:dyDescent="0.25">
      <c r="H18970" s="12"/>
      <c r="I18970" s="12"/>
      <c r="J18970" s="12"/>
      <c r="K18970" s="12"/>
      <c r="L18970" s="12"/>
      <c r="M18970" s="11"/>
      <c r="N18970" s="11"/>
      <c r="O18970" s="11"/>
      <c r="P18970" s="11"/>
    </row>
    <row r="18971" spans="8:16" x14ac:dyDescent="0.25">
      <c r="H18971" s="12"/>
      <c r="I18971" s="12"/>
      <c r="J18971" s="12"/>
      <c r="K18971" s="12"/>
      <c r="L18971" s="12"/>
      <c r="M18971" s="11"/>
      <c r="N18971" s="11"/>
      <c r="O18971" s="11"/>
      <c r="P18971" s="11"/>
    </row>
    <row r="18972" spans="8:16" x14ac:dyDescent="0.25">
      <c r="H18972" s="12"/>
      <c r="I18972" s="12"/>
      <c r="J18972" s="12"/>
      <c r="K18972" s="12"/>
      <c r="L18972" s="12"/>
      <c r="M18972" s="11"/>
      <c r="N18972" s="11"/>
      <c r="O18972" s="11"/>
      <c r="P18972" s="11"/>
    </row>
    <row r="18973" spans="8:16" x14ac:dyDescent="0.25">
      <c r="H18973" s="12"/>
      <c r="I18973" s="12"/>
      <c r="J18973" s="12"/>
      <c r="K18973" s="12"/>
      <c r="L18973" s="12"/>
      <c r="M18973" s="11"/>
      <c r="N18973" s="11"/>
      <c r="O18973" s="11"/>
      <c r="P18973" s="11"/>
    </row>
    <row r="18974" spans="8:16" x14ac:dyDescent="0.25">
      <c r="H18974" s="12"/>
      <c r="I18974" s="12"/>
      <c r="J18974" s="12"/>
      <c r="K18974" s="12"/>
      <c r="L18974" s="12"/>
      <c r="M18974" s="11"/>
      <c r="N18974" s="11"/>
      <c r="O18974" s="11"/>
      <c r="P18974" s="11"/>
    </row>
    <row r="18975" spans="8:16" x14ac:dyDescent="0.25">
      <c r="H18975" s="12"/>
      <c r="I18975" s="12"/>
      <c r="J18975" s="12"/>
      <c r="K18975" s="12"/>
      <c r="L18975" s="12"/>
      <c r="M18975" s="11"/>
      <c r="N18975" s="11"/>
      <c r="O18975" s="11"/>
      <c r="P18975" s="11"/>
    </row>
    <row r="18976" spans="8:16" x14ac:dyDescent="0.25">
      <c r="H18976" s="12"/>
      <c r="I18976" s="12"/>
      <c r="J18976" s="12"/>
      <c r="K18976" s="12"/>
      <c r="L18976" s="12"/>
      <c r="M18976" s="11"/>
      <c r="N18976" s="11"/>
      <c r="O18976" s="11"/>
      <c r="P18976" s="11"/>
    </row>
    <row r="18977" spans="8:16" x14ac:dyDescent="0.25">
      <c r="H18977" s="12"/>
      <c r="I18977" s="12"/>
      <c r="J18977" s="12"/>
      <c r="K18977" s="12"/>
      <c r="L18977" s="12"/>
      <c r="M18977" s="11"/>
      <c r="N18977" s="11"/>
      <c r="O18977" s="11"/>
      <c r="P18977" s="11"/>
    </row>
    <row r="18978" spans="8:16" x14ac:dyDescent="0.25">
      <c r="H18978" s="12"/>
      <c r="I18978" s="12"/>
      <c r="J18978" s="12"/>
      <c r="K18978" s="12"/>
      <c r="L18978" s="12"/>
      <c r="M18978" s="11"/>
      <c r="N18978" s="11"/>
      <c r="O18978" s="11"/>
      <c r="P18978" s="11"/>
    </row>
    <row r="18979" spans="8:16" x14ac:dyDescent="0.25">
      <c r="H18979" s="12"/>
      <c r="I18979" s="12"/>
      <c r="J18979" s="12"/>
      <c r="K18979" s="12"/>
      <c r="L18979" s="12"/>
      <c r="M18979" s="11"/>
      <c r="N18979" s="11"/>
      <c r="O18979" s="11"/>
      <c r="P18979" s="11"/>
    </row>
    <row r="18980" spans="8:16" x14ac:dyDescent="0.25">
      <c r="H18980" s="12"/>
      <c r="I18980" s="12"/>
      <c r="J18980" s="12"/>
      <c r="K18980" s="12"/>
      <c r="L18980" s="12"/>
      <c r="M18980" s="11"/>
      <c r="N18980" s="11"/>
      <c r="O18980" s="11"/>
      <c r="P18980" s="11"/>
    </row>
    <row r="18981" spans="8:16" x14ac:dyDescent="0.25">
      <c r="H18981" s="12"/>
      <c r="I18981" s="12"/>
      <c r="J18981" s="12"/>
      <c r="K18981" s="12"/>
      <c r="L18981" s="12"/>
      <c r="M18981" s="11"/>
      <c r="N18981" s="11"/>
      <c r="O18981" s="11"/>
      <c r="P18981" s="11"/>
    </row>
    <row r="18982" spans="8:16" x14ac:dyDescent="0.25">
      <c r="H18982" s="12"/>
      <c r="I18982" s="12"/>
      <c r="J18982" s="12"/>
      <c r="K18982" s="12"/>
      <c r="L18982" s="12"/>
      <c r="M18982" s="11"/>
      <c r="N18982" s="11"/>
      <c r="O18982" s="11"/>
      <c r="P18982" s="11"/>
    </row>
    <row r="18983" spans="8:16" x14ac:dyDescent="0.25">
      <c r="H18983" s="12"/>
      <c r="I18983" s="12"/>
      <c r="J18983" s="12"/>
      <c r="K18983" s="12"/>
      <c r="L18983" s="12"/>
      <c r="M18983" s="11"/>
      <c r="N18983" s="11"/>
      <c r="O18983" s="11"/>
      <c r="P18983" s="11"/>
    </row>
    <row r="18984" spans="8:16" x14ac:dyDescent="0.25">
      <c r="H18984" s="12"/>
      <c r="I18984" s="12"/>
      <c r="J18984" s="12"/>
      <c r="K18984" s="12"/>
      <c r="L18984" s="12"/>
      <c r="M18984" s="11"/>
      <c r="N18984" s="11"/>
      <c r="O18984" s="11"/>
      <c r="P18984" s="11"/>
    </row>
    <row r="18985" spans="8:16" x14ac:dyDescent="0.25">
      <c r="H18985" s="12"/>
      <c r="I18985" s="12"/>
      <c r="J18985" s="12"/>
      <c r="K18985" s="12"/>
      <c r="L18985" s="12"/>
      <c r="M18985" s="11"/>
      <c r="N18985" s="11"/>
      <c r="O18985" s="11"/>
      <c r="P18985" s="11"/>
    </row>
    <row r="18986" spans="8:16" x14ac:dyDescent="0.25">
      <c r="H18986" s="12"/>
      <c r="I18986" s="12"/>
      <c r="J18986" s="12"/>
      <c r="K18986" s="12"/>
      <c r="L18986" s="12"/>
      <c r="M18986" s="11"/>
      <c r="N18986" s="11"/>
      <c r="O18986" s="11"/>
      <c r="P18986" s="11"/>
    </row>
    <row r="18987" spans="8:16" x14ac:dyDescent="0.25">
      <c r="H18987" s="12"/>
      <c r="I18987" s="12"/>
      <c r="J18987" s="12"/>
      <c r="K18987" s="12"/>
      <c r="L18987" s="12"/>
      <c r="M18987" s="11"/>
      <c r="N18987" s="11"/>
      <c r="O18987" s="11"/>
      <c r="P18987" s="11"/>
    </row>
    <row r="18988" spans="8:16" x14ac:dyDescent="0.25">
      <c r="H18988" s="12"/>
      <c r="I18988" s="12"/>
      <c r="J18988" s="12"/>
      <c r="K18988" s="12"/>
      <c r="L18988" s="12"/>
      <c r="M18988" s="11"/>
      <c r="N18988" s="11"/>
      <c r="O18988" s="11"/>
      <c r="P18988" s="11"/>
    </row>
    <row r="18989" spans="8:16" x14ac:dyDescent="0.25">
      <c r="H18989" s="12"/>
      <c r="I18989" s="12"/>
      <c r="J18989" s="12"/>
      <c r="K18989" s="12"/>
      <c r="L18989" s="12"/>
      <c r="M18989" s="11"/>
      <c r="N18989" s="11"/>
      <c r="O18989" s="11"/>
      <c r="P18989" s="11"/>
    </row>
    <row r="18990" spans="8:16" x14ac:dyDescent="0.25">
      <c r="H18990" s="12"/>
      <c r="I18990" s="12"/>
      <c r="J18990" s="12"/>
      <c r="K18990" s="12"/>
      <c r="L18990" s="12"/>
      <c r="M18990" s="11"/>
      <c r="N18990" s="11"/>
      <c r="O18990" s="11"/>
      <c r="P18990" s="11"/>
    </row>
    <row r="18991" spans="8:16" x14ac:dyDescent="0.25">
      <c r="H18991" s="12"/>
      <c r="I18991" s="12"/>
      <c r="J18991" s="12"/>
      <c r="K18991" s="12"/>
      <c r="L18991" s="12"/>
      <c r="M18991" s="11"/>
      <c r="N18991" s="11"/>
      <c r="O18991" s="11"/>
      <c r="P18991" s="11"/>
    </row>
    <row r="18992" spans="8:16" x14ac:dyDescent="0.25">
      <c r="H18992" s="12"/>
      <c r="I18992" s="12"/>
      <c r="J18992" s="12"/>
      <c r="K18992" s="12"/>
      <c r="L18992" s="12"/>
      <c r="M18992" s="11"/>
      <c r="N18992" s="11"/>
      <c r="O18992" s="11"/>
      <c r="P18992" s="11"/>
    </row>
    <row r="18993" spans="8:16" x14ac:dyDescent="0.25">
      <c r="H18993" s="12"/>
      <c r="I18993" s="12"/>
      <c r="J18993" s="12"/>
      <c r="K18993" s="12"/>
      <c r="L18993" s="12"/>
      <c r="M18993" s="11"/>
      <c r="N18993" s="11"/>
      <c r="O18993" s="11"/>
      <c r="P18993" s="11"/>
    </row>
    <row r="18994" spans="8:16" x14ac:dyDescent="0.25">
      <c r="H18994" s="12"/>
      <c r="I18994" s="12"/>
      <c r="J18994" s="12"/>
      <c r="K18994" s="12"/>
      <c r="L18994" s="12"/>
      <c r="M18994" s="11"/>
      <c r="N18994" s="11"/>
      <c r="O18994" s="11"/>
      <c r="P18994" s="11"/>
    </row>
    <row r="18995" spans="8:16" x14ac:dyDescent="0.25">
      <c r="H18995" s="12"/>
      <c r="I18995" s="12"/>
      <c r="J18995" s="12"/>
      <c r="K18995" s="12"/>
      <c r="L18995" s="12"/>
      <c r="M18995" s="11"/>
      <c r="N18995" s="11"/>
      <c r="O18995" s="11"/>
      <c r="P18995" s="11"/>
    </row>
    <row r="18996" spans="8:16" x14ac:dyDescent="0.25">
      <c r="H18996" s="12"/>
      <c r="I18996" s="12"/>
      <c r="J18996" s="12"/>
      <c r="K18996" s="12"/>
      <c r="L18996" s="12"/>
      <c r="M18996" s="11"/>
      <c r="N18996" s="11"/>
      <c r="O18996" s="11"/>
      <c r="P18996" s="11"/>
    </row>
    <row r="18997" spans="8:16" x14ac:dyDescent="0.25">
      <c r="H18997" s="12"/>
      <c r="I18997" s="12"/>
      <c r="J18997" s="12"/>
      <c r="K18997" s="12"/>
      <c r="L18997" s="12"/>
      <c r="M18997" s="11"/>
      <c r="N18997" s="11"/>
      <c r="O18997" s="11"/>
      <c r="P18997" s="11"/>
    </row>
    <row r="18998" spans="8:16" x14ac:dyDescent="0.25">
      <c r="H18998" s="12"/>
      <c r="I18998" s="12"/>
      <c r="J18998" s="12"/>
      <c r="K18998" s="12"/>
      <c r="L18998" s="12"/>
      <c r="M18998" s="11"/>
      <c r="N18998" s="11"/>
      <c r="O18998" s="11"/>
      <c r="P18998" s="11"/>
    </row>
    <row r="18999" spans="8:16" x14ac:dyDescent="0.25">
      <c r="H18999" s="12"/>
      <c r="I18999" s="12"/>
      <c r="J18999" s="12"/>
      <c r="K18999" s="12"/>
      <c r="L18999" s="12"/>
      <c r="M18999" s="11"/>
      <c r="N18999" s="11"/>
      <c r="O18999" s="11"/>
      <c r="P18999" s="11"/>
    </row>
    <row r="19000" spans="8:16" x14ac:dyDescent="0.25">
      <c r="H19000" s="12"/>
      <c r="I19000" s="12"/>
      <c r="J19000" s="12"/>
      <c r="K19000" s="12"/>
      <c r="L19000" s="12"/>
      <c r="M19000" s="11"/>
      <c r="N19000" s="11"/>
      <c r="O19000" s="11"/>
      <c r="P19000" s="11"/>
    </row>
    <row r="19001" spans="8:16" x14ac:dyDescent="0.25">
      <c r="H19001" s="12"/>
      <c r="I19001" s="12"/>
      <c r="J19001" s="12"/>
      <c r="K19001" s="12"/>
      <c r="L19001" s="12"/>
      <c r="M19001" s="11"/>
      <c r="N19001" s="11"/>
      <c r="O19001" s="11"/>
      <c r="P19001" s="11"/>
    </row>
    <row r="19002" spans="8:16" x14ac:dyDescent="0.25">
      <c r="H19002" s="12"/>
      <c r="I19002" s="12"/>
      <c r="J19002" s="12"/>
      <c r="K19002" s="12"/>
      <c r="L19002" s="12"/>
      <c r="M19002" s="11"/>
      <c r="N19002" s="11"/>
      <c r="O19002" s="11"/>
      <c r="P19002" s="11"/>
    </row>
    <row r="19003" spans="8:16" x14ac:dyDescent="0.25">
      <c r="H19003" s="12"/>
      <c r="I19003" s="12"/>
      <c r="J19003" s="12"/>
      <c r="K19003" s="12"/>
      <c r="L19003" s="12"/>
      <c r="M19003" s="11"/>
      <c r="N19003" s="11"/>
      <c r="O19003" s="11"/>
      <c r="P19003" s="11"/>
    </row>
    <row r="19004" spans="8:16" x14ac:dyDescent="0.25">
      <c r="H19004" s="12"/>
      <c r="I19004" s="12"/>
      <c r="J19004" s="12"/>
      <c r="K19004" s="12"/>
      <c r="L19004" s="12"/>
      <c r="M19004" s="11"/>
      <c r="N19004" s="11"/>
      <c r="O19004" s="11"/>
      <c r="P19004" s="11"/>
    </row>
    <row r="19005" spans="8:16" x14ac:dyDescent="0.25">
      <c r="H19005" s="12"/>
      <c r="I19005" s="12"/>
      <c r="J19005" s="12"/>
      <c r="K19005" s="12"/>
      <c r="L19005" s="12"/>
      <c r="M19005" s="11"/>
      <c r="N19005" s="11"/>
      <c r="O19005" s="11"/>
      <c r="P19005" s="11"/>
    </row>
    <row r="19006" spans="8:16" x14ac:dyDescent="0.25">
      <c r="H19006" s="12"/>
      <c r="I19006" s="12"/>
      <c r="J19006" s="12"/>
      <c r="K19006" s="12"/>
      <c r="L19006" s="12"/>
      <c r="M19006" s="11"/>
      <c r="N19006" s="11"/>
      <c r="O19006" s="11"/>
      <c r="P19006" s="11"/>
    </row>
    <row r="19007" spans="8:16" x14ac:dyDescent="0.25">
      <c r="H19007" s="12"/>
      <c r="I19007" s="12"/>
      <c r="J19007" s="12"/>
      <c r="K19007" s="12"/>
      <c r="L19007" s="12"/>
      <c r="M19007" s="11"/>
      <c r="N19007" s="11"/>
      <c r="O19007" s="11"/>
      <c r="P19007" s="11"/>
    </row>
    <row r="19008" spans="8:16" x14ac:dyDescent="0.25">
      <c r="H19008" s="12"/>
      <c r="I19008" s="12"/>
      <c r="J19008" s="12"/>
      <c r="K19008" s="12"/>
      <c r="L19008" s="12"/>
      <c r="M19008" s="11"/>
      <c r="N19008" s="11"/>
      <c r="O19008" s="11"/>
      <c r="P19008" s="11"/>
    </row>
    <row r="19009" spans="8:16" x14ac:dyDescent="0.25">
      <c r="H19009" s="12"/>
      <c r="I19009" s="12"/>
      <c r="J19009" s="12"/>
      <c r="K19009" s="12"/>
      <c r="L19009" s="12"/>
      <c r="M19009" s="11"/>
      <c r="N19009" s="11"/>
      <c r="O19009" s="11"/>
      <c r="P19009" s="11"/>
    </row>
    <row r="19010" spans="8:16" x14ac:dyDescent="0.25">
      <c r="H19010" s="12"/>
      <c r="I19010" s="12"/>
      <c r="J19010" s="12"/>
      <c r="K19010" s="12"/>
      <c r="L19010" s="12"/>
      <c r="M19010" s="11"/>
      <c r="N19010" s="11"/>
      <c r="O19010" s="11"/>
      <c r="P19010" s="11"/>
    </row>
    <row r="19011" spans="8:16" x14ac:dyDescent="0.25">
      <c r="H19011" s="12"/>
      <c r="I19011" s="12"/>
      <c r="J19011" s="12"/>
      <c r="K19011" s="12"/>
      <c r="L19011" s="12"/>
      <c r="M19011" s="11"/>
      <c r="N19011" s="11"/>
      <c r="O19011" s="11"/>
      <c r="P19011" s="11"/>
    </row>
    <row r="19012" spans="8:16" x14ac:dyDescent="0.25">
      <c r="H19012" s="12"/>
      <c r="I19012" s="12"/>
      <c r="J19012" s="12"/>
      <c r="K19012" s="12"/>
      <c r="L19012" s="12"/>
      <c r="M19012" s="11"/>
      <c r="N19012" s="11"/>
      <c r="O19012" s="11"/>
      <c r="P19012" s="11"/>
    </row>
    <row r="19013" spans="8:16" x14ac:dyDescent="0.25">
      <c r="H19013" s="12"/>
      <c r="I19013" s="12"/>
      <c r="J19013" s="12"/>
      <c r="K19013" s="12"/>
      <c r="L19013" s="12"/>
      <c r="M19013" s="11"/>
      <c r="N19013" s="11"/>
      <c r="O19013" s="11"/>
      <c r="P19013" s="11"/>
    </row>
    <row r="19014" spans="8:16" x14ac:dyDescent="0.25">
      <c r="H19014" s="12"/>
      <c r="I19014" s="12"/>
      <c r="J19014" s="12"/>
      <c r="K19014" s="12"/>
      <c r="L19014" s="12"/>
      <c r="M19014" s="11"/>
      <c r="N19014" s="11"/>
      <c r="O19014" s="11"/>
      <c r="P19014" s="11"/>
    </row>
    <row r="19015" spans="8:16" x14ac:dyDescent="0.25">
      <c r="H19015" s="12"/>
      <c r="I19015" s="12"/>
      <c r="J19015" s="12"/>
      <c r="K19015" s="12"/>
      <c r="L19015" s="12"/>
      <c r="M19015" s="11"/>
      <c r="N19015" s="11"/>
      <c r="O19015" s="11"/>
      <c r="P19015" s="11"/>
    </row>
    <row r="19016" spans="8:16" x14ac:dyDescent="0.25">
      <c r="H19016" s="12"/>
      <c r="I19016" s="12"/>
      <c r="J19016" s="12"/>
      <c r="K19016" s="12"/>
      <c r="L19016" s="12"/>
      <c r="M19016" s="11"/>
      <c r="N19016" s="11"/>
      <c r="O19016" s="11"/>
      <c r="P19016" s="11"/>
    </row>
    <row r="19017" spans="8:16" x14ac:dyDescent="0.25">
      <c r="H19017" s="12"/>
      <c r="I19017" s="12"/>
      <c r="J19017" s="12"/>
      <c r="K19017" s="12"/>
      <c r="L19017" s="12"/>
      <c r="M19017" s="11"/>
      <c r="N19017" s="11"/>
      <c r="O19017" s="11"/>
      <c r="P19017" s="11"/>
    </row>
    <row r="19018" spans="8:16" x14ac:dyDescent="0.25">
      <c r="H19018" s="12"/>
      <c r="I19018" s="12"/>
      <c r="J19018" s="12"/>
      <c r="K19018" s="12"/>
      <c r="L19018" s="12"/>
      <c r="M19018" s="11"/>
      <c r="N19018" s="11"/>
      <c r="O19018" s="11"/>
      <c r="P19018" s="11"/>
    </row>
    <row r="19019" spans="8:16" x14ac:dyDescent="0.25">
      <c r="H19019" s="12"/>
      <c r="I19019" s="12"/>
      <c r="J19019" s="12"/>
      <c r="K19019" s="12"/>
      <c r="L19019" s="12"/>
      <c r="M19019" s="11"/>
      <c r="N19019" s="11"/>
      <c r="O19019" s="11"/>
      <c r="P19019" s="11"/>
    </row>
    <row r="19020" spans="8:16" x14ac:dyDescent="0.25">
      <c r="H19020" s="12"/>
      <c r="I19020" s="12"/>
      <c r="J19020" s="12"/>
      <c r="K19020" s="12"/>
      <c r="L19020" s="12"/>
      <c r="M19020" s="11"/>
      <c r="N19020" s="11"/>
      <c r="O19020" s="11"/>
      <c r="P19020" s="11"/>
    </row>
    <row r="19021" spans="8:16" x14ac:dyDescent="0.25">
      <c r="H19021" s="12"/>
      <c r="I19021" s="12"/>
      <c r="J19021" s="12"/>
      <c r="K19021" s="12"/>
      <c r="L19021" s="12"/>
      <c r="M19021" s="11"/>
      <c r="N19021" s="11"/>
      <c r="O19021" s="11"/>
      <c r="P19021" s="11"/>
    </row>
    <row r="19022" spans="8:16" x14ac:dyDescent="0.25">
      <c r="H19022" s="12"/>
      <c r="I19022" s="12"/>
      <c r="J19022" s="12"/>
      <c r="K19022" s="12"/>
      <c r="L19022" s="12"/>
      <c r="M19022" s="11"/>
      <c r="N19022" s="11"/>
      <c r="O19022" s="11"/>
      <c r="P19022" s="11"/>
    </row>
    <row r="19023" spans="8:16" x14ac:dyDescent="0.25">
      <c r="H19023" s="12"/>
      <c r="I19023" s="12"/>
      <c r="J19023" s="12"/>
      <c r="K19023" s="12"/>
      <c r="L19023" s="12"/>
      <c r="M19023" s="11"/>
      <c r="N19023" s="11"/>
      <c r="O19023" s="11"/>
      <c r="P19023" s="11"/>
    </row>
    <row r="19024" spans="8:16" x14ac:dyDescent="0.25">
      <c r="H19024" s="12"/>
      <c r="I19024" s="12"/>
      <c r="J19024" s="12"/>
      <c r="K19024" s="12"/>
      <c r="L19024" s="12"/>
      <c r="M19024" s="11"/>
      <c r="N19024" s="11"/>
      <c r="O19024" s="11"/>
      <c r="P19024" s="11"/>
    </row>
    <row r="19025" spans="8:16" x14ac:dyDescent="0.25">
      <c r="H19025" s="12"/>
      <c r="I19025" s="12"/>
      <c r="J19025" s="12"/>
      <c r="K19025" s="12"/>
      <c r="L19025" s="12"/>
      <c r="M19025" s="11"/>
      <c r="N19025" s="11"/>
      <c r="O19025" s="11"/>
      <c r="P19025" s="11"/>
    </row>
    <row r="19026" spans="8:16" x14ac:dyDescent="0.25">
      <c r="H19026" s="12"/>
      <c r="I19026" s="12"/>
      <c r="J19026" s="12"/>
      <c r="K19026" s="12"/>
      <c r="L19026" s="12"/>
      <c r="M19026" s="11"/>
      <c r="N19026" s="11"/>
      <c r="O19026" s="11"/>
      <c r="P19026" s="11"/>
    </row>
    <row r="19027" spans="8:16" x14ac:dyDescent="0.25">
      <c r="H19027" s="12"/>
      <c r="I19027" s="12"/>
      <c r="J19027" s="12"/>
      <c r="K19027" s="12"/>
      <c r="L19027" s="12"/>
      <c r="M19027" s="11"/>
      <c r="N19027" s="11"/>
      <c r="O19027" s="11"/>
      <c r="P19027" s="11"/>
    </row>
    <row r="19028" spans="8:16" x14ac:dyDescent="0.25">
      <c r="H19028" s="12"/>
      <c r="I19028" s="12"/>
      <c r="J19028" s="12"/>
      <c r="K19028" s="12"/>
      <c r="L19028" s="12"/>
      <c r="M19028" s="11"/>
      <c r="N19028" s="11"/>
      <c r="O19028" s="11"/>
      <c r="P19028" s="11"/>
    </row>
    <row r="19029" spans="8:16" x14ac:dyDescent="0.25">
      <c r="H19029" s="12"/>
      <c r="I19029" s="12"/>
      <c r="J19029" s="12"/>
      <c r="K19029" s="12"/>
      <c r="L19029" s="12"/>
      <c r="M19029" s="11"/>
      <c r="N19029" s="11"/>
      <c r="O19029" s="11"/>
      <c r="P19029" s="11"/>
    </row>
    <row r="19030" spans="8:16" x14ac:dyDescent="0.25">
      <c r="H19030" s="12"/>
      <c r="I19030" s="12"/>
      <c r="J19030" s="12"/>
      <c r="K19030" s="12"/>
      <c r="L19030" s="12"/>
      <c r="M19030" s="11"/>
      <c r="N19030" s="11"/>
      <c r="O19030" s="11"/>
      <c r="P19030" s="11"/>
    </row>
    <row r="19031" spans="8:16" x14ac:dyDescent="0.25">
      <c r="H19031" s="12"/>
      <c r="I19031" s="12"/>
      <c r="J19031" s="12"/>
      <c r="K19031" s="12"/>
      <c r="L19031" s="12"/>
      <c r="M19031" s="11"/>
      <c r="N19031" s="11"/>
      <c r="O19031" s="11"/>
      <c r="P19031" s="11"/>
    </row>
    <row r="19032" spans="8:16" x14ac:dyDescent="0.25">
      <c r="H19032" s="12"/>
      <c r="I19032" s="12"/>
      <c r="J19032" s="12"/>
      <c r="K19032" s="12"/>
      <c r="L19032" s="12"/>
      <c r="M19032" s="11"/>
      <c r="N19032" s="11"/>
      <c r="O19032" s="11"/>
      <c r="P19032" s="11"/>
    </row>
    <row r="19033" spans="8:16" x14ac:dyDescent="0.25">
      <c r="H19033" s="12"/>
      <c r="I19033" s="12"/>
      <c r="J19033" s="12"/>
      <c r="K19033" s="12"/>
      <c r="L19033" s="12"/>
      <c r="M19033" s="11"/>
      <c r="N19033" s="11"/>
      <c r="O19033" s="11"/>
      <c r="P19033" s="11"/>
    </row>
    <row r="19034" spans="8:16" x14ac:dyDescent="0.25">
      <c r="H19034" s="12"/>
      <c r="I19034" s="12"/>
      <c r="J19034" s="12"/>
      <c r="K19034" s="12"/>
      <c r="L19034" s="12"/>
      <c r="M19034" s="11"/>
      <c r="N19034" s="11"/>
      <c r="O19034" s="11"/>
      <c r="P19034" s="11"/>
    </row>
    <row r="19035" spans="8:16" x14ac:dyDescent="0.25">
      <c r="H19035" s="12"/>
      <c r="I19035" s="12"/>
      <c r="J19035" s="12"/>
      <c r="K19035" s="12"/>
      <c r="L19035" s="12"/>
      <c r="M19035" s="11"/>
      <c r="N19035" s="11"/>
      <c r="O19035" s="11"/>
      <c r="P19035" s="11"/>
    </row>
    <row r="19036" spans="8:16" x14ac:dyDescent="0.25">
      <c r="H19036" s="12"/>
      <c r="I19036" s="12"/>
      <c r="J19036" s="12"/>
      <c r="K19036" s="12"/>
      <c r="L19036" s="12"/>
      <c r="M19036" s="11"/>
      <c r="N19036" s="11"/>
      <c r="O19036" s="11"/>
      <c r="P19036" s="11"/>
    </row>
    <row r="19037" spans="8:16" x14ac:dyDescent="0.25">
      <c r="H19037" s="12"/>
      <c r="I19037" s="12"/>
      <c r="J19037" s="12"/>
      <c r="K19037" s="12"/>
      <c r="L19037" s="12"/>
      <c r="M19037" s="11"/>
      <c r="N19037" s="11"/>
      <c r="O19037" s="11"/>
      <c r="P19037" s="11"/>
    </row>
    <row r="19038" spans="8:16" x14ac:dyDescent="0.25">
      <c r="H19038" s="12"/>
      <c r="I19038" s="12"/>
      <c r="J19038" s="12"/>
      <c r="K19038" s="12"/>
      <c r="L19038" s="12"/>
      <c r="M19038" s="11"/>
      <c r="N19038" s="11"/>
      <c r="O19038" s="11"/>
      <c r="P19038" s="11"/>
    </row>
    <row r="19039" spans="8:16" x14ac:dyDescent="0.25">
      <c r="H19039" s="12"/>
      <c r="I19039" s="12"/>
      <c r="J19039" s="12"/>
      <c r="K19039" s="12"/>
      <c r="L19039" s="12"/>
      <c r="M19039" s="11"/>
      <c r="N19039" s="11"/>
      <c r="O19039" s="11"/>
      <c r="P19039" s="11"/>
    </row>
    <row r="19040" spans="8:16" x14ac:dyDescent="0.25">
      <c r="H19040" s="12"/>
      <c r="I19040" s="12"/>
      <c r="J19040" s="12"/>
      <c r="K19040" s="12"/>
      <c r="L19040" s="12"/>
      <c r="M19040" s="11"/>
      <c r="N19040" s="11"/>
      <c r="O19040" s="11"/>
      <c r="P19040" s="11"/>
    </row>
    <row r="19041" spans="8:16" x14ac:dyDescent="0.25">
      <c r="H19041" s="12"/>
      <c r="I19041" s="12"/>
      <c r="J19041" s="12"/>
      <c r="K19041" s="12"/>
      <c r="L19041" s="12"/>
      <c r="M19041" s="11"/>
      <c r="N19041" s="11"/>
      <c r="O19041" s="11"/>
      <c r="P19041" s="11"/>
    </row>
    <row r="19042" spans="8:16" x14ac:dyDescent="0.25">
      <c r="H19042" s="12"/>
      <c r="I19042" s="12"/>
      <c r="J19042" s="12"/>
      <c r="K19042" s="12"/>
      <c r="L19042" s="12"/>
      <c r="M19042" s="11"/>
      <c r="N19042" s="11"/>
      <c r="O19042" s="11"/>
      <c r="P19042" s="11"/>
    </row>
    <row r="19043" spans="8:16" x14ac:dyDescent="0.25">
      <c r="H19043" s="12"/>
      <c r="I19043" s="12"/>
      <c r="J19043" s="12"/>
      <c r="K19043" s="12"/>
      <c r="L19043" s="12"/>
      <c r="M19043" s="11"/>
      <c r="N19043" s="11"/>
      <c r="O19043" s="11"/>
      <c r="P19043" s="11"/>
    </row>
    <row r="19044" spans="8:16" x14ac:dyDescent="0.25">
      <c r="H19044" s="12"/>
      <c r="I19044" s="12"/>
      <c r="J19044" s="12"/>
      <c r="K19044" s="12"/>
      <c r="L19044" s="12"/>
      <c r="M19044" s="11"/>
      <c r="N19044" s="11"/>
      <c r="O19044" s="11"/>
      <c r="P19044" s="11"/>
    </row>
    <row r="19045" spans="8:16" x14ac:dyDescent="0.25">
      <c r="H19045" s="12"/>
      <c r="I19045" s="12"/>
      <c r="J19045" s="12"/>
      <c r="K19045" s="12"/>
      <c r="L19045" s="12"/>
      <c r="M19045" s="11"/>
      <c r="N19045" s="11"/>
      <c r="O19045" s="11"/>
      <c r="P19045" s="11"/>
    </row>
    <row r="19046" spans="8:16" x14ac:dyDescent="0.25">
      <c r="H19046" s="12"/>
      <c r="I19046" s="12"/>
      <c r="J19046" s="12"/>
      <c r="K19046" s="12"/>
      <c r="L19046" s="12"/>
      <c r="M19046" s="11"/>
      <c r="N19046" s="11"/>
      <c r="O19046" s="11"/>
      <c r="P19046" s="11"/>
    </row>
    <row r="19047" spans="8:16" x14ac:dyDescent="0.25">
      <c r="H19047" s="12"/>
      <c r="I19047" s="12"/>
      <c r="J19047" s="12"/>
      <c r="K19047" s="12"/>
      <c r="L19047" s="12"/>
      <c r="M19047" s="11"/>
      <c r="N19047" s="11"/>
      <c r="O19047" s="11"/>
      <c r="P19047" s="11"/>
    </row>
    <row r="19048" spans="8:16" x14ac:dyDescent="0.25">
      <c r="H19048" s="12"/>
      <c r="I19048" s="12"/>
      <c r="J19048" s="12"/>
      <c r="K19048" s="12"/>
      <c r="L19048" s="12"/>
      <c r="M19048" s="11"/>
      <c r="N19048" s="11"/>
      <c r="O19048" s="11"/>
      <c r="P19048" s="11"/>
    </row>
    <row r="19049" spans="8:16" x14ac:dyDescent="0.25">
      <c r="H19049" s="12"/>
      <c r="I19049" s="12"/>
      <c r="J19049" s="12"/>
      <c r="K19049" s="12"/>
      <c r="L19049" s="12"/>
      <c r="M19049" s="11"/>
      <c r="N19049" s="11"/>
      <c r="O19049" s="11"/>
      <c r="P19049" s="11"/>
    </row>
    <row r="19050" spans="8:16" x14ac:dyDescent="0.25">
      <c r="H19050" s="12"/>
      <c r="I19050" s="12"/>
      <c r="J19050" s="12"/>
      <c r="K19050" s="12"/>
      <c r="L19050" s="12"/>
      <c r="M19050" s="11"/>
      <c r="N19050" s="11"/>
      <c r="O19050" s="11"/>
      <c r="P19050" s="11"/>
    </row>
    <row r="19051" spans="8:16" x14ac:dyDescent="0.25">
      <c r="H19051" s="12"/>
      <c r="I19051" s="12"/>
      <c r="J19051" s="12"/>
      <c r="K19051" s="12"/>
      <c r="L19051" s="12"/>
      <c r="M19051" s="11"/>
      <c r="N19051" s="11"/>
      <c r="O19051" s="11"/>
      <c r="P19051" s="11"/>
    </row>
    <row r="19052" spans="8:16" x14ac:dyDescent="0.25">
      <c r="H19052" s="12"/>
      <c r="I19052" s="12"/>
      <c r="J19052" s="12"/>
      <c r="K19052" s="12"/>
      <c r="L19052" s="12"/>
      <c r="M19052" s="11"/>
      <c r="N19052" s="11"/>
      <c r="O19052" s="11"/>
      <c r="P19052" s="11"/>
    </row>
    <row r="19053" spans="8:16" x14ac:dyDescent="0.25">
      <c r="H19053" s="12"/>
      <c r="I19053" s="12"/>
      <c r="J19053" s="12"/>
      <c r="K19053" s="12"/>
      <c r="L19053" s="12"/>
      <c r="M19053" s="11"/>
      <c r="N19053" s="11"/>
      <c r="O19053" s="11"/>
      <c r="P19053" s="11"/>
    </row>
    <row r="19054" spans="8:16" x14ac:dyDescent="0.25">
      <c r="H19054" s="12"/>
      <c r="I19054" s="12"/>
      <c r="J19054" s="12"/>
      <c r="K19054" s="12"/>
      <c r="L19054" s="12"/>
      <c r="M19054" s="11"/>
      <c r="N19054" s="11"/>
      <c r="O19054" s="11"/>
      <c r="P19054" s="11"/>
    </row>
    <row r="19055" spans="8:16" x14ac:dyDescent="0.25">
      <c r="H19055" s="12"/>
      <c r="I19055" s="12"/>
      <c r="J19055" s="12"/>
      <c r="K19055" s="12"/>
      <c r="L19055" s="12"/>
      <c r="M19055" s="11"/>
      <c r="N19055" s="11"/>
      <c r="O19055" s="11"/>
      <c r="P19055" s="11"/>
    </row>
    <row r="19056" spans="8:16" x14ac:dyDescent="0.25">
      <c r="H19056" s="12"/>
      <c r="I19056" s="12"/>
      <c r="J19056" s="12"/>
      <c r="K19056" s="12"/>
      <c r="L19056" s="12"/>
      <c r="M19056" s="11"/>
      <c r="N19056" s="11"/>
      <c r="O19056" s="11"/>
      <c r="P19056" s="11"/>
    </row>
    <row r="19057" spans="8:16" x14ac:dyDescent="0.25">
      <c r="H19057" s="12"/>
      <c r="I19057" s="12"/>
      <c r="J19057" s="12"/>
      <c r="K19057" s="12"/>
      <c r="L19057" s="12"/>
      <c r="M19057" s="11"/>
      <c r="N19057" s="11"/>
      <c r="O19057" s="11"/>
      <c r="P19057" s="11"/>
    </row>
    <row r="19058" spans="8:16" x14ac:dyDescent="0.25">
      <c r="H19058" s="12"/>
      <c r="I19058" s="12"/>
      <c r="J19058" s="12"/>
      <c r="K19058" s="12"/>
      <c r="L19058" s="12"/>
      <c r="M19058" s="11"/>
      <c r="N19058" s="11"/>
      <c r="O19058" s="11"/>
      <c r="P19058" s="11"/>
    </row>
    <row r="19059" spans="8:16" x14ac:dyDescent="0.25">
      <c r="H19059" s="12"/>
      <c r="I19059" s="12"/>
      <c r="J19059" s="12"/>
      <c r="K19059" s="12"/>
      <c r="L19059" s="12"/>
      <c r="M19059" s="11"/>
      <c r="N19059" s="11"/>
      <c r="O19059" s="11"/>
      <c r="P19059" s="11"/>
    </row>
    <row r="19060" spans="8:16" x14ac:dyDescent="0.25">
      <c r="H19060" s="12"/>
      <c r="I19060" s="12"/>
      <c r="J19060" s="12"/>
      <c r="K19060" s="12"/>
      <c r="L19060" s="12"/>
      <c r="M19060" s="11"/>
      <c r="N19060" s="11"/>
      <c r="O19060" s="11"/>
      <c r="P19060" s="11"/>
    </row>
    <row r="19061" spans="8:16" x14ac:dyDescent="0.25">
      <c r="H19061" s="12"/>
      <c r="I19061" s="12"/>
      <c r="J19061" s="12"/>
      <c r="K19061" s="12"/>
      <c r="L19061" s="12"/>
      <c r="M19061" s="11"/>
      <c r="N19061" s="11"/>
      <c r="O19061" s="11"/>
      <c r="P19061" s="11"/>
    </row>
    <row r="19062" spans="8:16" x14ac:dyDescent="0.25">
      <c r="H19062" s="12"/>
      <c r="I19062" s="12"/>
      <c r="J19062" s="12"/>
      <c r="K19062" s="12"/>
      <c r="L19062" s="12"/>
      <c r="M19062" s="11"/>
      <c r="N19062" s="11"/>
      <c r="O19062" s="11"/>
      <c r="P19062" s="11"/>
    </row>
    <row r="19063" spans="8:16" x14ac:dyDescent="0.25">
      <c r="H19063" s="12"/>
      <c r="I19063" s="12"/>
      <c r="J19063" s="12"/>
      <c r="K19063" s="12"/>
      <c r="L19063" s="12"/>
      <c r="M19063" s="11"/>
      <c r="N19063" s="11"/>
      <c r="O19063" s="11"/>
      <c r="P19063" s="11"/>
    </row>
    <row r="19064" spans="8:16" x14ac:dyDescent="0.25">
      <c r="H19064" s="12"/>
      <c r="I19064" s="12"/>
      <c r="J19064" s="12"/>
      <c r="K19064" s="12"/>
      <c r="L19064" s="12"/>
      <c r="M19064" s="11"/>
      <c r="N19064" s="11"/>
      <c r="O19064" s="11"/>
      <c r="P19064" s="11"/>
    </row>
    <row r="19065" spans="8:16" x14ac:dyDescent="0.25">
      <c r="H19065" s="12"/>
      <c r="I19065" s="12"/>
      <c r="J19065" s="12"/>
      <c r="K19065" s="12"/>
      <c r="L19065" s="12"/>
      <c r="M19065" s="11"/>
      <c r="N19065" s="11"/>
      <c r="O19065" s="11"/>
      <c r="P19065" s="11"/>
    </row>
    <row r="19066" spans="8:16" x14ac:dyDescent="0.25">
      <c r="H19066" s="12"/>
      <c r="I19066" s="12"/>
      <c r="J19066" s="12"/>
      <c r="K19066" s="12"/>
      <c r="L19066" s="12"/>
      <c r="M19066" s="11"/>
      <c r="N19066" s="11"/>
      <c r="O19066" s="11"/>
      <c r="P19066" s="11"/>
    </row>
    <row r="19067" spans="8:16" x14ac:dyDescent="0.25">
      <c r="H19067" s="12"/>
      <c r="I19067" s="12"/>
      <c r="J19067" s="12"/>
      <c r="K19067" s="12"/>
      <c r="L19067" s="12"/>
      <c r="M19067" s="11"/>
      <c r="N19067" s="11"/>
      <c r="O19067" s="11"/>
      <c r="P19067" s="11"/>
    </row>
    <row r="19068" spans="8:16" x14ac:dyDescent="0.25">
      <c r="H19068" s="12"/>
      <c r="I19068" s="12"/>
      <c r="J19068" s="12"/>
      <c r="K19068" s="12"/>
      <c r="L19068" s="12"/>
      <c r="M19068" s="11"/>
      <c r="N19068" s="11"/>
      <c r="O19068" s="11"/>
      <c r="P19068" s="11"/>
    </row>
    <row r="19069" spans="8:16" x14ac:dyDescent="0.25">
      <c r="H19069" s="12"/>
      <c r="I19069" s="12"/>
      <c r="J19069" s="12"/>
      <c r="K19069" s="12"/>
      <c r="L19069" s="12"/>
      <c r="M19069" s="11"/>
      <c r="N19069" s="11"/>
      <c r="O19069" s="11"/>
      <c r="P19069" s="11"/>
    </row>
    <row r="19070" spans="8:16" x14ac:dyDescent="0.25">
      <c r="H19070" s="12"/>
      <c r="I19070" s="12"/>
      <c r="J19070" s="12"/>
      <c r="K19070" s="12"/>
      <c r="L19070" s="12"/>
      <c r="M19070" s="11"/>
      <c r="N19070" s="11"/>
      <c r="O19070" s="11"/>
      <c r="P19070" s="11"/>
    </row>
    <row r="19071" spans="8:16" x14ac:dyDescent="0.25">
      <c r="H19071" s="12"/>
      <c r="I19071" s="12"/>
      <c r="J19071" s="12"/>
      <c r="K19071" s="12"/>
      <c r="L19071" s="12"/>
      <c r="M19071" s="11"/>
      <c r="N19071" s="11"/>
      <c r="O19071" s="11"/>
      <c r="P19071" s="11"/>
    </row>
    <row r="19072" spans="8:16" x14ac:dyDescent="0.25">
      <c r="H19072" s="12"/>
      <c r="I19072" s="12"/>
      <c r="J19072" s="12"/>
      <c r="K19072" s="12"/>
      <c r="L19072" s="12"/>
      <c r="M19072" s="11"/>
      <c r="N19072" s="11"/>
      <c r="O19072" s="11"/>
      <c r="P19072" s="11"/>
    </row>
    <row r="19073" spans="8:16" x14ac:dyDescent="0.25">
      <c r="H19073" s="12"/>
      <c r="I19073" s="12"/>
      <c r="J19073" s="12"/>
      <c r="K19073" s="12"/>
      <c r="L19073" s="12"/>
      <c r="M19073" s="11"/>
      <c r="N19073" s="11"/>
      <c r="O19073" s="11"/>
      <c r="P19073" s="11"/>
    </row>
    <row r="19074" spans="8:16" x14ac:dyDescent="0.25">
      <c r="H19074" s="12"/>
      <c r="I19074" s="12"/>
      <c r="J19074" s="12"/>
      <c r="K19074" s="12"/>
      <c r="L19074" s="12"/>
      <c r="M19074" s="11"/>
      <c r="N19074" s="11"/>
      <c r="O19074" s="11"/>
      <c r="P19074" s="11"/>
    </row>
    <row r="19075" spans="8:16" x14ac:dyDescent="0.25">
      <c r="H19075" s="12"/>
      <c r="I19075" s="12"/>
      <c r="J19075" s="12"/>
      <c r="K19075" s="12"/>
      <c r="L19075" s="12"/>
      <c r="M19075" s="11"/>
      <c r="N19075" s="11"/>
      <c r="O19075" s="11"/>
      <c r="P19075" s="11"/>
    </row>
    <row r="19076" spans="8:16" x14ac:dyDescent="0.25">
      <c r="H19076" s="12"/>
      <c r="I19076" s="12"/>
      <c r="J19076" s="12"/>
      <c r="K19076" s="12"/>
      <c r="L19076" s="12"/>
      <c r="M19076" s="11"/>
      <c r="N19076" s="11"/>
      <c r="O19076" s="11"/>
      <c r="P19076" s="11"/>
    </row>
    <row r="19077" spans="8:16" x14ac:dyDescent="0.25">
      <c r="H19077" s="12"/>
      <c r="I19077" s="12"/>
      <c r="J19077" s="12"/>
      <c r="K19077" s="12"/>
      <c r="L19077" s="12"/>
      <c r="M19077" s="11"/>
      <c r="N19077" s="11"/>
      <c r="O19077" s="11"/>
      <c r="P19077" s="11"/>
    </row>
    <row r="19078" spans="8:16" x14ac:dyDescent="0.25">
      <c r="H19078" s="12"/>
      <c r="I19078" s="12"/>
      <c r="J19078" s="12"/>
      <c r="K19078" s="12"/>
      <c r="L19078" s="12"/>
      <c r="M19078" s="11"/>
      <c r="N19078" s="11"/>
      <c r="O19078" s="11"/>
      <c r="P19078" s="11"/>
    </row>
    <row r="19079" spans="8:16" x14ac:dyDescent="0.25">
      <c r="H19079" s="12"/>
      <c r="I19079" s="12"/>
      <c r="J19079" s="12"/>
      <c r="K19079" s="12"/>
      <c r="L19079" s="12"/>
      <c r="M19079" s="11"/>
      <c r="N19079" s="11"/>
      <c r="O19079" s="11"/>
      <c r="P19079" s="11"/>
    </row>
    <row r="19080" spans="8:16" x14ac:dyDescent="0.25">
      <c r="H19080" s="12"/>
      <c r="I19080" s="12"/>
      <c r="J19080" s="12"/>
      <c r="K19080" s="12"/>
      <c r="L19080" s="12"/>
      <c r="M19080" s="11"/>
      <c r="N19080" s="11"/>
      <c r="O19080" s="11"/>
      <c r="P19080" s="11"/>
    </row>
    <row r="19081" spans="8:16" x14ac:dyDescent="0.25">
      <c r="H19081" s="12"/>
      <c r="I19081" s="12"/>
      <c r="J19081" s="12"/>
      <c r="K19081" s="12"/>
      <c r="L19081" s="12"/>
      <c r="M19081" s="11"/>
      <c r="N19081" s="11"/>
      <c r="O19081" s="11"/>
      <c r="P19081" s="11"/>
    </row>
    <row r="19082" spans="8:16" x14ac:dyDescent="0.25">
      <c r="H19082" s="12"/>
      <c r="I19082" s="12"/>
      <c r="J19082" s="12"/>
      <c r="K19082" s="12"/>
      <c r="L19082" s="12"/>
      <c r="M19082" s="11"/>
      <c r="N19082" s="11"/>
      <c r="O19082" s="11"/>
      <c r="P19082" s="11"/>
    </row>
    <row r="19083" spans="8:16" x14ac:dyDescent="0.25">
      <c r="H19083" s="12"/>
      <c r="I19083" s="12"/>
      <c r="J19083" s="12"/>
      <c r="K19083" s="12"/>
      <c r="L19083" s="12"/>
      <c r="M19083" s="11"/>
      <c r="N19083" s="11"/>
      <c r="O19083" s="11"/>
      <c r="P19083" s="11"/>
    </row>
    <row r="19084" spans="8:16" x14ac:dyDescent="0.25">
      <c r="H19084" s="12"/>
      <c r="I19084" s="12"/>
      <c r="J19084" s="12"/>
      <c r="K19084" s="12"/>
      <c r="L19084" s="12"/>
      <c r="M19084" s="11"/>
      <c r="N19084" s="11"/>
      <c r="O19084" s="11"/>
      <c r="P19084" s="11"/>
    </row>
    <row r="19085" spans="8:16" x14ac:dyDescent="0.25">
      <c r="H19085" s="12"/>
      <c r="I19085" s="12"/>
      <c r="J19085" s="12"/>
      <c r="K19085" s="12"/>
      <c r="L19085" s="12"/>
      <c r="M19085" s="11"/>
      <c r="N19085" s="11"/>
      <c r="O19085" s="11"/>
      <c r="P19085" s="11"/>
    </row>
    <row r="19086" spans="8:16" x14ac:dyDescent="0.25">
      <c r="H19086" s="12"/>
      <c r="I19086" s="12"/>
      <c r="J19086" s="12"/>
      <c r="K19086" s="12"/>
      <c r="L19086" s="12"/>
      <c r="M19086" s="11"/>
      <c r="N19086" s="11"/>
      <c r="O19086" s="11"/>
      <c r="P19086" s="11"/>
    </row>
    <row r="19087" spans="8:16" x14ac:dyDescent="0.25">
      <c r="H19087" s="12"/>
      <c r="I19087" s="12"/>
      <c r="J19087" s="12"/>
      <c r="K19087" s="12"/>
      <c r="L19087" s="12"/>
      <c r="M19087" s="11"/>
      <c r="N19087" s="11"/>
      <c r="O19087" s="11"/>
      <c r="P19087" s="11"/>
    </row>
    <row r="19088" spans="8:16" x14ac:dyDescent="0.25">
      <c r="H19088" s="12"/>
      <c r="I19088" s="12"/>
      <c r="J19088" s="12"/>
      <c r="K19088" s="12"/>
      <c r="L19088" s="12"/>
      <c r="M19088" s="11"/>
      <c r="N19088" s="11"/>
      <c r="O19088" s="11"/>
      <c r="P19088" s="11"/>
    </row>
    <row r="19089" spans="8:16" x14ac:dyDescent="0.25">
      <c r="H19089" s="12"/>
      <c r="I19089" s="12"/>
      <c r="J19089" s="12"/>
      <c r="K19089" s="12"/>
      <c r="L19089" s="12"/>
      <c r="M19089" s="11"/>
      <c r="N19089" s="11"/>
      <c r="O19089" s="11"/>
      <c r="P19089" s="11"/>
    </row>
    <row r="19090" spans="8:16" x14ac:dyDescent="0.25">
      <c r="H19090" s="12"/>
      <c r="I19090" s="12"/>
      <c r="J19090" s="12"/>
      <c r="K19090" s="12"/>
      <c r="L19090" s="12"/>
      <c r="M19090" s="11"/>
      <c r="N19090" s="11"/>
      <c r="O19090" s="11"/>
      <c r="P19090" s="11"/>
    </row>
    <row r="19091" spans="8:16" x14ac:dyDescent="0.25">
      <c r="H19091" s="12"/>
      <c r="I19091" s="12"/>
      <c r="J19091" s="12"/>
      <c r="K19091" s="12"/>
      <c r="L19091" s="12"/>
      <c r="M19091" s="11"/>
      <c r="N19091" s="11"/>
      <c r="O19091" s="11"/>
      <c r="P19091" s="11"/>
    </row>
    <row r="19092" spans="8:16" x14ac:dyDescent="0.25">
      <c r="H19092" s="12"/>
      <c r="I19092" s="12"/>
      <c r="J19092" s="12"/>
      <c r="K19092" s="12"/>
      <c r="L19092" s="12"/>
      <c r="M19092" s="11"/>
      <c r="N19092" s="11"/>
      <c r="O19092" s="11"/>
      <c r="P19092" s="11"/>
    </row>
    <row r="19093" spans="8:16" x14ac:dyDescent="0.25">
      <c r="H19093" s="12"/>
      <c r="I19093" s="12"/>
      <c r="J19093" s="12"/>
      <c r="K19093" s="12"/>
      <c r="L19093" s="12"/>
      <c r="M19093" s="11"/>
      <c r="N19093" s="11"/>
      <c r="O19093" s="11"/>
      <c r="P19093" s="11"/>
    </row>
    <row r="19094" spans="8:16" x14ac:dyDescent="0.25">
      <c r="H19094" s="12"/>
      <c r="I19094" s="12"/>
      <c r="J19094" s="12"/>
      <c r="K19094" s="12"/>
      <c r="L19094" s="12"/>
      <c r="M19094" s="11"/>
      <c r="N19094" s="11"/>
      <c r="O19094" s="11"/>
      <c r="P19094" s="11"/>
    </row>
    <row r="19095" spans="8:16" x14ac:dyDescent="0.25">
      <c r="H19095" s="12"/>
      <c r="I19095" s="12"/>
      <c r="J19095" s="12"/>
      <c r="K19095" s="12"/>
      <c r="L19095" s="12"/>
      <c r="M19095" s="11"/>
      <c r="N19095" s="11"/>
      <c r="O19095" s="11"/>
      <c r="P19095" s="11"/>
    </row>
    <row r="19096" spans="8:16" x14ac:dyDescent="0.25">
      <c r="H19096" s="12"/>
      <c r="I19096" s="12"/>
      <c r="J19096" s="12"/>
      <c r="K19096" s="12"/>
      <c r="L19096" s="12"/>
      <c r="M19096" s="11"/>
      <c r="N19096" s="11"/>
      <c r="O19096" s="11"/>
      <c r="P19096" s="11"/>
    </row>
    <row r="19097" spans="8:16" x14ac:dyDescent="0.25">
      <c r="H19097" s="12"/>
      <c r="I19097" s="12"/>
      <c r="J19097" s="12"/>
      <c r="K19097" s="12"/>
      <c r="L19097" s="12"/>
      <c r="M19097" s="11"/>
      <c r="N19097" s="11"/>
      <c r="O19097" s="11"/>
      <c r="P19097" s="11"/>
    </row>
    <row r="19098" spans="8:16" x14ac:dyDescent="0.25">
      <c r="H19098" s="12"/>
      <c r="I19098" s="12"/>
      <c r="J19098" s="12"/>
      <c r="K19098" s="12"/>
      <c r="L19098" s="12"/>
      <c r="M19098" s="11"/>
      <c r="N19098" s="11"/>
      <c r="O19098" s="11"/>
      <c r="P19098" s="11"/>
    </row>
    <row r="19099" spans="8:16" x14ac:dyDescent="0.25">
      <c r="H19099" s="12"/>
      <c r="I19099" s="12"/>
      <c r="J19099" s="12"/>
      <c r="K19099" s="12"/>
      <c r="L19099" s="12"/>
      <c r="M19099" s="11"/>
      <c r="N19099" s="11"/>
      <c r="O19099" s="11"/>
      <c r="P19099" s="11"/>
    </row>
    <row r="19100" spans="8:16" x14ac:dyDescent="0.25">
      <c r="H19100" s="12"/>
      <c r="I19100" s="12"/>
      <c r="J19100" s="12"/>
      <c r="K19100" s="12"/>
      <c r="L19100" s="12"/>
      <c r="M19100" s="11"/>
      <c r="N19100" s="11"/>
      <c r="O19100" s="11"/>
      <c r="P19100" s="11"/>
    </row>
    <row r="19101" spans="8:16" x14ac:dyDescent="0.25">
      <c r="H19101" s="12"/>
      <c r="I19101" s="12"/>
      <c r="J19101" s="12"/>
      <c r="K19101" s="12"/>
      <c r="L19101" s="12"/>
      <c r="M19101" s="11"/>
      <c r="N19101" s="11"/>
      <c r="O19101" s="11"/>
      <c r="P19101" s="11"/>
    </row>
    <row r="19102" spans="8:16" x14ac:dyDescent="0.25">
      <c r="H19102" s="12"/>
      <c r="I19102" s="12"/>
      <c r="J19102" s="12"/>
      <c r="K19102" s="12"/>
      <c r="L19102" s="12"/>
      <c r="M19102" s="11"/>
      <c r="N19102" s="11"/>
      <c r="O19102" s="11"/>
      <c r="P19102" s="11"/>
    </row>
    <row r="19103" spans="8:16" x14ac:dyDescent="0.25">
      <c r="H19103" s="12"/>
      <c r="I19103" s="12"/>
      <c r="J19103" s="12"/>
      <c r="K19103" s="12"/>
      <c r="L19103" s="12"/>
      <c r="M19103" s="11"/>
      <c r="N19103" s="11"/>
      <c r="O19103" s="11"/>
      <c r="P19103" s="11"/>
    </row>
    <row r="19104" spans="8:16" x14ac:dyDescent="0.25">
      <c r="H19104" s="12"/>
      <c r="I19104" s="12"/>
      <c r="J19104" s="12"/>
      <c r="K19104" s="12"/>
      <c r="L19104" s="12"/>
      <c r="M19104" s="11"/>
      <c r="N19104" s="11"/>
      <c r="O19104" s="11"/>
      <c r="P19104" s="11"/>
    </row>
    <row r="19105" spans="8:16" x14ac:dyDescent="0.25">
      <c r="H19105" s="12"/>
      <c r="I19105" s="12"/>
      <c r="J19105" s="12"/>
      <c r="K19105" s="12"/>
      <c r="L19105" s="12"/>
      <c r="M19105" s="11"/>
      <c r="N19105" s="11"/>
      <c r="O19105" s="11"/>
      <c r="P19105" s="11"/>
    </row>
    <row r="19106" spans="8:16" x14ac:dyDescent="0.25">
      <c r="H19106" s="12"/>
      <c r="I19106" s="12"/>
      <c r="J19106" s="12"/>
      <c r="K19106" s="12"/>
      <c r="L19106" s="12"/>
      <c r="M19106" s="11"/>
      <c r="N19106" s="11"/>
      <c r="O19106" s="11"/>
      <c r="P19106" s="11"/>
    </row>
    <row r="19107" spans="8:16" x14ac:dyDescent="0.25">
      <c r="H19107" s="12"/>
      <c r="I19107" s="12"/>
      <c r="J19107" s="12"/>
      <c r="K19107" s="12"/>
      <c r="L19107" s="12"/>
      <c r="M19107" s="11"/>
      <c r="N19107" s="11"/>
      <c r="O19107" s="11"/>
      <c r="P19107" s="11"/>
    </row>
    <row r="19108" spans="8:16" x14ac:dyDescent="0.25">
      <c r="H19108" s="12"/>
      <c r="I19108" s="12"/>
      <c r="J19108" s="12"/>
      <c r="K19108" s="12"/>
      <c r="L19108" s="12"/>
      <c r="M19108" s="11"/>
      <c r="N19108" s="11"/>
      <c r="O19108" s="11"/>
      <c r="P19108" s="11"/>
    </row>
    <row r="19109" spans="8:16" x14ac:dyDescent="0.25">
      <c r="H19109" s="12"/>
      <c r="I19109" s="12"/>
      <c r="J19109" s="12"/>
      <c r="K19109" s="12"/>
      <c r="L19109" s="12"/>
      <c r="M19109" s="11"/>
      <c r="N19109" s="11"/>
      <c r="O19109" s="11"/>
      <c r="P19109" s="11"/>
    </row>
    <row r="19110" spans="8:16" x14ac:dyDescent="0.25">
      <c r="H19110" s="12"/>
      <c r="I19110" s="12"/>
      <c r="J19110" s="12"/>
      <c r="K19110" s="12"/>
      <c r="L19110" s="12"/>
      <c r="M19110" s="11"/>
      <c r="N19110" s="11"/>
      <c r="O19110" s="11"/>
      <c r="P19110" s="11"/>
    </row>
    <row r="19111" spans="8:16" x14ac:dyDescent="0.25">
      <c r="H19111" s="12"/>
      <c r="I19111" s="12"/>
      <c r="J19111" s="12"/>
      <c r="K19111" s="12"/>
      <c r="L19111" s="12"/>
      <c r="M19111" s="11"/>
      <c r="N19111" s="11"/>
      <c r="O19111" s="11"/>
      <c r="P19111" s="11"/>
    </row>
    <row r="19112" spans="8:16" x14ac:dyDescent="0.25">
      <c r="H19112" s="12"/>
      <c r="I19112" s="12"/>
      <c r="J19112" s="12"/>
      <c r="K19112" s="12"/>
      <c r="L19112" s="12"/>
      <c r="M19112" s="11"/>
      <c r="N19112" s="11"/>
      <c r="O19112" s="11"/>
      <c r="P19112" s="11"/>
    </row>
    <row r="19113" spans="8:16" x14ac:dyDescent="0.25">
      <c r="H19113" s="12"/>
      <c r="I19113" s="12"/>
      <c r="J19113" s="12"/>
      <c r="K19113" s="12"/>
      <c r="L19113" s="12"/>
      <c r="M19113" s="11"/>
      <c r="N19113" s="11"/>
      <c r="O19113" s="11"/>
      <c r="P19113" s="11"/>
    </row>
    <row r="19114" spans="8:16" x14ac:dyDescent="0.25">
      <c r="H19114" s="12"/>
      <c r="I19114" s="12"/>
      <c r="J19114" s="12"/>
      <c r="K19114" s="12"/>
      <c r="L19114" s="12"/>
      <c r="M19114" s="11"/>
      <c r="N19114" s="11"/>
      <c r="O19114" s="11"/>
      <c r="P19114" s="11"/>
    </row>
    <row r="19115" spans="8:16" x14ac:dyDescent="0.25">
      <c r="H19115" s="12"/>
      <c r="I19115" s="12"/>
      <c r="J19115" s="12"/>
      <c r="K19115" s="12"/>
      <c r="L19115" s="12"/>
      <c r="M19115" s="11"/>
      <c r="N19115" s="11"/>
      <c r="O19115" s="11"/>
      <c r="P19115" s="11"/>
    </row>
    <row r="19116" spans="8:16" x14ac:dyDescent="0.25">
      <c r="H19116" s="12"/>
      <c r="I19116" s="12"/>
      <c r="J19116" s="12"/>
      <c r="K19116" s="12"/>
      <c r="L19116" s="12"/>
      <c r="M19116" s="11"/>
      <c r="N19116" s="11"/>
      <c r="O19116" s="11"/>
      <c r="P19116" s="11"/>
    </row>
    <row r="19117" spans="8:16" x14ac:dyDescent="0.25">
      <c r="H19117" s="12"/>
      <c r="I19117" s="12"/>
      <c r="J19117" s="12"/>
      <c r="K19117" s="12"/>
      <c r="L19117" s="12"/>
      <c r="M19117" s="11"/>
      <c r="N19117" s="11"/>
      <c r="O19117" s="11"/>
      <c r="P19117" s="11"/>
    </row>
    <row r="19118" spans="8:16" x14ac:dyDescent="0.25">
      <c r="H19118" s="12"/>
      <c r="I19118" s="12"/>
      <c r="J19118" s="12"/>
      <c r="K19118" s="12"/>
      <c r="L19118" s="12"/>
      <c r="M19118" s="11"/>
      <c r="N19118" s="11"/>
      <c r="O19118" s="11"/>
      <c r="P19118" s="11"/>
    </row>
    <row r="19119" spans="8:16" x14ac:dyDescent="0.25">
      <c r="H19119" s="12"/>
      <c r="I19119" s="12"/>
      <c r="J19119" s="12"/>
      <c r="K19119" s="12"/>
      <c r="L19119" s="12"/>
      <c r="M19119" s="11"/>
      <c r="N19119" s="11"/>
      <c r="O19119" s="11"/>
      <c r="P19119" s="11"/>
    </row>
    <row r="19120" spans="8:16" x14ac:dyDescent="0.25">
      <c r="H19120" s="12"/>
      <c r="I19120" s="12"/>
      <c r="J19120" s="12"/>
      <c r="K19120" s="12"/>
      <c r="L19120" s="12"/>
      <c r="M19120" s="11"/>
      <c r="N19120" s="11"/>
      <c r="O19120" s="11"/>
      <c r="P19120" s="11"/>
    </row>
    <row r="19121" spans="8:16" x14ac:dyDescent="0.25">
      <c r="H19121" s="12"/>
      <c r="I19121" s="12"/>
      <c r="J19121" s="12"/>
      <c r="K19121" s="12"/>
      <c r="L19121" s="12"/>
      <c r="M19121" s="11"/>
      <c r="N19121" s="11"/>
      <c r="O19121" s="11"/>
      <c r="P19121" s="11"/>
    </row>
    <row r="19122" spans="8:16" x14ac:dyDescent="0.25">
      <c r="H19122" s="12"/>
      <c r="I19122" s="12"/>
      <c r="J19122" s="12"/>
      <c r="K19122" s="12"/>
      <c r="L19122" s="12"/>
      <c r="M19122" s="11"/>
      <c r="N19122" s="11"/>
      <c r="O19122" s="11"/>
      <c r="P19122" s="11"/>
    </row>
    <row r="19123" spans="8:16" x14ac:dyDescent="0.25">
      <c r="H19123" s="12"/>
      <c r="I19123" s="12"/>
      <c r="J19123" s="12"/>
      <c r="K19123" s="12"/>
      <c r="L19123" s="12"/>
      <c r="M19123" s="11"/>
      <c r="N19123" s="11"/>
      <c r="O19123" s="11"/>
      <c r="P19123" s="11"/>
    </row>
    <row r="19124" spans="8:16" x14ac:dyDescent="0.25">
      <c r="H19124" s="12"/>
      <c r="I19124" s="12"/>
      <c r="J19124" s="12"/>
      <c r="K19124" s="12"/>
      <c r="L19124" s="12"/>
      <c r="M19124" s="11"/>
      <c r="N19124" s="11"/>
      <c r="O19124" s="11"/>
      <c r="P19124" s="11"/>
    </row>
    <row r="19125" spans="8:16" x14ac:dyDescent="0.25">
      <c r="H19125" s="12"/>
      <c r="I19125" s="12"/>
      <c r="J19125" s="12"/>
      <c r="K19125" s="12"/>
      <c r="L19125" s="12"/>
      <c r="M19125" s="11"/>
      <c r="N19125" s="11"/>
      <c r="O19125" s="11"/>
      <c r="P19125" s="11"/>
    </row>
    <row r="19126" spans="8:16" x14ac:dyDescent="0.25">
      <c r="H19126" s="12"/>
      <c r="I19126" s="12"/>
      <c r="J19126" s="12"/>
      <c r="K19126" s="12"/>
      <c r="L19126" s="12"/>
      <c r="M19126" s="11"/>
      <c r="N19126" s="11"/>
      <c r="O19126" s="11"/>
      <c r="P19126" s="11"/>
    </row>
    <row r="19127" spans="8:16" x14ac:dyDescent="0.25">
      <c r="H19127" s="12"/>
      <c r="I19127" s="12"/>
      <c r="J19127" s="12"/>
      <c r="K19127" s="12"/>
      <c r="L19127" s="12"/>
      <c r="M19127" s="11"/>
      <c r="N19127" s="11"/>
      <c r="O19127" s="11"/>
      <c r="P19127" s="11"/>
    </row>
    <row r="19128" spans="8:16" x14ac:dyDescent="0.25">
      <c r="H19128" s="12"/>
      <c r="I19128" s="12"/>
      <c r="J19128" s="12"/>
      <c r="K19128" s="12"/>
      <c r="L19128" s="12"/>
      <c r="M19128" s="11"/>
      <c r="N19128" s="11"/>
      <c r="O19128" s="11"/>
      <c r="P19128" s="11"/>
    </row>
    <row r="19129" spans="8:16" x14ac:dyDescent="0.25">
      <c r="H19129" s="12"/>
      <c r="I19129" s="12"/>
      <c r="J19129" s="12"/>
      <c r="K19129" s="12"/>
      <c r="L19129" s="12"/>
      <c r="M19129" s="11"/>
      <c r="N19129" s="11"/>
      <c r="O19129" s="11"/>
      <c r="P19129" s="11"/>
    </row>
    <row r="19130" spans="8:16" x14ac:dyDescent="0.25">
      <c r="H19130" s="12"/>
      <c r="I19130" s="12"/>
      <c r="J19130" s="12"/>
      <c r="K19130" s="12"/>
      <c r="L19130" s="12"/>
      <c r="M19130" s="11"/>
      <c r="N19130" s="11"/>
      <c r="O19130" s="11"/>
      <c r="P19130" s="11"/>
    </row>
    <row r="19131" spans="8:16" x14ac:dyDescent="0.25">
      <c r="H19131" s="12"/>
      <c r="I19131" s="12"/>
      <c r="J19131" s="12"/>
      <c r="K19131" s="12"/>
      <c r="L19131" s="12"/>
      <c r="M19131" s="11"/>
      <c r="N19131" s="11"/>
      <c r="O19131" s="11"/>
      <c r="P19131" s="11"/>
    </row>
    <row r="19132" spans="8:16" x14ac:dyDescent="0.25">
      <c r="H19132" s="12"/>
      <c r="I19132" s="12"/>
      <c r="J19132" s="12"/>
      <c r="K19132" s="12"/>
      <c r="L19132" s="12"/>
      <c r="M19132" s="11"/>
      <c r="N19132" s="11"/>
      <c r="O19132" s="11"/>
      <c r="P19132" s="11"/>
    </row>
    <row r="19133" spans="8:16" x14ac:dyDescent="0.25">
      <c r="H19133" s="12"/>
      <c r="I19133" s="12"/>
      <c r="J19133" s="12"/>
      <c r="K19133" s="12"/>
      <c r="L19133" s="12"/>
      <c r="M19133" s="11"/>
      <c r="N19133" s="11"/>
      <c r="O19133" s="11"/>
      <c r="P19133" s="11"/>
    </row>
    <row r="19134" spans="8:16" x14ac:dyDescent="0.25">
      <c r="H19134" s="12"/>
      <c r="I19134" s="12"/>
      <c r="J19134" s="12"/>
      <c r="K19134" s="12"/>
      <c r="L19134" s="12"/>
      <c r="M19134" s="11"/>
      <c r="N19134" s="11"/>
      <c r="O19134" s="11"/>
      <c r="P19134" s="11"/>
    </row>
    <row r="19135" spans="8:16" x14ac:dyDescent="0.25">
      <c r="H19135" s="12"/>
      <c r="I19135" s="12"/>
      <c r="J19135" s="12"/>
      <c r="K19135" s="12"/>
      <c r="L19135" s="12"/>
      <c r="M19135" s="11"/>
      <c r="N19135" s="11"/>
      <c r="O19135" s="11"/>
      <c r="P19135" s="11"/>
    </row>
    <row r="19136" spans="8:16" x14ac:dyDescent="0.25">
      <c r="H19136" s="12"/>
      <c r="I19136" s="12"/>
      <c r="J19136" s="12"/>
      <c r="K19136" s="12"/>
      <c r="L19136" s="12"/>
      <c r="M19136" s="11"/>
      <c r="N19136" s="11"/>
      <c r="O19136" s="11"/>
      <c r="P19136" s="11"/>
    </row>
    <row r="19137" spans="8:16" x14ac:dyDescent="0.25">
      <c r="H19137" s="12"/>
      <c r="I19137" s="12"/>
      <c r="J19137" s="12"/>
      <c r="K19137" s="12"/>
      <c r="L19137" s="12"/>
      <c r="M19137" s="11"/>
      <c r="N19137" s="11"/>
      <c r="O19137" s="11"/>
      <c r="P19137" s="11"/>
    </row>
    <row r="19138" spans="8:16" x14ac:dyDescent="0.25">
      <c r="H19138" s="12"/>
      <c r="I19138" s="12"/>
      <c r="J19138" s="12"/>
      <c r="K19138" s="12"/>
      <c r="L19138" s="12"/>
      <c r="M19138" s="11"/>
      <c r="N19138" s="11"/>
      <c r="O19138" s="11"/>
      <c r="P19138" s="11"/>
    </row>
    <row r="19139" spans="8:16" x14ac:dyDescent="0.25">
      <c r="H19139" s="12"/>
      <c r="I19139" s="12"/>
      <c r="J19139" s="12"/>
      <c r="K19139" s="12"/>
      <c r="L19139" s="12"/>
      <c r="M19139" s="11"/>
      <c r="N19139" s="11"/>
      <c r="O19139" s="11"/>
      <c r="P19139" s="11"/>
    </row>
    <row r="19140" spans="8:16" x14ac:dyDescent="0.25">
      <c r="H19140" s="12"/>
      <c r="I19140" s="12"/>
      <c r="J19140" s="12"/>
      <c r="K19140" s="12"/>
      <c r="L19140" s="12"/>
      <c r="M19140" s="11"/>
      <c r="N19140" s="11"/>
      <c r="O19140" s="11"/>
      <c r="P19140" s="11"/>
    </row>
    <row r="19141" spans="8:16" x14ac:dyDescent="0.25">
      <c r="H19141" s="12"/>
      <c r="I19141" s="12"/>
      <c r="J19141" s="12"/>
      <c r="K19141" s="12"/>
      <c r="L19141" s="12"/>
      <c r="M19141" s="11"/>
      <c r="N19141" s="11"/>
      <c r="O19141" s="11"/>
      <c r="P19141" s="11"/>
    </row>
    <row r="19142" spans="8:16" x14ac:dyDescent="0.25">
      <c r="H19142" s="12"/>
      <c r="I19142" s="12"/>
      <c r="J19142" s="12"/>
      <c r="K19142" s="12"/>
      <c r="L19142" s="12"/>
      <c r="M19142" s="11"/>
      <c r="N19142" s="11"/>
      <c r="O19142" s="11"/>
      <c r="P19142" s="11"/>
    </row>
    <row r="19143" spans="8:16" x14ac:dyDescent="0.25">
      <c r="H19143" s="12"/>
      <c r="I19143" s="12"/>
      <c r="J19143" s="12"/>
      <c r="K19143" s="12"/>
      <c r="L19143" s="12"/>
      <c r="M19143" s="11"/>
      <c r="N19143" s="11"/>
      <c r="O19143" s="11"/>
      <c r="P19143" s="11"/>
    </row>
    <row r="19144" spans="8:16" x14ac:dyDescent="0.25">
      <c r="H19144" s="12"/>
      <c r="I19144" s="12"/>
      <c r="J19144" s="12"/>
      <c r="K19144" s="12"/>
      <c r="L19144" s="12"/>
      <c r="M19144" s="11"/>
      <c r="N19144" s="11"/>
      <c r="O19144" s="11"/>
      <c r="P19144" s="11"/>
    </row>
    <row r="19145" spans="8:16" x14ac:dyDescent="0.25">
      <c r="H19145" s="12"/>
      <c r="I19145" s="12"/>
      <c r="J19145" s="12"/>
      <c r="K19145" s="12"/>
      <c r="L19145" s="12"/>
      <c r="M19145" s="11"/>
      <c r="N19145" s="11"/>
      <c r="O19145" s="11"/>
      <c r="P19145" s="11"/>
    </row>
    <row r="19146" spans="8:16" x14ac:dyDescent="0.25">
      <c r="H19146" s="12"/>
      <c r="I19146" s="12"/>
      <c r="J19146" s="12"/>
      <c r="K19146" s="12"/>
      <c r="L19146" s="12"/>
      <c r="M19146" s="11"/>
      <c r="N19146" s="11"/>
      <c r="O19146" s="11"/>
      <c r="P19146" s="11"/>
    </row>
    <row r="19147" spans="8:16" x14ac:dyDescent="0.25">
      <c r="H19147" s="12"/>
      <c r="I19147" s="12"/>
      <c r="J19147" s="12"/>
      <c r="K19147" s="12"/>
      <c r="L19147" s="12"/>
      <c r="M19147" s="11"/>
      <c r="N19147" s="11"/>
      <c r="O19147" s="11"/>
      <c r="P19147" s="11"/>
    </row>
    <row r="19148" spans="8:16" x14ac:dyDescent="0.25">
      <c r="H19148" s="12"/>
      <c r="I19148" s="12"/>
      <c r="J19148" s="12"/>
      <c r="K19148" s="12"/>
      <c r="L19148" s="12"/>
      <c r="M19148" s="11"/>
      <c r="N19148" s="11"/>
      <c r="O19148" s="11"/>
      <c r="P19148" s="11"/>
    </row>
    <row r="19149" spans="8:16" x14ac:dyDescent="0.25">
      <c r="H19149" s="12"/>
      <c r="I19149" s="12"/>
      <c r="J19149" s="12"/>
      <c r="K19149" s="12"/>
      <c r="L19149" s="12"/>
      <c r="M19149" s="11"/>
      <c r="N19149" s="11"/>
      <c r="O19149" s="11"/>
      <c r="P19149" s="11"/>
    </row>
    <row r="19150" spans="8:16" x14ac:dyDescent="0.25">
      <c r="H19150" s="12"/>
      <c r="I19150" s="12"/>
      <c r="J19150" s="12"/>
      <c r="K19150" s="12"/>
      <c r="L19150" s="12"/>
      <c r="M19150" s="11"/>
      <c r="N19150" s="11"/>
      <c r="O19150" s="11"/>
      <c r="P19150" s="11"/>
    </row>
    <row r="19151" spans="8:16" x14ac:dyDescent="0.25">
      <c r="H19151" s="12"/>
      <c r="I19151" s="12"/>
      <c r="J19151" s="12"/>
      <c r="K19151" s="12"/>
      <c r="L19151" s="12"/>
      <c r="M19151" s="11"/>
      <c r="N19151" s="11"/>
      <c r="O19151" s="11"/>
      <c r="P19151" s="11"/>
    </row>
    <row r="19152" spans="8:16" x14ac:dyDescent="0.25">
      <c r="H19152" s="12"/>
      <c r="I19152" s="12"/>
      <c r="J19152" s="12"/>
      <c r="K19152" s="12"/>
      <c r="L19152" s="12"/>
      <c r="M19152" s="11"/>
      <c r="N19152" s="11"/>
      <c r="O19152" s="11"/>
      <c r="P19152" s="11"/>
    </row>
    <row r="19153" spans="8:16" x14ac:dyDescent="0.25">
      <c r="H19153" s="12"/>
      <c r="I19153" s="12"/>
      <c r="J19153" s="12"/>
      <c r="K19153" s="12"/>
      <c r="L19153" s="12"/>
      <c r="M19153" s="11"/>
      <c r="N19153" s="11"/>
      <c r="O19153" s="11"/>
      <c r="P19153" s="11"/>
    </row>
    <row r="19154" spans="8:16" x14ac:dyDescent="0.25">
      <c r="H19154" s="12"/>
      <c r="I19154" s="12"/>
      <c r="J19154" s="12"/>
      <c r="K19154" s="12"/>
      <c r="L19154" s="12"/>
      <c r="M19154" s="11"/>
      <c r="N19154" s="11"/>
      <c r="O19154" s="11"/>
      <c r="P19154" s="11"/>
    </row>
    <row r="19155" spans="8:16" x14ac:dyDescent="0.25">
      <c r="H19155" s="12"/>
      <c r="I19155" s="12"/>
      <c r="J19155" s="12"/>
      <c r="K19155" s="12"/>
      <c r="L19155" s="12"/>
      <c r="M19155" s="11"/>
      <c r="N19155" s="11"/>
      <c r="O19155" s="11"/>
      <c r="P19155" s="11"/>
    </row>
    <row r="19156" spans="8:16" x14ac:dyDescent="0.25">
      <c r="H19156" s="12"/>
      <c r="I19156" s="12"/>
      <c r="J19156" s="12"/>
      <c r="K19156" s="12"/>
      <c r="L19156" s="12"/>
      <c r="M19156" s="11"/>
      <c r="N19156" s="11"/>
      <c r="O19156" s="11"/>
      <c r="P19156" s="11"/>
    </row>
    <row r="19157" spans="8:16" x14ac:dyDescent="0.25">
      <c r="H19157" s="12"/>
      <c r="I19157" s="12"/>
      <c r="J19157" s="12"/>
      <c r="K19157" s="12"/>
      <c r="L19157" s="12"/>
      <c r="M19157" s="11"/>
      <c r="N19157" s="11"/>
      <c r="O19157" s="11"/>
      <c r="P19157" s="11"/>
    </row>
    <row r="19158" spans="8:16" x14ac:dyDescent="0.25">
      <c r="H19158" s="12"/>
      <c r="I19158" s="12"/>
      <c r="J19158" s="12"/>
      <c r="K19158" s="12"/>
      <c r="L19158" s="12"/>
      <c r="M19158" s="11"/>
      <c r="N19158" s="11"/>
      <c r="O19158" s="11"/>
      <c r="P19158" s="11"/>
    </row>
    <row r="19159" spans="8:16" x14ac:dyDescent="0.25">
      <c r="H19159" s="12"/>
      <c r="I19159" s="12"/>
      <c r="J19159" s="12"/>
      <c r="K19159" s="12"/>
      <c r="L19159" s="12"/>
      <c r="M19159" s="11"/>
      <c r="N19159" s="11"/>
      <c r="O19159" s="11"/>
      <c r="P19159" s="11"/>
    </row>
    <row r="19160" spans="8:16" x14ac:dyDescent="0.25">
      <c r="H19160" s="12"/>
      <c r="I19160" s="12"/>
      <c r="J19160" s="12"/>
      <c r="K19160" s="12"/>
      <c r="L19160" s="12"/>
      <c r="M19160" s="11"/>
      <c r="N19160" s="11"/>
      <c r="O19160" s="11"/>
      <c r="P19160" s="11"/>
    </row>
    <row r="19161" spans="8:16" x14ac:dyDescent="0.25">
      <c r="H19161" s="12"/>
      <c r="I19161" s="12"/>
      <c r="J19161" s="12"/>
      <c r="K19161" s="12"/>
      <c r="L19161" s="12"/>
      <c r="M19161" s="11"/>
      <c r="N19161" s="11"/>
      <c r="O19161" s="11"/>
      <c r="P19161" s="11"/>
    </row>
    <row r="19162" spans="8:16" x14ac:dyDescent="0.25">
      <c r="H19162" s="12"/>
      <c r="I19162" s="12"/>
      <c r="J19162" s="12"/>
      <c r="K19162" s="12"/>
      <c r="L19162" s="12"/>
      <c r="M19162" s="11"/>
      <c r="N19162" s="11"/>
      <c r="O19162" s="11"/>
      <c r="P19162" s="11"/>
    </row>
    <row r="19163" spans="8:16" x14ac:dyDescent="0.25">
      <c r="H19163" s="12"/>
      <c r="I19163" s="12"/>
      <c r="J19163" s="12"/>
      <c r="K19163" s="12"/>
      <c r="L19163" s="12"/>
      <c r="M19163" s="11"/>
      <c r="N19163" s="11"/>
      <c r="O19163" s="11"/>
      <c r="P19163" s="11"/>
    </row>
    <row r="19164" spans="8:16" x14ac:dyDescent="0.25">
      <c r="H19164" s="12"/>
      <c r="I19164" s="12"/>
      <c r="J19164" s="12"/>
      <c r="K19164" s="12"/>
      <c r="L19164" s="12"/>
      <c r="M19164" s="11"/>
      <c r="N19164" s="11"/>
      <c r="O19164" s="11"/>
      <c r="P19164" s="11"/>
    </row>
    <row r="19165" spans="8:16" x14ac:dyDescent="0.25">
      <c r="H19165" s="12"/>
      <c r="I19165" s="12"/>
      <c r="J19165" s="12"/>
      <c r="K19165" s="12"/>
      <c r="L19165" s="12"/>
      <c r="M19165" s="11"/>
      <c r="N19165" s="11"/>
      <c r="O19165" s="11"/>
      <c r="P19165" s="11"/>
    </row>
    <row r="19166" spans="8:16" x14ac:dyDescent="0.25">
      <c r="H19166" s="12"/>
      <c r="I19166" s="12"/>
      <c r="J19166" s="12"/>
      <c r="K19166" s="12"/>
      <c r="L19166" s="12"/>
      <c r="M19166" s="11"/>
      <c r="N19166" s="11"/>
      <c r="O19166" s="11"/>
      <c r="P19166" s="11"/>
    </row>
    <row r="19167" spans="8:16" x14ac:dyDescent="0.25">
      <c r="H19167" s="12"/>
      <c r="I19167" s="12"/>
      <c r="J19167" s="12"/>
      <c r="K19167" s="12"/>
      <c r="L19167" s="12"/>
      <c r="M19167" s="11"/>
      <c r="N19167" s="11"/>
      <c r="O19167" s="11"/>
      <c r="P19167" s="11"/>
    </row>
    <row r="19168" spans="8:16" x14ac:dyDescent="0.25">
      <c r="H19168" s="12"/>
      <c r="I19168" s="12"/>
      <c r="J19168" s="12"/>
      <c r="K19168" s="12"/>
      <c r="L19168" s="12"/>
      <c r="M19168" s="11"/>
      <c r="N19168" s="11"/>
      <c r="O19168" s="11"/>
      <c r="P19168" s="11"/>
    </row>
    <row r="19169" spans="8:16" x14ac:dyDescent="0.25">
      <c r="H19169" s="12"/>
      <c r="I19169" s="12"/>
      <c r="J19169" s="12"/>
      <c r="K19169" s="12"/>
      <c r="L19169" s="12"/>
      <c r="M19169" s="11"/>
      <c r="N19169" s="11"/>
      <c r="O19169" s="11"/>
      <c r="P19169" s="11"/>
    </row>
    <row r="19170" spans="8:16" x14ac:dyDescent="0.25">
      <c r="H19170" s="12"/>
      <c r="I19170" s="12"/>
      <c r="J19170" s="12"/>
      <c r="K19170" s="12"/>
      <c r="L19170" s="12"/>
      <c r="M19170" s="11"/>
      <c r="N19170" s="11"/>
      <c r="O19170" s="11"/>
      <c r="P19170" s="11"/>
    </row>
    <row r="19171" spans="8:16" x14ac:dyDescent="0.25">
      <c r="H19171" s="12"/>
      <c r="I19171" s="12"/>
      <c r="J19171" s="12"/>
      <c r="K19171" s="12"/>
      <c r="L19171" s="12"/>
      <c r="M19171" s="11"/>
      <c r="N19171" s="11"/>
      <c r="O19171" s="11"/>
      <c r="P19171" s="11"/>
    </row>
    <row r="19172" spans="8:16" x14ac:dyDescent="0.25">
      <c r="H19172" s="12"/>
      <c r="I19172" s="12"/>
      <c r="J19172" s="12"/>
      <c r="K19172" s="12"/>
      <c r="L19172" s="12"/>
      <c r="M19172" s="11"/>
      <c r="N19172" s="11"/>
      <c r="O19172" s="11"/>
      <c r="P19172" s="11"/>
    </row>
    <row r="19173" spans="8:16" x14ac:dyDescent="0.25">
      <c r="H19173" s="12"/>
      <c r="I19173" s="12"/>
      <c r="J19173" s="12"/>
      <c r="K19173" s="12"/>
      <c r="L19173" s="12"/>
      <c r="M19173" s="11"/>
      <c r="N19173" s="11"/>
      <c r="O19173" s="11"/>
      <c r="P19173" s="11"/>
    </row>
    <row r="19174" spans="8:16" x14ac:dyDescent="0.25">
      <c r="H19174" s="12"/>
      <c r="I19174" s="12"/>
      <c r="J19174" s="12"/>
      <c r="K19174" s="12"/>
      <c r="L19174" s="12"/>
      <c r="M19174" s="11"/>
      <c r="N19174" s="11"/>
      <c r="O19174" s="11"/>
      <c r="P19174" s="11"/>
    </row>
    <row r="19175" spans="8:16" x14ac:dyDescent="0.25">
      <c r="H19175" s="12"/>
      <c r="I19175" s="12"/>
      <c r="J19175" s="12"/>
      <c r="K19175" s="12"/>
      <c r="L19175" s="12"/>
      <c r="M19175" s="11"/>
      <c r="N19175" s="11"/>
      <c r="O19175" s="11"/>
      <c r="P19175" s="11"/>
    </row>
    <row r="19176" spans="8:16" x14ac:dyDescent="0.25">
      <c r="H19176" s="12"/>
      <c r="I19176" s="12"/>
      <c r="J19176" s="12"/>
      <c r="K19176" s="12"/>
      <c r="L19176" s="12"/>
      <c r="M19176" s="11"/>
      <c r="N19176" s="11"/>
      <c r="O19176" s="11"/>
      <c r="P19176" s="11"/>
    </row>
    <row r="19177" spans="8:16" x14ac:dyDescent="0.25">
      <c r="H19177" s="12"/>
      <c r="I19177" s="12"/>
      <c r="J19177" s="12"/>
      <c r="K19177" s="12"/>
      <c r="L19177" s="12"/>
      <c r="M19177" s="11"/>
      <c r="N19177" s="11"/>
      <c r="O19177" s="11"/>
      <c r="P19177" s="11"/>
    </row>
    <row r="19178" spans="8:16" x14ac:dyDescent="0.25">
      <c r="H19178" s="12"/>
      <c r="I19178" s="12"/>
      <c r="J19178" s="12"/>
      <c r="K19178" s="12"/>
      <c r="L19178" s="12"/>
      <c r="M19178" s="11"/>
      <c r="N19178" s="11"/>
      <c r="O19178" s="11"/>
      <c r="P19178" s="11"/>
    </row>
    <row r="19179" spans="8:16" x14ac:dyDescent="0.25">
      <c r="H19179" s="12"/>
      <c r="I19179" s="12"/>
      <c r="J19179" s="12"/>
      <c r="K19179" s="12"/>
      <c r="L19179" s="12"/>
      <c r="M19179" s="11"/>
      <c r="N19179" s="11"/>
      <c r="O19179" s="11"/>
      <c r="P19179" s="11"/>
    </row>
    <row r="19180" spans="8:16" x14ac:dyDescent="0.25">
      <c r="H19180" s="12"/>
      <c r="I19180" s="12"/>
      <c r="J19180" s="12"/>
      <c r="K19180" s="12"/>
      <c r="L19180" s="12"/>
      <c r="M19180" s="11"/>
      <c r="N19180" s="11"/>
      <c r="O19180" s="11"/>
      <c r="P19180" s="11"/>
    </row>
    <row r="19181" spans="8:16" x14ac:dyDescent="0.25">
      <c r="H19181" s="12"/>
      <c r="I19181" s="12"/>
      <c r="J19181" s="12"/>
      <c r="K19181" s="12"/>
      <c r="L19181" s="12"/>
      <c r="M19181" s="11"/>
      <c r="N19181" s="11"/>
      <c r="O19181" s="11"/>
      <c r="P19181" s="11"/>
    </row>
    <row r="19182" spans="8:16" x14ac:dyDescent="0.25">
      <c r="H19182" s="12"/>
      <c r="I19182" s="12"/>
      <c r="J19182" s="12"/>
      <c r="K19182" s="12"/>
      <c r="L19182" s="12"/>
      <c r="M19182" s="11"/>
      <c r="N19182" s="11"/>
      <c r="O19182" s="11"/>
      <c r="P19182" s="11"/>
    </row>
    <row r="19183" spans="8:16" x14ac:dyDescent="0.25">
      <c r="H19183" s="12"/>
      <c r="I19183" s="12"/>
      <c r="J19183" s="12"/>
      <c r="K19183" s="12"/>
      <c r="L19183" s="12"/>
      <c r="M19183" s="11"/>
      <c r="N19183" s="11"/>
      <c r="O19183" s="11"/>
      <c r="P19183" s="11"/>
    </row>
    <row r="19184" spans="8:16" x14ac:dyDescent="0.25">
      <c r="H19184" s="12"/>
      <c r="I19184" s="12"/>
      <c r="J19184" s="12"/>
      <c r="K19184" s="12"/>
      <c r="L19184" s="12"/>
      <c r="M19184" s="11"/>
      <c r="N19184" s="11"/>
      <c r="O19184" s="11"/>
      <c r="P19184" s="11"/>
    </row>
    <row r="19185" spans="8:16" x14ac:dyDescent="0.25">
      <c r="H19185" s="12"/>
      <c r="I19185" s="12"/>
      <c r="J19185" s="12"/>
      <c r="K19185" s="12"/>
      <c r="L19185" s="12"/>
      <c r="M19185" s="11"/>
      <c r="N19185" s="11"/>
      <c r="O19185" s="11"/>
      <c r="P19185" s="11"/>
    </row>
    <row r="19186" spans="8:16" x14ac:dyDescent="0.25">
      <c r="H19186" s="12"/>
      <c r="I19186" s="12"/>
      <c r="J19186" s="12"/>
      <c r="K19186" s="12"/>
      <c r="L19186" s="12"/>
      <c r="M19186" s="11"/>
      <c r="N19186" s="11"/>
      <c r="O19186" s="11"/>
      <c r="P19186" s="11"/>
    </row>
    <row r="19187" spans="8:16" x14ac:dyDescent="0.25">
      <c r="H19187" s="12"/>
      <c r="I19187" s="12"/>
      <c r="J19187" s="12"/>
      <c r="K19187" s="12"/>
      <c r="L19187" s="12"/>
      <c r="M19187" s="11"/>
      <c r="N19187" s="11"/>
      <c r="O19187" s="11"/>
      <c r="P19187" s="11"/>
    </row>
    <row r="19188" spans="8:16" x14ac:dyDescent="0.25">
      <c r="H19188" s="12"/>
      <c r="I19188" s="12"/>
      <c r="J19188" s="12"/>
      <c r="K19188" s="12"/>
      <c r="L19188" s="12"/>
      <c r="M19188" s="11"/>
      <c r="N19188" s="11"/>
      <c r="O19188" s="11"/>
      <c r="P19188" s="11"/>
    </row>
    <row r="19189" spans="8:16" x14ac:dyDescent="0.25">
      <c r="H19189" s="12"/>
      <c r="I19189" s="12"/>
      <c r="J19189" s="12"/>
      <c r="K19189" s="12"/>
      <c r="L19189" s="12"/>
      <c r="M19189" s="11"/>
      <c r="N19189" s="11"/>
      <c r="O19189" s="11"/>
      <c r="P19189" s="11"/>
    </row>
    <row r="19190" spans="8:16" x14ac:dyDescent="0.25">
      <c r="H19190" s="12"/>
      <c r="I19190" s="12"/>
      <c r="J19190" s="12"/>
      <c r="K19190" s="12"/>
      <c r="L19190" s="12"/>
      <c r="M19190" s="11"/>
      <c r="N19190" s="11"/>
      <c r="O19190" s="11"/>
      <c r="P19190" s="11"/>
    </row>
    <row r="19191" spans="8:16" x14ac:dyDescent="0.25">
      <c r="H19191" s="12"/>
      <c r="I19191" s="12"/>
      <c r="J19191" s="12"/>
      <c r="K19191" s="12"/>
      <c r="L19191" s="12"/>
      <c r="M19191" s="11"/>
      <c r="N19191" s="11"/>
      <c r="O19191" s="11"/>
      <c r="P19191" s="11"/>
    </row>
    <row r="19192" spans="8:16" x14ac:dyDescent="0.25">
      <c r="H19192" s="12"/>
      <c r="I19192" s="12"/>
      <c r="J19192" s="12"/>
      <c r="K19192" s="12"/>
      <c r="L19192" s="12"/>
      <c r="M19192" s="11"/>
      <c r="N19192" s="11"/>
      <c r="O19192" s="11"/>
      <c r="P19192" s="11"/>
    </row>
    <row r="19193" spans="8:16" x14ac:dyDescent="0.25">
      <c r="H19193" s="12"/>
      <c r="I19193" s="12"/>
      <c r="J19193" s="12"/>
      <c r="K19193" s="12"/>
      <c r="L19193" s="12"/>
      <c r="M19193" s="11"/>
      <c r="N19193" s="11"/>
      <c r="O19193" s="11"/>
      <c r="P19193" s="11"/>
    </row>
    <row r="19194" spans="8:16" x14ac:dyDescent="0.25">
      <c r="H19194" s="12"/>
      <c r="I19194" s="12"/>
      <c r="J19194" s="12"/>
      <c r="K19194" s="12"/>
      <c r="L19194" s="12"/>
      <c r="M19194" s="11"/>
      <c r="N19194" s="11"/>
      <c r="O19194" s="11"/>
      <c r="P19194" s="11"/>
    </row>
    <row r="19195" spans="8:16" x14ac:dyDescent="0.25">
      <c r="H19195" s="12"/>
      <c r="I19195" s="12"/>
      <c r="J19195" s="12"/>
      <c r="K19195" s="12"/>
      <c r="L19195" s="12"/>
      <c r="M19195" s="11"/>
      <c r="N19195" s="11"/>
      <c r="O19195" s="11"/>
      <c r="P19195" s="11"/>
    </row>
    <row r="19196" spans="8:16" x14ac:dyDescent="0.25">
      <c r="H19196" s="12"/>
      <c r="I19196" s="12"/>
      <c r="J19196" s="12"/>
      <c r="K19196" s="12"/>
      <c r="L19196" s="12"/>
      <c r="M19196" s="11"/>
      <c r="N19196" s="11"/>
      <c r="O19196" s="11"/>
      <c r="P19196" s="11"/>
    </row>
    <row r="19197" spans="8:16" x14ac:dyDescent="0.25">
      <c r="H19197" s="12"/>
      <c r="I19197" s="12"/>
      <c r="J19197" s="12"/>
      <c r="K19197" s="12"/>
      <c r="L19197" s="12"/>
      <c r="M19197" s="11"/>
      <c r="N19197" s="11"/>
      <c r="O19197" s="11"/>
      <c r="P19197" s="11"/>
    </row>
    <row r="19198" spans="8:16" x14ac:dyDescent="0.25">
      <c r="H19198" s="12"/>
      <c r="I19198" s="12"/>
      <c r="J19198" s="12"/>
      <c r="K19198" s="12"/>
      <c r="L19198" s="12"/>
      <c r="M19198" s="11"/>
      <c r="N19198" s="11"/>
      <c r="O19198" s="11"/>
      <c r="P19198" s="11"/>
    </row>
    <row r="19199" spans="8:16" x14ac:dyDescent="0.25">
      <c r="H19199" s="12"/>
      <c r="I19199" s="12"/>
      <c r="J19199" s="12"/>
      <c r="K19199" s="12"/>
      <c r="L19199" s="12"/>
      <c r="M19199" s="11"/>
      <c r="N19199" s="11"/>
      <c r="O19199" s="11"/>
      <c r="P19199" s="11"/>
    </row>
    <row r="19200" spans="8:16" x14ac:dyDescent="0.25">
      <c r="H19200" s="12"/>
      <c r="I19200" s="12"/>
      <c r="J19200" s="12"/>
      <c r="K19200" s="12"/>
      <c r="L19200" s="12"/>
      <c r="M19200" s="11"/>
      <c r="N19200" s="11"/>
      <c r="O19200" s="11"/>
      <c r="P19200" s="11"/>
    </row>
    <row r="19201" spans="8:16" x14ac:dyDescent="0.25">
      <c r="H19201" s="12"/>
      <c r="I19201" s="12"/>
      <c r="J19201" s="12"/>
      <c r="K19201" s="12"/>
      <c r="L19201" s="12"/>
      <c r="M19201" s="11"/>
      <c r="N19201" s="11"/>
      <c r="O19201" s="11"/>
      <c r="P19201" s="11"/>
    </row>
    <row r="19202" spans="8:16" x14ac:dyDescent="0.25">
      <c r="H19202" s="12"/>
      <c r="I19202" s="12"/>
      <c r="J19202" s="12"/>
      <c r="K19202" s="12"/>
      <c r="L19202" s="12"/>
      <c r="M19202" s="11"/>
      <c r="N19202" s="11"/>
      <c r="O19202" s="11"/>
      <c r="P19202" s="11"/>
    </row>
    <row r="19203" spans="8:16" x14ac:dyDescent="0.25">
      <c r="H19203" s="12"/>
      <c r="I19203" s="12"/>
      <c r="J19203" s="12"/>
      <c r="K19203" s="12"/>
      <c r="L19203" s="12"/>
      <c r="M19203" s="11"/>
      <c r="N19203" s="11"/>
      <c r="O19203" s="11"/>
      <c r="P19203" s="11"/>
    </row>
    <row r="19204" spans="8:16" x14ac:dyDescent="0.25">
      <c r="H19204" s="12"/>
      <c r="I19204" s="12"/>
      <c r="J19204" s="12"/>
      <c r="K19204" s="12"/>
      <c r="L19204" s="12"/>
      <c r="M19204" s="11"/>
      <c r="N19204" s="11"/>
      <c r="O19204" s="11"/>
      <c r="P19204" s="11"/>
    </row>
    <row r="19205" spans="8:16" x14ac:dyDescent="0.25">
      <c r="H19205" s="12"/>
      <c r="I19205" s="12"/>
      <c r="J19205" s="12"/>
      <c r="K19205" s="12"/>
      <c r="L19205" s="12"/>
      <c r="M19205" s="11"/>
      <c r="N19205" s="11"/>
      <c r="O19205" s="11"/>
      <c r="P19205" s="11"/>
    </row>
    <row r="19206" spans="8:16" x14ac:dyDescent="0.25">
      <c r="H19206" s="12"/>
      <c r="I19206" s="12"/>
      <c r="J19206" s="12"/>
      <c r="K19206" s="12"/>
      <c r="L19206" s="12"/>
      <c r="M19206" s="11"/>
      <c r="N19206" s="11"/>
      <c r="O19206" s="11"/>
      <c r="P19206" s="11"/>
    </row>
    <row r="19207" spans="8:16" x14ac:dyDescent="0.25">
      <c r="H19207" s="12"/>
      <c r="I19207" s="12"/>
      <c r="J19207" s="12"/>
      <c r="K19207" s="12"/>
      <c r="L19207" s="12"/>
      <c r="M19207" s="11"/>
      <c r="N19207" s="11"/>
      <c r="O19207" s="11"/>
      <c r="P19207" s="11"/>
    </row>
    <row r="19208" spans="8:16" x14ac:dyDescent="0.25">
      <c r="H19208" s="12"/>
      <c r="I19208" s="12"/>
      <c r="J19208" s="12"/>
      <c r="K19208" s="12"/>
      <c r="L19208" s="12"/>
      <c r="M19208" s="11"/>
      <c r="N19208" s="11"/>
      <c r="O19208" s="11"/>
      <c r="P19208" s="11"/>
    </row>
    <row r="19209" spans="8:16" x14ac:dyDescent="0.25">
      <c r="H19209" s="12"/>
      <c r="I19209" s="12"/>
      <c r="J19209" s="12"/>
      <c r="K19209" s="12"/>
      <c r="L19209" s="12"/>
      <c r="M19209" s="11"/>
      <c r="N19209" s="11"/>
      <c r="O19209" s="11"/>
      <c r="P19209" s="11"/>
    </row>
    <row r="19210" spans="8:16" x14ac:dyDescent="0.25">
      <c r="H19210" s="12"/>
      <c r="I19210" s="12"/>
      <c r="J19210" s="12"/>
      <c r="K19210" s="12"/>
      <c r="L19210" s="12"/>
      <c r="M19210" s="11"/>
      <c r="N19210" s="11"/>
      <c r="O19210" s="11"/>
      <c r="P19210" s="11"/>
    </row>
    <row r="19211" spans="8:16" x14ac:dyDescent="0.25">
      <c r="H19211" s="12"/>
      <c r="I19211" s="12"/>
      <c r="J19211" s="12"/>
      <c r="K19211" s="12"/>
      <c r="L19211" s="12"/>
      <c r="M19211" s="11"/>
      <c r="N19211" s="11"/>
      <c r="O19211" s="11"/>
      <c r="P19211" s="11"/>
    </row>
    <row r="19212" spans="8:16" x14ac:dyDescent="0.25">
      <c r="H19212" s="12"/>
      <c r="I19212" s="12"/>
      <c r="J19212" s="12"/>
      <c r="K19212" s="12"/>
      <c r="L19212" s="12"/>
      <c r="M19212" s="11"/>
      <c r="N19212" s="11"/>
      <c r="O19212" s="11"/>
      <c r="P19212" s="11"/>
    </row>
    <row r="19213" spans="8:16" x14ac:dyDescent="0.25">
      <c r="H19213" s="12"/>
      <c r="I19213" s="12"/>
      <c r="J19213" s="12"/>
      <c r="K19213" s="12"/>
      <c r="L19213" s="12"/>
      <c r="M19213" s="11"/>
      <c r="N19213" s="11"/>
      <c r="O19213" s="11"/>
      <c r="P19213" s="11"/>
    </row>
    <row r="19214" spans="8:16" x14ac:dyDescent="0.25">
      <c r="H19214" s="12"/>
      <c r="I19214" s="12"/>
      <c r="J19214" s="12"/>
      <c r="K19214" s="12"/>
      <c r="L19214" s="12"/>
      <c r="M19214" s="11"/>
      <c r="N19214" s="11"/>
      <c r="O19214" s="11"/>
      <c r="P19214" s="11"/>
    </row>
    <row r="19215" spans="8:16" x14ac:dyDescent="0.25">
      <c r="H19215" s="12"/>
      <c r="I19215" s="12"/>
      <c r="J19215" s="12"/>
      <c r="K19215" s="12"/>
      <c r="L19215" s="12"/>
      <c r="M19215" s="11"/>
      <c r="N19215" s="11"/>
      <c r="O19215" s="11"/>
      <c r="P19215" s="11"/>
    </row>
    <row r="19216" spans="8:16" x14ac:dyDescent="0.25">
      <c r="H19216" s="12"/>
      <c r="I19216" s="12"/>
      <c r="J19216" s="12"/>
      <c r="K19216" s="12"/>
      <c r="L19216" s="12"/>
      <c r="M19216" s="11"/>
      <c r="N19216" s="11"/>
      <c r="O19216" s="11"/>
      <c r="P19216" s="11"/>
    </row>
    <row r="19217" spans="8:16" x14ac:dyDescent="0.25">
      <c r="H19217" s="12"/>
      <c r="I19217" s="12"/>
      <c r="J19217" s="12"/>
      <c r="K19217" s="12"/>
      <c r="L19217" s="12"/>
      <c r="M19217" s="11"/>
      <c r="N19217" s="11"/>
      <c r="O19217" s="11"/>
      <c r="P19217" s="11"/>
    </row>
    <row r="19218" spans="8:16" x14ac:dyDescent="0.25">
      <c r="H19218" s="12"/>
      <c r="I19218" s="12"/>
      <c r="J19218" s="12"/>
      <c r="K19218" s="12"/>
      <c r="L19218" s="12"/>
      <c r="M19218" s="11"/>
      <c r="N19218" s="11"/>
      <c r="O19218" s="11"/>
      <c r="P19218" s="11"/>
    </row>
    <row r="19219" spans="8:16" x14ac:dyDescent="0.25">
      <c r="H19219" s="12"/>
      <c r="I19219" s="12"/>
      <c r="J19219" s="12"/>
      <c r="K19219" s="12"/>
      <c r="L19219" s="12"/>
      <c r="M19219" s="11"/>
      <c r="N19219" s="11"/>
      <c r="O19219" s="11"/>
      <c r="P19219" s="11"/>
    </row>
    <row r="19220" spans="8:16" x14ac:dyDescent="0.25">
      <c r="H19220" s="12"/>
      <c r="I19220" s="12"/>
      <c r="J19220" s="12"/>
      <c r="K19220" s="12"/>
      <c r="L19220" s="12"/>
      <c r="M19220" s="11"/>
      <c r="N19220" s="11"/>
      <c r="O19220" s="11"/>
      <c r="P19220" s="11"/>
    </row>
    <row r="19221" spans="8:16" x14ac:dyDescent="0.25">
      <c r="H19221" s="12"/>
      <c r="I19221" s="12"/>
      <c r="J19221" s="12"/>
      <c r="K19221" s="12"/>
      <c r="L19221" s="12"/>
      <c r="M19221" s="11"/>
      <c r="N19221" s="11"/>
      <c r="O19221" s="11"/>
      <c r="P19221" s="11"/>
    </row>
    <row r="19222" spans="8:16" x14ac:dyDescent="0.25">
      <c r="H19222" s="12"/>
      <c r="I19222" s="12"/>
      <c r="J19222" s="12"/>
      <c r="K19222" s="12"/>
      <c r="L19222" s="12"/>
      <c r="M19222" s="11"/>
      <c r="N19222" s="11"/>
      <c r="O19222" s="11"/>
      <c r="P19222" s="11"/>
    </row>
    <row r="19223" spans="8:16" x14ac:dyDescent="0.25">
      <c r="H19223" s="12"/>
      <c r="I19223" s="12"/>
      <c r="J19223" s="12"/>
      <c r="K19223" s="12"/>
      <c r="L19223" s="12"/>
      <c r="M19223" s="11"/>
      <c r="N19223" s="11"/>
      <c r="O19223" s="11"/>
      <c r="P19223" s="11"/>
    </row>
    <row r="19224" spans="8:16" x14ac:dyDescent="0.25">
      <c r="H19224" s="12"/>
      <c r="I19224" s="12"/>
      <c r="J19224" s="12"/>
      <c r="K19224" s="12"/>
      <c r="L19224" s="12"/>
      <c r="M19224" s="11"/>
      <c r="N19224" s="11"/>
      <c r="O19224" s="11"/>
      <c r="P19224" s="11"/>
    </row>
    <row r="19225" spans="8:16" x14ac:dyDescent="0.25">
      <c r="H19225" s="12"/>
      <c r="I19225" s="12"/>
      <c r="J19225" s="12"/>
      <c r="K19225" s="12"/>
      <c r="L19225" s="12"/>
      <c r="M19225" s="11"/>
      <c r="N19225" s="11"/>
      <c r="O19225" s="11"/>
      <c r="P19225" s="11"/>
    </row>
    <row r="19226" spans="8:16" x14ac:dyDescent="0.25">
      <c r="H19226" s="12"/>
      <c r="I19226" s="12"/>
      <c r="J19226" s="12"/>
      <c r="K19226" s="12"/>
      <c r="L19226" s="12"/>
      <c r="M19226" s="11"/>
      <c r="N19226" s="11"/>
      <c r="O19226" s="11"/>
      <c r="P19226" s="11"/>
    </row>
    <row r="19227" spans="8:16" x14ac:dyDescent="0.25">
      <c r="H19227" s="12"/>
      <c r="I19227" s="12"/>
      <c r="J19227" s="12"/>
      <c r="K19227" s="12"/>
      <c r="L19227" s="12"/>
      <c r="M19227" s="11"/>
      <c r="N19227" s="11"/>
      <c r="O19227" s="11"/>
      <c r="P19227" s="11"/>
    </row>
    <row r="19228" spans="8:16" x14ac:dyDescent="0.25">
      <c r="H19228" s="12"/>
      <c r="I19228" s="12"/>
      <c r="J19228" s="12"/>
      <c r="K19228" s="12"/>
      <c r="L19228" s="12"/>
      <c r="M19228" s="11"/>
      <c r="N19228" s="11"/>
      <c r="O19228" s="11"/>
      <c r="P19228" s="11"/>
    </row>
    <row r="19229" spans="8:16" x14ac:dyDescent="0.25">
      <c r="H19229" s="12"/>
      <c r="I19229" s="12"/>
      <c r="J19229" s="12"/>
      <c r="K19229" s="12"/>
      <c r="L19229" s="12"/>
      <c r="M19229" s="11"/>
      <c r="N19229" s="11"/>
      <c r="O19229" s="11"/>
      <c r="P19229" s="11"/>
    </row>
    <row r="19230" spans="8:16" x14ac:dyDescent="0.25">
      <c r="H19230" s="12"/>
      <c r="I19230" s="12"/>
      <c r="J19230" s="12"/>
      <c r="K19230" s="12"/>
      <c r="L19230" s="12"/>
      <c r="M19230" s="11"/>
      <c r="N19230" s="11"/>
      <c r="O19230" s="11"/>
      <c r="P19230" s="11"/>
    </row>
    <row r="19231" spans="8:16" x14ac:dyDescent="0.25">
      <c r="H19231" s="12"/>
      <c r="I19231" s="12"/>
      <c r="J19231" s="12"/>
      <c r="K19231" s="12"/>
      <c r="L19231" s="12"/>
      <c r="M19231" s="11"/>
      <c r="N19231" s="11"/>
      <c r="O19231" s="11"/>
      <c r="P19231" s="11"/>
    </row>
    <row r="19232" spans="8:16" x14ac:dyDescent="0.25">
      <c r="H19232" s="12"/>
      <c r="I19232" s="12"/>
      <c r="J19232" s="12"/>
      <c r="K19232" s="12"/>
      <c r="L19232" s="12"/>
      <c r="M19232" s="11"/>
      <c r="N19232" s="11"/>
      <c r="O19232" s="11"/>
      <c r="P19232" s="11"/>
    </row>
    <row r="19233" spans="8:16" x14ac:dyDescent="0.25">
      <c r="H19233" s="12"/>
      <c r="I19233" s="12"/>
      <c r="J19233" s="12"/>
      <c r="K19233" s="12"/>
      <c r="L19233" s="12"/>
      <c r="M19233" s="11"/>
      <c r="N19233" s="11"/>
      <c r="O19233" s="11"/>
      <c r="P19233" s="11"/>
    </row>
    <row r="19234" spans="8:16" x14ac:dyDescent="0.25">
      <c r="H19234" s="12"/>
      <c r="I19234" s="12"/>
      <c r="J19234" s="12"/>
      <c r="K19234" s="12"/>
      <c r="L19234" s="12"/>
      <c r="M19234" s="11"/>
      <c r="N19234" s="11"/>
      <c r="O19234" s="11"/>
      <c r="P19234" s="11"/>
    </row>
    <row r="19235" spans="8:16" x14ac:dyDescent="0.25">
      <c r="H19235" s="12"/>
      <c r="I19235" s="12"/>
      <c r="J19235" s="12"/>
      <c r="K19235" s="12"/>
      <c r="L19235" s="12"/>
      <c r="M19235" s="11"/>
      <c r="N19235" s="11"/>
      <c r="O19235" s="11"/>
      <c r="P19235" s="11"/>
    </row>
    <row r="19236" spans="8:16" x14ac:dyDescent="0.25">
      <c r="H19236" s="12"/>
      <c r="I19236" s="12"/>
      <c r="J19236" s="12"/>
      <c r="K19236" s="12"/>
      <c r="L19236" s="12"/>
      <c r="M19236" s="11"/>
      <c r="N19236" s="11"/>
      <c r="O19236" s="11"/>
      <c r="P19236" s="11"/>
    </row>
    <row r="19237" spans="8:16" x14ac:dyDescent="0.25">
      <c r="H19237" s="12"/>
      <c r="I19237" s="12"/>
      <c r="J19237" s="12"/>
      <c r="K19237" s="12"/>
      <c r="L19237" s="12"/>
      <c r="M19237" s="11"/>
      <c r="N19237" s="11"/>
      <c r="O19237" s="11"/>
      <c r="P19237" s="11"/>
    </row>
    <row r="19238" spans="8:16" x14ac:dyDescent="0.25">
      <c r="H19238" s="12"/>
      <c r="I19238" s="12"/>
      <c r="J19238" s="12"/>
      <c r="K19238" s="12"/>
      <c r="L19238" s="12"/>
      <c r="M19238" s="11"/>
      <c r="N19238" s="11"/>
      <c r="O19238" s="11"/>
      <c r="P19238" s="11"/>
    </row>
    <row r="19239" spans="8:16" x14ac:dyDescent="0.25">
      <c r="H19239" s="12"/>
      <c r="I19239" s="12"/>
      <c r="J19239" s="12"/>
      <c r="K19239" s="12"/>
      <c r="L19239" s="12"/>
      <c r="M19239" s="11"/>
      <c r="N19239" s="11"/>
      <c r="O19239" s="11"/>
      <c r="P19239" s="11"/>
    </row>
    <row r="19240" spans="8:16" x14ac:dyDescent="0.25">
      <c r="H19240" s="12"/>
      <c r="I19240" s="12"/>
      <c r="J19240" s="12"/>
      <c r="K19240" s="12"/>
      <c r="L19240" s="12"/>
      <c r="M19240" s="11"/>
      <c r="N19240" s="11"/>
      <c r="O19240" s="11"/>
      <c r="P19240" s="11"/>
    </row>
    <row r="19241" spans="8:16" x14ac:dyDescent="0.25">
      <c r="H19241" s="12"/>
      <c r="I19241" s="12"/>
      <c r="J19241" s="12"/>
      <c r="K19241" s="12"/>
      <c r="L19241" s="12"/>
      <c r="M19241" s="11"/>
      <c r="N19241" s="11"/>
      <c r="O19241" s="11"/>
      <c r="P19241" s="11"/>
    </row>
    <row r="19242" spans="8:16" x14ac:dyDescent="0.25">
      <c r="H19242" s="12"/>
      <c r="I19242" s="12"/>
      <c r="J19242" s="12"/>
      <c r="K19242" s="12"/>
      <c r="L19242" s="12"/>
      <c r="M19242" s="11"/>
      <c r="N19242" s="11"/>
      <c r="O19242" s="11"/>
      <c r="P19242" s="11"/>
    </row>
    <row r="19243" spans="8:16" x14ac:dyDescent="0.25">
      <c r="H19243" s="12"/>
      <c r="I19243" s="12"/>
      <c r="J19243" s="12"/>
      <c r="K19243" s="12"/>
      <c r="L19243" s="12"/>
      <c r="M19243" s="11"/>
      <c r="N19243" s="11"/>
      <c r="O19243" s="11"/>
      <c r="P19243" s="11"/>
    </row>
    <row r="19244" spans="8:16" x14ac:dyDescent="0.25">
      <c r="H19244" s="12"/>
      <c r="I19244" s="12"/>
      <c r="J19244" s="12"/>
      <c r="K19244" s="12"/>
      <c r="L19244" s="12"/>
      <c r="M19244" s="11"/>
      <c r="N19244" s="11"/>
      <c r="O19244" s="11"/>
      <c r="P19244" s="11"/>
    </row>
    <row r="19245" spans="8:16" x14ac:dyDescent="0.25">
      <c r="H19245" s="12"/>
      <c r="I19245" s="12"/>
      <c r="J19245" s="12"/>
      <c r="K19245" s="12"/>
      <c r="L19245" s="12"/>
      <c r="M19245" s="11"/>
      <c r="N19245" s="11"/>
      <c r="O19245" s="11"/>
      <c r="P19245" s="11"/>
    </row>
    <row r="19246" spans="8:16" x14ac:dyDescent="0.25">
      <c r="H19246" s="12"/>
      <c r="I19246" s="12"/>
      <c r="J19246" s="12"/>
      <c r="K19246" s="12"/>
      <c r="L19246" s="12"/>
      <c r="M19246" s="11"/>
      <c r="N19246" s="11"/>
      <c r="O19246" s="11"/>
      <c r="P19246" s="11"/>
    </row>
    <row r="19247" spans="8:16" x14ac:dyDescent="0.25">
      <c r="H19247" s="12"/>
      <c r="I19247" s="12"/>
      <c r="J19247" s="12"/>
      <c r="K19247" s="12"/>
      <c r="L19247" s="12"/>
      <c r="M19247" s="11"/>
      <c r="N19247" s="11"/>
      <c r="O19247" s="11"/>
      <c r="P19247" s="11"/>
    </row>
    <row r="19248" spans="8:16" x14ac:dyDescent="0.25">
      <c r="H19248" s="12"/>
      <c r="I19248" s="12"/>
      <c r="J19248" s="12"/>
      <c r="K19248" s="12"/>
      <c r="L19248" s="12"/>
      <c r="M19248" s="11"/>
      <c r="N19248" s="11"/>
      <c r="O19248" s="11"/>
      <c r="P19248" s="11"/>
    </row>
    <row r="19249" spans="8:16" x14ac:dyDescent="0.25">
      <c r="H19249" s="12"/>
      <c r="I19249" s="12"/>
      <c r="J19249" s="12"/>
      <c r="K19249" s="12"/>
      <c r="L19249" s="12"/>
      <c r="M19249" s="11"/>
      <c r="N19249" s="11"/>
      <c r="O19249" s="11"/>
      <c r="P19249" s="11"/>
    </row>
    <row r="19250" spans="8:16" x14ac:dyDescent="0.25">
      <c r="H19250" s="12"/>
      <c r="I19250" s="12"/>
      <c r="J19250" s="12"/>
      <c r="K19250" s="12"/>
      <c r="L19250" s="12"/>
      <c r="M19250" s="11"/>
      <c r="N19250" s="11"/>
      <c r="O19250" s="11"/>
      <c r="P19250" s="11"/>
    </row>
    <row r="19251" spans="8:16" x14ac:dyDescent="0.25">
      <c r="H19251" s="12"/>
      <c r="I19251" s="12"/>
      <c r="J19251" s="12"/>
      <c r="K19251" s="12"/>
      <c r="L19251" s="12"/>
      <c r="M19251" s="11"/>
      <c r="N19251" s="11"/>
      <c r="O19251" s="11"/>
      <c r="P19251" s="11"/>
    </row>
    <row r="19252" spans="8:16" x14ac:dyDescent="0.25">
      <c r="H19252" s="12"/>
      <c r="I19252" s="12"/>
      <c r="J19252" s="12"/>
      <c r="K19252" s="12"/>
      <c r="L19252" s="12"/>
      <c r="M19252" s="11"/>
      <c r="N19252" s="11"/>
      <c r="O19252" s="11"/>
      <c r="P19252" s="11"/>
    </row>
    <row r="19253" spans="8:16" x14ac:dyDescent="0.25">
      <c r="H19253" s="12"/>
      <c r="I19253" s="12"/>
      <c r="J19253" s="12"/>
      <c r="K19253" s="12"/>
      <c r="L19253" s="12"/>
      <c r="M19253" s="11"/>
      <c r="N19253" s="11"/>
      <c r="O19253" s="11"/>
      <c r="P19253" s="11"/>
    </row>
    <row r="19254" spans="8:16" x14ac:dyDescent="0.25">
      <c r="H19254" s="12"/>
      <c r="I19254" s="12"/>
      <c r="J19254" s="12"/>
      <c r="K19254" s="12"/>
      <c r="L19254" s="12"/>
      <c r="M19254" s="11"/>
      <c r="N19254" s="11"/>
      <c r="O19254" s="11"/>
      <c r="P19254" s="11"/>
    </row>
    <row r="19255" spans="8:16" x14ac:dyDescent="0.25">
      <c r="H19255" s="12"/>
      <c r="I19255" s="12"/>
      <c r="J19255" s="12"/>
      <c r="K19255" s="12"/>
      <c r="L19255" s="12"/>
      <c r="M19255" s="11"/>
      <c r="N19255" s="11"/>
      <c r="O19255" s="11"/>
      <c r="P19255" s="11"/>
    </row>
    <row r="19256" spans="8:16" x14ac:dyDescent="0.25">
      <c r="H19256" s="12"/>
      <c r="I19256" s="12"/>
      <c r="J19256" s="12"/>
      <c r="K19256" s="12"/>
      <c r="L19256" s="12"/>
      <c r="M19256" s="11"/>
      <c r="N19256" s="11"/>
      <c r="O19256" s="11"/>
      <c r="P19256" s="11"/>
    </row>
    <row r="19257" spans="8:16" x14ac:dyDescent="0.25">
      <c r="H19257" s="12"/>
      <c r="I19257" s="12"/>
      <c r="J19257" s="12"/>
      <c r="K19257" s="12"/>
      <c r="L19257" s="12"/>
      <c r="M19257" s="11"/>
      <c r="N19257" s="11"/>
      <c r="O19257" s="11"/>
      <c r="P19257" s="11"/>
    </row>
    <row r="19258" spans="8:16" x14ac:dyDescent="0.25">
      <c r="H19258" s="12"/>
      <c r="I19258" s="12"/>
      <c r="J19258" s="12"/>
      <c r="K19258" s="12"/>
      <c r="L19258" s="12"/>
      <c r="M19258" s="11"/>
      <c r="N19258" s="11"/>
      <c r="O19258" s="11"/>
      <c r="P19258" s="11"/>
    </row>
    <row r="19259" spans="8:16" x14ac:dyDescent="0.25">
      <c r="H19259" s="12"/>
      <c r="I19259" s="12"/>
      <c r="J19259" s="12"/>
      <c r="K19259" s="12"/>
      <c r="L19259" s="12"/>
      <c r="M19259" s="11"/>
      <c r="N19259" s="11"/>
      <c r="O19259" s="11"/>
      <c r="P19259" s="11"/>
    </row>
    <row r="19260" spans="8:16" x14ac:dyDescent="0.25">
      <c r="H19260" s="12"/>
      <c r="I19260" s="12"/>
      <c r="J19260" s="12"/>
      <c r="K19260" s="12"/>
      <c r="L19260" s="12"/>
      <c r="M19260" s="11"/>
      <c r="N19260" s="11"/>
      <c r="O19260" s="11"/>
      <c r="P19260" s="11"/>
    </row>
    <row r="19261" spans="8:16" x14ac:dyDescent="0.25">
      <c r="H19261" s="12"/>
      <c r="I19261" s="12"/>
      <c r="J19261" s="12"/>
      <c r="K19261" s="12"/>
      <c r="L19261" s="12"/>
      <c r="M19261" s="11"/>
      <c r="N19261" s="11"/>
      <c r="O19261" s="11"/>
      <c r="P19261" s="11"/>
    </row>
    <row r="19262" spans="8:16" x14ac:dyDescent="0.25">
      <c r="H19262" s="12"/>
      <c r="I19262" s="12"/>
      <c r="J19262" s="12"/>
      <c r="K19262" s="12"/>
      <c r="L19262" s="12"/>
      <c r="M19262" s="11"/>
      <c r="N19262" s="11"/>
      <c r="O19262" s="11"/>
      <c r="P19262" s="11"/>
    </row>
    <row r="19263" spans="8:16" x14ac:dyDescent="0.25">
      <c r="H19263" s="12"/>
      <c r="I19263" s="12"/>
      <c r="J19263" s="12"/>
      <c r="K19263" s="12"/>
      <c r="L19263" s="12"/>
      <c r="M19263" s="11"/>
      <c r="N19263" s="11"/>
      <c r="O19263" s="11"/>
      <c r="P19263" s="11"/>
    </row>
    <row r="19264" spans="8:16" x14ac:dyDescent="0.25">
      <c r="H19264" s="12"/>
      <c r="I19264" s="12"/>
      <c r="J19264" s="12"/>
      <c r="K19264" s="12"/>
      <c r="L19264" s="12"/>
      <c r="M19264" s="11"/>
      <c r="N19264" s="11"/>
      <c r="O19264" s="11"/>
      <c r="P19264" s="11"/>
    </row>
    <row r="19265" spans="8:16" x14ac:dyDescent="0.25">
      <c r="H19265" s="12"/>
      <c r="I19265" s="12"/>
      <c r="J19265" s="12"/>
      <c r="K19265" s="12"/>
      <c r="L19265" s="12"/>
      <c r="M19265" s="11"/>
      <c r="N19265" s="11"/>
      <c r="O19265" s="11"/>
      <c r="P19265" s="11"/>
    </row>
    <row r="19266" spans="8:16" x14ac:dyDescent="0.25">
      <c r="H19266" s="12"/>
      <c r="I19266" s="12"/>
      <c r="J19266" s="12"/>
      <c r="K19266" s="12"/>
      <c r="L19266" s="12"/>
      <c r="M19266" s="11"/>
      <c r="N19266" s="11"/>
      <c r="O19266" s="11"/>
      <c r="P19266" s="11"/>
    </row>
    <row r="19267" spans="8:16" x14ac:dyDescent="0.25">
      <c r="H19267" s="12"/>
      <c r="I19267" s="12"/>
      <c r="J19267" s="12"/>
      <c r="K19267" s="12"/>
      <c r="L19267" s="12"/>
      <c r="M19267" s="11"/>
      <c r="N19267" s="11"/>
      <c r="O19267" s="11"/>
      <c r="P19267" s="11"/>
    </row>
    <row r="19268" spans="8:16" x14ac:dyDescent="0.25">
      <c r="H19268" s="12"/>
      <c r="I19268" s="12"/>
      <c r="J19268" s="12"/>
      <c r="K19268" s="12"/>
      <c r="L19268" s="12"/>
      <c r="M19268" s="11"/>
      <c r="N19268" s="11"/>
      <c r="O19268" s="11"/>
      <c r="P19268" s="11"/>
    </row>
    <row r="19269" spans="8:16" x14ac:dyDescent="0.25">
      <c r="H19269" s="12"/>
      <c r="I19269" s="12"/>
      <c r="J19269" s="12"/>
      <c r="K19269" s="12"/>
      <c r="L19269" s="12"/>
      <c r="M19269" s="11"/>
      <c r="N19269" s="11"/>
      <c r="O19269" s="11"/>
      <c r="P19269" s="11"/>
    </row>
    <row r="19270" spans="8:16" x14ac:dyDescent="0.25">
      <c r="H19270" s="12"/>
      <c r="I19270" s="12"/>
      <c r="J19270" s="12"/>
      <c r="K19270" s="12"/>
      <c r="L19270" s="12"/>
      <c r="M19270" s="11"/>
      <c r="N19270" s="11"/>
      <c r="O19270" s="11"/>
      <c r="P19270" s="11"/>
    </row>
    <row r="19271" spans="8:16" x14ac:dyDescent="0.25">
      <c r="H19271" s="12"/>
      <c r="I19271" s="12"/>
      <c r="J19271" s="12"/>
      <c r="K19271" s="12"/>
      <c r="L19271" s="12"/>
      <c r="M19271" s="11"/>
      <c r="N19271" s="11"/>
      <c r="O19271" s="11"/>
      <c r="P19271" s="11"/>
    </row>
    <row r="19272" spans="8:16" x14ac:dyDescent="0.25">
      <c r="H19272" s="12"/>
      <c r="I19272" s="12"/>
      <c r="J19272" s="12"/>
      <c r="K19272" s="12"/>
      <c r="L19272" s="12"/>
      <c r="M19272" s="11"/>
      <c r="N19272" s="11"/>
      <c r="O19272" s="11"/>
      <c r="P19272" s="11"/>
    </row>
    <row r="19273" spans="8:16" x14ac:dyDescent="0.25">
      <c r="H19273" s="12"/>
      <c r="I19273" s="12"/>
      <c r="J19273" s="12"/>
      <c r="K19273" s="12"/>
      <c r="L19273" s="12"/>
      <c r="M19273" s="11"/>
      <c r="N19273" s="11"/>
      <c r="O19273" s="11"/>
      <c r="P19273" s="11"/>
    </row>
    <row r="19274" spans="8:16" x14ac:dyDescent="0.25">
      <c r="H19274" s="12"/>
      <c r="I19274" s="12"/>
      <c r="J19274" s="12"/>
      <c r="K19274" s="12"/>
      <c r="L19274" s="12"/>
      <c r="M19274" s="11"/>
      <c r="N19274" s="11"/>
      <c r="O19274" s="11"/>
      <c r="P19274" s="11"/>
    </row>
    <row r="19275" spans="8:16" x14ac:dyDescent="0.25">
      <c r="H19275" s="12"/>
      <c r="I19275" s="12"/>
      <c r="J19275" s="12"/>
      <c r="K19275" s="12"/>
      <c r="L19275" s="12"/>
      <c r="M19275" s="11"/>
      <c r="N19275" s="11"/>
      <c r="O19275" s="11"/>
      <c r="P19275" s="11"/>
    </row>
    <row r="19276" spans="8:16" x14ac:dyDescent="0.25">
      <c r="H19276" s="12"/>
      <c r="I19276" s="12"/>
      <c r="J19276" s="12"/>
      <c r="K19276" s="12"/>
      <c r="L19276" s="12"/>
      <c r="M19276" s="11"/>
      <c r="N19276" s="11"/>
      <c r="O19276" s="11"/>
      <c r="P19276" s="11"/>
    </row>
    <row r="19277" spans="8:16" x14ac:dyDescent="0.25">
      <c r="H19277" s="12"/>
      <c r="I19277" s="12"/>
      <c r="J19277" s="12"/>
      <c r="K19277" s="12"/>
      <c r="L19277" s="12"/>
      <c r="M19277" s="11"/>
      <c r="N19277" s="11"/>
      <c r="O19277" s="11"/>
      <c r="P19277" s="11"/>
    </row>
    <row r="19278" spans="8:16" x14ac:dyDescent="0.25">
      <c r="H19278" s="12"/>
      <c r="I19278" s="12"/>
      <c r="J19278" s="12"/>
      <c r="K19278" s="12"/>
      <c r="L19278" s="12"/>
      <c r="M19278" s="11"/>
      <c r="N19278" s="11"/>
      <c r="O19278" s="11"/>
      <c r="P19278" s="11"/>
    </row>
    <row r="19279" spans="8:16" x14ac:dyDescent="0.25">
      <c r="H19279" s="12"/>
      <c r="I19279" s="12"/>
      <c r="J19279" s="12"/>
      <c r="K19279" s="12"/>
      <c r="L19279" s="12"/>
      <c r="M19279" s="11"/>
      <c r="N19279" s="11"/>
      <c r="O19279" s="11"/>
      <c r="P19279" s="11"/>
    </row>
    <row r="19280" spans="8:16" x14ac:dyDescent="0.25">
      <c r="H19280" s="12"/>
      <c r="I19280" s="12"/>
      <c r="J19280" s="12"/>
      <c r="K19280" s="12"/>
      <c r="L19280" s="12"/>
      <c r="M19280" s="11"/>
      <c r="N19280" s="11"/>
      <c r="O19280" s="11"/>
      <c r="P19280" s="11"/>
    </row>
    <row r="19281" spans="8:16" x14ac:dyDescent="0.25">
      <c r="H19281" s="12"/>
      <c r="I19281" s="12"/>
      <c r="J19281" s="12"/>
      <c r="K19281" s="12"/>
      <c r="L19281" s="12"/>
      <c r="M19281" s="11"/>
      <c r="N19281" s="11"/>
      <c r="O19281" s="11"/>
      <c r="P19281" s="11"/>
    </row>
    <row r="19282" spans="8:16" x14ac:dyDescent="0.25">
      <c r="H19282" s="12"/>
      <c r="I19282" s="12"/>
      <c r="J19282" s="12"/>
      <c r="K19282" s="12"/>
      <c r="L19282" s="12"/>
      <c r="M19282" s="11"/>
      <c r="N19282" s="11"/>
      <c r="O19282" s="11"/>
      <c r="P19282" s="11"/>
    </row>
    <row r="19283" spans="8:16" x14ac:dyDescent="0.25">
      <c r="H19283" s="12"/>
      <c r="I19283" s="12"/>
      <c r="J19283" s="12"/>
      <c r="K19283" s="12"/>
      <c r="L19283" s="12"/>
      <c r="M19283" s="11"/>
      <c r="N19283" s="11"/>
      <c r="O19283" s="11"/>
      <c r="P19283" s="11"/>
    </row>
    <row r="19284" spans="8:16" x14ac:dyDescent="0.25">
      <c r="H19284" s="12"/>
      <c r="I19284" s="12"/>
      <c r="J19284" s="12"/>
      <c r="K19284" s="12"/>
      <c r="L19284" s="12"/>
      <c r="M19284" s="11"/>
      <c r="N19284" s="11"/>
      <c r="O19284" s="11"/>
      <c r="P19284" s="11"/>
    </row>
    <row r="19285" spans="8:16" x14ac:dyDescent="0.25">
      <c r="H19285" s="12"/>
      <c r="I19285" s="12"/>
      <c r="J19285" s="12"/>
      <c r="K19285" s="12"/>
      <c r="L19285" s="12"/>
      <c r="M19285" s="11"/>
      <c r="N19285" s="11"/>
      <c r="O19285" s="11"/>
      <c r="P19285" s="11"/>
    </row>
    <row r="19286" spans="8:16" x14ac:dyDescent="0.25">
      <c r="H19286" s="12"/>
      <c r="I19286" s="12"/>
      <c r="J19286" s="12"/>
      <c r="K19286" s="12"/>
      <c r="L19286" s="12"/>
      <c r="M19286" s="11"/>
      <c r="N19286" s="11"/>
      <c r="O19286" s="11"/>
      <c r="P19286" s="11"/>
    </row>
    <row r="19287" spans="8:16" x14ac:dyDescent="0.25">
      <c r="H19287" s="12"/>
      <c r="I19287" s="12"/>
      <c r="J19287" s="12"/>
      <c r="K19287" s="12"/>
      <c r="L19287" s="12"/>
      <c r="M19287" s="11"/>
      <c r="N19287" s="11"/>
      <c r="O19287" s="11"/>
      <c r="P19287" s="11"/>
    </row>
    <row r="19288" spans="8:16" x14ac:dyDescent="0.25">
      <c r="H19288" s="12"/>
      <c r="I19288" s="12"/>
      <c r="J19288" s="12"/>
      <c r="K19288" s="12"/>
      <c r="L19288" s="12"/>
      <c r="M19288" s="11"/>
      <c r="N19288" s="11"/>
      <c r="O19288" s="11"/>
      <c r="P19288" s="11"/>
    </row>
    <row r="19289" spans="8:16" x14ac:dyDescent="0.25">
      <c r="H19289" s="12"/>
      <c r="I19289" s="12"/>
      <c r="J19289" s="12"/>
      <c r="K19289" s="12"/>
      <c r="L19289" s="12"/>
      <c r="M19289" s="11"/>
      <c r="N19289" s="11"/>
      <c r="O19289" s="11"/>
      <c r="P19289" s="11"/>
    </row>
    <row r="19290" spans="8:16" x14ac:dyDescent="0.25">
      <c r="H19290" s="12"/>
      <c r="I19290" s="12"/>
      <c r="J19290" s="12"/>
      <c r="K19290" s="12"/>
      <c r="L19290" s="12"/>
      <c r="M19290" s="11"/>
      <c r="N19290" s="11"/>
      <c r="O19290" s="11"/>
      <c r="P19290" s="11"/>
    </row>
    <row r="19291" spans="8:16" x14ac:dyDescent="0.25">
      <c r="H19291" s="12"/>
      <c r="I19291" s="12"/>
      <c r="J19291" s="12"/>
      <c r="K19291" s="12"/>
      <c r="L19291" s="12"/>
      <c r="M19291" s="11"/>
      <c r="N19291" s="11"/>
      <c r="O19291" s="11"/>
      <c r="P19291" s="11"/>
    </row>
    <row r="19292" spans="8:16" x14ac:dyDescent="0.25">
      <c r="H19292" s="12"/>
      <c r="I19292" s="12"/>
      <c r="J19292" s="12"/>
      <c r="K19292" s="12"/>
      <c r="L19292" s="12"/>
      <c r="M19292" s="11"/>
      <c r="N19292" s="11"/>
      <c r="O19292" s="11"/>
      <c r="P19292" s="11"/>
    </row>
    <row r="19293" spans="8:16" x14ac:dyDescent="0.25">
      <c r="H19293" s="12"/>
      <c r="I19293" s="12"/>
      <c r="J19293" s="12"/>
      <c r="K19293" s="12"/>
      <c r="L19293" s="12"/>
      <c r="M19293" s="11"/>
      <c r="N19293" s="11"/>
      <c r="O19293" s="11"/>
      <c r="P19293" s="11"/>
    </row>
    <row r="19294" spans="8:16" x14ac:dyDescent="0.25">
      <c r="H19294" s="12"/>
      <c r="I19294" s="12"/>
      <c r="J19294" s="12"/>
      <c r="K19294" s="12"/>
      <c r="L19294" s="12"/>
      <c r="M19294" s="11"/>
      <c r="N19294" s="11"/>
      <c r="O19294" s="11"/>
      <c r="P19294" s="11"/>
    </row>
    <row r="19295" spans="8:16" x14ac:dyDescent="0.25">
      <c r="H19295" s="12"/>
      <c r="I19295" s="12"/>
      <c r="J19295" s="12"/>
      <c r="K19295" s="12"/>
      <c r="L19295" s="12"/>
      <c r="M19295" s="11"/>
      <c r="N19295" s="11"/>
      <c r="O19295" s="11"/>
      <c r="P19295" s="11"/>
    </row>
    <row r="19296" spans="8:16" x14ac:dyDescent="0.25">
      <c r="H19296" s="12"/>
      <c r="I19296" s="12"/>
      <c r="J19296" s="12"/>
      <c r="K19296" s="12"/>
      <c r="L19296" s="12"/>
      <c r="M19296" s="11"/>
      <c r="N19296" s="11"/>
      <c r="O19296" s="11"/>
      <c r="P19296" s="11"/>
    </row>
    <row r="19297" spans="8:16" x14ac:dyDescent="0.25">
      <c r="H19297" s="12"/>
      <c r="I19297" s="12"/>
      <c r="J19297" s="12"/>
      <c r="K19297" s="12"/>
      <c r="L19297" s="12"/>
      <c r="M19297" s="11"/>
      <c r="N19297" s="11"/>
      <c r="O19297" s="11"/>
      <c r="P19297" s="11"/>
    </row>
    <row r="19298" spans="8:16" x14ac:dyDescent="0.25">
      <c r="H19298" s="12"/>
      <c r="I19298" s="12"/>
      <c r="J19298" s="12"/>
      <c r="K19298" s="12"/>
      <c r="L19298" s="12"/>
      <c r="M19298" s="11"/>
      <c r="N19298" s="11"/>
      <c r="O19298" s="11"/>
      <c r="P19298" s="11"/>
    </row>
    <row r="19299" spans="8:16" x14ac:dyDescent="0.25">
      <c r="H19299" s="12"/>
      <c r="I19299" s="12"/>
      <c r="J19299" s="12"/>
      <c r="K19299" s="12"/>
      <c r="L19299" s="12"/>
      <c r="M19299" s="11"/>
      <c r="N19299" s="11"/>
      <c r="O19299" s="11"/>
      <c r="P19299" s="11"/>
    </row>
    <row r="19300" spans="8:16" x14ac:dyDescent="0.25">
      <c r="H19300" s="12"/>
      <c r="I19300" s="12"/>
      <c r="J19300" s="12"/>
      <c r="K19300" s="12"/>
      <c r="L19300" s="12"/>
      <c r="M19300" s="11"/>
      <c r="N19300" s="11"/>
      <c r="O19300" s="11"/>
      <c r="P19300" s="11"/>
    </row>
    <row r="19301" spans="8:16" x14ac:dyDescent="0.25">
      <c r="H19301" s="12"/>
      <c r="I19301" s="12"/>
      <c r="J19301" s="12"/>
      <c r="K19301" s="12"/>
      <c r="L19301" s="12"/>
      <c r="M19301" s="11"/>
      <c r="N19301" s="11"/>
      <c r="O19301" s="11"/>
      <c r="P19301" s="11"/>
    </row>
    <row r="19302" spans="8:16" x14ac:dyDescent="0.25">
      <c r="H19302" s="12"/>
      <c r="I19302" s="12"/>
      <c r="J19302" s="12"/>
      <c r="K19302" s="12"/>
      <c r="L19302" s="12"/>
      <c r="M19302" s="11"/>
      <c r="N19302" s="11"/>
      <c r="O19302" s="11"/>
      <c r="P19302" s="11"/>
    </row>
    <row r="19303" spans="8:16" x14ac:dyDescent="0.25">
      <c r="H19303" s="12"/>
      <c r="I19303" s="12"/>
      <c r="J19303" s="12"/>
      <c r="K19303" s="12"/>
      <c r="L19303" s="12"/>
      <c r="M19303" s="11"/>
      <c r="N19303" s="11"/>
      <c r="O19303" s="11"/>
      <c r="P19303" s="11"/>
    </row>
    <row r="19304" spans="8:16" x14ac:dyDescent="0.25">
      <c r="H19304" s="12"/>
      <c r="I19304" s="12"/>
      <c r="J19304" s="12"/>
      <c r="K19304" s="12"/>
      <c r="L19304" s="12"/>
      <c r="M19304" s="11"/>
      <c r="N19304" s="11"/>
      <c r="O19304" s="11"/>
      <c r="P19304" s="11"/>
    </row>
    <row r="19305" spans="8:16" x14ac:dyDescent="0.25">
      <c r="H19305" s="12"/>
      <c r="I19305" s="12"/>
      <c r="J19305" s="12"/>
      <c r="K19305" s="12"/>
      <c r="L19305" s="12"/>
      <c r="M19305" s="11"/>
      <c r="N19305" s="11"/>
      <c r="O19305" s="11"/>
      <c r="P19305" s="11"/>
    </row>
    <row r="19306" spans="8:16" x14ac:dyDescent="0.25">
      <c r="H19306" s="12"/>
      <c r="I19306" s="12"/>
      <c r="J19306" s="12"/>
      <c r="K19306" s="12"/>
      <c r="L19306" s="12"/>
      <c r="M19306" s="11"/>
      <c r="N19306" s="11"/>
      <c r="O19306" s="11"/>
      <c r="P19306" s="11"/>
    </row>
    <row r="19307" spans="8:16" x14ac:dyDescent="0.25">
      <c r="H19307" s="12"/>
      <c r="I19307" s="12"/>
      <c r="J19307" s="12"/>
      <c r="K19307" s="12"/>
      <c r="L19307" s="12"/>
      <c r="M19307" s="11"/>
      <c r="N19307" s="11"/>
      <c r="O19307" s="11"/>
      <c r="P19307" s="11"/>
    </row>
    <row r="19308" spans="8:16" x14ac:dyDescent="0.25">
      <c r="H19308" s="12"/>
      <c r="I19308" s="12"/>
      <c r="J19308" s="12"/>
      <c r="K19308" s="12"/>
      <c r="L19308" s="12"/>
      <c r="M19308" s="11"/>
      <c r="N19308" s="11"/>
      <c r="O19308" s="11"/>
      <c r="P19308" s="11"/>
    </row>
    <row r="19309" spans="8:16" x14ac:dyDescent="0.25">
      <c r="H19309" s="12"/>
      <c r="I19309" s="12"/>
      <c r="J19309" s="12"/>
      <c r="K19309" s="12"/>
      <c r="L19309" s="12"/>
      <c r="M19309" s="11"/>
      <c r="N19309" s="11"/>
      <c r="O19309" s="11"/>
      <c r="P19309" s="11"/>
    </row>
    <row r="19310" spans="8:16" x14ac:dyDescent="0.25">
      <c r="H19310" s="12"/>
      <c r="I19310" s="12"/>
      <c r="J19310" s="12"/>
      <c r="K19310" s="12"/>
      <c r="L19310" s="12"/>
      <c r="M19310" s="11"/>
      <c r="N19310" s="11"/>
      <c r="O19310" s="11"/>
      <c r="P19310" s="11"/>
    </row>
    <row r="19311" spans="8:16" x14ac:dyDescent="0.25">
      <c r="H19311" s="12"/>
      <c r="I19311" s="12"/>
      <c r="J19311" s="12"/>
      <c r="K19311" s="12"/>
      <c r="L19311" s="12"/>
      <c r="M19311" s="11"/>
      <c r="N19311" s="11"/>
      <c r="O19311" s="11"/>
      <c r="P19311" s="11"/>
    </row>
    <row r="19312" spans="8:16" x14ac:dyDescent="0.25">
      <c r="H19312" s="12"/>
      <c r="I19312" s="12"/>
      <c r="J19312" s="12"/>
      <c r="K19312" s="12"/>
      <c r="L19312" s="12"/>
      <c r="M19312" s="11"/>
      <c r="N19312" s="11"/>
      <c r="O19312" s="11"/>
      <c r="P19312" s="11"/>
    </row>
    <row r="19313" spans="8:16" x14ac:dyDescent="0.25">
      <c r="H19313" s="12"/>
      <c r="I19313" s="12"/>
      <c r="J19313" s="12"/>
      <c r="K19313" s="12"/>
      <c r="L19313" s="12"/>
      <c r="M19313" s="11"/>
      <c r="N19313" s="11"/>
      <c r="O19313" s="11"/>
      <c r="P19313" s="11"/>
    </row>
    <row r="19314" spans="8:16" x14ac:dyDescent="0.25">
      <c r="H19314" s="12"/>
      <c r="I19314" s="12"/>
      <c r="J19314" s="12"/>
      <c r="K19314" s="12"/>
      <c r="L19314" s="12"/>
      <c r="M19314" s="11"/>
      <c r="N19314" s="11"/>
      <c r="O19314" s="11"/>
      <c r="P19314" s="11"/>
    </row>
    <row r="19315" spans="8:16" x14ac:dyDescent="0.25">
      <c r="H19315" s="12"/>
      <c r="I19315" s="12"/>
      <c r="J19315" s="12"/>
      <c r="K19315" s="12"/>
      <c r="L19315" s="12"/>
      <c r="M19315" s="11"/>
      <c r="N19315" s="11"/>
      <c r="O19315" s="11"/>
      <c r="P19315" s="11"/>
    </row>
    <row r="19316" spans="8:16" x14ac:dyDescent="0.25">
      <c r="H19316" s="12"/>
      <c r="I19316" s="12"/>
      <c r="J19316" s="12"/>
      <c r="K19316" s="12"/>
      <c r="L19316" s="12"/>
      <c r="M19316" s="11"/>
      <c r="N19316" s="11"/>
      <c r="O19316" s="11"/>
      <c r="P19316" s="11"/>
    </row>
    <row r="19317" spans="8:16" x14ac:dyDescent="0.25">
      <c r="H19317" s="12"/>
      <c r="I19317" s="12"/>
      <c r="J19317" s="12"/>
      <c r="K19317" s="12"/>
      <c r="L19317" s="12"/>
      <c r="M19317" s="11"/>
      <c r="N19317" s="11"/>
      <c r="O19317" s="11"/>
      <c r="P19317" s="11"/>
    </row>
    <row r="19318" spans="8:16" x14ac:dyDescent="0.25">
      <c r="H19318" s="12"/>
      <c r="I19318" s="12"/>
      <c r="J19318" s="12"/>
      <c r="K19318" s="12"/>
      <c r="L19318" s="12"/>
      <c r="M19318" s="11"/>
      <c r="N19318" s="11"/>
      <c r="O19318" s="11"/>
      <c r="P19318" s="11"/>
    </row>
    <row r="19319" spans="8:16" x14ac:dyDescent="0.25">
      <c r="H19319" s="12"/>
      <c r="I19319" s="12"/>
      <c r="J19319" s="12"/>
      <c r="K19319" s="12"/>
      <c r="L19319" s="12"/>
      <c r="M19319" s="11"/>
      <c r="N19319" s="11"/>
      <c r="O19319" s="11"/>
      <c r="P19319" s="11"/>
    </row>
    <row r="19320" spans="8:16" x14ac:dyDescent="0.25">
      <c r="H19320" s="12"/>
      <c r="I19320" s="12"/>
      <c r="J19320" s="12"/>
      <c r="K19320" s="12"/>
      <c r="L19320" s="12"/>
      <c r="M19320" s="11"/>
      <c r="N19320" s="11"/>
      <c r="O19320" s="11"/>
      <c r="P19320" s="11"/>
    </row>
    <row r="19321" spans="8:16" x14ac:dyDescent="0.25">
      <c r="H19321" s="12"/>
      <c r="I19321" s="12"/>
      <c r="J19321" s="12"/>
      <c r="K19321" s="12"/>
      <c r="L19321" s="12"/>
      <c r="M19321" s="11"/>
      <c r="N19321" s="11"/>
      <c r="O19321" s="11"/>
      <c r="P19321" s="11"/>
    </row>
    <row r="19322" spans="8:16" x14ac:dyDescent="0.25">
      <c r="H19322" s="12"/>
      <c r="I19322" s="12"/>
      <c r="J19322" s="12"/>
      <c r="K19322" s="12"/>
      <c r="L19322" s="12"/>
      <c r="M19322" s="11"/>
      <c r="N19322" s="11"/>
      <c r="O19322" s="11"/>
      <c r="P19322" s="11"/>
    </row>
    <row r="19323" spans="8:16" x14ac:dyDescent="0.25">
      <c r="H19323" s="12"/>
      <c r="I19323" s="12"/>
      <c r="J19323" s="12"/>
      <c r="K19323" s="12"/>
      <c r="L19323" s="12"/>
      <c r="M19323" s="11"/>
      <c r="N19323" s="11"/>
      <c r="O19323" s="11"/>
      <c r="P19323" s="11"/>
    </row>
    <row r="19324" spans="8:16" x14ac:dyDescent="0.25">
      <c r="H19324" s="12"/>
      <c r="I19324" s="12"/>
      <c r="J19324" s="12"/>
      <c r="K19324" s="12"/>
      <c r="L19324" s="12"/>
      <c r="M19324" s="11"/>
      <c r="N19324" s="11"/>
      <c r="O19324" s="11"/>
      <c r="P19324" s="11"/>
    </row>
    <row r="19325" spans="8:16" x14ac:dyDescent="0.25">
      <c r="H19325" s="12"/>
      <c r="I19325" s="12"/>
      <c r="J19325" s="12"/>
      <c r="K19325" s="12"/>
      <c r="L19325" s="12"/>
      <c r="M19325" s="11"/>
      <c r="N19325" s="11"/>
      <c r="O19325" s="11"/>
      <c r="P19325" s="11"/>
    </row>
    <row r="19326" spans="8:16" x14ac:dyDescent="0.25">
      <c r="H19326" s="12"/>
      <c r="I19326" s="12"/>
      <c r="J19326" s="12"/>
      <c r="K19326" s="12"/>
      <c r="L19326" s="12"/>
      <c r="M19326" s="11"/>
      <c r="N19326" s="11"/>
      <c r="O19326" s="11"/>
      <c r="P19326" s="11"/>
    </row>
    <row r="19327" spans="8:16" x14ac:dyDescent="0.25">
      <c r="H19327" s="12"/>
      <c r="I19327" s="12"/>
      <c r="J19327" s="12"/>
      <c r="K19327" s="12"/>
      <c r="L19327" s="12"/>
      <c r="M19327" s="11"/>
      <c r="N19327" s="11"/>
      <c r="O19327" s="11"/>
      <c r="P19327" s="11"/>
    </row>
    <row r="19328" spans="8:16" x14ac:dyDescent="0.25">
      <c r="H19328" s="12"/>
      <c r="I19328" s="12"/>
      <c r="J19328" s="12"/>
      <c r="K19328" s="12"/>
      <c r="L19328" s="12"/>
      <c r="M19328" s="11"/>
      <c r="N19328" s="11"/>
      <c r="O19328" s="11"/>
      <c r="P19328" s="11"/>
    </row>
    <row r="19329" spans="8:16" x14ac:dyDescent="0.25">
      <c r="H19329" s="12"/>
      <c r="I19329" s="12"/>
      <c r="J19329" s="12"/>
      <c r="K19329" s="12"/>
      <c r="L19329" s="12"/>
      <c r="M19329" s="11"/>
      <c r="N19329" s="11"/>
      <c r="O19329" s="11"/>
      <c r="P19329" s="11"/>
    </row>
    <row r="19330" spans="8:16" x14ac:dyDescent="0.25">
      <c r="H19330" s="12"/>
      <c r="I19330" s="12"/>
      <c r="J19330" s="12"/>
      <c r="K19330" s="12"/>
      <c r="L19330" s="12"/>
      <c r="M19330" s="11"/>
      <c r="N19330" s="11"/>
      <c r="O19330" s="11"/>
      <c r="P19330" s="11"/>
    </row>
    <row r="19331" spans="8:16" x14ac:dyDescent="0.25">
      <c r="H19331" s="12"/>
      <c r="I19331" s="12"/>
      <c r="J19331" s="12"/>
      <c r="K19331" s="12"/>
      <c r="L19331" s="12"/>
      <c r="M19331" s="11"/>
      <c r="N19331" s="11"/>
      <c r="O19331" s="11"/>
      <c r="P19331" s="11"/>
    </row>
    <row r="19332" spans="8:16" x14ac:dyDescent="0.25">
      <c r="H19332" s="12"/>
      <c r="I19332" s="12"/>
      <c r="J19332" s="12"/>
      <c r="K19332" s="12"/>
      <c r="L19332" s="12"/>
      <c r="M19332" s="11"/>
      <c r="N19332" s="11"/>
      <c r="O19332" s="11"/>
      <c r="P19332" s="11"/>
    </row>
    <row r="19333" spans="8:16" x14ac:dyDescent="0.25">
      <c r="H19333" s="12"/>
      <c r="I19333" s="12"/>
      <c r="J19333" s="12"/>
      <c r="K19333" s="12"/>
      <c r="L19333" s="12"/>
      <c r="M19333" s="11"/>
      <c r="N19333" s="11"/>
      <c r="O19333" s="11"/>
      <c r="P19333" s="11"/>
    </row>
    <row r="19334" spans="8:16" x14ac:dyDescent="0.25">
      <c r="H19334" s="12"/>
      <c r="I19334" s="12"/>
      <c r="J19334" s="12"/>
      <c r="K19334" s="12"/>
      <c r="L19334" s="12"/>
      <c r="M19334" s="11"/>
      <c r="N19334" s="11"/>
      <c r="O19334" s="11"/>
      <c r="P19334" s="11"/>
    </row>
    <row r="19335" spans="8:16" x14ac:dyDescent="0.25">
      <c r="H19335" s="12"/>
      <c r="I19335" s="12"/>
      <c r="J19335" s="12"/>
      <c r="K19335" s="12"/>
      <c r="L19335" s="12"/>
      <c r="M19335" s="11"/>
      <c r="N19335" s="11"/>
      <c r="O19335" s="11"/>
      <c r="P19335" s="11"/>
    </row>
    <row r="19336" spans="8:16" x14ac:dyDescent="0.25">
      <c r="H19336" s="12"/>
      <c r="I19336" s="12"/>
      <c r="J19336" s="12"/>
      <c r="K19336" s="12"/>
      <c r="L19336" s="12"/>
      <c r="M19336" s="11"/>
      <c r="N19336" s="11"/>
      <c r="O19336" s="11"/>
      <c r="P19336" s="11"/>
    </row>
    <row r="19337" spans="8:16" x14ac:dyDescent="0.25">
      <c r="H19337" s="12"/>
      <c r="I19337" s="12"/>
      <c r="J19337" s="12"/>
      <c r="K19337" s="12"/>
      <c r="L19337" s="12"/>
      <c r="M19337" s="11"/>
      <c r="N19337" s="11"/>
      <c r="O19337" s="11"/>
      <c r="P19337" s="11"/>
    </row>
    <row r="19338" spans="8:16" x14ac:dyDescent="0.25">
      <c r="H19338" s="12"/>
      <c r="I19338" s="12"/>
      <c r="J19338" s="12"/>
      <c r="K19338" s="12"/>
      <c r="L19338" s="12"/>
      <c r="M19338" s="11"/>
      <c r="N19338" s="11"/>
      <c r="O19338" s="11"/>
      <c r="P19338" s="11"/>
    </row>
    <row r="19339" spans="8:16" x14ac:dyDescent="0.25">
      <c r="H19339" s="12"/>
      <c r="I19339" s="12"/>
      <c r="J19339" s="12"/>
      <c r="K19339" s="12"/>
      <c r="L19339" s="12"/>
      <c r="M19339" s="11"/>
      <c r="N19339" s="11"/>
      <c r="O19339" s="11"/>
      <c r="P19339" s="11"/>
    </row>
    <row r="19340" spans="8:16" x14ac:dyDescent="0.25">
      <c r="H19340" s="12"/>
      <c r="I19340" s="12"/>
      <c r="J19340" s="12"/>
      <c r="K19340" s="12"/>
      <c r="L19340" s="12"/>
      <c r="M19340" s="11"/>
      <c r="N19340" s="11"/>
      <c r="O19340" s="11"/>
      <c r="P19340" s="11"/>
    </row>
    <row r="19341" spans="8:16" x14ac:dyDescent="0.25">
      <c r="H19341" s="12"/>
      <c r="I19341" s="12"/>
      <c r="J19341" s="12"/>
      <c r="K19341" s="12"/>
      <c r="L19341" s="12"/>
      <c r="M19341" s="11"/>
      <c r="N19341" s="11"/>
      <c r="O19341" s="11"/>
      <c r="P19341" s="11"/>
    </row>
    <row r="19342" spans="8:16" x14ac:dyDescent="0.25">
      <c r="H19342" s="12"/>
      <c r="I19342" s="12"/>
      <c r="J19342" s="12"/>
      <c r="K19342" s="12"/>
      <c r="L19342" s="12"/>
      <c r="M19342" s="11"/>
      <c r="N19342" s="11"/>
      <c r="O19342" s="11"/>
      <c r="P19342" s="11"/>
    </row>
    <row r="19343" spans="8:16" x14ac:dyDescent="0.25">
      <c r="H19343" s="12"/>
      <c r="I19343" s="12"/>
      <c r="J19343" s="12"/>
      <c r="K19343" s="12"/>
      <c r="L19343" s="12"/>
      <c r="M19343" s="11"/>
      <c r="N19343" s="11"/>
      <c r="O19343" s="11"/>
      <c r="P19343" s="11"/>
    </row>
    <row r="19344" spans="8:16" x14ac:dyDescent="0.25">
      <c r="H19344" s="12"/>
      <c r="I19344" s="12"/>
      <c r="J19344" s="12"/>
      <c r="K19344" s="12"/>
      <c r="L19344" s="12"/>
      <c r="M19344" s="11"/>
      <c r="N19344" s="11"/>
      <c r="O19344" s="11"/>
      <c r="P19344" s="11"/>
    </row>
    <row r="19345" spans="8:16" x14ac:dyDescent="0.25">
      <c r="H19345" s="12"/>
      <c r="I19345" s="12"/>
      <c r="J19345" s="12"/>
      <c r="K19345" s="12"/>
      <c r="L19345" s="12"/>
      <c r="M19345" s="11"/>
      <c r="N19345" s="11"/>
      <c r="O19345" s="11"/>
      <c r="P19345" s="11"/>
    </row>
    <row r="19346" spans="8:16" x14ac:dyDescent="0.25">
      <c r="H19346" s="12"/>
      <c r="I19346" s="12"/>
      <c r="J19346" s="12"/>
      <c r="K19346" s="12"/>
      <c r="L19346" s="12"/>
      <c r="M19346" s="11"/>
      <c r="N19346" s="11"/>
      <c r="O19346" s="11"/>
      <c r="P19346" s="11"/>
    </row>
    <row r="19347" spans="8:16" x14ac:dyDescent="0.25">
      <c r="H19347" s="12"/>
      <c r="I19347" s="12"/>
      <c r="J19347" s="12"/>
      <c r="K19347" s="12"/>
      <c r="L19347" s="12"/>
      <c r="M19347" s="11"/>
      <c r="N19347" s="11"/>
      <c r="O19347" s="11"/>
      <c r="P19347" s="11"/>
    </row>
    <row r="19348" spans="8:16" x14ac:dyDescent="0.25">
      <c r="H19348" s="12"/>
      <c r="I19348" s="12"/>
      <c r="J19348" s="12"/>
      <c r="K19348" s="12"/>
      <c r="L19348" s="12"/>
      <c r="M19348" s="11"/>
      <c r="N19348" s="11"/>
      <c r="O19348" s="11"/>
      <c r="P19348" s="11"/>
    </row>
    <row r="19349" spans="8:16" x14ac:dyDescent="0.25">
      <c r="H19349" s="12"/>
      <c r="I19349" s="12"/>
      <c r="J19349" s="12"/>
      <c r="K19349" s="12"/>
      <c r="L19349" s="12"/>
      <c r="M19349" s="11"/>
      <c r="N19349" s="11"/>
      <c r="O19349" s="11"/>
      <c r="P19349" s="11"/>
    </row>
    <row r="19350" spans="8:16" x14ac:dyDescent="0.25">
      <c r="H19350" s="12"/>
      <c r="I19350" s="12"/>
      <c r="J19350" s="12"/>
      <c r="K19350" s="12"/>
      <c r="L19350" s="12"/>
      <c r="M19350" s="11"/>
      <c r="N19350" s="11"/>
      <c r="O19350" s="11"/>
      <c r="P19350" s="11"/>
    </row>
    <row r="19351" spans="8:16" x14ac:dyDescent="0.25">
      <c r="H19351" s="12"/>
      <c r="I19351" s="12"/>
      <c r="J19351" s="12"/>
      <c r="K19351" s="12"/>
      <c r="L19351" s="12"/>
      <c r="M19351" s="11"/>
      <c r="N19351" s="11"/>
      <c r="O19351" s="11"/>
      <c r="P19351" s="11"/>
    </row>
    <row r="19352" spans="8:16" x14ac:dyDescent="0.25">
      <c r="H19352" s="12"/>
      <c r="I19352" s="12"/>
      <c r="J19352" s="12"/>
      <c r="K19352" s="12"/>
      <c r="L19352" s="12"/>
      <c r="M19352" s="11"/>
      <c r="N19352" s="11"/>
      <c r="O19352" s="11"/>
      <c r="P19352" s="11"/>
    </row>
    <row r="19353" spans="8:16" x14ac:dyDescent="0.25">
      <c r="H19353" s="12"/>
      <c r="I19353" s="12"/>
      <c r="J19353" s="12"/>
      <c r="K19353" s="12"/>
      <c r="L19353" s="12"/>
      <c r="M19353" s="11"/>
      <c r="N19353" s="11"/>
      <c r="O19353" s="11"/>
      <c r="P19353" s="11"/>
    </row>
    <row r="19354" spans="8:16" x14ac:dyDescent="0.25">
      <c r="H19354" s="12"/>
      <c r="I19354" s="12"/>
      <c r="J19354" s="12"/>
      <c r="K19354" s="12"/>
      <c r="L19354" s="12"/>
      <c r="M19354" s="11"/>
      <c r="N19354" s="11"/>
      <c r="O19354" s="11"/>
      <c r="P19354" s="11"/>
    </row>
    <row r="19355" spans="8:16" x14ac:dyDescent="0.25">
      <c r="H19355" s="12"/>
      <c r="I19355" s="12"/>
      <c r="J19355" s="12"/>
      <c r="K19355" s="12"/>
      <c r="L19355" s="12"/>
      <c r="M19355" s="11"/>
      <c r="N19355" s="11"/>
      <c r="O19355" s="11"/>
      <c r="P19355" s="11"/>
    </row>
    <row r="19356" spans="8:16" x14ac:dyDescent="0.25">
      <c r="H19356" s="12"/>
      <c r="I19356" s="12"/>
      <c r="J19356" s="12"/>
      <c r="K19356" s="12"/>
      <c r="L19356" s="12"/>
      <c r="M19356" s="11"/>
      <c r="N19356" s="11"/>
      <c r="O19356" s="11"/>
      <c r="P19356" s="11"/>
    </row>
    <row r="19357" spans="8:16" x14ac:dyDescent="0.25">
      <c r="H19357" s="12"/>
      <c r="I19357" s="12"/>
      <c r="J19357" s="12"/>
      <c r="K19357" s="12"/>
      <c r="L19357" s="12"/>
      <c r="M19357" s="11"/>
      <c r="N19357" s="11"/>
      <c r="O19357" s="11"/>
      <c r="P19357" s="11"/>
    </row>
    <row r="19358" spans="8:16" x14ac:dyDescent="0.25">
      <c r="H19358" s="12"/>
      <c r="I19358" s="12"/>
      <c r="J19358" s="12"/>
      <c r="K19358" s="12"/>
      <c r="L19358" s="12"/>
      <c r="M19358" s="11"/>
      <c r="N19358" s="11"/>
      <c r="O19358" s="11"/>
      <c r="P19358" s="11"/>
    </row>
    <row r="19359" spans="8:16" x14ac:dyDescent="0.25">
      <c r="H19359" s="12"/>
      <c r="I19359" s="12"/>
      <c r="J19359" s="12"/>
      <c r="K19359" s="12"/>
      <c r="L19359" s="12"/>
      <c r="M19359" s="11"/>
      <c r="N19359" s="11"/>
      <c r="O19359" s="11"/>
      <c r="P19359" s="11"/>
    </row>
    <row r="19360" spans="8:16" x14ac:dyDescent="0.25">
      <c r="H19360" s="12"/>
      <c r="I19360" s="12"/>
      <c r="J19360" s="12"/>
      <c r="K19360" s="12"/>
      <c r="L19360" s="12"/>
      <c r="M19360" s="11"/>
      <c r="N19360" s="11"/>
      <c r="O19360" s="11"/>
      <c r="P19360" s="11"/>
    </row>
    <row r="19361" spans="8:16" x14ac:dyDescent="0.25">
      <c r="H19361" s="12"/>
      <c r="I19361" s="12"/>
      <c r="J19361" s="12"/>
      <c r="K19361" s="12"/>
      <c r="L19361" s="12"/>
      <c r="M19361" s="11"/>
      <c r="N19361" s="11"/>
      <c r="O19361" s="11"/>
      <c r="P19361" s="11"/>
    </row>
    <row r="19362" spans="8:16" x14ac:dyDescent="0.25">
      <c r="H19362" s="12"/>
      <c r="I19362" s="12"/>
      <c r="J19362" s="12"/>
      <c r="K19362" s="12"/>
      <c r="L19362" s="12"/>
      <c r="M19362" s="11"/>
      <c r="N19362" s="11"/>
      <c r="O19362" s="11"/>
      <c r="P19362" s="11"/>
    </row>
    <row r="19363" spans="8:16" x14ac:dyDescent="0.25">
      <c r="H19363" s="12"/>
      <c r="I19363" s="12"/>
      <c r="J19363" s="12"/>
      <c r="K19363" s="12"/>
      <c r="L19363" s="12"/>
      <c r="M19363" s="11"/>
      <c r="N19363" s="11"/>
      <c r="O19363" s="11"/>
      <c r="P19363" s="11"/>
    </row>
    <row r="19364" spans="8:16" x14ac:dyDescent="0.25">
      <c r="H19364" s="12"/>
      <c r="I19364" s="12"/>
      <c r="J19364" s="12"/>
      <c r="K19364" s="12"/>
      <c r="L19364" s="12"/>
      <c r="M19364" s="11"/>
      <c r="N19364" s="11"/>
      <c r="O19364" s="11"/>
      <c r="P19364" s="11"/>
    </row>
    <row r="19365" spans="8:16" x14ac:dyDescent="0.25">
      <c r="H19365" s="12"/>
      <c r="I19365" s="12"/>
      <c r="J19365" s="12"/>
      <c r="K19365" s="12"/>
      <c r="L19365" s="12"/>
      <c r="M19365" s="11"/>
      <c r="N19365" s="11"/>
      <c r="O19365" s="11"/>
      <c r="P19365" s="11"/>
    </row>
    <row r="19366" spans="8:16" x14ac:dyDescent="0.25">
      <c r="H19366" s="12"/>
      <c r="I19366" s="12"/>
      <c r="J19366" s="12"/>
      <c r="K19366" s="12"/>
      <c r="L19366" s="12"/>
      <c r="M19366" s="11"/>
      <c r="N19366" s="11"/>
      <c r="O19366" s="11"/>
      <c r="P19366" s="11"/>
    </row>
    <row r="19367" spans="8:16" x14ac:dyDescent="0.25">
      <c r="H19367" s="12"/>
      <c r="I19367" s="12"/>
      <c r="J19367" s="12"/>
      <c r="K19367" s="12"/>
      <c r="L19367" s="12"/>
      <c r="M19367" s="11"/>
      <c r="N19367" s="11"/>
      <c r="O19367" s="11"/>
      <c r="P19367" s="11"/>
    </row>
    <row r="19368" spans="8:16" x14ac:dyDescent="0.25">
      <c r="H19368" s="12"/>
      <c r="I19368" s="12"/>
      <c r="J19368" s="12"/>
      <c r="K19368" s="12"/>
      <c r="L19368" s="12"/>
      <c r="M19368" s="11"/>
      <c r="N19368" s="11"/>
      <c r="O19368" s="11"/>
      <c r="P19368" s="11"/>
    </row>
    <row r="19369" spans="8:16" x14ac:dyDescent="0.25">
      <c r="H19369" s="12"/>
      <c r="I19369" s="12"/>
      <c r="J19369" s="12"/>
      <c r="K19369" s="12"/>
      <c r="L19369" s="12"/>
      <c r="M19369" s="11"/>
      <c r="N19369" s="11"/>
      <c r="O19369" s="11"/>
      <c r="P19369" s="11"/>
    </row>
    <row r="19370" spans="8:16" x14ac:dyDescent="0.25">
      <c r="H19370" s="12"/>
      <c r="I19370" s="12"/>
      <c r="J19370" s="12"/>
      <c r="K19370" s="12"/>
      <c r="L19370" s="12"/>
      <c r="M19370" s="11"/>
      <c r="N19370" s="11"/>
      <c r="O19370" s="11"/>
      <c r="P19370" s="11"/>
    </row>
    <row r="19371" spans="8:16" x14ac:dyDescent="0.25">
      <c r="H19371" s="12"/>
      <c r="I19371" s="12"/>
      <c r="J19371" s="12"/>
      <c r="K19371" s="12"/>
      <c r="L19371" s="12"/>
      <c r="M19371" s="11"/>
      <c r="N19371" s="11"/>
      <c r="O19371" s="11"/>
      <c r="P19371" s="11"/>
    </row>
    <row r="19372" spans="8:16" x14ac:dyDescent="0.25">
      <c r="H19372" s="12"/>
      <c r="I19372" s="12"/>
      <c r="J19372" s="12"/>
      <c r="K19372" s="12"/>
      <c r="L19372" s="12"/>
      <c r="M19372" s="11"/>
      <c r="N19372" s="11"/>
      <c r="O19372" s="11"/>
      <c r="P19372" s="11"/>
    </row>
    <row r="19373" spans="8:16" x14ac:dyDescent="0.25">
      <c r="H19373" s="12"/>
      <c r="I19373" s="12"/>
      <c r="J19373" s="12"/>
      <c r="K19373" s="12"/>
      <c r="L19373" s="12"/>
      <c r="M19373" s="11"/>
      <c r="N19373" s="11"/>
      <c r="O19373" s="11"/>
      <c r="P19373" s="11"/>
    </row>
    <row r="19374" spans="8:16" x14ac:dyDescent="0.25">
      <c r="H19374" s="12"/>
      <c r="I19374" s="12"/>
      <c r="J19374" s="12"/>
      <c r="K19374" s="12"/>
      <c r="L19374" s="12"/>
      <c r="M19374" s="11"/>
      <c r="N19374" s="11"/>
      <c r="O19374" s="11"/>
      <c r="P19374" s="11"/>
    </row>
    <row r="19375" spans="8:16" x14ac:dyDescent="0.25">
      <c r="H19375" s="12"/>
      <c r="I19375" s="12"/>
      <c r="J19375" s="12"/>
      <c r="K19375" s="12"/>
      <c r="L19375" s="12"/>
      <c r="M19375" s="11"/>
      <c r="N19375" s="11"/>
      <c r="O19375" s="11"/>
      <c r="P19375" s="11"/>
    </row>
    <row r="19376" spans="8:16" x14ac:dyDescent="0.25">
      <c r="H19376" s="12"/>
      <c r="I19376" s="12"/>
      <c r="J19376" s="12"/>
      <c r="K19376" s="12"/>
      <c r="L19376" s="12"/>
      <c r="M19376" s="11"/>
      <c r="N19376" s="11"/>
      <c r="O19376" s="11"/>
      <c r="P19376" s="11"/>
    </row>
    <row r="19377" spans="8:16" x14ac:dyDescent="0.25">
      <c r="H19377" s="12"/>
      <c r="I19377" s="12"/>
      <c r="J19377" s="12"/>
      <c r="K19377" s="12"/>
      <c r="L19377" s="12"/>
      <c r="M19377" s="11"/>
      <c r="N19377" s="11"/>
      <c r="O19377" s="11"/>
      <c r="P19377" s="11"/>
    </row>
    <row r="19378" spans="8:16" x14ac:dyDescent="0.25">
      <c r="H19378" s="12"/>
      <c r="I19378" s="12"/>
      <c r="J19378" s="12"/>
      <c r="K19378" s="12"/>
      <c r="L19378" s="12"/>
      <c r="M19378" s="11"/>
      <c r="N19378" s="11"/>
      <c r="O19378" s="11"/>
      <c r="P19378" s="11"/>
    </row>
    <row r="19379" spans="8:16" x14ac:dyDescent="0.25">
      <c r="H19379" s="12"/>
      <c r="I19379" s="12"/>
      <c r="J19379" s="12"/>
      <c r="K19379" s="12"/>
      <c r="L19379" s="12"/>
      <c r="M19379" s="11"/>
      <c r="N19379" s="11"/>
      <c r="O19379" s="11"/>
      <c r="P19379" s="11"/>
    </row>
    <row r="19380" spans="8:16" x14ac:dyDescent="0.25">
      <c r="H19380" s="12"/>
      <c r="I19380" s="12"/>
      <c r="J19380" s="12"/>
      <c r="K19380" s="12"/>
      <c r="L19380" s="12"/>
      <c r="M19380" s="11"/>
      <c r="N19380" s="11"/>
      <c r="O19380" s="11"/>
      <c r="P19380" s="11"/>
    </row>
    <row r="19381" spans="8:16" x14ac:dyDescent="0.25">
      <c r="H19381" s="12"/>
      <c r="I19381" s="12"/>
      <c r="J19381" s="12"/>
      <c r="K19381" s="12"/>
      <c r="L19381" s="12"/>
      <c r="M19381" s="11"/>
      <c r="N19381" s="11"/>
      <c r="O19381" s="11"/>
      <c r="P19381" s="11"/>
    </row>
    <row r="19382" spans="8:16" x14ac:dyDescent="0.25">
      <c r="H19382" s="12"/>
      <c r="I19382" s="12"/>
      <c r="J19382" s="12"/>
      <c r="K19382" s="12"/>
      <c r="L19382" s="12"/>
      <c r="M19382" s="11"/>
      <c r="N19382" s="11"/>
      <c r="O19382" s="11"/>
      <c r="P19382" s="11"/>
    </row>
    <row r="19383" spans="8:16" x14ac:dyDescent="0.25">
      <c r="H19383" s="12"/>
      <c r="I19383" s="12"/>
      <c r="J19383" s="12"/>
      <c r="K19383" s="12"/>
      <c r="L19383" s="12"/>
      <c r="M19383" s="11"/>
      <c r="N19383" s="11"/>
      <c r="O19383" s="11"/>
      <c r="P19383" s="11"/>
    </row>
    <row r="19384" spans="8:16" x14ac:dyDescent="0.25">
      <c r="H19384" s="12"/>
      <c r="I19384" s="12"/>
      <c r="J19384" s="12"/>
      <c r="K19384" s="12"/>
      <c r="L19384" s="12"/>
      <c r="M19384" s="11"/>
      <c r="N19384" s="11"/>
      <c r="O19384" s="11"/>
      <c r="P19384" s="11"/>
    </row>
    <row r="19385" spans="8:16" x14ac:dyDescent="0.25">
      <c r="H19385" s="12"/>
      <c r="I19385" s="12"/>
      <c r="J19385" s="12"/>
      <c r="K19385" s="12"/>
      <c r="L19385" s="12"/>
      <c r="M19385" s="11"/>
      <c r="N19385" s="11"/>
      <c r="O19385" s="11"/>
      <c r="P19385" s="11"/>
    </row>
    <row r="19386" spans="8:16" x14ac:dyDescent="0.25">
      <c r="H19386" s="12"/>
      <c r="I19386" s="12"/>
      <c r="J19386" s="12"/>
      <c r="K19386" s="12"/>
      <c r="L19386" s="12"/>
      <c r="M19386" s="11"/>
      <c r="N19386" s="11"/>
      <c r="O19386" s="11"/>
      <c r="P19386" s="11"/>
    </row>
    <row r="19387" spans="8:16" x14ac:dyDescent="0.25">
      <c r="H19387" s="12"/>
      <c r="I19387" s="12"/>
      <c r="J19387" s="12"/>
      <c r="K19387" s="12"/>
      <c r="L19387" s="12"/>
      <c r="M19387" s="11"/>
      <c r="N19387" s="11"/>
      <c r="O19387" s="11"/>
      <c r="P19387" s="11"/>
    </row>
    <row r="19388" spans="8:16" x14ac:dyDescent="0.25">
      <c r="H19388" s="12"/>
      <c r="I19388" s="12"/>
      <c r="J19388" s="12"/>
      <c r="K19388" s="12"/>
      <c r="L19388" s="12"/>
      <c r="M19388" s="11"/>
      <c r="N19388" s="11"/>
      <c r="O19388" s="11"/>
      <c r="P19388" s="11"/>
    </row>
    <row r="19389" spans="8:16" x14ac:dyDescent="0.25">
      <c r="H19389" s="12"/>
      <c r="I19389" s="12"/>
      <c r="J19389" s="12"/>
      <c r="K19389" s="12"/>
      <c r="L19389" s="12"/>
      <c r="M19389" s="11"/>
      <c r="N19389" s="11"/>
      <c r="O19389" s="11"/>
      <c r="P19389" s="11"/>
    </row>
    <row r="19390" spans="8:16" x14ac:dyDescent="0.25">
      <c r="H19390" s="12"/>
      <c r="I19390" s="12"/>
      <c r="J19390" s="12"/>
      <c r="K19390" s="12"/>
      <c r="L19390" s="12"/>
      <c r="M19390" s="11"/>
      <c r="N19390" s="11"/>
      <c r="O19390" s="11"/>
      <c r="P19390" s="11"/>
    </row>
    <row r="19391" spans="8:16" x14ac:dyDescent="0.25">
      <c r="H19391" s="12"/>
      <c r="I19391" s="12"/>
      <c r="J19391" s="12"/>
      <c r="K19391" s="12"/>
      <c r="L19391" s="12"/>
      <c r="M19391" s="11"/>
      <c r="N19391" s="11"/>
      <c r="O19391" s="11"/>
      <c r="P19391" s="11"/>
    </row>
    <row r="19392" spans="8:16" x14ac:dyDescent="0.25">
      <c r="H19392" s="12"/>
      <c r="I19392" s="12"/>
      <c r="J19392" s="12"/>
      <c r="K19392" s="12"/>
      <c r="L19392" s="12"/>
      <c r="M19392" s="11"/>
      <c r="N19392" s="11"/>
      <c r="O19392" s="11"/>
      <c r="P19392" s="11"/>
    </row>
    <row r="19393" spans="8:16" x14ac:dyDescent="0.25">
      <c r="H19393" s="12"/>
      <c r="I19393" s="12"/>
      <c r="J19393" s="12"/>
      <c r="K19393" s="12"/>
      <c r="L19393" s="12"/>
      <c r="M19393" s="11"/>
      <c r="N19393" s="11"/>
      <c r="O19393" s="11"/>
      <c r="P19393" s="11"/>
    </row>
    <row r="19394" spans="8:16" x14ac:dyDescent="0.25">
      <c r="H19394" s="12"/>
      <c r="I19394" s="12"/>
      <c r="J19394" s="12"/>
      <c r="K19394" s="12"/>
      <c r="L19394" s="12"/>
      <c r="M19394" s="11"/>
      <c r="N19394" s="11"/>
      <c r="O19394" s="11"/>
      <c r="P19394" s="11"/>
    </row>
    <row r="19395" spans="8:16" x14ac:dyDescent="0.25">
      <c r="H19395" s="12"/>
      <c r="I19395" s="12"/>
      <c r="J19395" s="12"/>
      <c r="K19395" s="12"/>
      <c r="L19395" s="12"/>
      <c r="M19395" s="11"/>
      <c r="N19395" s="11"/>
      <c r="O19395" s="11"/>
      <c r="P19395" s="11"/>
    </row>
    <row r="19396" spans="8:16" x14ac:dyDescent="0.25">
      <c r="H19396" s="12"/>
      <c r="I19396" s="12"/>
      <c r="J19396" s="12"/>
      <c r="K19396" s="12"/>
      <c r="L19396" s="12"/>
      <c r="M19396" s="11"/>
      <c r="N19396" s="11"/>
      <c r="O19396" s="11"/>
      <c r="P19396" s="11"/>
    </row>
    <row r="19397" spans="8:16" x14ac:dyDescent="0.25">
      <c r="H19397" s="12"/>
      <c r="I19397" s="12"/>
      <c r="J19397" s="12"/>
      <c r="K19397" s="12"/>
      <c r="L19397" s="12"/>
      <c r="M19397" s="11"/>
      <c r="N19397" s="11"/>
      <c r="O19397" s="11"/>
      <c r="P19397" s="11"/>
    </row>
    <row r="19398" spans="8:16" x14ac:dyDescent="0.25">
      <c r="H19398" s="12"/>
      <c r="I19398" s="12"/>
      <c r="J19398" s="12"/>
      <c r="K19398" s="12"/>
      <c r="L19398" s="12"/>
      <c r="M19398" s="11"/>
      <c r="N19398" s="11"/>
      <c r="O19398" s="11"/>
      <c r="P19398" s="11"/>
    </row>
    <row r="19399" spans="8:16" x14ac:dyDescent="0.25">
      <c r="H19399" s="12"/>
      <c r="I19399" s="12"/>
      <c r="J19399" s="12"/>
      <c r="K19399" s="12"/>
      <c r="L19399" s="12"/>
      <c r="M19399" s="11"/>
      <c r="N19399" s="11"/>
      <c r="O19399" s="11"/>
      <c r="P19399" s="11"/>
    </row>
    <row r="19400" spans="8:16" x14ac:dyDescent="0.25">
      <c r="H19400" s="12"/>
      <c r="I19400" s="12"/>
      <c r="J19400" s="12"/>
      <c r="K19400" s="12"/>
      <c r="L19400" s="12"/>
      <c r="M19400" s="11"/>
      <c r="N19400" s="11"/>
      <c r="O19400" s="11"/>
      <c r="P19400" s="11"/>
    </row>
    <row r="19401" spans="8:16" x14ac:dyDescent="0.25">
      <c r="H19401" s="12"/>
      <c r="I19401" s="12"/>
      <c r="J19401" s="12"/>
      <c r="K19401" s="12"/>
      <c r="L19401" s="12"/>
      <c r="M19401" s="11"/>
      <c r="N19401" s="11"/>
      <c r="O19401" s="11"/>
      <c r="P19401" s="11"/>
    </row>
    <row r="19402" spans="8:16" x14ac:dyDescent="0.25">
      <c r="H19402" s="12"/>
      <c r="I19402" s="12"/>
      <c r="J19402" s="12"/>
      <c r="K19402" s="12"/>
      <c r="L19402" s="12"/>
      <c r="M19402" s="11"/>
      <c r="N19402" s="11"/>
      <c r="O19402" s="11"/>
      <c r="P19402" s="11"/>
    </row>
    <row r="19403" spans="8:16" x14ac:dyDescent="0.25">
      <c r="H19403" s="12"/>
      <c r="I19403" s="12"/>
      <c r="J19403" s="12"/>
      <c r="K19403" s="12"/>
      <c r="L19403" s="12"/>
      <c r="M19403" s="11"/>
      <c r="N19403" s="11"/>
      <c r="O19403" s="11"/>
      <c r="P19403" s="11"/>
    </row>
    <row r="19404" spans="8:16" x14ac:dyDescent="0.25">
      <c r="H19404" s="12"/>
      <c r="I19404" s="12"/>
      <c r="J19404" s="12"/>
      <c r="K19404" s="12"/>
      <c r="L19404" s="12"/>
      <c r="M19404" s="11"/>
      <c r="N19404" s="11"/>
      <c r="O19404" s="11"/>
      <c r="P19404" s="11"/>
    </row>
    <row r="19405" spans="8:16" x14ac:dyDescent="0.25">
      <c r="H19405" s="12"/>
      <c r="I19405" s="12"/>
      <c r="J19405" s="12"/>
      <c r="K19405" s="12"/>
      <c r="L19405" s="12"/>
      <c r="M19405" s="11"/>
      <c r="N19405" s="11"/>
      <c r="O19405" s="11"/>
      <c r="P19405" s="11"/>
    </row>
    <row r="19406" spans="8:16" x14ac:dyDescent="0.25">
      <c r="H19406" s="12"/>
      <c r="I19406" s="12"/>
      <c r="J19406" s="12"/>
      <c r="K19406" s="12"/>
      <c r="L19406" s="12"/>
      <c r="M19406" s="11"/>
      <c r="N19406" s="11"/>
      <c r="O19406" s="11"/>
      <c r="P19406" s="11"/>
    </row>
    <row r="19407" spans="8:16" x14ac:dyDescent="0.25">
      <c r="H19407" s="12"/>
      <c r="I19407" s="12"/>
      <c r="J19407" s="12"/>
      <c r="K19407" s="12"/>
      <c r="L19407" s="12"/>
      <c r="M19407" s="11"/>
      <c r="N19407" s="11"/>
      <c r="O19407" s="11"/>
      <c r="P19407" s="11"/>
    </row>
    <row r="19408" spans="8:16" x14ac:dyDescent="0.25">
      <c r="H19408" s="12"/>
      <c r="I19408" s="12"/>
      <c r="J19408" s="12"/>
      <c r="K19408" s="12"/>
      <c r="L19408" s="12"/>
      <c r="M19408" s="11"/>
      <c r="N19408" s="11"/>
      <c r="O19408" s="11"/>
      <c r="P19408" s="11"/>
    </row>
    <row r="19409" spans="8:16" x14ac:dyDescent="0.25">
      <c r="H19409" s="12"/>
      <c r="I19409" s="12"/>
      <c r="J19409" s="12"/>
      <c r="K19409" s="12"/>
      <c r="L19409" s="12"/>
      <c r="M19409" s="11"/>
      <c r="N19409" s="11"/>
      <c r="O19409" s="11"/>
      <c r="P19409" s="11"/>
    </row>
    <row r="19410" spans="8:16" x14ac:dyDescent="0.25">
      <c r="H19410" s="12"/>
      <c r="I19410" s="12"/>
      <c r="J19410" s="12"/>
      <c r="K19410" s="12"/>
      <c r="L19410" s="12"/>
      <c r="M19410" s="11"/>
      <c r="N19410" s="11"/>
      <c r="O19410" s="11"/>
      <c r="P19410" s="11"/>
    </row>
    <row r="19411" spans="8:16" x14ac:dyDescent="0.25">
      <c r="H19411" s="12"/>
      <c r="I19411" s="12"/>
      <c r="J19411" s="12"/>
      <c r="K19411" s="12"/>
      <c r="L19411" s="12"/>
      <c r="M19411" s="11"/>
      <c r="N19411" s="11"/>
      <c r="O19411" s="11"/>
      <c r="P19411" s="11"/>
    </row>
    <row r="19412" spans="8:16" x14ac:dyDescent="0.25">
      <c r="H19412" s="12"/>
      <c r="I19412" s="12"/>
      <c r="J19412" s="12"/>
      <c r="K19412" s="12"/>
      <c r="L19412" s="12"/>
      <c r="M19412" s="11"/>
      <c r="N19412" s="11"/>
      <c r="O19412" s="11"/>
      <c r="P19412" s="11"/>
    </row>
    <row r="19413" spans="8:16" x14ac:dyDescent="0.25">
      <c r="H19413" s="12"/>
      <c r="I19413" s="12"/>
      <c r="J19413" s="12"/>
      <c r="K19413" s="12"/>
      <c r="L19413" s="12"/>
      <c r="M19413" s="11"/>
      <c r="N19413" s="11"/>
      <c r="O19413" s="11"/>
      <c r="P19413" s="11"/>
    </row>
    <row r="19414" spans="8:16" x14ac:dyDescent="0.25">
      <c r="H19414" s="12"/>
      <c r="I19414" s="12"/>
      <c r="J19414" s="12"/>
      <c r="K19414" s="12"/>
      <c r="L19414" s="12"/>
      <c r="M19414" s="11"/>
      <c r="N19414" s="11"/>
      <c r="O19414" s="11"/>
      <c r="P19414" s="11"/>
    </row>
    <row r="19415" spans="8:16" x14ac:dyDescent="0.25">
      <c r="H19415" s="12"/>
      <c r="I19415" s="12"/>
      <c r="J19415" s="12"/>
      <c r="K19415" s="12"/>
      <c r="L19415" s="12"/>
      <c r="M19415" s="11"/>
      <c r="N19415" s="11"/>
      <c r="O19415" s="11"/>
      <c r="P19415" s="11"/>
    </row>
    <row r="19416" spans="8:16" x14ac:dyDescent="0.25">
      <c r="H19416" s="12"/>
      <c r="I19416" s="12"/>
      <c r="J19416" s="12"/>
      <c r="K19416" s="12"/>
      <c r="L19416" s="12"/>
      <c r="M19416" s="11"/>
      <c r="N19416" s="11"/>
      <c r="O19416" s="11"/>
      <c r="P19416" s="11"/>
    </row>
    <row r="19417" spans="8:16" x14ac:dyDescent="0.25">
      <c r="H19417" s="12"/>
      <c r="I19417" s="12"/>
      <c r="J19417" s="12"/>
      <c r="K19417" s="12"/>
      <c r="L19417" s="12"/>
      <c r="M19417" s="11"/>
      <c r="N19417" s="11"/>
      <c r="O19417" s="11"/>
      <c r="P19417" s="11"/>
    </row>
    <row r="19418" spans="8:16" x14ac:dyDescent="0.25">
      <c r="H19418" s="12"/>
      <c r="I19418" s="12"/>
      <c r="J19418" s="12"/>
      <c r="K19418" s="12"/>
      <c r="L19418" s="12"/>
      <c r="M19418" s="11"/>
      <c r="N19418" s="11"/>
      <c r="O19418" s="11"/>
      <c r="P19418" s="11"/>
    </row>
    <row r="19419" spans="8:16" x14ac:dyDescent="0.25">
      <c r="H19419" s="12"/>
      <c r="I19419" s="12"/>
      <c r="J19419" s="12"/>
      <c r="K19419" s="12"/>
      <c r="L19419" s="12"/>
      <c r="M19419" s="11"/>
      <c r="N19419" s="11"/>
      <c r="O19419" s="11"/>
      <c r="P19419" s="11"/>
    </row>
    <row r="19420" spans="8:16" x14ac:dyDescent="0.25">
      <c r="H19420" s="12"/>
      <c r="I19420" s="12"/>
      <c r="J19420" s="12"/>
      <c r="K19420" s="12"/>
      <c r="L19420" s="12"/>
      <c r="M19420" s="11"/>
      <c r="N19420" s="11"/>
      <c r="O19420" s="11"/>
      <c r="P19420" s="11"/>
    </row>
    <row r="19421" spans="8:16" x14ac:dyDescent="0.25">
      <c r="H19421" s="12"/>
      <c r="I19421" s="12"/>
      <c r="J19421" s="12"/>
      <c r="K19421" s="12"/>
      <c r="L19421" s="12"/>
      <c r="M19421" s="11"/>
      <c r="N19421" s="11"/>
      <c r="O19421" s="11"/>
      <c r="P19421" s="11"/>
    </row>
    <row r="19422" spans="8:16" x14ac:dyDescent="0.25">
      <c r="H19422" s="12"/>
      <c r="I19422" s="12"/>
      <c r="J19422" s="12"/>
      <c r="K19422" s="12"/>
      <c r="L19422" s="12"/>
      <c r="M19422" s="11"/>
      <c r="N19422" s="11"/>
      <c r="O19422" s="11"/>
      <c r="P19422" s="11"/>
    </row>
    <row r="19423" spans="8:16" x14ac:dyDescent="0.25">
      <c r="H19423" s="12"/>
      <c r="I19423" s="12"/>
      <c r="J19423" s="12"/>
      <c r="K19423" s="12"/>
      <c r="L19423" s="12"/>
      <c r="M19423" s="11"/>
      <c r="N19423" s="11"/>
      <c r="O19423" s="11"/>
      <c r="P19423" s="11"/>
    </row>
    <row r="19424" spans="8:16" x14ac:dyDescent="0.25">
      <c r="H19424" s="12"/>
      <c r="I19424" s="12"/>
      <c r="J19424" s="12"/>
      <c r="K19424" s="12"/>
      <c r="L19424" s="12"/>
      <c r="M19424" s="11"/>
      <c r="N19424" s="11"/>
      <c r="O19424" s="11"/>
      <c r="P19424" s="11"/>
    </row>
    <row r="19425" spans="8:16" x14ac:dyDescent="0.25">
      <c r="H19425" s="12"/>
      <c r="I19425" s="12"/>
      <c r="J19425" s="12"/>
      <c r="K19425" s="12"/>
      <c r="L19425" s="12"/>
      <c r="M19425" s="11"/>
      <c r="N19425" s="11"/>
      <c r="O19425" s="11"/>
      <c r="P19425" s="11"/>
    </row>
    <row r="19426" spans="8:16" x14ac:dyDescent="0.25">
      <c r="H19426" s="12"/>
      <c r="I19426" s="12"/>
      <c r="J19426" s="12"/>
      <c r="K19426" s="12"/>
      <c r="L19426" s="12"/>
      <c r="M19426" s="11"/>
      <c r="N19426" s="11"/>
      <c r="O19426" s="11"/>
      <c r="P19426" s="11"/>
    </row>
    <row r="19427" spans="8:16" x14ac:dyDescent="0.25">
      <c r="H19427" s="12"/>
      <c r="I19427" s="12"/>
      <c r="J19427" s="12"/>
      <c r="K19427" s="12"/>
      <c r="L19427" s="12"/>
      <c r="M19427" s="11"/>
      <c r="N19427" s="11"/>
      <c r="O19427" s="11"/>
      <c r="P19427" s="11"/>
    </row>
    <row r="19428" spans="8:16" x14ac:dyDescent="0.25">
      <c r="H19428" s="12"/>
      <c r="I19428" s="12"/>
      <c r="J19428" s="12"/>
      <c r="K19428" s="12"/>
      <c r="L19428" s="12"/>
      <c r="M19428" s="11"/>
      <c r="N19428" s="11"/>
      <c r="O19428" s="11"/>
      <c r="P19428" s="11"/>
    </row>
    <row r="19429" spans="8:16" x14ac:dyDescent="0.25">
      <c r="H19429" s="12"/>
      <c r="I19429" s="12"/>
      <c r="J19429" s="12"/>
      <c r="K19429" s="12"/>
      <c r="L19429" s="12"/>
      <c r="M19429" s="11"/>
      <c r="N19429" s="11"/>
      <c r="O19429" s="11"/>
      <c r="P19429" s="11"/>
    </row>
    <row r="19430" spans="8:16" x14ac:dyDescent="0.25">
      <c r="H19430" s="12"/>
      <c r="I19430" s="12"/>
      <c r="J19430" s="12"/>
      <c r="K19430" s="12"/>
      <c r="L19430" s="12"/>
      <c r="M19430" s="11"/>
      <c r="N19430" s="11"/>
      <c r="O19430" s="11"/>
      <c r="P19430" s="11"/>
    </row>
    <row r="19431" spans="8:16" x14ac:dyDescent="0.25">
      <c r="H19431" s="12"/>
      <c r="I19431" s="12"/>
      <c r="J19431" s="12"/>
      <c r="K19431" s="12"/>
      <c r="L19431" s="12"/>
      <c r="M19431" s="11"/>
      <c r="N19431" s="11"/>
      <c r="O19431" s="11"/>
      <c r="P19431" s="11"/>
    </row>
    <row r="19432" spans="8:16" x14ac:dyDescent="0.25">
      <c r="H19432" s="12"/>
      <c r="I19432" s="12"/>
      <c r="J19432" s="12"/>
      <c r="K19432" s="12"/>
      <c r="L19432" s="12"/>
      <c r="M19432" s="11"/>
      <c r="N19432" s="11"/>
      <c r="O19432" s="11"/>
      <c r="P19432" s="11"/>
    </row>
    <row r="19433" spans="8:16" x14ac:dyDescent="0.25">
      <c r="H19433" s="12"/>
      <c r="I19433" s="12"/>
      <c r="J19433" s="12"/>
      <c r="K19433" s="12"/>
      <c r="L19433" s="12"/>
      <c r="M19433" s="11"/>
      <c r="N19433" s="11"/>
      <c r="O19433" s="11"/>
      <c r="P19433" s="11"/>
    </row>
    <row r="19434" spans="8:16" x14ac:dyDescent="0.25">
      <c r="H19434" s="12"/>
      <c r="I19434" s="12"/>
      <c r="J19434" s="12"/>
      <c r="K19434" s="12"/>
      <c r="L19434" s="12"/>
      <c r="M19434" s="11"/>
      <c r="N19434" s="11"/>
      <c r="O19434" s="11"/>
      <c r="P19434" s="11"/>
    </row>
    <row r="19435" spans="8:16" x14ac:dyDescent="0.25">
      <c r="H19435" s="12"/>
      <c r="I19435" s="12"/>
      <c r="J19435" s="12"/>
      <c r="K19435" s="12"/>
      <c r="L19435" s="12"/>
      <c r="M19435" s="11"/>
      <c r="N19435" s="11"/>
      <c r="O19435" s="11"/>
      <c r="P19435" s="11"/>
    </row>
    <row r="19436" spans="8:16" x14ac:dyDescent="0.25">
      <c r="H19436" s="12"/>
      <c r="I19436" s="12"/>
      <c r="J19436" s="12"/>
      <c r="K19436" s="12"/>
      <c r="L19436" s="12"/>
      <c r="M19436" s="11"/>
      <c r="N19436" s="11"/>
      <c r="O19436" s="11"/>
      <c r="P19436" s="11"/>
    </row>
    <row r="19437" spans="8:16" x14ac:dyDescent="0.25">
      <c r="H19437" s="12"/>
      <c r="I19437" s="12"/>
      <c r="J19437" s="12"/>
      <c r="K19437" s="12"/>
      <c r="L19437" s="12"/>
      <c r="M19437" s="11"/>
      <c r="N19437" s="11"/>
      <c r="O19437" s="11"/>
      <c r="P19437" s="11"/>
    </row>
    <row r="19438" spans="8:16" x14ac:dyDescent="0.25">
      <c r="H19438" s="12"/>
      <c r="I19438" s="12"/>
      <c r="J19438" s="12"/>
      <c r="K19438" s="12"/>
      <c r="L19438" s="12"/>
      <c r="M19438" s="11"/>
      <c r="N19438" s="11"/>
      <c r="O19438" s="11"/>
      <c r="P19438" s="11"/>
    </row>
    <row r="19439" spans="8:16" x14ac:dyDescent="0.25">
      <c r="H19439" s="12"/>
      <c r="I19439" s="12"/>
      <c r="J19439" s="12"/>
      <c r="K19439" s="12"/>
      <c r="L19439" s="12"/>
      <c r="M19439" s="11"/>
      <c r="N19439" s="11"/>
      <c r="O19439" s="11"/>
      <c r="P19439" s="11"/>
    </row>
    <row r="19440" spans="8:16" x14ac:dyDescent="0.25">
      <c r="H19440" s="12"/>
      <c r="I19440" s="12"/>
      <c r="J19440" s="12"/>
      <c r="K19440" s="12"/>
      <c r="L19440" s="12"/>
      <c r="M19440" s="11"/>
      <c r="N19440" s="11"/>
      <c r="O19440" s="11"/>
      <c r="P19440" s="11"/>
    </row>
    <row r="19441" spans="8:16" x14ac:dyDescent="0.25">
      <c r="H19441" s="12"/>
      <c r="I19441" s="12"/>
      <c r="J19441" s="12"/>
      <c r="K19441" s="12"/>
      <c r="L19441" s="12"/>
      <c r="M19441" s="11"/>
      <c r="N19441" s="11"/>
      <c r="O19441" s="11"/>
      <c r="P19441" s="11"/>
    </row>
    <row r="19442" spans="8:16" x14ac:dyDescent="0.25">
      <c r="H19442" s="12"/>
      <c r="I19442" s="12"/>
      <c r="J19442" s="12"/>
      <c r="K19442" s="12"/>
      <c r="L19442" s="12"/>
      <c r="M19442" s="11"/>
      <c r="N19442" s="11"/>
      <c r="O19442" s="11"/>
      <c r="P19442" s="11"/>
    </row>
    <row r="19443" spans="8:16" x14ac:dyDescent="0.25">
      <c r="H19443" s="12"/>
      <c r="I19443" s="12"/>
      <c r="J19443" s="12"/>
      <c r="K19443" s="12"/>
      <c r="L19443" s="12"/>
      <c r="M19443" s="11"/>
      <c r="N19443" s="11"/>
      <c r="O19443" s="11"/>
      <c r="P19443" s="11"/>
    </row>
    <row r="19444" spans="8:16" x14ac:dyDescent="0.25">
      <c r="H19444" s="12"/>
      <c r="I19444" s="12"/>
      <c r="J19444" s="12"/>
      <c r="K19444" s="12"/>
      <c r="L19444" s="12"/>
      <c r="M19444" s="11"/>
      <c r="N19444" s="11"/>
      <c r="O19444" s="11"/>
      <c r="P19444" s="11"/>
    </row>
    <row r="19445" spans="8:16" x14ac:dyDescent="0.25">
      <c r="H19445" s="12"/>
      <c r="I19445" s="12"/>
      <c r="J19445" s="12"/>
      <c r="K19445" s="12"/>
      <c r="L19445" s="12"/>
      <c r="M19445" s="11"/>
      <c r="N19445" s="11"/>
      <c r="O19445" s="11"/>
      <c r="P19445" s="11"/>
    </row>
    <row r="19446" spans="8:16" x14ac:dyDescent="0.25">
      <c r="H19446" s="12"/>
      <c r="I19446" s="12"/>
      <c r="J19446" s="12"/>
      <c r="K19446" s="12"/>
      <c r="L19446" s="12"/>
      <c r="M19446" s="11"/>
      <c r="N19446" s="11"/>
      <c r="O19446" s="11"/>
      <c r="P19446" s="11"/>
    </row>
    <row r="19447" spans="8:16" x14ac:dyDescent="0.25">
      <c r="H19447" s="12"/>
      <c r="I19447" s="12"/>
      <c r="J19447" s="12"/>
      <c r="K19447" s="12"/>
      <c r="L19447" s="12"/>
      <c r="M19447" s="11"/>
      <c r="N19447" s="11"/>
      <c r="O19447" s="11"/>
      <c r="P19447" s="11"/>
    </row>
    <row r="19448" spans="8:16" x14ac:dyDescent="0.25">
      <c r="H19448" s="12"/>
      <c r="I19448" s="12"/>
      <c r="J19448" s="12"/>
      <c r="K19448" s="12"/>
      <c r="L19448" s="12"/>
      <c r="M19448" s="11"/>
      <c r="N19448" s="11"/>
      <c r="O19448" s="11"/>
      <c r="P19448" s="11"/>
    </row>
    <row r="19449" spans="8:16" x14ac:dyDescent="0.25">
      <c r="H19449" s="12"/>
      <c r="I19449" s="12"/>
      <c r="J19449" s="12"/>
      <c r="K19449" s="12"/>
      <c r="L19449" s="12"/>
      <c r="M19449" s="11"/>
      <c r="N19449" s="11"/>
      <c r="O19449" s="11"/>
      <c r="P19449" s="11"/>
    </row>
    <row r="19450" spans="8:16" x14ac:dyDescent="0.25">
      <c r="H19450" s="12"/>
      <c r="I19450" s="12"/>
      <c r="J19450" s="12"/>
      <c r="K19450" s="12"/>
      <c r="L19450" s="12"/>
      <c r="M19450" s="11"/>
      <c r="N19450" s="11"/>
      <c r="O19450" s="11"/>
      <c r="P19450" s="11"/>
    </row>
    <row r="19451" spans="8:16" x14ac:dyDescent="0.25">
      <c r="H19451" s="12"/>
      <c r="I19451" s="12"/>
      <c r="J19451" s="12"/>
      <c r="K19451" s="12"/>
      <c r="L19451" s="12"/>
      <c r="M19451" s="11"/>
      <c r="N19451" s="11"/>
      <c r="O19451" s="11"/>
      <c r="P19451" s="11"/>
    </row>
    <row r="19452" spans="8:16" x14ac:dyDescent="0.25">
      <c r="H19452" s="12"/>
      <c r="I19452" s="12"/>
      <c r="J19452" s="12"/>
      <c r="K19452" s="12"/>
      <c r="L19452" s="12"/>
      <c r="M19452" s="11"/>
      <c r="N19452" s="11"/>
      <c r="O19452" s="11"/>
      <c r="P19452" s="11"/>
    </row>
    <row r="19453" spans="8:16" x14ac:dyDescent="0.25">
      <c r="H19453" s="12"/>
      <c r="I19453" s="12"/>
      <c r="J19453" s="12"/>
      <c r="K19453" s="12"/>
      <c r="L19453" s="12"/>
      <c r="M19453" s="11"/>
      <c r="N19453" s="11"/>
      <c r="O19453" s="11"/>
      <c r="P19453" s="11"/>
    </row>
    <row r="19454" spans="8:16" x14ac:dyDescent="0.25">
      <c r="H19454" s="12"/>
      <c r="I19454" s="12"/>
      <c r="J19454" s="12"/>
      <c r="K19454" s="12"/>
      <c r="L19454" s="12"/>
      <c r="M19454" s="11"/>
      <c r="N19454" s="11"/>
      <c r="O19454" s="11"/>
      <c r="P19454" s="11"/>
    </row>
    <row r="19455" spans="8:16" x14ac:dyDescent="0.25">
      <c r="H19455" s="12"/>
      <c r="I19455" s="12"/>
      <c r="J19455" s="12"/>
      <c r="K19455" s="12"/>
      <c r="L19455" s="12"/>
      <c r="M19455" s="11"/>
      <c r="N19455" s="11"/>
      <c r="O19455" s="11"/>
      <c r="P19455" s="11"/>
    </row>
    <row r="19456" spans="8:16" x14ac:dyDescent="0.25">
      <c r="H19456" s="12"/>
      <c r="I19456" s="12"/>
      <c r="J19456" s="12"/>
      <c r="K19456" s="12"/>
      <c r="L19456" s="12"/>
      <c r="M19456" s="11"/>
      <c r="N19456" s="11"/>
      <c r="O19456" s="11"/>
      <c r="P19456" s="11"/>
    </row>
    <row r="19457" spans="8:16" x14ac:dyDescent="0.25">
      <c r="H19457" s="12"/>
      <c r="I19457" s="12"/>
      <c r="J19457" s="12"/>
      <c r="K19457" s="12"/>
      <c r="L19457" s="12"/>
      <c r="M19457" s="11"/>
      <c r="N19457" s="11"/>
      <c r="O19457" s="11"/>
      <c r="P19457" s="11"/>
    </row>
    <row r="19458" spans="8:16" x14ac:dyDescent="0.25">
      <c r="H19458" s="12"/>
      <c r="I19458" s="12"/>
      <c r="J19458" s="12"/>
      <c r="K19458" s="12"/>
      <c r="L19458" s="12"/>
      <c r="M19458" s="11"/>
      <c r="N19458" s="11"/>
      <c r="O19458" s="11"/>
      <c r="P19458" s="11"/>
    </row>
    <row r="19459" spans="8:16" x14ac:dyDescent="0.25">
      <c r="H19459" s="12"/>
      <c r="I19459" s="12"/>
      <c r="J19459" s="12"/>
      <c r="K19459" s="12"/>
      <c r="L19459" s="12"/>
      <c r="M19459" s="11"/>
      <c r="N19459" s="11"/>
      <c r="O19459" s="11"/>
      <c r="P19459" s="11"/>
    </row>
    <row r="19460" spans="8:16" x14ac:dyDescent="0.25">
      <c r="H19460" s="12"/>
      <c r="I19460" s="12"/>
      <c r="J19460" s="12"/>
      <c r="K19460" s="12"/>
      <c r="L19460" s="12"/>
      <c r="M19460" s="11"/>
      <c r="N19460" s="11"/>
      <c r="O19460" s="11"/>
      <c r="P19460" s="11"/>
    </row>
    <row r="19461" spans="8:16" x14ac:dyDescent="0.25">
      <c r="H19461" s="12"/>
      <c r="I19461" s="12"/>
      <c r="J19461" s="12"/>
      <c r="K19461" s="12"/>
      <c r="L19461" s="12"/>
      <c r="M19461" s="11"/>
      <c r="N19461" s="11"/>
      <c r="O19461" s="11"/>
      <c r="P19461" s="11"/>
    </row>
    <row r="19462" spans="8:16" x14ac:dyDescent="0.25">
      <c r="H19462" s="12"/>
      <c r="I19462" s="12"/>
      <c r="J19462" s="12"/>
      <c r="K19462" s="12"/>
      <c r="L19462" s="12"/>
      <c r="M19462" s="11"/>
      <c r="N19462" s="11"/>
      <c r="O19462" s="11"/>
      <c r="P19462" s="11"/>
    </row>
    <row r="19463" spans="8:16" x14ac:dyDescent="0.25">
      <c r="H19463" s="12"/>
      <c r="I19463" s="12"/>
      <c r="J19463" s="12"/>
      <c r="K19463" s="12"/>
      <c r="L19463" s="12"/>
      <c r="M19463" s="11"/>
      <c r="N19463" s="11"/>
      <c r="O19463" s="11"/>
      <c r="P19463" s="11"/>
    </row>
    <row r="19464" spans="8:16" x14ac:dyDescent="0.25">
      <c r="H19464" s="12"/>
      <c r="I19464" s="12"/>
      <c r="J19464" s="12"/>
      <c r="K19464" s="12"/>
      <c r="L19464" s="12"/>
      <c r="M19464" s="11"/>
      <c r="N19464" s="11"/>
      <c r="O19464" s="11"/>
      <c r="P19464" s="11"/>
    </row>
    <row r="19465" spans="8:16" x14ac:dyDescent="0.25">
      <c r="H19465" s="12"/>
      <c r="I19465" s="12"/>
      <c r="J19465" s="12"/>
      <c r="K19465" s="12"/>
      <c r="L19465" s="12"/>
      <c r="M19465" s="11"/>
      <c r="N19465" s="11"/>
      <c r="O19465" s="11"/>
      <c r="P19465" s="11"/>
    </row>
    <row r="19466" spans="8:16" x14ac:dyDescent="0.25">
      <c r="H19466" s="12"/>
      <c r="I19466" s="12"/>
      <c r="J19466" s="12"/>
      <c r="K19466" s="12"/>
      <c r="L19466" s="12"/>
      <c r="M19466" s="11"/>
      <c r="N19466" s="11"/>
      <c r="O19466" s="11"/>
      <c r="P19466" s="11"/>
    </row>
    <row r="19467" spans="8:16" x14ac:dyDescent="0.25">
      <c r="H19467" s="12"/>
      <c r="I19467" s="12"/>
      <c r="J19467" s="12"/>
      <c r="K19467" s="12"/>
      <c r="L19467" s="12"/>
      <c r="M19467" s="11"/>
      <c r="N19467" s="11"/>
      <c r="O19467" s="11"/>
      <c r="P19467" s="11"/>
    </row>
    <row r="19468" spans="8:16" x14ac:dyDescent="0.25">
      <c r="H19468" s="12"/>
      <c r="I19468" s="12"/>
      <c r="J19468" s="12"/>
      <c r="K19468" s="12"/>
      <c r="L19468" s="12"/>
      <c r="M19468" s="11"/>
      <c r="N19468" s="11"/>
      <c r="O19468" s="11"/>
      <c r="P19468" s="11"/>
    </row>
    <row r="19469" spans="8:16" x14ac:dyDescent="0.25">
      <c r="H19469" s="12"/>
      <c r="I19469" s="12"/>
      <c r="J19469" s="12"/>
      <c r="K19469" s="12"/>
      <c r="L19469" s="12"/>
      <c r="M19469" s="11"/>
      <c r="N19469" s="11"/>
      <c r="O19469" s="11"/>
      <c r="P19469" s="11"/>
    </row>
    <row r="19470" spans="8:16" x14ac:dyDescent="0.25">
      <c r="H19470" s="12"/>
      <c r="I19470" s="12"/>
      <c r="J19470" s="12"/>
      <c r="K19470" s="12"/>
      <c r="L19470" s="12"/>
      <c r="M19470" s="11"/>
      <c r="N19470" s="11"/>
      <c r="O19470" s="11"/>
      <c r="P19470" s="11"/>
    </row>
    <row r="19471" spans="8:16" x14ac:dyDescent="0.25">
      <c r="H19471" s="12"/>
      <c r="I19471" s="12"/>
      <c r="J19471" s="12"/>
      <c r="K19471" s="12"/>
      <c r="L19471" s="12"/>
      <c r="M19471" s="11"/>
      <c r="N19471" s="11"/>
      <c r="O19471" s="11"/>
      <c r="P19471" s="11"/>
    </row>
    <row r="19472" spans="8:16" x14ac:dyDescent="0.25">
      <c r="H19472" s="12"/>
      <c r="I19472" s="12"/>
      <c r="J19472" s="12"/>
      <c r="K19472" s="12"/>
      <c r="L19472" s="12"/>
      <c r="M19472" s="11"/>
      <c r="N19472" s="11"/>
      <c r="O19472" s="11"/>
      <c r="P19472" s="11"/>
    </row>
    <row r="19473" spans="8:16" x14ac:dyDescent="0.25">
      <c r="H19473" s="12"/>
      <c r="I19473" s="12"/>
      <c r="J19473" s="12"/>
      <c r="K19473" s="12"/>
      <c r="L19473" s="12"/>
      <c r="M19473" s="11"/>
      <c r="N19473" s="11"/>
      <c r="O19473" s="11"/>
      <c r="P19473" s="11"/>
    </row>
    <row r="19474" spans="8:16" x14ac:dyDescent="0.25">
      <c r="H19474" s="12"/>
      <c r="I19474" s="12"/>
      <c r="J19474" s="12"/>
      <c r="K19474" s="12"/>
      <c r="L19474" s="12"/>
      <c r="M19474" s="11"/>
      <c r="N19474" s="11"/>
      <c r="O19474" s="11"/>
      <c r="P19474" s="11"/>
    </row>
    <row r="19475" spans="8:16" x14ac:dyDescent="0.25">
      <c r="H19475" s="12"/>
      <c r="I19475" s="12"/>
      <c r="J19475" s="12"/>
      <c r="K19475" s="12"/>
      <c r="L19475" s="12"/>
      <c r="M19475" s="11"/>
      <c r="N19475" s="11"/>
      <c r="O19475" s="11"/>
      <c r="P19475" s="11"/>
    </row>
    <row r="19476" spans="8:16" x14ac:dyDescent="0.25">
      <c r="H19476" s="12"/>
      <c r="I19476" s="12"/>
      <c r="J19476" s="12"/>
      <c r="K19476" s="12"/>
      <c r="L19476" s="12"/>
      <c r="M19476" s="11"/>
      <c r="N19476" s="11"/>
      <c r="O19476" s="11"/>
      <c r="P19476" s="11"/>
    </row>
    <row r="19477" spans="8:16" x14ac:dyDescent="0.25">
      <c r="H19477" s="12"/>
      <c r="I19477" s="12"/>
      <c r="J19477" s="12"/>
      <c r="K19477" s="12"/>
      <c r="L19477" s="12"/>
      <c r="M19477" s="11"/>
      <c r="N19477" s="11"/>
      <c r="O19477" s="11"/>
      <c r="P19477" s="11"/>
    </row>
    <row r="19478" spans="8:16" x14ac:dyDescent="0.25">
      <c r="H19478" s="12"/>
      <c r="I19478" s="12"/>
      <c r="J19478" s="12"/>
      <c r="K19478" s="12"/>
      <c r="L19478" s="12"/>
      <c r="M19478" s="11"/>
      <c r="N19478" s="11"/>
      <c r="O19478" s="11"/>
      <c r="P19478" s="11"/>
    </row>
    <row r="19479" spans="8:16" x14ac:dyDescent="0.25">
      <c r="H19479" s="12"/>
      <c r="I19479" s="12"/>
      <c r="J19479" s="12"/>
      <c r="K19479" s="12"/>
      <c r="L19479" s="12"/>
      <c r="M19479" s="11"/>
      <c r="N19479" s="11"/>
      <c r="O19479" s="11"/>
      <c r="P19479" s="11"/>
    </row>
    <row r="19480" spans="8:16" x14ac:dyDescent="0.25">
      <c r="H19480" s="12"/>
      <c r="I19480" s="12"/>
      <c r="J19480" s="12"/>
      <c r="K19480" s="12"/>
      <c r="L19480" s="12"/>
      <c r="M19480" s="11"/>
      <c r="N19480" s="11"/>
      <c r="O19480" s="11"/>
      <c r="P19480" s="11"/>
    </row>
    <row r="19481" spans="8:16" x14ac:dyDescent="0.25">
      <c r="H19481" s="12"/>
      <c r="I19481" s="12"/>
      <c r="J19481" s="12"/>
      <c r="K19481" s="12"/>
      <c r="L19481" s="12"/>
      <c r="M19481" s="11"/>
      <c r="N19481" s="11"/>
      <c r="O19481" s="11"/>
      <c r="P19481" s="11"/>
    </row>
    <row r="19482" spans="8:16" x14ac:dyDescent="0.25">
      <c r="H19482" s="12"/>
      <c r="I19482" s="12"/>
      <c r="J19482" s="12"/>
      <c r="K19482" s="12"/>
      <c r="L19482" s="12"/>
      <c r="M19482" s="11"/>
      <c r="N19482" s="11"/>
      <c r="O19482" s="11"/>
      <c r="P19482" s="11"/>
    </row>
    <row r="19483" spans="8:16" x14ac:dyDescent="0.25">
      <c r="H19483" s="12"/>
      <c r="I19483" s="12"/>
      <c r="J19483" s="12"/>
      <c r="K19483" s="12"/>
      <c r="L19483" s="12"/>
      <c r="M19483" s="11"/>
      <c r="N19483" s="11"/>
      <c r="O19483" s="11"/>
      <c r="P19483" s="11"/>
    </row>
    <row r="19484" spans="8:16" x14ac:dyDescent="0.25">
      <c r="H19484" s="12"/>
      <c r="I19484" s="12"/>
      <c r="J19484" s="12"/>
      <c r="K19484" s="12"/>
      <c r="L19484" s="12"/>
      <c r="M19484" s="11"/>
      <c r="N19484" s="11"/>
      <c r="O19484" s="11"/>
      <c r="P19484" s="11"/>
    </row>
    <row r="19485" spans="8:16" x14ac:dyDescent="0.25">
      <c r="H19485" s="12"/>
      <c r="I19485" s="12"/>
      <c r="J19485" s="12"/>
      <c r="K19485" s="12"/>
      <c r="L19485" s="12"/>
      <c r="M19485" s="11"/>
      <c r="N19485" s="11"/>
      <c r="O19485" s="11"/>
      <c r="P19485" s="11"/>
    </row>
    <row r="19486" spans="8:16" x14ac:dyDescent="0.25">
      <c r="H19486" s="12"/>
      <c r="I19486" s="12"/>
      <c r="J19486" s="12"/>
      <c r="K19486" s="12"/>
      <c r="L19486" s="12"/>
      <c r="M19486" s="11"/>
      <c r="N19486" s="11"/>
      <c r="O19486" s="11"/>
      <c r="P19486" s="11"/>
    </row>
    <row r="19487" spans="8:16" x14ac:dyDescent="0.25">
      <c r="H19487" s="12"/>
      <c r="I19487" s="12"/>
      <c r="J19487" s="12"/>
      <c r="K19487" s="12"/>
      <c r="L19487" s="12"/>
      <c r="M19487" s="11"/>
      <c r="N19487" s="11"/>
      <c r="O19487" s="11"/>
      <c r="P19487" s="11"/>
    </row>
    <row r="19488" spans="8:16" x14ac:dyDescent="0.25">
      <c r="H19488" s="12"/>
      <c r="I19488" s="12"/>
      <c r="J19488" s="12"/>
      <c r="K19488" s="12"/>
      <c r="L19488" s="12"/>
      <c r="M19488" s="11"/>
      <c r="N19488" s="11"/>
      <c r="O19488" s="11"/>
      <c r="P19488" s="11"/>
    </row>
    <row r="19489" spans="8:16" x14ac:dyDescent="0.25">
      <c r="H19489" s="12"/>
      <c r="I19489" s="12"/>
      <c r="J19489" s="12"/>
      <c r="K19489" s="12"/>
      <c r="L19489" s="12"/>
      <c r="M19489" s="11"/>
      <c r="N19489" s="11"/>
      <c r="O19489" s="11"/>
      <c r="P19489" s="11"/>
    </row>
    <row r="19490" spans="8:16" x14ac:dyDescent="0.25">
      <c r="H19490" s="12"/>
      <c r="I19490" s="12"/>
      <c r="J19490" s="12"/>
      <c r="K19490" s="12"/>
      <c r="L19490" s="12"/>
      <c r="M19490" s="11"/>
      <c r="N19490" s="11"/>
      <c r="O19490" s="11"/>
      <c r="P19490" s="11"/>
    </row>
    <row r="19491" spans="8:16" x14ac:dyDescent="0.25">
      <c r="H19491" s="12"/>
      <c r="I19491" s="12"/>
      <c r="J19491" s="12"/>
      <c r="K19491" s="12"/>
      <c r="L19491" s="12"/>
      <c r="M19491" s="11"/>
      <c r="N19491" s="11"/>
      <c r="O19491" s="11"/>
      <c r="P19491" s="11"/>
    </row>
    <row r="19492" spans="8:16" x14ac:dyDescent="0.25">
      <c r="H19492" s="12"/>
      <c r="I19492" s="12"/>
      <c r="J19492" s="12"/>
      <c r="K19492" s="12"/>
      <c r="L19492" s="12"/>
      <c r="M19492" s="11"/>
      <c r="N19492" s="11"/>
      <c r="O19492" s="11"/>
      <c r="P19492" s="11"/>
    </row>
    <row r="19493" spans="8:16" x14ac:dyDescent="0.25">
      <c r="H19493" s="12"/>
      <c r="I19493" s="12"/>
      <c r="J19493" s="12"/>
      <c r="K19493" s="12"/>
      <c r="L19493" s="12"/>
      <c r="M19493" s="11"/>
      <c r="N19493" s="11"/>
      <c r="O19493" s="11"/>
      <c r="P19493" s="11"/>
    </row>
    <row r="19494" spans="8:16" x14ac:dyDescent="0.25">
      <c r="H19494" s="12"/>
      <c r="I19494" s="12"/>
      <c r="J19494" s="12"/>
      <c r="K19494" s="12"/>
      <c r="L19494" s="12"/>
      <c r="M19494" s="11"/>
      <c r="N19494" s="11"/>
      <c r="O19494" s="11"/>
      <c r="P19494" s="11"/>
    </row>
    <row r="19495" spans="8:16" x14ac:dyDescent="0.25">
      <c r="H19495" s="12"/>
      <c r="I19495" s="12"/>
      <c r="J19495" s="12"/>
      <c r="K19495" s="12"/>
      <c r="L19495" s="12"/>
      <c r="M19495" s="11"/>
      <c r="N19495" s="11"/>
      <c r="O19495" s="11"/>
      <c r="P19495" s="11"/>
    </row>
    <row r="19496" spans="8:16" x14ac:dyDescent="0.25">
      <c r="H19496" s="12"/>
      <c r="I19496" s="12"/>
      <c r="J19496" s="12"/>
      <c r="K19496" s="12"/>
      <c r="L19496" s="12"/>
      <c r="M19496" s="11"/>
      <c r="N19496" s="11"/>
      <c r="O19496" s="11"/>
      <c r="P19496" s="11"/>
    </row>
    <row r="19497" spans="8:16" x14ac:dyDescent="0.25">
      <c r="H19497" s="12"/>
      <c r="I19497" s="12"/>
      <c r="J19497" s="12"/>
      <c r="K19497" s="12"/>
      <c r="L19497" s="12"/>
      <c r="M19497" s="11"/>
      <c r="N19497" s="11"/>
      <c r="O19497" s="11"/>
      <c r="P19497" s="11"/>
    </row>
    <row r="19498" spans="8:16" x14ac:dyDescent="0.25">
      <c r="H19498" s="12"/>
      <c r="I19498" s="12"/>
      <c r="J19498" s="12"/>
      <c r="K19498" s="12"/>
      <c r="L19498" s="12"/>
      <c r="M19498" s="11"/>
      <c r="N19498" s="11"/>
      <c r="O19498" s="11"/>
      <c r="P19498" s="11"/>
    </row>
    <row r="19499" spans="8:16" x14ac:dyDescent="0.25">
      <c r="H19499" s="12"/>
      <c r="I19499" s="12"/>
      <c r="J19499" s="12"/>
      <c r="K19499" s="12"/>
      <c r="L19499" s="12"/>
      <c r="M19499" s="11"/>
      <c r="N19499" s="11"/>
      <c r="O19499" s="11"/>
      <c r="P19499" s="11"/>
    </row>
    <row r="19500" spans="8:16" x14ac:dyDescent="0.25">
      <c r="H19500" s="12"/>
      <c r="I19500" s="12"/>
      <c r="J19500" s="12"/>
      <c r="K19500" s="12"/>
      <c r="L19500" s="12"/>
      <c r="M19500" s="11"/>
      <c r="N19500" s="11"/>
      <c r="O19500" s="11"/>
      <c r="P19500" s="11"/>
    </row>
    <row r="19501" spans="8:16" x14ac:dyDescent="0.25">
      <c r="H19501" s="12"/>
      <c r="I19501" s="12"/>
      <c r="J19501" s="12"/>
      <c r="K19501" s="12"/>
      <c r="L19501" s="12"/>
      <c r="M19501" s="11"/>
      <c r="N19501" s="11"/>
      <c r="O19501" s="11"/>
      <c r="P19501" s="11"/>
    </row>
    <row r="19502" spans="8:16" x14ac:dyDescent="0.25">
      <c r="H19502" s="12"/>
      <c r="I19502" s="12"/>
      <c r="J19502" s="12"/>
      <c r="K19502" s="12"/>
      <c r="L19502" s="12"/>
      <c r="M19502" s="11"/>
      <c r="N19502" s="11"/>
      <c r="O19502" s="11"/>
      <c r="P19502" s="11"/>
    </row>
    <row r="19503" spans="8:16" x14ac:dyDescent="0.25">
      <c r="H19503" s="12"/>
      <c r="I19503" s="12"/>
      <c r="J19503" s="12"/>
      <c r="K19503" s="12"/>
      <c r="L19503" s="12"/>
      <c r="M19503" s="11"/>
      <c r="N19503" s="11"/>
      <c r="O19503" s="11"/>
      <c r="P19503" s="11"/>
    </row>
    <row r="19504" spans="8:16" x14ac:dyDescent="0.25">
      <c r="H19504" s="12"/>
      <c r="I19504" s="12"/>
      <c r="J19504" s="12"/>
      <c r="K19504" s="12"/>
      <c r="L19504" s="12"/>
      <c r="M19504" s="11"/>
      <c r="N19504" s="11"/>
      <c r="O19504" s="11"/>
      <c r="P19504" s="11"/>
    </row>
    <row r="19505" spans="8:16" x14ac:dyDescent="0.25">
      <c r="H19505" s="12"/>
      <c r="I19505" s="12"/>
      <c r="J19505" s="12"/>
      <c r="K19505" s="12"/>
      <c r="L19505" s="12"/>
      <c r="M19505" s="11"/>
      <c r="N19505" s="11"/>
      <c r="O19505" s="11"/>
      <c r="P19505" s="11"/>
    </row>
    <row r="19506" spans="8:16" x14ac:dyDescent="0.25">
      <c r="H19506" s="12"/>
      <c r="I19506" s="12"/>
      <c r="J19506" s="12"/>
      <c r="K19506" s="12"/>
      <c r="L19506" s="12"/>
      <c r="M19506" s="11"/>
      <c r="N19506" s="11"/>
      <c r="O19506" s="11"/>
      <c r="P19506" s="11"/>
    </row>
    <row r="19507" spans="8:16" x14ac:dyDescent="0.25">
      <c r="H19507" s="12"/>
      <c r="I19507" s="12"/>
      <c r="J19507" s="12"/>
      <c r="K19507" s="12"/>
      <c r="L19507" s="12"/>
      <c r="M19507" s="11"/>
      <c r="N19507" s="11"/>
      <c r="O19507" s="11"/>
      <c r="P19507" s="11"/>
    </row>
    <row r="19508" spans="8:16" x14ac:dyDescent="0.25">
      <c r="H19508" s="12"/>
      <c r="I19508" s="12"/>
      <c r="J19508" s="12"/>
      <c r="K19508" s="12"/>
      <c r="L19508" s="12"/>
      <c r="M19508" s="11"/>
      <c r="N19508" s="11"/>
      <c r="O19508" s="11"/>
      <c r="P19508" s="11"/>
    </row>
    <row r="19509" spans="8:16" x14ac:dyDescent="0.25">
      <c r="H19509" s="12"/>
      <c r="I19509" s="12"/>
      <c r="J19509" s="12"/>
      <c r="K19509" s="12"/>
      <c r="L19509" s="12"/>
      <c r="M19509" s="11"/>
      <c r="N19509" s="11"/>
      <c r="O19509" s="11"/>
      <c r="P19509" s="11"/>
    </row>
    <row r="19510" spans="8:16" x14ac:dyDescent="0.25">
      <c r="H19510" s="12"/>
      <c r="I19510" s="12"/>
      <c r="J19510" s="12"/>
      <c r="K19510" s="12"/>
      <c r="L19510" s="12"/>
      <c r="M19510" s="11"/>
      <c r="N19510" s="11"/>
      <c r="O19510" s="11"/>
      <c r="P19510" s="11"/>
    </row>
    <row r="19511" spans="8:16" x14ac:dyDescent="0.25">
      <c r="H19511" s="12"/>
      <c r="I19511" s="12"/>
      <c r="J19511" s="12"/>
      <c r="K19511" s="12"/>
      <c r="L19511" s="12"/>
      <c r="M19511" s="11"/>
      <c r="N19511" s="11"/>
      <c r="O19511" s="11"/>
      <c r="P19511" s="11"/>
    </row>
    <row r="19512" spans="8:16" x14ac:dyDescent="0.25">
      <c r="H19512" s="12"/>
      <c r="I19512" s="12"/>
      <c r="J19512" s="12"/>
      <c r="K19512" s="12"/>
      <c r="L19512" s="12"/>
      <c r="M19512" s="11"/>
      <c r="N19512" s="11"/>
      <c r="O19512" s="11"/>
      <c r="P19512" s="11"/>
    </row>
    <row r="19513" spans="8:16" x14ac:dyDescent="0.25">
      <c r="H19513" s="12"/>
      <c r="I19513" s="12"/>
      <c r="J19513" s="12"/>
      <c r="K19513" s="12"/>
      <c r="L19513" s="12"/>
      <c r="M19513" s="11"/>
      <c r="N19513" s="11"/>
      <c r="O19513" s="11"/>
      <c r="P19513" s="11"/>
    </row>
    <row r="19514" spans="8:16" x14ac:dyDescent="0.25">
      <c r="H19514" s="12"/>
      <c r="I19514" s="12"/>
      <c r="J19514" s="12"/>
      <c r="K19514" s="12"/>
      <c r="L19514" s="12"/>
      <c r="M19514" s="11"/>
      <c r="N19514" s="11"/>
      <c r="O19514" s="11"/>
      <c r="P19514" s="11"/>
    </row>
    <row r="19515" spans="8:16" x14ac:dyDescent="0.25">
      <c r="H19515" s="12"/>
      <c r="I19515" s="12"/>
      <c r="J19515" s="12"/>
      <c r="K19515" s="12"/>
      <c r="L19515" s="12"/>
      <c r="M19515" s="11"/>
      <c r="N19515" s="11"/>
      <c r="O19515" s="11"/>
      <c r="P19515" s="11"/>
    </row>
    <row r="19516" spans="8:16" x14ac:dyDescent="0.25">
      <c r="H19516" s="12"/>
      <c r="I19516" s="12"/>
      <c r="J19516" s="12"/>
      <c r="K19516" s="12"/>
      <c r="L19516" s="12"/>
      <c r="M19516" s="11"/>
      <c r="N19516" s="11"/>
      <c r="O19516" s="11"/>
      <c r="P19516" s="11"/>
    </row>
    <row r="19517" spans="8:16" x14ac:dyDescent="0.25">
      <c r="H19517" s="12"/>
      <c r="I19517" s="12"/>
      <c r="J19517" s="12"/>
      <c r="K19517" s="12"/>
      <c r="L19517" s="12"/>
      <c r="M19517" s="11"/>
      <c r="N19517" s="11"/>
      <c r="O19517" s="11"/>
      <c r="P19517" s="11"/>
    </row>
    <row r="19518" spans="8:16" x14ac:dyDescent="0.25">
      <c r="H19518" s="12"/>
      <c r="I19518" s="12"/>
      <c r="J19518" s="12"/>
      <c r="K19518" s="12"/>
      <c r="L19518" s="12"/>
      <c r="M19518" s="11"/>
      <c r="N19518" s="11"/>
      <c r="O19518" s="11"/>
      <c r="P19518" s="11"/>
    </row>
    <row r="19519" spans="8:16" x14ac:dyDescent="0.25">
      <c r="H19519" s="12"/>
      <c r="I19519" s="12"/>
      <c r="J19519" s="12"/>
      <c r="K19519" s="12"/>
      <c r="L19519" s="12"/>
      <c r="M19519" s="11"/>
      <c r="N19519" s="11"/>
      <c r="O19519" s="11"/>
      <c r="P19519" s="11"/>
    </row>
    <row r="19520" spans="8:16" x14ac:dyDescent="0.25">
      <c r="H19520" s="12"/>
      <c r="I19520" s="12"/>
      <c r="J19520" s="12"/>
      <c r="K19520" s="12"/>
      <c r="L19520" s="12"/>
      <c r="M19520" s="11"/>
      <c r="N19520" s="11"/>
      <c r="O19520" s="11"/>
      <c r="P19520" s="11"/>
    </row>
    <row r="19521" spans="8:16" x14ac:dyDescent="0.25">
      <c r="H19521" s="12"/>
      <c r="I19521" s="12"/>
      <c r="J19521" s="12"/>
      <c r="K19521" s="12"/>
      <c r="L19521" s="12"/>
      <c r="M19521" s="11"/>
      <c r="N19521" s="11"/>
      <c r="O19521" s="11"/>
      <c r="P19521" s="11"/>
    </row>
    <row r="19522" spans="8:16" x14ac:dyDescent="0.25">
      <c r="H19522" s="12"/>
      <c r="I19522" s="12"/>
      <c r="J19522" s="12"/>
      <c r="K19522" s="12"/>
      <c r="L19522" s="12"/>
      <c r="M19522" s="11"/>
      <c r="N19522" s="11"/>
      <c r="O19522" s="11"/>
      <c r="P19522" s="11"/>
    </row>
    <row r="19523" spans="8:16" x14ac:dyDescent="0.25">
      <c r="H19523" s="12"/>
      <c r="I19523" s="12"/>
      <c r="J19523" s="12"/>
      <c r="K19523" s="12"/>
      <c r="L19523" s="12"/>
      <c r="M19523" s="11"/>
      <c r="N19523" s="11"/>
      <c r="O19523" s="11"/>
      <c r="P19523" s="11"/>
    </row>
    <row r="19524" spans="8:16" x14ac:dyDescent="0.25">
      <c r="H19524" s="12"/>
      <c r="I19524" s="12"/>
      <c r="J19524" s="12"/>
      <c r="K19524" s="12"/>
      <c r="L19524" s="12"/>
      <c r="M19524" s="11"/>
      <c r="N19524" s="11"/>
      <c r="O19524" s="11"/>
      <c r="P19524" s="11"/>
    </row>
    <row r="19525" spans="8:16" x14ac:dyDescent="0.25">
      <c r="H19525" s="12"/>
      <c r="I19525" s="12"/>
      <c r="J19525" s="12"/>
      <c r="K19525" s="12"/>
      <c r="L19525" s="12"/>
      <c r="M19525" s="11"/>
      <c r="N19525" s="11"/>
      <c r="O19525" s="11"/>
      <c r="P19525" s="11"/>
    </row>
    <row r="19526" spans="8:16" x14ac:dyDescent="0.25">
      <c r="H19526" s="12"/>
      <c r="I19526" s="12"/>
      <c r="J19526" s="12"/>
      <c r="K19526" s="12"/>
      <c r="L19526" s="12"/>
      <c r="M19526" s="11"/>
      <c r="N19526" s="11"/>
      <c r="O19526" s="11"/>
      <c r="P19526" s="11"/>
    </row>
    <row r="19527" spans="8:16" x14ac:dyDescent="0.25">
      <c r="H19527" s="12"/>
      <c r="I19527" s="12"/>
      <c r="J19527" s="12"/>
      <c r="K19527" s="12"/>
      <c r="L19527" s="12"/>
      <c r="M19527" s="11"/>
      <c r="N19527" s="11"/>
      <c r="O19527" s="11"/>
      <c r="P19527" s="11"/>
    </row>
    <row r="19528" spans="8:16" x14ac:dyDescent="0.25">
      <c r="H19528" s="12"/>
      <c r="I19528" s="12"/>
      <c r="J19528" s="12"/>
      <c r="K19528" s="12"/>
      <c r="L19528" s="12"/>
      <c r="M19528" s="11"/>
      <c r="N19528" s="11"/>
      <c r="O19528" s="11"/>
      <c r="P19528" s="11"/>
    </row>
    <row r="19529" spans="8:16" x14ac:dyDescent="0.25">
      <c r="H19529" s="12"/>
      <c r="I19529" s="12"/>
      <c r="J19529" s="12"/>
      <c r="K19529" s="12"/>
      <c r="L19529" s="12"/>
      <c r="M19529" s="11"/>
      <c r="N19529" s="11"/>
      <c r="O19529" s="11"/>
      <c r="P19529" s="11"/>
    </row>
    <row r="19530" spans="8:16" x14ac:dyDescent="0.25">
      <c r="H19530" s="12"/>
      <c r="I19530" s="12"/>
      <c r="J19530" s="12"/>
      <c r="K19530" s="12"/>
      <c r="L19530" s="12"/>
      <c r="M19530" s="11"/>
      <c r="N19530" s="11"/>
      <c r="O19530" s="11"/>
      <c r="P19530" s="11"/>
    </row>
    <row r="19531" spans="8:16" x14ac:dyDescent="0.25">
      <c r="H19531" s="12"/>
      <c r="I19531" s="12"/>
      <c r="J19531" s="12"/>
      <c r="K19531" s="12"/>
      <c r="L19531" s="12"/>
      <c r="M19531" s="11"/>
      <c r="N19531" s="11"/>
      <c r="O19531" s="11"/>
      <c r="P19531" s="11"/>
    </row>
    <row r="19532" spans="8:16" x14ac:dyDescent="0.25">
      <c r="H19532" s="12"/>
      <c r="I19532" s="12"/>
      <c r="J19532" s="12"/>
      <c r="K19532" s="12"/>
      <c r="L19532" s="12"/>
      <c r="M19532" s="11"/>
      <c r="N19532" s="11"/>
      <c r="O19532" s="11"/>
      <c r="P19532" s="11"/>
    </row>
    <row r="19533" spans="8:16" x14ac:dyDescent="0.25">
      <c r="H19533" s="12"/>
      <c r="I19533" s="12"/>
      <c r="J19533" s="12"/>
      <c r="K19533" s="12"/>
      <c r="L19533" s="12"/>
      <c r="M19533" s="11"/>
      <c r="N19533" s="11"/>
      <c r="O19533" s="11"/>
      <c r="P19533" s="11"/>
    </row>
    <row r="19534" spans="8:16" x14ac:dyDescent="0.25">
      <c r="H19534" s="12"/>
      <c r="I19534" s="12"/>
      <c r="J19534" s="12"/>
      <c r="K19534" s="12"/>
      <c r="L19534" s="12"/>
      <c r="M19534" s="11"/>
      <c r="N19534" s="11"/>
      <c r="O19534" s="11"/>
      <c r="P19534" s="11"/>
    </row>
    <row r="19535" spans="8:16" x14ac:dyDescent="0.25">
      <c r="H19535" s="12"/>
      <c r="I19535" s="12"/>
      <c r="J19535" s="12"/>
      <c r="K19535" s="12"/>
      <c r="L19535" s="12"/>
      <c r="M19535" s="11"/>
      <c r="N19535" s="11"/>
      <c r="O19535" s="11"/>
      <c r="P19535" s="11"/>
    </row>
    <row r="19536" spans="8:16" x14ac:dyDescent="0.25">
      <c r="H19536" s="12"/>
      <c r="I19536" s="12"/>
      <c r="J19536" s="12"/>
      <c r="K19536" s="12"/>
      <c r="L19536" s="12"/>
      <c r="M19536" s="11"/>
      <c r="N19536" s="11"/>
      <c r="O19536" s="11"/>
      <c r="P19536" s="11"/>
    </row>
    <row r="19537" spans="8:16" x14ac:dyDescent="0.25">
      <c r="H19537" s="12"/>
      <c r="I19537" s="12"/>
      <c r="J19537" s="12"/>
      <c r="K19537" s="12"/>
      <c r="L19537" s="12"/>
      <c r="M19537" s="11"/>
      <c r="N19537" s="11"/>
      <c r="O19537" s="11"/>
      <c r="P19537" s="11"/>
    </row>
    <row r="19538" spans="8:16" x14ac:dyDescent="0.25">
      <c r="H19538" s="12"/>
      <c r="I19538" s="12"/>
      <c r="J19538" s="12"/>
      <c r="K19538" s="12"/>
      <c r="L19538" s="12"/>
      <c r="M19538" s="11"/>
      <c r="N19538" s="11"/>
      <c r="O19538" s="11"/>
      <c r="P19538" s="11"/>
    </row>
    <row r="19539" spans="8:16" x14ac:dyDescent="0.25">
      <c r="H19539" s="12"/>
      <c r="I19539" s="12"/>
      <c r="J19539" s="12"/>
      <c r="K19539" s="12"/>
      <c r="L19539" s="12"/>
      <c r="M19539" s="11"/>
      <c r="N19539" s="11"/>
      <c r="O19539" s="11"/>
      <c r="P19539" s="11"/>
    </row>
    <row r="19540" spans="8:16" x14ac:dyDescent="0.25">
      <c r="H19540" s="12"/>
      <c r="I19540" s="12"/>
      <c r="J19540" s="12"/>
      <c r="K19540" s="12"/>
      <c r="L19540" s="12"/>
      <c r="M19540" s="11"/>
      <c r="N19540" s="11"/>
      <c r="O19540" s="11"/>
      <c r="P19540" s="11"/>
    </row>
    <row r="19541" spans="8:16" x14ac:dyDescent="0.25">
      <c r="H19541" s="12"/>
      <c r="I19541" s="12"/>
      <c r="J19541" s="12"/>
      <c r="K19541" s="12"/>
      <c r="L19541" s="12"/>
      <c r="M19541" s="11"/>
      <c r="N19541" s="11"/>
      <c r="O19541" s="11"/>
      <c r="P19541" s="11"/>
    </row>
    <row r="19542" spans="8:16" x14ac:dyDescent="0.25">
      <c r="H19542" s="12"/>
      <c r="I19542" s="12"/>
      <c r="J19542" s="12"/>
      <c r="K19542" s="12"/>
      <c r="L19542" s="12"/>
      <c r="M19542" s="11"/>
      <c r="N19542" s="11"/>
      <c r="O19542" s="11"/>
      <c r="P19542" s="11"/>
    </row>
    <row r="19543" spans="8:16" x14ac:dyDescent="0.25">
      <c r="H19543" s="12"/>
      <c r="I19543" s="12"/>
      <c r="J19543" s="12"/>
      <c r="K19543" s="12"/>
      <c r="L19543" s="12"/>
      <c r="M19543" s="11"/>
      <c r="N19543" s="11"/>
      <c r="O19543" s="11"/>
      <c r="P19543" s="11"/>
    </row>
    <row r="19544" spans="8:16" x14ac:dyDescent="0.25">
      <c r="H19544" s="12"/>
      <c r="I19544" s="12"/>
      <c r="J19544" s="12"/>
      <c r="K19544" s="12"/>
      <c r="L19544" s="12"/>
      <c r="M19544" s="11"/>
      <c r="N19544" s="11"/>
      <c r="O19544" s="11"/>
      <c r="P19544" s="11"/>
    </row>
    <row r="19545" spans="8:16" x14ac:dyDescent="0.25">
      <c r="H19545" s="12"/>
      <c r="I19545" s="12"/>
      <c r="J19545" s="12"/>
      <c r="K19545" s="12"/>
      <c r="L19545" s="12"/>
      <c r="M19545" s="11"/>
      <c r="N19545" s="11"/>
      <c r="O19545" s="11"/>
      <c r="P19545" s="11"/>
    </row>
    <row r="19546" spans="8:16" x14ac:dyDescent="0.25">
      <c r="H19546" s="12"/>
      <c r="I19546" s="12"/>
      <c r="J19546" s="12"/>
      <c r="K19546" s="12"/>
      <c r="L19546" s="12"/>
      <c r="M19546" s="11"/>
      <c r="N19546" s="11"/>
      <c r="O19546" s="11"/>
      <c r="P19546" s="11"/>
    </row>
    <row r="19547" spans="8:16" x14ac:dyDescent="0.25">
      <c r="H19547" s="12"/>
      <c r="I19547" s="12"/>
      <c r="J19547" s="12"/>
      <c r="K19547" s="12"/>
      <c r="L19547" s="12"/>
      <c r="M19547" s="11"/>
      <c r="N19547" s="11"/>
      <c r="O19547" s="11"/>
      <c r="P19547" s="11"/>
    </row>
    <row r="19548" spans="8:16" x14ac:dyDescent="0.25">
      <c r="H19548" s="12"/>
      <c r="I19548" s="12"/>
      <c r="J19548" s="12"/>
      <c r="K19548" s="12"/>
      <c r="L19548" s="12"/>
      <c r="M19548" s="11"/>
      <c r="N19548" s="11"/>
      <c r="O19548" s="11"/>
      <c r="P19548" s="11"/>
    </row>
    <row r="19549" spans="8:16" x14ac:dyDescent="0.25">
      <c r="H19549" s="12"/>
      <c r="I19549" s="12"/>
      <c r="J19549" s="12"/>
      <c r="K19549" s="12"/>
      <c r="L19549" s="12"/>
      <c r="M19549" s="11"/>
      <c r="N19549" s="11"/>
      <c r="O19549" s="11"/>
      <c r="P19549" s="11"/>
    </row>
    <row r="19550" spans="8:16" x14ac:dyDescent="0.25">
      <c r="H19550" s="12"/>
      <c r="I19550" s="12"/>
      <c r="J19550" s="12"/>
      <c r="K19550" s="12"/>
      <c r="L19550" s="12"/>
      <c r="M19550" s="11"/>
      <c r="N19550" s="11"/>
      <c r="O19550" s="11"/>
      <c r="P19550" s="11"/>
    </row>
    <row r="19551" spans="8:16" x14ac:dyDescent="0.25">
      <c r="H19551" s="12"/>
      <c r="I19551" s="12"/>
      <c r="J19551" s="12"/>
      <c r="K19551" s="12"/>
      <c r="L19551" s="12"/>
      <c r="M19551" s="11"/>
      <c r="N19551" s="11"/>
      <c r="O19551" s="11"/>
      <c r="P19551" s="11"/>
    </row>
    <row r="19552" spans="8:16" x14ac:dyDescent="0.25">
      <c r="H19552" s="12"/>
      <c r="I19552" s="12"/>
      <c r="J19552" s="12"/>
      <c r="K19552" s="12"/>
      <c r="L19552" s="12"/>
      <c r="M19552" s="11"/>
      <c r="N19552" s="11"/>
      <c r="O19552" s="11"/>
      <c r="P19552" s="11"/>
    </row>
    <row r="19553" spans="8:16" x14ac:dyDescent="0.25">
      <c r="H19553" s="12"/>
      <c r="I19553" s="12"/>
      <c r="J19553" s="12"/>
      <c r="K19553" s="12"/>
      <c r="L19553" s="12"/>
      <c r="M19553" s="11"/>
      <c r="N19553" s="11"/>
      <c r="O19553" s="11"/>
      <c r="P19553" s="11"/>
    </row>
    <row r="19554" spans="8:16" x14ac:dyDescent="0.25">
      <c r="H19554" s="12"/>
      <c r="I19554" s="12"/>
      <c r="J19554" s="12"/>
      <c r="K19554" s="12"/>
      <c r="L19554" s="12"/>
      <c r="M19554" s="11"/>
      <c r="N19554" s="11"/>
      <c r="O19554" s="11"/>
      <c r="P19554" s="11"/>
    </row>
    <row r="19555" spans="8:16" x14ac:dyDescent="0.25">
      <c r="H19555" s="12"/>
      <c r="I19555" s="12"/>
      <c r="J19555" s="12"/>
      <c r="K19555" s="12"/>
      <c r="L19555" s="12"/>
      <c r="M19555" s="11"/>
      <c r="N19555" s="11"/>
      <c r="O19555" s="11"/>
      <c r="P19555" s="11"/>
    </row>
    <row r="19556" spans="8:16" x14ac:dyDescent="0.25">
      <c r="H19556" s="12"/>
      <c r="I19556" s="12"/>
      <c r="J19556" s="12"/>
      <c r="K19556" s="12"/>
      <c r="L19556" s="12"/>
      <c r="M19556" s="11"/>
      <c r="N19556" s="11"/>
      <c r="O19556" s="11"/>
      <c r="P19556" s="11"/>
    </row>
    <row r="19557" spans="8:16" x14ac:dyDescent="0.25">
      <c r="H19557" s="12"/>
      <c r="I19557" s="12"/>
      <c r="J19557" s="12"/>
      <c r="K19557" s="12"/>
      <c r="L19557" s="12"/>
      <c r="M19557" s="11"/>
      <c r="N19557" s="11"/>
      <c r="O19557" s="11"/>
      <c r="P19557" s="11"/>
    </row>
    <row r="19558" spans="8:16" x14ac:dyDescent="0.25">
      <c r="H19558" s="12"/>
      <c r="I19558" s="12"/>
      <c r="J19558" s="12"/>
      <c r="K19558" s="12"/>
      <c r="L19558" s="12"/>
      <c r="M19558" s="11"/>
      <c r="N19558" s="11"/>
      <c r="O19558" s="11"/>
      <c r="P19558" s="11"/>
    </row>
    <row r="19559" spans="8:16" x14ac:dyDescent="0.25">
      <c r="H19559" s="12"/>
      <c r="I19559" s="12"/>
      <c r="J19559" s="12"/>
      <c r="K19559" s="12"/>
      <c r="L19559" s="12"/>
      <c r="M19559" s="11"/>
      <c r="N19559" s="11"/>
      <c r="O19559" s="11"/>
      <c r="P19559" s="11"/>
    </row>
    <row r="19560" spans="8:16" x14ac:dyDescent="0.25">
      <c r="H19560" s="12"/>
      <c r="I19560" s="12"/>
      <c r="J19560" s="12"/>
      <c r="K19560" s="12"/>
      <c r="L19560" s="12"/>
      <c r="M19560" s="11"/>
      <c r="N19560" s="11"/>
      <c r="O19560" s="11"/>
      <c r="P19560" s="11"/>
    </row>
    <row r="19561" spans="8:16" x14ac:dyDescent="0.25">
      <c r="H19561" s="12"/>
      <c r="I19561" s="12"/>
      <c r="J19561" s="12"/>
      <c r="K19561" s="12"/>
      <c r="L19561" s="12"/>
      <c r="M19561" s="11"/>
      <c r="N19561" s="11"/>
      <c r="O19561" s="11"/>
      <c r="P19561" s="11"/>
    </row>
    <row r="19562" spans="8:16" x14ac:dyDescent="0.25">
      <c r="H19562" s="12"/>
      <c r="I19562" s="12"/>
      <c r="J19562" s="12"/>
      <c r="K19562" s="12"/>
      <c r="L19562" s="12"/>
      <c r="M19562" s="11"/>
      <c r="N19562" s="11"/>
      <c r="O19562" s="11"/>
      <c r="P19562" s="11"/>
    </row>
    <row r="19563" spans="8:16" x14ac:dyDescent="0.25">
      <c r="H19563" s="12"/>
      <c r="I19563" s="12"/>
      <c r="J19563" s="12"/>
      <c r="K19563" s="12"/>
      <c r="L19563" s="12"/>
      <c r="M19563" s="11"/>
      <c r="N19563" s="11"/>
      <c r="O19563" s="11"/>
      <c r="P19563" s="11"/>
    </row>
    <row r="19564" spans="8:16" x14ac:dyDescent="0.25">
      <c r="H19564" s="12"/>
      <c r="I19564" s="12"/>
      <c r="J19564" s="12"/>
      <c r="K19564" s="12"/>
      <c r="L19564" s="12"/>
      <c r="M19564" s="11"/>
      <c r="N19564" s="11"/>
      <c r="O19564" s="11"/>
      <c r="P19564" s="11"/>
    </row>
    <row r="19565" spans="8:16" x14ac:dyDescent="0.25">
      <c r="H19565" s="12"/>
      <c r="I19565" s="12"/>
      <c r="J19565" s="12"/>
      <c r="K19565" s="12"/>
      <c r="L19565" s="12"/>
      <c r="M19565" s="11"/>
      <c r="N19565" s="11"/>
      <c r="O19565" s="11"/>
      <c r="P19565" s="11"/>
    </row>
    <row r="19566" spans="8:16" x14ac:dyDescent="0.25">
      <c r="H19566" s="12"/>
      <c r="I19566" s="12"/>
      <c r="J19566" s="12"/>
      <c r="K19566" s="12"/>
      <c r="L19566" s="12"/>
      <c r="M19566" s="11"/>
      <c r="N19566" s="11"/>
      <c r="O19566" s="11"/>
      <c r="P19566" s="11"/>
    </row>
    <row r="19567" spans="8:16" x14ac:dyDescent="0.25">
      <c r="H19567" s="12"/>
      <c r="I19567" s="12"/>
      <c r="J19567" s="12"/>
      <c r="K19567" s="12"/>
      <c r="L19567" s="12"/>
      <c r="M19567" s="11"/>
      <c r="N19567" s="11"/>
      <c r="O19567" s="11"/>
      <c r="P19567" s="11"/>
    </row>
    <row r="19568" spans="8:16" x14ac:dyDescent="0.25">
      <c r="H19568" s="12"/>
      <c r="I19568" s="12"/>
      <c r="J19568" s="12"/>
      <c r="K19568" s="12"/>
      <c r="L19568" s="12"/>
      <c r="M19568" s="11"/>
      <c r="N19568" s="11"/>
      <c r="O19568" s="11"/>
      <c r="P19568" s="11"/>
    </row>
    <row r="19569" spans="8:16" x14ac:dyDescent="0.25">
      <c r="H19569" s="12"/>
      <c r="I19569" s="12"/>
      <c r="J19569" s="12"/>
      <c r="K19569" s="12"/>
      <c r="L19569" s="12"/>
      <c r="M19569" s="11"/>
      <c r="N19569" s="11"/>
      <c r="O19569" s="11"/>
      <c r="P19569" s="11"/>
    </row>
    <row r="19570" spans="8:16" x14ac:dyDescent="0.25">
      <c r="H19570" s="12"/>
      <c r="I19570" s="12"/>
      <c r="J19570" s="12"/>
      <c r="K19570" s="12"/>
      <c r="L19570" s="12"/>
      <c r="M19570" s="11"/>
      <c r="N19570" s="11"/>
      <c r="O19570" s="11"/>
      <c r="P19570" s="11"/>
    </row>
    <row r="19571" spans="8:16" x14ac:dyDescent="0.25">
      <c r="H19571" s="12"/>
      <c r="I19571" s="12"/>
      <c r="J19571" s="12"/>
      <c r="K19571" s="12"/>
      <c r="L19571" s="12"/>
      <c r="M19571" s="11"/>
      <c r="N19571" s="11"/>
      <c r="O19571" s="11"/>
      <c r="P19571" s="11"/>
    </row>
    <row r="19572" spans="8:16" x14ac:dyDescent="0.25">
      <c r="H19572" s="12"/>
      <c r="I19572" s="12"/>
      <c r="J19572" s="12"/>
      <c r="K19572" s="12"/>
      <c r="L19572" s="12"/>
      <c r="M19572" s="11"/>
      <c r="N19572" s="11"/>
      <c r="O19572" s="11"/>
      <c r="P19572" s="11"/>
    </row>
    <row r="19573" spans="8:16" x14ac:dyDescent="0.25">
      <c r="H19573" s="12"/>
      <c r="I19573" s="12"/>
      <c r="J19573" s="12"/>
      <c r="K19573" s="12"/>
      <c r="L19573" s="12"/>
      <c r="M19573" s="11"/>
      <c r="N19573" s="11"/>
      <c r="O19573" s="11"/>
      <c r="P19573" s="11"/>
    </row>
    <row r="19574" spans="8:16" x14ac:dyDescent="0.25">
      <c r="H19574" s="12"/>
      <c r="I19574" s="12"/>
      <c r="J19574" s="12"/>
      <c r="K19574" s="12"/>
      <c r="L19574" s="12"/>
      <c r="M19574" s="11"/>
      <c r="N19574" s="11"/>
      <c r="O19574" s="11"/>
      <c r="P19574" s="11"/>
    </row>
    <row r="19575" spans="8:16" x14ac:dyDescent="0.25">
      <c r="H19575" s="12"/>
      <c r="I19575" s="12"/>
      <c r="J19575" s="12"/>
      <c r="K19575" s="12"/>
      <c r="L19575" s="12"/>
      <c r="M19575" s="11"/>
      <c r="N19575" s="11"/>
      <c r="O19575" s="11"/>
      <c r="P19575" s="11"/>
    </row>
    <row r="19576" spans="8:16" x14ac:dyDescent="0.25">
      <c r="H19576" s="12"/>
      <c r="I19576" s="12"/>
      <c r="J19576" s="12"/>
      <c r="K19576" s="12"/>
      <c r="L19576" s="12"/>
      <c r="M19576" s="11"/>
      <c r="N19576" s="11"/>
      <c r="O19576" s="11"/>
      <c r="P19576" s="11"/>
    </row>
    <row r="19577" spans="8:16" x14ac:dyDescent="0.25">
      <c r="H19577" s="12"/>
      <c r="I19577" s="12"/>
      <c r="J19577" s="12"/>
      <c r="K19577" s="12"/>
      <c r="L19577" s="12"/>
      <c r="M19577" s="11"/>
      <c r="N19577" s="11"/>
      <c r="O19577" s="11"/>
      <c r="P19577" s="11"/>
    </row>
    <row r="19578" spans="8:16" x14ac:dyDescent="0.25">
      <c r="H19578" s="12"/>
      <c r="I19578" s="12"/>
      <c r="J19578" s="12"/>
      <c r="K19578" s="12"/>
      <c r="L19578" s="12"/>
      <c r="M19578" s="11"/>
      <c r="N19578" s="11"/>
      <c r="O19578" s="11"/>
      <c r="P19578" s="11"/>
    </row>
    <row r="19579" spans="8:16" x14ac:dyDescent="0.25">
      <c r="H19579" s="12"/>
      <c r="I19579" s="12"/>
      <c r="J19579" s="12"/>
      <c r="K19579" s="12"/>
      <c r="L19579" s="12"/>
      <c r="M19579" s="11"/>
      <c r="N19579" s="11"/>
      <c r="O19579" s="11"/>
      <c r="P19579" s="11"/>
    </row>
    <row r="19580" spans="8:16" x14ac:dyDescent="0.25">
      <c r="H19580" s="12"/>
      <c r="I19580" s="12"/>
      <c r="J19580" s="12"/>
      <c r="K19580" s="12"/>
      <c r="L19580" s="12"/>
      <c r="M19580" s="11"/>
      <c r="N19580" s="11"/>
      <c r="O19580" s="11"/>
      <c r="P19580" s="11"/>
    </row>
    <row r="19581" spans="8:16" x14ac:dyDescent="0.25">
      <c r="H19581" s="12"/>
      <c r="I19581" s="12"/>
      <c r="J19581" s="12"/>
      <c r="K19581" s="12"/>
      <c r="L19581" s="12"/>
      <c r="M19581" s="11"/>
      <c r="N19581" s="11"/>
      <c r="O19581" s="11"/>
      <c r="P19581" s="11"/>
    </row>
    <row r="19582" spans="8:16" x14ac:dyDescent="0.25">
      <c r="H19582" s="12"/>
      <c r="I19582" s="12"/>
      <c r="J19582" s="12"/>
      <c r="K19582" s="12"/>
      <c r="L19582" s="12"/>
      <c r="M19582" s="11"/>
      <c r="N19582" s="11"/>
      <c r="O19582" s="11"/>
      <c r="P19582" s="11"/>
    </row>
    <row r="19583" spans="8:16" x14ac:dyDescent="0.25">
      <c r="H19583" s="12"/>
      <c r="I19583" s="12"/>
      <c r="J19583" s="12"/>
      <c r="K19583" s="12"/>
      <c r="L19583" s="12"/>
      <c r="M19583" s="11"/>
      <c r="N19583" s="11"/>
      <c r="O19583" s="11"/>
      <c r="P19583" s="11"/>
    </row>
    <row r="19584" spans="8:16" x14ac:dyDescent="0.25">
      <c r="H19584" s="12"/>
      <c r="I19584" s="12"/>
      <c r="J19584" s="12"/>
      <c r="K19584" s="12"/>
      <c r="L19584" s="12"/>
      <c r="M19584" s="11"/>
      <c r="N19584" s="11"/>
      <c r="O19584" s="11"/>
      <c r="P19584" s="11"/>
    </row>
    <row r="19585" spans="8:16" x14ac:dyDescent="0.25">
      <c r="H19585" s="12"/>
      <c r="I19585" s="12"/>
      <c r="J19585" s="12"/>
      <c r="K19585" s="12"/>
      <c r="L19585" s="12"/>
      <c r="M19585" s="11"/>
      <c r="N19585" s="11"/>
      <c r="O19585" s="11"/>
      <c r="P19585" s="11"/>
    </row>
    <row r="19586" spans="8:16" x14ac:dyDescent="0.25">
      <c r="H19586" s="12"/>
      <c r="I19586" s="12"/>
      <c r="J19586" s="12"/>
      <c r="K19586" s="12"/>
      <c r="L19586" s="12"/>
      <c r="M19586" s="11"/>
      <c r="N19586" s="11"/>
      <c r="O19586" s="11"/>
      <c r="P19586" s="11"/>
    </row>
    <row r="19587" spans="8:16" x14ac:dyDescent="0.25">
      <c r="H19587" s="12"/>
      <c r="I19587" s="12"/>
      <c r="J19587" s="12"/>
      <c r="K19587" s="12"/>
      <c r="L19587" s="12"/>
      <c r="M19587" s="11"/>
      <c r="N19587" s="11"/>
      <c r="O19587" s="11"/>
      <c r="P19587" s="11"/>
    </row>
    <row r="19588" spans="8:16" x14ac:dyDescent="0.25">
      <c r="H19588" s="12"/>
      <c r="I19588" s="12"/>
      <c r="J19588" s="12"/>
      <c r="K19588" s="12"/>
      <c r="L19588" s="12"/>
      <c r="M19588" s="11"/>
      <c r="N19588" s="11"/>
      <c r="O19588" s="11"/>
      <c r="P19588" s="11"/>
    </row>
    <row r="19589" spans="8:16" x14ac:dyDescent="0.25">
      <c r="H19589" s="12"/>
      <c r="I19589" s="12"/>
      <c r="J19589" s="12"/>
      <c r="K19589" s="12"/>
      <c r="L19589" s="12"/>
      <c r="M19589" s="11"/>
      <c r="N19589" s="11"/>
      <c r="O19589" s="11"/>
      <c r="P19589" s="11"/>
    </row>
    <row r="19590" spans="8:16" x14ac:dyDescent="0.25">
      <c r="H19590" s="12"/>
      <c r="I19590" s="12"/>
      <c r="J19590" s="12"/>
      <c r="K19590" s="12"/>
      <c r="L19590" s="12"/>
      <c r="M19590" s="11"/>
      <c r="N19590" s="11"/>
      <c r="O19590" s="11"/>
      <c r="P19590" s="11"/>
    </row>
    <row r="19591" spans="8:16" x14ac:dyDescent="0.25">
      <c r="H19591" s="12"/>
      <c r="I19591" s="12"/>
      <c r="J19591" s="12"/>
      <c r="K19591" s="12"/>
      <c r="L19591" s="12"/>
      <c r="M19591" s="11"/>
      <c r="N19591" s="11"/>
      <c r="O19591" s="11"/>
      <c r="P19591" s="11"/>
    </row>
    <row r="19592" spans="8:16" x14ac:dyDescent="0.25">
      <c r="H19592" s="12"/>
      <c r="I19592" s="12"/>
      <c r="J19592" s="12"/>
      <c r="K19592" s="12"/>
      <c r="L19592" s="12"/>
      <c r="M19592" s="11"/>
      <c r="N19592" s="11"/>
      <c r="O19592" s="11"/>
      <c r="P19592" s="11"/>
    </row>
    <row r="19593" spans="8:16" x14ac:dyDescent="0.25">
      <c r="H19593" s="12"/>
      <c r="I19593" s="12"/>
      <c r="J19593" s="12"/>
      <c r="K19593" s="12"/>
      <c r="L19593" s="12"/>
      <c r="M19593" s="11"/>
      <c r="N19593" s="11"/>
      <c r="O19593" s="11"/>
      <c r="P19593" s="11"/>
    </row>
    <row r="19594" spans="8:16" x14ac:dyDescent="0.25">
      <c r="H19594" s="12"/>
      <c r="I19594" s="12"/>
      <c r="J19594" s="12"/>
      <c r="K19594" s="12"/>
      <c r="L19594" s="12"/>
      <c r="M19594" s="11"/>
      <c r="N19594" s="11"/>
      <c r="O19594" s="11"/>
      <c r="P19594" s="11"/>
    </row>
    <row r="19595" spans="8:16" x14ac:dyDescent="0.25">
      <c r="H19595" s="12"/>
      <c r="I19595" s="12"/>
      <c r="J19595" s="12"/>
      <c r="K19595" s="12"/>
      <c r="L19595" s="12"/>
      <c r="M19595" s="11"/>
      <c r="N19595" s="11"/>
      <c r="O19595" s="11"/>
      <c r="P19595" s="11"/>
    </row>
    <row r="19596" spans="8:16" x14ac:dyDescent="0.25">
      <c r="H19596" s="12"/>
      <c r="I19596" s="12"/>
      <c r="J19596" s="12"/>
      <c r="K19596" s="12"/>
      <c r="L19596" s="12"/>
      <c r="M19596" s="11"/>
      <c r="N19596" s="11"/>
      <c r="O19596" s="11"/>
      <c r="P19596" s="11"/>
    </row>
    <row r="19597" spans="8:16" x14ac:dyDescent="0.25">
      <c r="H19597" s="12"/>
      <c r="I19597" s="12"/>
      <c r="J19597" s="12"/>
      <c r="K19597" s="12"/>
      <c r="L19597" s="12"/>
      <c r="M19597" s="11"/>
      <c r="N19597" s="11"/>
      <c r="O19597" s="11"/>
      <c r="P19597" s="11"/>
    </row>
    <row r="19598" spans="8:16" x14ac:dyDescent="0.25">
      <c r="H19598" s="12"/>
      <c r="I19598" s="12"/>
      <c r="J19598" s="12"/>
      <c r="K19598" s="12"/>
      <c r="L19598" s="12"/>
      <c r="M19598" s="11"/>
      <c r="N19598" s="11"/>
      <c r="O19598" s="11"/>
      <c r="P19598" s="11"/>
    </row>
    <row r="19599" spans="8:16" x14ac:dyDescent="0.25">
      <c r="H19599" s="12"/>
      <c r="I19599" s="12"/>
      <c r="J19599" s="12"/>
      <c r="K19599" s="12"/>
      <c r="L19599" s="12"/>
      <c r="M19599" s="11"/>
      <c r="N19599" s="11"/>
      <c r="O19599" s="11"/>
      <c r="P19599" s="11"/>
    </row>
    <row r="19600" spans="8:16" x14ac:dyDescent="0.25">
      <c r="H19600" s="12"/>
      <c r="I19600" s="12"/>
      <c r="J19600" s="12"/>
      <c r="K19600" s="12"/>
      <c r="L19600" s="12"/>
      <c r="M19600" s="11"/>
      <c r="N19600" s="11"/>
      <c r="O19600" s="11"/>
      <c r="P19600" s="11"/>
    </row>
    <row r="19601" spans="8:16" x14ac:dyDescent="0.25">
      <c r="H19601" s="12"/>
      <c r="I19601" s="12"/>
      <c r="J19601" s="12"/>
      <c r="K19601" s="12"/>
      <c r="L19601" s="12"/>
      <c r="M19601" s="11"/>
      <c r="N19601" s="11"/>
      <c r="O19601" s="11"/>
      <c r="P19601" s="11"/>
    </row>
    <row r="19602" spans="8:16" x14ac:dyDescent="0.25">
      <c r="H19602" s="12"/>
      <c r="I19602" s="12"/>
      <c r="J19602" s="12"/>
      <c r="K19602" s="12"/>
      <c r="L19602" s="12"/>
      <c r="M19602" s="11"/>
      <c r="N19602" s="11"/>
      <c r="O19602" s="11"/>
      <c r="P19602" s="11"/>
    </row>
    <row r="19603" spans="8:16" x14ac:dyDescent="0.25">
      <c r="H19603" s="12"/>
      <c r="I19603" s="12"/>
      <c r="J19603" s="12"/>
      <c r="K19603" s="12"/>
      <c r="L19603" s="12"/>
      <c r="M19603" s="11"/>
      <c r="N19603" s="11"/>
      <c r="O19603" s="11"/>
      <c r="P19603" s="11"/>
    </row>
    <row r="19604" spans="8:16" x14ac:dyDescent="0.25">
      <c r="H19604" s="12"/>
      <c r="I19604" s="12"/>
      <c r="J19604" s="12"/>
      <c r="K19604" s="12"/>
      <c r="L19604" s="12"/>
      <c r="M19604" s="11"/>
      <c r="N19604" s="11"/>
      <c r="O19604" s="11"/>
      <c r="P19604" s="11"/>
    </row>
    <row r="19605" spans="8:16" x14ac:dyDescent="0.25">
      <c r="H19605" s="12"/>
      <c r="I19605" s="12"/>
      <c r="J19605" s="12"/>
      <c r="K19605" s="12"/>
      <c r="L19605" s="12"/>
      <c r="M19605" s="11"/>
      <c r="N19605" s="11"/>
      <c r="O19605" s="11"/>
      <c r="P19605" s="11"/>
    </row>
    <row r="19606" spans="8:16" x14ac:dyDescent="0.25">
      <c r="H19606" s="12"/>
      <c r="I19606" s="12"/>
      <c r="J19606" s="12"/>
      <c r="K19606" s="12"/>
      <c r="L19606" s="12"/>
      <c r="M19606" s="11"/>
      <c r="N19606" s="11"/>
      <c r="O19606" s="11"/>
      <c r="P19606" s="11"/>
    </row>
    <row r="19607" spans="8:16" x14ac:dyDescent="0.25">
      <c r="H19607" s="12"/>
      <c r="I19607" s="12"/>
      <c r="J19607" s="12"/>
      <c r="K19607" s="12"/>
      <c r="L19607" s="12"/>
      <c r="M19607" s="11"/>
      <c r="N19607" s="11"/>
      <c r="O19607" s="11"/>
      <c r="P19607" s="11"/>
    </row>
    <row r="19608" spans="8:16" x14ac:dyDescent="0.25">
      <c r="H19608" s="12"/>
      <c r="I19608" s="12"/>
      <c r="J19608" s="12"/>
      <c r="K19608" s="12"/>
      <c r="L19608" s="12"/>
      <c r="M19608" s="11"/>
      <c r="N19608" s="11"/>
      <c r="O19608" s="11"/>
      <c r="P19608" s="11"/>
    </row>
    <row r="19609" spans="8:16" x14ac:dyDescent="0.25">
      <c r="H19609" s="12"/>
      <c r="I19609" s="12"/>
      <c r="J19609" s="12"/>
      <c r="K19609" s="12"/>
      <c r="L19609" s="12"/>
      <c r="M19609" s="11"/>
      <c r="N19609" s="11"/>
      <c r="O19609" s="11"/>
      <c r="P19609" s="11"/>
    </row>
    <row r="19610" spans="8:16" x14ac:dyDescent="0.25">
      <c r="H19610" s="12"/>
      <c r="I19610" s="12"/>
      <c r="J19610" s="12"/>
      <c r="K19610" s="12"/>
      <c r="L19610" s="12"/>
      <c r="M19610" s="11"/>
      <c r="N19610" s="11"/>
      <c r="O19610" s="11"/>
      <c r="P19610" s="11"/>
    </row>
    <row r="19611" spans="8:16" x14ac:dyDescent="0.25">
      <c r="H19611" s="12"/>
      <c r="I19611" s="12"/>
      <c r="J19611" s="12"/>
      <c r="K19611" s="12"/>
      <c r="L19611" s="12"/>
      <c r="M19611" s="11"/>
      <c r="N19611" s="11"/>
      <c r="O19611" s="11"/>
      <c r="P19611" s="11"/>
    </row>
    <row r="19612" spans="8:16" x14ac:dyDescent="0.25">
      <c r="H19612" s="12"/>
      <c r="I19612" s="12"/>
      <c r="J19612" s="12"/>
      <c r="K19612" s="12"/>
      <c r="L19612" s="12"/>
      <c r="M19612" s="11"/>
      <c r="N19612" s="11"/>
      <c r="O19612" s="11"/>
      <c r="P19612" s="11"/>
    </row>
    <row r="19613" spans="8:16" x14ac:dyDescent="0.25">
      <c r="H19613" s="12"/>
      <c r="I19613" s="12"/>
      <c r="J19613" s="12"/>
      <c r="K19613" s="12"/>
      <c r="L19613" s="12"/>
      <c r="M19613" s="11"/>
      <c r="N19613" s="11"/>
      <c r="O19613" s="11"/>
      <c r="P19613" s="11"/>
    </row>
    <row r="19614" spans="8:16" x14ac:dyDescent="0.25">
      <c r="H19614" s="12"/>
      <c r="I19614" s="12"/>
      <c r="J19614" s="12"/>
      <c r="K19614" s="12"/>
      <c r="L19614" s="12"/>
      <c r="M19614" s="11"/>
      <c r="N19614" s="11"/>
      <c r="O19614" s="11"/>
      <c r="P19614" s="11"/>
    </row>
    <row r="19615" spans="8:16" x14ac:dyDescent="0.25">
      <c r="H19615" s="12"/>
      <c r="I19615" s="12"/>
      <c r="J19615" s="12"/>
      <c r="K19615" s="12"/>
      <c r="L19615" s="12"/>
      <c r="M19615" s="11"/>
      <c r="N19615" s="11"/>
      <c r="O19615" s="11"/>
      <c r="P19615" s="11"/>
    </row>
    <row r="19616" spans="8:16" x14ac:dyDescent="0.25">
      <c r="H19616" s="12"/>
      <c r="I19616" s="12"/>
      <c r="J19616" s="12"/>
      <c r="K19616" s="12"/>
      <c r="L19616" s="12"/>
      <c r="M19616" s="11"/>
      <c r="N19616" s="11"/>
      <c r="O19616" s="11"/>
      <c r="P19616" s="11"/>
    </row>
    <row r="19617" spans="8:16" x14ac:dyDescent="0.25">
      <c r="H19617" s="12"/>
      <c r="I19617" s="12"/>
      <c r="J19617" s="12"/>
      <c r="K19617" s="12"/>
      <c r="L19617" s="12"/>
      <c r="M19617" s="11"/>
      <c r="N19617" s="11"/>
      <c r="O19617" s="11"/>
      <c r="P19617" s="11"/>
    </row>
    <row r="19618" spans="8:16" x14ac:dyDescent="0.25">
      <c r="H19618" s="12"/>
      <c r="I19618" s="12"/>
      <c r="J19618" s="12"/>
      <c r="K19618" s="12"/>
      <c r="L19618" s="12"/>
      <c r="M19618" s="11"/>
      <c r="N19618" s="11"/>
      <c r="O19618" s="11"/>
      <c r="P19618" s="11"/>
    </row>
    <row r="19619" spans="8:16" x14ac:dyDescent="0.25">
      <c r="H19619" s="12"/>
      <c r="I19619" s="12"/>
      <c r="J19619" s="12"/>
      <c r="K19619" s="12"/>
      <c r="L19619" s="12"/>
      <c r="M19619" s="11"/>
      <c r="N19619" s="11"/>
      <c r="O19619" s="11"/>
      <c r="P19619" s="11"/>
    </row>
    <row r="19620" spans="8:16" x14ac:dyDescent="0.25">
      <c r="H19620" s="12"/>
      <c r="I19620" s="12"/>
      <c r="J19620" s="12"/>
      <c r="K19620" s="12"/>
      <c r="L19620" s="12"/>
      <c r="M19620" s="11"/>
      <c r="N19620" s="11"/>
      <c r="O19620" s="11"/>
      <c r="P19620" s="11"/>
    </row>
    <row r="19621" spans="8:16" x14ac:dyDescent="0.25">
      <c r="H19621" s="12"/>
      <c r="I19621" s="12"/>
      <c r="J19621" s="12"/>
      <c r="K19621" s="12"/>
      <c r="L19621" s="12"/>
      <c r="M19621" s="11"/>
      <c r="N19621" s="11"/>
      <c r="O19621" s="11"/>
      <c r="P19621" s="11"/>
    </row>
    <row r="19622" spans="8:16" x14ac:dyDescent="0.25">
      <c r="H19622" s="12"/>
      <c r="I19622" s="12"/>
      <c r="J19622" s="12"/>
      <c r="K19622" s="12"/>
      <c r="L19622" s="12"/>
      <c r="M19622" s="11"/>
      <c r="N19622" s="11"/>
      <c r="O19622" s="11"/>
      <c r="P19622" s="11"/>
    </row>
    <row r="19623" spans="8:16" x14ac:dyDescent="0.25">
      <c r="H19623" s="12"/>
      <c r="I19623" s="12"/>
      <c r="J19623" s="12"/>
      <c r="K19623" s="12"/>
      <c r="L19623" s="12"/>
      <c r="M19623" s="11"/>
      <c r="N19623" s="11"/>
      <c r="O19623" s="11"/>
      <c r="P19623" s="11"/>
    </row>
    <row r="19624" spans="8:16" x14ac:dyDescent="0.25">
      <c r="H19624" s="12"/>
      <c r="I19624" s="12"/>
      <c r="J19624" s="12"/>
      <c r="K19624" s="12"/>
      <c r="L19624" s="12"/>
      <c r="M19624" s="11"/>
      <c r="N19624" s="11"/>
      <c r="O19624" s="11"/>
      <c r="P19624" s="11"/>
    </row>
    <row r="19625" spans="8:16" x14ac:dyDescent="0.25">
      <c r="H19625" s="12"/>
      <c r="I19625" s="12"/>
      <c r="J19625" s="12"/>
      <c r="K19625" s="12"/>
      <c r="L19625" s="12"/>
      <c r="M19625" s="11"/>
      <c r="N19625" s="11"/>
      <c r="O19625" s="11"/>
      <c r="P19625" s="11"/>
    </row>
    <row r="19626" spans="8:16" x14ac:dyDescent="0.25">
      <c r="H19626" s="12"/>
      <c r="I19626" s="12"/>
      <c r="J19626" s="12"/>
      <c r="K19626" s="12"/>
      <c r="L19626" s="12"/>
      <c r="M19626" s="11"/>
      <c r="N19626" s="11"/>
      <c r="O19626" s="11"/>
      <c r="P19626" s="11"/>
    </row>
    <row r="19627" spans="8:16" x14ac:dyDescent="0.25">
      <c r="H19627" s="12"/>
      <c r="I19627" s="12"/>
      <c r="J19627" s="12"/>
      <c r="K19627" s="12"/>
      <c r="L19627" s="12"/>
      <c r="M19627" s="11"/>
      <c r="N19627" s="11"/>
      <c r="O19627" s="11"/>
      <c r="P19627" s="11"/>
    </row>
    <row r="19628" spans="8:16" x14ac:dyDescent="0.25">
      <c r="H19628" s="12"/>
      <c r="I19628" s="12"/>
      <c r="J19628" s="12"/>
      <c r="K19628" s="12"/>
      <c r="L19628" s="12"/>
      <c r="M19628" s="11"/>
      <c r="N19628" s="11"/>
      <c r="O19628" s="11"/>
      <c r="P19628" s="11"/>
    </row>
    <row r="19629" spans="8:16" x14ac:dyDescent="0.25">
      <c r="H19629" s="12"/>
      <c r="I19629" s="12"/>
      <c r="J19629" s="12"/>
      <c r="K19629" s="12"/>
      <c r="L19629" s="12"/>
      <c r="M19629" s="11"/>
      <c r="N19629" s="11"/>
      <c r="O19629" s="11"/>
      <c r="P19629" s="11"/>
    </row>
    <row r="19630" spans="8:16" x14ac:dyDescent="0.25">
      <c r="H19630" s="12"/>
      <c r="I19630" s="12"/>
      <c r="J19630" s="12"/>
      <c r="K19630" s="12"/>
      <c r="L19630" s="12"/>
      <c r="M19630" s="11"/>
      <c r="N19630" s="11"/>
      <c r="O19630" s="11"/>
      <c r="P19630" s="11"/>
    </row>
    <row r="19631" spans="8:16" x14ac:dyDescent="0.25">
      <c r="H19631" s="12"/>
      <c r="I19631" s="12"/>
      <c r="J19631" s="12"/>
      <c r="K19631" s="12"/>
      <c r="L19631" s="12"/>
      <c r="M19631" s="11"/>
      <c r="N19631" s="11"/>
      <c r="O19631" s="11"/>
      <c r="P19631" s="11"/>
    </row>
    <row r="19632" spans="8:16" x14ac:dyDescent="0.25">
      <c r="H19632" s="12"/>
      <c r="I19632" s="12"/>
      <c r="J19632" s="12"/>
      <c r="K19632" s="12"/>
      <c r="L19632" s="12"/>
      <c r="M19632" s="11"/>
      <c r="N19632" s="11"/>
      <c r="O19632" s="11"/>
      <c r="P19632" s="11"/>
    </row>
    <row r="19633" spans="8:16" x14ac:dyDescent="0.25">
      <c r="H19633" s="12"/>
      <c r="I19633" s="12"/>
      <c r="J19633" s="12"/>
      <c r="K19633" s="12"/>
      <c r="L19633" s="12"/>
      <c r="M19633" s="11"/>
      <c r="N19633" s="11"/>
      <c r="O19633" s="11"/>
      <c r="P19633" s="11"/>
    </row>
    <row r="19634" spans="8:16" x14ac:dyDescent="0.25">
      <c r="H19634" s="12"/>
      <c r="I19634" s="12"/>
      <c r="J19634" s="12"/>
      <c r="K19634" s="12"/>
      <c r="L19634" s="12"/>
      <c r="M19634" s="11"/>
      <c r="N19634" s="11"/>
      <c r="O19634" s="11"/>
      <c r="P19634" s="11"/>
    </row>
    <row r="19635" spans="8:16" x14ac:dyDescent="0.25">
      <c r="H19635" s="12"/>
      <c r="I19635" s="12"/>
      <c r="J19635" s="12"/>
      <c r="K19635" s="12"/>
      <c r="L19635" s="12"/>
      <c r="M19635" s="11"/>
      <c r="N19635" s="11"/>
      <c r="O19635" s="11"/>
      <c r="P19635" s="11"/>
    </row>
    <row r="19636" spans="8:16" x14ac:dyDescent="0.25">
      <c r="H19636" s="12"/>
      <c r="I19636" s="12"/>
      <c r="J19636" s="12"/>
      <c r="K19636" s="12"/>
      <c r="L19636" s="12"/>
      <c r="M19636" s="11"/>
      <c r="N19636" s="11"/>
      <c r="O19636" s="11"/>
      <c r="P19636" s="11"/>
    </row>
    <row r="19637" spans="8:16" x14ac:dyDescent="0.25">
      <c r="H19637" s="12"/>
      <c r="I19637" s="12"/>
      <c r="J19637" s="12"/>
      <c r="K19637" s="12"/>
      <c r="L19637" s="12"/>
      <c r="M19637" s="11"/>
      <c r="N19637" s="11"/>
      <c r="O19637" s="11"/>
      <c r="P19637" s="11"/>
    </row>
    <row r="19638" spans="8:16" x14ac:dyDescent="0.25">
      <c r="H19638" s="12"/>
      <c r="I19638" s="12"/>
      <c r="J19638" s="12"/>
      <c r="K19638" s="12"/>
      <c r="L19638" s="12"/>
      <c r="M19638" s="11"/>
      <c r="N19638" s="11"/>
      <c r="O19638" s="11"/>
      <c r="P19638" s="11"/>
    </row>
    <row r="19639" spans="8:16" x14ac:dyDescent="0.25">
      <c r="H19639" s="12"/>
      <c r="I19639" s="12"/>
      <c r="J19639" s="12"/>
      <c r="K19639" s="12"/>
      <c r="L19639" s="12"/>
      <c r="M19639" s="11"/>
      <c r="N19639" s="11"/>
      <c r="O19639" s="11"/>
      <c r="P19639" s="11"/>
    </row>
    <row r="19640" spans="8:16" x14ac:dyDescent="0.25">
      <c r="H19640" s="12"/>
      <c r="I19640" s="12"/>
      <c r="J19640" s="12"/>
      <c r="K19640" s="12"/>
      <c r="L19640" s="12"/>
      <c r="M19640" s="11"/>
      <c r="N19640" s="11"/>
      <c r="O19640" s="11"/>
      <c r="P19640" s="11"/>
    </row>
    <row r="19641" spans="8:16" x14ac:dyDescent="0.25">
      <c r="H19641" s="12"/>
      <c r="I19641" s="12"/>
      <c r="J19641" s="12"/>
      <c r="K19641" s="12"/>
      <c r="L19641" s="12"/>
      <c r="M19641" s="11"/>
      <c r="N19641" s="11"/>
      <c r="O19641" s="11"/>
      <c r="P19641" s="11"/>
    </row>
    <row r="19642" spans="8:16" x14ac:dyDescent="0.25">
      <c r="H19642" s="12"/>
      <c r="I19642" s="12"/>
      <c r="J19642" s="12"/>
      <c r="K19642" s="12"/>
      <c r="L19642" s="12"/>
      <c r="M19642" s="11"/>
      <c r="N19642" s="11"/>
      <c r="O19642" s="11"/>
      <c r="P19642" s="11"/>
    </row>
    <row r="19643" spans="8:16" x14ac:dyDescent="0.25">
      <c r="H19643" s="12"/>
      <c r="I19643" s="12"/>
      <c r="J19643" s="12"/>
      <c r="K19643" s="12"/>
      <c r="L19643" s="12"/>
      <c r="M19643" s="11"/>
      <c r="N19643" s="11"/>
      <c r="O19643" s="11"/>
      <c r="P19643" s="11"/>
    </row>
    <row r="19644" spans="8:16" x14ac:dyDescent="0.25">
      <c r="H19644" s="12"/>
      <c r="I19644" s="12"/>
      <c r="J19644" s="12"/>
      <c r="K19644" s="12"/>
      <c r="L19644" s="12"/>
      <c r="M19644" s="11"/>
      <c r="N19644" s="11"/>
      <c r="O19644" s="11"/>
      <c r="P19644" s="11"/>
    </row>
    <row r="19645" spans="8:16" x14ac:dyDescent="0.25">
      <c r="H19645" s="12"/>
      <c r="I19645" s="12"/>
      <c r="J19645" s="12"/>
      <c r="K19645" s="12"/>
      <c r="L19645" s="12"/>
      <c r="M19645" s="11"/>
      <c r="N19645" s="11"/>
      <c r="O19645" s="11"/>
      <c r="P19645" s="11"/>
    </row>
    <row r="19646" spans="8:16" x14ac:dyDescent="0.25">
      <c r="H19646" s="12"/>
      <c r="I19646" s="12"/>
      <c r="J19646" s="12"/>
      <c r="K19646" s="12"/>
      <c r="L19646" s="12"/>
      <c r="M19646" s="11"/>
      <c r="N19646" s="11"/>
      <c r="O19646" s="11"/>
      <c r="P19646" s="11"/>
    </row>
    <row r="19647" spans="8:16" x14ac:dyDescent="0.25">
      <c r="H19647" s="12"/>
      <c r="I19647" s="12"/>
      <c r="J19647" s="12"/>
      <c r="K19647" s="12"/>
      <c r="L19647" s="12"/>
      <c r="M19647" s="11"/>
      <c r="N19647" s="11"/>
      <c r="O19647" s="11"/>
      <c r="P19647" s="11"/>
    </row>
    <row r="19648" spans="8:16" x14ac:dyDescent="0.25">
      <c r="H19648" s="12"/>
      <c r="I19648" s="12"/>
      <c r="J19648" s="12"/>
      <c r="K19648" s="12"/>
      <c r="L19648" s="12"/>
      <c r="M19648" s="11"/>
      <c r="N19648" s="11"/>
      <c r="O19648" s="11"/>
      <c r="P19648" s="11"/>
    </row>
    <row r="19649" spans="8:16" x14ac:dyDescent="0.25">
      <c r="H19649" s="12"/>
      <c r="I19649" s="12"/>
      <c r="J19649" s="12"/>
      <c r="K19649" s="12"/>
      <c r="L19649" s="12"/>
      <c r="M19649" s="11"/>
      <c r="N19649" s="11"/>
      <c r="O19649" s="11"/>
      <c r="P19649" s="11"/>
    </row>
    <row r="19650" spans="8:16" x14ac:dyDescent="0.25">
      <c r="H19650" s="12"/>
      <c r="I19650" s="12"/>
      <c r="J19650" s="12"/>
      <c r="K19650" s="12"/>
      <c r="L19650" s="12"/>
      <c r="M19650" s="11"/>
      <c r="N19650" s="11"/>
      <c r="O19650" s="11"/>
      <c r="P19650" s="11"/>
    </row>
    <row r="19651" spans="8:16" x14ac:dyDescent="0.25">
      <c r="H19651" s="12"/>
      <c r="I19651" s="12"/>
      <c r="J19651" s="12"/>
      <c r="K19651" s="12"/>
      <c r="L19651" s="12"/>
      <c r="M19651" s="11"/>
      <c r="N19651" s="11"/>
      <c r="O19651" s="11"/>
      <c r="P19651" s="11"/>
    </row>
    <row r="19652" spans="8:16" x14ac:dyDescent="0.25">
      <c r="H19652" s="12"/>
      <c r="I19652" s="12"/>
      <c r="J19652" s="12"/>
      <c r="K19652" s="12"/>
      <c r="L19652" s="12"/>
      <c r="M19652" s="11"/>
      <c r="N19652" s="11"/>
      <c r="O19652" s="11"/>
      <c r="P19652" s="11"/>
    </row>
    <row r="19653" spans="8:16" x14ac:dyDescent="0.25">
      <c r="H19653" s="12"/>
      <c r="I19653" s="12"/>
      <c r="J19653" s="12"/>
      <c r="K19653" s="12"/>
      <c r="L19653" s="12"/>
      <c r="M19653" s="11"/>
      <c r="N19653" s="11"/>
      <c r="O19653" s="11"/>
      <c r="P19653" s="11"/>
    </row>
    <row r="19654" spans="8:16" x14ac:dyDescent="0.25">
      <c r="H19654" s="12"/>
      <c r="I19654" s="12"/>
      <c r="J19654" s="12"/>
      <c r="K19654" s="12"/>
      <c r="L19654" s="12"/>
      <c r="M19654" s="11"/>
      <c r="N19654" s="11"/>
      <c r="O19654" s="11"/>
      <c r="P19654" s="11"/>
    </row>
    <row r="19655" spans="8:16" x14ac:dyDescent="0.25">
      <c r="H19655" s="12"/>
      <c r="I19655" s="12"/>
      <c r="J19655" s="12"/>
      <c r="K19655" s="12"/>
      <c r="L19655" s="12"/>
      <c r="M19655" s="11"/>
      <c r="N19655" s="11"/>
      <c r="O19655" s="11"/>
      <c r="P19655" s="11"/>
    </row>
    <row r="19656" spans="8:16" x14ac:dyDescent="0.25">
      <c r="H19656" s="12"/>
      <c r="I19656" s="12"/>
      <c r="J19656" s="12"/>
      <c r="K19656" s="12"/>
      <c r="L19656" s="12"/>
      <c r="M19656" s="11"/>
      <c r="N19656" s="11"/>
      <c r="O19656" s="11"/>
      <c r="P19656" s="11"/>
    </row>
    <row r="19657" spans="8:16" x14ac:dyDescent="0.25">
      <c r="H19657" s="12"/>
      <c r="I19657" s="12"/>
      <c r="J19657" s="12"/>
      <c r="K19657" s="12"/>
      <c r="L19657" s="12"/>
      <c r="M19657" s="11"/>
      <c r="N19657" s="11"/>
      <c r="O19657" s="11"/>
      <c r="P19657" s="11"/>
    </row>
    <row r="19658" spans="8:16" x14ac:dyDescent="0.25">
      <c r="H19658" s="12"/>
      <c r="I19658" s="12"/>
      <c r="J19658" s="12"/>
      <c r="K19658" s="12"/>
      <c r="L19658" s="12"/>
      <c r="M19658" s="11"/>
      <c r="N19658" s="11"/>
      <c r="O19658" s="11"/>
      <c r="P19658" s="11"/>
    </row>
    <row r="19659" spans="8:16" x14ac:dyDescent="0.25">
      <c r="H19659" s="12"/>
      <c r="I19659" s="12"/>
      <c r="J19659" s="12"/>
      <c r="K19659" s="12"/>
      <c r="L19659" s="12"/>
      <c r="M19659" s="11"/>
      <c r="N19659" s="11"/>
      <c r="O19659" s="11"/>
      <c r="P19659" s="11"/>
    </row>
    <row r="19660" spans="8:16" x14ac:dyDescent="0.25">
      <c r="H19660" s="12"/>
      <c r="I19660" s="12"/>
      <c r="J19660" s="12"/>
      <c r="K19660" s="12"/>
      <c r="L19660" s="12"/>
      <c r="M19660" s="11"/>
      <c r="N19660" s="11"/>
      <c r="O19660" s="11"/>
      <c r="P19660" s="11"/>
    </row>
    <row r="19661" spans="8:16" x14ac:dyDescent="0.25">
      <c r="H19661" s="12"/>
      <c r="I19661" s="12"/>
      <c r="J19661" s="12"/>
      <c r="K19661" s="12"/>
      <c r="L19661" s="12"/>
      <c r="M19661" s="11"/>
      <c r="N19661" s="11"/>
      <c r="O19661" s="11"/>
      <c r="P19661" s="11"/>
    </row>
    <row r="19662" spans="8:16" x14ac:dyDescent="0.25">
      <c r="H19662" s="12"/>
      <c r="I19662" s="12"/>
      <c r="J19662" s="12"/>
      <c r="K19662" s="12"/>
      <c r="L19662" s="12"/>
      <c r="M19662" s="11"/>
      <c r="N19662" s="11"/>
      <c r="O19662" s="11"/>
      <c r="P19662" s="11"/>
    </row>
    <row r="19663" spans="8:16" x14ac:dyDescent="0.25">
      <c r="H19663" s="12"/>
      <c r="I19663" s="12"/>
      <c r="J19663" s="12"/>
      <c r="K19663" s="12"/>
      <c r="L19663" s="12"/>
      <c r="M19663" s="11"/>
      <c r="N19663" s="11"/>
      <c r="O19663" s="11"/>
      <c r="P19663" s="11"/>
    </row>
    <row r="19664" spans="8:16" x14ac:dyDescent="0.25">
      <c r="H19664" s="12"/>
      <c r="I19664" s="12"/>
      <c r="J19664" s="12"/>
      <c r="K19664" s="12"/>
      <c r="L19664" s="12"/>
      <c r="M19664" s="11"/>
      <c r="N19664" s="11"/>
      <c r="O19664" s="11"/>
      <c r="P19664" s="11"/>
    </row>
    <row r="19665" spans="8:16" x14ac:dyDescent="0.25">
      <c r="H19665" s="12"/>
      <c r="I19665" s="12"/>
      <c r="J19665" s="12"/>
      <c r="K19665" s="12"/>
      <c r="L19665" s="12"/>
      <c r="M19665" s="11"/>
      <c r="N19665" s="11"/>
      <c r="O19665" s="11"/>
      <c r="P19665" s="11"/>
    </row>
    <row r="19666" spans="8:16" x14ac:dyDescent="0.25">
      <c r="H19666" s="12"/>
      <c r="I19666" s="12"/>
      <c r="J19666" s="12"/>
      <c r="K19666" s="12"/>
      <c r="L19666" s="12"/>
      <c r="M19666" s="11"/>
      <c r="N19666" s="11"/>
      <c r="O19666" s="11"/>
      <c r="P19666" s="11"/>
    </row>
    <row r="19667" spans="8:16" x14ac:dyDescent="0.25">
      <c r="H19667" s="12"/>
      <c r="I19667" s="12"/>
      <c r="J19667" s="12"/>
      <c r="K19667" s="12"/>
      <c r="L19667" s="12"/>
      <c r="M19667" s="11"/>
      <c r="N19667" s="11"/>
      <c r="O19667" s="11"/>
      <c r="P19667" s="11"/>
    </row>
    <row r="19668" spans="8:16" x14ac:dyDescent="0.25">
      <c r="H19668" s="12"/>
      <c r="I19668" s="12"/>
      <c r="J19668" s="12"/>
      <c r="K19668" s="12"/>
      <c r="L19668" s="12"/>
      <c r="M19668" s="11"/>
      <c r="N19668" s="11"/>
      <c r="O19668" s="11"/>
      <c r="P19668" s="11"/>
    </row>
    <row r="19669" spans="8:16" x14ac:dyDescent="0.25">
      <c r="H19669" s="12"/>
      <c r="I19669" s="12"/>
      <c r="J19669" s="12"/>
      <c r="K19669" s="12"/>
      <c r="L19669" s="12"/>
      <c r="M19669" s="11"/>
      <c r="N19669" s="11"/>
      <c r="O19669" s="11"/>
      <c r="P19669" s="11"/>
    </row>
    <row r="19670" spans="8:16" x14ac:dyDescent="0.25">
      <c r="H19670" s="12"/>
      <c r="I19670" s="12"/>
      <c r="J19670" s="12"/>
      <c r="K19670" s="12"/>
      <c r="L19670" s="12"/>
      <c r="M19670" s="11"/>
      <c r="N19670" s="11"/>
      <c r="O19670" s="11"/>
      <c r="P19670" s="11"/>
    </row>
    <row r="19671" spans="8:16" x14ac:dyDescent="0.25">
      <c r="H19671" s="12"/>
      <c r="I19671" s="12"/>
      <c r="J19671" s="12"/>
      <c r="K19671" s="12"/>
      <c r="L19671" s="12"/>
      <c r="M19671" s="11"/>
      <c r="N19671" s="11"/>
      <c r="O19671" s="11"/>
      <c r="P19671" s="11"/>
    </row>
    <row r="19672" spans="8:16" x14ac:dyDescent="0.25">
      <c r="H19672" s="12"/>
      <c r="I19672" s="12"/>
      <c r="J19672" s="12"/>
      <c r="K19672" s="12"/>
      <c r="L19672" s="12"/>
      <c r="M19672" s="11"/>
      <c r="N19672" s="11"/>
      <c r="O19672" s="11"/>
      <c r="P19672" s="11"/>
    </row>
    <row r="19673" spans="8:16" x14ac:dyDescent="0.25">
      <c r="H19673" s="12"/>
      <c r="I19673" s="12"/>
      <c r="J19673" s="12"/>
      <c r="K19673" s="12"/>
      <c r="L19673" s="12"/>
      <c r="M19673" s="11"/>
      <c r="N19673" s="11"/>
      <c r="O19673" s="11"/>
      <c r="P19673" s="11"/>
    </row>
    <row r="19674" spans="8:16" x14ac:dyDescent="0.25">
      <c r="H19674" s="12"/>
      <c r="I19674" s="12"/>
      <c r="J19674" s="12"/>
      <c r="K19674" s="12"/>
      <c r="L19674" s="12"/>
      <c r="M19674" s="11"/>
      <c r="N19674" s="11"/>
      <c r="O19674" s="11"/>
      <c r="P19674" s="11"/>
    </row>
    <row r="19675" spans="8:16" x14ac:dyDescent="0.25">
      <c r="H19675" s="12"/>
      <c r="I19675" s="12"/>
      <c r="J19675" s="12"/>
      <c r="K19675" s="12"/>
      <c r="L19675" s="12"/>
      <c r="M19675" s="11"/>
      <c r="N19675" s="11"/>
      <c r="O19675" s="11"/>
      <c r="P19675" s="11"/>
    </row>
    <row r="19676" spans="8:16" x14ac:dyDescent="0.25">
      <c r="H19676" s="12"/>
      <c r="I19676" s="12"/>
      <c r="J19676" s="12"/>
      <c r="K19676" s="12"/>
      <c r="L19676" s="12"/>
      <c r="M19676" s="11"/>
      <c r="N19676" s="11"/>
      <c r="O19676" s="11"/>
      <c r="P19676" s="11"/>
    </row>
    <row r="19677" spans="8:16" x14ac:dyDescent="0.25">
      <c r="H19677" s="12"/>
      <c r="I19677" s="12"/>
      <c r="J19677" s="12"/>
      <c r="K19677" s="12"/>
      <c r="L19677" s="12"/>
      <c r="M19677" s="11"/>
      <c r="N19677" s="11"/>
      <c r="O19677" s="11"/>
      <c r="P19677" s="11"/>
    </row>
    <row r="19678" spans="8:16" x14ac:dyDescent="0.25">
      <c r="H19678" s="12"/>
      <c r="I19678" s="12"/>
      <c r="J19678" s="12"/>
      <c r="K19678" s="12"/>
      <c r="L19678" s="12"/>
      <c r="M19678" s="11"/>
      <c r="N19678" s="11"/>
      <c r="O19678" s="11"/>
      <c r="P19678" s="11"/>
    </row>
    <row r="19679" spans="8:16" x14ac:dyDescent="0.25">
      <c r="H19679" s="12"/>
      <c r="I19679" s="12"/>
      <c r="J19679" s="12"/>
      <c r="K19679" s="12"/>
      <c r="L19679" s="12"/>
      <c r="M19679" s="11"/>
      <c r="N19679" s="11"/>
      <c r="O19679" s="11"/>
      <c r="P19679" s="11"/>
    </row>
    <row r="19680" spans="8:16" x14ac:dyDescent="0.25">
      <c r="H19680" s="12"/>
      <c r="I19680" s="12"/>
      <c r="J19680" s="12"/>
      <c r="K19680" s="12"/>
      <c r="L19680" s="12"/>
      <c r="M19680" s="11"/>
      <c r="N19680" s="11"/>
      <c r="O19680" s="11"/>
      <c r="P19680" s="11"/>
    </row>
    <row r="19681" spans="8:16" x14ac:dyDescent="0.25">
      <c r="H19681" s="12"/>
      <c r="I19681" s="12"/>
      <c r="J19681" s="12"/>
      <c r="K19681" s="12"/>
      <c r="L19681" s="12"/>
      <c r="M19681" s="11"/>
      <c r="N19681" s="11"/>
      <c r="O19681" s="11"/>
      <c r="P19681" s="11"/>
    </row>
    <row r="19682" spans="8:16" x14ac:dyDescent="0.25">
      <c r="H19682" s="12"/>
      <c r="I19682" s="12"/>
      <c r="J19682" s="12"/>
      <c r="K19682" s="12"/>
      <c r="L19682" s="12"/>
      <c r="M19682" s="11"/>
      <c r="N19682" s="11"/>
      <c r="O19682" s="11"/>
      <c r="P19682" s="11"/>
    </row>
    <row r="19683" spans="8:16" x14ac:dyDescent="0.25">
      <c r="H19683" s="12"/>
      <c r="I19683" s="12"/>
      <c r="J19683" s="12"/>
      <c r="K19683" s="12"/>
      <c r="L19683" s="12"/>
      <c r="M19683" s="11"/>
      <c r="N19683" s="11"/>
      <c r="O19683" s="11"/>
      <c r="P19683" s="11"/>
    </row>
    <row r="19684" spans="8:16" x14ac:dyDescent="0.25">
      <c r="H19684" s="12"/>
      <c r="I19684" s="12"/>
      <c r="J19684" s="12"/>
      <c r="K19684" s="12"/>
      <c r="L19684" s="12"/>
      <c r="M19684" s="11"/>
      <c r="N19684" s="11"/>
      <c r="O19684" s="11"/>
      <c r="P19684" s="11"/>
    </row>
    <row r="19685" spans="8:16" x14ac:dyDescent="0.25">
      <c r="H19685" s="12"/>
      <c r="I19685" s="12"/>
      <c r="J19685" s="12"/>
      <c r="K19685" s="12"/>
      <c r="L19685" s="12"/>
      <c r="M19685" s="11"/>
      <c r="N19685" s="11"/>
      <c r="O19685" s="11"/>
      <c r="P19685" s="11"/>
    </row>
    <row r="19686" spans="8:16" x14ac:dyDescent="0.25">
      <c r="H19686" s="12"/>
      <c r="I19686" s="12"/>
      <c r="J19686" s="12"/>
      <c r="K19686" s="12"/>
      <c r="L19686" s="12"/>
      <c r="M19686" s="11"/>
      <c r="N19686" s="11"/>
      <c r="O19686" s="11"/>
      <c r="P19686" s="11"/>
    </row>
    <row r="19687" spans="8:16" x14ac:dyDescent="0.25">
      <c r="H19687" s="12"/>
      <c r="I19687" s="12"/>
      <c r="J19687" s="12"/>
      <c r="K19687" s="12"/>
      <c r="L19687" s="12"/>
      <c r="M19687" s="11"/>
      <c r="N19687" s="11"/>
      <c r="O19687" s="11"/>
      <c r="P19687" s="11"/>
    </row>
    <row r="19688" spans="8:16" x14ac:dyDescent="0.25">
      <c r="H19688" s="12"/>
      <c r="I19688" s="12"/>
      <c r="J19688" s="12"/>
      <c r="K19688" s="12"/>
      <c r="L19688" s="12"/>
      <c r="M19688" s="11"/>
      <c r="N19688" s="11"/>
      <c r="O19688" s="11"/>
      <c r="P19688" s="11"/>
    </row>
    <row r="19689" spans="8:16" x14ac:dyDescent="0.25">
      <c r="H19689" s="12"/>
      <c r="I19689" s="12"/>
      <c r="J19689" s="12"/>
      <c r="K19689" s="12"/>
      <c r="L19689" s="12"/>
      <c r="M19689" s="11"/>
      <c r="N19689" s="11"/>
      <c r="O19689" s="11"/>
      <c r="P19689" s="11"/>
    </row>
    <row r="19690" spans="8:16" x14ac:dyDescent="0.25">
      <c r="H19690" s="12"/>
      <c r="I19690" s="12"/>
      <c r="J19690" s="12"/>
      <c r="K19690" s="12"/>
      <c r="L19690" s="12"/>
      <c r="M19690" s="11"/>
      <c r="N19690" s="11"/>
      <c r="O19690" s="11"/>
      <c r="P19690" s="11"/>
    </row>
    <row r="19691" spans="8:16" x14ac:dyDescent="0.25">
      <c r="H19691" s="12"/>
      <c r="I19691" s="12"/>
      <c r="J19691" s="12"/>
      <c r="K19691" s="12"/>
      <c r="L19691" s="12"/>
      <c r="M19691" s="11"/>
      <c r="N19691" s="11"/>
      <c r="O19691" s="11"/>
      <c r="P19691" s="11"/>
    </row>
    <row r="19692" spans="8:16" x14ac:dyDescent="0.25">
      <c r="H19692" s="12"/>
      <c r="I19692" s="12"/>
      <c r="J19692" s="12"/>
      <c r="K19692" s="12"/>
      <c r="L19692" s="12"/>
      <c r="M19692" s="11"/>
      <c r="N19692" s="11"/>
      <c r="O19692" s="11"/>
      <c r="P19692" s="11"/>
    </row>
    <row r="19693" spans="8:16" x14ac:dyDescent="0.25">
      <c r="H19693" s="12"/>
      <c r="I19693" s="12"/>
      <c r="J19693" s="12"/>
      <c r="K19693" s="12"/>
      <c r="L19693" s="12"/>
      <c r="M19693" s="11"/>
      <c r="N19693" s="11"/>
      <c r="O19693" s="11"/>
      <c r="P19693" s="11"/>
    </row>
    <row r="19694" spans="8:16" x14ac:dyDescent="0.25">
      <c r="H19694" s="12"/>
      <c r="I19694" s="12"/>
      <c r="J19694" s="12"/>
      <c r="K19694" s="12"/>
      <c r="L19694" s="12"/>
      <c r="M19694" s="11"/>
      <c r="N19694" s="11"/>
      <c r="O19694" s="11"/>
      <c r="P19694" s="11"/>
    </row>
    <row r="19695" spans="8:16" x14ac:dyDescent="0.25">
      <c r="H19695" s="12"/>
      <c r="I19695" s="12"/>
      <c r="J19695" s="12"/>
      <c r="K19695" s="12"/>
      <c r="L19695" s="12"/>
      <c r="M19695" s="11"/>
      <c r="N19695" s="11"/>
      <c r="O19695" s="11"/>
      <c r="P19695" s="11"/>
    </row>
    <row r="19696" spans="8:16" x14ac:dyDescent="0.25">
      <c r="H19696" s="12"/>
      <c r="I19696" s="12"/>
      <c r="J19696" s="12"/>
      <c r="K19696" s="12"/>
      <c r="L19696" s="12"/>
      <c r="M19696" s="11"/>
      <c r="N19696" s="11"/>
      <c r="O19696" s="11"/>
      <c r="P19696" s="11"/>
    </row>
    <row r="19697" spans="8:16" x14ac:dyDescent="0.25">
      <c r="H19697" s="12"/>
      <c r="I19697" s="12"/>
      <c r="J19697" s="12"/>
      <c r="K19697" s="12"/>
      <c r="L19697" s="12"/>
      <c r="M19697" s="11"/>
      <c r="N19697" s="11"/>
      <c r="O19697" s="11"/>
      <c r="P19697" s="11"/>
    </row>
    <row r="19698" spans="8:16" x14ac:dyDescent="0.25">
      <c r="H19698" s="12"/>
      <c r="I19698" s="12"/>
      <c r="J19698" s="12"/>
      <c r="K19698" s="12"/>
      <c r="L19698" s="12"/>
      <c r="M19698" s="11"/>
      <c r="N19698" s="11"/>
      <c r="O19698" s="11"/>
      <c r="P19698" s="11"/>
    </row>
    <row r="19699" spans="8:16" x14ac:dyDescent="0.25">
      <c r="H19699" s="12"/>
      <c r="I19699" s="12"/>
      <c r="J19699" s="12"/>
      <c r="K19699" s="12"/>
      <c r="L19699" s="12"/>
      <c r="M19699" s="11"/>
      <c r="N19699" s="11"/>
      <c r="O19699" s="11"/>
      <c r="P19699" s="11"/>
    </row>
    <row r="19700" spans="8:16" x14ac:dyDescent="0.25">
      <c r="H19700" s="12"/>
      <c r="I19700" s="12"/>
      <c r="J19700" s="12"/>
      <c r="K19700" s="12"/>
      <c r="L19700" s="12"/>
      <c r="M19700" s="11"/>
      <c r="N19700" s="11"/>
      <c r="O19700" s="11"/>
      <c r="P19700" s="11"/>
    </row>
    <row r="19701" spans="8:16" x14ac:dyDescent="0.25">
      <c r="H19701" s="12"/>
      <c r="I19701" s="12"/>
      <c r="J19701" s="12"/>
      <c r="K19701" s="12"/>
      <c r="L19701" s="12"/>
      <c r="M19701" s="11"/>
      <c r="N19701" s="11"/>
      <c r="O19701" s="11"/>
      <c r="P19701" s="11"/>
    </row>
    <row r="19702" spans="8:16" x14ac:dyDescent="0.25">
      <c r="H19702" s="12"/>
      <c r="I19702" s="12"/>
      <c r="J19702" s="12"/>
      <c r="K19702" s="12"/>
      <c r="L19702" s="12"/>
      <c r="M19702" s="11"/>
      <c r="N19702" s="11"/>
      <c r="O19702" s="11"/>
      <c r="P19702" s="11"/>
    </row>
    <row r="19703" spans="8:16" x14ac:dyDescent="0.25">
      <c r="H19703" s="12"/>
      <c r="I19703" s="12"/>
      <c r="J19703" s="12"/>
      <c r="K19703" s="12"/>
      <c r="L19703" s="12"/>
      <c r="M19703" s="11"/>
      <c r="N19703" s="11"/>
      <c r="O19703" s="11"/>
      <c r="P19703" s="11"/>
    </row>
    <row r="19704" spans="8:16" x14ac:dyDescent="0.25">
      <c r="H19704" s="12"/>
      <c r="I19704" s="12"/>
      <c r="J19704" s="12"/>
      <c r="K19704" s="12"/>
      <c r="L19704" s="12"/>
      <c r="M19704" s="11"/>
      <c r="N19704" s="11"/>
      <c r="O19704" s="11"/>
      <c r="P19704" s="11"/>
    </row>
    <row r="19705" spans="8:16" x14ac:dyDescent="0.25">
      <c r="H19705" s="12"/>
      <c r="I19705" s="12"/>
      <c r="J19705" s="12"/>
      <c r="K19705" s="12"/>
      <c r="L19705" s="12"/>
      <c r="M19705" s="11"/>
      <c r="N19705" s="11"/>
      <c r="O19705" s="11"/>
      <c r="P19705" s="11"/>
    </row>
    <row r="19706" spans="8:16" x14ac:dyDescent="0.25">
      <c r="H19706" s="12"/>
      <c r="I19706" s="12"/>
      <c r="J19706" s="12"/>
      <c r="K19706" s="12"/>
      <c r="L19706" s="12"/>
      <c r="M19706" s="11"/>
      <c r="N19706" s="11"/>
      <c r="O19706" s="11"/>
      <c r="P19706" s="11"/>
    </row>
    <row r="19707" spans="8:16" x14ac:dyDescent="0.25">
      <c r="H19707" s="12"/>
      <c r="I19707" s="12"/>
      <c r="J19707" s="12"/>
      <c r="K19707" s="12"/>
      <c r="L19707" s="12"/>
      <c r="M19707" s="11"/>
      <c r="N19707" s="11"/>
      <c r="O19707" s="11"/>
      <c r="P19707" s="11"/>
    </row>
    <row r="19708" spans="8:16" x14ac:dyDescent="0.25">
      <c r="H19708" s="12"/>
      <c r="I19708" s="12"/>
      <c r="J19708" s="12"/>
      <c r="K19708" s="12"/>
      <c r="L19708" s="12"/>
      <c r="M19708" s="11"/>
      <c r="N19708" s="11"/>
      <c r="O19708" s="11"/>
      <c r="P19708" s="11"/>
    </row>
    <row r="19709" spans="8:16" x14ac:dyDescent="0.25">
      <c r="H19709" s="12"/>
      <c r="I19709" s="12"/>
      <c r="J19709" s="12"/>
      <c r="K19709" s="12"/>
      <c r="L19709" s="12"/>
      <c r="M19709" s="11"/>
      <c r="N19709" s="11"/>
      <c r="O19709" s="11"/>
      <c r="P19709" s="11"/>
    </row>
    <row r="19710" spans="8:16" x14ac:dyDescent="0.25">
      <c r="H19710" s="12"/>
      <c r="I19710" s="12"/>
      <c r="J19710" s="12"/>
      <c r="K19710" s="12"/>
      <c r="L19710" s="12"/>
      <c r="M19710" s="11"/>
      <c r="N19710" s="11"/>
      <c r="O19710" s="11"/>
      <c r="P19710" s="11"/>
    </row>
    <row r="19711" spans="8:16" x14ac:dyDescent="0.25">
      <c r="H19711" s="12"/>
      <c r="I19711" s="12"/>
      <c r="J19711" s="12"/>
      <c r="K19711" s="12"/>
      <c r="L19711" s="12"/>
      <c r="M19711" s="11"/>
      <c r="N19711" s="11"/>
      <c r="O19711" s="11"/>
      <c r="P19711" s="11"/>
    </row>
    <row r="19712" spans="8:16" x14ac:dyDescent="0.25">
      <c r="H19712" s="12"/>
      <c r="I19712" s="12"/>
      <c r="J19712" s="12"/>
      <c r="K19712" s="12"/>
      <c r="L19712" s="12"/>
      <c r="M19712" s="11"/>
      <c r="N19712" s="11"/>
      <c r="O19712" s="11"/>
      <c r="P19712" s="11"/>
    </row>
    <row r="19713" spans="8:16" x14ac:dyDescent="0.25">
      <c r="H19713" s="12"/>
      <c r="I19713" s="12"/>
      <c r="J19713" s="12"/>
      <c r="K19713" s="12"/>
      <c r="L19713" s="12"/>
      <c r="M19713" s="11"/>
      <c r="N19713" s="11"/>
      <c r="O19713" s="11"/>
      <c r="P19713" s="11"/>
    </row>
    <row r="19714" spans="8:16" x14ac:dyDescent="0.25">
      <c r="H19714" s="12"/>
      <c r="I19714" s="12"/>
      <c r="J19714" s="12"/>
      <c r="K19714" s="12"/>
      <c r="L19714" s="12"/>
      <c r="M19714" s="11"/>
      <c r="N19714" s="11"/>
      <c r="O19714" s="11"/>
      <c r="P19714" s="11"/>
    </row>
    <row r="19715" spans="8:16" x14ac:dyDescent="0.25">
      <c r="H19715" s="12"/>
      <c r="I19715" s="12"/>
      <c r="J19715" s="12"/>
      <c r="K19715" s="12"/>
      <c r="L19715" s="12"/>
      <c r="M19715" s="11"/>
      <c r="N19715" s="11"/>
      <c r="O19715" s="11"/>
      <c r="P19715" s="11"/>
    </row>
    <row r="19716" spans="8:16" x14ac:dyDescent="0.25">
      <c r="H19716" s="12"/>
      <c r="I19716" s="12"/>
      <c r="J19716" s="12"/>
      <c r="K19716" s="12"/>
      <c r="L19716" s="12"/>
      <c r="M19716" s="11"/>
      <c r="N19716" s="11"/>
      <c r="O19716" s="11"/>
      <c r="P19716" s="11"/>
    </row>
    <row r="19717" spans="8:16" x14ac:dyDescent="0.25">
      <c r="H19717" s="12"/>
      <c r="I19717" s="12"/>
      <c r="J19717" s="12"/>
      <c r="K19717" s="12"/>
      <c r="L19717" s="12"/>
      <c r="M19717" s="11"/>
      <c r="N19717" s="11"/>
      <c r="O19717" s="11"/>
      <c r="P19717" s="11"/>
    </row>
    <row r="19718" spans="8:16" x14ac:dyDescent="0.25">
      <c r="H19718" s="12"/>
      <c r="I19718" s="12"/>
      <c r="J19718" s="12"/>
      <c r="K19718" s="12"/>
      <c r="L19718" s="12"/>
      <c r="M19718" s="11"/>
      <c r="N19718" s="11"/>
      <c r="O19718" s="11"/>
      <c r="P19718" s="11"/>
    </row>
    <row r="19719" spans="8:16" x14ac:dyDescent="0.25">
      <c r="H19719" s="12"/>
      <c r="I19719" s="12"/>
      <c r="J19719" s="12"/>
      <c r="K19719" s="12"/>
      <c r="L19719" s="12"/>
      <c r="M19719" s="11"/>
      <c r="N19719" s="11"/>
      <c r="O19719" s="11"/>
      <c r="P19719" s="11"/>
    </row>
    <row r="19720" spans="8:16" x14ac:dyDescent="0.25">
      <c r="H19720" s="12"/>
      <c r="I19720" s="12"/>
      <c r="J19720" s="12"/>
      <c r="K19720" s="12"/>
      <c r="L19720" s="12"/>
      <c r="M19720" s="11"/>
      <c r="N19720" s="11"/>
      <c r="O19720" s="11"/>
      <c r="P19720" s="11"/>
    </row>
    <row r="19721" spans="8:16" x14ac:dyDescent="0.25">
      <c r="H19721" s="12"/>
      <c r="I19721" s="12"/>
      <c r="J19721" s="12"/>
      <c r="K19721" s="12"/>
      <c r="L19721" s="12"/>
      <c r="M19721" s="11"/>
      <c r="N19721" s="11"/>
      <c r="O19721" s="11"/>
      <c r="P19721" s="11"/>
    </row>
    <row r="19722" spans="8:16" x14ac:dyDescent="0.25">
      <c r="H19722" s="12"/>
      <c r="I19722" s="12"/>
      <c r="J19722" s="12"/>
      <c r="K19722" s="12"/>
      <c r="L19722" s="12"/>
      <c r="M19722" s="11"/>
      <c r="N19722" s="11"/>
      <c r="O19722" s="11"/>
      <c r="P19722" s="11"/>
    </row>
    <row r="19723" spans="8:16" x14ac:dyDescent="0.25">
      <c r="H19723" s="12"/>
      <c r="I19723" s="12"/>
      <c r="J19723" s="12"/>
      <c r="K19723" s="12"/>
      <c r="L19723" s="12"/>
      <c r="M19723" s="11"/>
      <c r="N19723" s="11"/>
      <c r="O19723" s="11"/>
      <c r="P19723" s="11"/>
    </row>
    <row r="19724" spans="8:16" x14ac:dyDescent="0.25">
      <c r="H19724" s="12"/>
      <c r="I19724" s="12"/>
      <c r="J19724" s="12"/>
      <c r="K19724" s="12"/>
      <c r="L19724" s="12"/>
      <c r="M19724" s="11"/>
      <c r="N19724" s="11"/>
      <c r="O19724" s="11"/>
      <c r="P19724" s="11"/>
    </row>
    <row r="19725" spans="8:16" x14ac:dyDescent="0.25">
      <c r="H19725" s="12"/>
      <c r="I19725" s="12"/>
      <c r="J19725" s="12"/>
      <c r="K19725" s="12"/>
      <c r="L19725" s="12"/>
      <c r="M19725" s="11"/>
      <c r="N19725" s="11"/>
      <c r="O19725" s="11"/>
      <c r="P19725" s="11"/>
    </row>
    <row r="19726" spans="8:16" x14ac:dyDescent="0.25">
      <c r="H19726" s="12"/>
      <c r="I19726" s="12"/>
      <c r="J19726" s="12"/>
      <c r="K19726" s="12"/>
      <c r="L19726" s="12"/>
      <c r="M19726" s="11"/>
      <c r="N19726" s="11"/>
      <c r="O19726" s="11"/>
      <c r="P19726" s="11"/>
    </row>
    <row r="19727" spans="8:16" x14ac:dyDescent="0.25">
      <c r="H19727" s="12"/>
      <c r="I19727" s="12"/>
      <c r="J19727" s="12"/>
      <c r="K19727" s="12"/>
      <c r="L19727" s="12"/>
      <c r="M19727" s="11"/>
      <c r="N19727" s="11"/>
      <c r="O19727" s="11"/>
      <c r="P19727" s="11"/>
    </row>
    <row r="19728" spans="8:16" x14ac:dyDescent="0.25">
      <c r="H19728" s="12"/>
      <c r="I19728" s="12"/>
      <c r="J19728" s="12"/>
      <c r="K19728" s="12"/>
      <c r="L19728" s="12"/>
      <c r="M19728" s="11"/>
      <c r="N19728" s="11"/>
      <c r="O19728" s="11"/>
      <c r="P19728" s="11"/>
    </row>
    <row r="19729" spans="8:16" x14ac:dyDescent="0.25">
      <c r="H19729" s="12"/>
      <c r="I19729" s="12"/>
      <c r="J19729" s="12"/>
      <c r="K19729" s="12"/>
      <c r="L19729" s="12"/>
      <c r="M19729" s="11"/>
      <c r="N19729" s="11"/>
      <c r="O19729" s="11"/>
      <c r="P19729" s="11"/>
    </row>
    <row r="19730" spans="8:16" x14ac:dyDescent="0.25">
      <c r="H19730" s="12"/>
      <c r="I19730" s="12"/>
      <c r="J19730" s="12"/>
      <c r="K19730" s="12"/>
      <c r="L19730" s="12"/>
      <c r="M19730" s="11"/>
      <c r="N19730" s="11"/>
      <c r="O19730" s="11"/>
      <c r="P19730" s="11"/>
    </row>
    <row r="19731" spans="8:16" x14ac:dyDescent="0.25">
      <c r="H19731" s="12"/>
      <c r="I19731" s="12"/>
      <c r="J19731" s="12"/>
      <c r="K19731" s="12"/>
      <c r="L19731" s="12"/>
      <c r="M19731" s="11"/>
      <c r="N19731" s="11"/>
      <c r="O19731" s="11"/>
      <c r="P19731" s="11"/>
    </row>
    <row r="19732" spans="8:16" x14ac:dyDescent="0.25">
      <c r="H19732" s="12"/>
      <c r="I19732" s="12"/>
      <c r="J19732" s="12"/>
      <c r="K19732" s="12"/>
      <c r="L19732" s="12"/>
      <c r="M19732" s="11"/>
      <c r="N19732" s="11"/>
      <c r="O19732" s="11"/>
      <c r="P19732" s="11"/>
    </row>
    <row r="19733" spans="8:16" x14ac:dyDescent="0.25">
      <c r="H19733" s="12"/>
      <c r="I19733" s="12"/>
      <c r="J19733" s="12"/>
      <c r="K19733" s="12"/>
      <c r="L19733" s="12"/>
      <c r="M19733" s="11"/>
      <c r="N19733" s="11"/>
      <c r="O19733" s="11"/>
      <c r="P19733" s="11"/>
    </row>
    <row r="19734" spans="8:16" x14ac:dyDescent="0.25">
      <c r="H19734" s="12"/>
      <c r="I19734" s="12"/>
      <c r="J19734" s="12"/>
      <c r="K19734" s="12"/>
      <c r="L19734" s="12"/>
      <c r="M19734" s="11"/>
      <c r="N19734" s="11"/>
      <c r="O19734" s="11"/>
      <c r="P19734" s="11"/>
    </row>
    <row r="19735" spans="8:16" x14ac:dyDescent="0.25">
      <c r="H19735" s="12"/>
      <c r="I19735" s="12"/>
      <c r="J19735" s="12"/>
      <c r="K19735" s="12"/>
      <c r="L19735" s="12"/>
      <c r="M19735" s="11"/>
      <c r="N19735" s="11"/>
      <c r="O19735" s="11"/>
      <c r="P19735" s="11"/>
    </row>
    <row r="19736" spans="8:16" x14ac:dyDescent="0.25">
      <c r="H19736" s="12"/>
      <c r="I19736" s="12"/>
      <c r="J19736" s="12"/>
      <c r="K19736" s="12"/>
      <c r="L19736" s="12"/>
      <c r="M19736" s="11"/>
      <c r="N19736" s="11"/>
      <c r="O19736" s="11"/>
      <c r="P19736" s="11"/>
    </row>
    <row r="19737" spans="8:16" x14ac:dyDescent="0.25">
      <c r="H19737" s="12"/>
      <c r="I19737" s="12"/>
      <c r="J19737" s="12"/>
      <c r="K19737" s="12"/>
      <c r="L19737" s="12"/>
      <c r="M19737" s="11"/>
      <c r="N19737" s="11"/>
      <c r="O19737" s="11"/>
      <c r="P19737" s="11"/>
    </row>
    <row r="19738" spans="8:16" x14ac:dyDescent="0.25">
      <c r="H19738" s="12"/>
      <c r="I19738" s="12"/>
      <c r="J19738" s="12"/>
      <c r="K19738" s="12"/>
      <c r="L19738" s="12"/>
      <c r="M19738" s="11"/>
      <c r="N19738" s="11"/>
      <c r="O19738" s="11"/>
      <c r="P19738" s="11"/>
    </row>
    <row r="19739" spans="8:16" x14ac:dyDescent="0.25">
      <c r="H19739" s="12"/>
      <c r="I19739" s="12"/>
      <c r="J19739" s="12"/>
      <c r="K19739" s="12"/>
      <c r="L19739" s="12"/>
      <c r="M19739" s="11"/>
      <c r="N19739" s="11"/>
      <c r="O19739" s="11"/>
      <c r="P19739" s="11"/>
    </row>
    <row r="19740" spans="8:16" x14ac:dyDescent="0.25">
      <c r="H19740" s="12"/>
      <c r="I19740" s="12"/>
      <c r="J19740" s="12"/>
      <c r="K19740" s="12"/>
      <c r="L19740" s="12"/>
      <c r="M19740" s="11"/>
      <c r="N19740" s="11"/>
      <c r="O19740" s="11"/>
      <c r="P19740" s="11"/>
    </row>
    <row r="19741" spans="8:16" x14ac:dyDescent="0.25">
      <c r="H19741" s="12"/>
      <c r="I19741" s="12"/>
      <c r="J19741" s="12"/>
      <c r="K19741" s="12"/>
      <c r="L19741" s="12"/>
      <c r="M19741" s="11"/>
      <c r="N19741" s="11"/>
      <c r="O19741" s="11"/>
      <c r="P19741" s="11"/>
    </row>
    <row r="19742" spans="8:16" x14ac:dyDescent="0.25">
      <c r="H19742" s="12"/>
      <c r="I19742" s="12"/>
      <c r="J19742" s="12"/>
      <c r="K19742" s="12"/>
      <c r="L19742" s="12"/>
      <c r="M19742" s="11"/>
      <c r="N19742" s="11"/>
      <c r="O19742" s="11"/>
      <c r="P19742" s="11"/>
    </row>
    <row r="19743" spans="8:16" x14ac:dyDescent="0.25">
      <c r="H19743" s="12"/>
      <c r="I19743" s="12"/>
      <c r="J19743" s="12"/>
      <c r="K19743" s="12"/>
      <c r="L19743" s="12"/>
      <c r="M19743" s="11"/>
      <c r="N19743" s="11"/>
      <c r="O19743" s="11"/>
      <c r="P19743" s="11"/>
    </row>
    <row r="19744" spans="8:16" x14ac:dyDescent="0.25">
      <c r="H19744" s="12"/>
      <c r="I19744" s="12"/>
      <c r="J19744" s="12"/>
      <c r="K19744" s="12"/>
      <c r="L19744" s="12"/>
      <c r="M19744" s="11"/>
      <c r="N19744" s="11"/>
      <c r="O19744" s="11"/>
      <c r="P19744" s="11"/>
    </row>
    <row r="19745" spans="8:16" x14ac:dyDescent="0.25">
      <c r="H19745" s="12"/>
      <c r="I19745" s="12"/>
      <c r="J19745" s="12"/>
      <c r="K19745" s="12"/>
      <c r="L19745" s="12"/>
      <c r="M19745" s="11"/>
      <c r="N19745" s="11"/>
      <c r="O19745" s="11"/>
      <c r="P19745" s="11"/>
    </row>
    <row r="19746" spans="8:16" x14ac:dyDescent="0.25">
      <c r="H19746" s="12"/>
      <c r="I19746" s="12"/>
      <c r="J19746" s="12"/>
      <c r="K19746" s="12"/>
      <c r="L19746" s="12"/>
      <c r="M19746" s="11"/>
      <c r="N19746" s="11"/>
      <c r="O19746" s="11"/>
      <c r="P19746" s="11"/>
    </row>
    <row r="19747" spans="8:16" x14ac:dyDescent="0.25">
      <c r="H19747" s="12"/>
      <c r="I19747" s="12"/>
      <c r="J19747" s="12"/>
      <c r="K19747" s="12"/>
      <c r="L19747" s="12"/>
      <c r="M19747" s="11"/>
      <c r="N19747" s="11"/>
      <c r="O19747" s="11"/>
      <c r="P19747" s="11"/>
    </row>
    <row r="19748" spans="8:16" x14ac:dyDescent="0.25">
      <c r="H19748" s="12"/>
      <c r="I19748" s="12"/>
      <c r="J19748" s="12"/>
      <c r="K19748" s="12"/>
      <c r="L19748" s="12"/>
      <c r="M19748" s="11"/>
      <c r="N19748" s="11"/>
      <c r="O19748" s="11"/>
      <c r="P19748" s="11"/>
    </row>
    <row r="19749" spans="8:16" x14ac:dyDescent="0.25">
      <c r="H19749" s="12"/>
      <c r="I19749" s="12"/>
      <c r="J19749" s="12"/>
      <c r="K19749" s="12"/>
      <c r="L19749" s="12"/>
      <c r="M19749" s="11"/>
      <c r="N19749" s="11"/>
      <c r="O19749" s="11"/>
      <c r="P19749" s="11"/>
    </row>
    <row r="19750" spans="8:16" x14ac:dyDescent="0.25">
      <c r="H19750" s="12"/>
      <c r="I19750" s="12"/>
      <c r="J19750" s="12"/>
      <c r="K19750" s="12"/>
      <c r="L19750" s="12"/>
      <c r="M19750" s="11"/>
      <c r="N19750" s="11"/>
      <c r="O19750" s="11"/>
      <c r="P19750" s="11"/>
    </row>
    <row r="19751" spans="8:16" x14ac:dyDescent="0.25">
      <c r="H19751" s="12"/>
      <c r="I19751" s="12"/>
      <c r="J19751" s="12"/>
      <c r="K19751" s="12"/>
      <c r="L19751" s="12"/>
      <c r="M19751" s="11"/>
      <c r="N19751" s="11"/>
      <c r="O19751" s="11"/>
      <c r="P19751" s="11"/>
    </row>
    <row r="19752" spans="8:16" x14ac:dyDescent="0.25">
      <c r="H19752" s="12"/>
      <c r="I19752" s="12"/>
      <c r="J19752" s="12"/>
      <c r="K19752" s="12"/>
      <c r="L19752" s="12"/>
      <c r="M19752" s="11"/>
      <c r="N19752" s="11"/>
      <c r="O19752" s="11"/>
      <c r="P19752" s="11"/>
    </row>
    <row r="19753" spans="8:16" x14ac:dyDescent="0.25">
      <c r="H19753" s="12"/>
      <c r="I19753" s="12"/>
      <c r="J19753" s="12"/>
      <c r="K19753" s="12"/>
      <c r="L19753" s="12"/>
      <c r="M19753" s="11"/>
      <c r="N19753" s="11"/>
      <c r="O19753" s="11"/>
      <c r="P19753" s="11"/>
    </row>
    <row r="19754" spans="8:16" x14ac:dyDescent="0.25">
      <c r="H19754" s="12"/>
      <c r="I19754" s="12"/>
      <c r="J19754" s="12"/>
      <c r="K19754" s="12"/>
      <c r="L19754" s="12"/>
      <c r="M19754" s="11"/>
      <c r="N19754" s="11"/>
      <c r="O19754" s="11"/>
      <c r="P19754" s="11"/>
    </row>
    <row r="19755" spans="8:16" x14ac:dyDescent="0.25">
      <c r="H19755" s="12"/>
      <c r="I19755" s="12"/>
      <c r="J19755" s="12"/>
      <c r="K19755" s="12"/>
      <c r="L19755" s="12"/>
      <c r="M19755" s="11"/>
      <c r="N19755" s="11"/>
      <c r="O19755" s="11"/>
      <c r="P19755" s="11"/>
    </row>
    <row r="19756" spans="8:16" x14ac:dyDescent="0.25">
      <c r="H19756" s="12"/>
      <c r="I19756" s="12"/>
      <c r="J19756" s="12"/>
      <c r="K19756" s="12"/>
      <c r="L19756" s="12"/>
      <c r="M19756" s="11"/>
      <c r="N19756" s="11"/>
      <c r="O19756" s="11"/>
      <c r="P19756" s="11"/>
    </row>
    <row r="19757" spans="8:16" x14ac:dyDescent="0.25">
      <c r="H19757" s="12"/>
      <c r="I19757" s="12"/>
      <c r="J19757" s="12"/>
      <c r="K19757" s="12"/>
      <c r="L19757" s="12"/>
      <c r="M19757" s="11"/>
      <c r="N19757" s="11"/>
      <c r="O19757" s="11"/>
      <c r="P19757" s="11"/>
    </row>
    <row r="19758" spans="8:16" x14ac:dyDescent="0.25">
      <c r="H19758" s="12"/>
      <c r="I19758" s="12"/>
      <c r="J19758" s="12"/>
      <c r="K19758" s="12"/>
      <c r="L19758" s="12"/>
      <c r="M19758" s="11"/>
      <c r="N19758" s="11"/>
      <c r="O19758" s="11"/>
      <c r="P19758" s="11"/>
    </row>
    <row r="19759" spans="8:16" x14ac:dyDescent="0.25">
      <c r="H19759" s="12"/>
      <c r="I19759" s="12"/>
      <c r="J19759" s="12"/>
      <c r="K19759" s="12"/>
      <c r="L19759" s="12"/>
      <c r="M19759" s="11"/>
      <c r="N19759" s="11"/>
      <c r="O19759" s="11"/>
      <c r="P19759" s="11"/>
    </row>
    <row r="19760" spans="8:16" x14ac:dyDescent="0.25">
      <c r="H19760" s="12"/>
      <c r="I19760" s="12"/>
      <c r="J19760" s="12"/>
      <c r="K19760" s="12"/>
      <c r="L19760" s="12"/>
      <c r="M19760" s="11"/>
      <c r="N19760" s="11"/>
      <c r="O19760" s="11"/>
      <c r="P19760" s="11"/>
    </row>
    <row r="19761" spans="8:16" x14ac:dyDescent="0.25">
      <c r="H19761" s="12"/>
      <c r="I19761" s="12"/>
      <c r="J19761" s="12"/>
      <c r="K19761" s="12"/>
      <c r="L19761" s="12"/>
      <c r="M19761" s="11"/>
      <c r="N19761" s="11"/>
      <c r="O19761" s="11"/>
      <c r="P19761" s="11"/>
    </row>
    <row r="19762" spans="8:16" x14ac:dyDescent="0.25">
      <c r="H19762" s="12"/>
      <c r="I19762" s="12"/>
      <c r="J19762" s="12"/>
      <c r="K19762" s="12"/>
      <c r="L19762" s="12"/>
      <c r="M19762" s="11"/>
      <c r="N19762" s="11"/>
      <c r="O19762" s="11"/>
      <c r="P19762" s="11"/>
    </row>
    <row r="19763" spans="8:16" x14ac:dyDescent="0.25">
      <c r="H19763" s="12"/>
      <c r="I19763" s="12"/>
      <c r="J19763" s="12"/>
      <c r="K19763" s="12"/>
      <c r="L19763" s="12"/>
      <c r="M19763" s="11"/>
      <c r="N19763" s="11"/>
      <c r="O19763" s="11"/>
      <c r="P19763" s="11"/>
    </row>
    <row r="19764" spans="8:16" x14ac:dyDescent="0.25">
      <c r="H19764" s="12"/>
      <c r="I19764" s="12"/>
      <c r="J19764" s="12"/>
      <c r="K19764" s="12"/>
      <c r="L19764" s="12"/>
      <c r="M19764" s="11"/>
      <c r="N19764" s="11"/>
      <c r="O19764" s="11"/>
      <c r="P19764" s="11"/>
    </row>
    <row r="19765" spans="8:16" x14ac:dyDescent="0.25">
      <c r="H19765" s="12"/>
      <c r="I19765" s="12"/>
      <c r="J19765" s="12"/>
      <c r="K19765" s="12"/>
      <c r="L19765" s="12"/>
      <c r="M19765" s="11"/>
      <c r="N19765" s="11"/>
      <c r="O19765" s="11"/>
      <c r="P19765" s="11"/>
    </row>
    <row r="19766" spans="8:16" x14ac:dyDescent="0.25">
      <c r="H19766" s="12"/>
      <c r="I19766" s="12"/>
      <c r="J19766" s="12"/>
      <c r="K19766" s="12"/>
      <c r="L19766" s="12"/>
      <c r="M19766" s="11"/>
      <c r="N19766" s="11"/>
      <c r="O19766" s="11"/>
      <c r="P19766" s="11"/>
    </row>
    <row r="19767" spans="8:16" x14ac:dyDescent="0.25">
      <c r="H19767" s="12"/>
      <c r="I19767" s="12"/>
      <c r="J19767" s="12"/>
      <c r="K19767" s="12"/>
      <c r="L19767" s="12"/>
      <c r="M19767" s="11"/>
      <c r="N19767" s="11"/>
      <c r="O19767" s="11"/>
      <c r="P19767" s="11"/>
    </row>
    <row r="19768" spans="8:16" x14ac:dyDescent="0.25">
      <c r="H19768" s="12"/>
      <c r="I19768" s="12"/>
      <c r="J19768" s="12"/>
      <c r="K19768" s="12"/>
      <c r="L19768" s="12"/>
      <c r="M19768" s="11"/>
      <c r="N19768" s="11"/>
      <c r="O19768" s="11"/>
      <c r="P19768" s="11"/>
    </row>
    <row r="19769" spans="8:16" x14ac:dyDescent="0.25">
      <c r="H19769" s="12"/>
      <c r="I19769" s="12"/>
      <c r="J19769" s="12"/>
      <c r="K19769" s="12"/>
      <c r="L19769" s="12"/>
      <c r="M19769" s="11"/>
      <c r="N19769" s="11"/>
      <c r="O19769" s="11"/>
      <c r="P19769" s="11"/>
    </row>
    <row r="19770" spans="8:16" x14ac:dyDescent="0.25">
      <c r="H19770" s="12"/>
      <c r="I19770" s="12"/>
      <c r="J19770" s="12"/>
      <c r="K19770" s="12"/>
      <c r="L19770" s="12"/>
      <c r="M19770" s="11"/>
      <c r="N19770" s="11"/>
      <c r="O19770" s="11"/>
      <c r="P19770" s="11"/>
    </row>
    <row r="19771" spans="8:16" x14ac:dyDescent="0.25">
      <c r="H19771" s="12"/>
      <c r="I19771" s="12"/>
      <c r="J19771" s="12"/>
      <c r="K19771" s="12"/>
      <c r="L19771" s="12"/>
      <c r="M19771" s="11"/>
      <c r="N19771" s="11"/>
      <c r="O19771" s="11"/>
      <c r="P19771" s="11"/>
    </row>
    <row r="19772" spans="8:16" x14ac:dyDescent="0.25">
      <c r="H19772" s="12"/>
      <c r="I19772" s="12"/>
      <c r="J19772" s="12"/>
      <c r="K19772" s="12"/>
      <c r="L19772" s="12"/>
      <c r="M19772" s="11"/>
      <c r="N19772" s="11"/>
      <c r="O19772" s="11"/>
      <c r="P19772" s="11"/>
    </row>
    <row r="19773" spans="8:16" x14ac:dyDescent="0.25">
      <c r="H19773" s="12"/>
      <c r="I19773" s="12"/>
      <c r="J19773" s="12"/>
      <c r="K19773" s="12"/>
      <c r="L19773" s="12"/>
      <c r="M19773" s="11"/>
      <c r="N19773" s="11"/>
      <c r="O19773" s="11"/>
      <c r="P19773" s="11"/>
    </row>
    <row r="19774" spans="8:16" x14ac:dyDescent="0.25">
      <c r="H19774" s="12"/>
      <c r="I19774" s="12"/>
      <c r="J19774" s="12"/>
      <c r="K19774" s="12"/>
      <c r="L19774" s="12"/>
      <c r="M19774" s="11"/>
      <c r="N19774" s="11"/>
      <c r="O19774" s="11"/>
      <c r="P19774" s="11"/>
    </row>
    <row r="19775" spans="8:16" x14ac:dyDescent="0.25">
      <c r="H19775" s="12"/>
      <c r="I19775" s="12"/>
      <c r="J19775" s="12"/>
      <c r="K19775" s="12"/>
      <c r="L19775" s="12"/>
      <c r="M19775" s="11"/>
      <c r="N19775" s="11"/>
      <c r="O19775" s="11"/>
      <c r="P19775" s="11"/>
    </row>
    <row r="19776" spans="8:16" x14ac:dyDescent="0.25">
      <c r="H19776" s="12"/>
      <c r="I19776" s="12"/>
      <c r="J19776" s="12"/>
      <c r="K19776" s="12"/>
      <c r="L19776" s="12"/>
      <c r="M19776" s="11"/>
      <c r="N19776" s="11"/>
      <c r="O19776" s="11"/>
      <c r="P19776" s="11"/>
    </row>
    <row r="19777" spans="8:16" x14ac:dyDescent="0.25">
      <c r="H19777" s="12"/>
      <c r="I19777" s="12"/>
      <c r="J19777" s="12"/>
      <c r="K19777" s="12"/>
      <c r="L19777" s="12"/>
      <c r="M19777" s="11"/>
      <c r="N19777" s="11"/>
      <c r="O19777" s="11"/>
      <c r="P19777" s="11"/>
    </row>
    <row r="19778" spans="8:16" x14ac:dyDescent="0.25">
      <c r="H19778" s="12"/>
      <c r="I19778" s="12"/>
      <c r="J19778" s="12"/>
      <c r="K19778" s="12"/>
      <c r="L19778" s="12"/>
      <c r="M19778" s="11"/>
      <c r="N19778" s="11"/>
      <c r="O19778" s="11"/>
      <c r="P19778" s="11"/>
    </row>
    <row r="19779" spans="8:16" x14ac:dyDescent="0.25">
      <c r="H19779" s="12"/>
      <c r="I19779" s="12"/>
      <c r="J19779" s="12"/>
      <c r="K19779" s="12"/>
      <c r="L19779" s="12"/>
      <c r="M19779" s="11"/>
      <c r="N19779" s="11"/>
      <c r="O19779" s="11"/>
      <c r="P19779" s="11"/>
    </row>
    <row r="19780" spans="8:16" x14ac:dyDescent="0.25">
      <c r="H19780" s="12"/>
      <c r="I19780" s="12"/>
      <c r="J19780" s="12"/>
      <c r="K19780" s="12"/>
      <c r="L19780" s="12"/>
      <c r="M19780" s="11"/>
      <c r="N19780" s="11"/>
      <c r="O19780" s="11"/>
      <c r="P19780" s="11"/>
    </row>
    <row r="19781" spans="8:16" x14ac:dyDescent="0.25">
      <c r="H19781" s="12"/>
      <c r="I19781" s="12"/>
      <c r="J19781" s="12"/>
      <c r="K19781" s="12"/>
      <c r="L19781" s="12"/>
      <c r="M19781" s="11"/>
      <c r="N19781" s="11"/>
      <c r="O19781" s="11"/>
      <c r="P19781" s="11"/>
    </row>
    <row r="19782" spans="8:16" x14ac:dyDescent="0.25">
      <c r="H19782" s="12"/>
      <c r="I19782" s="12"/>
      <c r="J19782" s="12"/>
      <c r="K19782" s="12"/>
      <c r="L19782" s="12"/>
      <c r="M19782" s="11"/>
      <c r="N19782" s="11"/>
      <c r="O19782" s="11"/>
      <c r="P19782" s="11"/>
    </row>
    <row r="19783" spans="8:16" x14ac:dyDescent="0.25">
      <c r="H19783" s="12"/>
      <c r="I19783" s="12"/>
      <c r="J19783" s="12"/>
      <c r="K19783" s="12"/>
      <c r="L19783" s="12"/>
      <c r="M19783" s="11"/>
      <c r="N19783" s="11"/>
      <c r="O19783" s="11"/>
      <c r="P19783" s="11"/>
    </row>
    <row r="19784" spans="8:16" x14ac:dyDescent="0.25">
      <c r="H19784" s="12"/>
      <c r="I19784" s="12"/>
      <c r="J19784" s="12"/>
      <c r="K19784" s="12"/>
      <c r="L19784" s="12"/>
      <c r="M19784" s="11"/>
      <c r="N19784" s="11"/>
      <c r="O19784" s="11"/>
      <c r="P19784" s="11"/>
    </row>
    <row r="19785" spans="8:16" x14ac:dyDescent="0.25">
      <c r="H19785" s="12"/>
      <c r="I19785" s="12"/>
      <c r="J19785" s="12"/>
      <c r="K19785" s="12"/>
      <c r="L19785" s="12"/>
      <c r="M19785" s="11"/>
      <c r="N19785" s="11"/>
      <c r="O19785" s="11"/>
      <c r="P19785" s="11"/>
    </row>
    <row r="19786" spans="8:16" x14ac:dyDescent="0.25">
      <c r="H19786" s="12"/>
      <c r="I19786" s="12"/>
      <c r="J19786" s="12"/>
      <c r="K19786" s="12"/>
      <c r="L19786" s="12"/>
      <c r="M19786" s="11"/>
      <c r="N19786" s="11"/>
      <c r="O19786" s="11"/>
      <c r="P19786" s="11"/>
    </row>
    <row r="19787" spans="8:16" x14ac:dyDescent="0.25">
      <c r="H19787" s="12"/>
      <c r="I19787" s="12"/>
      <c r="J19787" s="12"/>
      <c r="K19787" s="12"/>
      <c r="L19787" s="12"/>
      <c r="M19787" s="11"/>
      <c r="N19787" s="11"/>
      <c r="O19787" s="11"/>
      <c r="P19787" s="11"/>
    </row>
    <row r="19788" spans="8:16" x14ac:dyDescent="0.25">
      <c r="H19788" s="12"/>
      <c r="I19788" s="12"/>
      <c r="J19788" s="12"/>
      <c r="K19788" s="12"/>
      <c r="L19788" s="12"/>
      <c r="M19788" s="11"/>
      <c r="N19788" s="11"/>
      <c r="O19788" s="11"/>
      <c r="P19788" s="11"/>
    </row>
    <row r="19789" spans="8:16" x14ac:dyDescent="0.25">
      <c r="H19789" s="12"/>
      <c r="I19789" s="12"/>
      <c r="J19789" s="12"/>
      <c r="K19789" s="12"/>
      <c r="L19789" s="12"/>
      <c r="M19789" s="11"/>
      <c r="N19789" s="11"/>
      <c r="O19789" s="11"/>
      <c r="P19789" s="11"/>
    </row>
    <row r="19790" spans="8:16" x14ac:dyDescent="0.25">
      <c r="H19790" s="12"/>
      <c r="I19790" s="12"/>
      <c r="J19790" s="12"/>
      <c r="K19790" s="12"/>
      <c r="L19790" s="12"/>
      <c r="M19790" s="11"/>
      <c r="N19790" s="11"/>
      <c r="O19790" s="11"/>
      <c r="P19790" s="11"/>
    </row>
    <row r="19791" spans="8:16" x14ac:dyDescent="0.25">
      <c r="H19791" s="12"/>
      <c r="I19791" s="12"/>
      <c r="J19791" s="12"/>
      <c r="K19791" s="12"/>
      <c r="L19791" s="12"/>
      <c r="M19791" s="11"/>
      <c r="N19791" s="11"/>
      <c r="O19791" s="11"/>
      <c r="P19791" s="11"/>
    </row>
    <row r="19792" spans="8:16" x14ac:dyDescent="0.25">
      <c r="H19792" s="12"/>
      <c r="I19792" s="12"/>
      <c r="J19792" s="12"/>
      <c r="K19792" s="12"/>
      <c r="L19792" s="12"/>
      <c r="M19792" s="11"/>
      <c r="N19792" s="11"/>
      <c r="O19792" s="11"/>
      <c r="P19792" s="11"/>
    </row>
    <row r="19793" spans="8:16" x14ac:dyDescent="0.25">
      <c r="H19793" s="12"/>
      <c r="I19793" s="12"/>
      <c r="J19793" s="12"/>
      <c r="K19793" s="12"/>
      <c r="L19793" s="12"/>
      <c r="M19793" s="11"/>
      <c r="N19793" s="11"/>
      <c r="O19793" s="11"/>
      <c r="P19793" s="11"/>
    </row>
    <row r="19794" spans="8:16" x14ac:dyDescent="0.25">
      <c r="H19794" s="12"/>
      <c r="I19794" s="12"/>
      <c r="J19794" s="12"/>
      <c r="K19794" s="12"/>
      <c r="L19794" s="12"/>
      <c r="M19794" s="11"/>
      <c r="N19794" s="11"/>
      <c r="O19794" s="11"/>
      <c r="P19794" s="11"/>
    </row>
    <row r="19795" spans="8:16" x14ac:dyDescent="0.25">
      <c r="H19795" s="12"/>
      <c r="I19795" s="12"/>
      <c r="J19795" s="12"/>
      <c r="K19795" s="12"/>
      <c r="L19795" s="12"/>
      <c r="M19795" s="11"/>
      <c r="N19795" s="11"/>
      <c r="O19795" s="11"/>
      <c r="P19795" s="11"/>
    </row>
    <row r="19796" spans="8:16" x14ac:dyDescent="0.25">
      <c r="H19796" s="12"/>
      <c r="I19796" s="12"/>
      <c r="J19796" s="12"/>
      <c r="K19796" s="12"/>
      <c r="L19796" s="12"/>
      <c r="M19796" s="11"/>
      <c r="N19796" s="11"/>
      <c r="O19796" s="11"/>
      <c r="P19796" s="11"/>
    </row>
    <row r="19797" spans="8:16" x14ac:dyDescent="0.25">
      <c r="H19797" s="12"/>
      <c r="I19797" s="12"/>
      <c r="J19797" s="12"/>
      <c r="K19797" s="12"/>
      <c r="L19797" s="12"/>
      <c r="M19797" s="11"/>
      <c r="N19797" s="11"/>
      <c r="O19797" s="11"/>
      <c r="P19797" s="11"/>
    </row>
    <row r="19798" spans="8:16" x14ac:dyDescent="0.25">
      <c r="H19798" s="12"/>
      <c r="I19798" s="12"/>
      <c r="J19798" s="12"/>
      <c r="K19798" s="12"/>
      <c r="L19798" s="12"/>
      <c r="M19798" s="11"/>
      <c r="N19798" s="11"/>
      <c r="O19798" s="11"/>
      <c r="P19798" s="11"/>
    </row>
    <row r="19799" spans="8:16" x14ac:dyDescent="0.25">
      <c r="H19799" s="12"/>
      <c r="I19799" s="12"/>
      <c r="J19799" s="12"/>
      <c r="K19799" s="12"/>
      <c r="L19799" s="12"/>
      <c r="M19799" s="11"/>
      <c r="N19799" s="11"/>
      <c r="O19799" s="11"/>
      <c r="P19799" s="11"/>
    </row>
    <row r="19800" spans="8:16" x14ac:dyDescent="0.25">
      <c r="H19800" s="12"/>
      <c r="I19800" s="12"/>
      <c r="J19800" s="12"/>
      <c r="K19800" s="12"/>
      <c r="L19800" s="12"/>
      <c r="M19800" s="11"/>
      <c r="N19800" s="11"/>
      <c r="O19800" s="11"/>
      <c r="P19800" s="11"/>
    </row>
    <row r="19801" spans="8:16" x14ac:dyDescent="0.25">
      <c r="H19801" s="12"/>
      <c r="I19801" s="12"/>
      <c r="J19801" s="12"/>
      <c r="K19801" s="12"/>
      <c r="L19801" s="12"/>
      <c r="M19801" s="11"/>
      <c r="N19801" s="11"/>
      <c r="O19801" s="11"/>
      <c r="P19801" s="11"/>
    </row>
    <row r="19802" spans="8:16" x14ac:dyDescent="0.25">
      <c r="H19802" s="12"/>
      <c r="I19802" s="12"/>
      <c r="J19802" s="12"/>
      <c r="K19802" s="12"/>
      <c r="L19802" s="12"/>
      <c r="M19802" s="11"/>
      <c r="N19802" s="11"/>
      <c r="O19802" s="11"/>
      <c r="P19802" s="11"/>
    </row>
    <row r="19803" spans="8:16" x14ac:dyDescent="0.25">
      <c r="H19803" s="12"/>
      <c r="I19803" s="12"/>
      <c r="J19803" s="12"/>
      <c r="K19803" s="12"/>
      <c r="L19803" s="12"/>
      <c r="M19803" s="11"/>
      <c r="N19803" s="11"/>
      <c r="O19803" s="11"/>
      <c r="P19803" s="11"/>
    </row>
    <row r="19804" spans="8:16" x14ac:dyDescent="0.25">
      <c r="H19804" s="12"/>
      <c r="I19804" s="12"/>
      <c r="J19804" s="12"/>
      <c r="K19804" s="12"/>
      <c r="L19804" s="12"/>
      <c r="M19804" s="11"/>
      <c r="N19804" s="11"/>
      <c r="O19804" s="11"/>
      <c r="P19804" s="11"/>
    </row>
    <row r="19805" spans="8:16" x14ac:dyDescent="0.25">
      <c r="H19805" s="12"/>
      <c r="I19805" s="12"/>
      <c r="J19805" s="12"/>
      <c r="K19805" s="12"/>
      <c r="L19805" s="12"/>
      <c r="M19805" s="11"/>
      <c r="N19805" s="11"/>
      <c r="O19805" s="11"/>
      <c r="P19805" s="11"/>
    </row>
    <row r="19806" spans="8:16" x14ac:dyDescent="0.25">
      <c r="H19806" s="12"/>
      <c r="I19806" s="12"/>
      <c r="J19806" s="12"/>
      <c r="K19806" s="12"/>
      <c r="L19806" s="12"/>
      <c r="M19806" s="11"/>
      <c r="N19806" s="11"/>
      <c r="O19806" s="11"/>
      <c r="P19806" s="11"/>
    </row>
    <row r="19807" spans="8:16" x14ac:dyDescent="0.25">
      <c r="H19807" s="12"/>
      <c r="I19807" s="12"/>
      <c r="J19807" s="12"/>
      <c r="K19807" s="12"/>
      <c r="L19807" s="12"/>
      <c r="M19807" s="11"/>
      <c r="N19807" s="11"/>
      <c r="O19807" s="11"/>
      <c r="P19807" s="11"/>
    </row>
    <row r="19808" spans="8:16" x14ac:dyDescent="0.25">
      <c r="H19808" s="12"/>
      <c r="I19808" s="12"/>
      <c r="J19808" s="12"/>
      <c r="K19808" s="12"/>
      <c r="L19808" s="12"/>
      <c r="M19808" s="11"/>
      <c r="N19808" s="11"/>
      <c r="O19808" s="11"/>
      <c r="P19808" s="11"/>
    </row>
    <row r="19809" spans="8:16" x14ac:dyDescent="0.25">
      <c r="H19809" s="12"/>
      <c r="I19809" s="12"/>
      <c r="J19809" s="12"/>
      <c r="K19809" s="12"/>
      <c r="L19809" s="12"/>
      <c r="M19809" s="11"/>
      <c r="N19809" s="11"/>
      <c r="O19809" s="11"/>
      <c r="P19809" s="11"/>
    </row>
    <row r="19810" spans="8:16" x14ac:dyDescent="0.25">
      <c r="H19810" s="12"/>
      <c r="I19810" s="12"/>
      <c r="J19810" s="12"/>
      <c r="K19810" s="12"/>
      <c r="L19810" s="12"/>
      <c r="M19810" s="11"/>
      <c r="N19810" s="11"/>
      <c r="O19810" s="11"/>
      <c r="P19810" s="11"/>
    </row>
    <row r="19811" spans="8:16" x14ac:dyDescent="0.25">
      <c r="H19811" s="12"/>
      <c r="I19811" s="12"/>
      <c r="J19811" s="12"/>
      <c r="K19811" s="12"/>
      <c r="L19811" s="12"/>
      <c r="M19811" s="11"/>
      <c r="N19811" s="11"/>
      <c r="O19811" s="11"/>
      <c r="P19811" s="11"/>
    </row>
    <row r="19812" spans="8:16" x14ac:dyDescent="0.25">
      <c r="H19812" s="12"/>
      <c r="I19812" s="12"/>
      <c r="J19812" s="12"/>
      <c r="K19812" s="12"/>
      <c r="L19812" s="12"/>
      <c r="M19812" s="11"/>
      <c r="N19812" s="11"/>
      <c r="O19812" s="11"/>
      <c r="P19812" s="11"/>
    </row>
    <row r="19813" spans="8:16" x14ac:dyDescent="0.25">
      <c r="H19813" s="12"/>
      <c r="I19813" s="12"/>
      <c r="J19813" s="12"/>
      <c r="K19813" s="12"/>
      <c r="L19813" s="12"/>
      <c r="M19813" s="11"/>
      <c r="N19813" s="11"/>
      <c r="O19813" s="11"/>
      <c r="P19813" s="11"/>
    </row>
    <row r="19814" spans="8:16" x14ac:dyDescent="0.25">
      <c r="H19814" s="12"/>
      <c r="I19814" s="12"/>
      <c r="J19814" s="12"/>
      <c r="K19814" s="12"/>
      <c r="L19814" s="12"/>
      <c r="M19814" s="11"/>
      <c r="N19814" s="11"/>
      <c r="O19814" s="11"/>
      <c r="P19814" s="11"/>
    </row>
    <row r="19815" spans="8:16" x14ac:dyDescent="0.25">
      <c r="H19815" s="12"/>
      <c r="I19815" s="12"/>
      <c r="J19815" s="12"/>
      <c r="K19815" s="12"/>
      <c r="L19815" s="12"/>
      <c r="M19815" s="11"/>
      <c r="N19815" s="11"/>
      <c r="O19815" s="11"/>
      <c r="P19815" s="11"/>
    </row>
    <row r="19816" spans="8:16" x14ac:dyDescent="0.25">
      <c r="H19816" s="12"/>
      <c r="I19816" s="12"/>
      <c r="J19816" s="12"/>
      <c r="K19816" s="12"/>
      <c r="L19816" s="12"/>
      <c r="M19816" s="11"/>
      <c r="N19816" s="11"/>
      <c r="O19816" s="11"/>
      <c r="P19816" s="11"/>
    </row>
    <row r="19817" spans="8:16" x14ac:dyDescent="0.25">
      <c r="H19817" s="12"/>
      <c r="I19817" s="12"/>
      <c r="J19817" s="12"/>
      <c r="K19817" s="12"/>
      <c r="L19817" s="12"/>
      <c r="M19817" s="11"/>
      <c r="N19817" s="11"/>
      <c r="O19817" s="11"/>
      <c r="P19817" s="11"/>
    </row>
    <row r="19818" spans="8:16" x14ac:dyDescent="0.25">
      <c r="H19818" s="12"/>
      <c r="I19818" s="12"/>
      <c r="J19818" s="12"/>
      <c r="K19818" s="12"/>
      <c r="L19818" s="12"/>
      <c r="M19818" s="11"/>
      <c r="N19818" s="11"/>
      <c r="O19818" s="11"/>
      <c r="P19818" s="11"/>
    </row>
    <row r="19819" spans="8:16" x14ac:dyDescent="0.25">
      <c r="H19819" s="12"/>
      <c r="I19819" s="12"/>
      <c r="J19819" s="12"/>
      <c r="K19819" s="12"/>
      <c r="L19819" s="12"/>
      <c r="M19819" s="11"/>
      <c r="N19819" s="11"/>
      <c r="O19819" s="11"/>
      <c r="P19819" s="11"/>
    </row>
    <row r="19820" spans="8:16" x14ac:dyDescent="0.25">
      <c r="H19820" s="12"/>
      <c r="I19820" s="12"/>
      <c r="J19820" s="12"/>
      <c r="K19820" s="12"/>
      <c r="L19820" s="12"/>
      <c r="M19820" s="11"/>
      <c r="N19820" s="11"/>
      <c r="O19820" s="11"/>
      <c r="P19820" s="11"/>
    </row>
    <row r="19821" spans="8:16" x14ac:dyDescent="0.25">
      <c r="H19821" s="12"/>
      <c r="I19821" s="12"/>
      <c r="J19821" s="12"/>
      <c r="K19821" s="12"/>
      <c r="L19821" s="12"/>
      <c r="M19821" s="11"/>
      <c r="N19821" s="11"/>
      <c r="O19821" s="11"/>
      <c r="P19821" s="11"/>
    </row>
    <row r="19822" spans="8:16" x14ac:dyDescent="0.25">
      <c r="H19822" s="12"/>
      <c r="I19822" s="12"/>
      <c r="J19822" s="12"/>
      <c r="K19822" s="12"/>
      <c r="L19822" s="12"/>
      <c r="M19822" s="11"/>
      <c r="N19822" s="11"/>
      <c r="O19822" s="11"/>
      <c r="P19822" s="11"/>
    </row>
    <row r="19823" spans="8:16" x14ac:dyDescent="0.25">
      <c r="H19823" s="12"/>
      <c r="I19823" s="12"/>
      <c r="J19823" s="12"/>
      <c r="K19823" s="12"/>
      <c r="L19823" s="12"/>
      <c r="M19823" s="11"/>
      <c r="N19823" s="11"/>
      <c r="O19823" s="11"/>
      <c r="P19823" s="11"/>
    </row>
    <row r="19824" spans="8:16" x14ac:dyDescent="0.25">
      <c r="H19824" s="12"/>
      <c r="I19824" s="12"/>
      <c r="J19824" s="12"/>
      <c r="K19824" s="12"/>
      <c r="L19824" s="12"/>
      <c r="M19824" s="11"/>
      <c r="N19824" s="11"/>
      <c r="O19824" s="11"/>
      <c r="P19824" s="11"/>
    </row>
    <row r="19825" spans="8:16" x14ac:dyDescent="0.25">
      <c r="H19825" s="12"/>
      <c r="I19825" s="12"/>
      <c r="J19825" s="12"/>
      <c r="K19825" s="12"/>
      <c r="L19825" s="12"/>
      <c r="M19825" s="11"/>
      <c r="N19825" s="11"/>
      <c r="O19825" s="11"/>
      <c r="P19825" s="11"/>
    </row>
    <row r="19826" spans="8:16" x14ac:dyDescent="0.25">
      <c r="H19826" s="12"/>
      <c r="I19826" s="12"/>
      <c r="J19826" s="12"/>
      <c r="K19826" s="12"/>
      <c r="L19826" s="12"/>
      <c r="M19826" s="11"/>
      <c r="N19826" s="11"/>
      <c r="O19826" s="11"/>
      <c r="P19826" s="11"/>
    </row>
    <row r="19827" spans="8:16" x14ac:dyDescent="0.25">
      <c r="H19827" s="12"/>
      <c r="I19827" s="12"/>
      <c r="J19827" s="12"/>
      <c r="K19827" s="12"/>
      <c r="L19827" s="12"/>
      <c r="M19827" s="11"/>
      <c r="N19827" s="11"/>
      <c r="O19827" s="11"/>
      <c r="P19827" s="11"/>
    </row>
    <row r="19828" spans="8:16" x14ac:dyDescent="0.25">
      <c r="H19828" s="12"/>
      <c r="I19828" s="12"/>
      <c r="J19828" s="12"/>
      <c r="K19828" s="12"/>
      <c r="L19828" s="12"/>
      <c r="M19828" s="11"/>
      <c r="N19828" s="11"/>
      <c r="O19828" s="11"/>
      <c r="P19828" s="11"/>
    </row>
    <row r="19829" spans="8:16" x14ac:dyDescent="0.25">
      <c r="H19829" s="12"/>
      <c r="I19829" s="12"/>
      <c r="J19829" s="12"/>
      <c r="K19829" s="12"/>
      <c r="L19829" s="12"/>
      <c r="M19829" s="11"/>
      <c r="N19829" s="11"/>
      <c r="O19829" s="11"/>
      <c r="P19829" s="11"/>
    </row>
    <row r="19830" spans="8:16" x14ac:dyDescent="0.25">
      <c r="H19830" s="12"/>
      <c r="I19830" s="12"/>
      <c r="J19830" s="12"/>
      <c r="K19830" s="12"/>
      <c r="L19830" s="12"/>
      <c r="M19830" s="11"/>
      <c r="N19830" s="11"/>
      <c r="O19830" s="11"/>
      <c r="P19830" s="11"/>
    </row>
    <row r="19831" spans="8:16" x14ac:dyDescent="0.25">
      <c r="H19831" s="12"/>
      <c r="I19831" s="12"/>
      <c r="J19831" s="12"/>
      <c r="K19831" s="12"/>
      <c r="L19831" s="12"/>
      <c r="M19831" s="11"/>
      <c r="N19831" s="11"/>
      <c r="O19831" s="11"/>
      <c r="P19831" s="11"/>
    </row>
    <row r="19832" spans="8:16" x14ac:dyDescent="0.25">
      <c r="H19832" s="12"/>
      <c r="I19832" s="12"/>
      <c r="J19832" s="12"/>
      <c r="K19832" s="12"/>
      <c r="L19832" s="12"/>
      <c r="M19832" s="11"/>
      <c r="N19832" s="11"/>
      <c r="O19832" s="11"/>
      <c r="P19832" s="11"/>
    </row>
    <row r="19833" spans="8:16" x14ac:dyDescent="0.25">
      <c r="H19833" s="12"/>
      <c r="I19833" s="12"/>
      <c r="J19833" s="12"/>
      <c r="K19833" s="12"/>
      <c r="L19833" s="12"/>
      <c r="M19833" s="11"/>
      <c r="N19833" s="11"/>
      <c r="O19833" s="11"/>
      <c r="P19833" s="11"/>
    </row>
    <row r="19834" spans="8:16" x14ac:dyDescent="0.25">
      <c r="H19834" s="12"/>
      <c r="I19834" s="12"/>
      <c r="J19834" s="12"/>
      <c r="K19834" s="12"/>
      <c r="L19834" s="12"/>
      <c r="M19834" s="11"/>
      <c r="N19834" s="11"/>
      <c r="O19834" s="11"/>
      <c r="P19834" s="11"/>
    </row>
    <row r="19835" spans="8:16" x14ac:dyDescent="0.25">
      <c r="H19835" s="12"/>
      <c r="I19835" s="12"/>
      <c r="J19835" s="12"/>
      <c r="K19835" s="12"/>
      <c r="L19835" s="12"/>
      <c r="M19835" s="11"/>
      <c r="N19835" s="11"/>
      <c r="O19835" s="11"/>
      <c r="P19835" s="11"/>
    </row>
    <row r="19836" spans="8:16" x14ac:dyDescent="0.25">
      <c r="H19836" s="12"/>
      <c r="I19836" s="12"/>
      <c r="J19836" s="12"/>
      <c r="K19836" s="12"/>
      <c r="L19836" s="12"/>
      <c r="M19836" s="11"/>
      <c r="N19836" s="11"/>
      <c r="O19836" s="11"/>
      <c r="P19836" s="11"/>
    </row>
    <row r="19837" spans="8:16" x14ac:dyDescent="0.25">
      <c r="H19837" s="12"/>
      <c r="I19837" s="12"/>
      <c r="J19837" s="12"/>
      <c r="K19837" s="12"/>
      <c r="L19837" s="12"/>
      <c r="M19837" s="11"/>
      <c r="N19837" s="11"/>
      <c r="O19837" s="11"/>
      <c r="P19837" s="11"/>
    </row>
    <row r="19838" spans="8:16" x14ac:dyDescent="0.25">
      <c r="H19838" s="12"/>
      <c r="I19838" s="12"/>
      <c r="J19838" s="12"/>
      <c r="K19838" s="12"/>
      <c r="L19838" s="12"/>
      <c r="M19838" s="11"/>
      <c r="N19838" s="11"/>
      <c r="O19838" s="11"/>
      <c r="P19838" s="11"/>
    </row>
    <row r="19839" spans="8:16" x14ac:dyDescent="0.25">
      <c r="H19839" s="12"/>
      <c r="I19839" s="12"/>
      <c r="J19839" s="12"/>
      <c r="K19839" s="12"/>
      <c r="L19839" s="12"/>
      <c r="M19839" s="11"/>
      <c r="N19839" s="11"/>
      <c r="O19839" s="11"/>
      <c r="P19839" s="11"/>
    </row>
    <row r="19840" spans="8:16" x14ac:dyDescent="0.25">
      <c r="H19840" s="12"/>
      <c r="I19840" s="12"/>
      <c r="J19840" s="12"/>
      <c r="K19840" s="12"/>
      <c r="L19840" s="12"/>
      <c r="M19840" s="11"/>
      <c r="N19840" s="11"/>
      <c r="O19840" s="11"/>
      <c r="P19840" s="11"/>
    </row>
    <row r="19841" spans="8:16" x14ac:dyDescent="0.25">
      <c r="H19841" s="12"/>
      <c r="I19841" s="12"/>
      <c r="J19841" s="12"/>
      <c r="K19841" s="12"/>
      <c r="L19841" s="12"/>
      <c r="M19841" s="11"/>
      <c r="N19841" s="11"/>
      <c r="O19841" s="11"/>
      <c r="P19841" s="11"/>
    </row>
    <row r="19842" spans="8:16" x14ac:dyDescent="0.25">
      <c r="H19842" s="12"/>
      <c r="I19842" s="12"/>
      <c r="J19842" s="12"/>
      <c r="K19842" s="12"/>
      <c r="L19842" s="12"/>
      <c r="M19842" s="11"/>
      <c r="N19842" s="11"/>
      <c r="O19842" s="11"/>
      <c r="P19842" s="11"/>
    </row>
    <row r="19843" spans="8:16" x14ac:dyDescent="0.25">
      <c r="H19843" s="12"/>
      <c r="I19843" s="12"/>
      <c r="J19843" s="12"/>
      <c r="K19843" s="12"/>
      <c r="L19843" s="12"/>
      <c r="M19843" s="11"/>
      <c r="N19843" s="11"/>
      <c r="O19843" s="11"/>
      <c r="P19843" s="11"/>
    </row>
    <row r="19844" spans="8:16" x14ac:dyDescent="0.25">
      <c r="H19844" s="12"/>
      <c r="I19844" s="12"/>
      <c r="J19844" s="12"/>
      <c r="K19844" s="12"/>
      <c r="L19844" s="12"/>
      <c r="M19844" s="11"/>
      <c r="N19844" s="11"/>
      <c r="O19844" s="11"/>
      <c r="P19844" s="11"/>
    </row>
    <row r="19845" spans="8:16" x14ac:dyDescent="0.25">
      <c r="H19845" s="12"/>
      <c r="I19845" s="12"/>
      <c r="J19845" s="12"/>
      <c r="K19845" s="12"/>
      <c r="L19845" s="12"/>
      <c r="M19845" s="11"/>
      <c r="N19845" s="11"/>
      <c r="O19845" s="11"/>
      <c r="P19845" s="11"/>
    </row>
    <row r="19846" spans="8:16" x14ac:dyDescent="0.25">
      <c r="H19846" s="12"/>
      <c r="I19846" s="12"/>
      <c r="J19846" s="12"/>
      <c r="K19846" s="12"/>
      <c r="L19846" s="12"/>
      <c r="M19846" s="11"/>
      <c r="N19846" s="11"/>
      <c r="O19846" s="11"/>
      <c r="P19846" s="11"/>
    </row>
    <row r="19847" spans="8:16" x14ac:dyDescent="0.25">
      <c r="H19847" s="12"/>
      <c r="I19847" s="12"/>
      <c r="J19847" s="12"/>
      <c r="K19847" s="12"/>
      <c r="L19847" s="12"/>
      <c r="M19847" s="11"/>
      <c r="N19847" s="11"/>
      <c r="O19847" s="11"/>
      <c r="P19847" s="11"/>
    </row>
    <row r="19848" spans="8:16" x14ac:dyDescent="0.25">
      <c r="H19848" s="12"/>
      <c r="I19848" s="12"/>
      <c r="J19848" s="12"/>
      <c r="K19848" s="12"/>
      <c r="L19848" s="12"/>
      <c r="M19848" s="11"/>
      <c r="N19848" s="11"/>
      <c r="O19848" s="11"/>
      <c r="P19848" s="11"/>
    </row>
    <row r="19849" spans="8:16" x14ac:dyDescent="0.25">
      <c r="H19849" s="12"/>
      <c r="I19849" s="12"/>
      <c r="J19849" s="12"/>
      <c r="K19849" s="12"/>
      <c r="L19849" s="12"/>
      <c r="M19849" s="11"/>
      <c r="N19849" s="11"/>
      <c r="O19849" s="11"/>
      <c r="P19849" s="11"/>
    </row>
    <row r="19850" spans="8:16" x14ac:dyDescent="0.25">
      <c r="H19850" s="12"/>
      <c r="I19850" s="12"/>
      <c r="J19850" s="12"/>
      <c r="K19850" s="12"/>
      <c r="L19850" s="12"/>
      <c r="M19850" s="11"/>
      <c r="N19850" s="11"/>
      <c r="O19850" s="11"/>
      <c r="P19850" s="11"/>
    </row>
    <row r="19851" spans="8:16" x14ac:dyDescent="0.25">
      <c r="H19851" s="12"/>
      <c r="I19851" s="12"/>
      <c r="J19851" s="12"/>
      <c r="K19851" s="12"/>
      <c r="L19851" s="12"/>
      <c r="M19851" s="11"/>
      <c r="N19851" s="11"/>
      <c r="O19851" s="11"/>
      <c r="P19851" s="11"/>
    </row>
    <row r="19852" spans="8:16" x14ac:dyDescent="0.25">
      <c r="H19852" s="12"/>
      <c r="I19852" s="12"/>
      <c r="J19852" s="12"/>
      <c r="K19852" s="12"/>
      <c r="L19852" s="12"/>
      <c r="M19852" s="11"/>
      <c r="N19852" s="11"/>
      <c r="O19852" s="11"/>
      <c r="P19852" s="11"/>
    </row>
    <row r="19853" spans="8:16" x14ac:dyDescent="0.25">
      <c r="H19853" s="12"/>
      <c r="I19853" s="12"/>
      <c r="J19853" s="12"/>
      <c r="K19853" s="12"/>
      <c r="L19853" s="12"/>
      <c r="M19853" s="11"/>
      <c r="N19853" s="11"/>
      <c r="O19853" s="11"/>
      <c r="P19853" s="11"/>
    </row>
    <row r="19854" spans="8:16" x14ac:dyDescent="0.25">
      <c r="H19854" s="12"/>
      <c r="I19854" s="12"/>
      <c r="J19854" s="12"/>
      <c r="K19854" s="12"/>
      <c r="L19854" s="12"/>
      <c r="M19854" s="11"/>
      <c r="N19854" s="11"/>
      <c r="O19854" s="11"/>
      <c r="P19854" s="11"/>
    </row>
    <row r="19855" spans="8:16" x14ac:dyDescent="0.25">
      <c r="H19855" s="12"/>
      <c r="I19855" s="12"/>
      <c r="J19855" s="12"/>
      <c r="K19855" s="12"/>
      <c r="L19855" s="12"/>
      <c r="M19855" s="11"/>
      <c r="N19855" s="11"/>
      <c r="O19855" s="11"/>
      <c r="P19855" s="11"/>
    </row>
    <row r="19856" spans="8:16" x14ac:dyDescent="0.25">
      <c r="H19856" s="12"/>
      <c r="I19856" s="12"/>
      <c r="J19856" s="12"/>
      <c r="K19856" s="12"/>
      <c r="L19856" s="12"/>
      <c r="M19856" s="11"/>
      <c r="N19856" s="11"/>
      <c r="O19856" s="11"/>
      <c r="P19856" s="11"/>
    </row>
    <row r="19857" spans="8:16" x14ac:dyDescent="0.25">
      <c r="H19857" s="12"/>
      <c r="I19857" s="12"/>
      <c r="J19857" s="12"/>
      <c r="K19857" s="12"/>
      <c r="L19857" s="12"/>
      <c r="M19857" s="11"/>
      <c r="N19857" s="11"/>
      <c r="O19857" s="11"/>
      <c r="P19857" s="11"/>
    </row>
    <row r="19858" spans="8:16" x14ac:dyDescent="0.25">
      <c r="H19858" s="12"/>
      <c r="I19858" s="12"/>
      <c r="J19858" s="12"/>
      <c r="K19858" s="12"/>
      <c r="L19858" s="12"/>
      <c r="M19858" s="11"/>
      <c r="N19858" s="11"/>
      <c r="O19858" s="11"/>
      <c r="P19858" s="11"/>
    </row>
    <row r="19859" spans="8:16" x14ac:dyDescent="0.25">
      <c r="H19859" s="12"/>
      <c r="I19859" s="12"/>
      <c r="J19859" s="12"/>
      <c r="K19859" s="12"/>
      <c r="L19859" s="12"/>
      <c r="M19859" s="11"/>
      <c r="N19859" s="11"/>
      <c r="O19859" s="11"/>
      <c r="P19859" s="11"/>
    </row>
    <row r="19860" spans="8:16" x14ac:dyDescent="0.25">
      <c r="H19860" s="12"/>
      <c r="I19860" s="12"/>
      <c r="J19860" s="12"/>
      <c r="K19860" s="12"/>
      <c r="L19860" s="12"/>
      <c r="M19860" s="11"/>
      <c r="N19860" s="11"/>
      <c r="O19860" s="11"/>
      <c r="P19860" s="11"/>
    </row>
    <row r="19861" spans="8:16" x14ac:dyDescent="0.25">
      <c r="H19861" s="12"/>
      <c r="I19861" s="12"/>
      <c r="J19861" s="12"/>
      <c r="K19861" s="12"/>
      <c r="L19861" s="12"/>
      <c r="M19861" s="11"/>
      <c r="N19861" s="11"/>
      <c r="O19861" s="11"/>
      <c r="P19861" s="11"/>
    </row>
    <row r="19862" spans="8:16" x14ac:dyDescent="0.25">
      <c r="H19862" s="12"/>
      <c r="I19862" s="12"/>
      <c r="J19862" s="12"/>
      <c r="K19862" s="12"/>
      <c r="L19862" s="12"/>
      <c r="M19862" s="11"/>
      <c r="N19862" s="11"/>
      <c r="O19862" s="11"/>
      <c r="P19862" s="11"/>
    </row>
    <row r="19863" spans="8:16" x14ac:dyDescent="0.25">
      <c r="H19863" s="12"/>
      <c r="I19863" s="12"/>
      <c r="J19863" s="12"/>
      <c r="K19863" s="12"/>
      <c r="L19863" s="12"/>
      <c r="M19863" s="11"/>
      <c r="N19863" s="11"/>
      <c r="O19863" s="11"/>
      <c r="P19863" s="11"/>
    </row>
    <row r="19864" spans="8:16" x14ac:dyDescent="0.25">
      <c r="H19864" s="12"/>
      <c r="I19864" s="12"/>
      <c r="J19864" s="12"/>
      <c r="K19864" s="12"/>
      <c r="L19864" s="12"/>
      <c r="M19864" s="11"/>
      <c r="N19864" s="11"/>
      <c r="O19864" s="11"/>
      <c r="P19864" s="11"/>
    </row>
    <row r="19865" spans="8:16" x14ac:dyDescent="0.25">
      <c r="H19865" s="12"/>
      <c r="I19865" s="12"/>
      <c r="J19865" s="12"/>
      <c r="K19865" s="12"/>
      <c r="L19865" s="12"/>
      <c r="M19865" s="11"/>
      <c r="N19865" s="11"/>
      <c r="O19865" s="11"/>
      <c r="P19865" s="11"/>
    </row>
    <row r="19866" spans="8:16" x14ac:dyDescent="0.25">
      <c r="H19866" s="12"/>
      <c r="I19866" s="12"/>
      <c r="J19866" s="12"/>
      <c r="K19866" s="12"/>
      <c r="L19866" s="12"/>
      <c r="M19866" s="11"/>
      <c r="N19866" s="11"/>
      <c r="O19866" s="11"/>
      <c r="P19866" s="11"/>
    </row>
    <row r="19867" spans="8:16" x14ac:dyDescent="0.25">
      <c r="H19867" s="12"/>
      <c r="I19867" s="12"/>
      <c r="J19867" s="12"/>
      <c r="K19867" s="12"/>
      <c r="L19867" s="12"/>
      <c r="M19867" s="11"/>
      <c r="N19867" s="11"/>
      <c r="O19867" s="11"/>
      <c r="P19867" s="11"/>
    </row>
    <row r="19868" spans="8:16" x14ac:dyDescent="0.25">
      <c r="H19868" s="12"/>
      <c r="I19868" s="12"/>
      <c r="J19868" s="12"/>
      <c r="K19868" s="12"/>
      <c r="L19868" s="12"/>
      <c r="M19868" s="11"/>
      <c r="N19868" s="11"/>
      <c r="O19868" s="11"/>
      <c r="P19868" s="11"/>
    </row>
    <row r="19869" spans="8:16" x14ac:dyDescent="0.25">
      <c r="H19869" s="12"/>
      <c r="I19869" s="12"/>
      <c r="J19869" s="12"/>
      <c r="K19869" s="12"/>
      <c r="L19869" s="12"/>
      <c r="M19869" s="11"/>
      <c r="N19869" s="11"/>
      <c r="O19869" s="11"/>
      <c r="P19869" s="11"/>
    </row>
    <row r="19870" spans="8:16" x14ac:dyDescent="0.25">
      <c r="H19870" s="12"/>
      <c r="I19870" s="12"/>
      <c r="J19870" s="12"/>
      <c r="K19870" s="12"/>
      <c r="L19870" s="12"/>
      <c r="M19870" s="11"/>
      <c r="N19870" s="11"/>
      <c r="O19870" s="11"/>
      <c r="P19870" s="11"/>
    </row>
    <row r="19871" spans="8:16" x14ac:dyDescent="0.25">
      <c r="H19871" s="12"/>
      <c r="I19871" s="12"/>
      <c r="J19871" s="12"/>
      <c r="K19871" s="12"/>
      <c r="L19871" s="12"/>
      <c r="M19871" s="11"/>
      <c r="N19871" s="11"/>
      <c r="O19871" s="11"/>
      <c r="P19871" s="11"/>
    </row>
    <row r="19872" spans="8:16" x14ac:dyDescent="0.25">
      <c r="H19872" s="12"/>
      <c r="I19872" s="12"/>
      <c r="J19872" s="12"/>
      <c r="K19872" s="12"/>
      <c r="L19872" s="12"/>
      <c r="M19872" s="11"/>
      <c r="N19872" s="11"/>
      <c r="O19872" s="11"/>
      <c r="P19872" s="11"/>
    </row>
    <row r="19873" spans="8:16" x14ac:dyDescent="0.25">
      <c r="H19873" s="12"/>
      <c r="I19873" s="12"/>
      <c r="J19873" s="12"/>
      <c r="K19873" s="12"/>
      <c r="L19873" s="12"/>
      <c r="M19873" s="11"/>
      <c r="N19873" s="11"/>
      <c r="O19873" s="11"/>
      <c r="P19873" s="11"/>
    </row>
    <row r="19874" spans="8:16" x14ac:dyDescent="0.25">
      <c r="H19874" s="12"/>
      <c r="I19874" s="12"/>
      <c r="J19874" s="12"/>
      <c r="K19874" s="12"/>
      <c r="L19874" s="12"/>
      <c r="M19874" s="11"/>
      <c r="N19874" s="11"/>
      <c r="O19874" s="11"/>
      <c r="P19874" s="11"/>
    </row>
    <row r="19875" spans="8:16" x14ac:dyDescent="0.25">
      <c r="H19875" s="12"/>
      <c r="I19875" s="12"/>
      <c r="J19875" s="12"/>
      <c r="K19875" s="12"/>
      <c r="L19875" s="12"/>
      <c r="M19875" s="11"/>
      <c r="N19875" s="11"/>
      <c r="O19875" s="11"/>
      <c r="P19875" s="11"/>
    </row>
    <row r="19876" spans="8:16" x14ac:dyDescent="0.25">
      <c r="H19876" s="12"/>
      <c r="I19876" s="12"/>
      <c r="J19876" s="12"/>
      <c r="K19876" s="12"/>
      <c r="L19876" s="12"/>
      <c r="M19876" s="11"/>
      <c r="N19876" s="11"/>
      <c r="O19876" s="11"/>
      <c r="P19876" s="11"/>
    </row>
    <row r="19877" spans="8:16" x14ac:dyDescent="0.25">
      <c r="H19877" s="12"/>
      <c r="I19877" s="12"/>
      <c r="J19877" s="12"/>
      <c r="K19877" s="12"/>
      <c r="L19877" s="12"/>
      <c r="M19877" s="11"/>
      <c r="N19877" s="11"/>
      <c r="O19877" s="11"/>
      <c r="P19877" s="11"/>
    </row>
    <row r="19878" spans="8:16" x14ac:dyDescent="0.25">
      <c r="H19878" s="12"/>
      <c r="I19878" s="12"/>
      <c r="J19878" s="12"/>
      <c r="K19878" s="12"/>
      <c r="L19878" s="12"/>
      <c r="M19878" s="11"/>
      <c r="N19878" s="11"/>
      <c r="O19878" s="11"/>
      <c r="P19878" s="11"/>
    </row>
    <row r="19879" spans="8:16" x14ac:dyDescent="0.25">
      <c r="H19879" s="12"/>
      <c r="I19879" s="12"/>
      <c r="J19879" s="12"/>
      <c r="K19879" s="12"/>
      <c r="L19879" s="12"/>
      <c r="M19879" s="11"/>
      <c r="N19879" s="11"/>
      <c r="O19879" s="11"/>
      <c r="P19879" s="11"/>
    </row>
    <row r="19880" spans="8:16" x14ac:dyDescent="0.25">
      <c r="H19880" s="12"/>
      <c r="I19880" s="12"/>
      <c r="J19880" s="12"/>
      <c r="K19880" s="12"/>
      <c r="L19880" s="12"/>
      <c r="M19880" s="11"/>
      <c r="N19880" s="11"/>
      <c r="O19880" s="11"/>
      <c r="P19880" s="11"/>
    </row>
    <row r="19881" spans="8:16" x14ac:dyDescent="0.25">
      <c r="H19881" s="12"/>
      <c r="I19881" s="12"/>
      <c r="J19881" s="12"/>
      <c r="K19881" s="12"/>
      <c r="L19881" s="12"/>
      <c r="M19881" s="11"/>
      <c r="N19881" s="11"/>
      <c r="O19881" s="11"/>
      <c r="P19881" s="11"/>
    </row>
    <row r="19882" spans="8:16" x14ac:dyDescent="0.25">
      <c r="H19882" s="12"/>
      <c r="I19882" s="12"/>
      <c r="J19882" s="12"/>
      <c r="K19882" s="12"/>
      <c r="L19882" s="12"/>
      <c r="M19882" s="11"/>
      <c r="N19882" s="11"/>
      <c r="O19882" s="11"/>
      <c r="P19882" s="11"/>
    </row>
    <row r="19883" spans="8:16" x14ac:dyDescent="0.25">
      <c r="H19883" s="12"/>
      <c r="I19883" s="12"/>
      <c r="J19883" s="12"/>
      <c r="K19883" s="12"/>
      <c r="L19883" s="12"/>
      <c r="M19883" s="11"/>
      <c r="N19883" s="11"/>
      <c r="O19883" s="11"/>
      <c r="P19883" s="11"/>
    </row>
    <row r="19884" spans="8:16" x14ac:dyDescent="0.25">
      <c r="H19884" s="12"/>
      <c r="I19884" s="12"/>
      <c r="J19884" s="12"/>
      <c r="K19884" s="12"/>
      <c r="L19884" s="12"/>
      <c r="M19884" s="11"/>
      <c r="N19884" s="11"/>
      <c r="O19884" s="11"/>
      <c r="P19884" s="11"/>
    </row>
    <row r="19885" spans="8:16" x14ac:dyDescent="0.25">
      <c r="H19885" s="12"/>
      <c r="I19885" s="12"/>
      <c r="J19885" s="12"/>
      <c r="K19885" s="12"/>
      <c r="L19885" s="12"/>
      <c r="M19885" s="11"/>
      <c r="N19885" s="11"/>
      <c r="O19885" s="11"/>
      <c r="P19885" s="11"/>
    </row>
    <row r="19886" spans="8:16" x14ac:dyDescent="0.25">
      <c r="H19886" s="12"/>
      <c r="I19886" s="12"/>
      <c r="J19886" s="12"/>
      <c r="K19886" s="12"/>
      <c r="L19886" s="12"/>
      <c r="M19886" s="11"/>
      <c r="N19886" s="11"/>
      <c r="O19886" s="11"/>
      <c r="P19886" s="11"/>
    </row>
    <row r="19887" spans="8:16" x14ac:dyDescent="0.25">
      <c r="H19887" s="12"/>
      <c r="I19887" s="12"/>
      <c r="J19887" s="12"/>
      <c r="K19887" s="12"/>
      <c r="L19887" s="12"/>
      <c r="M19887" s="11"/>
      <c r="N19887" s="11"/>
      <c r="O19887" s="11"/>
      <c r="P19887" s="11"/>
    </row>
    <row r="19888" spans="8:16" x14ac:dyDescent="0.25">
      <c r="H19888" s="12"/>
      <c r="I19888" s="12"/>
      <c r="J19888" s="12"/>
      <c r="K19888" s="12"/>
      <c r="L19888" s="12"/>
      <c r="M19888" s="11"/>
      <c r="N19888" s="11"/>
      <c r="O19888" s="11"/>
      <c r="P19888" s="11"/>
    </row>
    <row r="19889" spans="8:16" x14ac:dyDescent="0.25">
      <c r="H19889" s="12"/>
      <c r="I19889" s="12"/>
      <c r="J19889" s="12"/>
      <c r="K19889" s="12"/>
      <c r="L19889" s="12"/>
      <c r="M19889" s="11"/>
      <c r="N19889" s="11"/>
      <c r="O19889" s="11"/>
      <c r="P19889" s="11"/>
    </row>
    <row r="19890" spans="8:16" x14ac:dyDescent="0.25">
      <c r="H19890" s="12"/>
      <c r="I19890" s="12"/>
      <c r="J19890" s="12"/>
      <c r="K19890" s="12"/>
      <c r="L19890" s="12"/>
      <c r="M19890" s="11"/>
      <c r="N19890" s="11"/>
      <c r="O19890" s="11"/>
      <c r="P19890" s="11"/>
    </row>
    <row r="19891" spans="8:16" x14ac:dyDescent="0.25">
      <c r="H19891" s="12"/>
      <c r="I19891" s="12"/>
      <c r="J19891" s="12"/>
      <c r="K19891" s="12"/>
      <c r="L19891" s="12"/>
      <c r="M19891" s="11"/>
      <c r="N19891" s="11"/>
      <c r="O19891" s="11"/>
      <c r="P19891" s="11"/>
    </row>
    <row r="19892" spans="8:16" x14ac:dyDescent="0.25">
      <c r="H19892" s="12"/>
      <c r="I19892" s="12"/>
      <c r="J19892" s="12"/>
      <c r="K19892" s="12"/>
      <c r="L19892" s="12"/>
      <c r="M19892" s="11"/>
      <c r="N19892" s="11"/>
      <c r="O19892" s="11"/>
      <c r="P19892" s="11"/>
    </row>
    <row r="19893" spans="8:16" x14ac:dyDescent="0.25">
      <c r="H19893" s="12"/>
      <c r="I19893" s="12"/>
      <c r="J19893" s="12"/>
      <c r="K19893" s="12"/>
      <c r="L19893" s="12"/>
      <c r="M19893" s="11"/>
      <c r="N19893" s="11"/>
      <c r="O19893" s="11"/>
      <c r="P19893" s="11"/>
    </row>
    <row r="19894" spans="8:16" x14ac:dyDescent="0.25">
      <c r="H19894" s="12"/>
      <c r="I19894" s="12"/>
      <c r="J19894" s="12"/>
      <c r="K19894" s="12"/>
      <c r="L19894" s="12"/>
      <c r="M19894" s="11"/>
      <c r="N19894" s="11"/>
      <c r="O19894" s="11"/>
      <c r="P19894" s="11"/>
    </row>
    <row r="19895" spans="8:16" x14ac:dyDescent="0.25">
      <c r="H19895" s="12"/>
      <c r="I19895" s="12"/>
      <c r="J19895" s="12"/>
      <c r="K19895" s="12"/>
      <c r="L19895" s="12"/>
      <c r="M19895" s="11"/>
      <c r="N19895" s="11"/>
      <c r="O19895" s="11"/>
      <c r="P19895" s="11"/>
    </row>
    <row r="19896" spans="8:16" x14ac:dyDescent="0.25">
      <c r="H19896" s="12"/>
      <c r="I19896" s="12"/>
      <c r="J19896" s="12"/>
      <c r="K19896" s="12"/>
      <c r="L19896" s="12"/>
      <c r="M19896" s="11"/>
      <c r="N19896" s="11"/>
      <c r="O19896" s="11"/>
      <c r="P19896" s="11"/>
    </row>
    <row r="19897" spans="8:16" x14ac:dyDescent="0.25">
      <c r="H19897" s="12"/>
      <c r="I19897" s="12"/>
      <c r="J19897" s="12"/>
      <c r="K19897" s="12"/>
      <c r="L19897" s="12"/>
      <c r="M19897" s="11"/>
      <c r="N19897" s="11"/>
      <c r="O19897" s="11"/>
      <c r="P19897" s="11"/>
    </row>
    <row r="19898" spans="8:16" x14ac:dyDescent="0.25">
      <c r="H19898" s="12"/>
      <c r="I19898" s="12"/>
      <c r="J19898" s="12"/>
      <c r="K19898" s="12"/>
      <c r="L19898" s="12"/>
      <c r="M19898" s="11"/>
      <c r="N19898" s="11"/>
      <c r="O19898" s="11"/>
      <c r="P19898" s="11"/>
    </row>
    <row r="19899" spans="8:16" x14ac:dyDescent="0.25">
      <c r="H19899" s="12"/>
      <c r="I19899" s="12"/>
      <c r="J19899" s="12"/>
      <c r="K19899" s="12"/>
      <c r="L19899" s="12"/>
      <c r="M19899" s="11"/>
      <c r="N19899" s="11"/>
      <c r="O19899" s="11"/>
      <c r="P19899" s="11"/>
    </row>
    <row r="19900" spans="8:16" x14ac:dyDescent="0.25">
      <c r="H19900" s="12"/>
      <c r="I19900" s="12"/>
      <c r="J19900" s="12"/>
      <c r="K19900" s="12"/>
      <c r="L19900" s="12"/>
      <c r="M19900" s="11"/>
      <c r="N19900" s="11"/>
      <c r="O19900" s="11"/>
      <c r="P19900" s="11"/>
    </row>
    <row r="19901" spans="8:16" x14ac:dyDescent="0.25">
      <c r="H19901" s="12"/>
      <c r="I19901" s="12"/>
      <c r="J19901" s="12"/>
      <c r="K19901" s="12"/>
      <c r="L19901" s="12"/>
      <c r="M19901" s="11"/>
      <c r="N19901" s="11"/>
      <c r="O19901" s="11"/>
      <c r="P19901" s="11"/>
    </row>
    <row r="19902" spans="8:16" x14ac:dyDescent="0.25">
      <c r="H19902" s="12"/>
      <c r="I19902" s="12"/>
      <c r="J19902" s="12"/>
      <c r="K19902" s="12"/>
      <c r="L19902" s="12"/>
      <c r="M19902" s="11"/>
      <c r="N19902" s="11"/>
      <c r="O19902" s="11"/>
      <c r="P19902" s="11"/>
    </row>
    <row r="19903" spans="8:16" x14ac:dyDescent="0.25">
      <c r="H19903" s="12"/>
      <c r="I19903" s="12"/>
      <c r="J19903" s="12"/>
      <c r="K19903" s="12"/>
      <c r="L19903" s="12"/>
      <c r="M19903" s="11"/>
      <c r="N19903" s="11"/>
      <c r="O19903" s="11"/>
      <c r="P19903" s="11"/>
    </row>
    <row r="19904" spans="8:16" x14ac:dyDescent="0.25">
      <c r="H19904" s="12"/>
      <c r="I19904" s="12"/>
      <c r="J19904" s="12"/>
      <c r="K19904" s="12"/>
      <c r="L19904" s="12"/>
      <c r="M19904" s="11"/>
      <c r="N19904" s="11"/>
      <c r="O19904" s="11"/>
      <c r="P19904" s="11"/>
    </row>
    <row r="19905" spans="8:16" x14ac:dyDescent="0.25">
      <c r="H19905" s="12"/>
      <c r="I19905" s="12"/>
      <c r="J19905" s="12"/>
      <c r="K19905" s="12"/>
      <c r="L19905" s="12"/>
      <c r="M19905" s="11"/>
      <c r="N19905" s="11"/>
      <c r="O19905" s="11"/>
      <c r="P19905" s="11"/>
    </row>
    <row r="19906" spans="8:16" x14ac:dyDescent="0.25">
      <c r="H19906" s="12"/>
      <c r="I19906" s="12"/>
      <c r="J19906" s="12"/>
      <c r="K19906" s="12"/>
      <c r="L19906" s="12"/>
      <c r="M19906" s="11"/>
      <c r="N19906" s="11"/>
      <c r="O19906" s="11"/>
      <c r="P19906" s="11"/>
    </row>
    <row r="19907" spans="8:16" x14ac:dyDescent="0.25">
      <c r="H19907" s="12"/>
      <c r="I19907" s="12"/>
      <c r="J19907" s="12"/>
      <c r="K19907" s="12"/>
      <c r="L19907" s="12"/>
      <c r="M19907" s="11"/>
      <c r="N19907" s="11"/>
      <c r="O19907" s="11"/>
      <c r="P19907" s="11"/>
    </row>
    <row r="19908" spans="8:16" x14ac:dyDescent="0.25">
      <c r="H19908" s="12"/>
      <c r="I19908" s="12"/>
      <c r="J19908" s="12"/>
      <c r="K19908" s="12"/>
      <c r="L19908" s="12"/>
      <c r="M19908" s="11"/>
      <c r="N19908" s="11"/>
      <c r="O19908" s="11"/>
      <c r="P19908" s="11"/>
    </row>
    <row r="19909" spans="8:16" x14ac:dyDescent="0.25">
      <c r="H19909" s="12"/>
      <c r="I19909" s="12"/>
      <c r="J19909" s="12"/>
      <c r="K19909" s="12"/>
      <c r="L19909" s="12"/>
      <c r="M19909" s="11"/>
      <c r="N19909" s="11"/>
      <c r="O19909" s="11"/>
      <c r="P19909" s="11"/>
    </row>
    <row r="19910" spans="8:16" x14ac:dyDescent="0.25">
      <c r="H19910" s="12"/>
      <c r="I19910" s="12"/>
      <c r="J19910" s="12"/>
      <c r="K19910" s="12"/>
      <c r="L19910" s="12"/>
      <c r="M19910" s="11"/>
      <c r="N19910" s="11"/>
      <c r="O19910" s="11"/>
      <c r="P19910" s="11"/>
    </row>
    <row r="19911" spans="8:16" x14ac:dyDescent="0.25">
      <c r="H19911" s="12"/>
      <c r="I19911" s="12"/>
      <c r="J19911" s="12"/>
      <c r="K19911" s="12"/>
      <c r="L19911" s="12"/>
      <c r="M19911" s="11"/>
      <c r="N19911" s="11"/>
      <c r="O19911" s="11"/>
      <c r="P19911" s="11"/>
    </row>
    <row r="19912" spans="8:16" x14ac:dyDescent="0.25">
      <c r="H19912" s="12"/>
      <c r="I19912" s="12"/>
      <c r="J19912" s="12"/>
      <c r="K19912" s="12"/>
      <c r="L19912" s="12"/>
      <c r="M19912" s="11"/>
      <c r="N19912" s="11"/>
      <c r="O19912" s="11"/>
      <c r="P19912" s="11"/>
    </row>
    <row r="19913" spans="8:16" x14ac:dyDescent="0.25">
      <c r="H19913" s="12"/>
      <c r="I19913" s="12"/>
      <c r="J19913" s="12"/>
      <c r="K19913" s="12"/>
      <c r="L19913" s="12"/>
      <c r="M19913" s="11"/>
      <c r="N19913" s="11"/>
      <c r="O19913" s="11"/>
      <c r="P19913" s="11"/>
    </row>
    <row r="19914" spans="8:16" x14ac:dyDescent="0.25">
      <c r="H19914" s="12"/>
      <c r="I19914" s="12"/>
      <c r="J19914" s="12"/>
      <c r="K19914" s="12"/>
      <c r="L19914" s="12"/>
      <c r="M19914" s="11"/>
      <c r="N19914" s="11"/>
      <c r="O19914" s="11"/>
      <c r="P19914" s="11"/>
    </row>
    <row r="19915" spans="8:16" x14ac:dyDescent="0.25">
      <c r="H19915" s="12"/>
      <c r="I19915" s="12"/>
      <c r="J19915" s="12"/>
      <c r="K19915" s="12"/>
      <c r="L19915" s="12"/>
      <c r="M19915" s="11"/>
      <c r="N19915" s="11"/>
      <c r="O19915" s="11"/>
      <c r="P19915" s="11"/>
    </row>
    <row r="19916" spans="8:16" x14ac:dyDescent="0.25">
      <c r="H19916" s="12"/>
      <c r="I19916" s="12"/>
      <c r="J19916" s="12"/>
      <c r="K19916" s="12"/>
      <c r="L19916" s="12"/>
      <c r="M19916" s="11"/>
      <c r="N19916" s="11"/>
      <c r="O19916" s="11"/>
      <c r="P19916" s="11"/>
    </row>
    <row r="19917" spans="8:16" x14ac:dyDescent="0.25">
      <c r="H19917" s="12"/>
      <c r="I19917" s="12"/>
      <c r="J19917" s="12"/>
      <c r="K19917" s="12"/>
      <c r="L19917" s="12"/>
      <c r="M19917" s="11"/>
      <c r="N19917" s="11"/>
      <c r="O19917" s="11"/>
      <c r="P19917" s="11"/>
    </row>
    <row r="19918" spans="8:16" x14ac:dyDescent="0.25">
      <c r="H19918" s="12"/>
      <c r="I19918" s="12"/>
      <c r="J19918" s="12"/>
      <c r="K19918" s="12"/>
      <c r="L19918" s="12"/>
      <c r="M19918" s="11"/>
      <c r="N19918" s="11"/>
      <c r="O19918" s="11"/>
      <c r="P19918" s="11"/>
    </row>
    <row r="19919" spans="8:16" x14ac:dyDescent="0.25">
      <c r="H19919" s="12"/>
      <c r="I19919" s="12"/>
      <c r="J19919" s="12"/>
      <c r="K19919" s="12"/>
      <c r="L19919" s="12"/>
      <c r="M19919" s="11"/>
      <c r="N19919" s="11"/>
      <c r="O19919" s="11"/>
      <c r="P19919" s="11"/>
    </row>
    <row r="19920" spans="8:16" x14ac:dyDescent="0.25">
      <c r="H19920" s="12"/>
      <c r="I19920" s="12"/>
      <c r="J19920" s="12"/>
      <c r="K19920" s="12"/>
      <c r="L19920" s="12"/>
      <c r="M19920" s="11"/>
      <c r="N19920" s="11"/>
      <c r="O19920" s="11"/>
      <c r="P19920" s="11"/>
    </row>
    <row r="19921" spans="8:16" x14ac:dyDescent="0.25">
      <c r="H19921" s="12"/>
      <c r="I19921" s="12"/>
      <c r="J19921" s="12"/>
      <c r="K19921" s="12"/>
      <c r="L19921" s="12"/>
      <c r="M19921" s="11"/>
      <c r="N19921" s="11"/>
      <c r="O19921" s="11"/>
      <c r="P19921" s="11"/>
    </row>
    <row r="19922" spans="8:16" x14ac:dyDescent="0.25">
      <c r="H19922" s="12"/>
      <c r="I19922" s="12"/>
      <c r="J19922" s="12"/>
      <c r="K19922" s="12"/>
      <c r="L19922" s="12"/>
      <c r="M19922" s="11"/>
      <c r="N19922" s="11"/>
      <c r="O19922" s="11"/>
      <c r="P19922" s="11"/>
    </row>
    <row r="19923" spans="8:16" x14ac:dyDescent="0.25">
      <c r="H19923" s="12"/>
      <c r="I19923" s="12"/>
      <c r="J19923" s="12"/>
      <c r="K19923" s="12"/>
      <c r="L19923" s="12"/>
      <c r="M19923" s="11"/>
      <c r="N19923" s="11"/>
      <c r="O19923" s="11"/>
      <c r="P19923" s="11"/>
    </row>
    <row r="19924" spans="8:16" x14ac:dyDescent="0.25">
      <c r="H19924" s="12"/>
      <c r="I19924" s="12"/>
      <c r="J19924" s="12"/>
      <c r="K19924" s="12"/>
      <c r="L19924" s="12"/>
      <c r="M19924" s="11"/>
      <c r="N19924" s="11"/>
      <c r="O19924" s="11"/>
      <c r="P19924" s="11"/>
    </row>
    <row r="19925" spans="8:16" x14ac:dyDescent="0.25">
      <c r="H19925" s="12"/>
      <c r="I19925" s="12"/>
      <c r="J19925" s="12"/>
      <c r="K19925" s="12"/>
      <c r="L19925" s="12"/>
      <c r="M19925" s="11"/>
      <c r="N19925" s="11"/>
      <c r="O19925" s="11"/>
      <c r="P19925" s="11"/>
    </row>
    <row r="19926" spans="8:16" x14ac:dyDescent="0.25">
      <c r="H19926" s="12"/>
      <c r="I19926" s="12"/>
      <c r="J19926" s="12"/>
      <c r="K19926" s="12"/>
      <c r="L19926" s="12"/>
      <c r="M19926" s="11"/>
      <c r="N19926" s="11"/>
      <c r="O19926" s="11"/>
      <c r="P19926" s="11"/>
    </row>
    <row r="19927" spans="8:16" x14ac:dyDescent="0.25">
      <c r="H19927" s="12"/>
      <c r="I19927" s="12"/>
      <c r="J19927" s="12"/>
      <c r="K19927" s="12"/>
      <c r="L19927" s="12"/>
      <c r="M19927" s="11"/>
      <c r="N19927" s="11"/>
      <c r="O19927" s="11"/>
      <c r="P19927" s="11"/>
    </row>
    <row r="19928" spans="8:16" x14ac:dyDescent="0.25">
      <c r="H19928" s="12"/>
      <c r="I19928" s="12"/>
      <c r="J19928" s="12"/>
      <c r="K19928" s="12"/>
      <c r="L19928" s="12"/>
      <c r="M19928" s="11"/>
      <c r="N19928" s="11"/>
      <c r="O19928" s="11"/>
      <c r="P19928" s="11"/>
    </row>
    <row r="19929" spans="8:16" x14ac:dyDescent="0.25">
      <c r="H19929" s="12"/>
      <c r="I19929" s="12"/>
      <c r="J19929" s="12"/>
      <c r="K19929" s="12"/>
      <c r="L19929" s="12"/>
      <c r="M19929" s="11"/>
      <c r="N19929" s="11"/>
      <c r="O19929" s="11"/>
      <c r="P19929" s="11"/>
    </row>
    <row r="19930" spans="8:16" x14ac:dyDescent="0.25">
      <c r="H19930" s="12"/>
      <c r="I19930" s="12"/>
      <c r="J19930" s="12"/>
      <c r="K19930" s="12"/>
      <c r="L19930" s="12"/>
      <c r="M19930" s="11"/>
      <c r="N19930" s="11"/>
      <c r="O19930" s="11"/>
      <c r="P19930" s="11"/>
    </row>
    <row r="19931" spans="8:16" x14ac:dyDescent="0.25">
      <c r="H19931" s="12"/>
      <c r="I19931" s="12"/>
      <c r="J19931" s="12"/>
      <c r="K19931" s="12"/>
      <c r="L19931" s="12"/>
      <c r="M19931" s="11"/>
      <c r="N19931" s="11"/>
      <c r="O19931" s="11"/>
      <c r="P19931" s="11"/>
    </row>
    <row r="19932" spans="8:16" x14ac:dyDescent="0.25">
      <c r="H19932" s="12"/>
      <c r="I19932" s="12"/>
      <c r="J19932" s="12"/>
      <c r="K19932" s="12"/>
      <c r="L19932" s="12"/>
      <c r="M19932" s="11"/>
      <c r="N19932" s="11"/>
      <c r="O19932" s="11"/>
      <c r="P19932" s="11"/>
    </row>
    <row r="19933" spans="8:16" x14ac:dyDescent="0.25">
      <c r="H19933" s="12"/>
      <c r="I19933" s="12"/>
      <c r="J19933" s="12"/>
      <c r="K19933" s="12"/>
      <c r="L19933" s="12"/>
      <c r="M19933" s="11"/>
      <c r="N19933" s="11"/>
      <c r="O19933" s="11"/>
      <c r="P19933" s="11"/>
    </row>
    <row r="19934" spans="8:16" x14ac:dyDescent="0.25">
      <c r="H19934" s="12"/>
      <c r="I19934" s="12"/>
      <c r="J19934" s="12"/>
      <c r="K19934" s="12"/>
      <c r="L19934" s="12"/>
      <c r="M19934" s="11"/>
      <c r="N19934" s="11"/>
      <c r="O19934" s="11"/>
      <c r="P19934" s="11"/>
    </row>
    <row r="19935" spans="8:16" x14ac:dyDescent="0.25">
      <c r="H19935" s="12"/>
      <c r="I19935" s="12"/>
      <c r="J19935" s="12"/>
      <c r="K19935" s="12"/>
      <c r="L19935" s="12"/>
      <c r="M19935" s="11"/>
      <c r="N19935" s="11"/>
      <c r="O19935" s="11"/>
      <c r="P19935" s="11"/>
    </row>
    <row r="19936" spans="8:16" x14ac:dyDescent="0.25">
      <c r="H19936" s="12"/>
      <c r="I19936" s="12"/>
      <c r="J19936" s="12"/>
      <c r="K19936" s="12"/>
      <c r="L19936" s="12"/>
      <c r="M19936" s="11"/>
      <c r="N19936" s="11"/>
      <c r="O19936" s="11"/>
      <c r="P19936" s="11"/>
    </row>
    <row r="19937" spans="8:16" x14ac:dyDescent="0.25">
      <c r="H19937" s="12"/>
      <c r="I19937" s="12"/>
      <c r="J19937" s="12"/>
      <c r="K19937" s="12"/>
      <c r="L19937" s="12"/>
      <c r="M19937" s="11"/>
      <c r="N19937" s="11"/>
      <c r="O19937" s="11"/>
      <c r="P19937" s="11"/>
    </row>
    <row r="19938" spans="8:16" x14ac:dyDescent="0.25">
      <c r="H19938" s="12"/>
      <c r="I19938" s="12"/>
      <c r="J19938" s="12"/>
      <c r="K19938" s="12"/>
      <c r="L19938" s="12"/>
      <c r="M19938" s="11"/>
      <c r="N19938" s="11"/>
      <c r="O19938" s="11"/>
      <c r="P19938" s="11"/>
    </row>
    <row r="19939" spans="8:16" x14ac:dyDescent="0.25">
      <c r="H19939" s="12"/>
      <c r="I19939" s="12"/>
      <c r="J19939" s="12"/>
      <c r="K19939" s="12"/>
      <c r="L19939" s="12"/>
      <c r="M19939" s="11"/>
      <c r="N19939" s="11"/>
      <c r="O19939" s="11"/>
      <c r="P19939" s="11"/>
    </row>
    <row r="19940" spans="8:16" x14ac:dyDescent="0.25">
      <c r="H19940" s="12"/>
      <c r="I19940" s="12"/>
      <c r="J19940" s="12"/>
      <c r="K19940" s="12"/>
      <c r="L19940" s="12"/>
      <c r="M19940" s="11"/>
      <c r="N19940" s="11"/>
      <c r="O19940" s="11"/>
      <c r="P19940" s="11"/>
    </row>
    <row r="19941" spans="8:16" x14ac:dyDescent="0.25">
      <c r="H19941" s="12"/>
      <c r="I19941" s="12"/>
      <c r="J19941" s="12"/>
      <c r="K19941" s="12"/>
      <c r="L19941" s="12"/>
      <c r="M19941" s="11"/>
      <c r="N19941" s="11"/>
      <c r="O19941" s="11"/>
      <c r="P19941" s="11"/>
    </row>
    <row r="19942" spans="8:16" x14ac:dyDescent="0.25">
      <c r="H19942" s="12"/>
      <c r="I19942" s="12"/>
      <c r="J19942" s="12"/>
      <c r="K19942" s="12"/>
      <c r="L19942" s="12"/>
      <c r="M19942" s="11"/>
      <c r="N19942" s="11"/>
      <c r="O19942" s="11"/>
      <c r="P19942" s="11"/>
    </row>
    <row r="19943" spans="8:16" x14ac:dyDescent="0.25">
      <c r="H19943" s="12"/>
      <c r="I19943" s="12"/>
      <c r="J19943" s="12"/>
      <c r="K19943" s="12"/>
      <c r="L19943" s="12"/>
      <c r="M19943" s="11"/>
      <c r="N19943" s="11"/>
      <c r="O19943" s="11"/>
      <c r="P19943" s="11"/>
    </row>
    <row r="19944" spans="8:16" x14ac:dyDescent="0.25">
      <c r="H19944" s="12"/>
      <c r="I19944" s="12"/>
      <c r="J19944" s="12"/>
      <c r="K19944" s="12"/>
      <c r="L19944" s="12"/>
      <c r="M19944" s="11"/>
      <c r="N19944" s="11"/>
      <c r="O19944" s="11"/>
      <c r="P19944" s="11"/>
    </row>
    <row r="19945" spans="8:16" x14ac:dyDescent="0.25">
      <c r="H19945" s="12"/>
      <c r="I19945" s="12"/>
      <c r="J19945" s="12"/>
      <c r="K19945" s="12"/>
      <c r="L19945" s="12"/>
      <c r="M19945" s="11"/>
      <c r="N19945" s="11"/>
      <c r="O19945" s="11"/>
      <c r="P19945" s="11"/>
    </row>
    <row r="19946" spans="8:16" x14ac:dyDescent="0.25">
      <c r="H19946" s="12"/>
      <c r="I19946" s="12"/>
      <c r="J19946" s="12"/>
      <c r="K19946" s="12"/>
      <c r="L19946" s="12"/>
      <c r="M19946" s="11"/>
      <c r="N19946" s="11"/>
      <c r="O19946" s="11"/>
      <c r="P19946" s="11"/>
    </row>
    <row r="19947" spans="8:16" x14ac:dyDescent="0.25">
      <c r="H19947" s="12"/>
      <c r="I19947" s="12"/>
      <c r="J19947" s="12"/>
      <c r="K19947" s="12"/>
      <c r="L19947" s="12"/>
      <c r="M19947" s="11"/>
      <c r="N19947" s="11"/>
      <c r="O19947" s="11"/>
      <c r="P19947" s="11"/>
    </row>
    <row r="19948" spans="8:16" x14ac:dyDescent="0.25">
      <c r="H19948" s="12"/>
      <c r="I19948" s="12"/>
      <c r="J19948" s="12"/>
      <c r="K19948" s="12"/>
      <c r="L19948" s="12"/>
      <c r="M19948" s="11"/>
      <c r="N19948" s="11"/>
      <c r="O19948" s="11"/>
      <c r="P19948" s="11"/>
    </row>
    <row r="19949" spans="8:16" x14ac:dyDescent="0.25">
      <c r="H19949" s="12"/>
      <c r="I19949" s="12"/>
      <c r="J19949" s="12"/>
      <c r="K19949" s="12"/>
      <c r="L19949" s="12"/>
      <c r="M19949" s="11"/>
      <c r="N19949" s="11"/>
      <c r="O19949" s="11"/>
      <c r="P19949" s="11"/>
    </row>
    <row r="19950" spans="8:16" x14ac:dyDescent="0.25">
      <c r="H19950" s="12"/>
      <c r="I19950" s="12"/>
      <c r="J19950" s="12"/>
      <c r="K19950" s="12"/>
      <c r="L19950" s="12"/>
      <c r="M19950" s="11"/>
      <c r="N19950" s="11"/>
      <c r="O19950" s="11"/>
      <c r="P19950" s="11"/>
    </row>
    <row r="19951" spans="8:16" x14ac:dyDescent="0.25">
      <c r="H19951" s="12"/>
      <c r="I19951" s="12"/>
      <c r="J19951" s="12"/>
      <c r="K19951" s="12"/>
      <c r="L19951" s="12"/>
      <c r="M19951" s="11"/>
      <c r="N19951" s="11"/>
      <c r="O19951" s="11"/>
      <c r="P19951" s="11"/>
    </row>
    <row r="19952" spans="8:16" x14ac:dyDescent="0.25">
      <c r="H19952" s="12"/>
      <c r="I19952" s="12"/>
      <c r="J19952" s="12"/>
      <c r="K19952" s="12"/>
      <c r="L19952" s="12"/>
      <c r="M19952" s="11"/>
      <c r="N19952" s="11"/>
      <c r="O19952" s="11"/>
      <c r="P19952" s="11"/>
    </row>
    <row r="19953" spans="8:16" x14ac:dyDescent="0.25">
      <c r="H19953" s="12"/>
      <c r="I19953" s="12"/>
      <c r="J19953" s="12"/>
      <c r="K19953" s="12"/>
      <c r="L19953" s="12"/>
      <c r="M19953" s="11"/>
      <c r="N19953" s="11"/>
      <c r="O19953" s="11"/>
      <c r="P19953" s="11"/>
    </row>
    <row r="19954" spans="8:16" x14ac:dyDescent="0.25">
      <c r="H19954" s="12"/>
      <c r="I19954" s="12"/>
      <c r="J19954" s="12"/>
      <c r="K19954" s="12"/>
      <c r="L19954" s="12"/>
      <c r="M19954" s="11"/>
      <c r="N19954" s="11"/>
      <c r="O19954" s="11"/>
      <c r="P19954" s="11"/>
    </row>
    <row r="19955" spans="8:16" x14ac:dyDescent="0.25">
      <c r="H19955" s="12"/>
      <c r="I19955" s="12"/>
      <c r="J19955" s="12"/>
      <c r="K19955" s="12"/>
      <c r="L19955" s="12"/>
      <c r="M19955" s="11"/>
      <c r="N19955" s="11"/>
      <c r="O19955" s="11"/>
      <c r="P19955" s="11"/>
    </row>
    <row r="19956" spans="8:16" x14ac:dyDescent="0.25">
      <c r="H19956" s="12"/>
      <c r="I19956" s="12"/>
      <c r="J19956" s="12"/>
      <c r="K19956" s="12"/>
      <c r="L19956" s="12"/>
      <c r="M19956" s="11"/>
      <c r="N19956" s="11"/>
      <c r="O19956" s="11"/>
      <c r="P19956" s="11"/>
    </row>
    <row r="19957" spans="8:16" x14ac:dyDescent="0.25">
      <c r="H19957" s="12"/>
      <c r="I19957" s="12"/>
      <c r="J19957" s="12"/>
      <c r="K19957" s="12"/>
      <c r="L19957" s="12"/>
      <c r="M19957" s="11"/>
      <c r="N19957" s="11"/>
      <c r="O19957" s="11"/>
      <c r="P19957" s="11"/>
    </row>
    <row r="19958" spans="8:16" x14ac:dyDescent="0.25">
      <c r="H19958" s="12"/>
      <c r="I19958" s="12"/>
      <c r="J19958" s="12"/>
      <c r="K19958" s="12"/>
      <c r="L19958" s="12"/>
      <c r="M19958" s="11"/>
      <c r="N19958" s="11"/>
      <c r="O19958" s="11"/>
      <c r="P19958" s="11"/>
    </row>
    <row r="19959" spans="8:16" x14ac:dyDescent="0.25">
      <c r="H19959" s="12"/>
      <c r="I19959" s="12"/>
      <c r="J19959" s="12"/>
      <c r="K19959" s="12"/>
      <c r="L19959" s="12"/>
      <c r="M19959" s="11"/>
      <c r="N19959" s="11"/>
      <c r="O19959" s="11"/>
      <c r="P19959" s="11"/>
    </row>
    <row r="19960" spans="8:16" x14ac:dyDescent="0.25">
      <c r="H19960" s="12"/>
      <c r="I19960" s="12"/>
      <c r="J19960" s="12"/>
      <c r="K19960" s="12"/>
      <c r="L19960" s="12"/>
      <c r="M19960" s="11"/>
      <c r="N19960" s="11"/>
      <c r="O19960" s="11"/>
      <c r="P19960" s="11"/>
    </row>
    <row r="19961" spans="8:16" x14ac:dyDescent="0.25">
      <c r="H19961" s="12"/>
      <c r="I19961" s="12"/>
      <c r="J19961" s="12"/>
      <c r="K19961" s="12"/>
      <c r="L19961" s="12"/>
      <c r="M19961" s="11"/>
      <c r="N19961" s="11"/>
      <c r="O19961" s="11"/>
      <c r="P19961" s="11"/>
    </row>
    <row r="19962" spans="8:16" x14ac:dyDescent="0.25">
      <c r="H19962" s="12"/>
      <c r="I19962" s="12"/>
      <c r="J19962" s="12"/>
      <c r="K19962" s="12"/>
      <c r="L19962" s="12"/>
      <c r="M19962" s="11"/>
      <c r="N19962" s="11"/>
      <c r="O19962" s="11"/>
      <c r="P19962" s="11"/>
    </row>
    <row r="19963" spans="8:16" x14ac:dyDescent="0.25">
      <c r="H19963" s="12"/>
      <c r="I19963" s="12"/>
      <c r="J19963" s="12"/>
      <c r="K19963" s="12"/>
      <c r="L19963" s="12"/>
      <c r="M19963" s="11"/>
      <c r="N19963" s="11"/>
      <c r="O19963" s="11"/>
      <c r="P19963" s="11"/>
    </row>
    <row r="19964" spans="8:16" x14ac:dyDescent="0.25">
      <c r="H19964" s="12"/>
      <c r="I19964" s="12"/>
      <c r="J19964" s="12"/>
      <c r="K19964" s="12"/>
      <c r="L19964" s="12"/>
      <c r="M19964" s="11"/>
      <c r="N19964" s="11"/>
      <c r="O19964" s="11"/>
      <c r="P19964" s="11"/>
    </row>
    <row r="19965" spans="8:16" x14ac:dyDescent="0.25">
      <c r="H19965" s="12"/>
      <c r="I19965" s="12"/>
      <c r="J19965" s="12"/>
      <c r="K19965" s="12"/>
      <c r="L19965" s="12"/>
      <c r="M19965" s="11"/>
      <c r="N19965" s="11"/>
      <c r="O19965" s="11"/>
      <c r="P19965" s="11"/>
    </row>
    <row r="19966" spans="8:16" x14ac:dyDescent="0.25">
      <c r="H19966" s="12"/>
      <c r="I19966" s="12"/>
      <c r="J19966" s="12"/>
      <c r="K19966" s="12"/>
      <c r="L19966" s="12"/>
      <c r="M19966" s="11"/>
      <c r="N19966" s="11"/>
      <c r="O19966" s="11"/>
      <c r="P19966" s="11"/>
    </row>
    <row r="19967" spans="8:16" x14ac:dyDescent="0.25">
      <c r="H19967" s="12"/>
      <c r="I19967" s="12"/>
      <c r="J19967" s="12"/>
      <c r="K19967" s="12"/>
      <c r="L19967" s="12"/>
      <c r="M19967" s="11"/>
      <c r="N19967" s="11"/>
      <c r="O19967" s="11"/>
      <c r="P19967" s="11"/>
    </row>
    <row r="19968" spans="8:16" x14ac:dyDescent="0.25">
      <c r="H19968" s="12"/>
      <c r="I19968" s="12"/>
      <c r="J19968" s="12"/>
      <c r="K19968" s="12"/>
      <c r="L19968" s="12"/>
      <c r="M19968" s="11"/>
      <c r="N19968" s="11"/>
      <c r="O19968" s="11"/>
      <c r="P19968" s="11"/>
    </row>
    <row r="19969" spans="8:16" x14ac:dyDescent="0.25">
      <c r="H19969" s="12"/>
      <c r="I19969" s="12"/>
      <c r="J19969" s="12"/>
      <c r="K19969" s="12"/>
      <c r="L19969" s="12"/>
      <c r="M19969" s="11"/>
      <c r="N19969" s="11"/>
      <c r="O19969" s="11"/>
      <c r="P19969" s="11"/>
    </row>
    <row r="19970" spans="8:16" x14ac:dyDescent="0.25">
      <c r="H19970" s="12"/>
      <c r="I19970" s="12"/>
      <c r="J19970" s="12"/>
      <c r="K19970" s="12"/>
      <c r="L19970" s="12"/>
      <c r="M19970" s="11"/>
      <c r="N19970" s="11"/>
      <c r="O19970" s="11"/>
      <c r="P19970" s="11"/>
    </row>
    <row r="19971" spans="8:16" x14ac:dyDescent="0.25">
      <c r="H19971" s="12"/>
      <c r="I19971" s="12"/>
      <c r="J19971" s="12"/>
      <c r="K19971" s="12"/>
      <c r="L19971" s="12"/>
      <c r="M19971" s="11"/>
      <c r="N19971" s="11"/>
      <c r="O19971" s="11"/>
      <c r="P19971" s="11"/>
    </row>
    <row r="19972" spans="8:16" x14ac:dyDescent="0.25">
      <c r="H19972" s="12"/>
      <c r="I19972" s="12"/>
      <c r="J19972" s="12"/>
      <c r="K19972" s="12"/>
      <c r="L19972" s="12"/>
      <c r="M19972" s="11"/>
      <c r="N19972" s="11"/>
      <c r="O19972" s="11"/>
      <c r="P19972" s="11"/>
    </row>
    <row r="19973" spans="8:16" x14ac:dyDescent="0.25">
      <c r="H19973" s="12"/>
      <c r="I19973" s="12"/>
      <c r="J19973" s="12"/>
      <c r="K19973" s="12"/>
      <c r="L19973" s="12"/>
      <c r="M19973" s="11"/>
      <c r="N19973" s="11"/>
      <c r="O19973" s="11"/>
      <c r="P19973" s="11"/>
    </row>
    <row r="19974" spans="8:16" x14ac:dyDescent="0.25">
      <c r="H19974" s="12"/>
      <c r="I19974" s="12"/>
      <c r="J19974" s="12"/>
      <c r="K19974" s="12"/>
      <c r="L19974" s="12"/>
      <c r="M19974" s="11"/>
      <c r="N19974" s="11"/>
      <c r="O19974" s="11"/>
      <c r="P19974" s="11"/>
    </row>
    <row r="19975" spans="8:16" x14ac:dyDescent="0.25">
      <c r="H19975" s="12"/>
      <c r="I19975" s="12"/>
      <c r="J19975" s="12"/>
      <c r="K19975" s="12"/>
      <c r="L19975" s="12"/>
      <c r="M19975" s="11"/>
      <c r="N19975" s="11"/>
      <c r="O19975" s="11"/>
      <c r="P19975" s="11"/>
    </row>
    <row r="19976" spans="8:16" x14ac:dyDescent="0.25">
      <c r="H19976" s="12"/>
      <c r="I19976" s="12"/>
      <c r="J19976" s="12"/>
      <c r="K19976" s="12"/>
      <c r="L19976" s="12"/>
      <c r="M19976" s="11"/>
      <c r="N19976" s="11"/>
      <c r="O19976" s="11"/>
      <c r="P19976" s="11"/>
    </row>
    <row r="19977" spans="8:16" x14ac:dyDescent="0.25">
      <c r="H19977" s="12"/>
      <c r="I19977" s="12"/>
      <c r="J19977" s="12"/>
      <c r="K19977" s="12"/>
      <c r="L19977" s="12"/>
      <c r="M19977" s="11"/>
      <c r="N19977" s="11"/>
      <c r="O19977" s="11"/>
      <c r="P19977" s="11"/>
    </row>
    <row r="19978" spans="8:16" x14ac:dyDescent="0.25">
      <c r="H19978" s="12"/>
      <c r="I19978" s="12"/>
      <c r="J19978" s="12"/>
      <c r="K19978" s="12"/>
      <c r="L19978" s="12"/>
      <c r="M19978" s="11"/>
      <c r="N19978" s="11"/>
      <c r="O19978" s="11"/>
      <c r="P19978" s="11"/>
    </row>
    <row r="19979" spans="8:16" x14ac:dyDescent="0.25">
      <c r="H19979" s="12"/>
      <c r="I19979" s="12"/>
      <c r="J19979" s="12"/>
      <c r="K19979" s="12"/>
      <c r="L19979" s="12"/>
      <c r="M19979" s="11"/>
      <c r="N19979" s="11"/>
      <c r="O19979" s="11"/>
      <c r="P19979" s="11"/>
    </row>
    <row r="19980" spans="8:16" x14ac:dyDescent="0.25">
      <c r="H19980" s="12"/>
      <c r="I19980" s="12"/>
      <c r="J19980" s="12"/>
      <c r="K19980" s="12"/>
      <c r="L19980" s="12"/>
      <c r="M19980" s="11"/>
      <c r="N19980" s="11"/>
      <c r="O19980" s="11"/>
      <c r="P19980" s="11"/>
    </row>
    <row r="19981" spans="8:16" x14ac:dyDescent="0.25">
      <c r="H19981" s="12"/>
      <c r="I19981" s="12"/>
      <c r="J19981" s="12"/>
      <c r="K19981" s="12"/>
      <c r="L19981" s="12"/>
      <c r="M19981" s="11"/>
      <c r="N19981" s="11"/>
      <c r="O19981" s="11"/>
      <c r="P19981" s="11"/>
    </row>
    <row r="19982" spans="8:16" x14ac:dyDescent="0.25">
      <c r="H19982" s="12"/>
      <c r="I19982" s="12"/>
      <c r="J19982" s="12"/>
      <c r="K19982" s="12"/>
      <c r="L19982" s="12"/>
      <c r="M19982" s="11"/>
      <c r="N19982" s="11"/>
      <c r="O19982" s="11"/>
      <c r="P19982" s="11"/>
    </row>
    <row r="19983" spans="8:16" x14ac:dyDescent="0.25">
      <c r="H19983" s="12"/>
      <c r="I19983" s="12"/>
      <c r="J19983" s="12"/>
      <c r="K19983" s="12"/>
      <c r="L19983" s="12"/>
      <c r="M19983" s="11"/>
      <c r="N19983" s="11"/>
      <c r="O19983" s="11"/>
      <c r="P19983" s="11"/>
    </row>
    <row r="19984" spans="8:16" x14ac:dyDescent="0.25">
      <c r="H19984" s="12"/>
      <c r="I19984" s="12"/>
      <c r="J19984" s="12"/>
      <c r="K19984" s="12"/>
      <c r="L19984" s="12"/>
      <c r="M19984" s="11"/>
      <c r="N19984" s="11"/>
      <c r="O19984" s="11"/>
      <c r="P19984" s="11"/>
    </row>
    <row r="19985" spans="8:16" x14ac:dyDescent="0.25">
      <c r="H19985" s="12"/>
      <c r="I19985" s="12"/>
      <c r="J19985" s="12"/>
      <c r="K19985" s="12"/>
      <c r="L19985" s="12"/>
      <c r="M19985" s="11"/>
      <c r="N19985" s="11"/>
      <c r="O19985" s="11"/>
      <c r="P19985" s="11"/>
    </row>
    <row r="19986" spans="8:16" x14ac:dyDescent="0.25">
      <c r="H19986" s="12"/>
      <c r="I19986" s="12"/>
      <c r="J19986" s="12"/>
      <c r="K19986" s="12"/>
      <c r="L19986" s="12"/>
      <c r="M19986" s="11"/>
      <c r="N19986" s="11"/>
      <c r="O19986" s="11"/>
      <c r="P19986" s="11"/>
    </row>
    <row r="19987" spans="8:16" x14ac:dyDescent="0.25">
      <c r="H19987" s="12"/>
      <c r="I19987" s="12"/>
      <c r="J19987" s="12"/>
      <c r="K19987" s="12"/>
      <c r="L19987" s="12"/>
      <c r="M19987" s="11"/>
      <c r="N19987" s="11"/>
      <c r="O19987" s="11"/>
      <c r="P19987" s="11"/>
    </row>
    <row r="19988" spans="8:16" x14ac:dyDescent="0.25">
      <c r="H19988" s="12"/>
      <c r="I19988" s="12"/>
      <c r="J19988" s="12"/>
      <c r="K19988" s="12"/>
      <c r="L19988" s="12"/>
      <c r="M19988" s="11"/>
      <c r="N19988" s="11"/>
      <c r="O19988" s="11"/>
      <c r="P19988" s="11"/>
    </row>
    <row r="19989" spans="8:16" x14ac:dyDescent="0.25">
      <c r="H19989" s="12"/>
      <c r="I19989" s="12"/>
      <c r="J19989" s="12"/>
      <c r="K19989" s="12"/>
      <c r="L19989" s="12"/>
      <c r="M19989" s="11"/>
      <c r="N19989" s="11"/>
      <c r="O19989" s="11"/>
      <c r="P19989" s="11"/>
    </row>
    <row r="19990" spans="8:16" x14ac:dyDescent="0.25">
      <c r="H19990" s="12"/>
      <c r="I19990" s="12"/>
      <c r="J19990" s="12"/>
      <c r="K19990" s="12"/>
      <c r="L19990" s="12"/>
      <c r="M19990" s="11"/>
      <c r="N19990" s="11"/>
      <c r="O19990" s="11"/>
      <c r="P19990" s="11"/>
    </row>
    <row r="19991" spans="8:16" x14ac:dyDescent="0.25">
      <c r="H19991" s="12"/>
      <c r="I19991" s="12"/>
      <c r="J19991" s="12"/>
      <c r="K19991" s="12"/>
      <c r="L19991" s="12"/>
      <c r="M19991" s="11"/>
      <c r="N19991" s="11"/>
      <c r="O19991" s="11"/>
      <c r="P19991" s="11"/>
    </row>
    <row r="19992" spans="8:16" x14ac:dyDescent="0.25">
      <c r="H19992" s="12"/>
      <c r="I19992" s="12"/>
      <c r="J19992" s="12"/>
      <c r="K19992" s="12"/>
      <c r="L19992" s="12"/>
      <c r="M19992" s="11"/>
      <c r="N19992" s="11"/>
      <c r="O19992" s="11"/>
      <c r="P19992" s="11"/>
    </row>
    <row r="19993" spans="8:16" x14ac:dyDescent="0.25">
      <c r="H19993" s="12"/>
      <c r="I19993" s="12"/>
      <c r="J19993" s="12"/>
      <c r="K19993" s="12"/>
      <c r="L19993" s="12"/>
      <c r="M19993" s="11"/>
      <c r="N19993" s="11"/>
      <c r="O19993" s="11"/>
      <c r="P19993" s="11"/>
    </row>
    <row r="19994" spans="8:16" x14ac:dyDescent="0.25">
      <c r="H19994" s="12"/>
      <c r="I19994" s="12"/>
      <c r="J19994" s="12"/>
      <c r="K19994" s="12"/>
      <c r="L19994" s="12"/>
      <c r="M19994" s="11"/>
      <c r="N19994" s="11"/>
      <c r="O19994" s="11"/>
      <c r="P19994" s="11"/>
    </row>
    <row r="19995" spans="8:16" x14ac:dyDescent="0.25">
      <c r="H19995" s="12"/>
      <c r="I19995" s="12"/>
      <c r="J19995" s="12"/>
      <c r="K19995" s="12"/>
      <c r="L19995" s="12"/>
      <c r="M19995" s="11"/>
      <c r="N19995" s="11"/>
      <c r="O19995" s="11"/>
      <c r="P19995" s="11"/>
    </row>
    <row r="19996" spans="8:16" x14ac:dyDescent="0.25">
      <c r="H19996" s="12"/>
      <c r="I19996" s="12"/>
      <c r="J19996" s="12"/>
      <c r="K19996" s="12"/>
      <c r="L19996" s="12"/>
      <c r="M19996" s="11"/>
      <c r="N19996" s="11"/>
      <c r="O19996" s="11"/>
      <c r="P19996" s="11"/>
    </row>
    <row r="19997" spans="8:16" x14ac:dyDescent="0.25">
      <c r="H19997" s="12"/>
      <c r="I19997" s="12"/>
      <c r="J19997" s="12"/>
      <c r="K19997" s="12"/>
      <c r="L19997" s="12"/>
      <c r="M19997" s="11"/>
      <c r="N19997" s="11"/>
      <c r="O19997" s="11"/>
      <c r="P19997" s="11"/>
    </row>
    <row r="19998" spans="8:16" x14ac:dyDescent="0.25">
      <c r="H19998" s="12"/>
      <c r="I19998" s="12"/>
      <c r="J19998" s="12"/>
      <c r="K19998" s="12"/>
      <c r="L19998" s="12"/>
      <c r="M19998" s="11"/>
      <c r="N19998" s="11"/>
      <c r="O19998" s="11"/>
      <c r="P19998" s="11"/>
    </row>
    <row r="19999" spans="8:16" x14ac:dyDescent="0.25">
      <c r="H19999" s="12"/>
      <c r="I19999" s="12"/>
      <c r="J19999" s="12"/>
      <c r="K19999" s="12"/>
      <c r="L19999" s="12"/>
      <c r="M19999" s="11"/>
      <c r="N19999" s="11"/>
      <c r="O19999" s="11"/>
      <c r="P19999" s="11"/>
    </row>
    <row r="20000" spans="8:16" x14ac:dyDescent="0.25">
      <c r="H20000" s="12"/>
      <c r="I20000" s="12"/>
      <c r="J20000" s="12"/>
      <c r="K20000" s="12"/>
      <c r="L20000" s="12"/>
      <c r="M20000" s="11"/>
      <c r="N20000" s="11"/>
      <c r="O20000" s="11"/>
      <c r="P20000" s="11"/>
    </row>
    <row r="20001" spans="8:16" x14ac:dyDescent="0.25">
      <c r="H20001" s="12"/>
      <c r="I20001" s="12"/>
      <c r="J20001" s="12"/>
      <c r="K20001" s="12"/>
      <c r="L20001" s="12"/>
      <c r="M20001" s="11"/>
      <c r="N20001" s="11"/>
      <c r="O20001" s="11"/>
      <c r="P20001" s="11"/>
    </row>
    <row r="20002" spans="8:16" x14ac:dyDescent="0.25">
      <c r="H20002" s="12"/>
      <c r="I20002" s="12"/>
      <c r="J20002" s="12"/>
      <c r="K20002" s="12"/>
      <c r="L20002" s="12"/>
      <c r="M20002" s="11"/>
      <c r="N20002" s="11"/>
      <c r="O20002" s="11"/>
      <c r="P20002" s="11"/>
    </row>
    <row r="20003" spans="8:16" x14ac:dyDescent="0.25">
      <c r="H20003" s="12"/>
      <c r="I20003" s="12"/>
      <c r="J20003" s="12"/>
      <c r="K20003" s="12"/>
      <c r="L20003" s="12"/>
      <c r="M20003" s="11"/>
      <c r="N20003" s="11"/>
      <c r="O20003" s="11"/>
      <c r="P20003" s="11"/>
    </row>
    <row r="20004" spans="8:16" x14ac:dyDescent="0.25">
      <c r="H20004" s="12"/>
      <c r="I20004" s="12"/>
      <c r="J20004" s="12"/>
      <c r="K20004" s="12"/>
      <c r="L20004" s="12"/>
      <c r="M20004" s="11"/>
      <c r="N20004" s="11"/>
      <c r="O20004" s="11"/>
      <c r="P20004" s="11"/>
    </row>
    <row r="20005" spans="8:16" x14ac:dyDescent="0.25">
      <c r="H20005" s="12"/>
      <c r="I20005" s="12"/>
      <c r="J20005" s="12"/>
      <c r="K20005" s="12"/>
      <c r="L20005" s="12"/>
      <c r="M20005" s="11"/>
      <c r="N20005" s="11"/>
      <c r="O20005" s="11"/>
      <c r="P20005" s="11"/>
    </row>
    <row r="20006" spans="8:16" x14ac:dyDescent="0.25">
      <c r="H20006" s="12"/>
      <c r="I20006" s="12"/>
      <c r="J20006" s="12"/>
      <c r="K20006" s="12"/>
      <c r="L20006" s="12"/>
      <c r="M20006" s="11"/>
      <c r="N20006" s="11"/>
      <c r="O20006" s="11"/>
      <c r="P20006" s="11"/>
    </row>
    <row r="20007" spans="8:16" x14ac:dyDescent="0.25">
      <c r="H20007" s="12"/>
      <c r="I20007" s="12"/>
      <c r="J20007" s="12"/>
      <c r="K20007" s="12"/>
      <c r="L20007" s="12"/>
      <c r="M20007" s="11"/>
      <c r="N20007" s="11"/>
      <c r="O20007" s="11"/>
      <c r="P20007" s="11"/>
    </row>
    <row r="20008" spans="8:16" x14ac:dyDescent="0.25">
      <c r="H20008" s="12"/>
      <c r="I20008" s="12"/>
      <c r="J20008" s="12"/>
      <c r="K20008" s="12"/>
      <c r="L20008" s="12"/>
      <c r="M20008" s="11"/>
      <c r="N20008" s="11"/>
      <c r="O20008" s="11"/>
      <c r="P20008" s="11"/>
    </row>
    <row r="20009" spans="8:16" x14ac:dyDescent="0.25">
      <c r="H20009" s="12"/>
      <c r="I20009" s="12"/>
      <c r="J20009" s="12"/>
      <c r="K20009" s="12"/>
      <c r="L20009" s="12"/>
      <c r="M20009" s="11"/>
      <c r="N20009" s="11"/>
      <c r="O20009" s="11"/>
      <c r="P20009" s="11"/>
    </row>
    <row r="20010" spans="8:16" x14ac:dyDescent="0.25">
      <c r="H20010" s="12"/>
      <c r="I20010" s="12"/>
      <c r="J20010" s="12"/>
      <c r="K20010" s="12"/>
      <c r="L20010" s="12"/>
      <c r="M20010" s="11"/>
      <c r="N20010" s="11"/>
      <c r="O20010" s="11"/>
      <c r="P20010" s="11"/>
    </row>
    <row r="20011" spans="8:16" x14ac:dyDescent="0.25">
      <c r="H20011" s="12"/>
      <c r="I20011" s="12"/>
      <c r="J20011" s="12"/>
      <c r="K20011" s="12"/>
      <c r="L20011" s="12"/>
      <c r="M20011" s="11"/>
      <c r="N20011" s="11"/>
      <c r="O20011" s="11"/>
      <c r="P20011" s="11"/>
    </row>
    <row r="20012" spans="8:16" x14ac:dyDescent="0.25">
      <c r="H20012" s="12"/>
      <c r="I20012" s="12"/>
      <c r="J20012" s="12"/>
      <c r="K20012" s="12"/>
      <c r="L20012" s="12"/>
      <c r="M20012" s="11"/>
      <c r="N20012" s="11"/>
      <c r="O20012" s="11"/>
      <c r="P20012" s="11"/>
    </row>
    <row r="20013" spans="8:16" x14ac:dyDescent="0.25">
      <c r="H20013" s="12"/>
      <c r="I20013" s="12"/>
      <c r="J20013" s="12"/>
      <c r="K20013" s="12"/>
      <c r="L20013" s="12"/>
      <c r="M20013" s="11"/>
      <c r="N20013" s="11"/>
      <c r="O20013" s="11"/>
      <c r="P20013" s="11"/>
    </row>
    <row r="20014" spans="8:16" x14ac:dyDescent="0.25">
      <c r="H20014" s="12"/>
      <c r="I20014" s="12"/>
      <c r="J20014" s="12"/>
      <c r="K20014" s="12"/>
      <c r="L20014" s="12"/>
      <c r="M20014" s="11"/>
      <c r="N20014" s="11"/>
      <c r="O20014" s="11"/>
      <c r="P20014" s="11"/>
    </row>
    <row r="20015" spans="8:16" x14ac:dyDescent="0.25">
      <c r="H20015" s="12"/>
      <c r="I20015" s="12"/>
      <c r="J20015" s="12"/>
      <c r="K20015" s="12"/>
      <c r="L20015" s="12"/>
      <c r="M20015" s="11"/>
      <c r="N20015" s="11"/>
      <c r="O20015" s="11"/>
      <c r="P20015" s="11"/>
    </row>
    <row r="20016" spans="8:16" x14ac:dyDescent="0.25">
      <c r="H20016" s="12"/>
      <c r="I20016" s="12"/>
      <c r="J20016" s="12"/>
      <c r="K20016" s="12"/>
      <c r="L20016" s="12"/>
      <c r="M20016" s="11"/>
      <c r="N20016" s="11"/>
      <c r="O20016" s="11"/>
      <c r="P20016" s="11"/>
    </row>
    <row r="20017" spans="8:16" x14ac:dyDescent="0.25">
      <c r="H20017" s="12"/>
      <c r="I20017" s="12"/>
      <c r="J20017" s="12"/>
      <c r="K20017" s="12"/>
      <c r="L20017" s="12"/>
      <c r="M20017" s="11"/>
      <c r="N20017" s="11"/>
      <c r="O20017" s="11"/>
      <c r="P20017" s="11"/>
    </row>
    <row r="20018" spans="8:16" x14ac:dyDescent="0.25">
      <c r="H20018" s="12"/>
      <c r="I20018" s="12"/>
      <c r="J20018" s="12"/>
      <c r="K20018" s="12"/>
      <c r="L20018" s="12"/>
      <c r="M20018" s="11"/>
      <c r="N20018" s="11"/>
      <c r="O20018" s="11"/>
      <c r="P20018" s="11"/>
    </row>
    <row r="20019" spans="8:16" x14ac:dyDescent="0.25">
      <c r="H20019" s="12"/>
      <c r="I20019" s="12"/>
      <c r="J20019" s="12"/>
      <c r="K20019" s="12"/>
      <c r="L20019" s="12"/>
      <c r="M20019" s="11"/>
      <c r="N20019" s="11"/>
      <c r="O20019" s="11"/>
      <c r="P20019" s="11"/>
    </row>
    <row r="20020" spans="8:16" x14ac:dyDescent="0.25">
      <c r="H20020" s="12"/>
      <c r="I20020" s="12"/>
      <c r="J20020" s="12"/>
      <c r="K20020" s="12"/>
      <c r="L20020" s="12"/>
      <c r="M20020" s="11"/>
      <c r="N20020" s="11"/>
      <c r="O20020" s="11"/>
      <c r="P20020" s="11"/>
    </row>
    <row r="20021" spans="8:16" x14ac:dyDescent="0.25">
      <c r="H20021" s="12"/>
      <c r="I20021" s="12"/>
      <c r="J20021" s="12"/>
      <c r="K20021" s="12"/>
      <c r="L20021" s="12"/>
      <c r="M20021" s="11"/>
      <c r="N20021" s="11"/>
      <c r="O20021" s="11"/>
      <c r="P20021" s="11"/>
    </row>
    <row r="20022" spans="8:16" x14ac:dyDescent="0.25">
      <c r="H20022" s="12"/>
      <c r="I20022" s="12"/>
      <c r="J20022" s="12"/>
      <c r="K20022" s="12"/>
      <c r="L20022" s="12"/>
      <c r="M20022" s="11"/>
      <c r="N20022" s="11"/>
      <c r="O20022" s="11"/>
      <c r="P20022" s="11"/>
    </row>
    <row r="20023" spans="8:16" x14ac:dyDescent="0.25">
      <c r="H20023" s="12"/>
      <c r="I20023" s="12"/>
      <c r="J20023" s="12"/>
      <c r="K20023" s="12"/>
      <c r="L20023" s="12"/>
      <c r="M20023" s="11"/>
      <c r="N20023" s="11"/>
      <c r="O20023" s="11"/>
      <c r="P20023" s="11"/>
    </row>
    <row r="20024" spans="8:16" x14ac:dyDescent="0.25">
      <c r="H20024" s="12"/>
      <c r="I20024" s="12"/>
      <c r="J20024" s="12"/>
      <c r="K20024" s="12"/>
      <c r="L20024" s="12"/>
      <c r="M20024" s="11"/>
      <c r="N20024" s="11"/>
      <c r="O20024" s="11"/>
      <c r="P20024" s="11"/>
    </row>
    <row r="20025" spans="8:16" x14ac:dyDescent="0.25">
      <c r="H20025" s="12"/>
      <c r="I20025" s="12"/>
      <c r="J20025" s="12"/>
      <c r="K20025" s="12"/>
      <c r="L20025" s="12"/>
      <c r="M20025" s="11"/>
      <c r="N20025" s="11"/>
      <c r="O20025" s="11"/>
      <c r="P20025" s="11"/>
    </row>
    <row r="20026" spans="8:16" x14ac:dyDescent="0.25">
      <c r="H20026" s="12"/>
      <c r="I20026" s="12"/>
      <c r="J20026" s="12"/>
      <c r="K20026" s="12"/>
      <c r="L20026" s="12"/>
      <c r="M20026" s="11"/>
      <c r="N20026" s="11"/>
      <c r="O20026" s="11"/>
      <c r="P20026" s="11"/>
    </row>
    <row r="20027" spans="8:16" x14ac:dyDescent="0.25">
      <c r="H20027" s="12"/>
      <c r="I20027" s="12"/>
      <c r="J20027" s="12"/>
      <c r="K20027" s="12"/>
      <c r="L20027" s="12"/>
      <c r="M20027" s="11"/>
      <c r="N20027" s="11"/>
      <c r="O20027" s="11"/>
      <c r="P20027" s="11"/>
    </row>
    <row r="20028" spans="8:16" x14ac:dyDescent="0.25">
      <c r="H20028" s="12"/>
      <c r="I20028" s="12"/>
      <c r="J20028" s="12"/>
      <c r="K20028" s="12"/>
      <c r="L20028" s="12"/>
      <c r="M20028" s="11"/>
      <c r="N20028" s="11"/>
      <c r="O20028" s="11"/>
      <c r="P20028" s="11"/>
    </row>
    <row r="20029" spans="8:16" x14ac:dyDescent="0.25">
      <c r="H20029" s="12"/>
      <c r="I20029" s="12"/>
      <c r="J20029" s="12"/>
      <c r="K20029" s="12"/>
      <c r="L20029" s="12"/>
      <c r="M20029" s="11"/>
      <c r="N20029" s="11"/>
      <c r="O20029" s="11"/>
      <c r="P20029" s="11"/>
    </row>
    <row r="20030" spans="8:16" x14ac:dyDescent="0.25">
      <c r="H20030" s="12"/>
      <c r="I20030" s="12"/>
      <c r="J20030" s="12"/>
      <c r="K20030" s="12"/>
      <c r="L20030" s="12"/>
      <c r="M20030" s="11"/>
      <c r="N20030" s="11"/>
      <c r="O20030" s="11"/>
      <c r="P20030" s="11"/>
    </row>
    <row r="20031" spans="8:16" x14ac:dyDescent="0.25">
      <c r="H20031" s="12"/>
      <c r="I20031" s="12"/>
      <c r="J20031" s="12"/>
      <c r="K20031" s="12"/>
      <c r="L20031" s="12"/>
      <c r="M20031" s="11"/>
      <c r="N20031" s="11"/>
      <c r="O20031" s="11"/>
      <c r="P20031" s="11"/>
    </row>
    <row r="20032" spans="8:16" x14ac:dyDescent="0.25">
      <c r="H20032" s="12"/>
      <c r="I20032" s="12"/>
      <c r="J20032" s="12"/>
      <c r="K20032" s="12"/>
      <c r="L20032" s="12"/>
      <c r="M20032" s="11"/>
      <c r="N20032" s="11"/>
      <c r="O20032" s="11"/>
      <c r="P20032" s="11"/>
    </row>
    <row r="20033" spans="8:16" x14ac:dyDescent="0.25">
      <c r="H20033" s="12"/>
      <c r="I20033" s="12"/>
      <c r="J20033" s="12"/>
      <c r="K20033" s="12"/>
      <c r="L20033" s="12"/>
      <c r="M20033" s="11"/>
      <c r="N20033" s="11"/>
      <c r="O20033" s="11"/>
      <c r="P20033" s="11"/>
    </row>
    <row r="20034" spans="8:16" x14ac:dyDescent="0.25">
      <c r="H20034" s="12"/>
      <c r="I20034" s="12"/>
      <c r="J20034" s="12"/>
      <c r="K20034" s="12"/>
      <c r="L20034" s="12"/>
      <c r="M20034" s="11"/>
      <c r="N20034" s="11"/>
      <c r="O20034" s="11"/>
      <c r="P20034" s="11"/>
    </row>
    <row r="20035" spans="8:16" x14ac:dyDescent="0.25">
      <c r="H20035" s="12"/>
      <c r="I20035" s="12"/>
      <c r="J20035" s="12"/>
      <c r="K20035" s="12"/>
      <c r="L20035" s="12"/>
      <c r="M20035" s="11"/>
      <c r="N20035" s="11"/>
      <c r="O20035" s="11"/>
      <c r="P20035" s="11"/>
    </row>
    <row r="20036" spans="8:16" x14ac:dyDescent="0.25">
      <c r="H20036" s="12"/>
      <c r="I20036" s="12"/>
      <c r="J20036" s="12"/>
      <c r="K20036" s="12"/>
      <c r="L20036" s="12"/>
      <c r="M20036" s="11"/>
      <c r="N20036" s="11"/>
      <c r="O20036" s="11"/>
      <c r="P20036" s="11"/>
    </row>
    <row r="20037" spans="8:16" x14ac:dyDescent="0.25">
      <c r="H20037" s="12"/>
      <c r="I20037" s="12"/>
      <c r="J20037" s="12"/>
      <c r="K20037" s="12"/>
      <c r="L20037" s="12"/>
      <c r="M20037" s="11"/>
      <c r="N20037" s="11"/>
      <c r="O20037" s="11"/>
      <c r="P20037" s="11"/>
    </row>
    <row r="20038" spans="8:16" x14ac:dyDescent="0.25">
      <c r="H20038" s="12"/>
      <c r="I20038" s="12"/>
      <c r="J20038" s="12"/>
      <c r="K20038" s="12"/>
      <c r="L20038" s="12"/>
      <c r="M20038" s="11"/>
      <c r="N20038" s="11"/>
      <c r="O20038" s="11"/>
      <c r="P20038" s="11"/>
    </row>
    <row r="20039" spans="8:16" x14ac:dyDescent="0.25">
      <c r="H20039" s="12"/>
      <c r="I20039" s="12"/>
      <c r="J20039" s="12"/>
      <c r="K20039" s="12"/>
      <c r="L20039" s="12"/>
      <c r="M20039" s="11"/>
      <c r="N20039" s="11"/>
      <c r="O20039" s="11"/>
      <c r="P20039" s="11"/>
    </row>
    <row r="20040" spans="8:16" x14ac:dyDescent="0.25">
      <c r="H20040" s="12"/>
      <c r="I20040" s="12"/>
      <c r="J20040" s="12"/>
      <c r="K20040" s="12"/>
      <c r="L20040" s="12"/>
      <c r="M20040" s="11"/>
      <c r="N20040" s="11"/>
      <c r="O20040" s="11"/>
      <c r="P20040" s="11"/>
    </row>
    <row r="20041" spans="8:16" x14ac:dyDescent="0.25">
      <c r="H20041" s="12"/>
      <c r="I20041" s="12"/>
      <c r="J20041" s="12"/>
      <c r="K20041" s="12"/>
      <c r="L20041" s="12"/>
      <c r="M20041" s="11"/>
      <c r="N20041" s="11"/>
      <c r="O20041" s="11"/>
      <c r="P20041" s="11"/>
    </row>
    <row r="20042" spans="8:16" x14ac:dyDescent="0.25">
      <c r="H20042" s="12"/>
      <c r="I20042" s="12"/>
      <c r="J20042" s="12"/>
      <c r="K20042" s="12"/>
      <c r="L20042" s="12"/>
      <c r="M20042" s="11"/>
      <c r="N20042" s="11"/>
      <c r="O20042" s="11"/>
      <c r="P20042" s="11"/>
    </row>
    <row r="20043" spans="8:16" x14ac:dyDescent="0.25">
      <c r="H20043" s="12"/>
      <c r="I20043" s="12"/>
      <c r="J20043" s="12"/>
      <c r="K20043" s="12"/>
      <c r="L20043" s="12"/>
      <c r="M20043" s="11"/>
      <c r="N20043" s="11"/>
      <c r="O20043" s="11"/>
      <c r="P20043" s="11"/>
    </row>
    <row r="20044" spans="8:16" x14ac:dyDescent="0.25">
      <c r="H20044" s="12"/>
      <c r="I20044" s="12"/>
      <c r="J20044" s="12"/>
      <c r="K20044" s="12"/>
      <c r="L20044" s="12"/>
      <c r="M20044" s="11"/>
      <c r="N20044" s="11"/>
      <c r="O20044" s="11"/>
      <c r="P20044" s="11"/>
    </row>
    <row r="20045" spans="8:16" x14ac:dyDescent="0.25">
      <c r="H20045" s="12"/>
      <c r="I20045" s="12"/>
      <c r="J20045" s="12"/>
      <c r="K20045" s="12"/>
      <c r="L20045" s="12"/>
      <c r="M20045" s="11"/>
      <c r="N20045" s="11"/>
      <c r="O20045" s="11"/>
      <c r="P20045" s="11"/>
    </row>
    <row r="20046" spans="8:16" x14ac:dyDescent="0.25">
      <c r="H20046" s="12"/>
      <c r="I20046" s="12"/>
      <c r="J20046" s="12"/>
      <c r="K20046" s="12"/>
      <c r="L20046" s="12"/>
      <c r="M20046" s="11"/>
      <c r="N20046" s="11"/>
      <c r="O20046" s="11"/>
      <c r="P20046" s="11"/>
    </row>
    <row r="20047" spans="8:16" x14ac:dyDescent="0.25">
      <c r="H20047" s="12"/>
      <c r="I20047" s="12"/>
      <c r="J20047" s="12"/>
      <c r="K20047" s="12"/>
      <c r="L20047" s="12"/>
      <c r="M20047" s="11"/>
      <c r="N20047" s="11"/>
      <c r="O20047" s="11"/>
      <c r="P20047" s="11"/>
    </row>
    <row r="20048" spans="8:16" x14ac:dyDescent="0.25">
      <c r="H20048" s="12"/>
      <c r="I20048" s="12"/>
      <c r="J20048" s="12"/>
      <c r="K20048" s="12"/>
      <c r="L20048" s="12"/>
      <c r="M20048" s="11"/>
      <c r="N20048" s="11"/>
      <c r="O20048" s="11"/>
      <c r="P20048" s="11"/>
    </row>
    <row r="20049" spans="8:16" x14ac:dyDescent="0.25">
      <c r="H20049" s="12"/>
      <c r="I20049" s="12"/>
      <c r="J20049" s="12"/>
      <c r="K20049" s="12"/>
      <c r="L20049" s="12"/>
      <c r="M20049" s="11"/>
      <c r="N20049" s="11"/>
      <c r="O20049" s="11"/>
      <c r="P20049" s="11"/>
    </row>
    <row r="20050" spans="8:16" x14ac:dyDescent="0.25">
      <c r="H20050" s="12"/>
      <c r="I20050" s="12"/>
      <c r="J20050" s="12"/>
      <c r="K20050" s="12"/>
      <c r="L20050" s="12"/>
      <c r="M20050" s="11"/>
      <c r="N20050" s="11"/>
      <c r="O20050" s="11"/>
      <c r="P20050" s="11"/>
    </row>
    <row r="20051" spans="8:16" x14ac:dyDescent="0.25">
      <c r="H20051" s="12"/>
      <c r="I20051" s="12"/>
      <c r="J20051" s="12"/>
      <c r="K20051" s="12"/>
      <c r="L20051" s="12"/>
      <c r="M20051" s="11"/>
      <c r="N20051" s="11"/>
      <c r="O20051" s="11"/>
      <c r="P20051" s="11"/>
    </row>
    <row r="20052" spans="8:16" x14ac:dyDescent="0.25">
      <c r="H20052" s="12"/>
      <c r="I20052" s="12"/>
      <c r="J20052" s="12"/>
      <c r="K20052" s="12"/>
      <c r="L20052" s="12"/>
      <c r="M20052" s="11"/>
      <c r="N20052" s="11"/>
      <c r="O20052" s="11"/>
      <c r="P20052" s="11"/>
    </row>
    <row r="20053" spans="8:16" x14ac:dyDescent="0.25">
      <c r="H20053" s="12"/>
      <c r="I20053" s="12"/>
      <c r="J20053" s="12"/>
      <c r="K20053" s="12"/>
      <c r="L20053" s="12"/>
      <c r="M20053" s="11"/>
      <c r="N20053" s="11"/>
      <c r="O20053" s="11"/>
      <c r="P20053" s="11"/>
    </row>
    <row r="20054" spans="8:16" x14ac:dyDescent="0.25">
      <c r="H20054" s="12"/>
      <c r="I20054" s="12"/>
      <c r="J20054" s="12"/>
      <c r="K20054" s="12"/>
      <c r="L20054" s="12"/>
      <c r="M20054" s="11"/>
      <c r="N20054" s="11"/>
      <c r="O20054" s="11"/>
      <c r="P20054" s="11"/>
    </row>
    <row r="20055" spans="8:16" x14ac:dyDescent="0.25">
      <c r="H20055" s="12"/>
      <c r="I20055" s="12"/>
      <c r="J20055" s="12"/>
      <c r="K20055" s="12"/>
      <c r="L20055" s="12"/>
      <c r="M20055" s="11"/>
      <c r="N20055" s="11"/>
      <c r="O20055" s="11"/>
      <c r="P20055" s="11"/>
    </row>
    <row r="20056" spans="8:16" x14ac:dyDescent="0.25">
      <c r="H20056" s="12"/>
      <c r="I20056" s="12"/>
      <c r="J20056" s="12"/>
      <c r="K20056" s="12"/>
      <c r="L20056" s="12"/>
      <c r="M20056" s="11"/>
      <c r="N20056" s="11"/>
      <c r="O20056" s="11"/>
      <c r="P20056" s="11"/>
    </row>
    <row r="20057" spans="8:16" x14ac:dyDescent="0.25">
      <c r="H20057" s="12"/>
      <c r="I20057" s="12"/>
      <c r="J20057" s="12"/>
      <c r="K20057" s="12"/>
      <c r="L20057" s="12"/>
      <c r="M20057" s="11"/>
      <c r="N20057" s="11"/>
      <c r="O20057" s="11"/>
      <c r="P20057" s="11"/>
    </row>
    <row r="20058" spans="8:16" x14ac:dyDescent="0.25">
      <c r="H20058" s="12"/>
      <c r="I20058" s="12"/>
      <c r="J20058" s="12"/>
      <c r="K20058" s="12"/>
      <c r="L20058" s="12"/>
      <c r="M20058" s="11"/>
      <c r="N20058" s="11"/>
      <c r="O20058" s="11"/>
      <c r="P20058" s="11"/>
    </row>
    <row r="20059" spans="8:16" x14ac:dyDescent="0.25">
      <c r="H20059" s="12"/>
      <c r="I20059" s="12"/>
      <c r="J20059" s="12"/>
      <c r="K20059" s="12"/>
      <c r="L20059" s="12"/>
      <c r="M20059" s="11"/>
      <c r="N20059" s="11"/>
      <c r="O20059" s="11"/>
      <c r="P20059" s="11"/>
    </row>
    <row r="20060" spans="8:16" x14ac:dyDescent="0.25">
      <c r="H20060" s="12"/>
      <c r="I20060" s="12"/>
      <c r="J20060" s="12"/>
      <c r="K20060" s="12"/>
      <c r="L20060" s="12"/>
      <c r="M20060" s="11"/>
      <c r="N20060" s="11"/>
      <c r="O20060" s="11"/>
      <c r="P20060" s="11"/>
    </row>
    <row r="20061" spans="8:16" x14ac:dyDescent="0.25">
      <c r="H20061" s="12"/>
      <c r="I20061" s="12"/>
      <c r="J20061" s="12"/>
      <c r="K20061" s="12"/>
      <c r="L20061" s="12"/>
      <c r="M20061" s="11"/>
      <c r="N20061" s="11"/>
      <c r="O20061" s="11"/>
      <c r="P20061" s="11"/>
    </row>
    <row r="20062" spans="8:16" x14ac:dyDescent="0.25">
      <c r="H20062" s="12"/>
      <c r="I20062" s="12"/>
      <c r="J20062" s="12"/>
      <c r="K20062" s="12"/>
      <c r="L20062" s="12"/>
      <c r="M20062" s="11"/>
      <c r="N20062" s="11"/>
      <c r="O20062" s="11"/>
      <c r="P20062" s="11"/>
    </row>
    <row r="20063" spans="8:16" x14ac:dyDescent="0.25">
      <c r="H20063" s="12"/>
      <c r="I20063" s="12"/>
      <c r="J20063" s="12"/>
      <c r="K20063" s="12"/>
      <c r="L20063" s="12"/>
      <c r="M20063" s="11"/>
      <c r="N20063" s="11"/>
      <c r="O20063" s="11"/>
      <c r="P20063" s="11"/>
    </row>
    <row r="20064" spans="8:16" x14ac:dyDescent="0.25">
      <c r="H20064" s="12"/>
      <c r="I20064" s="12"/>
      <c r="J20064" s="12"/>
      <c r="K20064" s="12"/>
      <c r="L20064" s="12"/>
      <c r="M20064" s="11"/>
      <c r="N20064" s="11"/>
      <c r="O20064" s="11"/>
      <c r="P20064" s="11"/>
    </row>
    <row r="20065" spans="8:16" x14ac:dyDescent="0.25">
      <c r="H20065" s="12"/>
      <c r="I20065" s="12"/>
      <c r="J20065" s="12"/>
      <c r="K20065" s="12"/>
      <c r="L20065" s="12"/>
      <c r="M20065" s="11"/>
      <c r="N20065" s="11"/>
      <c r="O20065" s="11"/>
      <c r="P20065" s="11"/>
    </row>
    <row r="20066" spans="8:16" x14ac:dyDescent="0.25">
      <c r="H20066" s="12"/>
      <c r="I20066" s="12"/>
      <c r="J20066" s="12"/>
      <c r="K20066" s="12"/>
      <c r="L20066" s="12"/>
      <c r="M20066" s="11"/>
      <c r="N20066" s="11"/>
      <c r="O20066" s="11"/>
      <c r="P20066" s="11"/>
    </row>
    <row r="20067" spans="8:16" x14ac:dyDescent="0.25">
      <c r="H20067" s="12"/>
      <c r="I20067" s="12"/>
      <c r="J20067" s="12"/>
      <c r="K20067" s="12"/>
      <c r="L20067" s="12"/>
      <c r="M20067" s="11"/>
      <c r="N20067" s="11"/>
      <c r="O20067" s="11"/>
      <c r="P20067" s="11"/>
    </row>
    <row r="20068" spans="8:16" x14ac:dyDescent="0.25">
      <c r="H20068" s="12"/>
      <c r="I20068" s="12"/>
      <c r="J20068" s="12"/>
      <c r="K20068" s="12"/>
      <c r="L20068" s="12"/>
      <c r="M20068" s="11"/>
      <c r="N20068" s="11"/>
      <c r="O20068" s="11"/>
      <c r="P20068" s="11"/>
    </row>
    <row r="20069" spans="8:16" x14ac:dyDescent="0.25">
      <c r="H20069" s="12"/>
      <c r="I20069" s="12"/>
      <c r="J20069" s="12"/>
      <c r="K20069" s="12"/>
      <c r="L20069" s="12"/>
      <c r="M20069" s="11"/>
      <c r="N20069" s="11"/>
      <c r="O20069" s="11"/>
      <c r="P20069" s="11"/>
    </row>
    <row r="20070" spans="8:16" x14ac:dyDescent="0.25">
      <c r="H20070" s="12"/>
      <c r="I20070" s="12"/>
      <c r="J20070" s="12"/>
      <c r="K20070" s="12"/>
      <c r="L20070" s="12"/>
      <c r="M20070" s="11"/>
      <c r="N20070" s="11"/>
      <c r="O20070" s="11"/>
      <c r="P20070" s="11"/>
    </row>
    <row r="20071" spans="8:16" x14ac:dyDescent="0.25">
      <c r="H20071" s="12"/>
      <c r="I20071" s="12"/>
      <c r="J20071" s="12"/>
      <c r="K20071" s="12"/>
      <c r="L20071" s="12"/>
      <c r="M20071" s="11"/>
      <c r="N20071" s="11"/>
      <c r="O20071" s="11"/>
      <c r="P20071" s="11"/>
    </row>
    <row r="20072" spans="8:16" x14ac:dyDescent="0.25">
      <c r="H20072" s="12"/>
      <c r="I20072" s="12"/>
      <c r="J20072" s="12"/>
      <c r="K20072" s="12"/>
      <c r="L20072" s="12"/>
      <c r="M20072" s="11"/>
      <c r="N20072" s="11"/>
      <c r="O20072" s="11"/>
      <c r="P20072" s="11"/>
    </row>
    <row r="20073" spans="8:16" x14ac:dyDescent="0.25">
      <c r="H20073" s="12"/>
      <c r="I20073" s="12"/>
      <c r="J20073" s="12"/>
      <c r="K20073" s="12"/>
      <c r="L20073" s="12"/>
      <c r="M20073" s="11"/>
      <c r="N20073" s="11"/>
      <c r="O20073" s="11"/>
      <c r="P20073" s="11"/>
    </row>
    <row r="20074" spans="8:16" x14ac:dyDescent="0.25">
      <c r="H20074" s="12"/>
      <c r="I20074" s="12"/>
      <c r="J20074" s="12"/>
      <c r="K20074" s="12"/>
      <c r="L20074" s="12"/>
      <c r="M20074" s="11"/>
      <c r="N20074" s="11"/>
      <c r="O20074" s="11"/>
      <c r="P20074" s="11"/>
    </row>
    <row r="20075" spans="8:16" x14ac:dyDescent="0.25">
      <c r="H20075" s="12"/>
      <c r="I20075" s="12"/>
      <c r="J20075" s="12"/>
      <c r="K20075" s="12"/>
      <c r="L20075" s="12"/>
      <c r="M20075" s="11"/>
      <c r="N20075" s="11"/>
      <c r="O20075" s="11"/>
      <c r="P20075" s="11"/>
    </row>
    <row r="20076" spans="8:16" x14ac:dyDescent="0.25">
      <c r="H20076" s="12"/>
      <c r="I20076" s="12"/>
      <c r="J20076" s="12"/>
      <c r="K20076" s="12"/>
      <c r="L20076" s="12"/>
      <c r="M20076" s="11"/>
      <c r="N20076" s="11"/>
      <c r="O20076" s="11"/>
      <c r="P20076" s="11"/>
    </row>
    <row r="20077" spans="8:16" x14ac:dyDescent="0.25">
      <c r="H20077" s="12"/>
      <c r="I20077" s="12"/>
      <c r="J20077" s="12"/>
      <c r="K20077" s="12"/>
      <c r="L20077" s="12"/>
      <c r="M20077" s="11"/>
      <c r="N20077" s="11"/>
      <c r="O20077" s="11"/>
      <c r="P20077" s="11"/>
    </row>
    <row r="20078" spans="8:16" x14ac:dyDescent="0.25">
      <c r="H20078" s="12"/>
      <c r="I20078" s="12"/>
      <c r="J20078" s="12"/>
      <c r="K20078" s="12"/>
      <c r="L20078" s="12"/>
      <c r="M20078" s="11"/>
      <c r="N20078" s="11"/>
      <c r="O20078" s="11"/>
      <c r="P20078" s="11"/>
    </row>
    <row r="20079" spans="8:16" x14ac:dyDescent="0.25">
      <c r="H20079" s="12"/>
      <c r="I20079" s="12"/>
      <c r="J20079" s="12"/>
      <c r="K20079" s="12"/>
      <c r="L20079" s="12"/>
      <c r="M20079" s="11"/>
      <c r="N20079" s="11"/>
      <c r="O20079" s="11"/>
      <c r="P20079" s="11"/>
    </row>
    <row r="20080" spans="8:16" x14ac:dyDescent="0.25">
      <c r="H20080" s="12"/>
      <c r="I20080" s="12"/>
      <c r="J20080" s="12"/>
      <c r="K20080" s="12"/>
      <c r="L20080" s="12"/>
      <c r="M20080" s="11"/>
      <c r="N20080" s="11"/>
      <c r="O20080" s="11"/>
      <c r="P20080" s="11"/>
    </row>
    <row r="20081" spans="8:16" x14ac:dyDescent="0.25">
      <c r="H20081" s="12"/>
      <c r="I20081" s="12"/>
      <c r="J20081" s="12"/>
      <c r="K20081" s="12"/>
      <c r="L20081" s="12"/>
      <c r="M20081" s="11"/>
      <c r="N20081" s="11"/>
      <c r="O20081" s="11"/>
      <c r="P20081" s="11"/>
    </row>
    <row r="20082" spans="8:16" x14ac:dyDescent="0.25">
      <c r="H20082" s="12"/>
      <c r="I20082" s="12"/>
      <c r="J20082" s="12"/>
      <c r="K20082" s="12"/>
      <c r="L20082" s="12"/>
      <c r="M20082" s="11"/>
      <c r="N20082" s="11"/>
      <c r="O20082" s="11"/>
      <c r="P20082" s="11"/>
    </row>
    <row r="20083" spans="8:16" x14ac:dyDescent="0.25">
      <c r="H20083" s="12"/>
      <c r="I20083" s="12"/>
      <c r="J20083" s="12"/>
      <c r="K20083" s="12"/>
      <c r="L20083" s="12"/>
      <c r="M20083" s="11"/>
      <c r="N20083" s="11"/>
      <c r="O20083" s="11"/>
      <c r="P20083" s="11"/>
    </row>
    <row r="20084" spans="8:16" x14ac:dyDescent="0.25">
      <c r="H20084" s="12"/>
      <c r="I20084" s="12"/>
      <c r="J20084" s="12"/>
      <c r="K20084" s="12"/>
      <c r="L20084" s="12"/>
      <c r="M20084" s="11"/>
      <c r="N20084" s="11"/>
      <c r="O20084" s="11"/>
      <c r="P20084" s="11"/>
    </row>
    <row r="20085" spans="8:16" x14ac:dyDescent="0.25">
      <c r="H20085" s="12"/>
      <c r="I20085" s="12"/>
      <c r="J20085" s="12"/>
      <c r="K20085" s="12"/>
      <c r="L20085" s="12"/>
      <c r="M20085" s="11"/>
      <c r="N20085" s="11"/>
      <c r="O20085" s="11"/>
      <c r="P20085" s="11"/>
    </row>
    <row r="20086" spans="8:16" x14ac:dyDescent="0.25">
      <c r="H20086" s="12"/>
      <c r="I20086" s="12"/>
      <c r="J20086" s="12"/>
      <c r="K20086" s="12"/>
      <c r="L20086" s="12"/>
      <c r="M20086" s="11"/>
      <c r="N20086" s="11"/>
      <c r="O20086" s="11"/>
      <c r="P20086" s="11"/>
    </row>
    <row r="20087" spans="8:16" x14ac:dyDescent="0.25">
      <c r="H20087" s="12"/>
      <c r="I20087" s="12"/>
      <c r="J20087" s="12"/>
      <c r="K20087" s="12"/>
      <c r="L20087" s="12"/>
      <c r="M20087" s="11"/>
      <c r="N20087" s="11"/>
      <c r="O20087" s="11"/>
      <c r="P20087" s="11"/>
    </row>
    <row r="20088" spans="8:16" x14ac:dyDescent="0.25">
      <c r="H20088" s="12"/>
      <c r="I20088" s="12"/>
      <c r="J20088" s="12"/>
      <c r="K20088" s="12"/>
      <c r="L20088" s="12"/>
      <c r="M20088" s="11"/>
      <c r="N20088" s="11"/>
      <c r="O20088" s="11"/>
      <c r="P20088" s="11"/>
    </row>
    <row r="20089" spans="8:16" x14ac:dyDescent="0.25">
      <c r="H20089" s="12"/>
      <c r="I20089" s="12"/>
      <c r="J20089" s="12"/>
      <c r="K20089" s="12"/>
      <c r="L20089" s="12"/>
      <c r="M20089" s="11"/>
      <c r="N20089" s="11"/>
      <c r="O20089" s="11"/>
      <c r="P20089" s="11"/>
    </row>
    <row r="20090" spans="8:16" x14ac:dyDescent="0.25">
      <c r="H20090" s="12"/>
      <c r="I20090" s="12"/>
      <c r="J20090" s="12"/>
      <c r="K20090" s="12"/>
      <c r="L20090" s="12"/>
      <c r="M20090" s="11"/>
      <c r="N20090" s="11"/>
      <c r="O20090" s="11"/>
      <c r="P20090" s="11"/>
    </row>
    <row r="20091" spans="8:16" x14ac:dyDescent="0.25">
      <c r="H20091" s="12"/>
      <c r="I20091" s="12"/>
      <c r="J20091" s="12"/>
      <c r="K20091" s="12"/>
      <c r="L20091" s="12"/>
      <c r="M20091" s="11"/>
      <c r="N20091" s="11"/>
      <c r="O20091" s="11"/>
      <c r="P20091" s="11"/>
    </row>
    <row r="20092" spans="8:16" x14ac:dyDescent="0.25">
      <c r="H20092" s="12"/>
      <c r="I20092" s="12"/>
      <c r="J20092" s="12"/>
      <c r="K20092" s="12"/>
      <c r="L20092" s="12"/>
      <c r="M20092" s="11"/>
      <c r="N20092" s="11"/>
      <c r="O20092" s="11"/>
      <c r="P20092" s="11"/>
    </row>
    <row r="20093" spans="8:16" x14ac:dyDescent="0.25">
      <c r="H20093" s="12"/>
      <c r="I20093" s="12"/>
      <c r="J20093" s="12"/>
      <c r="K20093" s="12"/>
      <c r="L20093" s="12"/>
      <c r="M20093" s="11"/>
      <c r="N20093" s="11"/>
      <c r="O20093" s="11"/>
      <c r="P20093" s="11"/>
    </row>
    <row r="20094" spans="8:16" x14ac:dyDescent="0.25">
      <c r="H20094" s="12"/>
      <c r="I20094" s="12"/>
      <c r="J20094" s="12"/>
      <c r="K20094" s="12"/>
      <c r="L20094" s="12"/>
      <c r="M20094" s="11"/>
      <c r="N20094" s="11"/>
      <c r="O20094" s="11"/>
      <c r="P20094" s="11"/>
    </row>
    <row r="20095" spans="8:16" x14ac:dyDescent="0.25">
      <c r="H20095" s="12"/>
      <c r="I20095" s="12"/>
      <c r="J20095" s="12"/>
      <c r="K20095" s="12"/>
      <c r="L20095" s="12"/>
      <c r="M20095" s="11"/>
      <c r="N20095" s="11"/>
      <c r="O20095" s="11"/>
      <c r="P20095" s="11"/>
    </row>
    <row r="20096" spans="8:16" x14ac:dyDescent="0.25">
      <c r="H20096" s="12"/>
      <c r="I20096" s="12"/>
      <c r="J20096" s="12"/>
      <c r="K20096" s="12"/>
      <c r="L20096" s="12"/>
      <c r="M20096" s="11"/>
      <c r="N20096" s="11"/>
      <c r="O20096" s="11"/>
      <c r="P20096" s="11"/>
    </row>
    <row r="20097" spans="8:16" x14ac:dyDescent="0.25">
      <c r="H20097" s="12"/>
      <c r="I20097" s="12"/>
      <c r="J20097" s="12"/>
      <c r="K20097" s="12"/>
      <c r="L20097" s="12"/>
      <c r="M20097" s="11"/>
      <c r="N20097" s="11"/>
      <c r="O20097" s="11"/>
      <c r="P20097" s="11"/>
    </row>
    <row r="20098" spans="8:16" x14ac:dyDescent="0.25">
      <c r="H20098" s="12"/>
      <c r="I20098" s="12"/>
      <c r="J20098" s="12"/>
      <c r="K20098" s="12"/>
      <c r="L20098" s="12"/>
      <c r="M20098" s="11"/>
      <c r="N20098" s="11"/>
      <c r="O20098" s="11"/>
      <c r="P20098" s="11"/>
    </row>
    <row r="20099" spans="8:16" x14ac:dyDescent="0.25">
      <c r="H20099" s="12"/>
      <c r="I20099" s="12"/>
      <c r="J20099" s="12"/>
      <c r="K20099" s="12"/>
      <c r="L20099" s="12"/>
      <c r="M20099" s="11"/>
      <c r="N20099" s="11"/>
      <c r="O20099" s="11"/>
      <c r="P20099" s="11"/>
    </row>
    <row r="20100" spans="8:16" x14ac:dyDescent="0.25">
      <c r="H20100" s="12"/>
      <c r="I20100" s="12"/>
      <c r="J20100" s="12"/>
      <c r="K20100" s="12"/>
      <c r="L20100" s="12"/>
      <c r="M20100" s="11"/>
      <c r="N20100" s="11"/>
      <c r="O20100" s="11"/>
      <c r="P20100" s="11"/>
    </row>
    <row r="20101" spans="8:16" x14ac:dyDescent="0.25">
      <c r="H20101" s="12"/>
      <c r="I20101" s="12"/>
      <c r="J20101" s="12"/>
      <c r="K20101" s="12"/>
      <c r="L20101" s="12"/>
      <c r="M20101" s="11"/>
      <c r="N20101" s="11"/>
      <c r="O20101" s="11"/>
      <c r="P20101" s="11"/>
    </row>
    <row r="20102" spans="8:16" x14ac:dyDescent="0.25">
      <c r="H20102" s="12"/>
      <c r="I20102" s="12"/>
      <c r="J20102" s="12"/>
      <c r="K20102" s="12"/>
      <c r="L20102" s="12"/>
      <c r="M20102" s="11"/>
      <c r="N20102" s="11"/>
      <c r="O20102" s="11"/>
      <c r="P20102" s="11"/>
    </row>
    <row r="20103" spans="8:16" x14ac:dyDescent="0.25">
      <c r="H20103" s="12"/>
      <c r="I20103" s="12"/>
      <c r="J20103" s="12"/>
      <c r="K20103" s="12"/>
      <c r="L20103" s="12"/>
      <c r="M20103" s="11"/>
      <c r="N20103" s="11"/>
      <c r="O20103" s="11"/>
      <c r="P20103" s="11"/>
    </row>
    <row r="20104" spans="8:16" x14ac:dyDescent="0.25">
      <c r="H20104" s="12"/>
      <c r="I20104" s="12"/>
      <c r="J20104" s="12"/>
      <c r="K20104" s="12"/>
      <c r="L20104" s="12"/>
      <c r="M20104" s="11"/>
      <c r="N20104" s="11"/>
      <c r="O20104" s="11"/>
      <c r="P20104" s="11"/>
    </row>
    <row r="20105" spans="8:16" x14ac:dyDescent="0.25">
      <c r="H20105" s="12"/>
      <c r="I20105" s="12"/>
      <c r="J20105" s="12"/>
      <c r="K20105" s="12"/>
      <c r="L20105" s="12"/>
      <c r="M20105" s="11"/>
      <c r="N20105" s="11"/>
      <c r="O20105" s="11"/>
      <c r="P20105" s="11"/>
    </row>
    <row r="20106" spans="8:16" x14ac:dyDescent="0.25">
      <c r="H20106" s="12"/>
      <c r="I20106" s="12"/>
      <c r="J20106" s="12"/>
      <c r="K20106" s="12"/>
      <c r="L20106" s="12"/>
      <c r="M20106" s="11"/>
      <c r="N20106" s="11"/>
      <c r="O20106" s="11"/>
      <c r="P20106" s="11"/>
    </row>
    <row r="20107" spans="8:16" x14ac:dyDescent="0.25">
      <c r="H20107" s="12"/>
      <c r="I20107" s="12"/>
      <c r="J20107" s="12"/>
      <c r="K20107" s="12"/>
      <c r="L20107" s="12"/>
      <c r="M20107" s="11"/>
      <c r="N20107" s="11"/>
      <c r="O20107" s="11"/>
      <c r="P20107" s="11"/>
    </row>
    <row r="20108" spans="8:16" x14ac:dyDescent="0.25">
      <c r="H20108" s="12"/>
      <c r="I20108" s="12"/>
      <c r="J20108" s="12"/>
      <c r="K20108" s="12"/>
      <c r="L20108" s="12"/>
      <c r="M20108" s="11"/>
      <c r="N20108" s="11"/>
      <c r="O20108" s="11"/>
      <c r="P20108" s="11"/>
    </row>
    <row r="20109" spans="8:16" x14ac:dyDescent="0.25">
      <c r="H20109" s="12"/>
      <c r="I20109" s="12"/>
      <c r="J20109" s="12"/>
      <c r="K20109" s="12"/>
      <c r="L20109" s="12"/>
      <c r="M20109" s="11"/>
      <c r="N20109" s="11"/>
      <c r="O20109" s="11"/>
      <c r="P20109" s="11"/>
    </row>
    <row r="20110" spans="8:16" x14ac:dyDescent="0.25">
      <c r="H20110" s="12"/>
      <c r="I20110" s="12"/>
      <c r="J20110" s="12"/>
      <c r="K20110" s="12"/>
      <c r="L20110" s="12"/>
      <c r="M20110" s="11"/>
      <c r="N20110" s="11"/>
      <c r="O20110" s="11"/>
      <c r="P20110" s="11"/>
    </row>
    <row r="20111" spans="8:16" x14ac:dyDescent="0.25">
      <c r="H20111" s="12"/>
      <c r="I20111" s="12"/>
      <c r="J20111" s="12"/>
      <c r="K20111" s="12"/>
      <c r="L20111" s="12"/>
      <c r="M20111" s="11"/>
      <c r="N20111" s="11"/>
      <c r="O20111" s="11"/>
      <c r="P20111" s="11"/>
    </row>
    <row r="20112" spans="8:16" x14ac:dyDescent="0.25">
      <c r="H20112" s="12"/>
      <c r="I20112" s="12"/>
      <c r="J20112" s="12"/>
      <c r="K20112" s="12"/>
      <c r="L20112" s="12"/>
      <c r="M20112" s="11"/>
      <c r="N20112" s="11"/>
      <c r="O20112" s="11"/>
      <c r="P20112" s="11"/>
    </row>
    <row r="20113" spans="8:16" x14ac:dyDescent="0.25">
      <c r="H20113" s="12"/>
      <c r="I20113" s="12"/>
      <c r="J20113" s="12"/>
      <c r="K20113" s="12"/>
      <c r="L20113" s="12"/>
      <c r="M20113" s="11"/>
      <c r="N20113" s="11"/>
      <c r="O20113" s="11"/>
      <c r="P20113" s="11"/>
    </row>
    <row r="20114" spans="8:16" x14ac:dyDescent="0.25">
      <c r="H20114" s="12"/>
      <c r="I20114" s="12"/>
      <c r="J20114" s="12"/>
      <c r="K20114" s="12"/>
      <c r="L20114" s="12"/>
      <c r="M20114" s="11"/>
      <c r="N20114" s="11"/>
      <c r="O20114" s="11"/>
      <c r="P20114" s="11"/>
    </row>
    <row r="20115" spans="8:16" x14ac:dyDescent="0.25">
      <c r="H20115" s="12"/>
      <c r="I20115" s="12"/>
      <c r="J20115" s="12"/>
      <c r="K20115" s="12"/>
      <c r="L20115" s="12"/>
      <c r="M20115" s="11"/>
      <c r="N20115" s="11"/>
      <c r="O20115" s="11"/>
      <c r="P20115" s="11"/>
    </row>
    <row r="20116" spans="8:16" x14ac:dyDescent="0.25">
      <c r="H20116" s="12"/>
      <c r="I20116" s="12"/>
      <c r="J20116" s="12"/>
      <c r="K20116" s="12"/>
      <c r="L20116" s="12"/>
      <c r="M20116" s="11"/>
      <c r="N20116" s="11"/>
      <c r="O20116" s="11"/>
      <c r="P20116" s="11"/>
    </row>
    <row r="20117" spans="8:16" x14ac:dyDescent="0.25">
      <c r="H20117" s="12"/>
      <c r="I20117" s="12"/>
      <c r="J20117" s="12"/>
      <c r="K20117" s="12"/>
      <c r="L20117" s="12"/>
      <c r="M20117" s="11"/>
      <c r="N20117" s="11"/>
      <c r="O20117" s="11"/>
      <c r="P20117" s="11"/>
    </row>
    <row r="20118" spans="8:16" x14ac:dyDescent="0.25">
      <c r="H20118" s="12"/>
      <c r="I20118" s="12"/>
      <c r="J20118" s="12"/>
      <c r="K20118" s="12"/>
      <c r="L20118" s="12"/>
      <c r="M20118" s="11"/>
      <c r="N20118" s="11"/>
      <c r="O20118" s="11"/>
      <c r="P20118" s="11"/>
    </row>
    <row r="20119" spans="8:16" x14ac:dyDescent="0.25">
      <c r="H20119" s="12"/>
      <c r="I20119" s="12"/>
      <c r="J20119" s="12"/>
      <c r="K20119" s="12"/>
      <c r="L20119" s="12"/>
      <c r="M20119" s="11"/>
      <c r="N20119" s="11"/>
      <c r="O20119" s="11"/>
      <c r="P20119" s="11"/>
    </row>
    <row r="20120" spans="8:16" x14ac:dyDescent="0.25">
      <c r="H20120" s="12"/>
      <c r="I20120" s="12"/>
      <c r="J20120" s="12"/>
      <c r="K20120" s="12"/>
      <c r="L20120" s="12"/>
      <c r="M20120" s="11"/>
      <c r="N20120" s="11"/>
      <c r="O20120" s="11"/>
      <c r="P20120" s="11"/>
    </row>
    <row r="20121" spans="8:16" x14ac:dyDescent="0.25">
      <c r="H20121" s="12"/>
      <c r="I20121" s="12"/>
      <c r="J20121" s="12"/>
      <c r="K20121" s="12"/>
      <c r="L20121" s="12"/>
      <c r="M20121" s="11"/>
      <c r="N20121" s="11"/>
      <c r="O20121" s="11"/>
      <c r="P20121" s="11"/>
    </row>
    <row r="20122" spans="8:16" x14ac:dyDescent="0.25">
      <c r="H20122" s="12"/>
      <c r="I20122" s="12"/>
      <c r="J20122" s="12"/>
      <c r="K20122" s="12"/>
      <c r="L20122" s="12"/>
      <c r="M20122" s="11"/>
      <c r="N20122" s="11"/>
      <c r="O20122" s="11"/>
      <c r="P20122" s="11"/>
    </row>
    <row r="20123" spans="8:16" x14ac:dyDescent="0.25">
      <c r="H20123" s="12"/>
      <c r="I20123" s="12"/>
      <c r="J20123" s="12"/>
      <c r="K20123" s="12"/>
      <c r="L20123" s="12"/>
      <c r="M20123" s="11"/>
      <c r="N20123" s="11"/>
      <c r="O20123" s="11"/>
      <c r="P20123" s="11"/>
    </row>
    <row r="20124" spans="8:16" x14ac:dyDescent="0.25">
      <c r="H20124" s="12"/>
      <c r="I20124" s="12"/>
      <c r="J20124" s="12"/>
      <c r="K20124" s="12"/>
      <c r="L20124" s="12"/>
      <c r="M20124" s="11"/>
      <c r="N20124" s="11"/>
      <c r="O20124" s="11"/>
      <c r="P20124" s="11"/>
    </row>
    <row r="20125" spans="8:16" x14ac:dyDescent="0.25">
      <c r="H20125" s="12"/>
      <c r="I20125" s="12"/>
      <c r="J20125" s="12"/>
      <c r="K20125" s="12"/>
      <c r="L20125" s="12"/>
      <c r="M20125" s="11"/>
      <c r="N20125" s="11"/>
      <c r="O20125" s="11"/>
      <c r="P20125" s="11"/>
    </row>
    <row r="20126" spans="8:16" x14ac:dyDescent="0.25">
      <c r="H20126" s="12"/>
      <c r="I20126" s="12"/>
      <c r="J20126" s="12"/>
      <c r="K20126" s="12"/>
      <c r="L20126" s="12"/>
      <c r="M20126" s="11"/>
      <c r="N20126" s="11"/>
      <c r="O20126" s="11"/>
      <c r="P20126" s="11"/>
    </row>
    <row r="20127" spans="8:16" x14ac:dyDescent="0.25">
      <c r="H20127" s="12"/>
      <c r="I20127" s="12"/>
      <c r="J20127" s="12"/>
      <c r="K20127" s="12"/>
      <c r="L20127" s="12"/>
      <c r="M20127" s="11"/>
      <c r="N20127" s="11"/>
      <c r="O20127" s="11"/>
      <c r="P20127" s="11"/>
    </row>
    <row r="20128" spans="8:16" x14ac:dyDescent="0.25">
      <c r="H20128" s="12"/>
      <c r="I20128" s="12"/>
      <c r="J20128" s="12"/>
      <c r="K20128" s="12"/>
      <c r="L20128" s="12"/>
      <c r="M20128" s="11"/>
      <c r="N20128" s="11"/>
      <c r="O20128" s="11"/>
      <c r="P20128" s="11"/>
    </row>
    <row r="20129" spans="8:16" x14ac:dyDescent="0.25">
      <c r="H20129" s="12"/>
      <c r="I20129" s="12"/>
      <c r="J20129" s="12"/>
      <c r="K20129" s="12"/>
      <c r="L20129" s="12"/>
      <c r="M20129" s="11"/>
      <c r="N20129" s="11"/>
      <c r="O20129" s="11"/>
      <c r="P20129" s="11"/>
    </row>
    <row r="20130" spans="8:16" x14ac:dyDescent="0.25">
      <c r="H20130" s="12"/>
      <c r="I20130" s="12"/>
      <c r="J20130" s="12"/>
      <c r="K20130" s="12"/>
      <c r="L20130" s="12"/>
      <c r="M20130" s="11"/>
      <c r="N20130" s="11"/>
      <c r="O20130" s="11"/>
      <c r="P20130" s="11"/>
    </row>
    <row r="20131" spans="8:16" x14ac:dyDescent="0.25">
      <c r="H20131" s="12"/>
      <c r="I20131" s="12"/>
      <c r="J20131" s="12"/>
      <c r="K20131" s="12"/>
      <c r="L20131" s="12"/>
      <c r="M20131" s="11"/>
      <c r="N20131" s="11"/>
      <c r="O20131" s="11"/>
      <c r="P20131" s="11"/>
    </row>
    <row r="20132" spans="8:16" x14ac:dyDescent="0.25">
      <c r="H20132" s="12"/>
      <c r="I20132" s="12"/>
      <c r="J20132" s="12"/>
      <c r="K20132" s="12"/>
      <c r="L20132" s="12"/>
      <c r="M20132" s="11"/>
      <c r="N20132" s="11"/>
      <c r="O20132" s="11"/>
      <c r="P20132" s="11"/>
    </row>
    <row r="20133" spans="8:16" x14ac:dyDescent="0.25">
      <c r="H20133" s="12"/>
      <c r="I20133" s="12"/>
      <c r="J20133" s="12"/>
      <c r="K20133" s="12"/>
      <c r="L20133" s="12"/>
      <c r="M20133" s="11"/>
      <c r="N20133" s="11"/>
      <c r="O20133" s="11"/>
      <c r="P20133" s="11"/>
    </row>
    <row r="20134" spans="8:16" x14ac:dyDescent="0.25">
      <c r="H20134" s="12"/>
      <c r="I20134" s="12"/>
      <c r="J20134" s="12"/>
      <c r="K20134" s="12"/>
      <c r="L20134" s="12"/>
      <c r="M20134" s="11"/>
      <c r="N20134" s="11"/>
      <c r="O20134" s="11"/>
      <c r="P20134" s="11"/>
    </row>
    <row r="20135" spans="8:16" x14ac:dyDescent="0.25">
      <c r="H20135" s="12"/>
      <c r="I20135" s="12"/>
      <c r="J20135" s="12"/>
      <c r="K20135" s="12"/>
      <c r="L20135" s="12"/>
      <c r="M20135" s="11"/>
      <c r="N20135" s="11"/>
      <c r="O20135" s="11"/>
      <c r="P20135" s="11"/>
    </row>
    <row r="20136" spans="8:16" x14ac:dyDescent="0.25">
      <c r="H20136" s="12"/>
      <c r="I20136" s="12"/>
      <c r="J20136" s="12"/>
      <c r="K20136" s="12"/>
      <c r="L20136" s="12"/>
      <c r="M20136" s="11"/>
      <c r="N20136" s="11"/>
      <c r="O20136" s="11"/>
      <c r="P20136" s="11"/>
    </row>
    <row r="20137" spans="8:16" x14ac:dyDescent="0.25">
      <c r="H20137" s="12"/>
      <c r="I20137" s="12"/>
      <c r="J20137" s="12"/>
      <c r="K20137" s="12"/>
      <c r="L20137" s="12"/>
      <c r="M20137" s="11"/>
      <c r="N20137" s="11"/>
      <c r="O20137" s="11"/>
      <c r="P20137" s="11"/>
    </row>
    <row r="20138" spans="8:16" x14ac:dyDescent="0.25">
      <c r="H20138" s="12"/>
      <c r="I20138" s="12"/>
      <c r="J20138" s="12"/>
      <c r="K20138" s="12"/>
      <c r="L20138" s="12"/>
      <c r="M20138" s="11"/>
      <c r="N20138" s="11"/>
      <c r="O20138" s="11"/>
      <c r="P20138" s="11"/>
    </row>
    <row r="20139" spans="8:16" x14ac:dyDescent="0.25">
      <c r="H20139" s="12"/>
      <c r="I20139" s="12"/>
      <c r="J20139" s="12"/>
      <c r="K20139" s="12"/>
      <c r="L20139" s="12"/>
      <c r="M20139" s="11"/>
      <c r="N20139" s="11"/>
      <c r="O20139" s="11"/>
      <c r="P20139" s="11"/>
    </row>
    <row r="20140" spans="8:16" x14ac:dyDescent="0.25">
      <c r="H20140" s="12"/>
      <c r="I20140" s="12"/>
      <c r="J20140" s="12"/>
      <c r="K20140" s="12"/>
      <c r="L20140" s="12"/>
      <c r="M20140" s="11"/>
      <c r="N20140" s="11"/>
      <c r="O20140" s="11"/>
      <c r="P20140" s="11"/>
    </row>
    <row r="20141" spans="8:16" x14ac:dyDescent="0.25">
      <c r="H20141" s="12"/>
      <c r="I20141" s="12"/>
      <c r="J20141" s="12"/>
      <c r="K20141" s="12"/>
      <c r="L20141" s="12"/>
      <c r="M20141" s="11"/>
      <c r="N20141" s="11"/>
      <c r="O20141" s="11"/>
      <c r="P20141" s="11"/>
    </row>
    <row r="20142" spans="8:16" x14ac:dyDescent="0.25">
      <c r="H20142" s="12"/>
      <c r="I20142" s="12"/>
      <c r="J20142" s="12"/>
      <c r="K20142" s="12"/>
      <c r="L20142" s="12"/>
      <c r="M20142" s="11"/>
      <c r="N20142" s="11"/>
      <c r="O20142" s="11"/>
      <c r="P20142" s="11"/>
    </row>
    <row r="20143" spans="8:16" x14ac:dyDescent="0.25">
      <c r="H20143" s="12"/>
      <c r="I20143" s="12"/>
      <c r="J20143" s="12"/>
      <c r="K20143" s="12"/>
      <c r="L20143" s="12"/>
      <c r="M20143" s="11"/>
      <c r="N20143" s="11"/>
      <c r="O20143" s="11"/>
      <c r="P20143" s="11"/>
    </row>
    <row r="20144" spans="8:16" x14ac:dyDescent="0.25">
      <c r="H20144" s="12"/>
      <c r="I20144" s="12"/>
      <c r="J20144" s="12"/>
      <c r="K20144" s="12"/>
      <c r="L20144" s="12"/>
      <c r="M20144" s="11"/>
      <c r="N20144" s="11"/>
      <c r="O20144" s="11"/>
      <c r="P20144" s="11"/>
    </row>
    <row r="20145" spans="8:16" x14ac:dyDescent="0.25">
      <c r="H20145" s="12"/>
      <c r="I20145" s="12"/>
      <c r="J20145" s="12"/>
      <c r="K20145" s="12"/>
      <c r="L20145" s="12"/>
      <c r="M20145" s="11"/>
      <c r="N20145" s="11"/>
      <c r="O20145" s="11"/>
      <c r="P20145" s="11"/>
    </row>
    <row r="20146" spans="8:16" x14ac:dyDescent="0.25">
      <c r="H20146" s="12"/>
      <c r="I20146" s="12"/>
      <c r="J20146" s="12"/>
      <c r="K20146" s="12"/>
      <c r="L20146" s="12"/>
      <c r="M20146" s="11"/>
      <c r="N20146" s="11"/>
      <c r="O20146" s="11"/>
      <c r="P20146" s="11"/>
    </row>
    <row r="20147" spans="8:16" x14ac:dyDescent="0.25">
      <c r="H20147" s="12"/>
      <c r="I20147" s="12"/>
      <c r="J20147" s="12"/>
      <c r="K20147" s="12"/>
      <c r="L20147" s="12"/>
      <c r="M20147" s="11"/>
      <c r="N20147" s="11"/>
      <c r="O20147" s="11"/>
      <c r="P20147" s="11"/>
    </row>
    <row r="20148" spans="8:16" x14ac:dyDescent="0.25">
      <c r="H20148" s="12"/>
      <c r="I20148" s="12"/>
      <c r="J20148" s="12"/>
      <c r="K20148" s="12"/>
      <c r="L20148" s="12"/>
      <c r="M20148" s="11"/>
      <c r="N20148" s="11"/>
      <c r="O20148" s="11"/>
      <c r="P20148" s="11"/>
    </row>
    <row r="20149" spans="8:16" x14ac:dyDescent="0.25">
      <c r="H20149" s="12"/>
      <c r="I20149" s="12"/>
      <c r="J20149" s="12"/>
      <c r="K20149" s="12"/>
      <c r="L20149" s="12"/>
      <c r="M20149" s="11"/>
      <c r="N20149" s="11"/>
      <c r="O20149" s="11"/>
      <c r="P20149" s="11"/>
    </row>
    <row r="20150" spans="8:16" x14ac:dyDescent="0.25">
      <c r="H20150" s="12"/>
      <c r="I20150" s="12"/>
      <c r="J20150" s="12"/>
      <c r="K20150" s="12"/>
      <c r="L20150" s="12"/>
      <c r="M20150" s="11"/>
      <c r="N20150" s="11"/>
      <c r="O20150" s="11"/>
      <c r="P20150" s="11"/>
    </row>
    <row r="20151" spans="8:16" x14ac:dyDescent="0.25">
      <c r="H20151" s="12"/>
      <c r="I20151" s="12"/>
      <c r="J20151" s="12"/>
      <c r="K20151" s="12"/>
      <c r="L20151" s="12"/>
      <c r="M20151" s="11"/>
      <c r="N20151" s="11"/>
      <c r="O20151" s="11"/>
      <c r="P20151" s="11"/>
    </row>
    <row r="20152" spans="8:16" x14ac:dyDescent="0.25">
      <c r="H20152" s="12"/>
      <c r="I20152" s="12"/>
      <c r="J20152" s="12"/>
      <c r="K20152" s="12"/>
      <c r="L20152" s="12"/>
      <c r="M20152" s="11"/>
      <c r="N20152" s="11"/>
      <c r="O20152" s="11"/>
      <c r="P20152" s="11"/>
    </row>
    <row r="20153" spans="8:16" x14ac:dyDescent="0.25">
      <c r="H20153" s="12"/>
      <c r="I20153" s="12"/>
      <c r="J20153" s="12"/>
      <c r="K20153" s="12"/>
      <c r="L20153" s="12"/>
      <c r="M20153" s="11"/>
      <c r="N20153" s="11"/>
      <c r="O20153" s="11"/>
      <c r="P20153" s="11"/>
    </row>
    <row r="20154" spans="8:16" x14ac:dyDescent="0.25">
      <c r="H20154" s="12"/>
      <c r="I20154" s="12"/>
      <c r="J20154" s="12"/>
      <c r="K20154" s="12"/>
      <c r="L20154" s="12"/>
      <c r="M20154" s="11"/>
      <c r="N20154" s="11"/>
      <c r="O20154" s="11"/>
      <c r="P20154" s="11"/>
    </row>
    <row r="20155" spans="8:16" x14ac:dyDescent="0.25">
      <c r="H20155" s="12"/>
      <c r="I20155" s="12"/>
      <c r="J20155" s="12"/>
      <c r="K20155" s="12"/>
      <c r="L20155" s="12"/>
      <c r="M20155" s="11"/>
      <c r="N20155" s="11"/>
      <c r="O20155" s="11"/>
      <c r="P20155" s="11"/>
    </row>
    <row r="20156" spans="8:16" x14ac:dyDescent="0.25">
      <c r="H20156" s="12"/>
      <c r="I20156" s="12"/>
      <c r="J20156" s="12"/>
      <c r="K20156" s="12"/>
      <c r="L20156" s="12"/>
      <c r="M20156" s="11"/>
      <c r="N20156" s="11"/>
      <c r="O20156" s="11"/>
      <c r="P20156" s="11"/>
    </row>
    <row r="20157" spans="8:16" x14ac:dyDescent="0.25">
      <c r="H20157" s="12"/>
      <c r="I20157" s="12"/>
      <c r="J20157" s="12"/>
      <c r="K20157" s="12"/>
      <c r="L20157" s="12"/>
      <c r="M20157" s="11"/>
      <c r="N20157" s="11"/>
      <c r="O20157" s="11"/>
      <c r="P20157" s="11"/>
    </row>
    <row r="20158" spans="8:16" x14ac:dyDescent="0.25">
      <c r="H20158" s="12"/>
      <c r="I20158" s="12"/>
      <c r="J20158" s="12"/>
      <c r="K20158" s="12"/>
      <c r="L20158" s="12"/>
      <c r="M20158" s="11"/>
      <c r="N20158" s="11"/>
      <c r="O20158" s="11"/>
      <c r="P20158" s="11"/>
    </row>
    <row r="20159" spans="8:16" x14ac:dyDescent="0.25">
      <c r="H20159" s="12"/>
      <c r="I20159" s="12"/>
      <c r="J20159" s="12"/>
      <c r="K20159" s="12"/>
      <c r="L20159" s="12"/>
      <c r="M20159" s="11"/>
      <c r="N20159" s="11"/>
      <c r="O20159" s="11"/>
      <c r="P20159" s="11"/>
    </row>
    <row r="20160" spans="8:16" x14ac:dyDescent="0.25">
      <c r="H20160" s="12"/>
      <c r="I20160" s="12"/>
      <c r="J20160" s="12"/>
      <c r="K20160" s="12"/>
      <c r="L20160" s="12"/>
      <c r="M20160" s="11"/>
      <c r="N20160" s="11"/>
      <c r="O20160" s="11"/>
      <c r="P20160" s="11"/>
    </row>
    <row r="20161" spans="8:16" x14ac:dyDescent="0.25">
      <c r="H20161" s="12"/>
      <c r="I20161" s="12"/>
      <c r="J20161" s="12"/>
      <c r="K20161" s="12"/>
      <c r="L20161" s="12"/>
      <c r="M20161" s="11"/>
      <c r="N20161" s="11"/>
      <c r="O20161" s="11"/>
      <c r="P20161" s="11"/>
    </row>
    <row r="20162" spans="8:16" x14ac:dyDescent="0.25">
      <c r="H20162" s="12"/>
      <c r="I20162" s="12"/>
      <c r="J20162" s="12"/>
      <c r="K20162" s="12"/>
      <c r="L20162" s="12"/>
      <c r="M20162" s="11"/>
      <c r="N20162" s="11"/>
      <c r="O20162" s="11"/>
      <c r="P20162" s="11"/>
    </row>
    <row r="20163" spans="8:16" x14ac:dyDescent="0.25">
      <c r="H20163" s="12"/>
      <c r="I20163" s="12"/>
      <c r="J20163" s="12"/>
      <c r="K20163" s="12"/>
      <c r="L20163" s="12"/>
      <c r="M20163" s="11"/>
      <c r="N20163" s="11"/>
      <c r="O20163" s="11"/>
      <c r="P20163" s="11"/>
    </row>
    <row r="20164" spans="8:16" x14ac:dyDescent="0.25">
      <c r="H20164" s="12"/>
      <c r="I20164" s="12"/>
      <c r="J20164" s="12"/>
      <c r="K20164" s="12"/>
      <c r="L20164" s="12"/>
      <c r="M20164" s="11"/>
      <c r="N20164" s="11"/>
      <c r="O20164" s="11"/>
      <c r="P20164" s="11"/>
    </row>
    <row r="20165" spans="8:16" x14ac:dyDescent="0.25">
      <c r="H20165" s="12"/>
      <c r="I20165" s="12"/>
      <c r="J20165" s="12"/>
      <c r="K20165" s="12"/>
      <c r="L20165" s="12"/>
      <c r="M20165" s="11"/>
      <c r="N20165" s="11"/>
      <c r="O20165" s="11"/>
      <c r="P20165" s="11"/>
    </row>
    <row r="20166" spans="8:16" x14ac:dyDescent="0.25">
      <c r="H20166" s="12"/>
      <c r="I20166" s="12"/>
      <c r="J20166" s="12"/>
      <c r="K20166" s="12"/>
      <c r="L20166" s="12"/>
      <c r="M20166" s="11"/>
      <c r="N20166" s="11"/>
      <c r="O20166" s="11"/>
      <c r="P20166" s="11"/>
    </row>
    <row r="20167" spans="8:16" x14ac:dyDescent="0.25">
      <c r="H20167" s="12"/>
      <c r="I20167" s="12"/>
      <c r="J20167" s="12"/>
      <c r="K20167" s="12"/>
      <c r="L20167" s="12"/>
      <c r="M20167" s="11"/>
      <c r="N20167" s="11"/>
      <c r="O20167" s="11"/>
      <c r="P20167" s="11"/>
    </row>
    <row r="20168" spans="8:16" x14ac:dyDescent="0.25">
      <c r="H20168" s="12"/>
      <c r="I20168" s="12"/>
      <c r="J20168" s="12"/>
      <c r="K20168" s="12"/>
      <c r="L20168" s="12"/>
      <c r="M20168" s="11"/>
      <c r="N20168" s="11"/>
      <c r="O20168" s="11"/>
      <c r="P20168" s="11"/>
    </row>
    <row r="20169" spans="8:16" x14ac:dyDescent="0.25">
      <c r="H20169" s="12"/>
      <c r="I20169" s="12"/>
      <c r="J20169" s="12"/>
      <c r="K20169" s="12"/>
      <c r="L20169" s="12"/>
      <c r="M20169" s="11"/>
      <c r="N20169" s="11"/>
      <c r="O20169" s="11"/>
      <c r="P20169" s="11"/>
    </row>
    <row r="20170" spans="8:16" x14ac:dyDescent="0.25">
      <c r="H20170" s="12"/>
      <c r="I20170" s="12"/>
      <c r="J20170" s="12"/>
      <c r="K20170" s="12"/>
      <c r="L20170" s="12"/>
      <c r="M20170" s="11"/>
      <c r="N20170" s="11"/>
      <c r="O20170" s="11"/>
      <c r="P20170" s="11"/>
    </row>
    <row r="20171" spans="8:16" x14ac:dyDescent="0.25">
      <c r="H20171" s="12"/>
      <c r="I20171" s="12"/>
      <c r="J20171" s="12"/>
      <c r="K20171" s="12"/>
      <c r="L20171" s="12"/>
      <c r="M20171" s="11"/>
      <c r="N20171" s="11"/>
      <c r="O20171" s="11"/>
      <c r="P20171" s="11"/>
    </row>
    <row r="20172" spans="8:16" x14ac:dyDescent="0.25">
      <c r="H20172" s="12"/>
      <c r="I20172" s="12"/>
      <c r="J20172" s="12"/>
      <c r="K20172" s="12"/>
      <c r="L20172" s="12"/>
      <c r="M20172" s="11"/>
      <c r="N20172" s="11"/>
      <c r="O20172" s="11"/>
      <c r="P20172" s="11"/>
    </row>
    <row r="20173" spans="8:16" x14ac:dyDescent="0.25">
      <c r="H20173" s="12"/>
      <c r="I20173" s="12"/>
      <c r="J20173" s="12"/>
      <c r="K20173" s="12"/>
      <c r="L20173" s="12"/>
      <c r="M20173" s="11"/>
      <c r="N20173" s="11"/>
      <c r="O20173" s="11"/>
      <c r="P20173" s="11"/>
    </row>
    <row r="20174" spans="8:16" x14ac:dyDescent="0.25">
      <c r="H20174" s="12"/>
      <c r="I20174" s="12"/>
      <c r="J20174" s="12"/>
      <c r="K20174" s="12"/>
      <c r="L20174" s="12"/>
      <c r="M20174" s="11"/>
      <c r="N20174" s="11"/>
      <c r="O20174" s="11"/>
      <c r="P20174" s="11"/>
    </row>
    <row r="20175" spans="8:16" x14ac:dyDescent="0.25">
      <c r="H20175" s="12"/>
      <c r="I20175" s="12"/>
      <c r="J20175" s="12"/>
      <c r="K20175" s="12"/>
      <c r="L20175" s="12"/>
      <c r="M20175" s="11"/>
      <c r="N20175" s="11"/>
      <c r="O20175" s="11"/>
      <c r="P20175" s="11"/>
    </row>
    <row r="20176" spans="8:16" x14ac:dyDescent="0.25">
      <c r="H20176" s="12"/>
      <c r="I20176" s="12"/>
      <c r="J20176" s="12"/>
      <c r="K20176" s="12"/>
      <c r="L20176" s="12"/>
      <c r="M20176" s="11"/>
      <c r="N20176" s="11"/>
      <c r="O20176" s="11"/>
      <c r="P20176" s="11"/>
    </row>
    <row r="20177" spans="8:16" x14ac:dyDescent="0.25">
      <c r="H20177" s="12"/>
      <c r="I20177" s="12"/>
      <c r="J20177" s="12"/>
      <c r="K20177" s="12"/>
      <c r="L20177" s="12"/>
      <c r="M20177" s="11"/>
      <c r="N20177" s="11"/>
      <c r="O20177" s="11"/>
      <c r="P20177" s="11"/>
    </row>
    <row r="20178" spans="8:16" x14ac:dyDescent="0.25">
      <c r="H20178" s="12"/>
      <c r="I20178" s="12"/>
      <c r="J20178" s="12"/>
      <c r="K20178" s="12"/>
      <c r="L20178" s="12"/>
      <c r="M20178" s="11"/>
      <c r="N20178" s="11"/>
      <c r="O20178" s="11"/>
      <c r="P20178" s="11"/>
    </row>
    <row r="20179" spans="8:16" x14ac:dyDescent="0.25">
      <c r="H20179" s="12"/>
      <c r="I20179" s="12"/>
      <c r="J20179" s="12"/>
      <c r="K20179" s="12"/>
      <c r="L20179" s="12"/>
      <c r="M20179" s="11"/>
      <c r="N20179" s="11"/>
      <c r="O20179" s="11"/>
      <c r="P20179" s="11"/>
    </row>
    <row r="20180" spans="8:16" x14ac:dyDescent="0.25">
      <c r="H20180" s="12"/>
      <c r="I20180" s="12"/>
      <c r="J20180" s="12"/>
      <c r="K20180" s="12"/>
      <c r="L20180" s="12"/>
      <c r="M20180" s="11"/>
      <c r="N20180" s="11"/>
      <c r="O20180" s="11"/>
      <c r="P20180" s="11"/>
    </row>
    <row r="20181" spans="8:16" x14ac:dyDescent="0.25">
      <c r="H20181" s="12"/>
      <c r="I20181" s="12"/>
      <c r="J20181" s="12"/>
      <c r="K20181" s="12"/>
      <c r="L20181" s="12"/>
      <c r="M20181" s="11"/>
      <c r="N20181" s="11"/>
      <c r="O20181" s="11"/>
      <c r="P20181" s="11"/>
    </row>
    <row r="20182" spans="8:16" x14ac:dyDescent="0.25">
      <c r="H20182" s="12"/>
      <c r="I20182" s="12"/>
      <c r="J20182" s="12"/>
      <c r="K20182" s="12"/>
      <c r="L20182" s="12"/>
      <c r="M20182" s="11"/>
      <c r="N20182" s="11"/>
      <c r="O20182" s="11"/>
      <c r="P20182" s="11"/>
    </row>
    <row r="20183" spans="8:16" x14ac:dyDescent="0.25">
      <c r="H20183" s="12"/>
      <c r="I20183" s="12"/>
      <c r="J20183" s="12"/>
      <c r="K20183" s="12"/>
      <c r="L20183" s="12"/>
      <c r="M20183" s="11"/>
      <c r="N20183" s="11"/>
      <c r="O20183" s="11"/>
      <c r="P20183" s="11"/>
    </row>
    <row r="20184" spans="8:16" x14ac:dyDescent="0.25">
      <c r="H20184" s="12"/>
      <c r="I20184" s="12"/>
      <c r="J20184" s="12"/>
      <c r="K20184" s="12"/>
      <c r="L20184" s="12"/>
      <c r="M20184" s="11"/>
      <c r="N20184" s="11"/>
      <c r="O20184" s="11"/>
      <c r="P20184" s="11"/>
    </row>
    <row r="20185" spans="8:16" x14ac:dyDescent="0.25">
      <c r="H20185" s="12"/>
      <c r="I20185" s="12"/>
      <c r="J20185" s="12"/>
      <c r="K20185" s="12"/>
      <c r="L20185" s="12"/>
      <c r="M20185" s="11"/>
      <c r="N20185" s="11"/>
      <c r="O20185" s="11"/>
      <c r="P20185" s="11"/>
    </row>
    <row r="20186" spans="8:16" x14ac:dyDescent="0.25">
      <c r="H20186" s="12"/>
      <c r="I20186" s="12"/>
      <c r="J20186" s="12"/>
      <c r="K20186" s="12"/>
      <c r="L20186" s="12"/>
      <c r="M20186" s="11"/>
      <c r="N20186" s="11"/>
      <c r="O20186" s="11"/>
      <c r="P20186" s="11"/>
    </row>
    <row r="20187" spans="8:16" x14ac:dyDescent="0.25">
      <c r="H20187" s="12"/>
      <c r="I20187" s="12"/>
      <c r="J20187" s="12"/>
      <c r="K20187" s="12"/>
      <c r="L20187" s="12"/>
      <c r="M20187" s="11"/>
      <c r="N20187" s="11"/>
      <c r="O20187" s="11"/>
      <c r="P20187" s="11"/>
    </row>
    <row r="20188" spans="8:16" x14ac:dyDescent="0.25">
      <c r="H20188" s="12"/>
      <c r="I20188" s="12"/>
      <c r="J20188" s="12"/>
      <c r="K20188" s="12"/>
      <c r="L20188" s="12"/>
      <c r="M20188" s="11"/>
      <c r="N20188" s="11"/>
      <c r="O20188" s="11"/>
      <c r="P20188" s="11"/>
    </row>
    <row r="20189" spans="8:16" x14ac:dyDescent="0.25">
      <c r="H20189" s="12"/>
      <c r="I20189" s="12"/>
      <c r="J20189" s="12"/>
      <c r="K20189" s="12"/>
      <c r="L20189" s="12"/>
      <c r="M20189" s="11"/>
      <c r="N20189" s="11"/>
      <c r="O20189" s="11"/>
      <c r="P20189" s="11"/>
    </row>
    <row r="20190" spans="8:16" x14ac:dyDescent="0.25">
      <c r="H20190" s="12"/>
      <c r="I20190" s="12"/>
      <c r="J20190" s="12"/>
      <c r="K20190" s="12"/>
      <c r="L20190" s="12"/>
      <c r="M20190" s="11"/>
      <c r="N20190" s="11"/>
      <c r="O20190" s="11"/>
      <c r="P20190" s="11"/>
    </row>
    <row r="20191" spans="8:16" x14ac:dyDescent="0.25">
      <c r="H20191" s="12"/>
      <c r="I20191" s="12"/>
      <c r="J20191" s="12"/>
      <c r="K20191" s="12"/>
      <c r="L20191" s="12"/>
      <c r="M20191" s="11"/>
      <c r="N20191" s="11"/>
      <c r="O20191" s="11"/>
      <c r="P20191" s="11"/>
    </row>
    <row r="20192" spans="8:16" x14ac:dyDescent="0.25">
      <c r="H20192" s="12"/>
      <c r="I20192" s="12"/>
      <c r="J20192" s="12"/>
      <c r="K20192" s="12"/>
      <c r="L20192" s="12"/>
      <c r="M20192" s="11"/>
      <c r="N20192" s="11"/>
      <c r="O20192" s="11"/>
      <c r="P20192" s="11"/>
    </row>
    <row r="20193" spans="8:16" x14ac:dyDescent="0.25">
      <c r="H20193" s="12"/>
      <c r="I20193" s="12"/>
      <c r="J20193" s="12"/>
      <c r="K20193" s="12"/>
      <c r="L20193" s="12"/>
      <c r="M20193" s="11"/>
      <c r="N20193" s="11"/>
      <c r="O20193" s="11"/>
      <c r="P20193" s="11"/>
    </row>
    <row r="20194" spans="8:16" x14ac:dyDescent="0.25">
      <c r="H20194" s="12"/>
      <c r="I20194" s="12"/>
      <c r="J20194" s="12"/>
      <c r="K20194" s="12"/>
      <c r="L20194" s="12"/>
      <c r="M20194" s="11"/>
      <c r="N20194" s="11"/>
      <c r="O20194" s="11"/>
      <c r="P20194" s="11"/>
    </row>
    <row r="20195" spans="8:16" x14ac:dyDescent="0.25">
      <c r="H20195" s="12"/>
      <c r="I20195" s="12"/>
      <c r="J20195" s="12"/>
      <c r="K20195" s="12"/>
      <c r="L20195" s="12"/>
      <c r="M20195" s="11"/>
      <c r="N20195" s="11"/>
      <c r="O20195" s="11"/>
      <c r="P20195" s="11"/>
    </row>
    <row r="20196" spans="8:16" x14ac:dyDescent="0.25">
      <c r="H20196" s="12"/>
      <c r="I20196" s="12"/>
      <c r="J20196" s="12"/>
      <c r="K20196" s="12"/>
      <c r="L20196" s="12"/>
      <c r="M20196" s="11"/>
      <c r="N20196" s="11"/>
      <c r="O20196" s="11"/>
      <c r="P20196" s="11"/>
    </row>
    <row r="20197" spans="8:16" x14ac:dyDescent="0.25">
      <c r="H20197" s="12"/>
      <c r="I20197" s="12"/>
      <c r="J20197" s="12"/>
      <c r="K20197" s="12"/>
      <c r="L20197" s="12"/>
      <c r="M20197" s="11"/>
      <c r="N20197" s="11"/>
      <c r="O20197" s="11"/>
      <c r="P20197" s="11"/>
    </row>
    <row r="20198" spans="8:16" x14ac:dyDescent="0.25">
      <c r="H20198" s="12"/>
      <c r="I20198" s="12"/>
      <c r="J20198" s="12"/>
      <c r="K20198" s="12"/>
      <c r="L20198" s="12"/>
      <c r="M20198" s="11"/>
      <c r="N20198" s="11"/>
      <c r="O20198" s="11"/>
      <c r="P20198" s="11"/>
    </row>
    <row r="20199" spans="8:16" x14ac:dyDescent="0.25">
      <c r="H20199" s="12"/>
      <c r="I20199" s="12"/>
      <c r="J20199" s="12"/>
      <c r="K20199" s="12"/>
      <c r="L20199" s="12"/>
      <c r="M20199" s="11"/>
      <c r="N20199" s="11"/>
      <c r="O20199" s="11"/>
      <c r="P20199" s="11"/>
    </row>
    <row r="20200" spans="8:16" x14ac:dyDescent="0.25">
      <c r="H20200" s="12"/>
      <c r="I20200" s="12"/>
      <c r="J20200" s="12"/>
      <c r="K20200" s="12"/>
      <c r="L20200" s="12"/>
      <c r="M20200" s="11"/>
      <c r="N20200" s="11"/>
      <c r="O20200" s="11"/>
      <c r="P20200" s="11"/>
    </row>
    <row r="20201" spans="8:16" x14ac:dyDescent="0.25">
      <c r="H20201" s="12"/>
      <c r="I20201" s="12"/>
      <c r="J20201" s="12"/>
      <c r="K20201" s="12"/>
      <c r="L20201" s="12"/>
      <c r="M20201" s="11"/>
      <c r="N20201" s="11"/>
      <c r="O20201" s="11"/>
      <c r="P20201" s="11"/>
    </row>
    <row r="20202" spans="8:16" x14ac:dyDescent="0.25">
      <c r="H20202" s="12"/>
      <c r="I20202" s="12"/>
      <c r="J20202" s="12"/>
      <c r="K20202" s="12"/>
      <c r="L20202" s="12"/>
      <c r="M20202" s="11"/>
      <c r="N20202" s="11"/>
      <c r="O20202" s="11"/>
      <c r="P20202" s="11"/>
    </row>
    <row r="20203" spans="8:16" x14ac:dyDescent="0.25">
      <c r="H20203" s="12"/>
      <c r="I20203" s="12"/>
      <c r="J20203" s="12"/>
      <c r="K20203" s="12"/>
      <c r="L20203" s="12"/>
      <c r="M20203" s="11"/>
      <c r="N20203" s="11"/>
      <c r="O20203" s="11"/>
      <c r="P20203" s="11"/>
    </row>
    <row r="20204" spans="8:16" x14ac:dyDescent="0.25">
      <c r="H20204" s="12"/>
      <c r="I20204" s="12"/>
      <c r="J20204" s="12"/>
      <c r="K20204" s="12"/>
      <c r="L20204" s="12"/>
      <c r="M20204" s="11"/>
      <c r="N20204" s="11"/>
      <c r="O20204" s="11"/>
      <c r="P20204" s="11"/>
    </row>
    <row r="20205" spans="8:16" x14ac:dyDescent="0.25">
      <c r="H20205" s="12"/>
      <c r="I20205" s="12"/>
      <c r="J20205" s="12"/>
      <c r="K20205" s="12"/>
      <c r="L20205" s="12"/>
      <c r="M20205" s="11"/>
      <c r="N20205" s="11"/>
      <c r="O20205" s="11"/>
      <c r="P20205" s="11"/>
    </row>
    <row r="20206" spans="8:16" x14ac:dyDescent="0.25">
      <c r="H20206" s="12"/>
      <c r="I20206" s="12"/>
      <c r="J20206" s="12"/>
      <c r="K20206" s="12"/>
      <c r="L20206" s="12"/>
      <c r="M20206" s="11"/>
      <c r="N20206" s="11"/>
      <c r="O20206" s="11"/>
      <c r="P20206" s="11"/>
    </row>
    <row r="20207" spans="8:16" x14ac:dyDescent="0.25">
      <c r="H20207" s="12"/>
      <c r="I20207" s="12"/>
      <c r="J20207" s="12"/>
      <c r="K20207" s="12"/>
      <c r="L20207" s="12"/>
      <c r="M20207" s="11"/>
      <c r="N20207" s="11"/>
      <c r="O20207" s="11"/>
      <c r="P20207" s="11"/>
    </row>
    <row r="20208" spans="8:16" x14ac:dyDescent="0.25">
      <c r="H20208" s="12"/>
      <c r="I20208" s="12"/>
      <c r="J20208" s="12"/>
      <c r="K20208" s="12"/>
      <c r="L20208" s="12"/>
      <c r="M20208" s="11"/>
      <c r="N20208" s="11"/>
      <c r="O20208" s="11"/>
      <c r="P20208" s="11"/>
    </row>
    <row r="20209" spans="8:16" x14ac:dyDescent="0.25">
      <c r="H20209" s="12"/>
      <c r="I20209" s="12"/>
      <c r="J20209" s="12"/>
      <c r="K20209" s="12"/>
      <c r="L20209" s="12"/>
      <c r="M20209" s="11"/>
      <c r="N20209" s="11"/>
      <c r="O20209" s="11"/>
      <c r="P20209" s="11"/>
    </row>
    <row r="20210" spans="8:16" x14ac:dyDescent="0.25">
      <c r="H20210" s="12"/>
      <c r="I20210" s="12"/>
      <c r="J20210" s="12"/>
      <c r="K20210" s="12"/>
      <c r="L20210" s="12"/>
      <c r="M20210" s="11"/>
      <c r="N20210" s="11"/>
      <c r="O20210" s="11"/>
      <c r="P20210" s="11"/>
    </row>
    <row r="20211" spans="8:16" x14ac:dyDescent="0.25">
      <c r="H20211" s="12"/>
      <c r="I20211" s="12"/>
      <c r="J20211" s="12"/>
      <c r="K20211" s="12"/>
      <c r="L20211" s="12"/>
      <c r="M20211" s="11"/>
      <c r="N20211" s="11"/>
      <c r="O20211" s="11"/>
      <c r="P20211" s="11"/>
    </row>
    <row r="20212" spans="8:16" x14ac:dyDescent="0.25">
      <c r="H20212" s="12"/>
      <c r="I20212" s="12"/>
      <c r="J20212" s="12"/>
      <c r="K20212" s="12"/>
      <c r="L20212" s="12"/>
      <c r="M20212" s="11"/>
      <c r="N20212" s="11"/>
      <c r="O20212" s="11"/>
      <c r="P20212" s="11"/>
    </row>
    <row r="20213" spans="8:16" x14ac:dyDescent="0.25">
      <c r="H20213" s="12"/>
      <c r="I20213" s="12"/>
      <c r="J20213" s="12"/>
      <c r="K20213" s="12"/>
      <c r="L20213" s="12"/>
      <c r="M20213" s="11"/>
      <c r="N20213" s="11"/>
      <c r="O20213" s="11"/>
      <c r="P20213" s="11"/>
    </row>
    <row r="20214" spans="8:16" x14ac:dyDescent="0.25">
      <c r="H20214" s="12"/>
      <c r="I20214" s="12"/>
      <c r="J20214" s="12"/>
      <c r="K20214" s="12"/>
      <c r="L20214" s="12"/>
      <c r="M20214" s="11"/>
      <c r="N20214" s="11"/>
      <c r="O20214" s="11"/>
      <c r="P20214" s="11"/>
    </row>
    <row r="20215" spans="8:16" x14ac:dyDescent="0.25">
      <c r="H20215" s="12"/>
      <c r="I20215" s="12"/>
      <c r="J20215" s="12"/>
      <c r="K20215" s="12"/>
      <c r="L20215" s="12"/>
      <c r="M20215" s="11"/>
      <c r="N20215" s="11"/>
      <c r="O20215" s="11"/>
      <c r="P20215" s="11"/>
    </row>
    <row r="20216" spans="8:16" x14ac:dyDescent="0.25">
      <c r="H20216" s="12"/>
      <c r="I20216" s="12"/>
      <c r="J20216" s="12"/>
      <c r="K20216" s="12"/>
      <c r="L20216" s="12"/>
      <c r="M20216" s="11"/>
      <c r="N20216" s="11"/>
      <c r="O20216" s="11"/>
      <c r="P20216" s="11"/>
    </row>
    <row r="20217" spans="8:16" x14ac:dyDescent="0.25">
      <c r="H20217" s="12"/>
      <c r="I20217" s="12"/>
      <c r="J20217" s="12"/>
      <c r="K20217" s="12"/>
      <c r="L20217" s="12"/>
      <c r="M20217" s="11"/>
      <c r="N20217" s="11"/>
      <c r="O20217" s="11"/>
      <c r="P20217" s="11"/>
    </row>
    <row r="20218" spans="8:16" x14ac:dyDescent="0.25">
      <c r="H20218" s="12"/>
      <c r="I20218" s="12"/>
      <c r="J20218" s="12"/>
      <c r="K20218" s="12"/>
      <c r="L20218" s="12"/>
      <c r="M20218" s="11"/>
      <c r="N20218" s="11"/>
      <c r="O20218" s="11"/>
      <c r="P20218" s="11"/>
    </row>
    <row r="20219" spans="8:16" x14ac:dyDescent="0.25">
      <c r="H20219" s="12"/>
      <c r="I20219" s="12"/>
      <c r="J20219" s="12"/>
      <c r="K20219" s="12"/>
      <c r="L20219" s="12"/>
      <c r="M20219" s="11"/>
      <c r="N20219" s="11"/>
      <c r="O20219" s="11"/>
      <c r="P20219" s="11"/>
    </row>
    <row r="20220" spans="8:16" x14ac:dyDescent="0.25">
      <c r="H20220" s="12"/>
      <c r="I20220" s="12"/>
      <c r="J20220" s="12"/>
      <c r="K20220" s="12"/>
      <c r="L20220" s="12"/>
      <c r="M20220" s="11"/>
      <c r="N20220" s="11"/>
      <c r="O20220" s="11"/>
      <c r="P20220" s="11"/>
    </row>
    <row r="20221" spans="8:16" x14ac:dyDescent="0.25">
      <c r="H20221" s="12"/>
      <c r="I20221" s="12"/>
      <c r="J20221" s="12"/>
      <c r="K20221" s="12"/>
      <c r="L20221" s="12"/>
      <c r="M20221" s="11"/>
      <c r="N20221" s="11"/>
      <c r="O20221" s="11"/>
      <c r="P20221" s="11"/>
    </row>
    <row r="20222" spans="8:16" x14ac:dyDescent="0.25">
      <c r="H20222" s="12"/>
      <c r="I20222" s="12"/>
      <c r="J20222" s="12"/>
      <c r="K20222" s="12"/>
      <c r="L20222" s="12"/>
      <c r="M20222" s="11"/>
      <c r="N20222" s="11"/>
      <c r="O20222" s="11"/>
      <c r="P20222" s="11"/>
    </row>
    <row r="20223" spans="8:16" x14ac:dyDescent="0.25">
      <c r="H20223" s="12"/>
      <c r="I20223" s="12"/>
      <c r="J20223" s="12"/>
      <c r="K20223" s="12"/>
      <c r="L20223" s="12"/>
      <c r="M20223" s="11"/>
      <c r="N20223" s="11"/>
      <c r="O20223" s="11"/>
      <c r="P20223" s="11"/>
    </row>
    <row r="20224" spans="8:16" x14ac:dyDescent="0.25">
      <c r="H20224" s="12"/>
      <c r="I20224" s="12"/>
      <c r="J20224" s="12"/>
      <c r="K20224" s="12"/>
      <c r="L20224" s="12"/>
      <c r="M20224" s="11"/>
      <c r="N20224" s="11"/>
      <c r="O20224" s="11"/>
      <c r="P20224" s="11"/>
    </row>
    <row r="20225" spans="8:16" x14ac:dyDescent="0.25">
      <c r="H20225" s="12"/>
      <c r="I20225" s="12"/>
      <c r="J20225" s="12"/>
      <c r="K20225" s="12"/>
      <c r="L20225" s="12"/>
      <c r="M20225" s="11"/>
      <c r="N20225" s="11"/>
      <c r="O20225" s="11"/>
      <c r="P20225" s="11"/>
    </row>
    <row r="20226" spans="8:16" x14ac:dyDescent="0.25">
      <c r="H20226" s="12"/>
      <c r="I20226" s="12"/>
      <c r="J20226" s="12"/>
      <c r="K20226" s="12"/>
      <c r="L20226" s="12"/>
      <c r="M20226" s="11"/>
      <c r="N20226" s="11"/>
      <c r="O20226" s="11"/>
      <c r="P20226" s="11"/>
    </row>
    <row r="20227" spans="8:16" x14ac:dyDescent="0.25">
      <c r="H20227" s="12"/>
      <c r="I20227" s="12"/>
      <c r="J20227" s="12"/>
      <c r="K20227" s="12"/>
      <c r="L20227" s="12"/>
      <c r="M20227" s="11"/>
      <c r="N20227" s="11"/>
      <c r="O20227" s="11"/>
      <c r="P20227" s="11"/>
    </row>
    <row r="20228" spans="8:16" x14ac:dyDescent="0.25">
      <c r="H20228" s="12"/>
      <c r="I20228" s="12"/>
      <c r="J20228" s="12"/>
      <c r="K20228" s="12"/>
      <c r="L20228" s="12"/>
      <c r="M20228" s="11"/>
      <c r="N20228" s="11"/>
      <c r="O20228" s="11"/>
      <c r="P20228" s="11"/>
    </row>
    <row r="20229" spans="8:16" x14ac:dyDescent="0.25">
      <c r="H20229" s="12"/>
      <c r="I20229" s="12"/>
      <c r="J20229" s="12"/>
      <c r="K20229" s="12"/>
      <c r="L20229" s="12"/>
      <c r="M20229" s="11"/>
      <c r="N20229" s="11"/>
      <c r="O20229" s="11"/>
      <c r="P20229" s="11"/>
    </row>
    <row r="20230" spans="8:16" x14ac:dyDescent="0.25">
      <c r="H20230" s="12"/>
      <c r="I20230" s="12"/>
      <c r="J20230" s="12"/>
      <c r="K20230" s="12"/>
      <c r="L20230" s="12"/>
      <c r="M20230" s="11"/>
      <c r="N20230" s="11"/>
      <c r="O20230" s="11"/>
      <c r="P20230" s="11"/>
    </row>
    <row r="20231" spans="8:16" x14ac:dyDescent="0.25">
      <c r="H20231" s="12"/>
      <c r="I20231" s="12"/>
      <c r="J20231" s="12"/>
      <c r="K20231" s="12"/>
      <c r="L20231" s="12"/>
      <c r="M20231" s="11"/>
      <c r="N20231" s="11"/>
      <c r="O20231" s="11"/>
      <c r="P20231" s="11"/>
    </row>
    <row r="20232" spans="8:16" x14ac:dyDescent="0.25">
      <c r="H20232" s="12"/>
      <c r="I20232" s="12"/>
      <c r="J20232" s="12"/>
      <c r="K20232" s="12"/>
      <c r="L20232" s="12"/>
      <c r="M20232" s="11"/>
      <c r="N20232" s="11"/>
      <c r="O20232" s="11"/>
      <c r="P20232" s="11"/>
    </row>
    <row r="20233" spans="8:16" x14ac:dyDescent="0.25">
      <c r="H20233" s="12"/>
      <c r="I20233" s="12"/>
      <c r="J20233" s="12"/>
      <c r="K20233" s="12"/>
      <c r="L20233" s="12"/>
      <c r="M20233" s="11"/>
      <c r="N20233" s="11"/>
      <c r="O20233" s="11"/>
      <c r="P20233" s="11"/>
    </row>
    <row r="20234" spans="8:16" x14ac:dyDescent="0.25">
      <c r="H20234" s="12"/>
      <c r="I20234" s="12"/>
      <c r="J20234" s="12"/>
      <c r="K20234" s="12"/>
      <c r="L20234" s="12"/>
      <c r="M20234" s="11"/>
      <c r="N20234" s="11"/>
      <c r="O20234" s="11"/>
      <c r="P20234" s="11"/>
    </row>
    <row r="20235" spans="8:16" x14ac:dyDescent="0.25">
      <c r="H20235" s="12"/>
      <c r="I20235" s="12"/>
      <c r="J20235" s="12"/>
      <c r="K20235" s="12"/>
      <c r="L20235" s="12"/>
      <c r="M20235" s="11"/>
      <c r="N20235" s="11"/>
      <c r="O20235" s="11"/>
      <c r="P20235" s="11"/>
    </row>
    <row r="20236" spans="8:16" x14ac:dyDescent="0.25">
      <c r="H20236" s="12"/>
      <c r="I20236" s="12"/>
      <c r="J20236" s="12"/>
      <c r="K20236" s="12"/>
      <c r="L20236" s="12"/>
      <c r="M20236" s="11"/>
      <c r="N20236" s="11"/>
      <c r="O20236" s="11"/>
      <c r="P20236" s="11"/>
    </row>
    <row r="20237" spans="8:16" x14ac:dyDescent="0.25">
      <c r="H20237" s="12"/>
      <c r="I20237" s="12"/>
      <c r="J20237" s="12"/>
      <c r="K20237" s="12"/>
      <c r="L20237" s="12"/>
      <c r="M20237" s="11"/>
      <c r="N20237" s="11"/>
      <c r="O20237" s="11"/>
      <c r="P20237" s="11"/>
    </row>
    <row r="20238" spans="8:16" x14ac:dyDescent="0.25">
      <c r="H20238" s="12"/>
      <c r="I20238" s="12"/>
      <c r="J20238" s="12"/>
      <c r="K20238" s="12"/>
      <c r="L20238" s="12"/>
      <c r="M20238" s="11"/>
      <c r="N20238" s="11"/>
      <c r="O20238" s="11"/>
      <c r="P20238" s="11"/>
    </row>
    <row r="20239" spans="8:16" x14ac:dyDescent="0.25">
      <c r="H20239" s="12"/>
      <c r="I20239" s="12"/>
      <c r="J20239" s="12"/>
      <c r="K20239" s="12"/>
      <c r="L20239" s="12"/>
      <c r="M20239" s="11"/>
      <c r="N20239" s="11"/>
      <c r="O20239" s="11"/>
      <c r="P20239" s="11"/>
    </row>
    <row r="20240" spans="8:16" x14ac:dyDescent="0.25">
      <c r="H20240" s="12"/>
      <c r="I20240" s="12"/>
      <c r="J20240" s="12"/>
      <c r="K20240" s="12"/>
      <c r="L20240" s="12"/>
      <c r="M20240" s="11"/>
      <c r="N20240" s="11"/>
      <c r="O20240" s="11"/>
      <c r="P20240" s="11"/>
    </row>
    <row r="20241" spans="8:16" x14ac:dyDescent="0.25">
      <c r="H20241" s="12"/>
      <c r="I20241" s="12"/>
      <c r="J20241" s="12"/>
      <c r="K20241" s="12"/>
      <c r="L20241" s="12"/>
      <c r="M20241" s="11"/>
      <c r="N20241" s="11"/>
      <c r="O20241" s="11"/>
      <c r="P20241" s="11"/>
    </row>
    <row r="20242" spans="8:16" x14ac:dyDescent="0.25">
      <c r="H20242" s="12"/>
      <c r="I20242" s="12"/>
      <c r="J20242" s="12"/>
      <c r="K20242" s="12"/>
      <c r="L20242" s="12"/>
      <c r="M20242" s="11"/>
      <c r="N20242" s="11"/>
      <c r="O20242" s="11"/>
      <c r="P20242" s="11"/>
    </row>
    <row r="20243" spans="8:16" x14ac:dyDescent="0.25">
      <c r="H20243" s="12"/>
      <c r="I20243" s="12"/>
      <c r="J20243" s="12"/>
      <c r="K20243" s="12"/>
      <c r="L20243" s="12"/>
      <c r="M20243" s="11"/>
      <c r="N20243" s="11"/>
      <c r="O20243" s="11"/>
      <c r="P20243" s="11"/>
    </row>
    <row r="20244" spans="8:16" x14ac:dyDescent="0.25">
      <c r="H20244" s="12"/>
      <c r="I20244" s="12"/>
      <c r="J20244" s="12"/>
      <c r="K20244" s="12"/>
      <c r="L20244" s="12"/>
      <c r="M20244" s="11"/>
      <c r="N20244" s="11"/>
      <c r="O20244" s="11"/>
      <c r="P20244" s="11"/>
    </row>
    <row r="20245" spans="8:16" x14ac:dyDescent="0.25">
      <c r="H20245" s="12"/>
      <c r="I20245" s="12"/>
      <c r="J20245" s="12"/>
      <c r="K20245" s="12"/>
      <c r="L20245" s="12"/>
      <c r="M20245" s="11"/>
      <c r="N20245" s="11"/>
      <c r="O20245" s="11"/>
      <c r="P20245" s="11"/>
    </row>
    <row r="20246" spans="8:16" x14ac:dyDescent="0.25">
      <c r="H20246" s="12"/>
      <c r="I20246" s="12"/>
      <c r="J20246" s="12"/>
      <c r="K20246" s="12"/>
      <c r="L20246" s="12"/>
      <c r="M20246" s="11"/>
      <c r="N20246" s="11"/>
      <c r="O20246" s="11"/>
      <c r="P20246" s="11"/>
    </row>
    <row r="20247" spans="8:16" x14ac:dyDescent="0.25">
      <c r="H20247" s="12"/>
      <c r="I20247" s="12"/>
      <c r="J20247" s="12"/>
      <c r="K20247" s="12"/>
      <c r="L20247" s="12"/>
      <c r="M20247" s="11"/>
      <c r="N20247" s="11"/>
      <c r="O20247" s="11"/>
      <c r="P20247" s="11"/>
    </row>
    <row r="20248" spans="8:16" x14ac:dyDescent="0.25">
      <c r="H20248" s="12"/>
      <c r="I20248" s="12"/>
      <c r="J20248" s="12"/>
      <c r="K20248" s="12"/>
      <c r="L20248" s="12"/>
      <c r="M20248" s="11"/>
      <c r="N20248" s="11"/>
      <c r="O20248" s="11"/>
      <c r="P20248" s="11"/>
    </row>
    <row r="20249" spans="8:16" x14ac:dyDescent="0.25">
      <c r="H20249" s="12"/>
      <c r="I20249" s="12"/>
      <c r="J20249" s="12"/>
      <c r="K20249" s="12"/>
      <c r="L20249" s="12"/>
      <c r="M20249" s="11"/>
      <c r="N20249" s="11"/>
      <c r="O20249" s="11"/>
      <c r="P20249" s="11"/>
    </row>
    <row r="20250" spans="8:16" x14ac:dyDescent="0.25">
      <c r="H20250" s="12"/>
      <c r="I20250" s="12"/>
      <c r="J20250" s="12"/>
      <c r="K20250" s="12"/>
      <c r="L20250" s="12"/>
      <c r="M20250" s="11"/>
      <c r="N20250" s="11"/>
      <c r="O20250" s="11"/>
      <c r="P20250" s="11"/>
    </row>
    <row r="20251" spans="8:16" x14ac:dyDescent="0.25">
      <c r="H20251" s="12"/>
      <c r="I20251" s="12"/>
      <c r="J20251" s="12"/>
      <c r="K20251" s="12"/>
      <c r="L20251" s="12"/>
      <c r="M20251" s="11"/>
      <c r="N20251" s="11"/>
      <c r="O20251" s="11"/>
      <c r="P20251" s="11"/>
    </row>
    <row r="20252" spans="8:16" x14ac:dyDescent="0.25">
      <c r="H20252" s="12"/>
      <c r="I20252" s="12"/>
      <c r="J20252" s="12"/>
      <c r="K20252" s="12"/>
      <c r="L20252" s="12"/>
      <c r="M20252" s="11"/>
      <c r="N20252" s="11"/>
      <c r="O20252" s="11"/>
      <c r="P20252" s="11"/>
    </row>
    <row r="20253" spans="8:16" x14ac:dyDescent="0.25">
      <c r="H20253" s="12"/>
      <c r="I20253" s="12"/>
      <c r="J20253" s="12"/>
      <c r="K20253" s="12"/>
      <c r="L20253" s="12"/>
      <c r="M20253" s="11"/>
      <c r="N20253" s="11"/>
      <c r="O20253" s="11"/>
      <c r="P20253" s="11"/>
    </row>
    <row r="20254" spans="8:16" x14ac:dyDescent="0.25">
      <c r="H20254" s="12"/>
      <c r="I20254" s="12"/>
      <c r="J20254" s="12"/>
      <c r="K20254" s="12"/>
      <c r="L20254" s="12"/>
      <c r="M20254" s="11"/>
      <c r="N20254" s="11"/>
      <c r="O20254" s="11"/>
      <c r="P20254" s="11"/>
    </row>
    <row r="20255" spans="8:16" x14ac:dyDescent="0.25">
      <c r="H20255" s="12"/>
      <c r="I20255" s="12"/>
      <c r="J20255" s="12"/>
      <c r="K20255" s="12"/>
      <c r="L20255" s="12"/>
      <c r="M20255" s="11"/>
      <c r="N20255" s="11"/>
      <c r="O20255" s="11"/>
      <c r="P20255" s="11"/>
    </row>
    <row r="20256" spans="8:16" x14ac:dyDescent="0.25">
      <c r="H20256" s="12"/>
      <c r="I20256" s="12"/>
      <c r="J20256" s="12"/>
      <c r="K20256" s="12"/>
      <c r="L20256" s="12"/>
      <c r="M20256" s="11"/>
      <c r="N20256" s="11"/>
      <c r="O20256" s="11"/>
      <c r="P20256" s="11"/>
    </row>
    <row r="20257" spans="8:16" x14ac:dyDescent="0.25">
      <c r="H20257" s="12"/>
      <c r="I20257" s="12"/>
      <c r="J20257" s="12"/>
      <c r="K20257" s="12"/>
      <c r="L20257" s="12"/>
      <c r="M20257" s="11"/>
      <c r="N20257" s="11"/>
      <c r="O20257" s="11"/>
      <c r="P20257" s="11"/>
    </row>
    <row r="20258" spans="8:16" x14ac:dyDescent="0.25">
      <c r="H20258" s="12"/>
      <c r="I20258" s="12"/>
      <c r="J20258" s="12"/>
      <c r="K20258" s="12"/>
      <c r="L20258" s="12"/>
      <c r="M20258" s="11"/>
      <c r="N20258" s="11"/>
      <c r="O20258" s="11"/>
      <c r="P20258" s="11"/>
    </row>
    <row r="20259" spans="8:16" x14ac:dyDescent="0.25">
      <c r="H20259" s="12"/>
      <c r="I20259" s="12"/>
      <c r="J20259" s="12"/>
      <c r="K20259" s="12"/>
      <c r="L20259" s="12"/>
      <c r="M20259" s="11"/>
      <c r="N20259" s="11"/>
      <c r="O20259" s="11"/>
      <c r="P20259" s="11"/>
    </row>
    <row r="20260" spans="8:16" x14ac:dyDescent="0.25">
      <c r="H20260" s="12"/>
      <c r="I20260" s="12"/>
      <c r="J20260" s="12"/>
      <c r="K20260" s="12"/>
      <c r="L20260" s="12"/>
      <c r="M20260" s="11"/>
      <c r="N20260" s="11"/>
      <c r="O20260" s="11"/>
      <c r="P20260" s="11"/>
    </row>
    <row r="20261" spans="8:16" x14ac:dyDescent="0.25">
      <c r="H20261" s="12"/>
      <c r="I20261" s="12"/>
      <c r="J20261" s="12"/>
      <c r="K20261" s="12"/>
      <c r="L20261" s="12"/>
      <c r="M20261" s="11"/>
      <c r="N20261" s="11"/>
      <c r="O20261" s="11"/>
      <c r="P20261" s="11"/>
    </row>
    <row r="20262" spans="8:16" x14ac:dyDescent="0.25">
      <c r="H20262" s="12"/>
      <c r="I20262" s="12"/>
      <c r="J20262" s="12"/>
      <c r="K20262" s="12"/>
      <c r="L20262" s="12"/>
      <c r="M20262" s="11"/>
      <c r="N20262" s="11"/>
      <c r="O20262" s="11"/>
      <c r="P20262" s="11"/>
    </row>
    <row r="20263" spans="8:16" x14ac:dyDescent="0.25">
      <c r="H20263" s="12"/>
      <c r="I20263" s="12"/>
      <c r="J20263" s="12"/>
      <c r="K20263" s="12"/>
      <c r="L20263" s="12"/>
      <c r="M20263" s="11"/>
      <c r="N20263" s="11"/>
      <c r="O20263" s="11"/>
      <c r="P20263" s="11"/>
    </row>
    <row r="20264" spans="8:16" x14ac:dyDescent="0.25">
      <c r="H20264" s="12"/>
      <c r="I20264" s="12"/>
      <c r="J20264" s="12"/>
      <c r="K20264" s="12"/>
      <c r="L20264" s="12"/>
      <c r="M20264" s="11"/>
      <c r="N20264" s="11"/>
      <c r="O20264" s="11"/>
      <c r="P20264" s="11"/>
    </row>
    <row r="20265" spans="8:16" x14ac:dyDescent="0.25">
      <c r="H20265" s="12"/>
      <c r="I20265" s="12"/>
      <c r="J20265" s="12"/>
      <c r="K20265" s="12"/>
      <c r="L20265" s="12"/>
      <c r="M20265" s="11"/>
      <c r="N20265" s="11"/>
      <c r="O20265" s="11"/>
      <c r="P20265" s="11"/>
    </row>
    <row r="20266" spans="8:16" x14ac:dyDescent="0.25">
      <c r="H20266" s="12"/>
      <c r="I20266" s="12"/>
      <c r="J20266" s="12"/>
      <c r="K20266" s="12"/>
      <c r="L20266" s="12"/>
      <c r="M20266" s="11"/>
      <c r="N20266" s="11"/>
      <c r="O20266" s="11"/>
      <c r="P20266" s="11"/>
    </row>
    <row r="20267" spans="8:16" x14ac:dyDescent="0.25">
      <c r="H20267" s="12"/>
      <c r="I20267" s="12"/>
      <c r="J20267" s="12"/>
      <c r="K20267" s="12"/>
      <c r="L20267" s="12"/>
      <c r="M20267" s="11"/>
      <c r="N20267" s="11"/>
      <c r="O20267" s="11"/>
      <c r="P20267" s="11"/>
    </row>
    <row r="20268" spans="8:16" x14ac:dyDescent="0.25">
      <c r="H20268" s="12"/>
      <c r="I20268" s="12"/>
      <c r="J20268" s="12"/>
      <c r="K20268" s="12"/>
      <c r="L20268" s="12"/>
      <c r="M20268" s="11"/>
      <c r="N20268" s="11"/>
      <c r="O20268" s="11"/>
      <c r="P20268" s="11"/>
    </row>
    <row r="20269" spans="8:16" x14ac:dyDescent="0.25">
      <c r="H20269" s="12"/>
      <c r="I20269" s="12"/>
      <c r="J20269" s="12"/>
      <c r="K20269" s="12"/>
      <c r="L20269" s="12"/>
      <c r="M20269" s="11"/>
      <c r="N20269" s="11"/>
      <c r="O20269" s="11"/>
      <c r="P20269" s="11"/>
    </row>
    <row r="20270" spans="8:16" x14ac:dyDescent="0.25">
      <c r="H20270" s="12"/>
      <c r="I20270" s="12"/>
      <c r="J20270" s="12"/>
      <c r="K20270" s="12"/>
      <c r="L20270" s="12"/>
      <c r="M20270" s="11"/>
      <c r="N20270" s="11"/>
      <c r="O20270" s="11"/>
      <c r="P20270" s="11"/>
    </row>
    <row r="20271" spans="8:16" x14ac:dyDescent="0.25">
      <c r="H20271" s="12"/>
      <c r="I20271" s="12"/>
      <c r="J20271" s="12"/>
      <c r="K20271" s="12"/>
      <c r="L20271" s="12"/>
      <c r="M20271" s="11"/>
      <c r="N20271" s="11"/>
      <c r="O20271" s="11"/>
      <c r="P20271" s="11"/>
    </row>
    <row r="20272" spans="8:16" x14ac:dyDescent="0.25">
      <c r="H20272" s="12"/>
      <c r="I20272" s="12"/>
      <c r="J20272" s="12"/>
      <c r="K20272" s="12"/>
      <c r="L20272" s="12"/>
      <c r="M20272" s="11"/>
      <c r="N20272" s="11"/>
      <c r="O20272" s="11"/>
      <c r="P20272" s="11"/>
    </row>
    <row r="20273" spans="8:16" x14ac:dyDescent="0.25">
      <c r="H20273" s="12"/>
      <c r="I20273" s="12"/>
      <c r="J20273" s="12"/>
      <c r="K20273" s="12"/>
      <c r="L20273" s="12"/>
      <c r="M20273" s="11"/>
      <c r="N20273" s="11"/>
      <c r="O20273" s="11"/>
      <c r="P20273" s="11"/>
    </row>
    <row r="20274" spans="8:16" x14ac:dyDescent="0.25">
      <c r="H20274" s="12"/>
      <c r="I20274" s="12"/>
      <c r="J20274" s="12"/>
      <c r="K20274" s="12"/>
      <c r="L20274" s="12"/>
      <c r="M20274" s="11"/>
      <c r="N20274" s="11"/>
      <c r="O20274" s="11"/>
      <c r="P20274" s="11"/>
    </row>
    <row r="20275" spans="8:16" x14ac:dyDescent="0.25">
      <c r="H20275" s="12"/>
      <c r="I20275" s="12"/>
      <c r="J20275" s="12"/>
      <c r="K20275" s="12"/>
      <c r="L20275" s="12"/>
      <c r="M20275" s="11"/>
      <c r="N20275" s="11"/>
      <c r="O20275" s="11"/>
      <c r="P20275" s="11"/>
    </row>
    <row r="20276" spans="8:16" x14ac:dyDescent="0.25">
      <c r="H20276" s="12"/>
      <c r="I20276" s="12"/>
      <c r="J20276" s="12"/>
      <c r="K20276" s="12"/>
      <c r="L20276" s="12"/>
      <c r="M20276" s="11"/>
      <c r="N20276" s="11"/>
      <c r="O20276" s="11"/>
      <c r="P20276" s="11"/>
    </row>
    <row r="20277" spans="8:16" x14ac:dyDescent="0.25">
      <c r="H20277" s="12"/>
      <c r="I20277" s="12"/>
      <c r="J20277" s="12"/>
      <c r="K20277" s="12"/>
      <c r="L20277" s="12"/>
      <c r="M20277" s="11"/>
      <c r="N20277" s="11"/>
      <c r="O20277" s="11"/>
      <c r="P20277" s="11"/>
    </row>
    <row r="20278" spans="8:16" x14ac:dyDescent="0.25">
      <c r="H20278" s="12"/>
      <c r="I20278" s="12"/>
      <c r="J20278" s="12"/>
      <c r="K20278" s="12"/>
      <c r="L20278" s="12"/>
      <c r="M20278" s="11"/>
      <c r="N20278" s="11"/>
      <c r="O20278" s="11"/>
      <c r="P20278" s="11"/>
    </row>
    <row r="20279" spans="8:16" x14ac:dyDescent="0.25">
      <c r="H20279" s="12"/>
      <c r="I20279" s="12"/>
      <c r="J20279" s="12"/>
      <c r="K20279" s="12"/>
      <c r="L20279" s="12"/>
      <c r="M20279" s="11"/>
      <c r="N20279" s="11"/>
      <c r="O20279" s="11"/>
      <c r="P20279" s="11"/>
    </row>
    <row r="20280" spans="8:16" x14ac:dyDescent="0.25">
      <c r="H20280" s="12"/>
      <c r="I20280" s="12"/>
      <c r="J20280" s="12"/>
      <c r="K20280" s="12"/>
      <c r="L20280" s="12"/>
      <c r="M20280" s="11"/>
      <c r="N20280" s="11"/>
      <c r="O20280" s="11"/>
      <c r="P20280" s="11"/>
    </row>
    <row r="20281" spans="8:16" x14ac:dyDescent="0.25">
      <c r="H20281" s="12"/>
      <c r="I20281" s="12"/>
      <c r="J20281" s="12"/>
      <c r="K20281" s="12"/>
      <c r="L20281" s="12"/>
      <c r="M20281" s="11"/>
      <c r="N20281" s="11"/>
      <c r="O20281" s="11"/>
      <c r="P20281" s="11"/>
    </row>
    <row r="20282" spans="8:16" x14ac:dyDescent="0.25">
      <c r="H20282" s="12"/>
      <c r="I20282" s="12"/>
      <c r="J20282" s="12"/>
      <c r="K20282" s="12"/>
      <c r="L20282" s="12"/>
      <c r="M20282" s="11"/>
      <c r="N20282" s="11"/>
      <c r="O20282" s="11"/>
      <c r="P20282" s="11"/>
    </row>
    <row r="20283" spans="8:16" x14ac:dyDescent="0.25">
      <c r="H20283" s="12"/>
      <c r="I20283" s="12"/>
      <c r="J20283" s="12"/>
      <c r="K20283" s="12"/>
      <c r="L20283" s="12"/>
      <c r="M20283" s="11"/>
      <c r="N20283" s="11"/>
      <c r="O20283" s="11"/>
      <c r="P20283" s="11"/>
    </row>
    <row r="20284" spans="8:16" x14ac:dyDescent="0.25">
      <c r="H20284" s="12"/>
      <c r="I20284" s="12"/>
      <c r="J20284" s="12"/>
      <c r="K20284" s="12"/>
      <c r="L20284" s="12"/>
      <c r="M20284" s="11"/>
      <c r="N20284" s="11"/>
      <c r="O20284" s="11"/>
      <c r="P20284" s="11"/>
    </row>
    <row r="20285" spans="8:16" x14ac:dyDescent="0.25">
      <c r="H20285" s="12"/>
      <c r="I20285" s="12"/>
      <c r="J20285" s="12"/>
      <c r="K20285" s="12"/>
      <c r="L20285" s="12"/>
      <c r="M20285" s="11"/>
      <c r="N20285" s="11"/>
      <c r="O20285" s="11"/>
      <c r="P20285" s="11"/>
    </row>
    <row r="20286" spans="8:16" x14ac:dyDescent="0.25">
      <c r="H20286" s="12"/>
      <c r="I20286" s="12"/>
      <c r="J20286" s="12"/>
      <c r="K20286" s="12"/>
      <c r="L20286" s="12"/>
      <c r="M20286" s="11"/>
      <c r="N20286" s="11"/>
      <c r="O20286" s="11"/>
      <c r="P20286" s="11"/>
    </row>
    <row r="20287" spans="8:16" x14ac:dyDescent="0.25">
      <c r="H20287" s="12"/>
      <c r="I20287" s="12"/>
      <c r="J20287" s="12"/>
      <c r="K20287" s="12"/>
      <c r="L20287" s="12"/>
      <c r="M20287" s="11"/>
      <c r="N20287" s="11"/>
      <c r="O20287" s="11"/>
      <c r="P20287" s="11"/>
    </row>
    <row r="20288" spans="8:16" x14ac:dyDescent="0.25">
      <c r="H20288" s="12"/>
      <c r="I20288" s="12"/>
      <c r="J20288" s="12"/>
      <c r="K20288" s="12"/>
      <c r="L20288" s="12"/>
      <c r="M20288" s="11"/>
      <c r="N20288" s="11"/>
      <c r="O20288" s="11"/>
      <c r="P20288" s="11"/>
    </row>
    <row r="20289" spans="8:16" x14ac:dyDescent="0.25">
      <c r="H20289" s="12"/>
      <c r="I20289" s="12"/>
      <c r="J20289" s="12"/>
      <c r="K20289" s="12"/>
      <c r="L20289" s="12"/>
      <c r="M20289" s="11"/>
      <c r="N20289" s="11"/>
      <c r="O20289" s="11"/>
      <c r="P20289" s="11"/>
    </row>
    <row r="20290" spans="8:16" x14ac:dyDescent="0.25">
      <c r="H20290" s="12"/>
      <c r="I20290" s="12"/>
      <c r="J20290" s="12"/>
      <c r="K20290" s="12"/>
      <c r="L20290" s="12"/>
      <c r="M20290" s="11"/>
      <c r="N20290" s="11"/>
      <c r="O20290" s="11"/>
      <c r="P20290" s="11"/>
    </row>
    <row r="20291" spans="8:16" x14ac:dyDescent="0.25">
      <c r="H20291" s="12"/>
      <c r="I20291" s="12"/>
      <c r="J20291" s="12"/>
      <c r="K20291" s="12"/>
      <c r="L20291" s="12"/>
      <c r="M20291" s="11"/>
      <c r="N20291" s="11"/>
      <c r="O20291" s="11"/>
      <c r="P20291" s="11"/>
    </row>
    <row r="20292" spans="8:16" x14ac:dyDescent="0.25">
      <c r="H20292" s="12"/>
      <c r="I20292" s="12"/>
      <c r="J20292" s="12"/>
      <c r="K20292" s="12"/>
      <c r="L20292" s="12"/>
      <c r="M20292" s="11"/>
      <c r="N20292" s="11"/>
      <c r="O20292" s="11"/>
      <c r="P20292" s="11"/>
    </row>
    <row r="20293" spans="8:16" x14ac:dyDescent="0.25">
      <c r="H20293" s="12"/>
      <c r="I20293" s="12"/>
      <c r="J20293" s="12"/>
      <c r="K20293" s="12"/>
      <c r="L20293" s="12"/>
      <c r="M20293" s="11"/>
      <c r="N20293" s="11"/>
      <c r="O20293" s="11"/>
      <c r="P20293" s="11"/>
    </row>
    <row r="20294" spans="8:16" x14ac:dyDescent="0.25">
      <c r="H20294" s="12"/>
      <c r="I20294" s="12"/>
      <c r="J20294" s="12"/>
      <c r="K20294" s="12"/>
      <c r="L20294" s="12"/>
      <c r="M20294" s="11"/>
      <c r="N20294" s="11"/>
      <c r="O20294" s="11"/>
      <c r="P20294" s="11"/>
    </row>
    <row r="20295" spans="8:16" x14ac:dyDescent="0.25">
      <c r="H20295" s="12"/>
      <c r="I20295" s="12"/>
      <c r="J20295" s="12"/>
      <c r="K20295" s="12"/>
      <c r="L20295" s="12"/>
      <c r="M20295" s="11"/>
      <c r="N20295" s="11"/>
      <c r="O20295" s="11"/>
      <c r="P20295" s="11"/>
    </row>
    <row r="20296" spans="8:16" x14ac:dyDescent="0.25">
      <c r="H20296" s="12"/>
      <c r="I20296" s="12"/>
      <c r="J20296" s="12"/>
      <c r="K20296" s="12"/>
      <c r="L20296" s="12"/>
      <c r="M20296" s="11"/>
      <c r="N20296" s="11"/>
      <c r="O20296" s="11"/>
      <c r="P20296" s="11"/>
    </row>
    <row r="20297" spans="8:16" x14ac:dyDescent="0.25">
      <c r="H20297" s="12"/>
      <c r="I20297" s="12"/>
      <c r="J20297" s="12"/>
      <c r="K20297" s="12"/>
      <c r="L20297" s="12"/>
      <c r="M20297" s="11"/>
      <c r="N20297" s="11"/>
      <c r="O20297" s="11"/>
      <c r="P20297" s="11"/>
    </row>
    <row r="20298" spans="8:16" x14ac:dyDescent="0.25">
      <c r="H20298" s="12"/>
      <c r="I20298" s="12"/>
      <c r="J20298" s="12"/>
      <c r="K20298" s="12"/>
      <c r="L20298" s="12"/>
      <c r="M20298" s="11"/>
      <c r="N20298" s="11"/>
      <c r="O20298" s="11"/>
      <c r="P20298" s="11"/>
    </row>
    <row r="20299" spans="8:16" x14ac:dyDescent="0.25">
      <c r="H20299" s="12"/>
      <c r="I20299" s="12"/>
      <c r="J20299" s="12"/>
      <c r="K20299" s="12"/>
      <c r="L20299" s="12"/>
      <c r="M20299" s="11"/>
      <c r="N20299" s="11"/>
      <c r="O20299" s="11"/>
      <c r="P20299" s="11"/>
    </row>
    <row r="20300" spans="8:16" x14ac:dyDescent="0.25">
      <c r="H20300" s="12"/>
      <c r="I20300" s="12"/>
      <c r="J20300" s="12"/>
      <c r="K20300" s="12"/>
      <c r="L20300" s="12"/>
      <c r="M20300" s="11"/>
      <c r="N20300" s="11"/>
      <c r="O20300" s="11"/>
      <c r="P20300" s="11"/>
    </row>
    <row r="20301" spans="8:16" x14ac:dyDescent="0.25">
      <c r="H20301" s="12"/>
      <c r="I20301" s="12"/>
      <c r="J20301" s="12"/>
      <c r="K20301" s="12"/>
      <c r="L20301" s="12"/>
      <c r="M20301" s="11"/>
      <c r="N20301" s="11"/>
      <c r="O20301" s="11"/>
      <c r="P20301" s="11"/>
    </row>
    <row r="20302" spans="8:16" x14ac:dyDescent="0.25">
      <c r="H20302" s="12"/>
      <c r="I20302" s="12"/>
      <c r="J20302" s="12"/>
      <c r="K20302" s="12"/>
      <c r="L20302" s="12"/>
      <c r="M20302" s="11"/>
      <c r="N20302" s="11"/>
      <c r="O20302" s="11"/>
      <c r="P20302" s="11"/>
    </row>
    <row r="20303" spans="8:16" x14ac:dyDescent="0.25">
      <c r="H20303" s="12"/>
      <c r="I20303" s="12"/>
      <c r="J20303" s="12"/>
      <c r="K20303" s="12"/>
      <c r="L20303" s="12"/>
      <c r="M20303" s="11"/>
      <c r="N20303" s="11"/>
      <c r="O20303" s="11"/>
      <c r="P20303" s="11"/>
    </row>
    <row r="20304" spans="8:16" x14ac:dyDescent="0.25">
      <c r="H20304" s="12"/>
      <c r="I20304" s="12"/>
      <c r="J20304" s="12"/>
      <c r="K20304" s="12"/>
      <c r="L20304" s="12"/>
      <c r="M20304" s="11"/>
      <c r="N20304" s="11"/>
      <c r="O20304" s="11"/>
      <c r="P20304" s="11"/>
    </row>
    <row r="20305" spans="8:16" x14ac:dyDescent="0.25">
      <c r="H20305" s="12"/>
      <c r="I20305" s="12"/>
      <c r="J20305" s="12"/>
      <c r="K20305" s="12"/>
      <c r="L20305" s="12"/>
      <c r="M20305" s="11"/>
      <c r="N20305" s="11"/>
      <c r="O20305" s="11"/>
      <c r="P20305" s="11"/>
    </row>
    <row r="20306" spans="8:16" x14ac:dyDescent="0.25">
      <c r="H20306" s="12"/>
      <c r="I20306" s="12"/>
      <c r="J20306" s="12"/>
      <c r="K20306" s="12"/>
      <c r="L20306" s="12"/>
      <c r="M20306" s="11"/>
      <c r="N20306" s="11"/>
      <c r="O20306" s="11"/>
      <c r="P20306" s="11"/>
    </row>
    <row r="20307" spans="8:16" x14ac:dyDescent="0.25">
      <c r="H20307" s="12"/>
      <c r="I20307" s="12"/>
      <c r="J20307" s="12"/>
      <c r="K20307" s="12"/>
      <c r="L20307" s="12"/>
      <c r="M20307" s="11"/>
      <c r="N20307" s="11"/>
      <c r="O20307" s="11"/>
      <c r="P20307" s="11"/>
    </row>
    <row r="20308" spans="8:16" x14ac:dyDescent="0.25">
      <c r="H20308" s="12"/>
      <c r="I20308" s="12"/>
      <c r="J20308" s="12"/>
      <c r="K20308" s="12"/>
      <c r="L20308" s="12"/>
      <c r="M20308" s="11"/>
      <c r="N20308" s="11"/>
      <c r="O20308" s="11"/>
      <c r="P20308" s="11"/>
    </row>
    <row r="20309" spans="8:16" x14ac:dyDescent="0.25">
      <c r="H20309" s="12"/>
      <c r="I20309" s="12"/>
      <c r="J20309" s="12"/>
      <c r="K20309" s="12"/>
      <c r="L20309" s="12"/>
      <c r="M20309" s="11"/>
      <c r="N20309" s="11"/>
      <c r="O20309" s="11"/>
      <c r="P20309" s="11"/>
    </row>
    <row r="20310" spans="8:16" x14ac:dyDescent="0.25">
      <c r="H20310" s="12"/>
      <c r="I20310" s="12"/>
      <c r="J20310" s="12"/>
      <c r="K20310" s="12"/>
      <c r="L20310" s="12"/>
      <c r="M20310" s="11"/>
      <c r="N20310" s="11"/>
      <c r="O20310" s="11"/>
      <c r="P20310" s="11"/>
    </row>
    <row r="20311" spans="8:16" x14ac:dyDescent="0.25">
      <c r="H20311" s="12"/>
      <c r="I20311" s="12"/>
      <c r="J20311" s="12"/>
      <c r="K20311" s="12"/>
      <c r="L20311" s="12"/>
      <c r="M20311" s="11"/>
      <c r="N20311" s="11"/>
      <c r="O20311" s="11"/>
      <c r="P20311" s="11"/>
    </row>
    <row r="20312" spans="8:16" x14ac:dyDescent="0.25">
      <c r="H20312" s="12"/>
      <c r="I20312" s="12"/>
      <c r="J20312" s="12"/>
      <c r="K20312" s="12"/>
      <c r="L20312" s="12"/>
      <c r="M20312" s="11"/>
      <c r="N20312" s="11"/>
      <c r="O20312" s="11"/>
      <c r="P20312" s="11"/>
    </row>
    <row r="20313" spans="8:16" x14ac:dyDescent="0.25">
      <c r="H20313" s="12"/>
      <c r="I20313" s="12"/>
      <c r="J20313" s="12"/>
      <c r="K20313" s="12"/>
      <c r="L20313" s="12"/>
      <c r="M20313" s="11"/>
      <c r="N20313" s="11"/>
      <c r="O20313" s="11"/>
      <c r="P20313" s="11"/>
    </row>
    <row r="20314" spans="8:16" x14ac:dyDescent="0.25">
      <c r="H20314" s="12"/>
      <c r="I20314" s="12"/>
      <c r="J20314" s="12"/>
      <c r="K20314" s="12"/>
      <c r="L20314" s="12"/>
      <c r="M20314" s="11"/>
      <c r="N20314" s="11"/>
      <c r="O20314" s="11"/>
      <c r="P20314" s="11"/>
    </row>
    <row r="20315" spans="8:16" x14ac:dyDescent="0.25">
      <c r="H20315" s="12"/>
      <c r="I20315" s="12"/>
      <c r="J20315" s="12"/>
      <c r="K20315" s="12"/>
      <c r="L20315" s="12"/>
      <c r="M20315" s="11"/>
      <c r="N20315" s="11"/>
      <c r="O20315" s="11"/>
      <c r="P20315" s="11"/>
    </row>
    <row r="20316" spans="8:16" x14ac:dyDescent="0.25">
      <c r="H20316" s="12"/>
      <c r="I20316" s="12"/>
      <c r="J20316" s="12"/>
      <c r="K20316" s="12"/>
      <c r="L20316" s="12"/>
      <c r="M20316" s="11"/>
      <c r="N20316" s="11"/>
      <c r="O20316" s="11"/>
      <c r="P20316" s="11"/>
    </row>
    <row r="20317" spans="8:16" x14ac:dyDescent="0.25">
      <c r="H20317" s="12"/>
      <c r="I20317" s="12"/>
      <c r="J20317" s="12"/>
      <c r="K20317" s="12"/>
      <c r="L20317" s="12"/>
      <c r="M20317" s="11"/>
      <c r="N20317" s="11"/>
      <c r="O20317" s="11"/>
      <c r="P20317" s="11"/>
    </row>
    <row r="20318" spans="8:16" x14ac:dyDescent="0.25">
      <c r="H20318" s="12"/>
      <c r="I20318" s="12"/>
      <c r="J20318" s="12"/>
      <c r="K20318" s="12"/>
      <c r="L20318" s="12"/>
      <c r="M20318" s="11"/>
      <c r="N20318" s="11"/>
      <c r="O20318" s="11"/>
      <c r="P20318" s="11"/>
    </row>
    <row r="20319" spans="8:16" x14ac:dyDescent="0.25">
      <c r="H20319" s="12"/>
      <c r="I20319" s="12"/>
      <c r="J20319" s="12"/>
      <c r="K20319" s="12"/>
      <c r="L20319" s="12"/>
      <c r="M20319" s="11"/>
      <c r="N20319" s="11"/>
      <c r="O20319" s="11"/>
      <c r="P20319" s="11"/>
    </row>
    <row r="20320" spans="8:16" x14ac:dyDescent="0.25">
      <c r="H20320" s="12"/>
      <c r="I20320" s="12"/>
      <c r="J20320" s="12"/>
      <c r="K20320" s="12"/>
      <c r="L20320" s="12"/>
      <c r="M20320" s="11"/>
      <c r="N20320" s="11"/>
      <c r="O20320" s="11"/>
      <c r="P20320" s="11"/>
    </row>
    <row r="20321" spans="8:16" x14ac:dyDescent="0.25">
      <c r="H20321" s="12"/>
      <c r="I20321" s="12"/>
      <c r="J20321" s="12"/>
      <c r="K20321" s="12"/>
      <c r="L20321" s="12"/>
      <c r="M20321" s="11"/>
      <c r="N20321" s="11"/>
      <c r="O20321" s="11"/>
      <c r="P20321" s="11"/>
    </row>
    <row r="20322" spans="8:16" x14ac:dyDescent="0.25">
      <c r="H20322" s="12"/>
      <c r="I20322" s="12"/>
      <c r="J20322" s="12"/>
      <c r="K20322" s="12"/>
      <c r="L20322" s="12"/>
      <c r="M20322" s="11"/>
      <c r="N20322" s="11"/>
      <c r="O20322" s="11"/>
      <c r="P20322" s="11"/>
    </row>
    <row r="20323" spans="8:16" x14ac:dyDescent="0.25">
      <c r="H20323" s="12"/>
      <c r="I20323" s="12"/>
      <c r="J20323" s="12"/>
      <c r="K20323" s="12"/>
      <c r="L20323" s="12"/>
      <c r="M20323" s="11"/>
      <c r="N20323" s="11"/>
      <c r="O20323" s="11"/>
      <c r="P20323" s="11"/>
    </row>
    <row r="20324" spans="8:16" x14ac:dyDescent="0.25">
      <c r="H20324" s="12"/>
      <c r="I20324" s="12"/>
      <c r="J20324" s="12"/>
      <c r="K20324" s="12"/>
      <c r="L20324" s="12"/>
      <c r="M20324" s="11"/>
      <c r="N20324" s="11"/>
      <c r="O20324" s="11"/>
      <c r="P20324" s="11"/>
    </row>
    <row r="20325" spans="8:16" x14ac:dyDescent="0.25">
      <c r="H20325" s="12"/>
      <c r="I20325" s="12"/>
      <c r="J20325" s="12"/>
      <c r="K20325" s="12"/>
      <c r="L20325" s="12"/>
      <c r="M20325" s="11"/>
      <c r="N20325" s="11"/>
      <c r="O20325" s="11"/>
      <c r="P20325" s="11"/>
    </row>
    <row r="20326" spans="8:16" x14ac:dyDescent="0.25">
      <c r="H20326" s="12"/>
      <c r="I20326" s="12"/>
      <c r="J20326" s="12"/>
      <c r="K20326" s="12"/>
      <c r="L20326" s="12"/>
      <c r="M20326" s="11"/>
      <c r="N20326" s="11"/>
      <c r="O20326" s="11"/>
      <c r="P20326" s="11"/>
    </row>
    <row r="20327" spans="8:16" x14ac:dyDescent="0.25">
      <c r="H20327" s="12"/>
      <c r="I20327" s="12"/>
      <c r="J20327" s="12"/>
      <c r="K20327" s="12"/>
      <c r="L20327" s="12"/>
      <c r="M20327" s="11"/>
      <c r="N20327" s="11"/>
      <c r="O20327" s="11"/>
      <c r="P20327" s="11"/>
    </row>
    <row r="20328" spans="8:16" x14ac:dyDescent="0.25">
      <c r="H20328" s="12"/>
      <c r="I20328" s="12"/>
      <c r="J20328" s="12"/>
      <c r="K20328" s="12"/>
      <c r="L20328" s="12"/>
      <c r="M20328" s="11"/>
      <c r="N20328" s="11"/>
      <c r="O20328" s="11"/>
      <c r="P20328" s="11"/>
    </row>
    <row r="20329" spans="8:16" x14ac:dyDescent="0.25">
      <c r="H20329" s="12"/>
      <c r="I20329" s="12"/>
      <c r="J20329" s="12"/>
      <c r="K20329" s="12"/>
      <c r="L20329" s="12"/>
      <c r="M20329" s="11"/>
      <c r="N20329" s="11"/>
      <c r="O20329" s="11"/>
      <c r="P20329" s="11"/>
    </row>
    <row r="20330" spans="8:16" x14ac:dyDescent="0.25">
      <c r="H20330" s="12"/>
      <c r="I20330" s="12"/>
      <c r="J20330" s="12"/>
      <c r="K20330" s="12"/>
      <c r="L20330" s="12"/>
      <c r="M20330" s="11"/>
      <c r="N20330" s="11"/>
      <c r="O20330" s="11"/>
      <c r="P20330" s="11"/>
    </row>
    <row r="20331" spans="8:16" x14ac:dyDescent="0.25">
      <c r="H20331" s="12"/>
      <c r="I20331" s="12"/>
      <c r="J20331" s="12"/>
      <c r="K20331" s="12"/>
      <c r="L20331" s="12"/>
      <c r="M20331" s="11"/>
      <c r="N20331" s="11"/>
      <c r="O20331" s="11"/>
      <c r="P20331" s="11"/>
    </row>
    <row r="20332" spans="8:16" x14ac:dyDescent="0.25">
      <c r="H20332" s="12"/>
      <c r="I20332" s="12"/>
      <c r="J20332" s="12"/>
      <c r="K20332" s="12"/>
      <c r="L20332" s="12"/>
      <c r="M20332" s="11"/>
      <c r="N20332" s="11"/>
      <c r="O20332" s="11"/>
      <c r="P20332" s="11"/>
    </row>
    <row r="20333" spans="8:16" x14ac:dyDescent="0.25">
      <c r="H20333" s="12"/>
      <c r="I20333" s="12"/>
      <c r="J20333" s="12"/>
      <c r="K20333" s="12"/>
      <c r="L20333" s="12"/>
      <c r="M20333" s="11"/>
      <c r="N20333" s="11"/>
      <c r="O20333" s="11"/>
      <c r="P20333" s="11"/>
    </row>
    <row r="20334" spans="8:16" x14ac:dyDescent="0.25">
      <c r="H20334" s="12"/>
      <c r="I20334" s="12"/>
      <c r="J20334" s="12"/>
      <c r="K20334" s="12"/>
      <c r="L20334" s="12"/>
      <c r="M20334" s="11"/>
      <c r="N20334" s="11"/>
      <c r="O20334" s="11"/>
      <c r="P20334" s="11"/>
    </row>
    <row r="20335" spans="8:16" x14ac:dyDescent="0.25">
      <c r="H20335" s="12"/>
      <c r="I20335" s="12"/>
      <c r="J20335" s="12"/>
      <c r="K20335" s="12"/>
      <c r="L20335" s="12"/>
      <c r="M20335" s="11"/>
      <c r="N20335" s="11"/>
      <c r="O20335" s="11"/>
      <c r="P20335" s="11"/>
    </row>
    <row r="20336" spans="8:16" x14ac:dyDescent="0.25">
      <c r="H20336" s="12"/>
      <c r="I20336" s="12"/>
      <c r="J20336" s="12"/>
      <c r="K20336" s="12"/>
      <c r="L20336" s="12"/>
      <c r="M20336" s="11"/>
      <c r="N20336" s="11"/>
      <c r="O20336" s="11"/>
      <c r="P20336" s="11"/>
    </row>
    <row r="20337" spans="8:16" x14ac:dyDescent="0.25">
      <c r="H20337" s="12"/>
      <c r="I20337" s="12"/>
      <c r="J20337" s="12"/>
      <c r="K20337" s="12"/>
      <c r="L20337" s="12"/>
      <c r="M20337" s="11"/>
      <c r="N20337" s="11"/>
      <c r="O20337" s="11"/>
      <c r="P20337" s="11"/>
    </row>
    <row r="20338" spans="8:16" x14ac:dyDescent="0.25">
      <c r="H20338" s="12"/>
      <c r="I20338" s="12"/>
      <c r="J20338" s="12"/>
      <c r="K20338" s="12"/>
      <c r="L20338" s="12"/>
      <c r="M20338" s="11"/>
      <c r="N20338" s="11"/>
      <c r="O20338" s="11"/>
      <c r="P20338" s="11"/>
    </row>
    <row r="20339" spans="8:16" x14ac:dyDescent="0.25">
      <c r="H20339" s="12"/>
      <c r="I20339" s="12"/>
      <c r="J20339" s="12"/>
      <c r="K20339" s="12"/>
      <c r="L20339" s="12"/>
      <c r="M20339" s="11"/>
      <c r="N20339" s="11"/>
      <c r="O20339" s="11"/>
      <c r="P20339" s="11"/>
    </row>
    <row r="20340" spans="8:16" x14ac:dyDescent="0.25">
      <c r="H20340" s="12"/>
      <c r="I20340" s="12"/>
      <c r="J20340" s="12"/>
      <c r="K20340" s="12"/>
      <c r="L20340" s="12"/>
      <c r="M20340" s="11"/>
      <c r="N20340" s="11"/>
      <c r="O20340" s="11"/>
      <c r="P20340" s="11"/>
    </row>
    <row r="20341" spans="8:16" x14ac:dyDescent="0.25">
      <c r="H20341" s="12"/>
      <c r="I20341" s="12"/>
      <c r="J20341" s="12"/>
      <c r="K20341" s="12"/>
      <c r="L20341" s="12"/>
      <c r="M20341" s="11"/>
      <c r="N20341" s="11"/>
      <c r="O20341" s="11"/>
      <c r="P20341" s="11"/>
    </row>
    <row r="20342" spans="8:16" x14ac:dyDescent="0.25">
      <c r="H20342" s="12"/>
      <c r="I20342" s="12"/>
      <c r="J20342" s="12"/>
      <c r="K20342" s="12"/>
      <c r="L20342" s="12"/>
      <c r="M20342" s="11"/>
      <c r="N20342" s="11"/>
      <c r="O20342" s="11"/>
      <c r="P20342" s="11"/>
    </row>
    <row r="20343" spans="8:16" x14ac:dyDescent="0.25">
      <c r="H20343" s="12"/>
      <c r="I20343" s="12"/>
      <c r="J20343" s="12"/>
      <c r="K20343" s="12"/>
      <c r="L20343" s="12"/>
      <c r="M20343" s="11"/>
      <c r="N20343" s="11"/>
      <c r="O20343" s="11"/>
      <c r="P20343" s="11"/>
    </row>
    <row r="20344" spans="8:16" x14ac:dyDescent="0.25">
      <c r="H20344" s="12"/>
      <c r="I20344" s="12"/>
      <c r="J20344" s="12"/>
      <c r="K20344" s="12"/>
      <c r="L20344" s="12"/>
      <c r="M20344" s="11"/>
      <c r="N20344" s="11"/>
      <c r="O20344" s="11"/>
      <c r="P20344" s="11"/>
    </row>
    <row r="20345" spans="8:16" x14ac:dyDescent="0.25">
      <c r="H20345" s="12"/>
      <c r="I20345" s="12"/>
      <c r="J20345" s="12"/>
      <c r="K20345" s="12"/>
      <c r="L20345" s="12"/>
      <c r="M20345" s="11"/>
      <c r="N20345" s="11"/>
      <c r="O20345" s="11"/>
      <c r="P20345" s="11"/>
    </row>
    <row r="20346" spans="8:16" x14ac:dyDescent="0.25">
      <c r="H20346" s="12"/>
      <c r="I20346" s="12"/>
      <c r="J20346" s="12"/>
      <c r="K20346" s="12"/>
      <c r="L20346" s="12"/>
      <c r="M20346" s="11"/>
      <c r="N20346" s="11"/>
      <c r="O20346" s="11"/>
      <c r="P20346" s="11"/>
    </row>
    <row r="20347" spans="8:16" x14ac:dyDescent="0.25">
      <c r="H20347" s="12"/>
      <c r="I20347" s="12"/>
      <c r="J20347" s="12"/>
      <c r="K20347" s="12"/>
      <c r="L20347" s="12"/>
      <c r="M20347" s="11"/>
      <c r="N20347" s="11"/>
      <c r="O20347" s="11"/>
      <c r="P20347" s="11"/>
    </row>
    <row r="20348" spans="8:16" x14ac:dyDescent="0.25">
      <c r="H20348" s="12"/>
      <c r="I20348" s="12"/>
      <c r="J20348" s="12"/>
      <c r="K20348" s="12"/>
      <c r="L20348" s="12"/>
      <c r="M20348" s="11"/>
      <c r="N20348" s="11"/>
      <c r="O20348" s="11"/>
      <c r="P20348" s="11"/>
    </row>
    <row r="20349" spans="8:16" x14ac:dyDescent="0.25">
      <c r="H20349" s="12"/>
      <c r="I20349" s="12"/>
      <c r="J20349" s="12"/>
      <c r="K20349" s="12"/>
      <c r="L20349" s="12"/>
      <c r="M20349" s="11"/>
      <c r="N20349" s="11"/>
      <c r="O20349" s="11"/>
      <c r="P20349" s="11"/>
    </row>
    <row r="20350" spans="8:16" x14ac:dyDescent="0.25">
      <c r="H20350" s="12"/>
      <c r="I20350" s="12"/>
      <c r="J20350" s="12"/>
      <c r="K20350" s="12"/>
      <c r="L20350" s="12"/>
      <c r="M20350" s="11"/>
      <c r="N20350" s="11"/>
      <c r="O20350" s="11"/>
      <c r="P20350" s="11"/>
    </row>
    <row r="20351" spans="8:16" x14ac:dyDescent="0.25">
      <c r="H20351" s="12"/>
      <c r="I20351" s="12"/>
      <c r="J20351" s="12"/>
      <c r="K20351" s="12"/>
      <c r="L20351" s="12"/>
      <c r="M20351" s="11"/>
      <c r="N20351" s="11"/>
      <c r="O20351" s="11"/>
      <c r="P20351" s="11"/>
    </row>
    <row r="20352" spans="8:16" x14ac:dyDescent="0.25">
      <c r="H20352" s="12"/>
      <c r="I20352" s="12"/>
      <c r="J20352" s="12"/>
      <c r="K20352" s="12"/>
      <c r="L20352" s="12"/>
      <c r="M20352" s="11"/>
      <c r="N20352" s="11"/>
      <c r="O20352" s="11"/>
      <c r="P20352" s="11"/>
    </row>
    <row r="20353" spans="8:16" x14ac:dyDescent="0.25">
      <c r="H20353" s="12"/>
      <c r="I20353" s="12"/>
      <c r="J20353" s="12"/>
      <c r="K20353" s="12"/>
      <c r="L20353" s="12"/>
      <c r="M20353" s="11"/>
      <c r="N20353" s="11"/>
      <c r="O20353" s="11"/>
      <c r="P20353" s="11"/>
    </row>
    <row r="20354" spans="8:16" x14ac:dyDescent="0.25">
      <c r="H20354" s="12"/>
      <c r="I20354" s="12"/>
      <c r="J20354" s="12"/>
      <c r="K20354" s="12"/>
      <c r="L20354" s="12"/>
      <c r="M20354" s="11"/>
      <c r="N20354" s="11"/>
      <c r="O20354" s="11"/>
      <c r="P20354" s="11"/>
    </row>
    <row r="20355" spans="8:16" x14ac:dyDescent="0.25">
      <c r="H20355" s="12"/>
      <c r="I20355" s="12"/>
      <c r="J20355" s="12"/>
      <c r="K20355" s="12"/>
      <c r="L20355" s="12"/>
      <c r="M20355" s="11"/>
      <c r="N20355" s="11"/>
      <c r="O20355" s="11"/>
      <c r="P20355" s="11"/>
    </row>
    <row r="20356" spans="8:16" x14ac:dyDescent="0.25">
      <c r="H20356" s="12"/>
      <c r="I20356" s="12"/>
      <c r="J20356" s="12"/>
      <c r="K20356" s="12"/>
      <c r="L20356" s="12"/>
      <c r="M20356" s="11"/>
      <c r="N20356" s="11"/>
      <c r="O20356" s="11"/>
      <c r="P20356" s="11"/>
    </row>
    <row r="20357" spans="8:16" x14ac:dyDescent="0.25">
      <c r="H20357" s="12"/>
      <c r="I20357" s="12"/>
      <c r="J20357" s="12"/>
      <c r="K20357" s="12"/>
      <c r="L20357" s="12"/>
      <c r="M20357" s="11"/>
      <c r="N20357" s="11"/>
      <c r="O20357" s="11"/>
      <c r="P20357" s="11"/>
    </row>
    <row r="20358" spans="8:16" x14ac:dyDescent="0.25">
      <c r="H20358" s="12"/>
      <c r="I20358" s="12"/>
      <c r="J20358" s="12"/>
      <c r="K20358" s="12"/>
      <c r="L20358" s="12"/>
      <c r="M20358" s="11"/>
      <c r="N20358" s="11"/>
      <c r="O20358" s="11"/>
      <c r="P20358" s="11"/>
    </row>
    <row r="20359" spans="8:16" x14ac:dyDescent="0.25">
      <c r="H20359" s="12"/>
      <c r="I20359" s="12"/>
      <c r="J20359" s="12"/>
      <c r="K20359" s="12"/>
      <c r="L20359" s="12"/>
      <c r="M20359" s="11"/>
      <c r="N20359" s="11"/>
      <c r="O20359" s="11"/>
      <c r="P20359" s="11"/>
    </row>
    <row r="20360" spans="8:16" x14ac:dyDescent="0.25">
      <c r="H20360" s="12"/>
      <c r="I20360" s="12"/>
      <c r="J20360" s="12"/>
      <c r="K20360" s="12"/>
      <c r="L20360" s="12"/>
      <c r="M20360" s="11"/>
      <c r="N20360" s="11"/>
      <c r="O20360" s="11"/>
      <c r="P20360" s="11"/>
    </row>
    <row r="20361" spans="8:16" x14ac:dyDescent="0.25">
      <c r="H20361" s="12"/>
      <c r="I20361" s="12"/>
      <c r="J20361" s="12"/>
      <c r="K20361" s="12"/>
      <c r="L20361" s="12"/>
      <c r="M20361" s="11"/>
      <c r="N20361" s="11"/>
      <c r="O20361" s="11"/>
      <c r="P20361" s="11"/>
    </row>
    <row r="20362" spans="8:16" x14ac:dyDescent="0.25">
      <c r="H20362" s="12"/>
      <c r="I20362" s="12"/>
      <c r="J20362" s="12"/>
      <c r="K20362" s="12"/>
      <c r="L20362" s="12"/>
      <c r="M20362" s="11"/>
      <c r="N20362" s="11"/>
      <c r="O20362" s="11"/>
      <c r="P20362" s="11"/>
    </row>
    <row r="20363" spans="8:16" x14ac:dyDescent="0.25">
      <c r="H20363" s="12"/>
      <c r="I20363" s="12"/>
      <c r="J20363" s="12"/>
      <c r="K20363" s="12"/>
      <c r="L20363" s="12"/>
      <c r="M20363" s="11"/>
      <c r="N20363" s="11"/>
      <c r="O20363" s="11"/>
      <c r="P20363" s="11"/>
    </row>
    <row r="20364" spans="8:16" x14ac:dyDescent="0.25">
      <c r="H20364" s="12"/>
      <c r="I20364" s="12"/>
      <c r="J20364" s="12"/>
      <c r="K20364" s="12"/>
      <c r="L20364" s="12"/>
      <c r="M20364" s="11"/>
      <c r="N20364" s="11"/>
      <c r="O20364" s="11"/>
      <c r="P20364" s="11"/>
    </row>
    <row r="20365" spans="8:16" x14ac:dyDescent="0.25">
      <c r="H20365" s="12"/>
      <c r="I20365" s="12"/>
      <c r="J20365" s="12"/>
      <c r="K20365" s="12"/>
      <c r="L20365" s="12"/>
      <c r="M20365" s="11"/>
      <c r="N20365" s="11"/>
      <c r="O20365" s="11"/>
      <c r="P20365" s="11"/>
    </row>
    <row r="20366" spans="8:16" x14ac:dyDescent="0.25">
      <c r="H20366" s="12"/>
      <c r="I20366" s="12"/>
      <c r="J20366" s="12"/>
      <c r="K20366" s="12"/>
      <c r="L20366" s="12"/>
      <c r="M20366" s="11"/>
      <c r="N20366" s="11"/>
      <c r="O20366" s="11"/>
      <c r="P20366" s="11"/>
    </row>
    <row r="20367" spans="8:16" x14ac:dyDescent="0.25">
      <c r="H20367" s="12"/>
      <c r="I20367" s="12"/>
      <c r="J20367" s="12"/>
      <c r="K20367" s="12"/>
      <c r="L20367" s="12"/>
      <c r="M20367" s="11"/>
      <c r="N20367" s="11"/>
      <c r="O20367" s="11"/>
      <c r="P20367" s="11"/>
    </row>
    <row r="20368" spans="8:16" x14ac:dyDescent="0.25">
      <c r="H20368" s="12"/>
      <c r="I20368" s="12"/>
      <c r="J20368" s="12"/>
      <c r="K20368" s="12"/>
      <c r="L20368" s="12"/>
      <c r="M20368" s="11"/>
      <c r="N20368" s="11"/>
      <c r="O20368" s="11"/>
      <c r="P20368" s="11"/>
    </row>
    <row r="20369" spans="8:16" x14ac:dyDescent="0.25">
      <c r="H20369" s="12"/>
      <c r="I20369" s="12"/>
      <c r="J20369" s="12"/>
      <c r="K20369" s="12"/>
      <c r="L20369" s="12"/>
      <c r="M20369" s="11"/>
      <c r="N20369" s="11"/>
      <c r="O20369" s="11"/>
      <c r="P20369" s="11"/>
    </row>
    <row r="20370" spans="8:16" x14ac:dyDescent="0.25">
      <c r="H20370" s="12"/>
      <c r="I20370" s="12"/>
      <c r="J20370" s="12"/>
      <c r="K20370" s="12"/>
      <c r="L20370" s="12"/>
      <c r="M20370" s="11"/>
      <c r="N20370" s="11"/>
      <c r="O20370" s="11"/>
      <c r="P20370" s="11"/>
    </row>
    <row r="20371" spans="8:16" x14ac:dyDescent="0.25">
      <c r="H20371" s="12"/>
      <c r="I20371" s="12"/>
      <c r="J20371" s="12"/>
      <c r="K20371" s="12"/>
      <c r="L20371" s="12"/>
      <c r="M20371" s="11"/>
      <c r="N20371" s="11"/>
      <c r="O20371" s="11"/>
      <c r="P20371" s="11"/>
    </row>
    <row r="20372" spans="8:16" x14ac:dyDescent="0.25">
      <c r="H20372" s="12"/>
      <c r="I20372" s="12"/>
      <c r="J20372" s="12"/>
      <c r="K20372" s="12"/>
      <c r="L20372" s="12"/>
      <c r="M20372" s="11"/>
      <c r="N20372" s="11"/>
      <c r="O20372" s="11"/>
      <c r="P20372" s="11"/>
    </row>
    <row r="20373" spans="8:16" x14ac:dyDescent="0.25">
      <c r="H20373" s="12"/>
      <c r="I20373" s="12"/>
      <c r="J20373" s="12"/>
      <c r="K20373" s="12"/>
      <c r="L20373" s="12"/>
      <c r="M20373" s="11"/>
      <c r="N20373" s="11"/>
      <c r="O20373" s="11"/>
      <c r="P20373" s="11"/>
    </row>
    <row r="20374" spans="8:16" x14ac:dyDescent="0.25">
      <c r="H20374" s="12"/>
      <c r="I20374" s="12"/>
      <c r="J20374" s="12"/>
      <c r="K20374" s="12"/>
      <c r="L20374" s="12"/>
      <c r="M20374" s="11"/>
      <c r="N20374" s="11"/>
      <c r="O20374" s="11"/>
      <c r="P20374" s="11"/>
    </row>
    <row r="20375" spans="8:16" x14ac:dyDescent="0.25">
      <c r="H20375" s="12"/>
      <c r="I20375" s="12"/>
      <c r="J20375" s="12"/>
      <c r="K20375" s="12"/>
      <c r="L20375" s="12"/>
      <c r="M20375" s="11"/>
      <c r="N20375" s="11"/>
      <c r="O20375" s="11"/>
      <c r="P20375" s="11"/>
    </row>
    <row r="20376" spans="8:16" x14ac:dyDescent="0.25">
      <c r="H20376" s="12"/>
      <c r="I20376" s="12"/>
      <c r="J20376" s="12"/>
      <c r="K20376" s="12"/>
      <c r="L20376" s="12"/>
      <c r="M20376" s="11"/>
      <c r="N20376" s="11"/>
      <c r="O20376" s="11"/>
      <c r="P20376" s="11"/>
    </row>
    <row r="20377" spans="8:16" x14ac:dyDescent="0.25">
      <c r="H20377" s="12"/>
      <c r="I20377" s="12"/>
      <c r="J20377" s="12"/>
      <c r="K20377" s="12"/>
      <c r="L20377" s="12"/>
      <c r="M20377" s="11"/>
      <c r="N20377" s="11"/>
      <c r="O20377" s="11"/>
      <c r="P20377" s="11"/>
    </row>
    <row r="20378" spans="8:16" x14ac:dyDescent="0.25">
      <c r="H20378" s="12"/>
      <c r="I20378" s="12"/>
      <c r="J20378" s="12"/>
      <c r="K20378" s="12"/>
      <c r="L20378" s="12"/>
      <c r="M20378" s="11"/>
      <c r="N20378" s="11"/>
      <c r="O20378" s="11"/>
      <c r="P20378" s="11"/>
    </row>
    <row r="20379" spans="8:16" x14ac:dyDescent="0.25">
      <c r="H20379" s="12"/>
      <c r="I20379" s="12"/>
      <c r="J20379" s="12"/>
      <c r="K20379" s="12"/>
      <c r="L20379" s="12"/>
      <c r="M20379" s="11"/>
      <c r="N20379" s="11"/>
      <c r="O20379" s="11"/>
      <c r="P20379" s="11"/>
    </row>
    <row r="20380" spans="8:16" x14ac:dyDescent="0.25">
      <c r="H20380" s="12"/>
      <c r="I20380" s="12"/>
      <c r="J20380" s="12"/>
      <c r="K20380" s="12"/>
      <c r="L20380" s="12"/>
      <c r="M20380" s="11"/>
      <c r="N20380" s="11"/>
      <c r="O20380" s="11"/>
      <c r="P20380" s="11"/>
    </row>
    <row r="20381" spans="8:16" x14ac:dyDescent="0.25">
      <c r="H20381" s="12"/>
      <c r="I20381" s="12"/>
      <c r="J20381" s="12"/>
      <c r="K20381" s="12"/>
      <c r="L20381" s="12"/>
      <c r="M20381" s="11"/>
      <c r="N20381" s="11"/>
      <c r="O20381" s="11"/>
      <c r="P20381" s="11"/>
    </row>
    <row r="20382" spans="8:16" x14ac:dyDescent="0.25">
      <c r="H20382" s="12"/>
      <c r="I20382" s="12"/>
      <c r="J20382" s="12"/>
      <c r="K20382" s="12"/>
      <c r="L20382" s="12"/>
      <c r="M20382" s="11"/>
      <c r="N20382" s="11"/>
      <c r="O20382" s="11"/>
      <c r="P20382" s="11"/>
    </row>
    <row r="20383" spans="8:16" x14ac:dyDescent="0.25">
      <c r="H20383" s="12"/>
      <c r="I20383" s="12"/>
      <c r="J20383" s="12"/>
      <c r="K20383" s="12"/>
      <c r="L20383" s="12"/>
      <c r="M20383" s="11"/>
      <c r="N20383" s="11"/>
      <c r="O20383" s="11"/>
      <c r="P20383" s="11"/>
    </row>
    <row r="20384" spans="8:16" x14ac:dyDescent="0.25">
      <c r="H20384" s="12"/>
      <c r="I20384" s="12"/>
      <c r="J20384" s="12"/>
      <c r="K20384" s="12"/>
      <c r="L20384" s="12"/>
      <c r="M20384" s="11"/>
      <c r="N20384" s="11"/>
      <c r="O20384" s="11"/>
      <c r="P20384" s="11"/>
    </row>
    <row r="20385" spans="8:16" x14ac:dyDescent="0.25">
      <c r="H20385" s="12"/>
      <c r="I20385" s="12"/>
      <c r="J20385" s="12"/>
      <c r="K20385" s="12"/>
      <c r="L20385" s="12"/>
      <c r="M20385" s="11"/>
      <c r="N20385" s="11"/>
      <c r="O20385" s="11"/>
      <c r="P20385" s="11"/>
    </row>
    <row r="20386" spans="8:16" x14ac:dyDescent="0.25">
      <c r="H20386" s="12"/>
      <c r="I20386" s="12"/>
      <c r="J20386" s="12"/>
      <c r="K20386" s="12"/>
      <c r="L20386" s="12"/>
      <c r="M20386" s="11"/>
      <c r="N20386" s="11"/>
      <c r="O20386" s="11"/>
      <c r="P20386" s="11"/>
    </row>
    <row r="20387" spans="8:16" x14ac:dyDescent="0.25">
      <c r="H20387" s="12"/>
      <c r="I20387" s="12"/>
      <c r="J20387" s="12"/>
      <c r="K20387" s="12"/>
      <c r="L20387" s="12"/>
      <c r="M20387" s="11"/>
      <c r="N20387" s="11"/>
      <c r="O20387" s="11"/>
      <c r="P20387" s="11"/>
    </row>
    <row r="20388" spans="8:16" x14ac:dyDescent="0.25">
      <c r="H20388" s="12"/>
      <c r="I20388" s="12"/>
      <c r="J20388" s="12"/>
      <c r="K20388" s="12"/>
      <c r="L20388" s="12"/>
      <c r="M20388" s="11"/>
      <c r="N20388" s="11"/>
      <c r="O20388" s="11"/>
      <c r="P20388" s="11"/>
    </row>
    <row r="20389" spans="8:16" x14ac:dyDescent="0.25">
      <c r="H20389" s="12"/>
      <c r="I20389" s="12"/>
      <c r="J20389" s="12"/>
      <c r="K20389" s="12"/>
      <c r="L20389" s="12"/>
      <c r="M20389" s="11"/>
      <c r="N20389" s="11"/>
      <c r="O20389" s="11"/>
      <c r="P20389" s="11"/>
    </row>
    <row r="20390" spans="8:16" x14ac:dyDescent="0.25">
      <c r="H20390" s="12"/>
      <c r="I20390" s="12"/>
      <c r="J20390" s="12"/>
      <c r="K20390" s="12"/>
      <c r="L20390" s="12"/>
      <c r="M20390" s="11"/>
      <c r="N20390" s="11"/>
      <c r="O20390" s="11"/>
      <c r="P20390" s="11"/>
    </row>
    <row r="20391" spans="8:16" x14ac:dyDescent="0.25">
      <c r="H20391" s="12"/>
      <c r="I20391" s="12"/>
      <c r="J20391" s="12"/>
      <c r="K20391" s="12"/>
      <c r="L20391" s="12"/>
      <c r="M20391" s="11"/>
      <c r="N20391" s="11"/>
      <c r="O20391" s="11"/>
      <c r="P20391" s="11"/>
    </row>
    <row r="20392" spans="8:16" x14ac:dyDescent="0.25">
      <c r="H20392" s="12"/>
      <c r="I20392" s="12"/>
      <c r="J20392" s="12"/>
      <c r="K20392" s="12"/>
      <c r="L20392" s="12"/>
      <c r="M20392" s="11"/>
      <c r="N20392" s="11"/>
      <c r="O20392" s="11"/>
      <c r="P20392" s="11"/>
    </row>
    <row r="20393" spans="8:16" x14ac:dyDescent="0.25">
      <c r="H20393" s="12"/>
      <c r="I20393" s="12"/>
      <c r="J20393" s="12"/>
      <c r="K20393" s="12"/>
      <c r="L20393" s="12"/>
      <c r="M20393" s="11"/>
      <c r="N20393" s="11"/>
      <c r="O20393" s="11"/>
      <c r="P20393" s="11"/>
    </row>
    <row r="20394" spans="8:16" x14ac:dyDescent="0.25">
      <c r="H20394" s="12"/>
      <c r="I20394" s="12"/>
      <c r="J20394" s="12"/>
      <c r="K20394" s="12"/>
      <c r="L20394" s="12"/>
      <c r="M20394" s="11"/>
      <c r="N20394" s="11"/>
      <c r="O20394" s="11"/>
      <c r="P20394" s="11"/>
    </row>
    <row r="20395" spans="8:16" x14ac:dyDescent="0.25">
      <c r="H20395" s="12"/>
      <c r="I20395" s="12"/>
      <c r="J20395" s="12"/>
      <c r="K20395" s="12"/>
      <c r="L20395" s="12"/>
      <c r="M20395" s="11"/>
      <c r="N20395" s="11"/>
      <c r="O20395" s="11"/>
      <c r="P20395" s="11"/>
    </row>
    <row r="20396" spans="8:16" x14ac:dyDescent="0.25">
      <c r="H20396" s="12"/>
      <c r="I20396" s="12"/>
      <c r="J20396" s="12"/>
      <c r="K20396" s="12"/>
      <c r="L20396" s="12"/>
      <c r="M20396" s="11"/>
      <c r="N20396" s="11"/>
      <c r="O20396" s="11"/>
      <c r="P20396" s="11"/>
    </row>
    <row r="20397" spans="8:16" x14ac:dyDescent="0.25">
      <c r="H20397" s="12"/>
      <c r="I20397" s="12"/>
      <c r="J20397" s="12"/>
      <c r="K20397" s="12"/>
      <c r="L20397" s="12"/>
      <c r="M20397" s="11"/>
      <c r="N20397" s="11"/>
      <c r="O20397" s="11"/>
      <c r="P20397" s="11"/>
    </row>
    <row r="20398" spans="8:16" x14ac:dyDescent="0.25">
      <c r="H20398" s="12"/>
      <c r="I20398" s="12"/>
      <c r="J20398" s="12"/>
      <c r="K20398" s="12"/>
      <c r="L20398" s="12"/>
      <c r="M20398" s="11"/>
      <c r="N20398" s="11"/>
      <c r="O20398" s="11"/>
      <c r="P20398" s="11"/>
    </row>
    <row r="20399" spans="8:16" x14ac:dyDescent="0.25">
      <c r="H20399" s="12"/>
      <c r="I20399" s="12"/>
      <c r="J20399" s="12"/>
      <c r="K20399" s="12"/>
      <c r="L20399" s="12"/>
      <c r="M20399" s="11"/>
      <c r="N20399" s="11"/>
      <c r="O20399" s="11"/>
      <c r="P20399" s="11"/>
    </row>
    <row r="20400" spans="8:16" x14ac:dyDescent="0.25">
      <c r="H20400" s="12"/>
      <c r="I20400" s="12"/>
      <c r="J20400" s="12"/>
      <c r="K20400" s="12"/>
      <c r="L20400" s="12"/>
      <c r="M20400" s="11"/>
      <c r="N20400" s="11"/>
      <c r="O20400" s="11"/>
      <c r="P20400" s="11"/>
    </row>
    <row r="20401" spans="8:16" x14ac:dyDescent="0.25">
      <c r="H20401" s="12"/>
      <c r="I20401" s="12"/>
      <c r="J20401" s="12"/>
      <c r="K20401" s="12"/>
      <c r="L20401" s="12"/>
      <c r="M20401" s="11"/>
      <c r="N20401" s="11"/>
      <c r="O20401" s="11"/>
      <c r="P20401" s="11"/>
    </row>
    <row r="20402" spans="8:16" x14ac:dyDescent="0.25">
      <c r="H20402" s="12"/>
      <c r="I20402" s="12"/>
      <c r="J20402" s="12"/>
      <c r="K20402" s="12"/>
      <c r="L20402" s="12"/>
      <c r="M20402" s="11"/>
      <c r="N20402" s="11"/>
      <c r="O20402" s="11"/>
      <c r="P20402" s="11"/>
    </row>
    <row r="20403" spans="8:16" x14ac:dyDescent="0.25">
      <c r="H20403" s="12"/>
      <c r="I20403" s="12"/>
      <c r="J20403" s="12"/>
      <c r="K20403" s="12"/>
      <c r="L20403" s="12"/>
      <c r="M20403" s="11"/>
      <c r="N20403" s="11"/>
      <c r="O20403" s="11"/>
      <c r="P20403" s="11"/>
    </row>
    <row r="20404" spans="8:16" x14ac:dyDescent="0.25">
      <c r="H20404" s="12"/>
      <c r="I20404" s="12"/>
      <c r="J20404" s="12"/>
      <c r="K20404" s="12"/>
      <c r="L20404" s="12"/>
      <c r="M20404" s="11"/>
      <c r="N20404" s="11"/>
      <c r="O20404" s="11"/>
      <c r="P20404" s="11"/>
    </row>
    <row r="20405" spans="8:16" x14ac:dyDescent="0.25">
      <c r="H20405" s="12"/>
      <c r="I20405" s="12"/>
      <c r="J20405" s="12"/>
      <c r="K20405" s="12"/>
      <c r="L20405" s="12"/>
      <c r="M20405" s="11"/>
      <c r="N20405" s="11"/>
      <c r="O20405" s="11"/>
      <c r="P20405" s="11"/>
    </row>
    <row r="20406" spans="8:16" x14ac:dyDescent="0.25">
      <c r="H20406" s="12"/>
      <c r="I20406" s="12"/>
      <c r="J20406" s="12"/>
      <c r="K20406" s="12"/>
      <c r="L20406" s="12"/>
      <c r="M20406" s="11"/>
      <c r="N20406" s="11"/>
      <c r="O20406" s="11"/>
      <c r="P20406" s="11"/>
    </row>
    <row r="20407" spans="8:16" x14ac:dyDescent="0.25">
      <c r="H20407" s="12"/>
      <c r="I20407" s="12"/>
      <c r="J20407" s="12"/>
      <c r="K20407" s="12"/>
      <c r="L20407" s="12"/>
      <c r="M20407" s="11"/>
      <c r="N20407" s="11"/>
      <c r="O20407" s="11"/>
      <c r="P20407" s="11"/>
    </row>
    <row r="20408" spans="8:16" x14ac:dyDescent="0.25">
      <c r="H20408" s="12"/>
      <c r="I20408" s="12"/>
      <c r="J20408" s="12"/>
      <c r="K20408" s="12"/>
      <c r="L20408" s="12"/>
      <c r="M20408" s="11"/>
      <c r="N20408" s="11"/>
      <c r="O20408" s="11"/>
      <c r="P20408" s="11"/>
    </row>
    <row r="20409" spans="8:16" x14ac:dyDescent="0.25">
      <c r="H20409" s="12"/>
      <c r="I20409" s="12"/>
      <c r="J20409" s="12"/>
      <c r="K20409" s="12"/>
      <c r="L20409" s="12"/>
      <c r="M20409" s="11"/>
      <c r="N20409" s="11"/>
      <c r="O20409" s="11"/>
      <c r="P20409" s="11"/>
    </row>
    <row r="20410" spans="8:16" x14ac:dyDescent="0.25">
      <c r="H20410" s="12"/>
      <c r="I20410" s="12"/>
      <c r="J20410" s="12"/>
      <c r="K20410" s="12"/>
      <c r="L20410" s="12"/>
      <c r="M20410" s="11"/>
      <c r="N20410" s="11"/>
      <c r="O20410" s="11"/>
      <c r="P20410" s="11"/>
    </row>
    <row r="20411" spans="8:16" x14ac:dyDescent="0.25">
      <c r="H20411" s="12"/>
      <c r="I20411" s="12"/>
      <c r="J20411" s="12"/>
      <c r="K20411" s="12"/>
      <c r="L20411" s="12"/>
      <c r="M20411" s="11"/>
      <c r="N20411" s="11"/>
      <c r="O20411" s="11"/>
      <c r="P20411" s="11"/>
    </row>
    <row r="20412" spans="8:16" x14ac:dyDescent="0.25">
      <c r="H20412" s="12"/>
      <c r="I20412" s="12"/>
      <c r="J20412" s="12"/>
      <c r="K20412" s="12"/>
      <c r="L20412" s="12"/>
      <c r="M20412" s="11"/>
      <c r="N20412" s="11"/>
      <c r="O20412" s="11"/>
      <c r="P20412" s="11"/>
    </row>
    <row r="20413" spans="8:16" x14ac:dyDescent="0.25">
      <c r="H20413" s="12"/>
      <c r="I20413" s="12"/>
      <c r="J20413" s="12"/>
      <c r="K20413" s="12"/>
      <c r="L20413" s="12"/>
      <c r="M20413" s="11"/>
      <c r="N20413" s="11"/>
      <c r="O20413" s="11"/>
      <c r="P20413" s="11"/>
    </row>
    <row r="20414" spans="8:16" x14ac:dyDescent="0.25">
      <c r="H20414" s="12"/>
      <c r="I20414" s="12"/>
      <c r="J20414" s="12"/>
      <c r="K20414" s="12"/>
      <c r="L20414" s="12"/>
      <c r="M20414" s="11"/>
      <c r="N20414" s="11"/>
      <c r="O20414" s="11"/>
      <c r="P20414" s="11"/>
    </row>
    <row r="20415" spans="8:16" x14ac:dyDescent="0.25">
      <c r="H20415" s="12"/>
      <c r="I20415" s="12"/>
      <c r="J20415" s="12"/>
      <c r="K20415" s="12"/>
      <c r="L20415" s="12"/>
      <c r="M20415" s="11"/>
      <c r="N20415" s="11"/>
      <c r="O20415" s="11"/>
      <c r="P20415" s="11"/>
    </row>
    <row r="20416" spans="8:16" x14ac:dyDescent="0.25">
      <c r="H20416" s="12"/>
      <c r="I20416" s="12"/>
      <c r="J20416" s="12"/>
      <c r="K20416" s="12"/>
      <c r="L20416" s="12"/>
      <c r="M20416" s="11"/>
      <c r="N20416" s="11"/>
      <c r="O20416" s="11"/>
      <c r="P20416" s="11"/>
    </row>
    <row r="20417" spans="8:16" x14ac:dyDescent="0.25">
      <c r="H20417" s="12"/>
      <c r="I20417" s="12"/>
      <c r="J20417" s="12"/>
      <c r="K20417" s="12"/>
      <c r="L20417" s="12"/>
      <c r="M20417" s="11"/>
      <c r="N20417" s="11"/>
      <c r="O20417" s="11"/>
      <c r="P20417" s="11"/>
    </row>
    <row r="20418" spans="8:16" x14ac:dyDescent="0.25">
      <c r="H20418" s="12"/>
      <c r="I20418" s="12"/>
      <c r="J20418" s="12"/>
      <c r="K20418" s="12"/>
      <c r="L20418" s="12"/>
      <c r="M20418" s="11"/>
      <c r="N20418" s="11"/>
      <c r="O20418" s="11"/>
      <c r="P20418" s="11"/>
    </row>
    <row r="20419" spans="8:16" x14ac:dyDescent="0.25">
      <c r="H20419" s="12"/>
      <c r="I20419" s="12"/>
      <c r="J20419" s="12"/>
      <c r="K20419" s="12"/>
      <c r="L20419" s="12"/>
      <c r="M20419" s="11"/>
      <c r="N20419" s="11"/>
      <c r="O20419" s="11"/>
      <c r="P20419" s="11"/>
    </row>
    <row r="20420" spans="8:16" x14ac:dyDescent="0.25">
      <c r="H20420" s="12"/>
      <c r="I20420" s="12"/>
      <c r="J20420" s="12"/>
      <c r="K20420" s="12"/>
      <c r="L20420" s="12"/>
      <c r="M20420" s="11"/>
      <c r="N20420" s="11"/>
      <c r="O20420" s="11"/>
      <c r="P20420" s="11"/>
    </row>
    <row r="20421" spans="8:16" x14ac:dyDescent="0.25">
      <c r="H20421" s="12"/>
      <c r="I20421" s="12"/>
      <c r="J20421" s="12"/>
      <c r="K20421" s="12"/>
      <c r="L20421" s="12"/>
      <c r="M20421" s="11"/>
      <c r="N20421" s="11"/>
      <c r="O20421" s="11"/>
      <c r="P20421" s="11"/>
    </row>
    <row r="20422" spans="8:16" x14ac:dyDescent="0.25">
      <c r="H20422" s="12"/>
      <c r="I20422" s="12"/>
      <c r="J20422" s="12"/>
      <c r="K20422" s="12"/>
      <c r="L20422" s="12"/>
      <c r="M20422" s="11"/>
      <c r="N20422" s="11"/>
      <c r="O20422" s="11"/>
      <c r="P20422" s="11"/>
    </row>
    <row r="20423" spans="8:16" x14ac:dyDescent="0.25">
      <c r="H20423" s="12"/>
      <c r="I20423" s="12"/>
      <c r="J20423" s="12"/>
      <c r="K20423" s="12"/>
      <c r="L20423" s="12"/>
      <c r="M20423" s="11"/>
      <c r="N20423" s="11"/>
      <c r="O20423" s="11"/>
      <c r="P20423" s="11"/>
    </row>
    <row r="20424" spans="8:16" x14ac:dyDescent="0.25">
      <c r="H20424" s="12"/>
      <c r="I20424" s="12"/>
      <c r="J20424" s="12"/>
      <c r="K20424" s="12"/>
      <c r="L20424" s="12"/>
      <c r="M20424" s="11"/>
      <c r="N20424" s="11"/>
      <c r="O20424" s="11"/>
      <c r="P20424" s="11"/>
    </row>
    <row r="20425" spans="8:16" x14ac:dyDescent="0.25">
      <c r="H20425" s="12"/>
      <c r="I20425" s="12"/>
      <c r="J20425" s="12"/>
      <c r="K20425" s="12"/>
      <c r="L20425" s="12"/>
      <c r="M20425" s="11"/>
      <c r="N20425" s="11"/>
      <c r="O20425" s="11"/>
      <c r="P20425" s="11"/>
    </row>
    <row r="20426" spans="8:16" x14ac:dyDescent="0.25">
      <c r="H20426" s="12"/>
      <c r="I20426" s="12"/>
      <c r="J20426" s="12"/>
      <c r="K20426" s="12"/>
      <c r="L20426" s="12"/>
      <c r="M20426" s="11"/>
      <c r="N20426" s="11"/>
      <c r="O20426" s="11"/>
      <c r="P20426" s="11"/>
    </row>
    <row r="20427" spans="8:16" x14ac:dyDescent="0.25">
      <c r="H20427" s="12"/>
      <c r="I20427" s="12"/>
      <c r="J20427" s="12"/>
      <c r="K20427" s="12"/>
      <c r="L20427" s="12"/>
      <c r="M20427" s="11"/>
      <c r="N20427" s="11"/>
      <c r="O20427" s="11"/>
      <c r="P20427" s="11"/>
    </row>
    <row r="20428" spans="8:16" x14ac:dyDescent="0.25">
      <c r="H20428" s="12"/>
      <c r="I20428" s="12"/>
      <c r="J20428" s="12"/>
      <c r="K20428" s="12"/>
      <c r="L20428" s="12"/>
      <c r="M20428" s="11"/>
      <c r="N20428" s="11"/>
      <c r="O20428" s="11"/>
      <c r="P20428" s="11"/>
    </row>
    <row r="20429" spans="8:16" x14ac:dyDescent="0.25">
      <c r="H20429" s="12"/>
      <c r="I20429" s="12"/>
      <c r="J20429" s="12"/>
      <c r="K20429" s="12"/>
      <c r="L20429" s="12"/>
      <c r="M20429" s="11"/>
      <c r="N20429" s="11"/>
      <c r="O20429" s="11"/>
      <c r="P20429" s="11"/>
    </row>
    <row r="20430" spans="8:16" x14ac:dyDescent="0.25">
      <c r="H20430" s="12"/>
      <c r="I20430" s="12"/>
      <c r="J20430" s="12"/>
      <c r="K20430" s="12"/>
      <c r="L20430" s="12"/>
      <c r="M20430" s="11"/>
      <c r="N20430" s="11"/>
      <c r="O20430" s="11"/>
      <c r="P20430" s="11"/>
    </row>
    <row r="20431" spans="8:16" x14ac:dyDescent="0.25">
      <c r="H20431" s="12"/>
      <c r="I20431" s="12"/>
      <c r="J20431" s="12"/>
      <c r="K20431" s="12"/>
      <c r="L20431" s="12"/>
      <c r="M20431" s="11"/>
      <c r="N20431" s="11"/>
      <c r="O20431" s="11"/>
      <c r="P20431" s="11"/>
    </row>
    <row r="20432" spans="8:16" x14ac:dyDescent="0.25">
      <c r="H20432" s="12"/>
      <c r="I20432" s="12"/>
      <c r="J20432" s="12"/>
      <c r="K20432" s="12"/>
      <c r="L20432" s="12"/>
      <c r="M20432" s="11"/>
      <c r="N20432" s="11"/>
      <c r="O20432" s="11"/>
      <c r="P20432" s="11"/>
    </row>
    <row r="20433" spans="8:16" x14ac:dyDescent="0.25">
      <c r="H20433" s="12"/>
      <c r="I20433" s="12"/>
      <c r="J20433" s="12"/>
      <c r="K20433" s="12"/>
      <c r="L20433" s="12"/>
      <c r="M20433" s="11"/>
      <c r="N20433" s="11"/>
      <c r="O20433" s="11"/>
      <c r="P20433" s="11"/>
    </row>
    <row r="20434" spans="8:16" x14ac:dyDescent="0.25">
      <c r="H20434" s="12"/>
      <c r="I20434" s="12"/>
      <c r="J20434" s="12"/>
      <c r="K20434" s="12"/>
      <c r="L20434" s="12"/>
      <c r="M20434" s="11"/>
      <c r="N20434" s="11"/>
      <c r="O20434" s="11"/>
      <c r="P20434" s="11"/>
    </row>
    <row r="20435" spans="8:16" x14ac:dyDescent="0.25">
      <c r="H20435" s="12"/>
      <c r="I20435" s="12"/>
      <c r="J20435" s="12"/>
      <c r="K20435" s="12"/>
      <c r="L20435" s="12"/>
      <c r="M20435" s="11"/>
      <c r="N20435" s="11"/>
      <c r="O20435" s="11"/>
      <c r="P20435" s="11"/>
    </row>
    <row r="20436" spans="8:16" x14ac:dyDescent="0.25">
      <c r="H20436" s="12"/>
      <c r="I20436" s="12"/>
      <c r="J20436" s="12"/>
      <c r="K20436" s="12"/>
      <c r="L20436" s="12"/>
      <c r="M20436" s="11"/>
      <c r="N20436" s="11"/>
      <c r="O20436" s="11"/>
      <c r="P20436" s="11"/>
    </row>
    <row r="20437" spans="8:16" x14ac:dyDescent="0.25">
      <c r="H20437" s="12"/>
      <c r="I20437" s="12"/>
      <c r="J20437" s="12"/>
      <c r="K20437" s="12"/>
      <c r="L20437" s="12"/>
      <c r="M20437" s="11"/>
      <c r="N20437" s="11"/>
      <c r="O20437" s="11"/>
      <c r="P20437" s="11"/>
    </row>
    <row r="20438" spans="8:16" x14ac:dyDescent="0.25">
      <c r="H20438" s="12"/>
      <c r="I20438" s="12"/>
      <c r="J20438" s="12"/>
      <c r="K20438" s="12"/>
      <c r="L20438" s="12"/>
      <c r="M20438" s="11"/>
      <c r="N20438" s="11"/>
      <c r="O20438" s="11"/>
      <c r="P20438" s="11"/>
    </row>
    <row r="20439" spans="8:16" x14ac:dyDescent="0.25">
      <c r="H20439" s="12"/>
      <c r="I20439" s="12"/>
      <c r="J20439" s="12"/>
      <c r="K20439" s="12"/>
      <c r="L20439" s="12"/>
      <c r="M20439" s="11"/>
      <c r="N20439" s="11"/>
      <c r="O20439" s="11"/>
      <c r="P20439" s="11"/>
    </row>
    <row r="20440" spans="8:16" x14ac:dyDescent="0.25">
      <c r="H20440" s="12"/>
      <c r="I20440" s="12"/>
      <c r="J20440" s="12"/>
      <c r="K20440" s="12"/>
      <c r="L20440" s="12"/>
      <c r="M20440" s="11"/>
      <c r="N20440" s="11"/>
      <c r="O20440" s="11"/>
      <c r="P20440" s="11"/>
    </row>
    <row r="20441" spans="8:16" x14ac:dyDescent="0.25">
      <c r="H20441" s="12"/>
      <c r="I20441" s="12"/>
      <c r="J20441" s="12"/>
      <c r="K20441" s="12"/>
      <c r="L20441" s="12"/>
      <c r="M20441" s="11"/>
      <c r="N20441" s="11"/>
      <c r="O20441" s="11"/>
      <c r="P20441" s="11"/>
    </row>
    <row r="20442" spans="8:16" x14ac:dyDescent="0.25">
      <c r="H20442" s="12"/>
      <c r="I20442" s="12"/>
      <c r="J20442" s="12"/>
      <c r="K20442" s="12"/>
      <c r="L20442" s="12"/>
      <c r="M20442" s="11"/>
      <c r="N20442" s="11"/>
      <c r="O20442" s="11"/>
      <c r="P20442" s="11"/>
    </row>
    <row r="20443" spans="8:16" x14ac:dyDescent="0.25">
      <c r="H20443" s="12"/>
      <c r="I20443" s="12"/>
      <c r="J20443" s="12"/>
      <c r="K20443" s="12"/>
      <c r="L20443" s="12"/>
      <c r="M20443" s="11"/>
      <c r="N20443" s="11"/>
      <c r="O20443" s="11"/>
      <c r="P20443" s="11"/>
    </row>
    <row r="20444" spans="8:16" x14ac:dyDescent="0.25">
      <c r="H20444" s="12"/>
      <c r="I20444" s="12"/>
      <c r="J20444" s="12"/>
      <c r="K20444" s="12"/>
      <c r="L20444" s="12"/>
      <c r="M20444" s="11"/>
      <c r="N20444" s="11"/>
      <c r="O20444" s="11"/>
      <c r="P20444" s="11"/>
    </row>
    <row r="20445" spans="8:16" x14ac:dyDescent="0.25">
      <c r="H20445" s="12"/>
      <c r="I20445" s="12"/>
      <c r="J20445" s="12"/>
      <c r="K20445" s="12"/>
      <c r="L20445" s="12"/>
      <c r="M20445" s="11"/>
      <c r="N20445" s="11"/>
      <c r="O20445" s="11"/>
      <c r="P20445" s="11"/>
    </row>
    <row r="20446" spans="8:16" x14ac:dyDescent="0.25">
      <c r="H20446" s="12"/>
      <c r="I20446" s="12"/>
      <c r="J20446" s="12"/>
      <c r="K20446" s="12"/>
      <c r="L20446" s="12"/>
      <c r="M20446" s="11"/>
      <c r="N20446" s="11"/>
      <c r="O20446" s="11"/>
      <c r="P20446" s="11"/>
    </row>
    <row r="20447" spans="8:16" x14ac:dyDescent="0.25">
      <c r="H20447" s="12"/>
      <c r="I20447" s="12"/>
      <c r="J20447" s="12"/>
      <c r="K20447" s="12"/>
      <c r="L20447" s="12"/>
      <c r="M20447" s="11"/>
      <c r="N20447" s="11"/>
      <c r="O20447" s="11"/>
      <c r="P20447" s="11"/>
    </row>
    <row r="20448" spans="8:16" x14ac:dyDescent="0.25">
      <c r="H20448" s="12"/>
      <c r="I20448" s="12"/>
      <c r="J20448" s="12"/>
      <c r="K20448" s="12"/>
      <c r="L20448" s="12"/>
      <c r="M20448" s="11"/>
      <c r="N20448" s="11"/>
      <c r="O20448" s="11"/>
      <c r="P20448" s="11"/>
    </row>
    <row r="20449" spans="8:16" x14ac:dyDescent="0.25">
      <c r="H20449" s="12"/>
      <c r="I20449" s="12"/>
      <c r="J20449" s="12"/>
      <c r="K20449" s="12"/>
      <c r="L20449" s="12"/>
      <c r="M20449" s="11"/>
      <c r="N20449" s="11"/>
      <c r="O20449" s="11"/>
      <c r="P20449" s="11"/>
    </row>
    <row r="20450" spans="8:16" x14ac:dyDescent="0.25">
      <c r="H20450" s="12"/>
      <c r="I20450" s="12"/>
      <c r="J20450" s="12"/>
      <c r="K20450" s="12"/>
      <c r="L20450" s="12"/>
      <c r="M20450" s="11"/>
      <c r="N20450" s="11"/>
      <c r="O20450" s="11"/>
      <c r="P20450" s="11"/>
    </row>
    <row r="20451" spans="8:16" x14ac:dyDescent="0.25">
      <c r="H20451" s="12"/>
      <c r="I20451" s="12"/>
      <c r="J20451" s="12"/>
      <c r="K20451" s="12"/>
      <c r="L20451" s="12"/>
      <c r="M20451" s="11"/>
      <c r="N20451" s="11"/>
      <c r="O20451" s="11"/>
      <c r="P20451" s="11"/>
    </row>
    <row r="20452" spans="8:16" x14ac:dyDescent="0.25">
      <c r="H20452" s="12"/>
      <c r="I20452" s="12"/>
      <c r="J20452" s="12"/>
      <c r="K20452" s="12"/>
      <c r="L20452" s="12"/>
      <c r="M20452" s="11"/>
      <c r="N20452" s="11"/>
      <c r="O20452" s="11"/>
      <c r="P20452" s="11"/>
    </row>
    <row r="20453" spans="8:16" x14ac:dyDescent="0.25">
      <c r="H20453" s="12"/>
      <c r="I20453" s="12"/>
      <c r="J20453" s="12"/>
      <c r="K20453" s="12"/>
      <c r="L20453" s="12"/>
      <c r="M20453" s="11"/>
      <c r="N20453" s="11"/>
      <c r="O20453" s="11"/>
      <c r="P20453" s="11"/>
    </row>
    <row r="20454" spans="8:16" x14ac:dyDescent="0.25">
      <c r="H20454" s="12"/>
      <c r="I20454" s="12"/>
      <c r="J20454" s="12"/>
      <c r="K20454" s="12"/>
      <c r="L20454" s="12"/>
      <c r="M20454" s="11"/>
      <c r="N20454" s="11"/>
      <c r="O20454" s="11"/>
      <c r="P20454" s="11"/>
    </row>
    <row r="20455" spans="8:16" x14ac:dyDescent="0.25">
      <c r="H20455" s="12"/>
      <c r="I20455" s="12"/>
      <c r="J20455" s="12"/>
      <c r="K20455" s="12"/>
      <c r="L20455" s="12"/>
      <c r="M20455" s="11"/>
      <c r="N20455" s="11"/>
      <c r="O20455" s="11"/>
      <c r="P20455" s="11"/>
    </row>
    <row r="20456" spans="8:16" x14ac:dyDescent="0.25">
      <c r="H20456" s="12"/>
      <c r="I20456" s="12"/>
      <c r="J20456" s="12"/>
      <c r="K20456" s="12"/>
      <c r="L20456" s="12"/>
      <c r="M20456" s="11"/>
      <c r="N20456" s="11"/>
      <c r="O20456" s="11"/>
      <c r="P20456" s="11"/>
    </row>
    <row r="20457" spans="8:16" x14ac:dyDescent="0.25">
      <c r="H20457" s="12"/>
      <c r="I20457" s="12"/>
      <c r="J20457" s="12"/>
      <c r="K20457" s="12"/>
      <c r="L20457" s="12"/>
      <c r="M20457" s="11"/>
      <c r="N20457" s="11"/>
      <c r="O20457" s="11"/>
      <c r="P20457" s="11"/>
    </row>
    <row r="20458" spans="8:16" x14ac:dyDescent="0.25">
      <c r="H20458" s="12"/>
      <c r="I20458" s="12"/>
      <c r="J20458" s="12"/>
      <c r="K20458" s="12"/>
      <c r="L20458" s="12"/>
      <c r="M20458" s="11"/>
      <c r="N20458" s="11"/>
      <c r="O20458" s="11"/>
      <c r="P20458" s="11"/>
    </row>
    <row r="20459" spans="8:16" x14ac:dyDescent="0.25">
      <c r="H20459" s="12"/>
      <c r="I20459" s="12"/>
      <c r="J20459" s="12"/>
      <c r="K20459" s="12"/>
      <c r="L20459" s="12"/>
      <c r="M20459" s="11"/>
      <c r="N20459" s="11"/>
      <c r="O20459" s="11"/>
      <c r="P20459" s="11"/>
    </row>
    <row r="20460" spans="8:16" x14ac:dyDescent="0.25">
      <c r="H20460" s="12"/>
      <c r="I20460" s="12"/>
      <c r="J20460" s="12"/>
      <c r="K20460" s="12"/>
      <c r="L20460" s="12"/>
      <c r="M20460" s="11"/>
      <c r="N20460" s="11"/>
      <c r="O20460" s="11"/>
      <c r="P20460" s="11"/>
    </row>
    <row r="20461" spans="8:16" x14ac:dyDescent="0.25">
      <c r="H20461" s="12"/>
      <c r="I20461" s="12"/>
      <c r="J20461" s="12"/>
      <c r="K20461" s="12"/>
      <c r="L20461" s="12"/>
      <c r="M20461" s="11"/>
      <c r="N20461" s="11"/>
      <c r="O20461" s="11"/>
      <c r="P20461" s="11"/>
    </row>
    <row r="20462" spans="8:16" x14ac:dyDescent="0.25">
      <c r="H20462" s="12"/>
      <c r="I20462" s="12"/>
      <c r="J20462" s="12"/>
      <c r="K20462" s="12"/>
      <c r="L20462" s="12"/>
      <c r="M20462" s="11"/>
      <c r="N20462" s="11"/>
      <c r="O20462" s="11"/>
      <c r="P20462" s="11"/>
    </row>
    <row r="20463" spans="8:16" x14ac:dyDescent="0.25">
      <c r="H20463" s="12"/>
      <c r="I20463" s="12"/>
      <c r="J20463" s="12"/>
      <c r="K20463" s="12"/>
      <c r="L20463" s="12"/>
      <c r="M20463" s="11"/>
      <c r="N20463" s="11"/>
      <c r="O20463" s="11"/>
      <c r="P20463" s="11"/>
    </row>
    <row r="20464" spans="8:16" x14ac:dyDescent="0.25">
      <c r="H20464" s="12"/>
      <c r="I20464" s="12"/>
      <c r="J20464" s="12"/>
      <c r="K20464" s="12"/>
      <c r="L20464" s="12"/>
      <c r="M20464" s="11"/>
      <c r="N20464" s="11"/>
      <c r="O20464" s="11"/>
      <c r="P20464" s="11"/>
    </row>
    <row r="20465" spans="8:16" x14ac:dyDescent="0.25">
      <c r="H20465" s="12"/>
      <c r="I20465" s="12"/>
      <c r="J20465" s="12"/>
      <c r="K20465" s="12"/>
      <c r="L20465" s="12"/>
      <c r="M20465" s="11"/>
      <c r="N20465" s="11"/>
      <c r="O20465" s="11"/>
      <c r="P20465" s="11"/>
    </row>
    <row r="20466" spans="8:16" x14ac:dyDescent="0.25">
      <c r="H20466" s="12"/>
      <c r="I20466" s="12"/>
      <c r="J20466" s="12"/>
      <c r="K20466" s="12"/>
      <c r="L20466" s="12"/>
      <c r="M20466" s="11"/>
      <c r="N20466" s="11"/>
      <c r="O20466" s="11"/>
      <c r="P20466" s="11"/>
    </row>
    <row r="20467" spans="8:16" x14ac:dyDescent="0.25">
      <c r="H20467" s="12"/>
      <c r="I20467" s="12"/>
      <c r="J20467" s="12"/>
      <c r="K20467" s="12"/>
      <c r="L20467" s="12"/>
      <c r="M20467" s="11"/>
      <c r="N20467" s="11"/>
      <c r="O20467" s="11"/>
      <c r="P20467" s="11"/>
    </row>
    <row r="20468" spans="8:16" x14ac:dyDescent="0.25">
      <c r="H20468" s="12"/>
      <c r="I20468" s="12"/>
      <c r="J20468" s="12"/>
      <c r="K20468" s="12"/>
      <c r="L20468" s="12"/>
      <c r="M20468" s="11"/>
      <c r="N20468" s="11"/>
      <c r="O20468" s="11"/>
      <c r="P20468" s="11"/>
    </row>
    <row r="20469" spans="8:16" x14ac:dyDescent="0.25">
      <c r="H20469" s="12"/>
      <c r="I20469" s="12"/>
      <c r="J20469" s="12"/>
      <c r="K20469" s="12"/>
      <c r="L20469" s="12"/>
      <c r="M20469" s="11"/>
      <c r="N20469" s="11"/>
      <c r="O20469" s="11"/>
      <c r="P20469" s="11"/>
    </row>
    <row r="20470" spans="8:16" x14ac:dyDescent="0.25">
      <c r="H20470" s="12"/>
      <c r="I20470" s="12"/>
      <c r="J20470" s="12"/>
      <c r="K20470" s="12"/>
      <c r="L20470" s="12"/>
      <c r="M20470" s="11"/>
      <c r="N20470" s="11"/>
      <c r="O20470" s="11"/>
      <c r="P20470" s="11"/>
    </row>
    <row r="20471" spans="8:16" x14ac:dyDescent="0.25">
      <c r="H20471" s="12"/>
      <c r="I20471" s="12"/>
      <c r="J20471" s="12"/>
      <c r="K20471" s="12"/>
      <c r="L20471" s="12"/>
      <c r="M20471" s="11"/>
      <c r="N20471" s="11"/>
      <c r="O20471" s="11"/>
      <c r="P20471" s="11"/>
    </row>
    <row r="20472" spans="8:16" x14ac:dyDescent="0.25">
      <c r="H20472" s="12"/>
      <c r="I20472" s="12"/>
      <c r="J20472" s="12"/>
      <c r="K20472" s="12"/>
      <c r="L20472" s="12"/>
      <c r="M20472" s="11"/>
      <c r="N20472" s="11"/>
      <c r="O20472" s="11"/>
      <c r="P20472" s="11"/>
    </row>
    <row r="20473" spans="8:16" x14ac:dyDescent="0.25">
      <c r="H20473" s="12"/>
      <c r="I20473" s="12"/>
      <c r="J20473" s="12"/>
      <c r="K20473" s="12"/>
      <c r="L20473" s="12"/>
      <c r="M20473" s="11"/>
      <c r="N20473" s="11"/>
      <c r="O20473" s="11"/>
      <c r="P20473" s="11"/>
    </row>
    <row r="20474" spans="8:16" x14ac:dyDescent="0.25">
      <c r="H20474" s="12"/>
      <c r="I20474" s="12"/>
      <c r="J20474" s="12"/>
      <c r="K20474" s="12"/>
      <c r="L20474" s="12"/>
      <c r="M20474" s="11"/>
      <c r="N20474" s="11"/>
      <c r="O20474" s="11"/>
      <c r="P20474" s="11"/>
    </row>
    <row r="20475" spans="8:16" x14ac:dyDescent="0.25">
      <c r="H20475" s="12"/>
      <c r="I20475" s="12"/>
      <c r="J20475" s="12"/>
      <c r="K20475" s="12"/>
      <c r="L20475" s="12"/>
      <c r="M20475" s="11"/>
      <c r="N20475" s="11"/>
      <c r="O20475" s="11"/>
      <c r="P20475" s="11"/>
    </row>
    <row r="20476" spans="8:16" x14ac:dyDescent="0.25">
      <c r="H20476" s="12"/>
      <c r="I20476" s="12"/>
      <c r="J20476" s="12"/>
      <c r="K20476" s="12"/>
      <c r="L20476" s="12"/>
      <c r="M20476" s="11"/>
      <c r="N20476" s="11"/>
      <c r="O20476" s="11"/>
      <c r="P20476" s="11"/>
    </row>
    <row r="20477" spans="8:16" x14ac:dyDescent="0.25">
      <c r="H20477" s="12"/>
      <c r="I20477" s="12"/>
      <c r="J20477" s="12"/>
      <c r="K20477" s="12"/>
      <c r="L20477" s="12"/>
      <c r="M20477" s="11"/>
      <c r="N20477" s="11"/>
      <c r="O20477" s="11"/>
      <c r="P20477" s="11"/>
    </row>
    <row r="20478" spans="8:16" x14ac:dyDescent="0.25">
      <c r="H20478" s="12"/>
      <c r="I20478" s="12"/>
      <c r="J20478" s="12"/>
      <c r="K20478" s="12"/>
      <c r="L20478" s="12"/>
      <c r="M20478" s="11"/>
      <c r="N20478" s="11"/>
      <c r="O20478" s="11"/>
      <c r="P20478" s="11"/>
    </row>
    <row r="20479" spans="8:16" x14ac:dyDescent="0.25">
      <c r="H20479" s="12"/>
      <c r="I20479" s="12"/>
      <c r="J20479" s="12"/>
      <c r="K20479" s="12"/>
      <c r="L20479" s="12"/>
      <c r="M20479" s="11"/>
      <c r="N20479" s="11"/>
      <c r="O20479" s="11"/>
      <c r="P20479" s="11"/>
    </row>
    <row r="20480" spans="8:16" x14ac:dyDescent="0.25">
      <c r="H20480" s="12"/>
      <c r="I20480" s="12"/>
      <c r="J20480" s="12"/>
      <c r="K20480" s="12"/>
      <c r="L20480" s="12"/>
      <c r="M20480" s="11"/>
      <c r="N20480" s="11"/>
      <c r="O20480" s="11"/>
      <c r="P20480" s="11"/>
    </row>
    <row r="20481" spans="8:16" x14ac:dyDescent="0.25">
      <c r="H20481" s="12"/>
      <c r="I20481" s="12"/>
      <c r="J20481" s="12"/>
      <c r="K20481" s="12"/>
      <c r="L20481" s="12"/>
      <c r="M20481" s="11"/>
      <c r="N20481" s="11"/>
      <c r="O20481" s="11"/>
      <c r="P20481" s="11"/>
    </row>
    <row r="20482" spans="8:16" x14ac:dyDescent="0.25">
      <c r="H20482" s="12"/>
      <c r="I20482" s="12"/>
      <c r="J20482" s="12"/>
      <c r="K20482" s="12"/>
      <c r="L20482" s="12"/>
      <c r="M20482" s="11"/>
      <c r="N20482" s="11"/>
      <c r="O20482" s="11"/>
      <c r="P20482" s="11"/>
    </row>
    <row r="20483" spans="8:16" x14ac:dyDescent="0.25">
      <c r="H20483" s="12"/>
      <c r="I20483" s="12"/>
      <c r="J20483" s="12"/>
      <c r="K20483" s="12"/>
      <c r="L20483" s="12"/>
      <c r="M20483" s="11"/>
      <c r="N20483" s="11"/>
      <c r="O20483" s="11"/>
      <c r="P20483" s="11"/>
    </row>
    <row r="20484" spans="8:16" x14ac:dyDescent="0.25">
      <c r="H20484" s="12"/>
      <c r="I20484" s="12"/>
      <c r="J20484" s="12"/>
      <c r="K20484" s="12"/>
      <c r="L20484" s="12"/>
      <c r="M20484" s="11"/>
      <c r="N20484" s="11"/>
      <c r="O20484" s="11"/>
      <c r="P20484" s="11"/>
    </row>
    <row r="20485" spans="8:16" x14ac:dyDescent="0.25">
      <c r="H20485" s="12"/>
      <c r="I20485" s="12"/>
      <c r="J20485" s="12"/>
      <c r="K20485" s="12"/>
      <c r="L20485" s="12"/>
      <c r="M20485" s="11"/>
      <c r="N20485" s="11"/>
      <c r="O20485" s="11"/>
      <c r="P20485" s="11"/>
    </row>
    <row r="20486" spans="8:16" x14ac:dyDescent="0.25">
      <c r="H20486" s="12"/>
      <c r="I20486" s="12"/>
      <c r="J20486" s="12"/>
      <c r="K20486" s="12"/>
      <c r="L20486" s="12"/>
      <c r="M20486" s="11"/>
      <c r="N20486" s="11"/>
      <c r="O20486" s="11"/>
      <c r="P20486" s="11"/>
    </row>
    <row r="20487" spans="8:16" x14ac:dyDescent="0.25">
      <c r="H20487" s="12"/>
      <c r="I20487" s="12"/>
      <c r="J20487" s="12"/>
      <c r="K20487" s="12"/>
      <c r="L20487" s="12"/>
      <c r="M20487" s="11"/>
      <c r="N20487" s="11"/>
      <c r="O20487" s="11"/>
      <c r="P20487" s="11"/>
    </row>
    <row r="20488" spans="8:16" x14ac:dyDescent="0.25">
      <c r="H20488" s="12"/>
      <c r="I20488" s="12"/>
      <c r="J20488" s="12"/>
      <c r="K20488" s="12"/>
      <c r="L20488" s="12"/>
      <c r="M20488" s="11"/>
      <c r="N20488" s="11"/>
      <c r="O20488" s="11"/>
      <c r="P20488" s="11"/>
    </row>
    <row r="20489" spans="8:16" x14ac:dyDescent="0.25">
      <c r="H20489" s="12"/>
      <c r="I20489" s="12"/>
      <c r="J20489" s="12"/>
      <c r="K20489" s="12"/>
      <c r="L20489" s="12"/>
      <c r="M20489" s="11"/>
      <c r="N20489" s="11"/>
      <c r="O20489" s="11"/>
      <c r="P20489" s="11"/>
    </row>
    <row r="20490" spans="8:16" x14ac:dyDescent="0.25">
      <c r="H20490" s="12"/>
      <c r="I20490" s="12"/>
      <c r="J20490" s="12"/>
      <c r="K20490" s="12"/>
      <c r="L20490" s="12"/>
      <c r="M20490" s="11"/>
      <c r="N20490" s="11"/>
      <c r="O20490" s="11"/>
      <c r="P20490" s="11"/>
    </row>
    <row r="20491" spans="8:16" x14ac:dyDescent="0.25">
      <c r="H20491" s="12"/>
      <c r="I20491" s="12"/>
      <c r="J20491" s="12"/>
      <c r="K20491" s="12"/>
      <c r="L20491" s="12"/>
      <c r="M20491" s="11"/>
      <c r="N20491" s="11"/>
      <c r="O20491" s="11"/>
      <c r="P20491" s="11"/>
    </row>
    <row r="20492" spans="8:16" x14ac:dyDescent="0.25">
      <c r="H20492" s="12"/>
      <c r="I20492" s="12"/>
      <c r="J20492" s="12"/>
      <c r="K20492" s="12"/>
      <c r="L20492" s="12"/>
      <c r="M20492" s="11"/>
      <c r="N20492" s="11"/>
      <c r="O20492" s="11"/>
      <c r="P20492" s="11"/>
    </row>
    <row r="20493" spans="8:16" x14ac:dyDescent="0.25">
      <c r="H20493" s="12"/>
      <c r="I20493" s="12"/>
      <c r="J20493" s="12"/>
      <c r="K20493" s="12"/>
      <c r="L20493" s="12"/>
      <c r="M20493" s="11"/>
      <c r="N20493" s="11"/>
      <c r="O20493" s="11"/>
      <c r="P20493" s="11"/>
    </row>
    <row r="20494" spans="8:16" x14ac:dyDescent="0.25">
      <c r="H20494" s="12"/>
      <c r="I20494" s="12"/>
      <c r="J20494" s="12"/>
      <c r="K20494" s="12"/>
      <c r="L20494" s="12"/>
      <c r="M20494" s="11"/>
      <c r="N20494" s="11"/>
      <c r="O20494" s="11"/>
      <c r="P20494" s="11"/>
    </row>
    <row r="20495" spans="8:16" x14ac:dyDescent="0.25">
      <c r="H20495" s="12"/>
      <c r="I20495" s="12"/>
      <c r="J20495" s="12"/>
      <c r="K20495" s="12"/>
      <c r="L20495" s="12"/>
      <c r="M20495" s="11"/>
      <c r="N20495" s="11"/>
      <c r="O20495" s="11"/>
      <c r="P20495" s="11"/>
    </row>
    <row r="20496" spans="8:16" x14ac:dyDescent="0.25">
      <c r="H20496" s="12"/>
      <c r="I20496" s="12"/>
      <c r="J20496" s="12"/>
      <c r="K20496" s="12"/>
      <c r="L20496" s="12"/>
      <c r="M20496" s="11"/>
      <c r="N20496" s="11"/>
      <c r="O20496" s="11"/>
      <c r="P20496" s="11"/>
    </row>
    <row r="20497" spans="8:16" x14ac:dyDescent="0.25">
      <c r="H20497" s="12"/>
      <c r="I20497" s="12"/>
      <c r="J20497" s="12"/>
      <c r="K20497" s="12"/>
      <c r="L20497" s="12"/>
      <c r="M20497" s="11"/>
      <c r="N20497" s="11"/>
      <c r="O20497" s="11"/>
      <c r="P20497" s="11"/>
    </row>
    <row r="20498" spans="8:16" x14ac:dyDescent="0.25">
      <c r="H20498" s="12"/>
      <c r="I20498" s="12"/>
      <c r="J20498" s="12"/>
      <c r="K20498" s="12"/>
      <c r="L20498" s="12"/>
      <c r="M20498" s="11"/>
      <c r="N20498" s="11"/>
      <c r="O20498" s="11"/>
      <c r="P20498" s="11"/>
    </row>
    <row r="20499" spans="8:16" x14ac:dyDescent="0.25">
      <c r="H20499" s="12"/>
      <c r="I20499" s="12"/>
      <c r="J20499" s="12"/>
      <c r="K20499" s="12"/>
      <c r="L20499" s="12"/>
      <c r="M20499" s="11"/>
      <c r="N20499" s="11"/>
      <c r="O20499" s="11"/>
      <c r="P20499" s="11"/>
    </row>
    <row r="20500" spans="8:16" x14ac:dyDescent="0.25">
      <c r="H20500" s="12"/>
      <c r="I20500" s="12"/>
      <c r="J20500" s="12"/>
      <c r="K20500" s="12"/>
      <c r="L20500" s="12"/>
      <c r="M20500" s="11"/>
      <c r="N20500" s="11"/>
      <c r="O20500" s="11"/>
      <c r="P20500" s="11"/>
    </row>
    <row r="20501" spans="8:16" x14ac:dyDescent="0.25">
      <c r="H20501" s="12"/>
      <c r="I20501" s="12"/>
      <c r="J20501" s="12"/>
      <c r="K20501" s="12"/>
      <c r="L20501" s="12"/>
      <c r="M20501" s="11"/>
      <c r="N20501" s="11"/>
      <c r="O20501" s="11"/>
      <c r="P20501" s="11"/>
    </row>
    <row r="20502" spans="8:16" x14ac:dyDescent="0.25">
      <c r="H20502" s="12"/>
      <c r="I20502" s="12"/>
      <c r="J20502" s="12"/>
      <c r="K20502" s="12"/>
      <c r="L20502" s="12"/>
      <c r="M20502" s="11"/>
      <c r="N20502" s="11"/>
      <c r="O20502" s="11"/>
      <c r="P20502" s="11"/>
    </row>
    <row r="20503" spans="8:16" x14ac:dyDescent="0.25">
      <c r="H20503" s="12"/>
      <c r="I20503" s="12"/>
      <c r="J20503" s="12"/>
      <c r="K20503" s="12"/>
      <c r="L20503" s="12"/>
      <c r="M20503" s="11"/>
      <c r="N20503" s="11"/>
      <c r="O20503" s="11"/>
      <c r="P20503" s="11"/>
    </row>
    <row r="20504" spans="8:16" x14ac:dyDescent="0.25">
      <c r="H20504" s="12"/>
      <c r="I20504" s="12"/>
      <c r="J20504" s="12"/>
      <c r="K20504" s="12"/>
      <c r="L20504" s="12"/>
      <c r="M20504" s="11"/>
      <c r="N20504" s="11"/>
      <c r="O20504" s="11"/>
      <c r="P20504" s="11"/>
    </row>
    <row r="20505" spans="8:16" x14ac:dyDescent="0.25">
      <c r="H20505" s="12"/>
      <c r="I20505" s="12"/>
      <c r="J20505" s="12"/>
      <c r="K20505" s="12"/>
      <c r="L20505" s="12"/>
      <c r="M20505" s="11"/>
      <c r="N20505" s="11"/>
      <c r="O20505" s="11"/>
      <c r="P20505" s="11"/>
    </row>
    <row r="20506" spans="8:16" x14ac:dyDescent="0.25">
      <c r="H20506" s="12"/>
      <c r="I20506" s="12"/>
      <c r="J20506" s="12"/>
      <c r="K20506" s="12"/>
      <c r="L20506" s="12"/>
      <c r="M20506" s="11"/>
      <c r="N20506" s="11"/>
      <c r="O20506" s="11"/>
      <c r="P20506" s="11"/>
    </row>
    <row r="20507" spans="8:16" x14ac:dyDescent="0.25">
      <c r="H20507" s="12"/>
      <c r="I20507" s="12"/>
      <c r="J20507" s="12"/>
      <c r="K20507" s="12"/>
      <c r="L20507" s="12"/>
      <c r="M20507" s="11"/>
      <c r="N20507" s="11"/>
      <c r="O20507" s="11"/>
      <c r="P20507" s="11"/>
    </row>
    <row r="20508" spans="8:16" x14ac:dyDescent="0.25">
      <c r="H20508" s="12"/>
      <c r="I20508" s="12"/>
      <c r="J20508" s="12"/>
      <c r="K20508" s="12"/>
      <c r="L20508" s="12"/>
      <c r="M20508" s="11"/>
      <c r="N20508" s="11"/>
      <c r="O20508" s="11"/>
      <c r="P20508" s="11"/>
    </row>
    <row r="20509" spans="8:16" x14ac:dyDescent="0.25">
      <c r="H20509" s="12"/>
      <c r="I20509" s="12"/>
      <c r="J20509" s="12"/>
      <c r="K20509" s="12"/>
      <c r="L20509" s="12"/>
      <c r="M20509" s="11"/>
      <c r="N20509" s="11"/>
      <c r="O20509" s="11"/>
      <c r="P20509" s="11"/>
    </row>
    <row r="20510" spans="8:16" x14ac:dyDescent="0.25">
      <c r="H20510" s="12"/>
      <c r="I20510" s="12"/>
      <c r="J20510" s="12"/>
      <c r="K20510" s="12"/>
      <c r="L20510" s="12"/>
      <c r="M20510" s="11"/>
      <c r="N20510" s="11"/>
      <c r="O20510" s="11"/>
      <c r="P20510" s="11"/>
    </row>
    <row r="20511" spans="8:16" x14ac:dyDescent="0.25">
      <c r="H20511" s="12"/>
      <c r="I20511" s="12"/>
      <c r="J20511" s="12"/>
      <c r="K20511" s="12"/>
      <c r="L20511" s="12"/>
      <c r="M20511" s="11"/>
      <c r="N20511" s="11"/>
      <c r="O20511" s="11"/>
      <c r="P20511" s="11"/>
    </row>
    <row r="20512" spans="8:16" x14ac:dyDescent="0.25">
      <c r="H20512" s="12"/>
      <c r="I20512" s="12"/>
      <c r="J20512" s="12"/>
      <c r="K20512" s="12"/>
      <c r="L20512" s="12"/>
      <c r="M20512" s="11"/>
      <c r="N20512" s="11"/>
      <c r="O20512" s="11"/>
      <c r="P20512" s="11"/>
    </row>
    <row r="20513" spans="8:16" x14ac:dyDescent="0.25">
      <c r="H20513" s="12"/>
      <c r="I20513" s="12"/>
      <c r="J20513" s="12"/>
      <c r="K20513" s="12"/>
      <c r="L20513" s="12"/>
      <c r="M20513" s="11"/>
      <c r="N20513" s="11"/>
      <c r="O20513" s="11"/>
      <c r="P20513" s="11"/>
    </row>
    <row r="20514" spans="8:16" x14ac:dyDescent="0.25">
      <c r="H20514" s="12"/>
      <c r="I20514" s="12"/>
      <c r="J20514" s="12"/>
      <c r="K20514" s="12"/>
      <c r="L20514" s="12"/>
      <c r="M20514" s="11"/>
      <c r="N20514" s="11"/>
      <c r="O20514" s="11"/>
      <c r="P20514" s="11"/>
    </row>
    <row r="20515" spans="8:16" x14ac:dyDescent="0.25">
      <c r="H20515" s="12"/>
      <c r="I20515" s="12"/>
      <c r="J20515" s="12"/>
      <c r="K20515" s="12"/>
      <c r="L20515" s="12"/>
      <c r="M20515" s="11"/>
      <c r="N20515" s="11"/>
      <c r="O20515" s="11"/>
      <c r="P20515" s="11"/>
    </row>
    <row r="20516" spans="8:16" x14ac:dyDescent="0.25">
      <c r="H20516" s="12"/>
      <c r="I20516" s="12"/>
      <c r="J20516" s="12"/>
      <c r="K20516" s="12"/>
      <c r="L20516" s="12"/>
      <c r="M20516" s="11"/>
      <c r="N20516" s="11"/>
      <c r="O20516" s="11"/>
      <c r="P20516" s="11"/>
    </row>
    <row r="20517" spans="8:16" x14ac:dyDescent="0.25">
      <c r="H20517" s="12"/>
      <c r="I20517" s="12"/>
      <c r="J20517" s="12"/>
      <c r="K20517" s="12"/>
      <c r="L20517" s="12"/>
      <c r="M20517" s="11"/>
      <c r="N20517" s="11"/>
      <c r="O20517" s="11"/>
      <c r="P20517" s="11"/>
    </row>
    <row r="20518" spans="8:16" x14ac:dyDescent="0.25">
      <c r="H20518" s="12"/>
      <c r="I20518" s="12"/>
      <c r="J20518" s="12"/>
      <c r="K20518" s="12"/>
      <c r="L20518" s="12"/>
      <c r="M20518" s="11"/>
      <c r="N20518" s="11"/>
      <c r="O20518" s="11"/>
      <c r="P20518" s="11"/>
    </row>
    <row r="20519" spans="8:16" x14ac:dyDescent="0.25">
      <c r="H20519" s="12"/>
      <c r="I20519" s="12"/>
      <c r="J20519" s="12"/>
      <c r="K20519" s="12"/>
      <c r="L20519" s="12"/>
      <c r="M20519" s="11"/>
      <c r="N20519" s="11"/>
      <c r="O20519" s="11"/>
      <c r="P20519" s="11"/>
    </row>
    <row r="20520" spans="8:16" x14ac:dyDescent="0.25">
      <c r="H20520" s="12"/>
      <c r="I20520" s="12"/>
      <c r="J20520" s="12"/>
      <c r="K20520" s="12"/>
      <c r="L20520" s="12"/>
      <c r="M20520" s="11"/>
      <c r="N20520" s="11"/>
      <c r="O20520" s="11"/>
      <c r="P20520" s="11"/>
    </row>
    <row r="20521" spans="8:16" x14ac:dyDescent="0.25">
      <c r="H20521" s="12"/>
      <c r="I20521" s="12"/>
      <c r="J20521" s="12"/>
      <c r="K20521" s="12"/>
      <c r="L20521" s="12"/>
      <c r="M20521" s="11"/>
      <c r="N20521" s="11"/>
      <c r="O20521" s="11"/>
      <c r="P20521" s="11"/>
    </row>
    <row r="20522" spans="8:16" x14ac:dyDescent="0.25">
      <c r="H20522" s="12"/>
      <c r="I20522" s="12"/>
      <c r="J20522" s="12"/>
      <c r="K20522" s="12"/>
      <c r="L20522" s="12"/>
      <c r="M20522" s="11"/>
      <c r="N20522" s="11"/>
      <c r="O20522" s="11"/>
      <c r="P20522" s="11"/>
    </row>
    <row r="20523" spans="8:16" x14ac:dyDescent="0.25">
      <c r="H20523" s="12"/>
      <c r="I20523" s="12"/>
      <c r="J20523" s="12"/>
      <c r="K20523" s="12"/>
      <c r="L20523" s="12"/>
      <c r="M20523" s="11"/>
      <c r="N20523" s="11"/>
      <c r="O20523" s="11"/>
      <c r="P20523" s="11"/>
    </row>
    <row r="20524" spans="8:16" x14ac:dyDescent="0.25">
      <c r="H20524" s="12"/>
      <c r="I20524" s="12"/>
      <c r="J20524" s="12"/>
      <c r="K20524" s="12"/>
      <c r="L20524" s="12"/>
      <c r="M20524" s="11"/>
      <c r="N20524" s="11"/>
      <c r="O20524" s="11"/>
      <c r="P20524" s="11"/>
    </row>
    <row r="20525" spans="8:16" x14ac:dyDescent="0.25">
      <c r="H20525" s="12"/>
      <c r="I20525" s="12"/>
      <c r="J20525" s="12"/>
      <c r="K20525" s="12"/>
      <c r="L20525" s="12"/>
      <c r="M20525" s="11"/>
      <c r="N20525" s="11"/>
      <c r="O20525" s="11"/>
      <c r="P20525" s="11"/>
    </row>
    <row r="20526" spans="8:16" x14ac:dyDescent="0.25">
      <c r="H20526" s="12"/>
      <c r="I20526" s="12"/>
      <c r="J20526" s="12"/>
      <c r="K20526" s="12"/>
      <c r="L20526" s="12"/>
      <c r="M20526" s="11"/>
      <c r="N20526" s="11"/>
      <c r="O20526" s="11"/>
      <c r="P20526" s="11"/>
    </row>
    <row r="20527" spans="8:16" x14ac:dyDescent="0.25">
      <c r="H20527" s="12"/>
      <c r="I20527" s="12"/>
      <c r="J20527" s="12"/>
      <c r="K20527" s="12"/>
      <c r="L20527" s="12"/>
      <c r="M20527" s="11"/>
      <c r="N20527" s="11"/>
      <c r="O20527" s="11"/>
      <c r="P20527" s="11"/>
    </row>
    <row r="20528" spans="8:16" x14ac:dyDescent="0.25">
      <c r="H20528" s="12"/>
      <c r="I20528" s="12"/>
      <c r="J20528" s="12"/>
      <c r="K20528" s="12"/>
      <c r="L20528" s="12"/>
      <c r="M20528" s="11"/>
      <c r="N20528" s="11"/>
      <c r="O20528" s="11"/>
      <c r="P20528" s="11"/>
    </row>
    <row r="20529" spans="8:16" x14ac:dyDescent="0.25">
      <c r="H20529" s="12"/>
      <c r="I20529" s="12"/>
      <c r="J20529" s="12"/>
      <c r="K20529" s="12"/>
      <c r="L20529" s="12"/>
      <c r="M20529" s="11"/>
      <c r="N20529" s="11"/>
      <c r="O20529" s="11"/>
      <c r="P20529" s="11"/>
    </row>
    <row r="20530" spans="8:16" x14ac:dyDescent="0.25">
      <c r="H20530" s="12"/>
      <c r="I20530" s="12"/>
      <c r="J20530" s="12"/>
      <c r="K20530" s="12"/>
      <c r="L20530" s="12"/>
      <c r="M20530" s="11"/>
      <c r="N20530" s="11"/>
      <c r="O20530" s="11"/>
      <c r="P20530" s="11"/>
    </row>
    <row r="20531" spans="8:16" x14ac:dyDescent="0.25">
      <c r="H20531" s="12"/>
      <c r="I20531" s="12"/>
      <c r="J20531" s="12"/>
      <c r="K20531" s="12"/>
      <c r="L20531" s="12"/>
      <c r="M20531" s="11"/>
      <c r="N20531" s="11"/>
      <c r="O20531" s="11"/>
      <c r="P20531" s="11"/>
    </row>
    <row r="20532" spans="8:16" x14ac:dyDescent="0.25">
      <c r="H20532" s="12"/>
      <c r="I20532" s="12"/>
      <c r="J20532" s="12"/>
      <c r="K20532" s="12"/>
      <c r="L20532" s="12"/>
      <c r="M20532" s="11"/>
      <c r="N20532" s="11"/>
      <c r="O20532" s="11"/>
      <c r="P20532" s="11"/>
    </row>
    <row r="20533" spans="8:16" x14ac:dyDescent="0.25">
      <c r="H20533" s="12"/>
      <c r="I20533" s="12"/>
      <c r="J20533" s="12"/>
      <c r="K20533" s="12"/>
      <c r="L20533" s="12"/>
      <c r="M20533" s="11"/>
      <c r="N20533" s="11"/>
      <c r="O20533" s="11"/>
      <c r="P20533" s="11"/>
    </row>
    <row r="20534" spans="8:16" x14ac:dyDescent="0.25">
      <c r="H20534" s="12"/>
      <c r="I20534" s="12"/>
      <c r="J20534" s="12"/>
      <c r="K20534" s="12"/>
      <c r="L20534" s="12"/>
      <c r="M20534" s="11"/>
      <c r="N20534" s="11"/>
      <c r="O20534" s="11"/>
      <c r="P20534" s="11"/>
    </row>
    <row r="20535" spans="8:16" x14ac:dyDescent="0.25">
      <c r="H20535" s="12"/>
      <c r="I20535" s="12"/>
      <c r="J20535" s="12"/>
      <c r="K20535" s="12"/>
      <c r="L20535" s="12"/>
      <c r="M20535" s="11"/>
      <c r="N20535" s="11"/>
      <c r="O20535" s="11"/>
      <c r="P20535" s="11"/>
    </row>
    <row r="20536" spans="8:16" x14ac:dyDescent="0.25">
      <c r="H20536" s="12"/>
      <c r="I20536" s="12"/>
      <c r="J20536" s="12"/>
      <c r="K20536" s="12"/>
      <c r="L20536" s="12"/>
      <c r="M20536" s="11"/>
      <c r="N20536" s="11"/>
      <c r="O20536" s="11"/>
      <c r="P20536" s="11"/>
    </row>
    <row r="20537" spans="8:16" x14ac:dyDescent="0.25">
      <c r="H20537" s="12"/>
      <c r="I20537" s="12"/>
      <c r="J20537" s="12"/>
      <c r="K20537" s="12"/>
      <c r="L20537" s="12"/>
      <c r="M20537" s="11"/>
      <c r="N20537" s="11"/>
      <c r="O20537" s="11"/>
      <c r="P20537" s="11"/>
    </row>
    <row r="20538" spans="8:16" x14ac:dyDescent="0.25">
      <c r="H20538" s="12"/>
      <c r="I20538" s="12"/>
      <c r="J20538" s="12"/>
      <c r="K20538" s="12"/>
      <c r="L20538" s="12"/>
      <c r="M20538" s="11"/>
      <c r="N20538" s="11"/>
      <c r="O20538" s="11"/>
      <c r="P20538" s="11"/>
    </row>
    <row r="20539" spans="8:16" x14ac:dyDescent="0.25">
      <c r="H20539" s="12"/>
      <c r="I20539" s="12"/>
      <c r="J20539" s="12"/>
      <c r="K20539" s="12"/>
      <c r="L20539" s="12"/>
      <c r="M20539" s="11"/>
      <c r="N20539" s="11"/>
      <c r="O20539" s="11"/>
      <c r="P20539" s="11"/>
    </row>
    <row r="20540" spans="8:16" x14ac:dyDescent="0.25">
      <c r="H20540" s="12"/>
      <c r="I20540" s="12"/>
      <c r="J20540" s="12"/>
      <c r="K20540" s="12"/>
      <c r="L20540" s="12"/>
      <c r="M20540" s="11"/>
      <c r="N20540" s="11"/>
      <c r="O20540" s="11"/>
      <c r="P20540" s="11"/>
    </row>
    <row r="20541" spans="8:16" x14ac:dyDescent="0.25">
      <c r="H20541" s="12"/>
      <c r="I20541" s="12"/>
      <c r="J20541" s="12"/>
      <c r="K20541" s="12"/>
      <c r="L20541" s="12"/>
      <c r="M20541" s="11"/>
      <c r="N20541" s="11"/>
      <c r="O20541" s="11"/>
      <c r="P20541" s="11"/>
    </row>
    <row r="20542" spans="8:16" x14ac:dyDescent="0.25">
      <c r="H20542" s="12"/>
      <c r="I20542" s="12"/>
      <c r="J20542" s="12"/>
      <c r="K20542" s="12"/>
      <c r="L20542" s="12"/>
      <c r="M20542" s="11"/>
      <c r="N20542" s="11"/>
      <c r="O20542" s="11"/>
      <c r="P20542" s="11"/>
    </row>
    <row r="20543" spans="8:16" x14ac:dyDescent="0.25">
      <c r="H20543" s="12"/>
      <c r="I20543" s="12"/>
      <c r="J20543" s="12"/>
      <c r="K20543" s="12"/>
      <c r="L20543" s="12"/>
      <c r="M20543" s="11"/>
      <c r="N20543" s="11"/>
      <c r="O20543" s="11"/>
      <c r="P20543" s="11"/>
    </row>
    <row r="20544" spans="8:16" x14ac:dyDescent="0.25">
      <c r="H20544" s="12"/>
      <c r="I20544" s="12"/>
      <c r="J20544" s="12"/>
      <c r="K20544" s="12"/>
      <c r="L20544" s="12"/>
      <c r="M20544" s="11"/>
      <c r="N20544" s="11"/>
      <c r="O20544" s="11"/>
      <c r="P20544" s="11"/>
    </row>
    <row r="20545" spans="8:16" x14ac:dyDescent="0.25">
      <c r="H20545" s="12"/>
      <c r="I20545" s="12"/>
      <c r="J20545" s="12"/>
      <c r="K20545" s="12"/>
      <c r="L20545" s="12"/>
      <c r="M20545" s="11"/>
      <c r="N20545" s="11"/>
      <c r="O20545" s="11"/>
      <c r="P20545" s="11"/>
    </row>
    <row r="20546" spans="8:16" x14ac:dyDescent="0.25">
      <c r="H20546" s="12"/>
      <c r="I20546" s="12"/>
      <c r="J20546" s="12"/>
      <c r="K20546" s="12"/>
      <c r="L20546" s="12"/>
      <c r="M20546" s="11"/>
      <c r="N20546" s="11"/>
      <c r="O20546" s="11"/>
      <c r="P20546" s="11"/>
    </row>
    <row r="20547" spans="8:16" x14ac:dyDescent="0.25">
      <c r="H20547" s="12"/>
      <c r="I20547" s="12"/>
      <c r="J20547" s="12"/>
      <c r="K20547" s="12"/>
      <c r="L20547" s="12"/>
      <c r="M20547" s="11"/>
      <c r="N20547" s="11"/>
      <c r="O20547" s="11"/>
      <c r="P20547" s="11"/>
    </row>
    <row r="20548" spans="8:16" x14ac:dyDescent="0.25">
      <c r="H20548" s="12"/>
      <c r="I20548" s="12"/>
      <c r="J20548" s="12"/>
      <c r="K20548" s="12"/>
      <c r="L20548" s="12"/>
      <c r="M20548" s="11"/>
      <c r="N20548" s="11"/>
      <c r="O20548" s="11"/>
      <c r="P20548" s="11"/>
    </row>
    <row r="20549" spans="8:16" x14ac:dyDescent="0.25">
      <c r="H20549" s="12"/>
      <c r="I20549" s="12"/>
      <c r="J20549" s="12"/>
      <c r="K20549" s="12"/>
      <c r="L20549" s="12"/>
      <c r="M20549" s="11"/>
      <c r="N20549" s="11"/>
      <c r="O20549" s="11"/>
      <c r="P20549" s="11"/>
    </row>
    <row r="20550" spans="8:16" x14ac:dyDescent="0.25">
      <c r="H20550" s="12"/>
      <c r="I20550" s="12"/>
      <c r="J20550" s="12"/>
      <c r="K20550" s="12"/>
      <c r="L20550" s="12"/>
      <c r="M20550" s="11"/>
      <c r="N20550" s="11"/>
      <c r="O20550" s="11"/>
      <c r="P20550" s="11"/>
    </row>
    <row r="20551" spans="8:16" x14ac:dyDescent="0.25">
      <c r="H20551" s="12"/>
      <c r="I20551" s="12"/>
      <c r="J20551" s="12"/>
      <c r="K20551" s="12"/>
      <c r="L20551" s="12"/>
      <c r="M20551" s="11"/>
      <c r="N20551" s="11"/>
      <c r="O20551" s="11"/>
      <c r="P20551" s="11"/>
    </row>
    <row r="20552" spans="8:16" x14ac:dyDescent="0.25">
      <c r="H20552" s="12"/>
      <c r="I20552" s="12"/>
      <c r="J20552" s="12"/>
      <c r="K20552" s="12"/>
      <c r="L20552" s="12"/>
      <c r="M20552" s="11"/>
      <c r="N20552" s="11"/>
      <c r="O20552" s="11"/>
      <c r="P20552" s="11"/>
    </row>
    <row r="20553" spans="8:16" x14ac:dyDescent="0.25">
      <c r="H20553" s="12"/>
      <c r="I20553" s="12"/>
      <c r="J20553" s="12"/>
      <c r="K20553" s="12"/>
      <c r="L20553" s="12"/>
      <c r="M20553" s="11"/>
      <c r="N20553" s="11"/>
      <c r="O20553" s="11"/>
      <c r="P20553" s="11"/>
    </row>
    <row r="20554" spans="8:16" x14ac:dyDescent="0.25">
      <c r="H20554" s="12"/>
      <c r="I20554" s="12"/>
      <c r="J20554" s="12"/>
      <c r="K20554" s="12"/>
      <c r="L20554" s="12"/>
      <c r="M20554" s="11"/>
      <c r="N20554" s="11"/>
      <c r="O20554" s="11"/>
      <c r="P20554" s="11"/>
    </row>
    <row r="20555" spans="8:16" x14ac:dyDescent="0.25">
      <c r="H20555" s="12"/>
      <c r="I20555" s="12"/>
      <c r="J20555" s="12"/>
      <c r="K20555" s="12"/>
      <c r="L20555" s="12"/>
      <c r="M20555" s="11"/>
      <c r="N20555" s="11"/>
      <c r="O20555" s="11"/>
      <c r="P20555" s="11"/>
    </row>
    <row r="20556" spans="8:16" x14ac:dyDescent="0.25">
      <c r="H20556" s="12"/>
      <c r="I20556" s="12"/>
      <c r="J20556" s="12"/>
      <c r="K20556" s="12"/>
      <c r="L20556" s="12"/>
      <c r="M20556" s="11"/>
      <c r="N20556" s="11"/>
      <c r="O20556" s="11"/>
      <c r="P20556" s="11"/>
    </row>
    <row r="20557" spans="8:16" x14ac:dyDescent="0.25">
      <c r="H20557" s="12"/>
      <c r="I20557" s="12"/>
      <c r="J20557" s="12"/>
      <c r="K20557" s="12"/>
      <c r="L20557" s="12"/>
      <c r="M20557" s="11"/>
      <c r="N20557" s="11"/>
      <c r="O20557" s="11"/>
      <c r="P20557" s="11"/>
    </row>
    <row r="20558" spans="8:16" x14ac:dyDescent="0.25">
      <c r="H20558" s="12"/>
      <c r="I20558" s="12"/>
      <c r="J20558" s="12"/>
      <c r="K20558" s="12"/>
      <c r="L20558" s="12"/>
      <c r="M20558" s="11"/>
      <c r="N20558" s="11"/>
      <c r="O20558" s="11"/>
      <c r="P20558" s="11"/>
    </row>
    <row r="20559" spans="8:16" x14ac:dyDescent="0.25">
      <c r="H20559" s="12"/>
      <c r="I20559" s="12"/>
      <c r="J20559" s="12"/>
      <c r="K20559" s="12"/>
      <c r="L20559" s="12"/>
      <c r="M20559" s="11"/>
      <c r="N20559" s="11"/>
      <c r="O20559" s="11"/>
      <c r="P20559" s="11"/>
    </row>
    <row r="20560" spans="8:16" x14ac:dyDescent="0.25">
      <c r="H20560" s="12"/>
      <c r="I20560" s="12"/>
      <c r="J20560" s="12"/>
      <c r="K20560" s="12"/>
      <c r="L20560" s="12"/>
      <c r="M20560" s="11"/>
      <c r="N20560" s="11"/>
      <c r="O20560" s="11"/>
      <c r="P20560" s="11"/>
    </row>
    <row r="20561" spans="8:16" x14ac:dyDescent="0.25">
      <c r="H20561" s="12"/>
      <c r="I20561" s="12"/>
      <c r="J20561" s="12"/>
      <c r="K20561" s="12"/>
      <c r="L20561" s="12"/>
      <c r="M20561" s="11"/>
      <c r="N20561" s="11"/>
      <c r="O20561" s="11"/>
      <c r="P20561" s="11"/>
    </row>
    <row r="20562" spans="8:16" x14ac:dyDescent="0.25">
      <c r="H20562" s="12"/>
      <c r="I20562" s="12"/>
      <c r="J20562" s="12"/>
      <c r="K20562" s="12"/>
      <c r="L20562" s="12"/>
      <c r="M20562" s="11"/>
      <c r="N20562" s="11"/>
      <c r="O20562" s="11"/>
      <c r="P20562" s="11"/>
    </row>
    <row r="20563" spans="8:16" x14ac:dyDescent="0.25">
      <c r="H20563" s="12"/>
      <c r="I20563" s="12"/>
      <c r="J20563" s="12"/>
      <c r="K20563" s="12"/>
      <c r="L20563" s="12"/>
      <c r="M20563" s="11"/>
      <c r="N20563" s="11"/>
      <c r="O20563" s="11"/>
      <c r="P20563" s="11"/>
    </row>
    <row r="20564" spans="8:16" x14ac:dyDescent="0.25">
      <c r="H20564" s="12"/>
      <c r="I20564" s="12"/>
      <c r="J20564" s="12"/>
      <c r="K20564" s="12"/>
      <c r="L20564" s="12"/>
      <c r="M20564" s="11"/>
      <c r="N20564" s="11"/>
      <c r="O20564" s="11"/>
      <c r="P20564" s="11"/>
    </row>
    <row r="20565" spans="8:16" x14ac:dyDescent="0.25">
      <c r="H20565" s="12"/>
      <c r="I20565" s="12"/>
      <c r="J20565" s="12"/>
      <c r="K20565" s="12"/>
      <c r="L20565" s="12"/>
      <c r="M20565" s="11"/>
      <c r="N20565" s="11"/>
      <c r="O20565" s="11"/>
      <c r="P20565" s="11"/>
    </row>
    <row r="20566" spans="8:16" x14ac:dyDescent="0.25">
      <c r="H20566" s="12"/>
      <c r="I20566" s="12"/>
      <c r="J20566" s="12"/>
      <c r="K20566" s="12"/>
      <c r="L20566" s="12"/>
      <c r="M20566" s="11"/>
      <c r="N20566" s="11"/>
      <c r="O20566" s="11"/>
      <c r="P20566" s="11"/>
    </row>
    <row r="20567" spans="8:16" x14ac:dyDescent="0.25">
      <c r="H20567" s="12"/>
      <c r="I20567" s="12"/>
      <c r="J20567" s="12"/>
      <c r="K20567" s="12"/>
      <c r="L20567" s="12"/>
      <c r="M20567" s="11"/>
      <c r="N20567" s="11"/>
      <c r="O20567" s="11"/>
      <c r="P20567" s="11"/>
    </row>
    <row r="20568" spans="8:16" x14ac:dyDescent="0.25">
      <c r="H20568" s="12"/>
      <c r="I20568" s="12"/>
      <c r="J20568" s="12"/>
      <c r="K20568" s="12"/>
      <c r="L20568" s="12"/>
      <c r="M20568" s="11"/>
      <c r="N20568" s="11"/>
      <c r="O20568" s="11"/>
      <c r="P20568" s="11"/>
    </row>
    <row r="20569" spans="8:16" x14ac:dyDescent="0.25">
      <c r="H20569" s="12"/>
      <c r="I20569" s="12"/>
      <c r="J20569" s="12"/>
      <c r="K20569" s="12"/>
      <c r="L20569" s="12"/>
      <c r="M20569" s="11"/>
      <c r="N20569" s="11"/>
      <c r="O20569" s="11"/>
      <c r="P20569" s="11"/>
    </row>
    <row r="20570" spans="8:16" x14ac:dyDescent="0.25">
      <c r="H20570" s="12"/>
      <c r="I20570" s="12"/>
      <c r="J20570" s="12"/>
      <c r="K20570" s="12"/>
      <c r="L20570" s="12"/>
      <c r="M20570" s="11"/>
      <c r="N20570" s="11"/>
      <c r="O20570" s="11"/>
      <c r="P20570" s="11"/>
    </row>
    <row r="20571" spans="8:16" x14ac:dyDescent="0.25">
      <c r="H20571" s="12"/>
      <c r="I20571" s="12"/>
      <c r="J20571" s="12"/>
      <c r="K20571" s="12"/>
      <c r="L20571" s="12"/>
      <c r="M20571" s="11"/>
      <c r="N20571" s="11"/>
      <c r="O20571" s="11"/>
      <c r="P20571" s="11"/>
    </row>
    <row r="20572" spans="8:16" x14ac:dyDescent="0.25">
      <c r="H20572" s="12"/>
      <c r="I20572" s="12"/>
      <c r="J20572" s="12"/>
      <c r="K20572" s="12"/>
      <c r="L20572" s="12"/>
      <c r="M20572" s="11"/>
      <c r="N20572" s="11"/>
      <c r="O20572" s="11"/>
      <c r="P20572" s="11"/>
    </row>
    <row r="20573" spans="8:16" x14ac:dyDescent="0.25">
      <c r="H20573" s="12"/>
      <c r="I20573" s="12"/>
      <c r="J20573" s="12"/>
      <c r="K20573" s="12"/>
      <c r="L20573" s="12"/>
      <c r="M20573" s="11"/>
      <c r="N20573" s="11"/>
      <c r="O20573" s="11"/>
      <c r="P20573" s="11"/>
    </row>
    <row r="20574" spans="8:16" x14ac:dyDescent="0.25">
      <c r="H20574" s="12"/>
      <c r="I20574" s="12"/>
      <c r="J20574" s="12"/>
      <c r="K20574" s="12"/>
      <c r="L20574" s="12"/>
      <c r="M20574" s="11"/>
      <c r="N20574" s="11"/>
      <c r="O20574" s="11"/>
      <c r="P20574" s="11"/>
    </row>
    <row r="20575" spans="8:16" x14ac:dyDescent="0.25">
      <c r="H20575" s="12"/>
      <c r="I20575" s="12"/>
      <c r="J20575" s="12"/>
      <c r="K20575" s="12"/>
      <c r="L20575" s="12"/>
      <c r="M20575" s="11"/>
      <c r="N20575" s="11"/>
      <c r="O20575" s="11"/>
      <c r="P20575" s="11"/>
    </row>
    <row r="20576" spans="8:16" x14ac:dyDescent="0.25">
      <c r="H20576" s="12"/>
      <c r="I20576" s="12"/>
      <c r="J20576" s="12"/>
      <c r="K20576" s="12"/>
      <c r="L20576" s="12"/>
      <c r="M20576" s="11"/>
      <c r="N20576" s="11"/>
      <c r="O20576" s="11"/>
      <c r="P20576" s="11"/>
    </row>
    <row r="20577" spans="8:16" x14ac:dyDescent="0.25">
      <c r="H20577" s="12"/>
      <c r="I20577" s="12"/>
      <c r="J20577" s="12"/>
      <c r="K20577" s="12"/>
      <c r="L20577" s="12"/>
      <c r="M20577" s="11"/>
      <c r="N20577" s="11"/>
      <c r="O20577" s="11"/>
      <c r="P20577" s="11"/>
    </row>
    <row r="20578" spans="8:16" x14ac:dyDescent="0.25">
      <c r="H20578" s="12"/>
      <c r="I20578" s="12"/>
      <c r="J20578" s="12"/>
      <c r="K20578" s="12"/>
      <c r="L20578" s="12"/>
      <c r="M20578" s="11"/>
      <c r="N20578" s="11"/>
      <c r="O20578" s="11"/>
      <c r="P20578" s="11"/>
    </row>
    <row r="20579" spans="8:16" x14ac:dyDescent="0.25">
      <c r="H20579" s="12"/>
      <c r="I20579" s="12"/>
      <c r="J20579" s="12"/>
      <c r="K20579" s="12"/>
      <c r="L20579" s="12"/>
      <c r="M20579" s="11"/>
      <c r="N20579" s="11"/>
      <c r="O20579" s="11"/>
      <c r="P20579" s="11"/>
    </row>
    <row r="20580" spans="8:16" x14ac:dyDescent="0.25">
      <c r="H20580" s="12"/>
      <c r="I20580" s="12"/>
      <c r="J20580" s="12"/>
      <c r="K20580" s="12"/>
      <c r="L20580" s="12"/>
      <c r="M20580" s="11"/>
      <c r="N20580" s="11"/>
      <c r="O20580" s="11"/>
      <c r="P20580" s="11"/>
    </row>
    <row r="20581" spans="8:16" x14ac:dyDescent="0.25">
      <c r="H20581" s="12"/>
      <c r="I20581" s="12"/>
      <c r="J20581" s="12"/>
      <c r="K20581" s="12"/>
      <c r="L20581" s="12"/>
      <c r="M20581" s="11"/>
      <c r="N20581" s="11"/>
      <c r="O20581" s="11"/>
      <c r="P20581" s="11"/>
    </row>
    <row r="20582" spans="8:16" x14ac:dyDescent="0.25">
      <c r="H20582" s="12"/>
      <c r="I20582" s="12"/>
      <c r="J20582" s="12"/>
      <c r="K20582" s="12"/>
      <c r="L20582" s="12"/>
      <c r="M20582" s="11"/>
      <c r="N20582" s="11"/>
      <c r="O20582" s="11"/>
      <c r="P20582" s="11"/>
    </row>
    <row r="20583" spans="8:16" x14ac:dyDescent="0.25">
      <c r="H20583" s="12"/>
      <c r="I20583" s="12"/>
      <c r="J20583" s="12"/>
      <c r="K20583" s="12"/>
      <c r="L20583" s="12"/>
      <c r="M20583" s="11"/>
      <c r="N20583" s="11"/>
      <c r="O20583" s="11"/>
      <c r="P20583" s="11"/>
    </row>
    <row r="20584" spans="8:16" x14ac:dyDescent="0.25">
      <c r="H20584" s="12"/>
      <c r="I20584" s="12"/>
      <c r="J20584" s="12"/>
      <c r="K20584" s="12"/>
      <c r="L20584" s="12"/>
      <c r="M20584" s="11"/>
      <c r="N20584" s="11"/>
      <c r="O20584" s="11"/>
      <c r="P20584" s="11"/>
    </row>
    <row r="20585" spans="8:16" x14ac:dyDescent="0.25">
      <c r="H20585" s="12"/>
      <c r="I20585" s="12"/>
      <c r="J20585" s="12"/>
      <c r="K20585" s="12"/>
      <c r="L20585" s="12"/>
      <c r="M20585" s="11"/>
      <c r="N20585" s="11"/>
      <c r="O20585" s="11"/>
      <c r="P20585" s="11"/>
    </row>
    <row r="20586" spans="8:16" x14ac:dyDescent="0.25">
      <c r="H20586" s="12"/>
      <c r="I20586" s="12"/>
      <c r="J20586" s="12"/>
      <c r="K20586" s="12"/>
      <c r="L20586" s="12"/>
      <c r="M20586" s="11"/>
      <c r="N20586" s="11"/>
      <c r="O20586" s="11"/>
      <c r="P20586" s="11"/>
    </row>
    <row r="20587" spans="8:16" x14ac:dyDescent="0.25">
      <c r="H20587" s="12"/>
      <c r="I20587" s="12"/>
      <c r="J20587" s="12"/>
      <c r="K20587" s="12"/>
      <c r="L20587" s="12"/>
      <c r="M20587" s="11"/>
      <c r="N20587" s="11"/>
      <c r="O20587" s="11"/>
      <c r="P20587" s="11"/>
    </row>
    <row r="20588" spans="8:16" x14ac:dyDescent="0.25">
      <c r="H20588" s="12"/>
      <c r="I20588" s="12"/>
      <c r="J20588" s="12"/>
      <c r="K20588" s="12"/>
      <c r="L20588" s="12"/>
      <c r="M20588" s="11"/>
      <c r="N20588" s="11"/>
      <c r="O20588" s="11"/>
      <c r="P20588" s="11"/>
    </row>
    <row r="20589" spans="8:16" x14ac:dyDescent="0.25">
      <c r="H20589" s="12"/>
      <c r="I20589" s="12"/>
      <c r="J20589" s="12"/>
      <c r="K20589" s="12"/>
      <c r="L20589" s="12"/>
      <c r="M20589" s="11"/>
      <c r="N20589" s="11"/>
      <c r="O20589" s="11"/>
      <c r="P20589" s="11"/>
    </row>
    <row r="20590" spans="8:16" x14ac:dyDescent="0.25">
      <c r="H20590" s="12"/>
      <c r="I20590" s="12"/>
      <c r="J20590" s="12"/>
      <c r="K20590" s="12"/>
      <c r="L20590" s="12"/>
      <c r="M20590" s="11"/>
      <c r="N20590" s="11"/>
      <c r="O20590" s="11"/>
      <c r="P20590" s="11"/>
    </row>
    <row r="20591" spans="8:16" x14ac:dyDescent="0.25">
      <c r="H20591" s="12"/>
      <c r="I20591" s="12"/>
      <c r="J20591" s="12"/>
      <c r="K20591" s="12"/>
      <c r="L20591" s="12"/>
      <c r="M20591" s="11"/>
      <c r="N20591" s="11"/>
      <c r="O20591" s="11"/>
      <c r="P20591" s="11"/>
    </row>
    <row r="20592" spans="8:16" x14ac:dyDescent="0.25">
      <c r="H20592" s="12"/>
      <c r="I20592" s="12"/>
      <c r="J20592" s="12"/>
      <c r="K20592" s="12"/>
      <c r="L20592" s="12"/>
      <c r="M20592" s="11"/>
      <c r="N20592" s="11"/>
      <c r="O20592" s="11"/>
      <c r="P20592" s="11"/>
    </row>
    <row r="20593" spans="8:16" x14ac:dyDescent="0.25">
      <c r="H20593" s="12"/>
      <c r="I20593" s="12"/>
      <c r="J20593" s="12"/>
      <c r="K20593" s="12"/>
      <c r="L20593" s="12"/>
      <c r="M20593" s="11"/>
      <c r="N20593" s="11"/>
      <c r="O20593" s="11"/>
      <c r="P20593" s="11"/>
    </row>
    <row r="20594" spans="8:16" x14ac:dyDescent="0.25">
      <c r="H20594" s="12"/>
      <c r="I20594" s="12"/>
      <c r="J20594" s="12"/>
      <c r="K20594" s="12"/>
      <c r="L20594" s="12"/>
      <c r="M20594" s="11"/>
      <c r="N20594" s="11"/>
      <c r="O20594" s="11"/>
      <c r="P20594" s="11"/>
    </row>
    <row r="20595" spans="8:16" x14ac:dyDescent="0.25">
      <c r="H20595" s="12"/>
      <c r="I20595" s="12"/>
      <c r="J20595" s="12"/>
      <c r="K20595" s="12"/>
      <c r="L20595" s="12"/>
      <c r="M20595" s="11"/>
      <c r="N20595" s="11"/>
      <c r="O20595" s="11"/>
      <c r="P20595" s="11"/>
    </row>
    <row r="20596" spans="8:16" x14ac:dyDescent="0.25">
      <c r="H20596" s="12"/>
      <c r="I20596" s="12"/>
      <c r="J20596" s="12"/>
      <c r="K20596" s="12"/>
      <c r="L20596" s="12"/>
      <c r="M20596" s="11"/>
      <c r="N20596" s="11"/>
      <c r="O20596" s="11"/>
      <c r="P20596" s="11"/>
    </row>
    <row r="20597" spans="8:16" x14ac:dyDescent="0.25">
      <c r="H20597" s="12"/>
      <c r="I20597" s="12"/>
      <c r="J20597" s="12"/>
      <c r="K20597" s="12"/>
      <c r="L20597" s="12"/>
      <c r="M20597" s="11"/>
      <c r="N20597" s="11"/>
      <c r="O20597" s="11"/>
      <c r="P20597" s="11"/>
    </row>
    <row r="20598" spans="8:16" x14ac:dyDescent="0.25">
      <c r="H20598" s="12"/>
      <c r="I20598" s="12"/>
      <c r="J20598" s="12"/>
      <c r="K20598" s="12"/>
      <c r="L20598" s="12"/>
      <c r="M20598" s="11"/>
      <c r="N20598" s="11"/>
      <c r="O20598" s="11"/>
      <c r="P20598" s="11"/>
    </row>
    <row r="20599" spans="8:16" x14ac:dyDescent="0.25">
      <c r="H20599" s="12"/>
      <c r="I20599" s="12"/>
      <c r="J20599" s="12"/>
      <c r="K20599" s="12"/>
      <c r="L20599" s="12"/>
      <c r="M20599" s="11"/>
      <c r="N20599" s="11"/>
      <c r="O20599" s="11"/>
      <c r="P20599" s="11"/>
    </row>
    <row r="20600" spans="8:16" x14ac:dyDescent="0.25">
      <c r="H20600" s="12"/>
      <c r="I20600" s="12"/>
      <c r="J20600" s="12"/>
      <c r="K20600" s="12"/>
      <c r="L20600" s="12"/>
      <c r="M20600" s="11"/>
      <c r="N20600" s="11"/>
      <c r="O20600" s="11"/>
      <c r="P20600" s="11"/>
    </row>
    <row r="20601" spans="8:16" x14ac:dyDescent="0.25">
      <c r="H20601" s="12"/>
      <c r="I20601" s="12"/>
      <c r="J20601" s="12"/>
      <c r="K20601" s="12"/>
      <c r="L20601" s="12"/>
      <c r="M20601" s="11"/>
      <c r="N20601" s="11"/>
      <c r="O20601" s="11"/>
      <c r="P20601" s="11"/>
    </row>
    <row r="20602" spans="8:16" x14ac:dyDescent="0.25">
      <c r="H20602" s="12"/>
      <c r="I20602" s="12"/>
      <c r="J20602" s="12"/>
      <c r="K20602" s="12"/>
      <c r="L20602" s="12"/>
      <c r="M20602" s="11"/>
      <c r="N20602" s="11"/>
      <c r="O20602" s="11"/>
      <c r="P20602" s="11"/>
    </row>
    <row r="20603" spans="8:16" x14ac:dyDescent="0.25">
      <c r="H20603" s="12"/>
      <c r="I20603" s="12"/>
      <c r="J20603" s="12"/>
      <c r="K20603" s="12"/>
      <c r="L20603" s="12"/>
      <c r="M20603" s="11"/>
      <c r="N20603" s="11"/>
      <c r="O20603" s="11"/>
      <c r="P20603" s="11"/>
    </row>
    <row r="20604" spans="8:16" x14ac:dyDescent="0.25">
      <c r="H20604" s="12"/>
      <c r="I20604" s="12"/>
      <c r="J20604" s="12"/>
      <c r="K20604" s="12"/>
      <c r="L20604" s="12"/>
      <c r="M20604" s="11"/>
      <c r="N20604" s="11"/>
      <c r="O20604" s="11"/>
      <c r="P20604" s="11"/>
    </row>
    <row r="20605" spans="8:16" x14ac:dyDescent="0.25">
      <c r="H20605" s="12"/>
      <c r="I20605" s="12"/>
      <c r="J20605" s="12"/>
      <c r="K20605" s="12"/>
      <c r="L20605" s="12"/>
      <c r="M20605" s="11"/>
      <c r="N20605" s="11"/>
      <c r="O20605" s="11"/>
      <c r="P20605" s="11"/>
    </row>
    <row r="20606" spans="8:16" x14ac:dyDescent="0.25">
      <c r="H20606" s="12"/>
      <c r="I20606" s="12"/>
      <c r="J20606" s="12"/>
      <c r="K20606" s="12"/>
      <c r="L20606" s="12"/>
      <c r="M20606" s="11"/>
      <c r="N20606" s="11"/>
      <c r="O20606" s="11"/>
      <c r="P20606" s="11"/>
    </row>
    <row r="20607" spans="8:16" x14ac:dyDescent="0.25">
      <c r="H20607" s="12"/>
      <c r="I20607" s="12"/>
      <c r="J20607" s="12"/>
      <c r="K20607" s="12"/>
      <c r="L20607" s="12"/>
      <c r="M20607" s="11"/>
      <c r="N20607" s="11"/>
      <c r="O20607" s="11"/>
      <c r="P20607" s="11"/>
    </row>
    <row r="20608" spans="8:16" x14ac:dyDescent="0.25">
      <c r="H20608" s="12"/>
      <c r="I20608" s="12"/>
      <c r="J20608" s="12"/>
      <c r="K20608" s="12"/>
      <c r="L20608" s="12"/>
      <c r="M20608" s="11"/>
      <c r="N20608" s="11"/>
      <c r="O20608" s="11"/>
      <c r="P20608" s="11"/>
    </row>
    <row r="20609" spans="8:16" x14ac:dyDescent="0.25">
      <c r="H20609" s="12"/>
      <c r="I20609" s="12"/>
      <c r="J20609" s="12"/>
      <c r="K20609" s="12"/>
      <c r="L20609" s="12"/>
      <c r="M20609" s="11"/>
      <c r="N20609" s="11"/>
      <c r="O20609" s="11"/>
      <c r="P20609" s="11"/>
    </row>
    <row r="20610" spans="8:16" x14ac:dyDescent="0.25">
      <c r="H20610" s="12"/>
      <c r="I20610" s="12"/>
      <c r="J20610" s="12"/>
      <c r="K20610" s="12"/>
      <c r="L20610" s="12"/>
      <c r="M20610" s="11"/>
      <c r="N20610" s="11"/>
      <c r="O20610" s="11"/>
      <c r="P20610" s="11"/>
    </row>
    <row r="20611" spans="8:16" x14ac:dyDescent="0.25">
      <c r="H20611" s="12"/>
      <c r="I20611" s="12"/>
      <c r="J20611" s="12"/>
      <c r="K20611" s="12"/>
      <c r="L20611" s="12"/>
      <c r="M20611" s="11"/>
      <c r="N20611" s="11"/>
      <c r="O20611" s="11"/>
      <c r="P20611" s="11"/>
    </row>
    <row r="20612" spans="8:16" x14ac:dyDescent="0.25">
      <c r="H20612" s="12"/>
      <c r="I20612" s="12"/>
      <c r="J20612" s="12"/>
      <c r="K20612" s="12"/>
      <c r="L20612" s="12"/>
      <c r="M20612" s="11"/>
      <c r="N20612" s="11"/>
      <c r="O20612" s="11"/>
      <c r="P20612" s="11"/>
    </row>
    <row r="20613" spans="8:16" x14ac:dyDescent="0.25">
      <c r="H20613" s="12"/>
      <c r="I20613" s="12"/>
      <c r="J20613" s="12"/>
      <c r="K20613" s="12"/>
      <c r="L20613" s="12"/>
      <c r="M20613" s="11"/>
      <c r="N20613" s="11"/>
      <c r="O20613" s="11"/>
      <c r="P20613" s="11"/>
    </row>
    <row r="20614" spans="8:16" x14ac:dyDescent="0.25">
      <c r="H20614" s="12"/>
      <c r="I20614" s="12"/>
      <c r="J20614" s="12"/>
      <c r="K20614" s="12"/>
      <c r="L20614" s="12"/>
      <c r="M20614" s="11"/>
      <c r="N20614" s="11"/>
      <c r="O20614" s="11"/>
      <c r="P20614" s="11"/>
    </row>
    <row r="20615" spans="8:16" x14ac:dyDescent="0.25">
      <c r="H20615" s="12"/>
      <c r="I20615" s="12"/>
      <c r="J20615" s="12"/>
      <c r="K20615" s="12"/>
      <c r="L20615" s="12"/>
      <c r="M20615" s="11"/>
      <c r="N20615" s="11"/>
      <c r="O20615" s="11"/>
      <c r="P20615" s="11"/>
    </row>
    <row r="20616" spans="8:16" x14ac:dyDescent="0.25">
      <c r="H20616" s="12"/>
      <c r="I20616" s="12"/>
      <c r="J20616" s="12"/>
      <c r="K20616" s="12"/>
      <c r="L20616" s="12"/>
      <c r="M20616" s="11"/>
      <c r="N20616" s="11"/>
      <c r="O20616" s="11"/>
      <c r="P20616" s="11"/>
    </row>
    <row r="20617" spans="8:16" x14ac:dyDescent="0.25">
      <c r="H20617" s="12"/>
      <c r="I20617" s="12"/>
      <c r="J20617" s="12"/>
      <c r="K20617" s="12"/>
      <c r="L20617" s="12"/>
      <c r="M20617" s="11"/>
      <c r="N20617" s="11"/>
      <c r="O20617" s="11"/>
      <c r="P20617" s="11"/>
    </row>
    <row r="20618" spans="8:16" x14ac:dyDescent="0.25">
      <c r="H20618" s="12"/>
      <c r="I20618" s="12"/>
      <c r="J20618" s="12"/>
      <c r="K20618" s="12"/>
      <c r="L20618" s="12"/>
      <c r="M20618" s="11"/>
      <c r="N20618" s="11"/>
      <c r="O20618" s="11"/>
      <c r="P20618" s="11"/>
    </row>
    <row r="20619" spans="8:16" x14ac:dyDescent="0.25">
      <c r="H20619" s="12"/>
      <c r="I20619" s="12"/>
      <c r="J20619" s="12"/>
      <c r="K20619" s="12"/>
      <c r="L20619" s="12"/>
      <c r="M20619" s="11"/>
      <c r="N20619" s="11"/>
      <c r="O20619" s="11"/>
      <c r="P20619" s="11"/>
    </row>
    <row r="20620" spans="8:16" x14ac:dyDescent="0.25">
      <c r="H20620" s="12"/>
      <c r="I20620" s="12"/>
      <c r="J20620" s="12"/>
      <c r="K20620" s="12"/>
      <c r="L20620" s="12"/>
      <c r="M20620" s="11"/>
      <c r="N20620" s="11"/>
      <c r="O20620" s="11"/>
      <c r="P20620" s="11"/>
    </row>
    <row r="20621" spans="8:16" x14ac:dyDescent="0.25">
      <c r="H20621" s="12"/>
      <c r="I20621" s="12"/>
      <c r="J20621" s="12"/>
      <c r="K20621" s="12"/>
      <c r="L20621" s="12"/>
      <c r="M20621" s="11"/>
      <c r="N20621" s="11"/>
      <c r="O20621" s="11"/>
      <c r="P20621" s="11"/>
    </row>
    <row r="20622" spans="8:16" x14ac:dyDescent="0.25">
      <c r="H20622" s="12"/>
      <c r="I20622" s="12"/>
      <c r="J20622" s="12"/>
      <c r="K20622" s="12"/>
      <c r="L20622" s="12"/>
      <c r="M20622" s="11"/>
      <c r="N20622" s="11"/>
      <c r="O20622" s="11"/>
      <c r="P20622" s="11"/>
    </row>
    <row r="20623" spans="8:16" x14ac:dyDescent="0.25">
      <c r="H20623" s="12"/>
      <c r="I20623" s="12"/>
      <c r="J20623" s="12"/>
      <c r="K20623" s="12"/>
      <c r="L20623" s="12"/>
      <c r="M20623" s="11"/>
      <c r="N20623" s="11"/>
      <c r="O20623" s="11"/>
      <c r="P20623" s="11"/>
    </row>
    <row r="20624" spans="8:16" x14ac:dyDescent="0.25">
      <c r="H20624" s="12"/>
      <c r="I20624" s="12"/>
      <c r="J20624" s="12"/>
      <c r="K20624" s="12"/>
      <c r="L20624" s="12"/>
      <c r="M20624" s="11"/>
      <c r="N20624" s="11"/>
      <c r="O20624" s="11"/>
      <c r="P20624" s="11"/>
    </row>
    <row r="20625" spans="8:16" x14ac:dyDescent="0.25">
      <c r="H20625" s="12"/>
      <c r="I20625" s="12"/>
      <c r="J20625" s="12"/>
      <c r="K20625" s="12"/>
      <c r="L20625" s="12"/>
      <c r="M20625" s="11"/>
      <c r="N20625" s="11"/>
      <c r="O20625" s="11"/>
      <c r="P20625" s="11"/>
    </row>
    <row r="20626" spans="8:16" x14ac:dyDescent="0.25">
      <c r="H20626" s="12"/>
      <c r="I20626" s="12"/>
      <c r="J20626" s="12"/>
      <c r="K20626" s="12"/>
      <c r="L20626" s="12"/>
      <c r="M20626" s="11"/>
      <c r="N20626" s="11"/>
      <c r="O20626" s="11"/>
      <c r="P20626" s="11"/>
    </row>
    <row r="20627" spans="8:16" x14ac:dyDescent="0.25">
      <c r="H20627" s="12"/>
      <c r="I20627" s="12"/>
      <c r="J20627" s="12"/>
      <c r="K20627" s="12"/>
      <c r="L20627" s="12"/>
      <c r="M20627" s="11"/>
      <c r="N20627" s="11"/>
      <c r="O20627" s="11"/>
      <c r="P20627" s="11"/>
    </row>
    <row r="20628" spans="8:16" x14ac:dyDescent="0.25">
      <c r="H20628" s="12"/>
      <c r="I20628" s="12"/>
      <c r="J20628" s="12"/>
      <c r="K20628" s="12"/>
      <c r="L20628" s="12"/>
      <c r="M20628" s="11"/>
      <c r="N20628" s="11"/>
      <c r="O20628" s="11"/>
      <c r="P20628" s="11"/>
    </row>
    <row r="20629" spans="8:16" x14ac:dyDescent="0.25">
      <c r="H20629" s="12"/>
      <c r="I20629" s="12"/>
      <c r="J20629" s="12"/>
      <c r="K20629" s="12"/>
      <c r="L20629" s="12"/>
      <c r="M20629" s="11"/>
      <c r="N20629" s="11"/>
      <c r="O20629" s="11"/>
      <c r="P20629" s="11"/>
    </row>
    <row r="20630" spans="8:16" x14ac:dyDescent="0.25">
      <c r="H20630" s="12"/>
      <c r="I20630" s="12"/>
      <c r="J20630" s="12"/>
      <c r="K20630" s="12"/>
      <c r="L20630" s="12"/>
      <c r="M20630" s="11"/>
      <c r="N20630" s="11"/>
      <c r="O20630" s="11"/>
      <c r="P20630" s="11"/>
    </row>
    <row r="20631" spans="8:16" x14ac:dyDescent="0.25">
      <c r="H20631" s="12"/>
      <c r="I20631" s="12"/>
      <c r="J20631" s="12"/>
      <c r="K20631" s="12"/>
      <c r="L20631" s="12"/>
      <c r="M20631" s="11"/>
      <c r="N20631" s="11"/>
      <c r="O20631" s="11"/>
      <c r="P20631" s="11"/>
    </row>
    <row r="20632" spans="8:16" x14ac:dyDescent="0.25">
      <c r="H20632" s="12"/>
      <c r="I20632" s="12"/>
      <c r="J20632" s="12"/>
      <c r="K20632" s="12"/>
      <c r="L20632" s="12"/>
      <c r="M20632" s="11"/>
      <c r="N20632" s="11"/>
      <c r="O20632" s="11"/>
      <c r="P20632" s="11"/>
    </row>
    <row r="20633" spans="8:16" x14ac:dyDescent="0.25">
      <c r="H20633" s="12"/>
      <c r="I20633" s="12"/>
      <c r="J20633" s="12"/>
      <c r="K20633" s="12"/>
      <c r="L20633" s="12"/>
      <c r="M20633" s="11"/>
      <c r="N20633" s="11"/>
      <c r="O20633" s="11"/>
      <c r="P20633" s="11"/>
    </row>
    <row r="20634" spans="8:16" x14ac:dyDescent="0.25">
      <c r="H20634" s="12"/>
      <c r="I20634" s="12"/>
      <c r="J20634" s="12"/>
      <c r="K20634" s="12"/>
      <c r="L20634" s="12"/>
      <c r="M20634" s="11"/>
      <c r="N20634" s="11"/>
      <c r="O20634" s="11"/>
      <c r="P20634" s="11"/>
    </row>
    <row r="20635" spans="8:16" x14ac:dyDescent="0.25">
      <c r="H20635" s="12"/>
      <c r="I20635" s="12"/>
      <c r="J20635" s="12"/>
      <c r="K20635" s="12"/>
      <c r="L20635" s="12"/>
      <c r="M20635" s="11"/>
      <c r="N20635" s="11"/>
      <c r="O20635" s="11"/>
      <c r="P20635" s="11"/>
    </row>
    <row r="20636" spans="8:16" x14ac:dyDescent="0.25">
      <c r="H20636" s="12"/>
      <c r="I20636" s="12"/>
      <c r="J20636" s="12"/>
      <c r="K20636" s="12"/>
      <c r="L20636" s="12"/>
      <c r="M20636" s="11"/>
      <c r="N20636" s="11"/>
      <c r="O20636" s="11"/>
      <c r="P20636" s="11"/>
    </row>
    <row r="20637" spans="8:16" x14ac:dyDescent="0.25">
      <c r="H20637" s="12"/>
      <c r="I20637" s="12"/>
      <c r="J20637" s="12"/>
      <c r="K20637" s="12"/>
      <c r="L20637" s="12"/>
      <c r="M20637" s="11"/>
      <c r="N20637" s="11"/>
      <c r="O20637" s="11"/>
      <c r="P20637" s="11"/>
    </row>
    <row r="20638" spans="8:16" x14ac:dyDescent="0.25">
      <c r="H20638" s="12"/>
      <c r="I20638" s="12"/>
      <c r="J20638" s="12"/>
      <c r="K20638" s="12"/>
      <c r="L20638" s="12"/>
      <c r="M20638" s="11"/>
      <c r="N20638" s="11"/>
      <c r="O20638" s="11"/>
      <c r="P20638" s="11"/>
    </row>
    <row r="20639" spans="8:16" x14ac:dyDescent="0.25">
      <c r="H20639" s="12"/>
      <c r="I20639" s="12"/>
      <c r="J20639" s="12"/>
      <c r="K20639" s="12"/>
      <c r="L20639" s="12"/>
      <c r="M20639" s="11"/>
      <c r="N20639" s="11"/>
      <c r="O20639" s="11"/>
      <c r="P20639" s="11"/>
    </row>
    <row r="20640" spans="8:16" x14ac:dyDescent="0.25">
      <c r="H20640" s="12"/>
      <c r="I20640" s="12"/>
      <c r="J20640" s="12"/>
      <c r="K20640" s="12"/>
      <c r="L20640" s="12"/>
      <c r="M20640" s="11"/>
      <c r="N20640" s="11"/>
      <c r="O20640" s="11"/>
      <c r="P20640" s="11"/>
    </row>
    <row r="20641" spans="8:16" x14ac:dyDescent="0.25">
      <c r="H20641" s="12"/>
      <c r="I20641" s="12"/>
      <c r="J20641" s="12"/>
      <c r="K20641" s="12"/>
      <c r="L20641" s="12"/>
      <c r="M20641" s="11"/>
      <c r="N20641" s="11"/>
      <c r="O20641" s="11"/>
      <c r="P20641" s="11"/>
    </row>
    <row r="20642" spans="8:16" x14ac:dyDescent="0.25">
      <c r="H20642" s="12"/>
      <c r="I20642" s="12"/>
      <c r="J20642" s="12"/>
      <c r="K20642" s="12"/>
      <c r="L20642" s="12"/>
      <c r="M20642" s="11"/>
      <c r="N20642" s="11"/>
      <c r="O20642" s="11"/>
      <c r="P20642" s="11"/>
    </row>
    <row r="20643" spans="8:16" x14ac:dyDescent="0.25">
      <c r="H20643" s="12"/>
      <c r="I20643" s="12"/>
      <c r="J20643" s="12"/>
      <c r="K20643" s="12"/>
      <c r="L20643" s="12"/>
      <c r="M20643" s="11"/>
      <c r="N20643" s="11"/>
      <c r="O20643" s="11"/>
      <c r="P20643" s="11"/>
    </row>
    <row r="20644" spans="8:16" x14ac:dyDescent="0.25">
      <c r="H20644" s="12"/>
      <c r="I20644" s="12"/>
      <c r="J20644" s="12"/>
      <c r="K20644" s="12"/>
      <c r="L20644" s="12"/>
      <c r="M20644" s="11"/>
      <c r="N20644" s="11"/>
      <c r="O20644" s="11"/>
      <c r="P20644" s="11"/>
    </row>
    <row r="20645" spans="8:16" x14ac:dyDescent="0.25">
      <c r="H20645" s="12"/>
      <c r="I20645" s="12"/>
      <c r="J20645" s="12"/>
      <c r="K20645" s="12"/>
      <c r="L20645" s="12"/>
      <c r="M20645" s="11"/>
      <c r="N20645" s="11"/>
      <c r="O20645" s="11"/>
      <c r="P20645" s="11"/>
    </row>
    <row r="20646" spans="8:16" x14ac:dyDescent="0.25">
      <c r="H20646" s="12"/>
      <c r="I20646" s="12"/>
      <c r="J20646" s="12"/>
      <c r="K20646" s="12"/>
      <c r="L20646" s="12"/>
      <c r="M20646" s="11"/>
      <c r="N20646" s="11"/>
      <c r="O20646" s="11"/>
      <c r="P20646" s="11"/>
    </row>
    <row r="20647" spans="8:16" x14ac:dyDescent="0.25">
      <c r="H20647" s="12"/>
      <c r="I20647" s="12"/>
      <c r="J20647" s="12"/>
      <c r="K20647" s="12"/>
      <c r="L20647" s="12"/>
      <c r="M20647" s="11"/>
      <c r="N20647" s="11"/>
      <c r="O20647" s="11"/>
      <c r="P20647" s="11"/>
    </row>
    <row r="20648" spans="8:16" x14ac:dyDescent="0.25">
      <c r="H20648" s="12"/>
      <c r="I20648" s="12"/>
      <c r="J20648" s="12"/>
      <c r="K20648" s="12"/>
      <c r="L20648" s="12"/>
      <c r="M20648" s="11"/>
      <c r="N20648" s="11"/>
      <c r="O20648" s="11"/>
      <c r="P20648" s="11"/>
    </row>
    <row r="20649" spans="8:16" x14ac:dyDescent="0.25">
      <c r="H20649" s="12"/>
      <c r="I20649" s="12"/>
      <c r="J20649" s="12"/>
      <c r="K20649" s="12"/>
      <c r="L20649" s="12"/>
      <c r="M20649" s="11"/>
      <c r="N20649" s="11"/>
      <c r="O20649" s="11"/>
      <c r="P20649" s="11"/>
    </row>
    <row r="20650" spans="8:16" x14ac:dyDescent="0.25">
      <c r="H20650" s="12"/>
      <c r="I20650" s="12"/>
      <c r="J20650" s="12"/>
      <c r="K20650" s="12"/>
      <c r="L20650" s="12"/>
      <c r="M20650" s="11"/>
      <c r="N20650" s="11"/>
      <c r="O20650" s="11"/>
      <c r="P20650" s="11"/>
    </row>
    <row r="20651" spans="8:16" x14ac:dyDescent="0.25">
      <c r="H20651" s="12"/>
      <c r="I20651" s="12"/>
      <c r="J20651" s="12"/>
      <c r="K20651" s="12"/>
      <c r="L20651" s="12"/>
      <c r="M20651" s="11"/>
      <c r="N20651" s="11"/>
      <c r="O20651" s="11"/>
      <c r="P20651" s="11"/>
    </row>
    <row r="20652" spans="8:16" x14ac:dyDescent="0.25">
      <c r="H20652" s="12"/>
      <c r="I20652" s="12"/>
      <c r="J20652" s="12"/>
      <c r="K20652" s="12"/>
      <c r="L20652" s="12"/>
      <c r="M20652" s="11"/>
      <c r="N20652" s="11"/>
      <c r="O20652" s="11"/>
      <c r="P20652" s="11"/>
    </row>
    <row r="20653" spans="8:16" x14ac:dyDescent="0.25">
      <c r="H20653" s="12"/>
      <c r="I20653" s="12"/>
      <c r="J20653" s="12"/>
      <c r="K20653" s="12"/>
      <c r="L20653" s="12"/>
      <c r="M20653" s="11"/>
      <c r="N20653" s="11"/>
      <c r="O20653" s="11"/>
      <c r="P20653" s="11"/>
    </row>
    <row r="20654" spans="8:16" x14ac:dyDescent="0.25">
      <c r="H20654" s="12"/>
      <c r="I20654" s="12"/>
      <c r="J20654" s="12"/>
      <c r="K20654" s="12"/>
      <c r="L20654" s="12"/>
      <c r="M20654" s="11"/>
      <c r="N20654" s="11"/>
      <c r="O20654" s="11"/>
      <c r="P20654" s="11"/>
    </row>
    <row r="20655" spans="8:16" x14ac:dyDescent="0.25">
      <c r="H20655" s="12"/>
      <c r="I20655" s="12"/>
      <c r="J20655" s="12"/>
      <c r="K20655" s="12"/>
      <c r="L20655" s="12"/>
      <c r="M20655" s="11"/>
      <c r="N20655" s="11"/>
      <c r="O20655" s="11"/>
      <c r="P20655" s="11"/>
    </row>
    <row r="20656" spans="8:16" x14ac:dyDescent="0.25">
      <c r="H20656" s="12"/>
      <c r="I20656" s="12"/>
      <c r="J20656" s="12"/>
      <c r="K20656" s="12"/>
      <c r="L20656" s="12"/>
      <c r="M20656" s="11"/>
      <c r="N20656" s="11"/>
      <c r="O20656" s="11"/>
      <c r="P20656" s="11"/>
    </row>
    <row r="20657" spans="8:16" x14ac:dyDescent="0.25">
      <c r="H20657" s="12"/>
      <c r="I20657" s="12"/>
      <c r="J20657" s="12"/>
      <c r="K20657" s="12"/>
      <c r="L20657" s="12"/>
      <c r="M20657" s="11"/>
      <c r="N20657" s="11"/>
      <c r="O20657" s="11"/>
      <c r="P20657" s="11"/>
    </row>
    <row r="20658" spans="8:16" x14ac:dyDescent="0.25">
      <c r="H20658" s="12"/>
      <c r="I20658" s="12"/>
      <c r="J20658" s="12"/>
      <c r="K20658" s="12"/>
      <c r="L20658" s="12"/>
      <c r="M20658" s="11"/>
      <c r="N20658" s="11"/>
      <c r="O20658" s="11"/>
      <c r="P20658" s="11"/>
    </row>
    <row r="20659" spans="8:16" x14ac:dyDescent="0.25">
      <c r="H20659" s="12"/>
      <c r="I20659" s="12"/>
      <c r="J20659" s="12"/>
      <c r="K20659" s="12"/>
      <c r="L20659" s="12"/>
      <c r="M20659" s="11"/>
      <c r="N20659" s="11"/>
      <c r="O20659" s="11"/>
      <c r="P20659" s="11"/>
    </row>
    <row r="20660" spans="8:16" x14ac:dyDescent="0.25">
      <c r="H20660" s="12"/>
      <c r="I20660" s="12"/>
      <c r="J20660" s="12"/>
      <c r="K20660" s="12"/>
      <c r="L20660" s="12"/>
      <c r="M20660" s="11"/>
      <c r="N20660" s="11"/>
      <c r="O20660" s="11"/>
      <c r="P20660" s="11"/>
    </row>
    <row r="20661" spans="8:16" x14ac:dyDescent="0.25">
      <c r="H20661" s="12"/>
      <c r="I20661" s="12"/>
      <c r="J20661" s="12"/>
      <c r="K20661" s="12"/>
      <c r="L20661" s="12"/>
      <c r="M20661" s="11"/>
      <c r="N20661" s="11"/>
      <c r="O20661" s="11"/>
      <c r="P20661" s="11"/>
    </row>
    <row r="20662" spans="8:16" x14ac:dyDescent="0.25">
      <c r="H20662" s="12"/>
      <c r="I20662" s="12"/>
      <c r="J20662" s="12"/>
      <c r="K20662" s="12"/>
      <c r="L20662" s="12"/>
      <c r="M20662" s="11"/>
      <c r="N20662" s="11"/>
      <c r="O20662" s="11"/>
      <c r="P20662" s="11"/>
    </row>
    <row r="20663" spans="8:16" x14ac:dyDescent="0.25">
      <c r="H20663" s="12"/>
      <c r="I20663" s="12"/>
      <c r="J20663" s="12"/>
      <c r="K20663" s="12"/>
      <c r="L20663" s="12"/>
      <c r="M20663" s="11"/>
      <c r="N20663" s="11"/>
      <c r="O20663" s="11"/>
      <c r="P20663" s="11"/>
    </row>
    <row r="20664" spans="8:16" x14ac:dyDescent="0.25">
      <c r="H20664" s="12"/>
      <c r="I20664" s="12"/>
      <c r="J20664" s="12"/>
      <c r="K20664" s="12"/>
      <c r="L20664" s="12"/>
      <c r="M20664" s="11"/>
      <c r="N20664" s="11"/>
      <c r="O20664" s="11"/>
      <c r="P20664" s="11"/>
    </row>
    <row r="20665" spans="8:16" x14ac:dyDescent="0.25">
      <c r="H20665" s="12"/>
      <c r="I20665" s="12"/>
      <c r="J20665" s="12"/>
      <c r="K20665" s="12"/>
      <c r="L20665" s="12"/>
      <c r="M20665" s="11"/>
      <c r="N20665" s="11"/>
      <c r="O20665" s="11"/>
      <c r="P20665" s="11"/>
    </row>
    <row r="20666" spans="8:16" x14ac:dyDescent="0.25">
      <c r="H20666" s="12"/>
      <c r="I20666" s="12"/>
      <c r="J20666" s="12"/>
      <c r="K20666" s="12"/>
      <c r="L20666" s="12"/>
      <c r="M20666" s="11"/>
      <c r="N20666" s="11"/>
      <c r="O20666" s="11"/>
      <c r="P20666" s="11"/>
    </row>
    <row r="20667" spans="8:16" x14ac:dyDescent="0.25">
      <c r="H20667" s="12"/>
      <c r="I20667" s="12"/>
      <c r="J20667" s="12"/>
      <c r="K20667" s="12"/>
      <c r="L20667" s="12"/>
      <c r="M20667" s="11"/>
      <c r="N20667" s="11"/>
      <c r="O20667" s="11"/>
      <c r="P20667" s="11"/>
    </row>
    <row r="20668" spans="8:16" x14ac:dyDescent="0.25">
      <c r="H20668" s="12"/>
      <c r="I20668" s="12"/>
      <c r="J20668" s="12"/>
      <c r="K20668" s="12"/>
      <c r="L20668" s="12"/>
      <c r="M20668" s="11"/>
      <c r="N20668" s="11"/>
      <c r="O20668" s="11"/>
      <c r="P20668" s="11"/>
    </row>
    <row r="20669" spans="8:16" x14ac:dyDescent="0.25">
      <c r="H20669" s="12"/>
      <c r="I20669" s="12"/>
      <c r="J20669" s="12"/>
      <c r="K20669" s="12"/>
      <c r="L20669" s="12"/>
      <c r="M20669" s="11"/>
      <c r="N20669" s="11"/>
      <c r="O20669" s="11"/>
      <c r="P20669" s="11"/>
    </row>
    <row r="20670" spans="8:16" x14ac:dyDescent="0.25">
      <c r="H20670" s="12"/>
      <c r="I20670" s="12"/>
      <c r="J20670" s="12"/>
      <c r="K20670" s="12"/>
      <c r="L20670" s="12"/>
      <c r="M20670" s="11"/>
      <c r="N20670" s="11"/>
      <c r="O20670" s="11"/>
      <c r="P20670" s="11"/>
    </row>
    <row r="20671" spans="8:16" x14ac:dyDescent="0.25">
      <c r="H20671" s="12"/>
      <c r="I20671" s="12"/>
      <c r="J20671" s="12"/>
      <c r="K20671" s="12"/>
      <c r="L20671" s="12"/>
      <c r="M20671" s="11"/>
      <c r="N20671" s="11"/>
      <c r="O20671" s="11"/>
      <c r="P20671" s="11"/>
    </row>
    <row r="20672" spans="8:16" x14ac:dyDescent="0.25">
      <c r="H20672" s="12"/>
      <c r="I20672" s="12"/>
      <c r="J20672" s="12"/>
      <c r="K20672" s="12"/>
      <c r="L20672" s="12"/>
      <c r="M20672" s="11"/>
      <c r="N20672" s="11"/>
      <c r="O20672" s="11"/>
      <c r="P20672" s="11"/>
    </row>
    <row r="20673" spans="8:16" x14ac:dyDescent="0.25">
      <c r="H20673" s="12"/>
      <c r="I20673" s="12"/>
      <c r="J20673" s="12"/>
      <c r="K20673" s="12"/>
      <c r="L20673" s="12"/>
      <c r="M20673" s="11"/>
      <c r="N20673" s="11"/>
      <c r="O20673" s="11"/>
      <c r="P20673" s="11"/>
    </row>
    <row r="20674" spans="8:16" x14ac:dyDescent="0.25">
      <c r="H20674" s="12"/>
      <c r="I20674" s="12"/>
      <c r="J20674" s="12"/>
      <c r="K20674" s="12"/>
      <c r="L20674" s="12"/>
      <c r="M20674" s="11"/>
      <c r="N20674" s="11"/>
      <c r="O20674" s="11"/>
      <c r="P20674" s="11"/>
    </row>
    <row r="20675" spans="8:16" x14ac:dyDescent="0.25">
      <c r="H20675" s="12"/>
      <c r="I20675" s="12"/>
      <c r="J20675" s="12"/>
      <c r="K20675" s="12"/>
      <c r="L20675" s="12"/>
      <c r="M20675" s="11"/>
      <c r="N20675" s="11"/>
      <c r="O20675" s="11"/>
      <c r="P20675" s="11"/>
    </row>
    <row r="20676" spans="8:16" x14ac:dyDescent="0.25">
      <c r="H20676" s="12"/>
      <c r="I20676" s="12"/>
      <c r="J20676" s="12"/>
      <c r="K20676" s="12"/>
      <c r="L20676" s="12"/>
      <c r="M20676" s="11"/>
      <c r="N20676" s="11"/>
      <c r="O20676" s="11"/>
      <c r="P20676" s="11"/>
    </row>
    <row r="20677" spans="8:16" x14ac:dyDescent="0.25">
      <c r="H20677" s="12"/>
      <c r="I20677" s="12"/>
      <c r="J20677" s="12"/>
      <c r="K20677" s="12"/>
      <c r="L20677" s="12"/>
      <c r="M20677" s="11"/>
      <c r="N20677" s="11"/>
      <c r="O20677" s="11"/>
      <c r="P20677" s="11"/>
    </row>
    <row r="20678" spans="8:16" x14ac:dyDescent="0.25">
      <c r="H20678" s="12"/>
      <c r="I20678" s="12"/>
      <c r="J20678" s="12"/>
      <c r="K20678" s="12"/>
      <c r="L20678" s="12"/>
      <c r="M20678" s="11"/>
      <c r="N20678" s="11"/>
      <c r="O20678" s="11"/>
      <c r="P20678" s="11"/>
    </row>
    <row r="20679" spans="8:16" x14ac:dyDescent="0.25">
      <c r="H20679" s="12"/>
      <c r="I20679" s="12"/>
      <c r="J20679" s="12"/>
      <c r="K20679" s="12"/>
      <c r="L20679" s="12"/>
      <c r="M20679" s="11"/>
      <c r="N20679" s="11"/>
      <c r="O20679" s="11"/>
      <c r="P20679" s="11"/>
    </row>
    <row r="20680" spans="8:16" x14ac:dyDescent="0.25">
      <c r="H20680" s="12"/>
      <c r="I20680" s="12"/>
      <c r="J20680" s="12"/>
      <c r="K20680" s="12"/>
      <c r="L20680" s="12"/>
      <c r="M20680" s="11"/>
      <c r="N20680" s="11"/>
      <c r="O20680" s="11"/>
      <c r="P20680" s="11"/>
    </row>
    <row r="20681" spans="8:16" x14ac:dyDescent="0.25">
      <c r="H20681" s="12"/>
      <c r="I20681" s="12"/>
      <c r="J20681" s="12"/>
      <c r="K20681" s="12"/>
      <c r="L20681" s="12"/>
      <c r="M20681" s="11"/>
      <c r="N20681" s="11"/>
      <c r="O20681" s="11"/>
      <c r="P20681" s="11"/>
    </row>
    <row r="20682" spans="8:16" x14ac:dyDescent="0.25">
      <c r="H20682" s="12"/>
      <c r="I20682" s="12"/>
      <c r="J20682" s="12"/>
      <c r="K20682" s="12"/>
      <c r="L20682" s="12"/>
      <c r="M20682" s="11"/>
      <c r="N20682" s="11"/>
      <c r="O20682" s="11"/>
      <c r="P20682" s="11"/>
    </row>
    <row r="20683" spans="8:16" x14ac:dyDescent="0.25">
      <c r="H20683" s="12"/>
      <c r="I20683" s="12"/>
      <c r="J20683" s="12"/>
      <c r="K20683" s="12"/>
      <c r="L20683" s="12"/>
      <c r="M20683" s="11"/>
      <c r="N20683" s="11"/>
      <c r="O20683" s="11"/>
      <c r="P20683" s="11"/>
    </row>
    <row r="20684" spans="8:16" x14ac:dyDescent="0.25">
      <c r="H20684" s="12"/>
      <c r="I20684" s="12"/>
      <c r="J20684" s="12"/>
      <c r="K20684" s="12"/>
      <c r="L20684" s="12"/>
      <c r="M20684" s="11"/>
      <c r="N20684" s="11"/>
      <c r="O20684" s="11"/>
      <c r="P20684" s="11"/>
    </row>
    <row r="20685" spans="8:16" x14ac:dyDescent="0.25">
      <c r="H20685" s="12"/>
      <c r="I20685" s="12"/>
      <c r="J20685" s="12"/>
      <c r="K20685" s="12"/>
      <c r="L20685" s="12"/>
      <c r="M20685" s="11"/>
      <c r="N20685" s="11"/>
      <c r="O20685" s="11"/>
      <c r="P20685" s="11"/>
    </row>
    <row r="20686" spans="8:16" x14ac:dyDescent="0.25">
      <c r="H20686" s="12"/>
      <c r="I20686" s="12"/>
      <c r="J20686" s="12"/>
      <c r="K20686" s="12"/>
      <c r="L20686" s="12"/>
      <c r="M20686" s="11"/>
      <c r="N20686" s="11"/>
      <c r="O20686" s="11"/>
      <c r="P20686" s="11"/>
    </row>
    <row r="20687" spans="8:16" x14ac:dyDescent="0.25">
      <c r="H20687" s="12"/>
      <c r="I20687" s="12"/>
      <c r="J20687" s="12"/>
      <c r="K20687" s="12"/>
      <c r="L20687" s="12"/>
      <c r="M20687" s="11"/>
      <c r="N20687" s="11"/>
      <c r="O20687" s="11"/>
      <c r="P20687" s="11"/>
    </row>
    <row r="20688" spans="8:16" x14ac:dyDescent="0.25">
      <c r="H20688" s="12"/>
      <c r="I20688" s="12"/>
      <c r="J20688" s="12"/>
      <c r="K20688" s="12"/>
      <c r="L20688" s="12"/>
      <c r="M20688" s="11"/>
      <c r="N20688" s="11"/>
      <c r="O20688" s="11"/>
      <c r="P20688" s="11"/>
    </row>
    <row r="20689" spans="8:16" x14ac:dyDescent="0.25">
      <c r="H20689" s="12"/>
      <c r="I20689" s="12"/>
      <c r="J20689" s="12"/>
      <c r="K20689" s="12"/>
      <c r="L20689" s="12"/>
      <c r="M20689" s="11"/>
      <c r="N20689" s="11"/>
      <c r="O20689" s="11"/>
      <c r="P20689" s="11"/>
    </row>
    <row r="20690" spans="8:16" x14ac:dyDescent="0.25">
      <c r="H20690" s="12"/>
      <c r="I20690" s="12"/>
      <c r="J20690" s="12"/>
      <c r="K20690" s="12"/>
      <c r="L20690" s="12"/>
      <c r="M20690" s="11"/>
      <c r="N20690" s="11"/>
      <c r="O20690" s="11"/>
      <c r="P20690" s="11"/>
    </row>
    <row r="20691" spans="8:16" x14ac:dyDescent="0.25">
      <c r="H20691" s="12"/>
      <c r="I20691" s="12"/>
      <c r="J20691" s="12"/>
      <c r="K20691" s="12"/>
      <c r="L20691" s="12"/>
      <c r="M20691" s="11"/>
      <c r="N20691" s="11"/>
      <c r="O20691" s="11"/>
      <c r="P20691" s="11"/>
    </row>
    <row r="20692" spans="8:16" x14ac:dyDescent="0.25">
      <c r="H20692" s="12"/>
      <c r="I20692" s="12"/>
      <c r="J20692" s="12"/>
      <c r="K20692" s="12"/>
      <c r="L20692" s="12"/>
      <c r="M20692" s="11"/>
      <c r="N20692" s="11"/>
      <c r="O20692" s="11"/>
      <c r="P20692" s="11"/>
    </row>
    <row r="20693" spans="8:16" x14ac:dyDescent="0.25">
      <c r="H20693" s="12"/>
      <c r="I20693" s="12"/>
      <c r="J20693" s="12"/>
      <c r="K20693" s="12"/>
      <c r="L20693" s="12"/>
      <c r="M20693" s="11"/>
      <c r="N20693" s="11"/>
      <c r="O20693" s="11"/>
      <c r="P20693" s="11"/>
    </row>
    <row r="20694" spans="8:16" x14ac:dyDescent="0.25">
      <c r="H20694" s="12"/>
      <c r="I20694" s="12"/>
      <c r="J20694" s="12"/>
      <c r="K20694" s="12"/>
      <c r="L20694" s="12"/>
      <c r="M20694" s="11"/>
      <c r="N20694" s="11"/>
      <c r="O20694" s="11"/>
      <c r="P20694" s="11"/>
    </row>
    <row r="20695" spans="8:16" x14ac:dyDescent="0.25">
      <c r="H20695" s="12"/>
      <c r="I20695" s="12"/>
      <c r="J20695" s="12"/>
      <c r="K20695" s="12"/>
      <c r="L20695" s="12"/>
      <c r="M20695" s="11"/>
      <c r="N20695" s="11"/>
      <c r="O20695" s="11"/>
      <c r="P20695" s="11"/>
    </row>
    <row r="20696" spans="8:16" x14ac:dyDescent="0.25">
      <c r="H20696" s="12"/>
      <c r="I20696" s="12"/>
      <c r="J20696" s="12"/>
      <c r="K20696" s="12"/>
      <c r="L20696" s="12"/>
      <c r="M20696" s="11"/>
      <c r="N20696" s="11"/>
      <c r="O20696" s="11"/>
      <c r="P20696" s="11"/>
    </row>
    <row r="20697" spans="8:16" x14ac:dyDescent="0.25">
      <c r="H20697" s="12"/>
      <c r="I20697" s="12"/>
      <c r="J20697" s="12"/>
      <c r="K20697" s="12"/>
      <c r="L20697" s="12"/>
      <c r="M20697" s="11"/>
      <c r="N20697" s="11"/>
      <c r="O20697" s="11"/>
      <c r="P20697" s="11"/>
    </row>
    <row r="20698" spans="8:16" x14ac:dyDescent="0.25">
      <c r="H20698" s="12"/>
      <c r="I20698" s="12"/>
      <c r="J20698" s="12"/>
      <c r="K20698" s="12"/>
      <c r="L20698" s="12"/>
      <c r="M20698" s="11"/>
      <c r="N20698" s="11"/>
      <c r="O20698" s="11"/>
      <c r="P20698" s="11"/>
    </row>
    <row r="20699" spans="8:16" x14ac:dyDescent="0.25">
      <c r="H20699" s="12"/>
      <c r="I20699" s="12"/>
      <c r="J20699" s="12"/>
      <c r="K20699" s="12"/>
      <c r="L20699" s="12"/>
      <c r="M20699" s="11"/>
      <c r="N20699" s="11"/>
      <c r="O20699" s="11"/>
      <c r="P20699" s="11"/>
    </row>
    <row r="20700" spans="8:16" x14ac:dyDescent="0.25">
      <c r="H20700" s="12"/>
      <c r="I20700" s="12"/>
      <c r="J20700" s="12"/>
      <c r="K20700" s="12"/>
      <c r="L20700" s="12"/>
      <c r="M20700" s="11"/>
      <c r="N20700" s="11"/>
      <c r="O20700" s="11"/>
      <c r="P20700" s="11"/>
    </row>
    <row r="20701" spans="8:16" x14ac:dyDescent="0.25">
      <c r="H20701" s="12"/>
      <c r="I20701" s="12"/>
      <c r="J20701" s="12"/>
      <c r="K20701" s="12"/>
      <c r="L20701" s="12"/>
      <c r="M20701" s="11"/>
      <c r="N20701" s="11"/>
      <c r="O20701" s="11"/>
      <c r="P20701" s="11"/>
    </row>
    <row r="20702" spans="8:16" x14ac:dyDescent="0.25">
      <c r="H20702" s="12"/>
      <c r="I20702" s="12"/>
      <c r="J20702" s="12"/>
      <c r="K20702" s="12"/>
      <c r="L20702" s="12"/>
      <c r="M20702" s="11"/>
      <c r="N20702" s="11"/>
      <c r="O20702" s="11"/>
      <c r="P20702" s="11"/>
    </row>
    <row r="20703" spans="8:16" x14ac:dyDescent="0.25">
      <c r="H20703" s="12"/>
      <c r="I20703" s="12"/>
      <c r="J20703" s="12"/>
      <c r="K20703" s="12"/>
      <c r="L20703" s="12"/>
      <c r="M20703" s="11"/>
      <c r="N20703" s="11"/>
      <c r="O20703" s="11"/>
      <c r="P20703" s="11"/>
    </row>
    <row r="20704" spans="8:16" x14ac:dyDescent="0.25">
      <c r="H20704" s="12"/>
      <c r="I20704" s="12"/>
      <c r="J20704" s="12"/>
      <c r="K20704" s="12"/>
      <c r="L20704" s="12"/>
      <c r="M20704" s="11"/>
      <c r="N20704" s="11"/>
      <c r="O20704" s="11"/>
      <c r="P20704" s="11"/>
    </row>
    <row r="20705" spans="8:16" x14ac:dyDescent="0.25">
      <c r="H20705" s="12"/>
      <c r="I20705" s="12"/>
      <c r="J20705" s="12"/>
      <c r="K20705" s="12"/>
      <c r="L20705" s="12"/>
      <c r="M20705" s="11"/>
      <c r="N20705" s="11"/>
      <c r="O20705" s="11"/>
      <c r="P20705" s="11"/>
    </row>
    <row r="20706" spans="8:16" x14ac:dyDescent="0.25">
      <c r="H20706" s="12"/>
      <c r="I20706" s="12"/>
      <c r="J20706" s="12"/>
      <c r="K20706" s="12"/>
      <c r="L20706" s="12"/>
      <c r="M20706" s="11"/>
      <c r="N20706" s="11"/>
      <c r="O20706" s="11"/>
      <c r="P20706" s="11"/>
    </row>
    <row r="20707" spans="8:16" x14ac:dyDescent="0.25">
      <c r="H20707" s="12"/>
      <c r="I20707" s="12"/>
      <c r="J20707" s="12"/>
      <c r="K20707" s="12"/>
      <c r="L20707" s="12"/>
      <c r="M20707" s="11"/>
      <c r="N20707" s="11"/>
      <c r="O20707" s="11"/>
      <c r="P20707" s="11"/>
    </row>
    <row r="20708" spans="8:16" x14ac:dyDescent="0.25">
      <c r="H20708" s="12"/>
      <c r="I20708" s="12"/>
      <c r="J20708" s="12"/>
      <c r="K20708" s="12"/>
      <c r="L20708" s="12"/>
      <c r="M20708" s="11"/>
      <c r="N20708" s="11"/>
      <c r="O20708" s="11"/>
      <c r="P20708" s="11"/>
    </row>
    <row r="20709" spans="8:16" x14ac:dyDescent="0.25">
      <c r="H20709" s="12"/>
      <c r="I20709" s="12"/>
      <c r="J20709" s="12"/>
      <c r="K20709" s="12"/>
      <c r="L20709" s="12"/>
      <c r="M20709" s="11"/>
      <c r="N20709" s="11"/>
      <c r="O20709" s="11"/>
      <c r="P20709" s="11"/>
    </row>
    <row r="20710" spans="8:16" x14ac:dyDescent="0.25">
      <c r="H20710" s="12"/>
      <c r="I20710" s="12"/>
      <c r="J20710" s="12"/>
      <c r="K20710" s="12"/>
      <c r="L20710" s="12"/>
      <c r="M20710" s="11"/>
      <c r="N20710" s="11"/>
      <c r="O20710" s="11"/>
      <c r="P20710" s="11"/>
    </row>
    <row r="20711" spans="8:16" x14ac:dyDescent="0.25">
      <c r="H20711" s="12"/>
      <c r="I20711" s="12"/>
      <c r="J20711" s="12"/>
      <c r="K20711" s="12"/>
      <c r="L20711" s="12"/>
      <c r="M20711" s="11"/>
      <c r="N20711" s="11"/>
      <c r="O20711" s="11"/>
      <c r="P20711" s="11"/>
    </row>
    <row r="20712" spans="8:16" x14ac:dyDescent="0.25">
      <c r="H20712" s="12"/>
      <c r="I20712" s="12"/>
      <c r="J20712" s="12"/>
      <c r="K20712" s="12"/>
      <c r="L20712" s="12"/>
      <c r="M20712" s="11"/>
      <c r="N20712" s="11"/>
      <c r="O20712" s="11"/>
      <c r="P20712" s="11"/>
    </row>
    <row r="20713" spans="8:16" x14ac:dyDescent="0.25">
      <c r="H20713" s="12"/>
      <c r="I20713" s="12"/>
      <c r="J20713" s="12"/>
      <c r="K20713" s="12"/>
      <c r="L20713" s="12"/>
      <c r="M20713" s="11"/>
      <c r="N20713" s="11"/>
      <c r="O20713" s="11"/>
      <c r="P20713" s="11"/>
    </row>
    <row r="20714" spans="8:16" x14ac:dyDescent="0.25">
      <c r="H20714" s="12"/>
      <c r="I20714" s="12"/>
      <c r="J20714" s="12"/>
      <c r="K20714" s="12"/>
      <c r="L20714" s="12"/>
      <c r="M20714" s="11"/>
      <c r="N20714" s="11"/>
      <c r="O20714" s="11"/>
      <c r="P20714" s="11"/>
    </row>
    <row r="20715" spans="8:16" x14ac:dyDescent="0.25">
      <c r="H20715" s="12"/>
      <c r="I20715" s="12"/>
      <c r="J20715" s="12"/>
      <c r="K20715" s="12"/>
      <c r="L20715" s="12"/>
      <c r="M20715" s="11"/>
      <c r="N20715" s="11"/>
      <c r="O20715" s="11"/>
      <c r="P20715" s="11"/>
    </row>
    <row r="20716" spans="8:16" x14ac:dyDescent="0.25">
      <c r="H20716" s="12"/>
      <c r="I20716" s="12"/>
      <c r="J20716" s="12"/>
      <c r="K20716" s="12"/>
      <c r="L20716" s="12"/>
      <c r="M20716" s="11"/>
      <c r="N20716" s="11"/>
      <c r="O20716" s="11"/>
      <c r="P20716" s="11"/>
    </row>
    <row r="20717" spans="8:16" x14ac:dyDescent="0.25">
      <c r="H20717" s="12"/>
      <c r="I20717" s="12"/>
      <c r="J20717" s="12"/>
      <c r="K20717" s="12"/>
      <c r="L20717" s="12"/>
      <c r="M20717" s="11"/>
      <c r="N20717" s="11"/>
      <c r="O20717" s="11"/>
      <c r="P20717" s="11"/>
    </row>
    <row r="20718" spans="8:16" x14ac:dyDescent="0.25">
      <c r="H20718" s="12"/>
      <c r="I20718" s="12"/>
      <c r="J20718" s="12"/>
      <c r="K20718" s="12"/>
      <c r="L20718" s="12"/>
      <c r="M20718" s="11"/>
      <c r="N20718" s="11"/>
      <c r="O20718" s="11"/>
      <c r="P20718" s="11"/>
    </row>
    <row r="20719" spans="8:16" x14ac:dyDescent="0.25">
      <c r="H20719" s="12"/>
      <c r="I20719" s="12"/>
      <c r="J20719" s="12"/>
      <c r="K20719" s="12"/>
      <c r="L20719" s="12"/>
      <c r="M20719" s="11"/>
      <c r="N20719" s="11"/>
      <c r="O20719" s="11"/>
      <c r="P20719" s="11"/>
    </row>
    <row r="20720" spans="8:16" x14ac:dyDescent="0.25">
      <c r="H20720" s="12"/>
      <c r="I20720" s="12"/>
      <c r="J20720" s="12"/>
      <c r="K20720" s="12"/>
      <c r="L20720" s="12"/>
      <c r="M20720" s="11"/>
      <c r="N20720" s="11"/>
      <c r="O20720" s="11"/>
      <c r="P20720" s="11"/>
    </row>
    <row r="20721" spans="8:16" x14ac:dyDescent="0.25">
      <c r="H20721" s="12"/>
      <c r="I20721" s="12"/>
      <c r="J20721" s="12"/>
      <c r="K20721" s="12"/>
      <c r="L20721" s="12"/>
      <c r="M20721" s="11"/>
      <c r="N20721" s="11"/>
      <c r="O20721" s="11"/>
      <c r="P20721" s="11"/>
    </row>
    <row r="20722" spans="8:16" x14ac:dyDescent="0.25">
      <c r="H20722" s="12"/>
      <c r="I20722" s="12"/>
      <c r="J20722" s="12"/>
      <c r="K20722" s="12"/>
      <c r="L20722" s="12"/>
      <c r="M20722" s="11"/>
      <c r="N20722" s="11"/>
      <c r="O20722" s="11"/>
      <c r="P20722" s="11"/>
    </row>
    <row r="20723" spans="8:16" x14ac:dyDescent="0.25">
      <c r="H20723" s="12"/>
      <c r="I20723" s="12"/>
      <c r="J20723" s="12"/>
      <c r="K20723" s="12"/>
      <c r="L20723" s="12"/>
      <c r="M20723" s="11"/>
      <c r="N20723" s="11"/>
      <c r="O20723" s="11"/>
      <c r="P20723" s="11"/>
    </row>
    <row r="20724" spans="8:16" x14ac:dyDescent="0.25">
      <c r="H20724" s="12"/>
      <c r="I20724" s="12"/>
      <c r="J20724" s="12"/>
      <c r="K20724" s="12"/>
      <c r="L20724" s="12"/>
      <c r="M20724" s="11"/>
      <c r="N20724" s="11"/>
      <c r="O20724" s="11"/>
      <c r="P20724" s="11"/>
    </row>
    <row r="20725" spans="8:16" x14ac:dyDescent="0.25">
      <c r="H20725" s="12"/>
      <c r="I20725" s="12"/>
      <c r="J20725" s="12"/>
      <c r="K20725" s="12"/>
      <c r="L20725" s="12"/>
      <c r="M20725" s="11"/>
      <c r="N20725" s="11"/>
      <c r="O20725" s="11"/>
      <c r="P20725" s="11"/>
    </row>
    <row r="20726" spans="8:16" x14ac:dyDescent="0.25">
      <c r="H20726" s="12"/>
      <c r="I20726" s="12"/>
      <c r="J20726" s="12"/>
      <c r="K20726" s="12"/>
      <c r="L20726" s="12"/>
      <c r="M20726" s="11"/>
      <c r="N20726" s="11"/>
      <c r="O20726" s="11"/>
      <c r="P20726" s="11"/>
    </row>
    <row r="20727" spans="8:16" x14ac:dyDescent="0.25">
      <c r="H20727" s="12"/>
      <c r="I20727" s="12"/>
      <c r="J20727" s="12"/>
      <c r="K20727" s="12"/>
      <c r="L20727" s="12"/>
      <c r="M20727" s="11"/>
      <c r="N20727" s="11"/>
      <c r="O20727" s="11"/>
      <c r="P20727" s="11"/>
    </row>
    <row r="20728" spans="8:16" x14ac:dyDescent="0.25">
      <c r="H20728" s="12"/>
      <c r="I20728" s="12"/>
      <c r="J20728" s="12"/>
      <c r="K20728" s="12"/>
      <c r="L20728" s="12"/>
      <c r="M20728" s="11"/>
      <c r="N20728" s="11"/>
      <c r="O20728" s="11"/>
      <c r="P20728" s="11"/>
    </row>
    <row r="20729" spans="8:16" x14ac:dyDescent="0.25">
      <c r="H20729" s="12"/>
      <c r="I20729" s="12"/>
      <c r="J20729" s="12"/>
      <c r="K20729" s="12"/>
      <c r="L20729" s="12"/>
      <c r="M20729" s="11"/>
      <c r="N20729" s="11"/>
      <c r="O20729" s="11"/>
      <c r="P20729" s="11"/>
    </row>
    <row r="20730" spans="8:16" x14ac:dyDescent="0.25">
      <c r="H20730" s="12"/>
      <c r="I20730" s="12"/>
      <c r="J20730" s="12"/>
      <c r="K20730" s="12"/>
      <c r="L20730" s="12"/>
      <c r="M20730" s="11"/>
      <c r="N20730" s="11"/>
      <c r="O20730" s="11"/>
      <c r="P20730" s="11"/>
    </row>
    <row r="20731" spans="8:16" x14ac:dyDescent="0.25">
      <c r="H20731" s="12"/>
      <c r="I20731" s="12"/>
      <c r="J20731" s="12"/>
      <c r="K20731" s="12"/>
      <c r="L20731" s="12"/>
      <c r="M20731" s="11"/>
      <c r="N20731" s="11"/>
      <c r="O20731" s="11"/>
      <c r="P20731" s="11"/>
    </row>
    <row r="20732" spans="8:16" x14ac:dyDescent="0.25">
      <c r="H20732" s="12"/>
      <c r="I20732" s="12"/>
      <c r="J20732" s="12"/>
      <c r="K20732" s="12"/>
      <c r="L20732" s="12"/>
      <c r="M20732" s="11"/>
      <c r="N20732" s="11"/>
      <c r="O20732" s="11"/>
      <c r="P20732" s="11"/>
    </row>
    <row r="20733" spans="8:16" x14ac:dyDescent="0.25">
      <c r="H20733" s="12"/>
      <c r="I20733" s="12"/>
      <c r="J20733" s="12"/>
      <c r="K20733" s="12"/>
      <c r="L20733" s="12"/>
      <c r="M20733" s="11"/>
      <c r="N20733" s="11"/>
      <c r="O20733" s="11"/>
      <c r="P20733" s="11"/>
    </row>
    <row r="20734" spans="8:16" x14ac:dyDescent="0.25">
      <c r="H20734" s="12"/>
      <c r="I20734" s="12"/>
      <c r="J20734" s="12"/>
      <c r="K20734" s="12"/>
      <c r="L20734" s="12"/>
      <c r="M20734" s="11"/>
      <c r="N20734" s="11"/>
      <c r="O20734" s="11"/>
      <c r="P20734" s="11"/>
    </row>
    <row r="20735" spans="8:16" x14ac:dyDescent="0.25">
      <c r="H20735" s="12"/>
      <c r="I20735" s="12"/>
      <c r="J20735" s="12"/>
      <c r="K20735" s="12"/>
      <c r="L20735" s="12"/>
      <c r="M20735" s="11"/>
      <c r="N20735" s="11"/>
      <c r="O20735" s="11"/>
      <c r="P20735" s="11"/>
    </row>
    <row r="20736" spans="8:16" x14ac:dyDescent="0.25">
      <c r="H20736" s="12"/>
      <c r="I20736" s="12"/>
      <c r="J20736" s="12"/>
      <c r="K20736" s="12"/>
      <c r="L20736" s="12"/>
      <c r="M20736" s="11"/>
      <c r="N20736" s="11"/>
      <c r="O20736" s="11"/>
      <c r="P20736" s="11"/>
    </row>
    <row r="20737" spans="8:16" x14ac:dyDescent="0.25">
      <c r="H20737" s="12"/>
      <c r="I20737" s="12"/>
      <c r="J20737" s="12"/>
      <c r="K20737" s="12"/>
      <c r="L20737" s="12"/>
      <c r="M20737" s="11"/>
      <c r="N20737" s="11"/>
      <c r="O20737" s="11"/>
      <c r="P20737" s="11"/>
    </row>
    <row r="20738" spans="8:16" x14ac:dyDescent="0.25">
      <c r="H20738" s="12"/>
      <c r="I20738" s="12"/>
      <c r="J20738" s="12"/>
      <c r="K20738" s="12"/>
      <c r="L20738" s="12"/>
      <c r="M20738" s="11"/>
      <c r="N20738" s="11"/>
      <c r="O20738" s="11"/>
      <c r="P20738" s="11"/>
    </row>
    <row r="20739" spans="8:16" x14ac:dyDescent="0.25">
      <c r="H20739" s="12"/>
      <c r="I20739" s="12"/>
      <c r="J20739" s="12"/>
      <c r="K20739" s="12"/>
      <c r="L20739" s="12"/>
      <c r="M20739" s="11"/>
      <c r="N20739" s="11"/>
      <c r="O20739" s="11"/>
      <c r="P20739" s="11"/>
    </row>
    <row r="20740" spans="8:16" x14ac:dyDescent="0.25">
      <c r="H20740" s="12"/>
      <c r="I20740" s="12"/>
      <c r="J20740" s="12"/>
      <c r="K20740" s="12"/>
      <c r="L20740" s="12"/>
      <c r="M20740" s="11"/>
      <c r="N20740" s="11"/>
      <c r="O20740" s="11"/>
      <c r="P20740" s="11"/>
    </row>
    <row r="20741" spans="8:16" x14ac:dyDescent="0.25">
      <c r="H20741" s="12"/>
      <c r="I20741" s="12"/>
      <c r="J20741" s="12"/>
      <c r="K20741" s="12"/>
      <c r="L20741" s="12"/>
      <c r="M20741" s="11"/>
      <c r="N20741" s="11"/>
      <c r="O20741" s="11"/>
      <c r="P20741" s="11"/>
    </row>
    <row r="20742" spans="8:16" x14ac:dyDescent="0.25">
      <c r="H20742" s="12"/>
      <c r="I20742" s="12"/>
      <c r="J20742" s="12"/>
      <c r="K20742" s="12"/>
      <c r="L20742" s="12"/>
      <c r="M20742" s="11"/>
      <c r="N20742" s="11"/>
      <c r="O20742" s="11"/>
      <c r="P20742" s="11"/>
    </row>
    <row r="20743" spans="8:16" x14ac:dyDescent="0.25">
      <c r="H20743" s="12"/>
      <c r="I20743" s="12"/>
      <c r="J20743" s="12"/>
      <c r="K20743" s="12"/>
      <c r="L20743" s="12"/>
      <c r="M20743" s="11"/>
      <c r="N20743" s="11"/>
      <c r="O20743" s="11"/>
      <c r="P20743" s="11"/>
    </row>
    <row r="20744" spans="8:16" x14ac:dyDescent="0.25">
      <c r="H20744" s="12"/>
      <c r="I20744" s="12"/>
      <c r="J20744" s="12"/>
      <c r="K20744" s="12"/>
      <c r="L20744" s="12"/>
      <c r="M20744" s="11"/>
      <c r="N20744" s="11"/>
      <c r="O20744" s="11"/>
      <c r="P20744" s="11"/>
    </row>
    <row r="20745" spans="8:16" x14ac:dyDescent="0.25">
      <c r="H20745" s="12"/>
      <c r="I20745" s="12"/>
      <c r="J20745" s="12"/>
      <c r="K20745" s="12"/>
      <c r="L20745" s="12"/>
      <c r="M20745" s="11"/>
      <c r="N20745" s="11"/>
      <c r="O20745" s="11"/>
      <c r="P20745" s="11"/>
    </row>
    <row r="20746" spans="8:16" x14ac:dyDescent="0.25">
      <c r="H20746" s="12"/>
      <c r="I20746" s="12"/>
      <c r="J20746" s="12"/>
      <c r="K20746" s="12"/>
      <c r="L20746" s="12"/>
      <c r="M20746" s="11"/>
      <c r="N20746" s="11"/>
      <c r="O20746" s="11"/>
      <c r="P20746" s="11"/>
    </row>
    <row r="20747" spans="8:16" x14ac:dyDescent="0.25">
      <c r="H20747" s="12"/>
      <c r="I20747" s="12"/>
      <c r="J20747" s="12"/>
      <c r="K20747" s="12"/>
      <c r="L20747" s="12"/>
      <c r="M20747" s="11"/>
      <c r="N20747" s="11"/>
      <c r="O20747" s="11"/>
      <c r="P20747" s="11"/>
    </row>
    <row r="20748" spans="8:16" x14ac:dyDescent="0.25">
      <c r="H20748" s="12"/>
      <c r="I20748" s="12"/>
      <c r="J20748" s="12"/>
      <c r="K20748" s="12"/>
      <c r="L20748" s="12"/>
      <c r="M20748" s="11"/>
      <c r="N20748" s="11"/>
      <c r="O20748" s="11"/>
      <c r="P20748" s="11"/>
    </row>
    <row r="20749" spans="8:16" x14ac:dyDescent="0.25">
      <c r="H20749" s="12"/>
      <c r="I20749" s="12"/>
      <c r="J20749" s="12"/>
      <c r="K20749" s="12"/>
      <c r="L20749" s="12"/>
      <c r="M20749" s="11"/>
      <c r="N20749" s="11"/>
      <c r="O20749" s="11"/>
      <c r="P20749" s="11"/>
    </row>
    <row r="20750" spans="8:16" x14ac:dyDescent="0.25">
      <c r="H20750" s="12"/>
      <c r="I20750" s="12"/>
      <c r="J20750" s="12"/>
      <c r="K20750" s="12"/>
      <c r="L20750" s="12"/>
      <c r="M20750" s="11"/>
      <c r="N20750" s="11"/>
      <c r="O20750" s="11"/>
      <c r="P20750" s="11"/>
    </row>
    <row r="20751" spans="8:16" x14ac:dyDescent="0.25">
      <c r="H20751" s="12"/>
      <c r="I20751" s="12"/>
      <c r="J20751" s="12"/>
      <c r="K20751" s="12"/>
      <c r="L20751" s="12"/>
      <c r="M20751" s="11"/>
      <c r="N20751" s="11"/>
      <c r="O20751" s="11"/>
      <c r="P20751" s="11"/>
    </row>
    <row r="20752" spans="8:16" x14ac:dyDescent="0.25">
      <c r="H20752" s="12"/>
      <c r="I20752" s="12"/>
      <c r="J20752" s="12"/>
      <c r="K20752" s="12"/>
      <c r="L20752" s="12"/>
      <c r="M20752" s="11"/>
      <c r="N20752" s="11"/>
      <c r="O20752" s="11"/>
      <c r="P20752" s="11"/>
    </row>
    <row r="20753" spans="8:16" x14ac:dyDescent="0.25">
      <c r="H20753" s="12"/>
      <c r="I20753" s="12"/>
      <c r="J20753" s="12"/>
      <c r="K20753" s="12"/>
      <c r="L20753" s="12"/>
      <c r="M20753" s="11"/>
      <c r="N20753" s="11"/>
      <c r="O20753" s="11"/>
      <c r="P20753" s="11"/>
    </row>
    <row r="20754" spans="8:16" x14ac:dyDescent="0.25">
      <c r="H20754" s="12"/>
      <c r="I20754" s="12"/>
      <c r="J20754" s="12"/>
      <c r="K20754" s="12"/>
      <c r="L20754" s="12"/>
      <c r="M20754" s="11"/>
      <c r="N20754" s="11"/>
      <c r="O20754" s="11"/>
      <c r="P20754" s="11"/>
    </row>
    <row r="20755" spans="8:16" x14ac:dyDescent="0.25">
      <c r="H20755" s="12"/>
      <c r="I20755" s="12"/>
      <c r="J20755" s="12"/>
      <c r="K20755" s="12"/>
      <c r="L20755" s="12"/>
      <c r="M20755" s="11"/>
      <c r="N20755" s="11"/>
      <c r="O20755" s="11"/>
      <c r="P20755" s="11"/>
    </row>
    <row r="20756" spans="8:16" x14ac:dyDescent="0.25">
      <c r="H20756" s="12"/>
      <c r="I20756" s="12"/>
      <c r="J20756" s="12"/>
      <c r="K20756" s="12"/>
      <c r="L20756" s="12"/>
      <c r="M20756" s="11"/>
      <c r="N20756" s="11"/>
      <c r="O20756" s="11"/>
      <c r="P20756" s="11"/>
    </row>
    <row r="20757" spans="8:16" x14ac:dyDescent="0.25">
      <c r="H20757" s="12"/>
      <c r="I20757" s="12"/>
      <c r="J20757" s="12"/>
      <c r="K20757" s="12"/>
      <c r="L20757" s="12"/>
      <c r="M20757" s="11"/>
      <c r="N20757" s="11"/>
      <c r="O20757" s="11"/>
      <c r="P20757" s="11"/>
    </row>
    <row r="20758" spans="8:16" x14ac:dyDescent="0.25">
      <c r="H20758" s="12"/>
      <c r="I20758" s="12"/>
      <c r="J20758" s="12"/>
      <c r="K20758" s="12"/>
      <c r="L20758" s="12"/>
      <c r="M20758" s="11"/>
      <c r="N20758" s="11"/>
      <c r="O20758" s="11"/>
      <c r="P20758" s="11"/>
    </row>
    <row r="20759" spans="8:16" x14ac:dyDescent="0.25">
      <c r="H20759" s="12"/>
      <c r="I20759" s="12"/>
      <c r="J20759" s="12"/>
      <c r="K20759" s="12"/>
      <c r="L20759" s="12"/>
      <c r="M20759" s="11"/>
      <c r="N20759" s="11"/>
      <c r="O20759" s="11"/>
      <c r="P20759" s="11"/>
    </row>
    <row r="20760" spans="8:16" x14ac:dyDescent="0.25">
      <c r="H20760" s="12"/>
      <c r="I20760" s="12"/>
      <c r="J20760" s="12"/>
      <c r="K20760" s="12"/>
      <c r="L20760" s="12"/>
      <c r="M20760" s="11"/>
      <c r="N20760" s="11"/>
      <c r="O20760" s="11"/>
      <c r="P20760" s="11"/>
    </row>
    <row r="20761" spans="8:16" x14ac:dyDescent="0.25">
      <c r="H20761" s="12"/>
      <c r="I20761" s="12"/>
      <c r="J20761" s="12"/>
      <c r="K20761" s="12"/>
      <c r="L20761" s="12"/>
      <c r="M20761" s="11"/>
      <c r="N20761" s="11"/>
      <c r="O20761" s="11"/>
      <c r="P20761" s="11"/>
    </row>
    <row r="20762" spans="8:16" x14ac:dyDescent="0.25">
      <c r="H20762" s="12"/>
      <c r="I20762" s="12"/>
      <c r="J20762" s="12"/>
      <c r="K20762" s="12"/>
      <c r="L20762" s="12"/>
      <c r="M20762" s="11"/>
      <c r="N20762" s="11"/>
      <c r="O20762" s="11"/>
      <c r="P20762" s="11"/>
    </row>
    <row r="20763" spans="8:16" x14ac:dyDescent="0.25">
      <c r="H20763" s="12"/>
      <c r="I20763" s="12"/>
      <c r="J20763" s="12"/>
      <c r="K20763" s="12"/>
      <c r="L20763" s="12"/>
      <c r="M20763" s="11"/>
      <c r="N20763" s="11"/>
      <c r="O20763" s="11"/>
      <c r="P20763" s="11"/>
    </row>
    <row r="20764" spans="8:16" x14ac:dyDescent="0.25">
      <c r="H20764" s="12"/>
      <c r="I20764" s="12"/>
      <c r="J20764" s="12"/>
      <c r="K20764" s="12"/>
      <c r="L20764" s="12"/>
      <c r="M20764" s="11"/>
      <c r="N20764" s="11"/>
      <c r="O20764" s="11"/>
      <c r="P20764" s="11"/>
    </row>
    <row r="20765" spans="8:16" x14ac:dyDescent="0.25">
      <c r="H20765" s="12"/>
      <c r="I20765" s="12"/>
      <c r="J20765" s="12"/>
      <c r="K20765" s="12"/>
      <c r="L20765" s="12"/>
      <c r="M20765" s="11"/>
      <c r="N20765" s="11"/>
      <c r="O20765" s="11"/>
      <c r="P20765" s="11"/>
    </row>
    <row r="20766" spans="8:16" x14ac:dyDescent="0.25">
      <c r="H20766" s="12"/>
      <c r="I20766" s="12"/>
      <c r="J20766" s="12"/>
      <c r="K20766" s="12"/>
      <c r="L20766" s="12"/>
      <c r="M20766" s="11"/>
      <c r="N20766" s="11"/>
      <c r="O20766" s="11"/>
      <c r="P20766" s="11"/>
    </row>
    <row r="20767" spans="8:16" x14ac:dyDescent="0.25">
      <c r="H20767" s="12"/>
      <c r="I20767" s="12"/>
      <c r="J20767" s="12"/>
      <c r="K20767" s="12"/>
      <c r="L20767" s="12"/>
      <c r="M20767" s="11"/>
      <c r="N20767" s="11"/>
      <c r="O20767" s="11"/>
      <c r="P20767" s="11"/>
    </row>
    <row r="20768" spans="8:16" x14ac:dyDescent="0.25">
      <c r="H20768" s="12"/>
      <c r="I20768" s="12"/>
      <c r="J20768" s="12"/>
      <c r="K20768" s="12"/>
      <c r="L20768" s="12"/>
      <c r="M20768" s="11"/>
      <c r="N20768" s="11"/>
      <c r="O20768" s="11"/>
      <c r="P20768" s="11"/>
    </row>
    <row r="20769" spans="8:16" x14ac:dyDescent="0.25">
      <c r="H20769" s="12"/>
      <c r="I20769" s="12"/>
      <c r="J20769" s="12"/>
      <c r="K20769" s="12"/>
      <c r="L20769" s="12"/>
      <c r="M20769" s="11"/>
      <c r="N20769" s="11"/>
      <c r="O20769" s="11"/>
      <c r="P20769" s="11"/>
    </row>
    <row r="20770" spans="8:16" x14ac:dyDescent="0.25">
      <c r="H20770" s="12"/>
      <c r="I20770" s="12"/>
      <c r="J20770" s="12"/>
      <c r="K20770" s="12"/>
      <c r="L20770" s="12"/>
      <c r="M20770" s="11"/>
      <c r="N20770" s="11"/>
      <c r="O20770" s="11"/>
      <c r="P20770" s="11"/>
    </row>
    <row r="20771" spans="8:16" x14ac:dyDescent="0.25">
      <c r="H20771" s="12"/>
      <c r="I20771" s="12"/>
      <c r="J20771" s="12"/>
      <c r="K20771" s="12"/>
      <c r="L20771" s="12"/>
      <c r="M20771" s="11"/>
      <c r="N20771" s="11"/>
      <c r="O20771" s="11"/>
      <c r="P20771" s="11"/>
    </row>
    <row r="20772" spans="8:16" x14ac:dyDescent="0.25">
      <c r="H20772" s="12"/>
      <c r="I20772" s="12"/>
      <c r="J20772" s="12"/>
      <c r="K20772" s="12"/>
      <c r="L20772" s="12"/>
      <c r="M20772" s="11"/>
      <c r="N20772" s="11"/>
      <c r="O20772" s="11"/>
      <c r="P20772" s="11"/>
    </row>
    <row r="20773" spans="8:16" x14ac:dyDescent="0.25">
      <c r="H20773" s="12"/>
      <c r="I20773" s="12"/>
      <c r="J20773" s="12"/>
      <c r="K20773" s="12"/>
      <c r="L20773" s="12"/>
      <c r="M20773" s="11"/>
      <c r="N20773" s="11"/>
      <c r="O20773" s="11"/>
      <c r="P20773" s="11"/>
    </row>
    <row r="20774" spans="8:16" x14ac:dyDescent="0.25">
      <c r="H20774" s="12"/>
      <c r="I20774" s="12"/>
      <c r="J20774" s="12"/>
      <c r="K20774" s="12"/>
      <c r="L20774" s="12"/>
      <c r="M20774" s="11"/>
      <c r="N20774" s="11"/>
      <c r="O20774" s="11"/>
      <c r="P20774" s="11"/>
    </row>
    <row r="20775" spans="8:16" x14ac:dyDescent="0.25">
      <c r="H20775" s="12"/>
      <c r="I20775" s="12"/>
      <c r="J20775" s="12"/>
      <c r="K20775" s="12"/>
      <c r="L20775" s="12"/>
      <c r="M20775" s="11"/>
      <c r="N20775" s="11"/>
      <c r="O20775" s="11"/>
      <c r="P20775" s="11"/>
    </row>
    <row r="20776" spans="8:16" x14ac:dyDescent="0.25">
      <c r="H20776" s="12"/>
      <c r="I20776" s="12"/>
      <c r="J20776" s="12"/>
      <c r="K20776" s="12"/>
      <c r="L20776" s="12"/>
      <c r="M20776" s="11"/>
      <c r="N20776" s="11"/>
      <c r="O20776" s="11"/>
      <c r="P20776" s="11"/>
    </row>
    <row r="20777" spans="8:16" x14ac:dyDescent="0.25">
      <c r="H20777" s="12"/>
      <c r="I20777" s="12"/>
      <c r="J20777" s="12"/>
      <c r="K20777" s="12"/>
      <c r="L20777" s="12"/>
      <c r="M20777" s="11"/>
      <c r="N20777" s="11"/>
      <c r="O20777" s="11"/>
      <c r="P20777" s="11"/>
    </row>
    <row r="20778" spans="8:16" x14ac:dyDescent="0.25">
      <c r="H20778" s="12"/>
      <c r="I20778" s="12"/>
      <c r="J20778" s="12"/>
      <c r="K20778" s="12"/>
      <c r="L20778" s="12"/>
      <c r="M20778" s="11"/>
      <c r="N20778" s="11"/>
      <c r="O20778" s="11"/>
      <c r="P20778" s="11"/>
    </row>
    <row r="20779" spans="8:16" x14ac:dyDescent="0.25">
      <c r="H20779" s="12"/>
      <c r="I20779" s="12"/>
      <c r="J20779" s="12"/>
      <c r="K20779" s="12"/>
      <c r="L20779" s="12"/>
      <c r="M20779" s="11"/>
      <c r="N20779" s="11"/>
      <c r="O20779" s="11"/>
      <c r="P20779" s="11"/>
    </row>
    <row r="20780" spans="8:16" x14ac:dyDescent="0.25">
      <c r="H20780" s="12"/>
      <c r="I20780" s="12"/>
      <c r="J20780" s="12"/>
      <c r="K20780" s="12"/>
      <c r="L20780" s="12"/>
      <c r="M20780" s="11"/>
      <c r="N20780" s="11"/>
      <c r="O20780" s="11"/>
      <c r="P20780" s="11"/>
    </row>
    <row r="20781" spans="8:16" x14ac:dyDescent="0.25">
      <c r="H20781" s="12"/>
      <c r="I20781" s="12"/>
      <c r="J20781" s="12"/>
      <c r="K20781" s="12"/>
      <c r="L20781" s="12"/>
      <c r="M20781" s="11"/>
      <c r="N20781" s="11"/>
      <c r="O20781" s="11"/>
      <c r="P20781" s="11"/>
    </row>
    <row r="20782" spans="8:16" x14ac:dyDescent="0.25">
      <c r="H20782" s="12"/>
      <c r="I20782" s="12"/>
      <c r="J20782" s="12"/>
      <c r="K20782" s="12"/>
      <c r="L20782" s="12"/>
      <c r="M20782" s="11"/>
      <c r="N20782" s="11"/>
      <c r="O20782" s="11"/>
      <c r="P20782" s="11"/>
    </row>
    <row r="20783" spans="8:16" x14ac:dyDescent="0.25">
      <c r="H20783" s="12"/>
      <c r="I20783" s="12"/>
      <c r="J20783" s="12"/>
      <c r="K20783" s="12"/>
      <c r="L20783" s="12"/>
      <c r="M20783" s="11"/>
      <c r="N20783" s="11"/>
      <c r="O20783" s="11"/>
      <c r="P20783" s="11"/>
    </row>
    <row r="20784" spans="8:16" x14ac:dyDescent="0.25">
      <c r="H20784" s="12"/>
      <c r="I20784" s="12"/>
      <c r="J20784" s="12"/>
      <c r="K20784" s="12"/>
      <c r="L20784" s="12"/>
      <c r="M20784" s="11"/>
      <c r="N20784" s="11"/>
      <c r="O20784" s="11"/>
      <c r="P20784" s="11"/>
    </row>
    <row r="20785" spans="8:16" x14ac:dyDescent="0.25">
      <c r="H20785" s="12"/>
      <c r="I20785" s="12"/>
      <c r="J20785" s="12"/>
      <c r="K20785" s="12"/>
      <c r="L20785" s="12"/>
      <c r="M20785" s="11"/>
      <c r="N20785" s="11"/>
      <c r="O20785" s="11"/>
      <c r="P20785" s="11"/>
    </row>
    <row r="20786" spans="8:16" x14ac:dyDescent="0.25">
      <c r="H20786" s="12"/>
      <c r="I20786" s="12"/>
      <c r="J20786" s="12"/>
      <c r="K20786" s="12"/>
      <c r="L20786" s="12"/>
      <c r="M20786" s="11"/>
      <c r="N20786" s="11"/>
      <c r="O20786" s="11"/>
      <c r="P20786" s="11"/>
    </row>
    <row r="20787" spans="8:16" x14ac:dyDescent="0.25">
      <c r="H20787" s="12"/>
      <c r="I20787" s="12"/>
      <c r="J20787" s="12"/>
      <c r="K20787" s="12"/>
      <c r="L20787" s="12"/>
      <c r="M20787" s="11"/>
      <c r="N20787" s="11"/>
      <c r="O20787" s="11"/>
      <c r="P20787" s="11"/>
    </row>
    <row r="20788" spans="8:16" x14ac:dyDescent="0.25">
      <c r="H20788" s="12"/>
      <c r="I20788" s="12"/>
      <c r="J20788" s="12"/>
      <c r="K20788" s="12"/>
      <c r="L20788" s="12"/>
      <c r="M20788" s="11"/>
      <c r="N20788" s="11"/>
      <c r="O20788" s="11"/>
      <c r="P20788" s="11"/>
    </row>
    <row r="20789" spans="8:16" x14ac:dyDescent="0.25">
      <c r="H20789" s="12"/>
      <c r="I20789" s="12"/>
      <c r="J20789" s="12"/>
      <c r="K20789" s="12"/>
      <c r="L20789" s="12"/>
      <c r="M20789" s="11"/>
      <c r="N20789" s="11"/>
      <c r="O20789" s="11"/>
      <c r="P20789" s="11"/>
    </row>
    <row r="20790" spans="8:16" x14ac:dyDescent="0.25">
      <c r="H20790" s="12"/>
      <c r="I20790" s="12"/>
      <c r="J20790" s="12"/>
      <c r="K20790" s="12"/>
      <c r="L20790" s="12"/>
      <c r="M20790" s="11"/>
      <c r="N20790" s="11"/>
      <c r="O20790" s="11"/>
      <c r="P20790" s="11"/>
    </row>
    <row r="20791" spans="8:16" x14ac:dyDescent="0.25">
      <c r="H20791" s="12"/>
      <c r="I20791" s="12"/>
      <c r="J20791" s="12"/>
      <c r="K20791" s="12"/>
      <c r="L20791" s="12"/>
      <c r="M20791" s="11"/>
      <c r="N20791" s="11"/>
      <c r="O20791" s="11"/>
      <c r="P20791" s="11"/>
    </row>
    <row r="20792" spans="8:16" x14ac:dyDescent="0.25">
      <c r="H20792" s="12"/>
      <c r="I20792" s="12"/>
      <c r="J20792" s="12"/>
      <c r="K20792" s="12"/>
      <c r="L20792" s="12"/>
      <c r="M20792" s="11"/>
      <c r="N20792" s="11"/>
      <c r="O20792" s="11"/>
      <c r="P20792" s="11"/>
    </row>
    <row r="20793" spans="8:16" x14ac:dyDescent="0.25">
      <c r="H20793" s="12"/>
      <c r="I20793" s="12"/>
      <c r="J20793" s="12"/>
      <c r="K20793" s="12"/>
      <c r="L20793" s="12"/>
      <c r="M20793" s="11"/>
      <c r="N20793" s="11"/>
      <c r="O20793" s="11"/>
      <c r="P20793" s="11"/>
    </row>
    <row r="20794" spans="8:16" x14ac:dyDescent="0.25">
      <c r="H20794" s="12"/>
      <c r="I20794" s="12"/>
      <c r="J20794" s="12"/>
      <c r="K20794" s="12"/>
      <c r="L20794" s="12"/>
      <c r="M20794" s="11"/>
      <c r="N20794" s="11"/>
      <c r="O20794" s="11"/>
      <c r="P20794" s="11"/>
    </row>
    <row r="20795" spans="8:16" x14ac:dyDescent="0.25">
      <c r="H20795" s="12"/>
      <c r="I20795" s="12"/>
      <c r="J20795" s="12"/>
      <c r="K20795" s="12"/>
      <c r="L20795" s="12"/>
      <c r="M20795" s="11"/>
      <c r="N20795" s="11"/>
      <c r="O20795" s="11"/>
      <c r="P20795" s="11"/>
    </row>
    <row r="20796" spans="8:16" x14ac:dyDescent="0.25">
      <c r="H20796" s="12"/>
      <c r="I20796" s="12"/>
      <c r="J20796" s="12"/>
      <c r="K20796" s="12"/>
      <c r="L20796" s="12"/>
      <c r="M20796" s="11"/>
      <c r="N20796" s="11"/>
      <c r="O20796" s="11"/>
      <c r="P20796" s="11"/>
    </row>
    <row r="20797" spans="8:16" x14ac:dyDescent="0.25">
      <c r="H20797" s="12"/>
      <c r="I20797" s="12"/>
      <c r="J20797" s="12"/>
      <c r="K20797" s="12"/>
      <c r="L20797" s="12"/>
      <c r="M20797" s="11"/>
      <c r="N20797" s="11"/>
      <c r="O20797" s="11"/>
      <c r="P20797" s="11"/>
    </row>
    <row r="20798" spans="8:16" x14ac:dyDescent="0.25">
      <c r="H20798" s="12"/>
      <c r="I20798" s="12"/>
      <c r="J20798" s="12"/>
      <c r="K20798" s="12"/>
      <c r="L20798" s="12"/>
      <c r="M20798" s="11"/>
      <c r="N20798" s="11"/>
      <c r="O20798" s="11"/>
      <c r="P20798" s="11"/>
    </row>
    <row r="20799" spans="8:16" x14ac:dyDescent="0.25">
      <c r="H20799" s="12"/>
      <c r="I20799" s="12"/>
      <c r="J20799" s="12"/>
      <c r="K20799" s="12"/>
      <c r="L20799" s="12"/>
      <c r="M20799" s="11"/>
      <c r="N20799" s="11"/>
      <c r="O20799" s="11"/>
      <c r="P20799" s="11"/>
    </row>
    <row r="20800" spans="8:16" x14ac:dyDescent="0.25">
      <c r="H20800" s="12"/>
      <c r="I20800" s="12"/>
      <c r="J20800" s="12"/>
      <c r="K20800" s="12"/>
      <c r="L20800" s="12"/>
      <c r="M20800" s="11"/>
      <c r="N20800" s="11"/>
      <c r="O20800" s="11"/>
      <c r="P20800" s="11"/>
    </row>
    <row r="20801" spans="8:16" x14ac:dyDescent="0.25">
      <c r="H20801" s="12"/>
      <c r="I20801" s="12"/>
      <c r="J20801" s="12"/>
      <c r="K20801" s="12"/>
      <c r="L20801" s="12"/>
      <c r="M20801" s="11"/>
      <c r="N20801" s="11"/>
      <c r="O20801" s="11"/>
      <c r="P20801" s="11"/>
    </row>
    <row r="20802" spans="8:16" x14ac:dyDescent="0.25">
      <c r="H20802" s="12"/>
      <c r="I20802" s="12"/>
      <c r="J20802" s="12"/>
      <c r="K20802" s="12"/>
      <c r="L20802" s="12"/>
      <c r="M20802" s="11"/>
      <c r="N20802" s="11"/>
      <c r="O20802" s="11"/>
      <c r="P20802" s="11"/>
    </row>
    <row r="20803" spans="8:16" x14ac:dyDescent="0.25">
      <c r="H20803" s="12"/>
      <c r="I20803" s="12"/>
      <c r="J20803" s="12"/>
      <c r="K20803" s="12"/>
      <c r="L20803" s="12"/>
      <c r="M20803" s="11"/>
      <c r="N20803" s="11"/>
      <c r="O20803" s="11"/>
      <c r="P20803" s="11"/>
    </row>
    <row r="20804" spans="8:16" x14ac:dyDescent="0.25">
      <c r="H20804" s="12"/>
      <c r="I20804" s="12"/>
      <c r="J20804" s="12"/>
      <c r="K20804" s="12"/>
      <c r="L20804" s="12"/>
      <c r="M20804" s="11"/>
      <c r="N20804" s="11"/>
      <c r="O20804" s="11"/>
      <c r="P20804" s="11"/>
    </row>
    <row r="20805" spans="8:16" x14ac:dyDescent="0.25">
      <c r="H20805" s="12"/>
      <c r="I20805" s="12"/>
      <c r="J20805" s="12"/>
      <c r="K20805" s="12"/>
      <c r="L20805" s="12"/>
      <c r="M20805" s="11"/>
      <c r="N20805" s="11"/>
      <c r="O20805" s="11"/>
      <c r="P20805" s="11"/>
    </row>
    <row r="20806" spans="8:16" x14ac:dyDescent="0.25">
      <c r="H20806" s="12"/>
      <c r="I20806" s="12"/>
      <c r="J20806" s="12"/>
      <c r="K20806" s="12"/>
      <c r="L20806" s="12"/>
      <c r="M20806" s="11"/>
      <c r="N20806" s="11"/>
      <c r="O20806" s="11"/>
      <c r="P20806" s="11"/>
    </row>
    <row r="20807" spans="8:16" x14ac:dyDescent="0.25">
      <c r="H20807" s="12"/>
      <c r="I20807" s="12"/>
      <c r="J20807" s="12"/>
      <c r="K20807" s="12"/>
      <c r="L20807" s="12"/>
      <c r="M20807" s="11"/>
      <c r="N20807" s="11"/>
      <c r="O20807" s="11"/>
      <c r="P20807" s="11"/>
    </row>
    <row r="20808" spans="8:16" x14ac:dyDescent="0.25">
      <c r="H20808" s="12"/>
      <c r="I20808" s="12"/>
      <c r="J20808" s="12"/>
      <c r="K20808" s="12"/>
      <c r="L20808" s="12"/>
      <c r="M20808" s="11"/>
      <c r="N20808" s="11"/>
      <c r="O20808" s="11"/>
      <c r="P20808" s="11"/>
    </row>
    <row r="20809" spans="8:16" x14ac:dyDescent="0.25">
      <c r="H20809" s="12"/>
      <c r="I20809" s="12"/>
      <c r="J20809" s="12"/>
      <c r="K20809" s="12"/>
      <c r="L20809" s="12"/>
      <c r="M20809" s="11"/>
      <c r="N20809" s="11"/>
      <c r="O20809" s="11"/>
      <c r="P20809" s="11"/>
    </row>
    <row r="20810" spans="8:16" x14ac:dyDescent="0.25">
      <c r="H20810" s="12"/>
      <c r="I20810" s="12"/>
      <c r="J20810" s="12"/>
      <c r="K20810" s="12"/>
      <c r="L20810" s="12"/>
      <c r="M20810" s="11"/>
      <c r="N20810" s="11"/>
      <c r="O20810" s="11"/>
      <c r="P20810" s="11"/>
    </row>
    <row r="20811" spans="8:16" x14ac:dyDescent="0.25">
      <c r="H20811" s="12"/>
      <c r="I20811" s="12"/>
      <c r="J20811" s="12"/>
      <c r="K20811" s="12"/>
      <c r="L20811" s="12"/>
      <c r="M20811" s="11"/>
      <c r="N20811" s="11"/>
      <c r="O20811" s="11"/>
      <c r="P20811" s="11"/>
    </row>
    <row r="20812" spans="8:16" x14ac:dyDescent="0.25">
      <c r="H20812" s="12"/>
      <c r="I20812" s="12"/>
      <c r="J20812" s="12"/>
      <c r="K20812" s="12"/>
      <c r="L20812" s="12"/>
      <c r="M20812" s="11"/>
      <c r="N20812" s="11"/>
      <c r="O20812" s="11"/>
      <c r="P20812" s="11"/>
    </row>
    <row r="20813" spans="8:16" x14ac:dyDescent="0.25">
      <c r="H20813" s="12"/>
      <c r="I20813" s="12"/>
      <c r="J20813" s="12"/>
      <c r="K20813" s="12"/>
      <c r="L20813" s="12"/>
      <c r="M20813" s="11"/>
      <c r="N20813" s="11"/>
      <c r="O20813" s="11"/>
      <c r="P20813" s="11"/>
    </row>
    <row r="20814" spans="8:16" x14ac:dyDescent="0.25">
      <c r="H20814" s="12"/>
      <c r="I20814" s="12"/>
      <c r="J20814" s="12"/>
      <c r="K20814" s="12"/>
      <c r="L20814" s="12"/>
      <c r="M20814" s="11"/>
      <c r="N20814" s="11"/>
      <c r="O20814" s="11"/>
      <c r="P20814" s="11"/>
    </row>
    <row r="20815" spans="8:16" x14ac:dyDescent="0.25">
      <c r="H20815" s="12"/>
      <c r="I20815" s="12"/>
      <c r="J20815" s="12"/>
      <c r="K20815" s="12"/>
      <c r="L20815" s="12"/>
      <c r="M20815" s="11"/>
      <c r="N20815" s="11"/>
      <c r="O20815" s="11"/>
      <c r="P20815" s="11"/>
    </row>
    <row r="20816" spans="8:16" x14ac:dyDescent="0.25">
      <c r="H20816" s="12"/>
      <c r="I20816" s="12"/>
      <c r="J20816" s="12"/>
      <c r="K20816" s="12"/>
      <c r="L20816" s="12"/>
      <c r="M20816" s="11"/>
      <c r="N20816" s="11"/>
      <c r="O20816" s="11"/>
      <c r="P20816" s="11"/>
    </row>
    <row r="20817" spans="8:16" x14ac:dyDescent="0.25">
      <c r="H20817" s="12"/>
      <c r="I20817" s="12"/>
      <c r="J20817" s="12"/>
      <c r="K20817" s="12"/>
      <c r="L20817" s="12"/>
      <c r="M20817" s="11"/>
      <c r="N20817" s="11"/>
      <c r="O20817" s="11"/>
      <c r="P20817" s="11"/>
    </row>
    <row r="20818" spans="8:16" x14ac:dyDescent="0.25">
      <c r="H20818" s="12"/>
      <c r="I20818" s="12"/>
      <c r="J20818" s="12"/>
      <c r="K20818" s="12"/>
      <c r="L20818" s="12"/>
      <c r="M20818" s="11"/>
      <c r="N20818" s="11"/>
      <c r="O20818" s="11"/>
      <c r="P20818" s="11"/>
    </row>
    <row r="20819" spans="8:16" x14ac:dyDescent="0.25">
      <c r="H20819" s="12"/>
      <c r="I20819" s="12"/>
      <c r="J20819" s="12"/>
      <c r="K20819" s="12"/>
      <c r="L20819" s="12"/>
      <c r="M20819" s="11"/>
      <c r="N20819" s="11"/>
      <c r="O20819" s="11"/>
      <c r="P20819" s="11"/>
    </row>
    <row r="20820" spans="8:16" x14ac:dyDescent="0.25">
      <c r="H20820" s="12"/>
      <c r="I20820" s="12"/>
      <c r="J20820" s="12"/>
      <c r="K20820" s="12"/>
      <c r="L20820" s="12"/>
      <c r="M20820" s="11"/>
      <c r="N20820" s="11"/>
      <c r="O20820" s="11"/>
      <c r="P20820" s="11"/>
    </row>
    <row r="20821" spans="8:16" x14ac:dyDescent="0.25">
      <c r="H20821" s="12"/>
      <c r="I20821" s="12"/>
      <c r="J20821" s="12"/>
      <c r="K20821" s="12"/>
      <c r="L20821" s="12"/>
      <c r="M20821" s="11"/>
      <c r="N20821" s="11"/>
      <c r="O20821" s="11"/>
      <c r="P20821" s="11"/>
    </row>
    <row r="20822" spans="8:16" x14ac:dyDescent="0.25">
      <c r="H20822" s="12"/>
      <c r="I20822" s="12"/>
      <c r="J20822" s="12"/>
      <c r="K20822" s="12"/>
      <c r="L20822" s="12"/>
      <c r="M20822" s="11"/>
      <c r="N20822" s="11"/>
      <c r="O20822" s="11"/>
      <c r="P20822" s="11"/>
    </row>
    <row r="20823" spans="8:16" x14ac:dyDescent="0.25">
      <c r="H20823" s="12"/>
      <c r="I20823" s="12"/>
      <c r="J20823" s="12"/>
      <c r="K20823" s="12"/>
      <c r="L20823" s="12"/>
      <c r="M20823" s="11"/>
      <c r="N20823" s="11"/>
      <c r="O20823" s="11"/>
      <c r="P20823" s="11"/>
    </row>
    <row r="20824" spans="8:16" x14ac:dyDescent="0.25">
      <c r="H20824" s="12"/>
      <c r="I20824" s="12"/>
      <c r="J20824" s="12"/>
      <c r="K20824" s="12"/>
      <c r="L20824" s="12"/>
      <c r="M20824" s="11"/>
      <c r="N20824" s="11"/>
      <c r="O20824" s="11"/>
      <c r="P20824" s="11"/>
    </row>
    <row r="20825" spans="8:16" x14ac:dyDescent="0.25">
      <c r="H20825" s="12"/>
      <c r="I20825" s="12"/>
      <c r="J20825" s="12"/>
      <c r="K20825" s="12"/>
      <c r="L20825" s="12"/>
      <c r="M20825" s="11"/>
      <c r="N20825" s="11"/>
      <c r="O20825" s="11"/>
      <c r="P20825" s="11"/>
    </row>
    <row r="20826" spans="8:16" x14ac:dyDescent="0.25">
      <c r="H20826" s="12"/>
      <c r="I20826" s="12"/>
      <c r="J20826" s="12"/>
      <c r="K20826" s="12"/>
      <c r="L20826" s="12"/>
      <c r="M20826" s="11"/>
      <c r="N20826" s="11"/>
      <c r="O20826" s="11"/>
      <c r="P20826" s="11"/>
    </row>
    <row r="20827" spans="8:16" x14ac:dyDescent="0.25">
      <c r="H20827" s="12"/>
      <c r="I20827" s="12"/>
      <c r="J20827" s="12"/>
      <c r="K20827" s="12"/>
      <c r="L20827" s="12"/>
      <c r="M20827" s="11"/>
      <c r="N20827" s="11"/>
      <c r="O20827" s="11"/>
      <c r="P20827" s="11"/>
    </row>
    <row r="20828" spans="8:16" x14ac:dyDescent="0.25">
      <c r="H20828" s="12"/>
      <c r="I20828" s="12"/>
      <c r="J20828" s="12"/>
      <c r="K20828" s="12"/>
      <c r="L20828" s="12"/>
      <c r="M20828" s="11"/>
      <c r="N20828" s="11"/>
      <c r="O20828" s="11"/>
      <c r="P20828" s="11"/>
    </row>
    <row r="20829" spans="8:16" x14ac:dyDescent="0.25">
      <c r="H20829" s="12"/>
      <c r="I20829" s="12"/>
      <c r="J20829" s="12"/>
      <c r="K20829" s="12"/>
      <c r="L20829" s="12"/>
      <c r="M20829" s="11"/>
      <c r="N20829" s="11"/>
      <c r="O20829" s="11"/>
      <c r="P20829" s="11"/>
    </row>
    <row r="20830" spans="8:16" x14ac:dyDescent="0.25">
      <c r="H20830" s="12"/>
      <c r="I20830" s="12"/>
      <c r="J20830" s="12"/>
      <c r="K20830" s="12"/>
      <c r="L20830" s="12"/>
      <c r="M20830" s="11"/>
      <c r="N20830" s="11"/>
      <c r="O20830" s="11"/>
      <c r="P20830" s="11"/>
    </row>
    <row r="20831" spans="8:16" x14ac:dyDescent="0.25">
      <c r="H20831" s="12"/>
      <c r="I20831" s="12"/>
      <c r="J20831" s="12"/>
      <c r="K20831" s="12"/>
      <c r="L20831" s="12"/>
      <c r="M20831" s="11"/>
      <c r="N20831" s="11"/>
      <c r="O20831" s="11"/>
      <c r="P20831" s="11"/>
    </row>
    <row r="20832" spans="8:16" x14ac:dyDescent="0.25">
      <c r="H20832" s="12"/>
      <c r="I20832" s="12"/>
      <c r="J20832" s="12"/>
      <c r="K20832" s="12"/>
      <c r="L20832" s="12"/>
      <c r="M20832" s="11"/>
      <c r="N20832" s="11"/>
      <c r="O20832" s="11"/>
      <c r="P20832" s="11"/>
    </row>
    <row r="20833" spans="8:16" x14ac:dyDescent="0.25">
      <c r="H20833" s="12"/>
      <c r="I20833" s="12"/>
      <c r="J20833" s="12"/>
      <c r="K20833" s="12"/>
      <c r="L20833" s="12"/>
      <c r="M20833" s="11"/>
      <c r="N20833" s="11"/>
      <c r="O20833" s="11"/>
      <c r="P20833" s="11"/>
    </row>
    <row r="20834" spans="8:16" x14ac:dyDescent="0.25">
      <c r="H20834" s="12"/>
      <c r="I20834" s="12"/>
      <c r="J20834" s="12"/>
      <c r="K20834" s="12"/>
      <c r="L20834" s="12"/>
      <c r="M20834" s="11"/>
      <c r="N20834" s="11"/>
      <c r="O20834" s="11"/>
      <c r="P20834" s="11"/>
    </row>
    <row r="20835" spans="8:16" x14ac:dyDescent="0.25">
      <c r="H20835" s="12"/>
      <c r="I20835" s="12"/>
      <c r="J20835" s="12"/>
      <c r="K20835" s="12"/>
      <c r="L20835" s="12"/>
      <c r="M20835" s="11"/>
      <c r="N20835" s="11"/>
      <c r="O20835" s="11"/>
      <c r="P20835" s="11"/>
    </row>
    <row r="20836" spans="8:16" x14ac:dyDescent="0.25">
      <c r="H20836" s="12"/>
      <c r="I20836" s="12"/>
      <c r="J20836" s="12"/>
      <c r="K20836" s="12"/>
      <c r="L20836" s="12"/>
      <c r="M20836" s="11"/>
      <c r="N20836" s="11"/>
      <c r="O20836" s="11"/>
      <c r="P20836" s="11"/>
    </row>
    <row r="20837" spans="8:16" x14ac:dyDescent="0.25">
      <c r="H20837" s="12"/>
      <c r="I20837" s="12"/>
      <c r="J20837" s="12"/>
      <c r="K20837" s="12"/>
      <c r="L20837" s="12"/>
      <c r="M20837" s="11"/>
      <c r="N20837" s="11"/>
      <c r="O20837" s="11"/>
      <c r="P20837" s="11"/>
    </row>
    <row r="20838" spans="8:16" x14ac:dyDescent="0.25">
      <c r="H20838" s="12"/>
      <c r="I20838" s="12"/>
      <c r="J20838" s="12"/>
      <c r="K20838" s="12"/>
      <c r="L20838" s="12"/>
      <c r="M20838" s="11"/>
      <c r="N20838" s="11"/>
      <c r="O20838" s="11"/>
      <c r="P20838" s="11"/>
    </row>
    <row r="20839" spans="8:16" x14ac:dyDescent="0.25">
      <c r="H20839" s="12"/>
      <c r="I20839" s="12"/>
      <c r="J20839" s="12"/>
      <c r="K20839" s="12"/>
      <c r="L20839" s="12"/>
      <c r="M20839" s="11"/>
      <c r="N20839" s="11"/>
      <c r="O20839" s="11"/>
      <c r="P20839" s="11"/>
    </row>
    <row r="20840" spans="8:16" x14ac:dyDescent="0.25">
      <c r="H20840" s="12"/>
      <c r="I20840" s="12"/>
      <c r="J20840" s="12"/>
      <c r="K20840" s="12"/>
      <c r="L20840" s="12"/>
      <c r="M20840" s="11"/>
      <c r="N20840" s="11"/>
      <c r="O20840" s="11"/>
      <c r="P20840" s="11"/>
    </row>
    <row r="20841" spans="8:16" x14ac:dyDescent="0.25">
      <c r="H20841" s="12"/>
      <c r="I20841" s="12"/>
      <c r="J20841" s="12"/>
      <c r="K20841" s="12"/>
      <c r="L20841" s="12"/>
      <c r="M20841" s="11"/>
      <c r="N20841" s="11"/>
      <c r="O20841" s="11"/>
      <c r="P20841" s="11"/>
    </row>
    <row r="20842" spans="8:16" x14ac:dyDescent="0.25">
      <c r="H20842" s="12"/>
      <c r="I20842" s="12"/>
      <c r="J20842" s="12"/>
      <c r="K20842" s="12"/>
      <c r="L20842" s="12"/>
      <c r="M20842" s="11"/>
      <c r="N20842" s="11"/>
      <c r="O20842" s="11"/>
      <c r="P20842" s="11"/>
    </row>
    <row r="20843" spans="8:16" x14ac:dyDescent="0.25">
      <c r="H20843" s="12"/>
      <c r="I20843" s="12"/>
      <c r="J20843" s="12"/>
      <c r="K20843" s="12"/>
      <c r="L20843" s="12"/>
      <c r="M20843" s="11"/>
      <c r="N20843" s="11"/>
      <c r="O20843" s="11"/>
      <c r="P20843" s="11"/>
    </row>
    <row r="20844" spans="8:16" x14ac:dyDescent="0.25">
      <c r="H20844" s="12"/>
      <c r="I20844" s="12"/>
      <c r="J20844" s="12"/>
      <c r="K20844" s="12"/>
      <c r="L20844" s="12"/>
      <c r="M20844" s="11"/>
      <c r="N20844" s="11"/>
      <c r="O20844" s="11"/>
      <c r="P20844" s="11"/>
    </row>
    <row r="20845" spans="8:16" x14ac:dyDescent="0.25">
      <c r="H20845" s="12"/>
      <c r="I20845" s="12"/>
      <c r="J20845" s="12"/>
      <c r="K20845" s="12"/>
      <c r="L20845" s="12"/>
      <c r="M20845" s="11"/>
      <c r="N20845" s="11"/>
      <c r="O20845" s="11"/>
      <c r="P20845" s="11"/>
    </row>
    <row r="20846" spans="8:16" x14ac:dyDescent="0.25">
      <c r="H20846" s="12"/>
      <c r="I20846" s="12"/>
      <c r="J20846" s="12"/>
      <c r="K20846" s="12"/>
      <c r="L20846" s="12"/>
      <c r="M20846" s="11"/>
      <c r="N20846" s="11"/>
      <c r="O20846" s="11"/>
      <c r="P20846" s="11"/>
    </row>
    <row r="20847" spans="8:16" x14ac:dyDescent="0.25">
      <c r="H20847" s="12"/>
      <c r="I20847" s="12"/>
      <c r="J20847" s="12"/>
      <c r="K20847" s="12"/>
      <c r="L20847" s="12"/>
      <c r="M20847" s="11"/>
      <c r="N20847" s="11"/>
      <c r="O20847" s="11"/>
      <c r="P20847" s="11"/>
    </row>
    <row r="20848" spans="8:16" x14ac:dyDescent="0.25">
      <c r="H20848" s="12"/>
      <c r="I20848" s="12"/>
      <c r="J20848" s="12"/>
      <c r="K20848" s="12"/>
      <c r="L20848" s="12"/>
      <c r="M20848" s="11"/>
      <c r="N20848" s="11"/>
      <c r="O20848" s="11"/>
      <c r="P20848" s="11"/>
    </row>
    <row r="20849" spans="8:16" x14ac:dyDescent="0.25">
      <c r="H20849" s="12"/>
      <c r="I20849" s="12"/>
      <c r="J20849" s="12"/>
      <c r="K20849" s="12"/>
      <c r="L20849" s="12"/>
      <c r="M20849" s="11"/>
      <c r="N20849" s="11"/>
      <c r="O20849" s="11"/>
      <c r="P20849" s="11"/>
    </row>
    <row r="20850" spans="8:16" x14ac:dyDescent="0.25">
      <c r="H20850" s="12"/>
      <c r="I20850" s="12"/>
      <c r="J20850" s="12"/>
      <c r="K20850" s="12"/>
      <c r="L20850" s="12"/>
      <c r="M20850" s="11"/>
      <c r="N20850" s="11"/>
      <c r="O20850" s="11"/>
      <c r="P20850" s="11"/>
    </row>
    <row r="20851" spans="8:16" x14ac:dyDescent="0.25">
      <c r="H20851" s="12"/>
      <c r="I20851" s="12"/>
      <c r="J20851" s="12"/>
      <c r="K20851" s="12"/>
      <c r="L20851" s="12"/>
      <c r="M20851" s="11"/>
      <c r="N20851" s="11"/>
      <c r="O20851" s="11"/>
      <c r="P20851" s="11"/>
    </row>
    <row r="20852" spans="8:16" x14ac:dyDescent="0.25">
      <c r="H20852" s="12"/>
      <c r="I20852" s="12"/>
      <c r="J20852" s="12"/>
      <c r="K20852" s="12"/>
      <c r="L20852" s="12"/>
      <c r="M20852" s="11"/>
      <c r="N20852" s="11"/>
      <c r="O20852" s="11"/>
      <c r="P20852" s="11"/>
    </row>
    <row r="20853" spans="8:16" x14ac:dyDescent="0.25">
      <c r="H20853" s="12"/>
      <c r="I20853" s="12"/>
      <c r="J20853" s="12"/>
      <c r="K20853" s="12"/>
      <c r="L20853" s="12"/>
      <c r="M20853" s="11"/>
      <c r="N20853" s="11"/>
      <c r="O20853" s="11"/>
      <c r="P20853" s="11"/>
    </row>
    <row r="20854" spans="8:16" x14ac:dyDescent="0.25">
      <c r="H20854" s="12"/>
      <c r="I20854" s="12"/>
      <c r="J20854" s="12"/>
      <c r="K20854" s="12"/>
      <c r="L20854" s="12"/>
      <c r="M20854" s="11"/>
      <c r="N20854" s="11"/>
      <c r="O20854" s="11"/>
      <c r="P20854" s="11"/>
    </row>
    <row r="20855" spans="8:16" x14ac:dyDescent="0.25">
      <c r="H20855" s="12"/>
      <c r="I20855" s="12"/>
      <c r="J20855" s="12"/>
      <c r="K20855" s="12"/>
      <c r="L20855" s="12"/>
      <c r="M20855" s="11"/>
      <c r="N20855" s="11"/>
      <c r="O20855" s="11"/>
      <c r="P20855" s="11"/>
    </row>
    <row r="20856" spans="8:16" x14ac:dyDescent="0.25">
      <c r="H20856" s="12"/>
      <c r="I20856" s="12"/>
      <c r="J20856" s="12"/>
      <c r="K20856" s="12"/>
      <c r="L20856" s="12"/>
      <c r="M20856" s="11"/>
      <c r="N20856" s="11"/>
      <c r="O20856" s="11"/>
      <c r="P20856" s="11"/>
    </row>
    <row r="20857" spans="8:16" x14ac:dyDescent="0.25">
      <c r="H20857" s="12"/>
      <c r="I20857" s="12"/>
      <c r="J20857" s="12"/>
      <c r="K20857" s="12"/>
      <c r="L20857" s="12"/>
      <c r="M20857" s="11"/>
      <c r="N20857" s="11"/>
      <c r="O20857" s="11"/>
      <c r="P20857" s="11"/>
    </row>
    <row r="20858" spans="8:16" x14ac:dyDescent="0.25">
      <c r="H20858" s="12"/>
      <c r="I20858" s="12"/>
      <c r="J20858" s="12"/>
      <c r="K20858" s="12"/>
      <c r="L20858" s="12"/>
      <c r="M20858" s="11"/>
      <c r="N20858" s="11"/>
      <c r="O20858" s="11"/>
      <c r="P20858" s="11"/>
    </row>
    <row r="20859" spans="8:16" x14ac:dyDescent="0.25">
      <c r="H20859" s="12"/>
      <c r="I20859" s="12"/>
      <c r="J20859" s="12"/>
      <c r="K20859" s="12"/>
      <c r="L20859" s="12"/>
      <c r="M20859" s="11"/>
      <c r="N20859" s="11"/>
      <c r="O20859" s="11"/>
      <c r="P20859" s="11"/>
    </row>
    <row r="20860" spans="8:16" x14ac:dyDescent="0.25">
      <c r="H20860" s="12"/>
      <c r="I20860" s="12"/>
      <c r="J20860" s="12"/>
      <c r="K20860" s="12"/>
      <c r="L20860" s="12"/>
      <c r="M20860" s="11"/>
      <c r="N20860" s="11"/>
      <c r="O20860" s="11"/>
      <c r="P20860" s="11"/>
    </row>
    <row r="20861" spans="8:16" x14ac:dyDescent="0.25">
      <c r="H20861" s="12"/>
      <c r="I20861" s="12"/>
      <c r="J20861" s="12"/>
      <c r="K20861" s="12"/>
      <c r="L20861" s="12"/>
      <c r="M20861" s="11"/>
      <c r="N20861" s="11"/>
      <c r="O20861" s="11"/>
      <c r="P20861" s="11"/>
    </row>
    <row r="20862" spans="8:16" x14ac:dyDescent="0.25">
      <c r="H20862" s="12"/>
      <c r="I20862" s="12"/>
      <c r="J20862" s="12"/>
      <c r="K20862" s="12"/>
      <c r="L20862" s="12"/>
      <c r="M20862" s="11"/>
      <c r="N20862" s="11"/>
      <c r="O20862" s="11"/>
      <c r="P20862" s="11"/>
    </row>
    <row r="20863" spans="8:16" x14ac:dyDescent="0.25">
      <c r="H20863" s="12"/>
      <c r="I20863" s="12"/>
      <c r="J20863" s="12"/>
      <c r="K20863" s="12"/>
      <c r="L20863" s="12"/>
      <c r="M20863" s="11"/>
      <c r="N20863" s="11"/>
      <c r="O20863" s="11"/>
      <c r="P20863" s="11"/>
    </row>
    <row r="20864" spans="8:16" x14ac:dyDescent="0.25">
      <c r="H20864" s="12"/>
      <c r="I20864" s="12"/>
      <c r="J20864" s="12"/>
      <c r="K20864" s="12"/>
      <c r="L20864" s="12"/>
      <c r="M20864" s="11"/>
      <c r="N20864" s="11"/>
      <c r="O20864" s="11"/>
      <c r="P20864" s="11"/>
    </row>
    <row r="20865" spans="8:16" x14ac:dyDescent="0.25">
      <c r="H20865" s="12"/>
      <c r="I20865" s="12"/>
      <c r="J20865" s="12"/>
      <c r="K20865" s="12"/>
      <c r="L20865" s="12"/>
      <c r="M20865" s="11"/>
      <c r="N20865" s="11"/>
      <c r="O20865" s="11"/>
      <c r="P20865" s="11"/>
    </row>
    <row r="20866" spans="8:16" x14ac:dyDescent="0.25">
      <c r="H20866" s="12"/>
      <c r="I20866" s="12"/>
      <c r="J20866" s="12"/>
      <c r="K20866" s="12"/>
      <c r="L20866" s="12"/>
      <c r="M20866" s="11"/>
      <c r="N20866" s="11"/>
      <c r="O20866" s="11"/>
      <c r="P20866" s="11"/>
    </row>
    <row r="20867" spans="8:16" x14ac:dyDescent="0.25">
      <c r="H20867" s="12"/>
      <c r="I20867" s="12"/>
      <c r="J20867" s="12"/>
      <c r="K20867" s="12"/>
      <c r="L20867" s="12"/>
      <c r="M20867" s="11"/>
      <c r="N20867" s="11"/>
      <c r="O20867" s="11"/>
      <c r="P20867" s="11"/>
    </row>
    <row r="20868" spans="8:16" x14ac:dyDescent="0.25">
      <c r="H20868" s="12"/>
      <c r="I20868" s="12"/>
      <c r="J20868" s="12"/>
      <c r="K20868" s="12"/>
      <c r="L20868" s="12"/>
      <c r="M20868" s="11"/>
      <c r="N20868" s="11"/>
      <c r="O20868" s="11"/>
      <c r="P20868" s="11"/>
    </row>
    <row r="20869" spans="8:16" x14ac:dyDescent="0.25">
      <c r="H20869" s="12"/>
      <c r="I20869" s="12"/>
      <c r="J20869" s="12"/>
      <c r="K20869" s="12"/>
      <c r="L20869" s="12"/>
      <c r="M20869" s="11"/>
      <c r="N20869" s="11"/>
      <c r="O20869" s="11"/>
      <c r="P20869" s="11"/>
    </row>
    <row r="20870" spans="8:16" x14ac:dyDescent="0.25">
      <c r="H20870" s="12"/>
      <c r="I20870" s="12"/>
      <c r="J20870" s="12"/>
      <c r="K20870" s="12"/>
      <c r="L20870" s="12"/>
      <c r="M20870" s="11"/>
      <c r="N20870" s="11"/>
      <c r="O20870" s="11"/>
      <c r="P20870" s="11"/>
    </row>
    <row r="20871" spans="8:16" x14ac:dyDescent="0.25">
      <c r="H20871" s="12"/>
      <c r="I20871" s="12"/>
      <c r="J20871" s="12"/>
      <c r="K20871" s="12"/>
      <c r="L20871" s="12"/>
      <c r="M20871" s="11"/>
      <c r="N20871" s="11"/>
      <c r="O20871" s="11"/>
      <c r="P20871" s="11"/>
    </row>
    <row r="20872" spans="8:16" x14ac:dyDescent="0.25">
      <c r="H20872" s="12"/>
      <c r="I20872" s="12"/>
      <c r="J20872" s="12"/>
      <c r="K20872" s="12"/>
      <c r="L20872" s="12"/>
      <c r="M20872" s="11"/>
      <c r="N20872" s="11"/>
      <c r="O20872" s="11"/>
      <c r="P20872" s="11"/>
    </row>
    <row r="20873" spans="8:16" x14ac:dyDescent="0.25">
      <c r="H20873" s="12"/>
      <c r="I20873" s="12"/>
      <c r="J20873" s="12"/>
      <c r="K20873" s="12"/>
      <c r="L20873" s="12"/>
      <c r="M20873" s="11"/>
      <c r="N20873" s="11"/>
      <c r="O20873" s="11"/>
      <c r="P20873" s="11"/>
    </row>
    <row r="20874" spans="8:16" x14ac:dyDescent="0.25">
      <c r="H20874" s="12"/>
      <c r="I20874" s="12"/>
      <c r="J20874" s="12"/>
      <c r="K20874" s="12"/>
      <c r="L20874" s="12"/>
      <c r="M20874" s="11"/>
      <c r="N20874" s="11"/>
      <c r="O20874" s="11"/>
      <c r="P20874" s="11"/>
    </row>
    <row r="20875" spans="8:16" x14ac:dyDescent="0.25">
      <c r="H20875" s="12"/>
      <c r="I20875" s="12"/>
      <c r="J20875" s="12"/>
      <c r="K20875" s="12"/>
      <c r="L20875" s="12"/>
      <c r="M20875" s="11"/>
      <c r="N20875" s="11"/>
      <c r="O20875" s="11"/>
      <c r="P20875" s="11"/>
    </row>
    <row r="20876" spans="8:16" x14ac:dyDescent="0.25">
      <c r="H20876" s="12"/>
      <c r="I20876" s="12"/>
      <c r="J20876" s="12"/>
      <c r="K20876" s="12"/>
      <c r="L20876" s="12"/>
      <c r="M20876" s="11"/>
      <c r="N20876" s="11"/>
      <c r="O20876" s="11"/>
      <c r="P20876" s="11"/>
    </row>
    <row r="20877" spans="8:16" x14ac:dyDescent="0.25">
      <c r="H20877" s="12"/>
      <c r="I20877" s="12"/>
      <c r="J20877" s="12"/>
      <c r="K20877" s="12"/>
      <c r="L20877" s="12"/>
      <c r="M20877" s="11"/>
      <c r="N20877" s="11"/>
      <c r="O20877" s="11"/>
      <c r="P20877" s="11"/>
    </row>
    <row r="20878" spans="8:16" x14ac:dyDescent="0.25">
      <c r="H20878" s="12"/>
      <c r="I20878" s="12"/>
      <c r="J20878" s="12"/>
      <c r="K20878" s="12"/>
      <c r="L20878" s="12"/>
      <c r="M20878" s="11"/>
      <c r="N20878" s="11"/>
      <c r="O20878" s="11"/>
      <c r="P20878" s="11"/>
    </row>
    <row r="20879" spans="8:16" x14ac:dyDescent="0.25">
      <c r="H20879" s="12"/>
      <c r="I20879" s="12"/>
      <c r="J20879" s="12"/>
      <c r="K20879" s="12"/>
      <c r="L20879" s="12"/>
      <c r="M20879" s="11"/>
      <c r="N20879" s="11"/>
      <c r="O20879" s="11"/>
      <c r="P20879" s="11"/>
    </row>
    <row r="20880" spans="8:16" x14ac:dyDescent="0.25">
      <c r="H20880" s="12"/>
      <c r="I20880" s="12"/>
      <c r="J20880" s="12"/>
      <c r="K20880" s="12"/>
      <c r="L20880" s="12"/>
      <c r="M20880" s="11"/>
      <c r="N20880" s="11"/>
      <c r="O20880" s="11"/>
      <c r="P20880" s="11"/>
    </row>
    <row r="20881" spans="8:16" x14ac:dyDescent="0.25">
      <c r="H20881" s="12"/>
      <c r="I20881" s="12"/>
      <c r="J20881" s="12"/>
      <c r="K20881" s="12"/>
      <c r="L20881" s="12"/>
      <c r="M20881" s="11"/>
      <c r="N20881" s="11"/>
      <c r="O20881" s="11"/>
      <c r="P20881" s="11"/>
    </row>
    <row r="20882" spans="8:16" x14ac:dyDescent="0.25">
      <c r="H20882" s="12"/>
      <c r="I20882" s="12"/>
      <c r="J20882" s="12"/>
      <c r="K20882" s="12"/>
      <c r="L20882" s="12"/>
      <c r="M20882" s="11"/>
      <c r="N20882" s="11"/>
      <c r="O20882" s="11"/>
      <c r="P20882" s="11"/>
    </row>
    <row r="20883" spans="8:16" x14ac:dyDescent="0.25">
      <c r="H20883" s="12"/>
      <c r="I20883" s="12"/>
      <c r="J20883" s="12"/>
      <c r="K20883" s="12"/>
      <c r="L20883" s="12"/>
      <c r="M20883" s="11"/>
      <c r="N20883" s="11"/>
      <c r="O20883" s="11"/>
      <c r="P20883" s="11"/>
    </row>
    <row r="20884" spans="8:16" x14ac:dyDescent="0.25">
      <c r="H20884" s="12"/>
      <c r="I20884" s="12"/>
      <c r="J20884" s="12"/>
      <c r="K20884" s="12"/>
      <c r="L20884" s="12"/>
      <c r="M20884" s="11"/>
      <c r="N20884" s="11"/>
      <c r="O20884" s="11"/>
      <c r="P20884" s="11"/>
    </row>
    <row r="20885" spans="8:16" x14ac:dyDescent="0.25">
      <c r="H20885" s="12"/>
      <c r="I20885" s="12"/>
      <c r="J20885" s="12"/>
      <c r="K20885" s="12"/>
      <c r="L20885" s="12"/>
      <c r="M20885" s="11"/>
      <c r="N20885" s="11"/>
      <c r="O20885" s="11"/>
      <c r="P20885" s="11"/>
    </row>
    <row r="20886" spans="8:16" x14ac:dyDescent="0.25">
      <c r="H20886" s="12"/>
      <c r="I20886" s="12"/>
      <c r="J20886" s="12"/>
      <c r="K20886" s="12"/>
      <c r="L20886" s="12"/>
      <c r="M20886" s="11"/>
      <c r="N20886" s="11"/>
      <c r="O20886" s="11"/>
      <c r="P20886" s="11"/>
    </row>
    <row r="20887" spans="8:16" x14ac:dyDescent="0.25">
      <c r="H20887" s="12"/>
      <c r="I20887" s="12"/>
      <c r="J20887" s="12"/>
      <c r="K20887" s="12"/>
      <c r="L20887" s="12"/>
      <c r="M20887" s="11"/>
      <c r="N20887" s="11"/>
      <c r="O20887" s="11"/>
      <c r="P20887" s="11"/>
    </row>
    <row r="20888" spans="8:16" x14ac:dyDescent="0.25">
      <c r="H20888" s="12"/>
      <c r="I20888" s="12"/>
      <c r="J20888" s="12"/>
      <c r="K20888" s="12"/>
      <c r="L20888" s="12"/>
      <c r="M20888" s="11"/>
      <c r="N20888" s="11"/>
      <c r="O20888" s="11"/>
      <c r="P20888" s="11"/>
    </row>
    <row r="20889" spans="8:16" x14ac:dyDescent="0.25">
      <c r="H20889" s="12"/>
      <c r="I20889" s="12"/>
      <c r="J20889" s="12"/>
      <c r="K20889" s="12"/>
      <c r="L20889" s="12"/>
      <c r="M20889" s="11"/>
      <c r="N20889" s="11"/>
      <c r="O20889" s="11"/>
      <c r="P20889" s="11"/>
    </row>
    <row r="20890" spans="8:16" x14ac:dyDescent="0.25">
      <c r="H20890" s="12"/>
      <c r="I20890" s="12"/>
      <c r="J20890" s="12"/>
      <c r="K20890" s="12"/>
      <c r="L20890" s="12"/>
      <c r="M20890" s="11"/>
      <c r="N20890" s="11"/>
      <c r="O20890" s="11"/>
      <c r="P20890" s="11"/>
    </row>
    <row r="20891" spans="8:16" x14ac:dyDescent="0.25">
      <c r="H20891" s="12"/>
      <c r="I20891" s="12"/>
      <c r="J20891" s="12"/>
      <c r="K20891" s="12"/>
      <c r="L20891" s="12"/>
      <c r="M20891" s="11"/>
      <c r="N20891" s="11"/>
      <c r="O20891" s="11"/>
      <c r="P20891" s="11"/>
    </row>
    <row r="20892" spans="8:16" x14ac:dyDescent="0.25">
      <c r="H20892" s="12"/>
      <c r="I20892" s="12"/>
      <c r="J20892" s="12"/>
      <c r="K20892" s="12"/>
      <c r="L20892" s="12"/>
      <c r="M20892" s="11"/>
      <c r="N20892" s="11"/>
      <c r="O20892" s="11"/>
      <c r="P20892" s="11"/>
    </row>
    <row r="20893" spans="8:16" x14ac:dyDescent="0.25">
      <c r="H20893" s="12"/>
      <c r="I20893" s="12"/>
      <c r="J20893" s="12"/>
      <c r="K20893" s="12"/>
      <c r="L20893" s="12"/>
      <c r="M20893" s="11"/>
      <c r="N20893" s="11"/>
      <c r="O20893" s="11"/>
      <c r="P20893" s="11"/>
    </row>
    <row r="20894" spans="8:16" x14ac:dyDescent="0.25">
      <c r="H20894" s="12"/>
      <c r="I20894" s="12"/>
      <c r="J20894" s="12"/>
      <c r="K20894" s="12"/>
      <c r="L20894" s="12"/>
      <c r="M20894" s="11"/>
      <c r="N20894" s="11"/>
      <c r="O20894" s="11"/>
      <c r="P20894" s="11"/>
    </row>
    <row r="20895" spans="8:16" x14ac:dyDescent="0.25">
      <c r="H20895" s="12"/>
      <c r="I20895" s="12"/>
      <c r="J20895" s="12"/>
      <c r="K20895" s="12"/>
      <c r="L20895" s="12"/>
      <c r="M20895" s="11"/>
      <c r="N20895" s="11"/>
      <c r="O20895" s="11"/>
      <c r="P20895" s="11"/>
    </row>
    <row r="20896" spans="8:16" x14ac:dyDescent="0.25">
      <c r="H20896" s="12"/>
      <c r="I20896" s="12"/>
      <c r="J20896" s="12"/>
      <c r="K20896" s="12"/>
      <c r="L20896" s="12"/>
      <c r="M20896" s="11"/>
      <c r="N20896" s="11"/>
      <c r="O20896" s="11"/>
      <c r="P20896" s="11"/>
    </row>
    <row r="20897" spans="8:16" x14ac:dyDescent="0.25">
      <c r="H20897" s="12"/>
      <c r="I20897" s="12"/>
      <c r="J20897" s="12"/>
      <c r="K20897" s="12"/>
      <c r="L20897" s="12"/>
      <c r="M20897" s="11"/>
      <c r="N20897" s="11"/>
      <c r="O20897" s="11"/>
      <c r="P20897" s="11"/>
    </row>
    <row r="20898" spans="8:16" x14ac:dyDescent="0.25">
      <c r="H20898" s="12"/>
      <c r="I20898" s="12"/>
      <c r="J20898" s="12"/>
      <c r="K20898" s="12"/>
      <c r="L20898" s="12"/>
      <c r="M20898" s="11"/>
      <c r="N20898" s="11"/>
      <c r="O20898" s="11"/>
      <c r="P20898" s="11"/>
    </row>
    <row r="20899" spans="8:16" x14ac:dyDescent="0.25">
      <c r="H20899" s="12"/>
      <c r="I20899" s="12"/>
      <c r="J20899" s="12"/>
      <c r="K20899" s="12"/>
      <c r="L20899" s="12"/>
      <c r="M20899" s="11"/>
      <c r="N20899" s="11"/>
      <c r="O20899" s="11"/>
      <c r="P20899" s="11"/>
    </row>
    <row r="20900" spans="8:16" x14ac:dyDescent="0.25">
      <c r="H20900" s="12"/>
      <c r="I20900" s="12"/>
      <c r="J20900" s="12"/>
      <c r="K20900" s="12"/>
      <c r="L20900" s="12"/>
      <c r="M20900" s="11"/>
      <c r="N20900" s="11"/>
      <c r="O20900" s="11"/>
      <c r="P20900" s="11"/>
    </row>
    <row r="20901" spans="8:16" x14ac:dyDescent="0.25">
      <c r="H20901" s="12"/>
      <c r="I20901" s="12"/>
      <c r="J20901" s="12"/>
      <c r="K20901" s="12"/>
      <c r="L20901" s="12"/>
      <c r="M20901" s="11"/>
      <c r="N20901" s="11"/>
      <c r="O20901" s="11"/>
      <c r="P20901" s="11"/>
    </row>
    <row r="20902" spans="8:16" x14ac:dyDescent="0.25">
      <c r="H20902" s="12"/>
      <c r="I20902" s="12"/>
      <c r="J20902" s="12"/>
      <c r="K20902" s="12"/>
      <c r="L20902" s="12"/>
      <c r="M20902" s="11"/>
      <c r="N20902" s="11"/>
      <c r="O20902" s="11"/>
      <c r="P20902" s="11"/>
    </row>
    <row r="20903" spans="8:16" x14ac:dyDescent="0.25">
      <c r="H20903" s="12"/>
      <c r="I20903" s="12"/>
      <c r="J20903" s="12"/>
      <c r="K20903" s="12"/>
      <c r="L20903" s="12"/>
      <c r="M20903" s="11"/>
      <c r="N20903" s="11"/>
      <c r="O20903" s="11"/>
      <c r="P20903" s="11"/>
    </row>
    <row r="20904" spans="8:16" x14ac:dyDescent="0.25">
      <c r="H20904" s="12"/>
      <c r="I20904" s="12"/>
      <c r="J20904" s="12"/>
      <c r="K20904" s="12"/>
      <c r="L20904" s="12"/>
      <c r="M20904" s="11"/>
      <c r="N20904" s="11"/>
      <c r="O20904" s="11"/>
      <c r="P20904" s="11"/>
    </row>
    <row r="20905" spans="8:16" x14ac:dyDescent="0.25">
      <c r="H20905" s="12"/>
      <c r="I20905" s="12"/>
      <c r="J20905" s="12"/>
      <c r="K20905" s="12"/>
      <c r="L20905" s="12"/>
      <c r="M20905" s="11"/>
      <c r="N20905" s="11"/>
      <c r="O20905" s="11"/>
      <c r="P20905" s="11"/>
    </row>
    <row r="20906" spans="8:16" x14ac:dyDescent="0.25">
      <c r="H20906" s="12"/>
      <c r="I20906" s="12"/>
      <c r="J20906" s="12"/>
      <c r="K20906" s="12"/>
      <c r="L20906" s="12"/>
      <c r="M20906" s="11"/>
      <c r="N20906" s="11"/>
      <c r="O20906" s="11"/>
      <c r="P20906" s="11"/>
    </row>
    <row r="20907" spans="8:16" x14ac:dyDescent="0.25">
      <c r="H20907" s="12"/>
      <c r="I20907" s="12"/>
      <c r="J20907" s="12"/>
      <c r="K20907" s="12"/>
      <c r="L20907" s="12"/>
      <c r="M20907" s="11"/>
      <c r="N20907" s="11"/>
      <c r="O20907" s="11"/>
      <c r="P20907" s="11"/>
    </row>
    <row r="20908" spans="8:16" x14ac:dyDescent="0.25">
      <c r="H20908" s="12"/>
      <c r="I20908" s="12"/>
      <c r="J20908" s="12"/>
      <c r="K20908" s="12"/>
      <c r="L20908" s="12"/>
      <c r="M20908" s="11"/>
      <c r="N20908" s="11"/>
      <c r="O20908" s="11"/>
      <c r="P20908" s="11"/>
    </row>
    <row r="20909" spans="8:16" x14ac:dyDescent="0.25">
      <c r="H20909" s="12"/>
      <c r="I20909" s="12"/>
      <c r="J20909" s="12"/>
      <c r="K20909" s="12"/>
      <c r="L20909" s="12"/>
      <c r="M20909" s="11"/>
      <c r="N20909" s="11"/>
      <c r="O20909" s="11"/>
      <c r="P20909" s="11"/>
    </row>
    <row r="20910" spans="8:16" x14ac:dyDescent="0.25">
      <c r="H20910" s="12"/>
      <c r="I20910" s="12"/>
      <c r="J20910" s="12"/>
      <c r="K20910" s="12"/>
      <c r="L20910" s="12"/>
      <c r="M20910" s="11"/>
      <c r="N20910" s="11"/>
      <c r="O20910" s="11"/>
      <c r="P20910" s="11"/>
    </row>
    <row r="20911" spans="8:16" x14ac:dyDescent="0.25">
      <c r="H20911" s="12"/>
      <c r="I20911" s="12"/>
      <c r="J20911" s="12"/>
      <c r="K20911" s="12"/>
      <c r="L20911" s="12"/>
      <c r="M20911" s="11"/>
      <c r="N20911" s="11"/>
      <c r="O20911" s="11"/>
      <c r="P20911" s="11"/>
    </row>
    <row r="20912" spans="8:16" x14ac:dyDescent="0.25">
      <c r="H20912" s="12"/>
      <c r="I20912" s="12"/>
      <c r="J20912" s="12"/>
      <c r="K20912" s="12"/>
      <c r="L20912" s="12"/>
      <c r="M20912" s="11"/>
      <c r="N20912" s="11"/>
      <c r="O20912" s="11"/>
      <c r="P20912" s="11"/>
    </row>
    <row r="20913" spans="8:16" x14ac:dyDescent="0.25">
      <c r="H20913" s="12"/>
      <c r="I20913" s="12"/>
      <c r="J20913" s="12"/>
      <c r="K20913" s="12"/>
      <c r="L20913" s="12"/>
      <c r="M20913" s="11"/>
      <c r="N20913" s="11"/>
      <c r="O20913" s="11"/>
      <c r="P20913" s="11"/>
    </row>
    <row r="20914" spans="8:16" x14ac:dyDescent="0.25">
      <c r="H20914" s="12"/>
      <c r="I20914" s="12"/>
      <c r="J20914" s="12"/>
      <c r="K20914" s="12"/>
      <c r="L20914" s="12"/>
      <c r="M20914" s="11"/>
      <c r="N20914" s="11"/>
      <c r="O20914" s="11"/>
      <c r="P20914" s="11"/>
    </row>
    <row r="20915" spans="8:16" x14ac:dyDescent="0.25">
      <c r="H20915" s="12"/>
      <c r="I20915" s="12"/>
      <c r="J20915" s="12"/>
      <c r="K20915" s="12"/>
      <c r="L20915" s="12"/>
      <c r="M20915" s="11"/>
      <c r="N20915" s="11"/>
      <c r="O20915" s="11"/>
      <c r="P20915" s="11"/>
    </row>
    <row r="20916" spans="8:16" x14ac:dyDescent="0.25">
      <c r="H20916" s="12"/>
      <c r="I20916" s="12"/>
      <c r="J20916" s="12"/>
      <c r="K20916" s="12"/>
      <c r="L20916" s="12"/>
      <c r="M20916" s="11"/>
      <c r="N20916" s="11"/>
      <c r="O20916" s="11"/>
      <c r="P20916" s="11"/>
    </row>
    <row r="20917" spans="8:16" x14ac:dyDescent="0.25">
      <c r="H20917" s="12"/>
      <c r="I20917" s="12"/>
      <c r="J20917" s="12"/>
      <c r="K20917" s="12"/>
      <c r="L20917" s="12"/>
      <c r="M20917" s="11"/>
      <c r="N20917" s="11"/>
      <c r="O20917" s="11"/>
      <c r="P20917" s="11"/>
    </row>
    <row r="20918" spans="8:16" x14ac:dyDescent="0.25">
      <c r="H20918" s="12"/>
      <c r="I20918" s="12"/>
      <c r="J20918" s="12"/>
      <c r="K20918" s="12"/>
      <c r="L20918" s="12"/>
      <c r="M20918" s="11"/>
      <c r="N20918" s="11"/>
      <c r="O20918" s="11"/>
      <c r="P20918" s="11"/>
    </row>
    <row r="20919" spans="8:16" x14ac:dyDescent="0.25">
      <c r="H20919" s="12"/>
      <c r="I20919" s="12"/>
      <c r="J20919" s="12"/>
      <c r="K20919" s="12"/>
      <c r="L20919" s="12"/>
      <c r="M20919" s="11"/>
      <c r="N20919" s="11"/>
      <c r="O20919" s="11"/>
      <c r="P20919" s="11"/>
    </row>
    <row r="20920" spans="8:16" x14ac:dyDescent="0.25">
      <c r="H20920" s="12"/>
      <c r="I20920" s="12"/>
      <c r="J20920" s="12"/>
      <c r="K20920" s="12"/>
      <c r="L20920" s="12"/>
      <c r="M20920" s="11"/>
      <c r="N20920" s="11"/>
      <c r="O20920" s="11"/>
      <c r="P20920" s="11"/>
    </row>
    <row r="20921" spans="8:16" x14ac:dyDescent="0.25">
      <c r="H20921" s="12"/>
      <c r="I20921" s="12"/>
      <c r="J20921" s="12"/>
      <c r="K20921" s="12"/>
      <c r="L20921" s="12"/>
      <c r="M20921" s="11"/>
      <c r="N20921" s="11"/>
      <c r="O20921" s="11"/>
      <c r="P20921" s="11"/>
    </row>
    <row r="20922" spans="8:16" x14ac:dyDescent="0.25">
      <c r="H20922" s="12"/>
      <c r="I20922" s="12"/>
      <c r="J20922" s="12"/>
      <c r="K20922" s="12"/>
      <c r="L20922" s="12"/>
      <c r="M20922" s="11"/>
      <c r="N20922" s="11"/>
      <c r="O20922" s="11"/>
      <c r="P20922" s="11"/>
    </row>
    <row r="20923" spans="8:16" x14ac:dyDescent="0.25">
      <c r="H20923" s="12"/>
      <c r="I20923" s="12"/>
      <c r="J20923" s="12"/>
      <c r="K20923" s="12"/>
      <c r="L20923" s="12"/>
      <c r="M20923" s="11"/>
      <c r="N20923" s="11"/>
      <c r="O20923" s="11"/>
      <c r="P20923" s="11"/>
    </row>
    <row r="20924" spans="8:16" x14ac:dyDescent="0.25">
      <c r="H20924" s="12"/>
      <c r="I20924" s="12"/>
      <c r="J20924" s="12"/>
      <c r="K20924" s="12"/>
      <c r="L20924" s="12"/>
      <c r="M20924" s="11"/>
      <c r="N20924" s="11"/>
      <c r="O20924" s="11"/>
      <c r="P20924" s="11"/>
    </row>
    <row r="20925" spans="8:16" x14ac:dyDescent="0.25">
      <c r="H20925" s="12"/>
      <c r="I20925" s="12"/>
      <c r="J20925" s="12"/>
      <c r="K20925" s="12"/>
      <c r="L20925" s="12"/>
      <c r="M20925" s="11"/>
      <c r="N20925" s="11"/>
      <c r="O20925" s="11"/>
      <c r="P20925" s="11"/>
    </row>
    <row r="20926" spans="8:16" x14ac:dyDescent="0.25">
      <c r="H20926" s="12"/>
      <c r="I20926" s="12"/>
      <c r="J20926" s="12"/>
      <c r="K20926" s="12"/>
      <c r="L20926" s="12"/>
      <c r="M20926" s="11"/>
      <c r="N20926" s="11"/>
      <c r="O20926" s="11"/>
      <c r="P20926" s="11"/>
    </row>
    <row r="20927" spans="8:16" x14ac:dyDescent="0.25">
      <c r="H20927" s="12"/>
      <c r="I20927" s="12"/>
      <c r="J20927" s="12"/>
      <c r="K20927" s="12"/>
      <c r="L20927" s="12"/>
      <c r="M20927" s="11"/>
      <c r="N20927" s="11"/>
      <c r="O20927" s="11"/>
      <c r="P20927" s="11"/>
    </row>
    <row r="20928" spans="8:16" x14ac:dyDescent="0.25">
      <c r="H20928" s="12"/>
      <c r="I20928" s="12"/>
      <c r="J20928" s="12"/>
      <c r="K20928" s="12"/>
      <c r="L20928" s="12"/>
      <c r="M20928" s="11"/>
      <c r="N20928" s="11"/>
      <c r="O20928" s="11"/>
      <c r="P20928" s="11"/>
    </row>
    <row r="20929" spans="8:16" x14ac:dyDescent="0.25">
      <c r="H20929" s="12"/>
      <c r="I20929" s="12"/>
      <c r="J20929" s="12"/>
      <c r="K20929" s="12"/>
      <c r="L20929" s="12"/>
      <c r="M20929" s="11"/>
      <c r="N20929" s="11"/>
      <c r="O20929" s="11"/>
      <c r="P20929" s="11"/>
    </row>
    <row r="20930" spans="8:16" x14ac:dyDescent="0.25">
      <c r="H20930" s="12"/>
      <c r="I20930" s="12"/>
      <c r="J20930" s="12"/>
      <c r="K20930" s="12"/>
      <c r="L20930" s="12"/>
      <c r="M20930" s="11"/>
      <c r="N20930" s="11"/>
      <c r="O20930" s="11"/>
      <c r="P20930" s="11"/>
    </row>
    <row r="20931" spans="8:16" x14ac:dyDescent="0.25">
      <c r="H20931" s="12"/>
      <c r="I20931" s="12"/>
      <c r="J20931" s="12"/>
      <c r="K20931" s="12"/>
      <c r="L20931" s="12"/>
      <c r="M20931" s="11"/>
      <c r="N20931" s="11"/>
      <c r="O20931" s="11"/>
      <c r="P20931" s="11"/>
    </row>
    <row r="20932" spans="8:16" x14ac:dyDescent="0.25">
      <c r="H20932" s="12"/>
      <c r="I20932" s="12"/>
      <c r="J20932" s="12"/>
      <c r="K20932" s="12"/>
      <c r="L20932" s="12"/>
      <c r="M20932" s="11"/>
      <c r="N20932" s="11"/>
      <c r="O20932" s="11"/>
      <c r="P20932" s="11"/>
    </row>
    <row r="20933" spans="8:16" x14ac:dyDescent="0.25">
      <c r="H20933" s="12"/>
      <c r="I20933" s="12"/>
      <c r="J20933" s="12"/>
      <c r="K20933" s="12"/>
      <c r="L20933" s="12"/>
      <c r="M20933" s="11"/>
      <c r="N20933" s="11"/>
      <c r="O20933" s="11"/>
      <c r="P20933" s="11"/>
    </row>
    <row r="20934" spans="8:16" x14ac:dyDescent="0.25">
      <c r="H20934" s="12"/>
      <c r="I20934" s="12"/>
      <c r="J20934" s="12"/>
      <c r="K20934" s="12"/>
      <c r="L20934" s="12"/>
      <c r="M20934" s="11"/>
      <c r="N20934" s="11"/>
      <c r="O20934" s="11"/>
      <c r="P20934" s="11"/>
    </row>
    <row r="20935" spans="8:16" x14ac:dyDescent="0.25">
      <c r="H20935" s="12"/>
      <c r="I20935" s="12"/>
      <c r="J20935" s="12"/>
      <c r="K20935" s="12"/>
      <c r="L20935" s="12"/>
      <c r="M20935" s="11"/>
      <c r="N20935" s="11"/>
      <c r="O20935" s="11"/>
      <c r="P20935" s="11"/>
    </row>
    <row r="20936" spans="8:16" x14ac:dyDescent="0.25">
      <c r="H20936" s="12"/>
      <c r="I20936" s="12"/>
      <c r="J20936" s="12"/>
      <c r="K20936" s="12"/>
      <c r="L20936" s="12"/>
      <c r="M20936" s="11"/>
      <c r="N20936" s="11"/>
      <c r="O20936" s="11"/>
      <c r="P20936" s="11"/>
    </row>
    <row r="20937" spans="8:16" x14ac:dyDescent="0.25">
      <c r="H20937" s="12"/>
      <c r="I20937" s="12"/>
      <c r="J20937" s="12"/>
      <c r="K20937" s="12"/>
      <c r="L20937" s="12"/>
      <c r="M20937" s="11"/>
      <c r="N20937" s="11"/>
      <c r="O20937" s="11"/>
      <c r="P20937" s="11"/>
    </row>
    <row r="20938" spans="8:16" x14ac:dyDescent="0.25">
      <c r="H20938" s="12"/>
      <c r="I20938" s="12"/>
      <c r="J20938" s="12"/>
      <c r="K20938" s="12"/>
      <c r="L20938" s="12"/>
      <c r="M20938" s="11"/>
      <c r="N20938" s="11"/>
      <c r="O20938" s="11"/>
      <c r="P20938" s="11"/>
    </row>
    <row r="20939" spans="8:16" x14ac:dyDescent="0.25">
      <c r="H20939" s="12"/>
      <c r="I20939" s="12"/>
      <c r="J20939" s="12"/>
      <c r="K20939" s="12"/>
      <c r="L20939" s="12"/>
      <c r="M20939" s="11"/>
      <c r="N20939" s="11"/>
      <c r="O20939" s="11"/>
      <c r="P20939" s="11"/>
    </row>
    <row r="20940" spans="8:16" x14ac:dyDescent="0.25">
      <c r="H20940" s="12"/>
      <c r="I20940" s="12"/>
      <c r="J20940" s="12"/>
      <c r="K20940" s="12"/>
      <c r="L20940" s="12"/>
      <c r="M20940" s="11"/>
      <c r="N20940" s="11"/>
      <c r="O20940" s="11"/>
      <c r="P20940" s="11"/>
    </row>
    <row r="20941" spans="8:16" x14ac:dyDescent="0.25">
      <c r="H20941" s="12"/>
      <c r="I20941" s="12"/>
      <c r="J20941" s="12"/>
      <c r="K20941" s="12"/>
      <c r="L20941" s="12"/>
      <c r="M20941" s="11"/>
      <c r="N20941" s="11"/>
      <c r="O20941" s="11"/>
      <c r="P20941" s="11"/>
    </row>
    <row r="20942" spans="8:16" x14ac:dyDescent="0.25">
      <c r="H20942" s="12"/>
      <c r="I20942" s="12"/>
      <c r="J20942" s="12"/>
      <c r="K20942" s="12"/>
      <c r="L20942" s="12"/>
      <c r="M20942" s="11"/>
      <c r="N20942" s="11"/>
      <c r="O20942" s="11"/>
      <c r="P20942" s="11"/>
    </row>
    <row r="20943" spans="8:16" x14ac:dyDescent="0.25">
      <c r="H20943" s="12"/>
      <c r="I20943" s="12"/>
      <c r="J20943" s="12"/>
      <c r="K20943" s="12"/>
      <c r="L20943" s="12"/>
      <c r="M20943" s="11"/>
      <c r="N20943" s="11"/>
      <c r="O20943" s="11"/>
      <c r="P20943" s="11"/>
    </row>
    <row r="20944" spans="8:16" x14ac:dyDescent="0.25">
      <c r="H20944" s="12"/>
      <c r="I20944" s="12"/>
      <c r="J20944" s="12"/>
      <c r="K20944" s="12"/>
      <c r="L20944" s="12"/>
      <c r="M20944" s="11"/>
      <c r="N20944" s="11"/>
      <c r="O20944" s="11"/>
      <c r="P20944" s="11"/>
    </row>
    <row r="20945" spans="8:16" x14ac:dyDescent="0.25">
      <c r="H20945" s="12"/>
      <c r="I20945" s="12"/>
      <c r="J20945" s="12"/>
      <c r="K20945" s="12"/>
      <c r="L20945" s="12"/>
      <c r="M20945" s="11"/>
      <c r="N20945" s="11"/>
      <c r="O20945" s="11"/>
      <c r="P20945" s="11"/>
    </row>
    <row r="20946" spans="8:16" x14ac:dyDescent="0.25">
      <c r="H20946" s="12"/>
      <c r="I20946" s="12"/>
      <c r="J20946" s="12"/>
      <c r="K20946" s="12"/>
      <c r="L20946" s="12"/>
      <c r="M20946" s="11"/>
      <c r="N20946" s="11"/>
      <c r="O20946" s="11"/>
      <c r="P20946" s="11"/>
    </row>
    <row r="20947" spans="8:16" x14ac:dyDescent="0.25">
      <c r="H20947" s="12"/>
      <c r="I20947" s="12"/>
      <c r="J20947" s="12"/>
      <c r="K20947" s="12"/>
      <c r="L20947" s="12"/>
      <c r="M20947" s="11"/>
      <c r="N20947" s="11"/>
      <c r="O20947" s="11"/>
      <c r="P20947" s="11"/>
    </row>
    <row r="20948" spans="8:16" x14ac:dyDescent="0.25">
      <c r="H20948" s="12"/>
      <c r="I20948" s="12"/>
      <c r="J20948" s="12"/>
      <c r="K20948" s="12"/>
      <c r="L20948" s="12"/>
      <c r="M20948" s="11"/>
      <c r="N20948" s="11"/>
      <c r="O20948" s="11"/>
      <c r="P20948" s="11"/>
    </row>
    <row r="20949" spans="8:16" x14ac:dyDescent="0.25">
      <c r="H20949" s="12"/>
      <c r="I20949" s="12"/>
      <c r="J20949" s="12"/>
      <c r="K20949" s="12"/>
      <c r="L20949" s="12"/>
      <c r="M20949" s="11"/>
      <c r="N20949" s="11"/>
      <c r="O20949" s="11"/>
      <c r="P20949" s="11"/>
    </row>
    <row r="20950" spans="8:16" x14ac:dyDescent="0.25">
      <c r="H20950" s="12"/>
      <c r="I20950" s="12"/>
      <c r="J20950" s="12"/>
      <c r="K20950" s="12"/>
      <c r="L20950" s="12"/>
      <c r="M20950" s="11"/>
      <c r="N20950" s="11"/>
      <c r="O20950" s="11"/>
      <c r="P20950" s="11"/>
    </row>
    <row r="20951" spans="8:16" x14ac:dyDescent="0.25">
      <c r="H20951" s="12"/>
      <c r="I20951" s="12"/>
      <c r="J20951" s="12"/>
      <c r="K20951" s="12"/>
      <c r="L20951" s="12"/>
      <c r="M20951" s="11"/>
      <c r="N20951" s="11"/>
      <c r="O20951" s="11"/>
      <c r="P20951" s="11"/>
    </row>
    <row r="20952" spans="8:16" x14ac:dyDescent="0.25">
      <c r="H20952" s="12"/>
      <c r="I20952" s="12"/>
      <c r="J20952" s="12"/>
      <c r="K20952" s="12"/>
      <c r="L20952" s="12"/>
      <c r="M20952" s="11"/>
      <c r="N20952" s="11"/>
      <c r="O20952" s="11"/>
      <c r="P20952" s="11"/>
    </row>
    <row r="20953" spans="8:16" x14ac:dyDescent="0.25">
      <c r="H20953" s="12"/>
      <c r="I20953" s="12"/>
      <c r="J20953" s="12"/>
      <c r="K20953" s="12"/>
      <c r="L20953" s="12"/>
      <c r="M20953" s="11"/>
      <c r="N20953" s="11"/>
      <c r="O20953" s="11"/>
      <c r="P20953" s="11"/>
    </row>
    <row r="20954" spans="8:16" x14ac:dyDescent="0.25">
      <c r="H20954" s="12"/>
      <c r="I20954" s="12"/>
      <c r="J20954" s="12"/>
      <c r="K20954" s="12"/>
      <c r="L20954" s="12"/>
      <c r="M20954" s="11"/>
      <c r="N20954" s="11"/>
      <c r="O20954" s="11"/>
      <c r="P20954" s="11"/>
    </row>
    <row r="20955" spans="8:16" x14ac:dyDescent="0.25">
      <c r="H20955" s="12"/>
      <c r="I20955" s="12"/>
      <c r="J20955" s="12"/>
      <c r="K20955" s="12"/>
      <c r="L20955" s="12"/>
      <c r="M20955" s="11"/>
      <c r="N20955" s="11"/>
      <c r="O20955" s="11"/>
      <c r="P20955" s="11"/>
    </row>
    <row r="20956" spans="8:16" x14ac:dyDescent="0.25">
      <c r="H20956" s="12"/>
      <c r="I20956" s="12"/>
      <c r="J20956" s="12"/>
      <c r="K20956" s="12"/>
      <c r="L20956" s="12"/>
      <c r="M20956" s="11"/>
      <c r="N20956" s="11"/>
      <c r="O20956" s="11"/>
      <c r="P20956" s="11"/>
    </row>
    <row r="20957" spans="8:16" x14ac:dyDescent="0.25">
      <c r="H20957" s="12"/>
      <c r="I20957" s="12"/>
      <c r="J20957" s="12"/>
      <c r="K20957" s="12"/>
      <c r="L20957" s="12"/>
      <c r="M20957" s="11"/>
      <c r="N20957" s="11"/>
      <c r="O20957" s="11"/>
      <c r="P20957" s="11"/>
    </row>
    <row r="20958" spans="8:16" x14ac:dyDescent="0.25">
      <c r="H20958" s="12"/>
      <c r="I20958" s="12"/>
      <c r="J20958" s="12"/>
      <c r="K20958" s="12"/>
      <c r="L20958" s="12"/>
      <c r="M20958" s="11"/>
      <c r="N20958" s="11"/>
      <c r="O20958" s="11"/>
      <c r="P20958" s="11"/>
    </row>
    <row r="20959" spans="8:16" x14ac:dyDescent="0.25">
      <c r="H20959" s="12"/>
      <c r="I20959" s="12"/>
      <c r="J20959" s="12"/>
      <c r="K20959" s="12"/>
      <c r="L20959" s="12"/>
      <c r="M20959" s="11"/>
      <c r="N20959" s="11"/>
      <c r="O20959" s="11"/>
      <c r="P20959" s="11"/>
    </row>
    <row r="20960" spans="8:16" x14ac:dyDescent="0.25">
      <c r="H20960" s="12"/>
      <c r="I20960" s="12"/>
      <c r="J20960" s="12"/>
      <c r="K20960" s="12"/>
      <c r="L20960" s="12"/>
      <c r="M20960" s="11"/>
      <c r="N20960" s="11"/>
      <c r="O20960" s="11"/>
      <c r="P20960" s="11"/>
    </row>
    <row r="20961" spans="8:16" x14ac:dyDescent="0.25">
      <c r="H20961" s="12"/>
      <c r="I20961" s="12"/>
      <c r="J20961" s="12"/>
      <c r="K20961" s="12"/>
      <c r="L20961" s="12"/>
      <c r="M20961" s="11"/>
      <c r="N20961" s="11"/>
      <c r="O20961" s="11"/>
      <c r="P20961" s="11"/>
    </row>
    <row r="20962" spans="8:16" x14ac:dyDescent="0.25">
      <c r="H20962" s="12"/>
      <c r="I20962" s="12"/>
      <c r="J20962" s="12"/>
      <c r="K20962" s="12"/>
      <c r="L20962" s="12"/>
      <c r="M20962" s="11"/>
      <c r="N20962" s="11"/>
      <c r="O20962" s="11"/>
      <c r="P20962" s="11"/>
    </row>
    <row r="20963" spans="8:16" x14ac:dyDescent="0.25">
      <c r="H20963" s="12"/>
      <c r="I20963" s="12"/>
      <c r="J20963" s="12"/>
      <c r="K20963" s="12"/>
      <c r="L20963" s="12"/>
      <c r="M20963" s="11"/>
      <c r="N20963" s="11"/>
      <c r="O20963" s="11"/>
      <c r="P20963" s="11"/>
    </row>
    <row r="20964" spans="8:16" x14ac:dyDescent="0.25">
      <c r="H20964" s="12"/>
      <c r="I20964" s="12"/>
      <c r="J20964" s="12"/>
      <c r="K20964" s="12"/>
      <c r="L20964" s="12"/>
      <c r="M20964" s="11"/>
      <c r="N20964" s="11"/>
      <c r="O20964" s="11"/>
      <c r="P20964" s="11"/>
    </row>
    <row r="20965" spans="8:16" x14ac:dyDescent="0.25">
      <c r="H20965" s="12"/>
      <c r="I20965" s="12"/>
      <c r="J20965" s="12"/>
      <c r="K20965" s="12"/>
      <c r="L20965" s="12"/>
      <c r="M20965" s="11"/>
      <c r="N20965" s="11"/>
      <c r="O20965" s="11"/>
      <c r="P20965" s="11"/>
    </row>
    <row r="20966" spans="8:16" x14ac:dyDescent="0.25">
      <c r="H20966" s="12"/>
      <c r="I20966" s="12"/>
      <c r="J20966" s="12"/>
      <c r="K20966" s="12"/>
      <c r="L20966" s="12"/>
      <c r="M20966" s="11"/>
      <c r="N20966" s="11"/>
      <c r="O20966" s="11"/>
      <c r="P20966" s="11"/>
    </row>
    <row r="20967" spans="8:16" x14ac:dyDescent="0.25">
      <c r="H20967" s="12"/>
      <c r="I20967" s="12"/>
      <c r="J20967" s="12"/>
      <c r="K20967" s="12"/>
      <c r="L20967" s="12"/>
      <c r="M20967" s="11"/>
      <c r="N20967" s="11"/>
      <c r="O20967" s="11"/>
      <c r="P20967" s="11"/>
    </row>
    <row r="20968" spans="8:16" x14ac:dyDescent="0.25">
      <c r="H20968" s="12"/>
      <c r="I20968" s="12"/>
      <c r="J20968" s="12"/>
      <c r="K20968" s="12"/>
      <c r="L20968" s="12"/>
      <c r="M20968" s="11"/>
      <c r="N20968" s="11"/>
      <c r="O20968" s="11"/>
      <c r="P20968" s="11"/>
    </row>
    <row r="20969" spans="8:16" x14ac:dyDescent="0.25">
      <c r="H20969" s="12"/>
      <c r="I20969" s="12"/>
      <c r="J20969" s="12"/>
      <c r="K20969" s="12"/>
      <c r="L20969" s="12"/>
      <c r="M20969" s="11"/>
      <c r="N20969" s="11"/>
      <c r="O20969" s="11"/>
      <c r="P20969" s="11"/>
    </row>
    <row r="20970" spans="8:16" x14ac:dyDescent="0.25">
      <c r="H20970" s="12"/>
      <c r="I20970" s="12"/>
      <c r="J20970" s="12"/>
      <c r="K20970" s="12"/>
      <c r="L20970" s="12"/>
      <c r="M20970" s="11"/>
      <c r="N20970" s="11"/>
      <c r="O20970" s="11"/>
      <c r="P20970" s="11"/>
    </row>
    <row r="20971" spans="8:16" x14ac:dyDescent="0.25">
      <c r="H20971" s="12"/>
      <c r="I20971" s="12"/>
      <c r="J20971" s="12"/>
      <c r="K20971" s="12"/>
      <c r="L20971" s="12"/>
      <c r="M20971" s="11"/>
      <c r="N20971" s="11"/>
      <c r="O20971" s="11"/>
      <c r="P20971" s="11"/>
    </row>
    <row r="20972" spans="8:16" x14ac:dyDescent="0.25">
      <c r="H20972" s="12"/>
      <c r="I20972" s="12"/>
      <c r="J20972" s="12"/>
      <c r="K20972" s="12"/>
      <c r="L20972" s="12"/>
      <c r="M20972" s="11"/>
      <c r="N20972" s="11"/>
      <c r="O20972" s="11"/>
      <c r="P20972" s="11"/>
    </row>
    <row r="20973" spans="8:16" x14ac:dyDescent="0.25">
      <c r="H20973" s="12"/>
      <c r="I20973" s="12"/>
      <c r="J20973" s="12"/>
      <c r="K20973" s="12"/>
      <c r="L20973" s="12"/>
      <c r="M20973" s="11"/>
      <c r="N20973" s="11"/>
      <c r="O20973" s="11"/>
      <c r="P20973" s="11"/>
    </row>
    <row r="20974" spans="8:16" x14ac:dyDescent="0.25">
      <c r="H20974" s="12"/>
      <c r="I20974" s="12"/>
      <c r="J20974" s="12"/>
      <c r="K20974" s="12"/>
      <c r="L20974" s="12"/>
      <c r="M20974" s="11"/>
      <c r="N20974" s="11"/>
      <c r="O20974" s="11"/>
      <c r="P20974" s="11"/>
    </row>
    <row r="20975" spans="8:16" x14ac:dyDescent="0.25">
      <c r="H20975" s="12"/>
      <c r="I20975" s="12"/>
      <c r="J20975" s="12"/>
      <c r="K20975" s="12"/>
      <c r="L20975" s="12"/>
      <c r="M20975" s="11"/>
      <c r="N20975" s="11"/>
      <c r="O20975" s="11"/>
      <c r="P20975" s="11"/>
    </row>
    <row r="20976" spans="8:16" x14ac:dyDescent="0.25">
      <c r="H20976" s="12"/>
      <c r="I20976" s="12"/>
      <c r="J20976" s="12"/>
      <c r="K20976" s="12"/>
      <c r="L20976" s="12"/>
      <c r="M20976" s="11"/>
      <c r="N20976" s="11"/>
      <c r="O20976" s="11"/>
      <c r="P20976" s="11"/>
    </row>
    <row r="20977" spans="8:16" x14ac:dyDescent="0.25">
      <c r="H20977" s="12"/>
      <c r="I20977" s="12"/>
      <c r="J20977" s="12"/>
      <c r="K20977" s="12"/>
      <c r="L20977" s="12"/>
      <c r="M20977" s="11"/>
      <c r="N20977" s="11"/>
      <c r="O20977" s="11"/>
      <c r="P20977" s="11"/>
    </row>
    <row r="20978" spans="8:16" x14ac:dyDescent="0.25">
      <c r="H20978" s="12"/>
      <c r="I20978" s="12"/>
      <c r="J20978" s="12"/>
      <c r="K20978" s="12"/>
      <c r="L20978" s="12"/>
      <c r="M20978" s="11"/>
      <c r="N20978" s="11"/>
      <c r="O20978" s="11"/>
      <c r="P20978" s="11"/>
    </row>
    <row r="20979" spans="8:16" x14ac:dyDescent="0.25">
      <c r="H20979" s="12"/>
      <c r="I20979" s="12"/>
      <c r="J20979" s="12"/>
      <c r="K20979" s="12"/>
      <c r="L20979" s="12"/>
      <c r="M20979" s="11"/>
      <c r="N20979" s="11"/>
      <c r="O20979" s="11"/>
      <c r="P20979" s="11"/>
    </row>
    <row r="20980" spans="8:16" x14ac:dyDescent="0.25">
      <c r="H20980" s="12"/>
      <c r="I20980" s="12"/>
      <c r="J20980" s="12"/>
      <c r="K20980" s="12"/>
      <c r="L20980" s="12"/>
      <c r="M20980" s="11"/>
      <c r="N20980" s="11"/>
      <c r="O20980" s="11"/>
      <c r="P20980" s="11"/>
    </row>
    <row r="20981" spans="8:16" x14ac:dyDescent="0.25">
      <c r="H20981" s="12"/>
      <c r="I20981" s="12"/>
      <c r="J20981" s="12"/>
      <c r="K20981" s="12"/>
      <c r="L20981" s="12"/>
      <c r="M20981" s="11"/>
      <c r="N20981" s="11"/>
      <c r="O20981" s="11"/>
      <c r="P20981" s="11"/>
    </row>
    <row r="20982" spans="8:16" x14ac:dyDescent="0.25">
      <c r="H20982" s="12"/>
      <c r="I20982" s="12"/>
      <c r="J20982" s="12"/>
      <c r="K20982" s="12"/>
      <c r="L20982" s="12"/>
      <c r="M20982" s="11"/>
      <c r="N20982" s="11"/>
      <c r="O20982" s="11"/>
      <c r="P20982" s="11"/>
    </row>
    <row r="20983" spans="8:16" x14ac:dyDescent="0.25">
      <c r="H20983" s="12"/>
      <c r="I20983" s="12"/>
      <c r="J20983" s="12"/>
      <c r="K20983" s="12"/>
      <c r="L20983" s="12"/>
      <c r="M20983" s="11"/>
      <c r="N20983" s="11"/>
      <c r="O20983" s="11"/>
      <c r="P20983" s="11"/>
    </row>
    <row r="20984" spans="8:16" x14ac:dyDescent="0.25">
      <c r="H20984" s="12"/>
      <c r="I20984" s="12"/>
      <c r="J20984" s="12"/>
      <c r="K20984" s="12"/>
      <c r="L20984" s="12"/>
      <c r="M20984" s="11"/>
      <c r="N20984" s="11"/>
      <c r="O20984" s="11"/>
      <c r="P20984" s="11"/>
    </row>
    <row r="20985" spans="8:16" x14ac:dyDescent="0.25">
      <c r="H20985" s="12"/>
      <c r="I20985" s="12"/>
      <c r="J20985" s="12"/>
      <c r="K20985" s="12"/>
      <c r="L20985" s="12"/>
      <c r="M20985" s="11"/>
      <c r="N20985" s="11"/>
      <c r="O20985" s="11"/>
      <c r="P20985" s="11"/>
    </row>
    <row r="20986" spans="8:16" x14ac:dyDescent="0.25">
      <c r="H20986" s="12"/>
      <c r="I20986" s="12"/>
      <c r="J20986" s="12"/>
      <c r="K20986" s="12"/>
      <c r="L20986" s="12"/>
      <c r="M20986" s="11"/>
      <c r="N20986" s="11"/>
      <c r="O20986" s="11"/>
      <c r="P20986" s="11"/>
    </row>
    <row r="20987" spans="8:16" x14ac:dyDescent="0.25">
      <c r="H20987" s="12"/>
      <c r="I20987" s="12"/>
      <c r="J20987" s="12"/>
      <c r="K20987" s="12"/>
      <c r="L20987" s="12"/>
      <c r="M20987" s="11"/>
      <c r="N20987" s="11"/>
      <c r="O20987" s="11"/>
      <c r="P20987" s="11"/>
    </row>
    <row r="20988" spans="8:16" x14ac:dyDescent="0.25">
      <c r="H20988" s="12"/>
      <c r="I20988" s="12"/>
      <c r="J20988" s="12"/>
      <c r="K20988" s="12"/>
      <c r="L20988" s="12"/>
      <c r="M20988" s="11"/>
      <c r="N20988" s="11"/>
      <c r="O20988" s="11"/>
      <c r="P20988" s="11"/>
    </row>
    <row r="20989" spans="8:16" x14ac:dyDescent="0.25">
      <c r="H20989" s="12"/>
      <c r="I20989" s="12"/>
      <c r="J20989" s="12"/>
      <c r="K20989" s="12"/>
      <c r="L20989" s="12"/>
      <c r="M20989" s="11"/>
      <c r="N20989" s="11"/>
      <c r="O20989" s="11"/>
      <c r="P20989" s="11"/>
    </row>
    <row r="20990" spans="8:16" x14ac:dyDescent="0.25">
      <c r="H20990" s="12"/>
      <c r="I20990" s="12"/>
      <c r="J20990" s="12"/>
      <c r="K20990" s="12"/>
      <c r="L20990" s="12"/>
      <c r="M20990" s="11"/>
      <c r="N20990" s="11"/>
      <c r="O20990" s="11"/>
      <c r="P20990" s="11"/>
    </row>
    <row r="20991" spans="8:16" x14ac:dyDescent="0.25">
      <c r="H20991" s="12"/>
      <c r="I20991" s="12"/>
      <c r="J20991" s="12"/>
      <c r="K20991" s="12"/>
      <c r="L20991" s="12"/>
      <c r="M20991" s="11"/>
      <c r="N20991" s="11"/>
      <c r="O20991" s="11"/>
      <c r="P20991" s="11"/>
    </row>
    <row r="20992" spans="8:16" x14ac:dyDescent="0.25">
      <c r="H20992" s="12"/>
      <c r="I20992" s="12"/>
      <c r="J20992" s="12"/>
      <c r="K20992" s="12"/>
      <c r="L20992" s="12"/>
      <c r="M20992" s="11"/>
      <c r="N20992" s="11"/>
      <c r="O20992" s="11"/>
      <c r="P20992" s="11"/>
    </row>
    <row r="20993" spans="8:16" x14ac:dyDescent="0.25">
      <c r="H20993" s="12"/>
      <c r="I20993" s="12"/>
      <c r="J20993" s="12"/>
      <c r="K20993" s="12"/>
      <c r="L20993" s="12"/>
      <c r="M20993" s="11"/>
      <c r="N20993" s="11"/>
      <c r="O20993" s="11"/>
      <c r="P20993" s="11"/>
    </row>
    <row r="20994" spans="8:16" x14ac:dyDescent="0.25">
      <c r="H20994" s="12"/>
      <c r="I20994" s="12"/>
      <c r="J20994" s="12"/>
      <c r="K20994" s="12"/>
      <c r="L20994" s="12"/>
      <c r="M20994" s="11"/>
      <c r="N20994" s="11"/>
      <c r="O20994" s="11"/>
      <c r="P20994" s="11"/>
    </row>
    <row r="20995" spans="8:16" x14ac:dyDescent="0.25">
      <c r="H20995" s="12"/>
      <c r="I20995" s="12"/>
      <c r="J20995" s="12"/>
      <c r="K20995" s="12"/>
      <c r="L20995" s="12"/>
      <c r="M20995" s="11"/>
      <c r="N20995" s="11"/>
      <c r="O20995" s="11"/>
      <c r="P20995" s="11"/>
    </row>
    <row r="20996" spans="8:16" x14ac:dyDescent="0.25">
      <c r="H20996" s="12"/>
      <c r="I20996" s="12"/>
      <c r="J20996" s="12"/>
      <c r="K20996" s="12"/>
      <c r="L20996" s="12"/>
      <c r="M20996" s="11"/>
      <c r="N20996" s="11"/>
      <c r="O20996" s="11"/>
      <c r="P20996" s="11"/>
    </row>
    <row r="20997" spans="8:16" x14ac:dyDescent="0.25">
      <c r="H20997" s="12"/>
      <c r="I20997" s="12"/>
      <c r="J20997" s="12"/>
      <c r="K20997" s="12"/>
      <c r="L20997" s="12"/>
      <c r="M20997" s="11"/>
      <c r="N20997" s="11"/>
      <c r="O20997" s="11"/>
      <c r="P20997" s="11"/>
    </row>
    <row r="20998" spans="8:16" x14ac:dyDescent="0.25">
      <c r="H20998" s="12"/>
      <c r="I20998" s="12"/>
      <c r="J20998" s="12"/>
      <c r="K20998" s="12"/>
      <c r="L20998" s="12"/>
      <c r="M20998" s="11"/>
      <c r="N20998" s="11"/>
      <c r="O20998" s="11"/>
      <c r="P20998" s="11"/>
    </row>
    <row r="20999" spans="8:16" x14ac:dyDescent="0.25">
      <c r="H20999" s="12"/>
      <c r="I20999" s="12"/>
      <c r="J20999" s="12"/>
      <c r="K20999" s="12"/>
      <c r="L20999" s="12"/>
      <c r="M20999" s="11"/>
      <c r="N20999" s="11"/>
      <c r="O20999" s="11"/>
      <c r="P20999" s="11"/>
    </row>
    <row r="21000" spans="8:16" x14ac:dyDescent="0.25">
      <c r="H21000" s="12"/>
      <c r="I21000" s="12"/>
      <c r="J21000" s="12"/>
      <c r="K21000" s="12"/>
      <c r="L21000" s="12"/>
      <c r="M21000" s="11"/>
      <c r="N21000" s="11"/>
      <c r="O21000" s="11"/>
      <c r="P21000" s="11"/>
    </row>
    <row r="21001" spans="8:16" x14ac:dyDescent="0.25">
      <c r="H21001" s="12"/>
      <c r="I21001" s="12"/>
      <c r="J21001" s="12"/>
      <c r="K21001" s="12"/>
      <c r="L21001" s="12"/>
      <c r="M21001" s="11"/>
      <c r="N21001" s="11"/>
      <c r="O21001" s="11"/>
      <c r="P21001" s="11"/>
    </row>
    <row r="21002" spans="8:16" x14ac:dyDescent="0.25">
      <c r="H21002" s="12"/>
      <c r="I21002" s="12"/>
      <c r="J21002" s="12"/>
      <c r="K21002" s="12"/>
      <c r="L21002" s="12"/>
      <c r="M21002" s="11"/>
      <c r="N21002" s="11"/>
      <c r="O21002" s="11"/>
      <c r="P21002" s="11"/>
    </row>
    <row r="21003" spans="8:16" x14ac:dyDescent="0.25">
      <c r="H21003" s="12"/>
      <c r="I21003" s="12"/>
      <c r="J21003" s="12"/>
      <c r="K21003" s="12"/>
      <c r="L21003" s="12"/>
      <c r="M21003" s="11"/>
      <c r="N21003" s="11"/>
      <c r="O21003" s="11"/>
      <c r="P21003" s="11"/>
    </row>
    <row r="21004" spans="8:16" x14ac:dyDescent="0.25">
      <c r="H21004" s="12"/>
      <c r="I21004" s="12"/>
      <c r="J21004" s="12"/>
      <c r="K21004" s="12"/>
      <c r="L21004" s="12"/>
      <c r="M21004" s="11"/>
      <c r="N21004" s="11"/>
      <c r="O21004" s="11"/>
      <c r="P21004" s="11"/>
    </row>
    <row r="21005" spans="8:16" x14ac:dyDescent="0.25">
      <c r="H21005" s="12"/>
      <c r="I21005" s="12"/>
      <c r="J21005" s="12"/>
      <c r="K21005" s="12"/>
      <c r="L21005" s="12"/>
      <c r="M21005" s="11"/>
      <c r="N21005" s="11"/>
      <c r="O21005" s="11"/>
      <c r="P21005" s="11"/>
    </row>
    <row r="21006" spans="8:16" x14ac:dyDescent="0.25">
      <c r="H21006" s="12"/>
      <c r="I21006" s="12"/>
      <c r="J21006" s="12"/>
      <c r="K21006" s="12"/>
      <c r="L21006" s="12"/>
      <c r="M21006" s="11"/>
      <c r="N21006" s="11"/>
      <c r="O21006" s="11"/>
      <c r="P21006" s="11"/>
    </row>
    <row r="21007" spans="8:16" x14ac:dyDescent="0.25">
      <c r="H21007" s="12"/>
      <c r="I21007" s="12"/>
      <c r="J21007" s="12"/>
      <c r="K21007" s="12"/>
      <c r="L21007" s="12"/>
      <c r="M21007" s="11"/>
      <c r="N21007" s="11"/>
      <c r="O21007" s="11"/>
      <c r="P21007" s="11"/>
    </row>
    <row r="21008" spans="8:16" x14ac:dyDescent="0.25">
      <c r="H21008" s="12"/>
      <c r="I21008" s="12"/>
      <c r="J21008" s="12"/>
      <c r="K21008" s="12"/>
      <c r="L21008" s="12"/>
      <c r="M21008" s="11"/>
      <c r="N21008" s="11"/>
      <c r="O21008" s="11"/>
      <c r="P21008" s="11"/>
    </row>
    <row r="21009" spans="8:16" x14ac:dyDescent="0.25">
      <c r="H21009" s="12"/>
      <c r="I21009" s="12"/>
      <c r="J21009" s="12"/>
      <c r="K21009" s="12"/>
      <c r="L21009" s="12"/>
      <c r="M21009" s="11"/>
      <c r="N21009" s="11"/>
      <c r="O21009" s="11"/>
      <c r="P21009" s="11"/>
    </row>
    <row r="21010" spans="8:16" x14ac:dyDescent="0.25">
      <c r="H21010" s="12"/>
      <c r="I21010" s="12"/>
      <c r="J21010" s="12"/>
      <c r="K21010" s="12"/>
      <c r="L21010" s="12"/>
      <c r="M21010" s="11"/>
      <c r="N21010" s="11"/>
      <c r="O21010" s="11"/>
      <c r="P21010" s="11"/>
    </row>
    <row r="21011" spans="8:16" x14ac:dyDescent="0.25">
      <c r="H21011" s="12"/>
      <c r="I21011" s="12"/>
      <c r="J21011" s="12"/>
      <c r="K21011" s="12"/>
      <c r="L21011" s="12"/>
      <c r="M21011" s="11"/>
      <c r="N21011" s="11"/>
      <c r="O21011" s="11"/>
      <c r="P21011" s="11"/>
    </row>
    <row r="21012" spans="8:16" x14ac:dyDescent="0.25">
      <c r="H21012" s="12"/>
      <c r="I21012" s="12"/>
      <c r="J21012" s="12"/>
      <c r="K21012" s="12"/>
      <c r="L21012" s="12"/>
      <c r="M21012" s="11"/>
      <c r="N21012" s="11"/>
      <c r="O21012" s="11"/>
      <c r="P21012" s="11"/>
    </row>
    <row r="21013" spans="8:16" x14ac:dyDescent="0.25">
      <c r="H21013" s="12"/>
      <c r="I21013" s="12"/>
      <c r="J21013" s="12"/>
      <c r="K21013" s="12"/>
      <c r="L21013" s="12"/>
      <c r="M21013" s="11"/>
      <c r="N21013" s="11"/>
      <c r="O21013" s="11"/>
      <c r="P21013" s="11"/>
    </row>
    <row r="21014" spans="8:16" x14ac:dyDescent="0.25">
      <c r="H21014" s="12"/>
      <c r="I21014" s="12"/>
      <c r="J21014" s="12"/>
      <c r="K21014" s="12"/>
      <c r="L21014" s="12"/>
      <c r="M21014" s="11"/>
      <c r="N21014" s="11"/>
      <c r="O21014" s="11"/>
      <c r="P21014" s="11"/>
    </row>
    <row r="21015" spans="8:16" x14ac:dyDescent="0.25">
      <c r="H21015" s="12"/>
      <c r="I21015" s="12"/>
      <c r="J21015" s="12"/>
      <c r="K21015" s="12"/>
      <c r="L21015" s="12"/>
      <c r="M21015" s="11"/>
      <c r="N21015" s="11"/>
      <c r="O21015" s="11"/>
      <c r="P21015" s="11"/>
    </row>
    <row r="21016" spans="8:16" x14ac:dyDescent="0.25">
      <c r="H21016" s="12"/>
      <c r="I21016" s="12"/>
      <c r="J21016" s="12"/>
      <c r="K21016" s="12"/>
      <c r="L21016" s="12"/>
      <c r="M21016" s="11"/>
      <c r="N21016" s="11"/>
      <c r="O21016" s="11"/>
      <c r="P21016" s="11"/>
    </row>
    <row r="21017" spans="8:16" x14ac:dyDescent="0.25">
      <c r="H21017" s="12"/>
      <c r="I21017" s="12"/>
      <c r="J21017" s="12"/>
      <c r="K21017" s="12"/>
      <c r="L21017" s="12"/>
      <c r="M21017" s="11"/>
      <c r="N21017" s="11"/>
      <c r="O21017" s="11"/>
      <c r="P21017" s="11"/>
    </row>
    <row r="21018" spans="8:16" x14ac:dyDescent="0.25">
      <c r="H21018" s="12"/>
      <c r="I21018" s="12"/>
      <c r="J21018" s="12"/>
      <c r="K21018" s="12"/>
      <c r="L21018" s="12"/>
      <c r="M21018" s="11"/>
      <c r="N21018" s="11"/>
      <c r="O21018" s="11"/>
      <c r="P21018" s="11"/>
    </row>
    <row r="21019" spans="8:16" x14ac:dyDescent="0.25">
      <c r="H21019" s="12"/>
      <c r="I21019" s="12"/>
      <c r="J21019" s="12"/>
      <c r="K21019" s="12"/>
      <c r="L21019" s="12"/>
      <c r="M21019" s="11"/>
      <c r="N21019" s="11"/>
      <c r="O21019" s="11"/>
      <c r="P21019" s="11"/>
    </row>
    <row r="21020" spans="8:16" x14ac:dyDescent="0.25">
      <c r="H21020" s="12"/>
      <c r="I21020" s="12"/>
      <c r="J21020" s="12"/>
      <c r="K21020" s="12"/>
      <c r="L21020" s="12"/>
      <c r="M21020" s="11"/>
      <c r="N21020" s="11"/>
      <c r="O21020" s="11"/>
      <c r="P21020" s="11"/>
    </row>
    <row r="21021" spans="8:16" x14ac:dyDescent="0.25">
      <c r="H21021" s="12"/>
      <c r="I21021" s="12"/>
      <c r="J21021" s="12"/>
      <c r="K21021" s="12"/>
      <c r="L21021" s="12"/>
      <c r="M21021" s="11"/>
      <c r="N21021" s="11"/>
      <c r="O21021" s="11"/>
      <c r="P21021" s="11"/>
    </row>
    <row r="21022" spans="8:16" x14ac:dyDescent="0.25">
      <c r="H21022" s="12"/>
      <c r="I21022" s="12"/>
      <c r="J21022" s="12"/>
      <c r="K21022" s="12"/>
      <c r="L21022" s="12"/>
      <c r="M21022" s="11"/>
      <c r="N21022" s="11"/>
      <c r="O21022" s="11"/>
      <c r="P21022" s="11"/>
    </row>
    <row r="21023" spans="8:16" x14ac:dyDescent="0.25">
      <c r="H21023" s="12"/>
      <c r="I21023" s="12"/>
      <c r="J21023" s="12"/>
      <c r="K21023" s="12"/>
      <c r="L21023" s="12"/>
      <c r="M21023" s="11"/>
      <c r="N21023" s="11"/>
      <c r="O21023" s="11"/>
      <c r="P21023" s="11"/>
    </row>
    <row r="21024" spans="8:16" x14ac:dyDescent="0.25">
      <c r="H21024" s="12"/>
      <c r="I21024" s="12"/>
      <c r="J21024" s="12"/>
      <c r="K21024" s="12"/>
      <c r="L21024" s="12"/>
      <c r="M21024" s="11"/>
      <c r="N21024" s="11"/>
      <c r="O21024" s="11"/>
      <c r="P21024" s="11"/>
    </row>
    <row r="21025" spans="8:16" x14ac:dyDescent="0.25">
      <c r="H21025" s="12"/>
      <c r="I21025" s="12"/>
      <c r="J21025" s="12"/>
      <c r="K21025" s="12"/>
      <c r="L21025" s="12"/>
      <c r="M21025" s="11"/>
      <c r="N21025" s="11"/>
      <c r="O21025" s="11"/>
      <c r="P21025" s="11"/>
    </row>
    <row r="21026" spans="8:16" x14ac:dyDescent="0.25">
      <c r="H21026" s="12"/>
      <c r="I21026" s="12"/>
      <c r="J21026" s="12"/>
      <c r="K21026" s="12"/>
      <c r="L21026" s="12"/>
      <c r="M21026" s="11"/>
      <c r="N21026" s="11"/>
      <c r="O21026" s="11"/>
      <c r="P21026" s="11"/>
    </row>
    <row r="21027" spans="8:16" x14ac:dyDescent="0.25">
      <c r="H21027" s="12"/>
      <c r="I21027" s="12"/>
      <c r="J21027" s="12"/>
      <c r="K21027" s="12"/>
      <c r="L21027" s="12"/>
      <c r="M21027" s="11"/>
      <c r="N21027" s="11"/>
      <c r="O21027" s="11"/>
      <c r="P21027" s="11"/>
    </row>
    <row r="21028" spans="8:16" x14ac:dyDescent="0.25">
      <c r="H21028" s="12"/>
      <c r="I21028" s="12"/>
      <c r="J21028" s="12"/>
      <c r="K21028" s="12"/>
      <c r="L21028" s="12"/>
      <c r="M21028" s="11"/>
      <c r="N21028" s="11"/>
      <c r="O21028" s="11"/>
      <c r="P21028" s="11"/>
    </row>
    <row r="21029" spans="8:16" x14ac:dyDescent="0.25">
      <c r="H21029" s="12"/>
      <c r="I21029" s="12"/>
      <c r="J21029" s="12"/>
      <c r="K21029" s="12"/>
      <c r="L21029" s="12"/>
      <c r="M21029" s="11"/>
      <c r="N21029" s="11"/>
      <c r="O21029" s="11"/>
      <c r="P21029" s="11"/>
    </row>
    <row r="21030" spans="8:16" x14ac:dyDescent="0.25">
      <c r="H21030" s="12"/>
      <c r="I21030" s="12"/>
      <c r="J21030" s="12"/>
      <c r="K21030" s="12"/>
      <c r="L21030" s="12"/>
      <c r="M21030" s="11"/>
      <c r="N21030" s="11"/>
      <c r="O21030" s="11"/>
      <c r="P21030" s="11"/>
    </row>
    <row r="21031" spans="8:16" x14ac:dyDescent="0.25">
      <c r="H21031" s="12"/>
      <c r="I21031" s="12"/>
      <c r="J21031" s="12"/>
      <c r="K21031" s="12"/>
      <c r="L21031" s="12"/>
      <c r="M21031" s="11"/>
      <c r="N21031" s="11"/>
      <c r="O21031" s="11"/>
      <c r="P21031" s="11"/>
    </row>
    <row r="21032" spans="8:16" x14ac:dyDescent="0.25">
      <c r="H21032" s="12"/>
      <c r="I21032" s="12"/>
      <c r="J21032" s="12"/>
      <c r="K21032" s="12"/>
      <c r="L21032" s="12"/>
      <c r="M21032" s="11"/>
      <c r="N21032" s="11"/>
      <c r="O21032" s="11"/>
      <c r="P21032" s="11"/>
    </row>
    <row r="21033" spans="8:16" x14ac:dyDescent="0.25">
      <c r="H21033" s="12"/>
      <c r="I21033" s="12"/>
      <c r="J21033" s="12"/>
      <c r="K21033" s="12"/>
      <c r="L21033" s="12"/>
      <c r="M21033" s="11"/>
      <c r="N21033" s="11"/>
      <c r="O21033" s="11"/>
      <c r="P21033" s="11"/>
    </row>
    <row r="21034" spans="8:16" x14ac:dyDescent="0.25">
      <c r="H21034" s="12"/>
      <c r="I21034" s="12"/>
      <c r="J21034" s="12"/>
      <c r="K21034" s="12"/>
      <c r="L21034" s="12"/>
      <c r="M21034" s="11"/>
      <c r="N21034" s="11"/>
      <c r="O21034" s="11"/>
      <c r="P21034" s="11"/>
    </row>
    <row r="21035" spans="8:16" x14ac:dyDescent="0.25">
      <c r="H21035" s="12"/>
      <c r="I21035" s="12"/>
      <c r="J21035" s="12"/>
      <c r="K21035" s="12"/>
      <c r="L21035" s="12"/>
      <c r="M21035" s="11"/>
      <c r="N21035" s="11"/>
      <c r="O21035" s="11"/>
      <c r="P21035" s="11"/>
    </row>
    <row r="21036" spans="8:16" x14ac:dyDescent="0.25">
      <c r="H21036" s="12"/>
      <c r="I21036" s="12"/>
      <c r="J21036" s="12"/>
      <c r="K21036" s="12"/>
      <c r="L21036" s="12"/>
      <c r="M21036" s="11"/>
      <c r="N21036" s="11"/>
      <c r="O21036" s="11"/>
      <c r="P21036" s="11"/>
    </row>
    <row r="21037" spans="8:16" x14ac:dyDescent="0.25">
      <c r="H21037" s="12"/>
      <c r="I21037" s="12"/>
      <c r="J21037" s="12"/>
      <c r="K21037" s="12"/>
      <c r="L21037" s="12"/>
      <c r="M21037" s="11"/>
      <c r="N21037" s="11"/>
      <c r="O21037" s="11"/>
      <c r="P21037" s="11"/>
    </row>
    <row r="21038" spans="8:16" x14ac:dyDescent="0.25">
      <c r="H21038" s="12"/>
      <c r="I21038" s="12"/>
      <c r="J21038" s="12"/>
      <c r="K21038" s="12"/>
      <c r="L21038" s="12"/>
      <c r="M21038" s="11"/>
      <c r="N21038" s="11"/>
      <c r="O21038" s="11"/>
      <c r="P21038" s="11"/>
    </row>
    <row r="21039" spans="8:16" x14ac:dyDescent="0.25">
      <c r="H21039" s="12"/>
      <c r="I21039" s="12"/>
      <c r="J21039" s="12"/>
      <c r="K21039" s="12"/>
      <c r="L21039" s="12"/>
      <c r="M21039" s="11"/>
      <c r="N21039" s="11"/>
      <c r="O21039" s="11"/>
      <c r="P21039" s="11"/>
    </row>
    <row r="21040" spans="8:16" x14ac:dyDescent="0.25">
      <c r="H21040" s="12"/>
      <c r="I21040" s="12"/>
      <c r="J21040" s="12"/>
      <c r="K21040" s="12"/>
      <c r="L21040" s="12"/>
      <c r="M21040" s="11"/>
      <c r="N21040" s="11"/>
      <c r="O21040" s="11"/>
      <c r="P21040" s="11"/>
    </row>
    <row r="21041" spans="8:16" x14ac:dyDescent="0.25">
      <c r="H21041" s="12"/>
      <c r="I21041" s="12"/>
      <c r="J21041" s="12"/>
      <c r="K21041" s="12"/>
      <c r="L21041" s="12"/>
      <c r="M21041" s="11"/>
      <c r="N21041" s="11"/>
      <c r="O21041" s="11"/>
      <c r="P21041" s="11"/>
    </row>
    <row r="21042" spans="8:16" x14ac:dyDescent="0.25">
      <c r="H21042" s="12"/>
      <c r="I21042" s="12"/>
      <c r="J21042" s="12"/>
      <c r="K21042" s="12"/>
      <c r="L21042" s="12"/>
      <c r="M21042" s="11"/>
      <c r="N21042" s="11"/>
      <c r="O21042" s="11"/>
      <c r="P21042" s="11"/>
    </row>
    <row r="21043" spans="8:16" x14ac:dyDescent="0.25">
      <c r="H21043" s="12"/>
      <c r="I21043" s="12"/>
      <c r="J21043" s="12"/>
      <c r="K21043" s="12"/>
      <c r="L21043" s="12"/>
      <c r="M21043" s="11"/>
      <c r="N21043" s="11"/>
      <c r="O21043" s="11"/>
      <c r="P21043" s="11"/>
    </row>
    <row r="21044" spans="8:16" x14ac:dyDescent="0.25">
      <c r="H21044" s="12"/>
      <c r="I21044" s="12"/>
      <c r="J21044" s="12"/>
      <c r="K21044" s="12"/>
      <c r="L21044" s="12"/>
      <c r="M21044" s="11"/>
      <c r="N21044" s="11"/>
      <c r="O21044" s="11"/>
      <c r="P21044" s="11"/>
    </row>
    <row r="21045" spans="8:16" x14ac:dyDescent="0.25">
      <c r="H21045" s="12"/>
      <c r="I21045" s="12"/>
      <c r="J21045" s="12"/>
      <c r="K21045" s="12"/>
      <c r="L21045" s="12"/>
      <c r="M21045" s="11"/>
      <c r="N21045" s="11"/>
      <c r="O21045" s="11"/>
      <c r="P21045" s="11"/>
    </row>
    <row r="21046" spans="8:16" x14ac:dyDescent="0.25">
      <c r="H21046" s="12"/>
      <c r="I21046" s="12"/>
      <c r="J21046" s="12"/>
      <c r="K21046" s="12"/>
      <c r="L21046" s="12"/>
      <c r="M21046" s="11"/>
      <c r="N21046" s="11"/>
      <c r="O21046" s="11"/>
      <c r="P21046" s="11"/>
    </row>
    <row r="21047" spans="8:16" x14ac:dyDescent="0.25">
      <c r="H21047" s="12"/>
      <c r="I21047" s="12"/>
      <c r="J21047" s="12"/>
      <c r="K21047" s="12"/>
      <c r="L21047" s="12"/>
      <c r="M21047" s="11"/>
      <c r="N21047" s="11"/>
      <c r="O21047" s="11"/>
      <c r="P21047" s="11"/>
    </row>
    <row r="21048" spans="8:16" x14ac:dyDescent="0.25">
      <c r="H21048" s="12"/>
      <c r="I21048" s="12"/>
      <c r="J21048" s="12"/>
      <c r="K21048" s="12"/>
      <c r="L21048" s="12"/>
      <c r="M21048" s="11"/>
      <c r="N21048" s="11"/>
      <c r="O21048" s="11"/>
      <c r="P21048" s="11"/>
    </row>
    <row r="21049" spans="8:16" x14ac:dyDescent="0.25">
      <c r="H21049" s="12"/>
      <c r="I21049" s="12"/>
      <c r="J21049" s="12"/>
      <c r="K21049" s="12"/>
      <c r="L21049" s="12"/>
      <c r="M21049" s="11"/>
      <c r="N21049" s="11"/>
      <c r="O21049" s="11"/>
      <c r="P21049" s="11"/>
    </row>
    <row r="21050" spans="8:16" x14ac:dyDescent="0.25">
      <c r="H21050" s="12"/>
      <c r="I21050" s="12"/>
      <c r="J21050" s="12"/>
      <c r="K21050" s="12"/>
      <c r="L21050" s="12"/>
      <c r="M21050" s="11"/>
      <c r="N21050" s="11"/>
      <c r="O21050" s="11"/>
      <c r="P21050" s="11"/>
    </row>
    <row r="21051" spans="8:16" x14ac:dyDescent="0.25">
      <c r="H21051" s="12"/>
      <c r="I21051" s="12"/>
      <c r="J21051" s="12"/>
      <c r="K21051" s="12"/>
      <c r="L21051" s="12"/>
      <c r="M21051" s="11"/>
      <c r="N21051" s="11"/>
      <c r="O21051" s="11"/>
      <c r="P21051" s="11"/>
    </row>
    <row r="21052" spans="8:16" x14ac:dyDescent="0.25">
      <c r="H21052" s="12"/>
      <c r="I21052" s="12"/>
      <c r="J21052" s="12"/>
      <c r="K21052" s="12"/>
      <c r="L21052" s="12"/>
      <c r="M21052" s="11"/>
      <c r="N21052" s="11"/>
      <c r="O21052" s="11"/>
      <c r="P21052" s="11"/>
    </row>
    <row r="21053" spans="8:16" x14ac:dyDescent="0.25">
      <c r="H21053" s="12"/>
      <c r="I21053" s="12"/>
      <c r="J21053" s="12"/>
      <c r="K21053" s="12"/>
      <c r="L21053" s="12"/>
      <c r="M21053" s="11"/>
      <c r="N21053" s="11"/>
      <c r="O21053" s="11"/>
      <c r="P21053" s="11"/>
    </row>
    <row r="21054" spans="8:16" x14ac:dyDescent="0.25">
      <c r="H21054" s="12"/>
      <c r="I21054" s="12"/>
      <c r="J21054" s="12"/>
      <c r="K21054" s="12"/>
      <c r="L21054" s="12"/>
      <c r="M21054" s="11"/>
      <c r="N21054" s="11"/>
      <c r="O21054" s="11"/>
      <c r="P21054" s="11"/>
    </row>
    <row r="21055" spans="8:16" x14ac:dyDescent="0.25">
      <c r="H21055" s="12"/>
      <c r="I21055" s="12"/>
      <c r="J21055" s="12"/>
      <c r="K21055" s="12"/>
      <c r="L21055" s="12"/>
      <c r="M21055" s="11"/>
      <c r="N21055" s="11"/>
      <c r="O21055" s="11"/>
      <c r="P21055" s="11"/>
    </row>
    <row r="21056" spans="8:16" x14ac:dyDescent="0.25">
      <c r="H21056" s="12"/>
      <c r="I21056" s="12"/>
      <c r="J21056" s="12"/>
      <c r="K21056" s="12"/>
      <c r="L21056" s="12"/>
      <c r="M21056" s="11"/>
      <c r="N21056" s="11"/>
      <c r="O21056" s="11"/>
      <c r="P21056" s="11"/>
    </row>
    <row r="21057" spans="8:16" x14ac:dyDescent="0.25">
      <c r="H21057" s="12"/>
      <c r="I21057" s="12"/>
      <c r="J21057" s="12"/>
      <c r="K21057" s="12"/>
      <c r="L21057" s="12"/>
      <c r="M21057" s="11"/>
      <c r="N21057" s="11"/>
      <c r="O21057" s="11"/>
      <c r="P21057" s="11"/>
    </row>
    <row r="21058" spans="8:16" x14ac:dyDescent="0.25">
      <c r="H21058" s="12"/>
      <c r="I21058" s="12"/>
      <c r="J21058" s="12"/>
      <c r="K21058" s="12"/>
      <c r="L21058" s="12"/>
      <c r="M21058" s="11"/>
      <c r="N21058" s="11"/>
      <c r="O21058" s="11"/>
      <c r="P21058" s="11"/>
    </row>
    <row r="21059" spans="8:16" x14ac:dyDescent="0.25">
      <c r="H21059" s="12"/>
      <c r="I21059" s="12"/>
      <c r="J21059" s="12"/>
      <c r="K21059" s="12"/>
      <c r="L21059" s="12"/>
      <c r="M21059" s="11"/>
      <c r="N21059" s="11"/>
      <c r="O21059" s="11"/>
      <c r="P21059" s="11"/>
    </row>
    <row r="21060" spans="8:16" x14ac:dyDescent="0.25">
      <c r="H21060" s="12"/>
      <c r="I21060" s="12"/>
      <c r="J21060" s="12"/>
      <c r="K21060" s="12"/>
      <c r="L21060" s="12"/>
      <c r="M21060" s="11"/>
      <c r="N21060" s="11"/>
      <c r="O21060" s="11"/>
      <c r="P21060" s="11"/>
    </row>
    <row r="21061" spans="8:16" x14ac:dyDescent="0.25">
      <c r="H21061" s="12"/>
      <c r="I21061" s="12"/>
      <c r="J21061" s="12"/>
      <c r="K21061" s="12"/>
      <c r="L21061" s="12"/>
      <c r="M21061" s="11"/>
      <c r="N21061" s="11"/>
      <c r="O21061" s="11"/>
      <c r="P21061" s="11"/>
    </row>
    <row r="21062" spans="8:16" x14ac:dyDescent="0.25">
      <c r="H21062" s="12"/>
      <c r="I21062" s="12"/>
      <c r="J21062" s="12"/>
      <c r="K21062" s="12"/>
      <c r="L21062" s="12"/>
      <c r="M21062" s="11"/>
      <c r="N21062" s="11"/>
      <c r="O21062" s="11"/>
      <c r="P21062" s="11"/>
    </row>
    <row r="21063" spans="8:16" x14ac:dyDescent="0.25">
      <c r="H21063" s="12"/>
      <c r="I21063" s="12"/>
      <c r="J21063" s="12"/>
      <c r="K21063" s="12"/>
      <c r="L21063" s="12"/>
      <c r="M21063" s="11"/>
      <c r="N21063" s="11"/>
      <c r="O21063" s="11"/>
      <c r="P21063" s="11"/>
    </row>
    <row r="21064" spans="8:16" x14ac:dyDescent="0.25">
      <c r="H21064" s="12"/>
      <c r="I21064" s="12"/>
      <c r="J21064" s="12"/>
      <c r="K21064" s="12"/>
      <c r="L21064" s="12"/>
      <c r="M21064" s="11"/>
      <c r="N21064" s="11"/>
      <c r="O21064" s="11"/>
      <c r="P21064" s="11"/>
    </row>
    <row r="21065" spans="8:16" x14ac:dyDescent="0.25">
      <c r="H21065" s="12"/>
      <c r="I21065" s="12"/>
      <c r="J21065" s="12"/>
      <c r="K21065" s="12"/>
      <c r="L21065" s="12"/>
      <c r="M21065" s="11"/>
      <c r="N21065" s="11"/>
      <c r="O21065" s="11"/>
      <c r="P21065" s="11"/>
    </row>
    <row r="21066" spans="8:16" x14ac:dyDescent="0.25">
      <c r="H21066" s="12"/>
      <c r="I21066" s="12"/>
      <c r="J21066" s="12"/>
      <c r="K21066" s="12"/>
      <c r="L21066" s="12"/>
      <c r="M21066" s="11"/>
      <c r="N21066" s="11"/>
      <c r="O21066" s="11"/>
      <c r="P21066" s="11"/>
    </row>
    <row r="21067" spans="8:16" x14ac:dyDescent="0.25">
      <c r="H21067" s="12"/>
      <c r="I21067" s="12"/>
      <c r="J21067" s="12"/>
      <c r="K21067" s="12"/>
      <c r="L21067" s="12"/>
      <c r="M21067" s="11"/>
      <c r="N21067" s="11"/>
      <c r="O21067" s="11"/>
      <c r="P21067" s="11"/>
    </row>
    <row r="21068" spans="8:16" x14ac:dyDescent="0.25">
      <c r="H21068" s="12"/>
      <c r="I21068" s="12"/>
      <c r="J21068" s="12"/>
      <c r="K21068" s="12"/>
      <c r="L21068" s="12"/>
      <c r="M21068" s="11"/>
      <c r="N21068" s="11"/>
      <c r="O21068" s="11"/>
      <c r="P21068" s="11"/>
    </row>
    <row r="21069" spans="8:16" x14ac:dyDescent="0.25">
      <c r="H21069" s="12"/>
      <c r="I21069" s="12"/>
      <c r="J21069" s="12"/>
      <c r="K21069" s="12"/>
      <c r="L21069" s="12"/>
      <c r="M21069" s="11"/>
      <c r="N21069" s="11"/>
      <c r="O21069" s="11"/>
      <c r="P21069" s="11"/>
    </row>
    <row r="21070" spans="8:16" x14ac:dyDescent="0.25">
      <c r="H21070" s="12"/>
      <c r="I21070" s="12"/>
      <c r="J21070" s="12"/>
      <c r="K21070" s="12"/>
      <c r="L21070" s="12"/>
      <c r="M21070" s="11"/>
      <c r="N21070" s="11"/>
      <c r="O21070" s="11"/>
      <c r="P21070" s="11"/>
    </row>
    <row r="21071" spans="8:16" x14ac:dyDescent="0.25">
      <c r="H21071" s="12"/>
      <c r="I21071" s="12"/>
      <c r="J21071" s="12"/>
      <c r="K21071" s="12"/>
      <c r="L21071" s="12"/>
      <c r="M21071" s="11"/>
      <c r="N21071" s="11"/>
      <c r="O21071" s="11"/>
      <c r="P21071" s="11"/>
    </row>
    <row r="21072" spans="8:16" x14ac:dyDescent="0.25">
      <c r="H21072" s="12"/>
      <c r="I21072" s="12"/>
      <c r="J21072" s="12"/>
      <c r="K21072" s="12"/>
      <c r="L21072" s="12"/>
      <c r="M21072" s="11"/>
      <c r="N21072" s="11"/>
      <c r="O21072" s="11"/>
      <c r="P21072" s="11"/>
    </row>
    <row r="21073" spans="8:16" x14ac:dyDescent="0.25">
      <c r="H21073" s="12"/>
      <c r="I21073" s="12"/>
      <c r="J21073" s="12"/>
      <c r="K21073" s="12"/>
      <c r="L21073" s="12"/>
      <c r="M21073" s="11"/>
      <c r="N21073" s="11"/>
      <c r="O21073" s="11"/>
      <c r="P21073" s="11"/>
    </row>
    <row r="21074" spans="8:16" x14ac:dyDescent="0.25">
      <c r="H21074" s="12"/>
      <c r="I21074" s="12"/>
      <c r="J21074" s="12"/>
      <c r="K21074" s="12"/>
      <c r="L21074" s="12"/>
      <c r="M21074" s="11"/>
      <c r="N21074" s="11"/>
      <c r="O21074" s="11"/>
      <c r="P21074" s="11"/>
    </row>
    <row r="21075" spans="8:16" x14ac:dyDescent="0.25">
      <c r="H21075" s="12"/>
      <c r="I21075" s="12"/>
      <c r="J21075" s="12"/>
      <c r="K21075" s="12"/>
      <c r="L21075" s="12"/>
      <c r="M21075" s="11"/>
      <c r="N21075" s="11"/>
      <c r="O21075" s="11"/>
      <c r="P21075" s="11"/>
    </row>
    <row r="21076" spans="8:16" x14ac:dyDescent="0.25">
      <c r="H21076" s="12"/>
      <c r="I21076" s="12"/>
      <c r="J21076" s="12"/>
      <c r="K21076" s="12"/>
      <c r="L21076" s="12"/>
      <c r="M21076" s="11"/>
      <c r="N21076" s="11"/>
      <c r="O21076" s="11"/>
      <c r="P21076" s="11"/>
    </row>
    <row r="21077" spans="8:16" x14ac:dyDescent="0.25">
      <c r="H21077" s="12"/>
      <c r="I21077" s="12"/>
      <c r="J21077" s="12"/>
      <c r="K21077" s="12"/>
      <c r="L21077" s="12"/>
      <c r="M21077" s="11"/>
      <c r="N21077" s="11"/>
      <c r="O21077" s="11"/>
      <c r="P21077" s="11"/>
    </row>
    <row r="21078" spans="8:16" x14ac:dyDescent="0.25">
      <c r="H21078" s="12"/>
      <c r="I21078" s="12"/>
      <c r="J21078" s="12"/>
      <c r="K21078" s="12"/>
      <c r="L21078" s="12"/>
      <c r="M21078" s="11"/>
      <c r="N21078" s="11"/>
      <c r="O21078" s="11"/>
      <c r="P21078" s="11"/>
    </row>
    <row r="21079" spans="8:16" x14ac:dyDescent="0.25">
      <c r="H21079" s="12"/>
      <c r="I21079" s="12"/>
      <c r="J21079" s="12"/>
      <c r="K21079" s="12"/>
      <c r="L21079" s="12"/>
      <c r="M21079" s="11"/>
      <c r="N21079" s="11"/>
      <c r="O21079" s="11"/>
      <c r="P21079" s="11"/>
    </row>
    <row r="21080" spans="8:16" x14ac:dyDescent="0.25">
      <c r="H21080" s="12"/>
      <c r="I21080" s="12"/>
      <c r="J21080" s="12"/>
      <c r="K21080" s="12"/>
      <c r="L21080" s="12"/>
      <c r="M21080" s="11"/>
      <c r="N21080" s="11"/>
      <c r="O21080" s="11"/>
      <c r="P21080" s="11"/>
    </row>
    <row r="21081" spans="8:16" x14ac:dyDescent="0.25">
      <c r="H21081" s="12"/>
      <c r="I21081" s="12"/>
      <c r="J21081" s="12"/>
      <c r="K21081" s="12"/>
      <c r="L21081" s="12"/>
      <c r="M21081" s="11"/>
      <c r="N21081" s="11"/>
      <c r="O21081" s="11"/>
      <c r="P21081" s="11"/>
    </row>
    <row r="21082" spans="8:16" x14ac:dyDescent="0.25">
      <c r="H21082" s="12"/>
      <c r="I21082" s="12"/>
      <c r="J21082" s="12"/>
      <c r="K21082" s="12"/>
      <c r="L21082" s="12"/>
      <c r="M21082" s="11"/>
      <c r="N21082" s="11"/>
      <c r="O21082" s="11"/>
      <c r="P21082" s="11"/>
    </row>
    <row r="21083" spans="8:16" x14ac:dyDescent="0.25">
      <c r="H21083" s="12"/>
      <c r="I21083" s="12"/>
      <c r="J21083" s="12"/>
      <c r="K21083" s="12"/>
      <c r="L21083" s="12"/>
      <c r="M21083" s="11"/>
      <c r="N21083" s="11"/>
      <c r="O21083" s="11"/>
      <c r="P21083" s="11"/>
    </row>
    <row r="21084" spans="8:16" x14ac:dyDescent="0.25">
      <c r="H21084" s="12"/>
      <c r="I21084" s="12"/>
      <c r="J21084" s="12"/>
      <c r="K21084" s="12"/>
      <c r="L21084" s="12"/>
      <c r="M21084" s="11"/>
      <c r="N21084" s="11"/>
      <c r="O21084" s="11"/>
      <c r="P21084" s="11"/>
    </row>
    <row r="21085" spans="8:16" x14ac:dyDescent="0.25">
      <c r="H21085" s="12"/>
      <c r="I21085" s="12"/>
      <c r="J21085" s="12"/>
      <c r="K21085" s="12"/>
      <c r="L21085" s="12"/>
      <c r="M21085" s="11"/>
      <c r="N21085" s="11"/>
      <c r="O21085" s="11"/>
      <c r="P21085" s="11"/>
    </row>
    <row r="21086" spans="8:16" x14ac:dyDescent="0.25">
      <c r="H21086" s="12"/>
      <c r="I21086" s="12"/>
      <c r="J21086" s="12"/>
      <c r="K21086" s="12"/>
      <c r="L21086" s="12"/>
      <c r="M21086" s="11"/>
      <c r="N21086" s="11"/>
      <c r="O21086" s="11"/>
      <c r="P21086" s="11"/>
    </row>
    <row r="21087" spans="8:16" x14ac:dyDescent="0.25">
      <c r="H21087" s="12"/>
      <c r="I21087" s="12"/>
      <c r="J21087" s="12"/>
      <c r="K21087" s="12"/>
      <c r="L21087" s="12"/>
      <c r="M21087" s="11"/>
      <c r="N21087" s="11"/>
      <c r="O21087" s="11"/>
      <c r="P21087" s="11"/>
    </row>
    <row r="21088" spans="8:16" x14ac:dyDescent="0.25">
      <c r="H21088" s="12"/>
      <c r="I21088" s="12"/>
      <c r="J21088" s="12"/>
      <c r="K21088" s="12"/>
      <c r="L21088" s="12"/>
      <c r="M21088" s="11"/>
      <c r="N21088" s="11"/>
      <c r="O21088" s="11"/>
      <c r="P21088" s="11"/>
    </row>
    <row r="21089" spans="8:16" x14ac:dyDescent="0.25">
      <c r="H21089" s="12"/>
      <c r="I21089" s="12"/>
      <c r="J21089" s="12"/>
      <c r="K21089" s="12"/>
      <c r="L21089" s="12"/>
      <c r="M21089" s="11"/>
      <c r="N21089" s="11"/>
      <c r="O21089" s="11"/>
      <c r="P21089" s="11"/>
    </row>
    <row r="21090" spans="8:16" x14ac:dyDescent="0.25">
      <c r="H21090" s="12"/>
      <c r="I21090" s="12"/>
      <c r="J21090" s="12"/>
      <c r="K21090" s="12"/>
      <c r="L21090" s="12"/>
      <c r="M21090" s="11"/>
      <c r="N21090" s="11"/>
      <c r="O21090" s="11"/>
      <c r="P21090" s="11"/>
    </row>
    <row r="21091" spans="8:16" x14ac:dyDescent="0.25">
      <c r="H21091" s="12"/>
      <c r="I21091" s="12"/>
      <c r="J21091" s="12"/>
      <c r="K21091" s="12"/>
      <c r="L21091" s="12"/>
      <c r="M21091" s="11"/>
      <c r="N21091" s="11"/>
      <c r="O21091" s="11"/>
      <c r="P21091" s="11"/>
    </row>
    <row r="21092" spans="8:16" x14ac:dyDescent="0.25">
      <c r="H21092" s="12"/>
      <c r="I21092" s="12"/>
      <c r="J21092" s="12"/>
      <c r="K21092" s="12"/>
      <c r="L21092" s="12"/>
      <c r="M21092" s="11"/>
      <c r="N21092" s="11"/>
      <c r="O21092" s="11"/>
      <c r="P21092" s="11"/>
    </row>
    <row r="21093" spans="8:16" x14ac:dyDescent="0.25">
      <c r="H21093" s="12"/>
      <c r="I21093" s="12"/>
      <c r="J21093" s="12"/>
      <c r="K21093" s="12"/>
      <c r="L21093" s="12"/>
      <c r="M21093" s="11"/>
      <c r="N21093" s="11"/>
      <c r="O21093" s="11"/>
      <c r="P21093" s="11"/>
    </row>
    <row r="21094" spans="8:16" x14ac:dyDescent="0.25">
      <c r="H21094" s="12"/>
      <c r="I21094" s="12"/>
      <c r="J21094" s="12"/>
      <c r="K21094" s="12"/>
      <c r="L21094" s="12"/>
      <c r="M21094" s="11"/>
      <c r="N21094" s="11"/>
      <c r="O21094" s="11"/>
      <c r="P21094" s="11"/>
    </row>
    <row r="21095" spans="8:16" x14ac:dyDescent="0.25">
      <c r="H21095" s="12"/>
      <c r="I21095" s="12"/>
      <c r="J21095" s="12"/>
      <c r="K21095" s="12"/>
      <c r="L21095" s="12"/>
      <c r="M21095" s="11"/>
      <c r="N21095" s="11"/>
      <c r="O21095" s="11"/>
      <c r="P21095" s="11"/>
    </row>
    <row r="21096" spans="8:16" x14ac:dyDescent="0.25">
      <c r="H21096" s="12"/>
      <c r="I21096" s="12"/>
      <c r="J21096" s="12"/>
      <c r="K21096" s="12"/>
      <c r="L21096" s="12"/>
      <c r="M21096" s="11"/>
      <c r="N21096" s="11"/>
      <c r="O21096" s="11"/>
      <c r="P21096" s="11"/>
    </row>
    <row r="21097" spans="8:16" x14ac:dyDescent="0.25">
      <c r="H21097" s="12"/>
      <c r="I21097" s="12"/>
      <c r="J21097" s="12"/>
      <c r="K21097" s="12"/>
      <c r="L21097" s="12"/>
      <c r="M21097" s="11"/>
      <c r="N21097" s="11"/>
      <c r="O21097" s="11"/>
      <c r="P21097" s="11"/>
    </row>
    <row r="21098" spans="8:16" x14ac:dyDescent="0.25">
      <c r="H21098" s="12"/>
      <c r="I21098" s="12"/>
      <c r="J21098" s="12"/>
      <c r="K21098" s="12"/>
      <c r="L21098" s="12"/>
      <c r="M21098" s="11"/>
      <c r="N21098" s="11"/>
      <c r="O21098" s="11"/>
      <c r="P21098" s="11"/>
    </row>
    <row r="21099" spans="8:16" x14ac:dyDescent="0.25">
      <c r="H21099" s="12"/>
      <c r="I21099" s="12"/>
      <c r="J21099" s="12"/>
      <c r="K21099" s="12"/>
      <c r="L21099" s="12"/>
      <c r="M21099" s="11"/>
      <c r="N21099" s="11"/>
      <c r="O21099" s="11"/>
      <c r="P21099" s="11"/>
    </row>
    <row r="21100" spans="8:16" x14ac:dyDescent="0.25">
      <c r="H21100" s="12"/>
      <c r="I21100" s="12"/>
      <c r="J21100" s="12"/>
      <c r="K21100" s="12"/>
      <c r="L21100" s="12"/>
      <c r="M21100" s="11"/>
      <c r="N21100" s="11"/>
      <c r="O21100" s="11"/>
      <c r="P21100" s="11"/>
    </row>
    <row r="21101" spans="8:16" x14ac:dyDescent="0.25">
      <c r="H21101" s="12"/>
      <c r="I21101" s="12"/>
      <c r="J21101" s="12"/>
      <c r="K21101" s="12"/>
      <c r="L21101" s="12"/>
      <c r="M21101" s="11"/>
      <c r="N21101" s="11"/>
      <c r="O21101" s="11"/>
      <c r="P21101" s="11"/>
    </row>
    <row r="21102" spans="8:16" x14ac:dyDescent="0.25">
      <c r="H21102" s="12"/>
      <c r="I21102" s="12"/>
      <c r="J21102" s="12"/>
      <c r="K21102" s="12"/>
      <c r="L21102" s="12"/>
      <c r="M21102" s="11"/>
      <c r="N21102" s="11"/>
      <c r="O21102" s="11"/>
      <c r="P21102" s="11"/>
    </row>
    <row r="21103" spans="8:16" x14ac:dyDescent="0.25">
      <c r="H21103" s="12"/>
      <c r="I21103" s="12"/>
      <c r="J21103" s="12"/>
      <c r="K21103" s="12"/>
      <c r="L21103" s="12"/>
      <c r="M21103" s="11"/>
      <c r="N21103" s="11"/>
      <c r="O21103" s="11"/>
      <c r="P21103" s="11"/>
    </row>
    <row r="21104" spans="8:16" x14ac:dyDescent="0.25">
      <c r="H21104" s="12"/>
      <c r="I21104" s="12"/>
      <c r="J21104" s="12"/>
      <c r="K21104" s="12"/>
      <c r="L21104" s="12"/>
      <c r="M21104" s="11"/>
      <c r="N21104" s="11"/>
      <c r="O21104" s="11"/>
      <c r="P21104" s="11"/>
    </row>
    <row r="21105" spans="8:16" x14ac:dyDescent="0.25">
      <c r="H21105" s="12"/>
      <c r="I21105" s="12"/>
      <c r="J21105" s="12"/>
      <c r="K21105" s="12"/>
      <c r="L21105" s="12"/>
      <c r="M21105" s="11"/>
      <c r="N21105" s="11"/>
      <c r="O21105" s="11"/>
      <c r="P21105" s="11"/>
    </row>
    <row r="21106" spans="8:16" x14ac:dyDescent="0.25">
      <c r="H21106" s="12"/>
      <c r="I21106" s="12"/>
      <c r="J21106" s="12"/>
      <c r="K21106" s="12"/>
      <c r="L21106" s="12"/>
      <c r="M21106" s="11"/>
      <c r="N21106" s="11"/>
      <c r="O21106" s="11"/>
      <c r="P21106" s="11"/>
    </row>
    <row r="21107" spans="8:16" x14ac:dyDescent="0.25">
      <c r="H21107" s="12"/>
      <c r="I21107" s="12"/>
      <c r="J21107" s="12"/>
      <c r="K21107" s="12"/>
      <c r="L21107" s="12"/>
      <c r="M21107" s="11"/>
      <c r="N21107" s="11"/>
      <c r="O21107" s="11"/>
      <c r="P21107" s="11"/>
    </row>
    <row r="21108" spans="8:16" x14ac:dyDescent="0.25">
      <c r="H21108" s="12"/>
      <c r="I21108" s="12"/>
      <c r="J21108" s="12"/>
      <c r="K21108" s="12"/>
      <c r="L21108" s="12"/>
      <c r="M21108" s="11"/>
      <c r="N21108" s="11"/>
      <c r="O21108" s="11"/>
      <c r="P21108" s="11"/>
    </row>
    <row r="21109" spans="8:16" x14ac:dyDescent="0.25">
      <c r="H21109" s="12"/>
      <c r="I21109" s="12"/>
      <c r="J21109" s="12"/>
      <c r="K21109" s="12"/>
      <c r="L21109" s="12"/>
      <c r="M21109" s="11"/>
      <c r="N21109" s="11"/>
      <c r="O21109" s="11"/>
      <c r="P21109" s="11"/>
    </row>
    <row r="21110" spans="8:16" x14ac:dyDescent="0.25">
      <c r="H21110" s="12"/>
      <c r="I21110" s="12"/>
      <c r="J21110" s="12"/>
      <c r="K21110" s="12"/>
      <c r="L21110" s="12"/>
      <c r="M21110" s="11"/>
      <c r="N21110" s="11"/>
      <c r="O21110" s="11"/>
      <c r="P21110" s="11"/>
    </row>
    <row r="21111" spans="8:16" x14ac:dyDescent="0.25">
      <c r="H21111" s="12"/>
      <c r="I21111" s="12"/>
      <c r="J21111" s="12"/>
      <c r="K21111" s="12"/>
      <c r="L21111" s="12"/>
      <c r="M21111" s="11"/>
      <c r="N21111" s="11"/>
      <c r="O21111" s="11"/>
      <c r="P21111" s="11"/>
    </row>
    <row r="21112" spans="8:16" x14ac:dyDescent="0.25">
      <c r="H21112" s="12"/>
      <c r="I21112" s="12"/>
      <c r="J21112" s="12"/>
      <c r="K21112" s="12"/>
      <c r="L21112" s="12"/>
      <c r="M21112" s="11"/>
      <c r="N21112" s="11"/>
      <c r="O21112" s="11"/>
      <c r="P21112" s="11"/>
    </row>
    <row r="21113" spans="8:16" x14ac:dyDescent="0.25">
      <c r="H21113" s="12"/>
      <c r="I21113" s="12"/>
      <c r="J21113" s="12"/>
      <c r="K21113" s="12"/>
      <c r="L21113" s="12"/>
      <c r="M21113" s="11"/>
      <c r="N21113" s="11"/>
      <c r="O21113" s="11"/>
      <c r="P21113" s="11"/>
    </row>
    <row r="21114" spans="8:16" x14ac:dyDescent="0.25">
      <c r="H21114" s="12"/>
      <c r="I21114" s="12"/>
      <c r="J21114" s="12"/>
      <c r="K21114" s="12"/>
      <c r="L21114" s="12"/>
      <c r="M21114" s="11"/>
      <c r="N21114" s="11"/>
      <c r="O21114" s="11"/>
      <c r="P21114" s="11"/>
    </row>
    <row r="21115" spans="8:16" x14ac:dyDescent="0.25">
      <c r="H21115" s="12"/>
      <c r="I21115" s="12"/>
      <c r="J21115" s="12"/>
      <c r="K21115" s="12"/>
      <c r="L21115" s="12"/>
      <c r="M21115" s="11"/>
      <c r="N21115" s="11"/>
      <c r="O21115" s="11"/>
      <c r="P21115" s="11"/>
    </row>
    <row r="21116" spans="8:16" x14ac:dyDescent="0.25">
      <c r="H21116" s="12"/>
      <c r="I21116" s="12"/>
      <c r="J21116" s="12"/>
      <c r="K21116" s="12"/>
      <c r="L21116" s="12"/>
      <c r="M21116" s="11"/>
      <c r="N21116" s="11"/>
      <c r="O21116" s="11"/>
      <c r="P21116" s="11"/>
    </row>
    <row r="21117" spans="8:16" x14ac:dyDescent="0.25">
      <c r="H21117" s="12"/>
      <c r="I21117" s="12"/>
      <c r="J21117" s="12"/>
      <c r="K21117" s="12"/>
      <c r="L21117" s="12"/>
      <c r="M21117" s="11"/>
      <c r="N21117" s="11"/>
      <c r="O21117" s="11"/>
      <c r="P21117" s="11"/>
    </row>
    <row r="21118" spans="8:16" x14ac:dyDescent="0.25">
      <c r="H21118" s="12"/>
      <c r="I21118" s="12"/>
      <c r="J21118" s="12"/>
      <c r="K21118" s="12"/>
      <c r="L21118" s="12"/>
      <c r="M21118" s="11"/>
      <c r="N21118" s="11"/>
      <c r="O21118" s="11"/>
      <c r="P21118" s="11"/>
    </row>
    <row r="21119" spans="8:16" x14ac:dyDescent="0.25">
      <c r="H21119" s="12"/>
      <c r="I21119" s="12"/>
      <c r="J21119" s="12"/>
      <c r="K21119" s="12"/>
      <c r="L21119" s="12"/>
      <c r="M21119" s="11"/>
      <c r="N21119" s="11"/>
      <c r="O21119" s="11"/>
      <c r="P21119" s="11"/>
    </row>
    <row r="21120" spans="8:16" x14ac:dyDescent="0.25">
      <c r="H21120" s="12"/>
      <c r="I21120" s="12"/>
      <c r="J21120" s="12"/>
      <c r="K21120" s="12"/>
      <c r="L21120" s="12"/>
      <c r="M21120" s="11"/>
      <c r="N21120" s="11"/>
      <c r="O21120" s="11"/>
      <c r="P21120" s="11"/>
    </row>
    <row r="21121" spans="8:16" x14ac:dyDescent="0.25">
      <c r="H21121" s="12"/>
      <c r="I21121" s="12"/>
      <c r="J21121" s="12"/>
      <c r="K21121" s="12"/>
      <c r="L21121" s="12"/>
      <c r="M21121" s="11"/>
      <c r="N21121" s="11"/>
      <c r="O21121" s="11"/>
      <c r="P21121" s="11"/>
    </row>
    <row r="21122" spans="8:16" x14ac:dyDescent="0.25">
      <c r="H21122" s="12"/>
      <c r="I21122" s="12"/>
      <c r="J21122" s="12"/>
      <c r="K21122" s="12"/>
      <c r="L21122" s="12"/>
      <c r="M21122" s="11"/>
      <c r="N21122" s="11"/>
      <c r="O21122" s="11"/>
      <c r="P21122" s="11"/>
    </row>
    <row r="21123" spans="8:16" x14ac:dyDescent="0.25">
      <c r="H21123" s="12"/>
      <c r="I21123" s="12"/>
      <c r="J21123" s="12"/>
      <c r="K21123" s="12"/>
      <c r="L21123" s="12"/>
      <c r="M21123" s="11"/>
      <c r="N21123" s="11"/>
      <c r="O21123" s="11"/>
      <c r="P21123" s="11"/>
    </row>
    <row r="21124" spans="8:16" x14ac:dyDescent="0.25">
      <c r="H21124" s="12"/>
      <c r="I21124" s="12"/>
      <c r="J21124" s="12"/>
      <c r="K21124" s="12"/>
      <c r="L21124" s="12"/>
      <c r="M21124" s="11"/>
      <c r="N21124" s="11"/>
      <c r="O21124" s="11"/>
      <c r="P21124" s="11"/>
    </row>
    <row r="21125" spans="8:16" x14ac:dyDescent="0.25">
      <c r="H21125" s="12"/>
      <c r="I21125" s="12"/>
      <c r="J21125" s="12"/>
      <c r="K21125" s="12"/>
      <c r="L21125" s="12"/>
      <c r="M21125" s="11"/>
      <c r="N21125" s="11"/>
      <c r="O21125" s="11"/>
      <c r="P21125" s="11"/>
    </row>
    <row r="21126" spans="8:16" x14ac:dyDescent="0.25">
      <c r="H21126" s="12"/>
      <c r="I21126" s="12"/>
      <c r="J21126" s="12"/>
      <c r="K21126" s="12"/>
      <c r="L21126" s="12"/>
      <c r="M21126" s="11"/>
      <c r="N21126" s="11"/>
      <c r="O21126" s="11"/>
      <c r="P21126" s="11"/>
    </row>
    <row r="21127" spans="8:16" x14ac:dyDescent="0.25">
      <c r="H21127" s="12"/>
      <c r="I21127" s="12"/>
      <c r="J21127" s="12"/>
      <c r="K21127" s="12"/>
      <c r="L21127" s="12"/>
      <c r="M21127" s="11"/>
      <c r="N21127" s="11"/>
      <c r="O21127" s="11"/>
      <c r="P21127" s="11"/>
    </row>
    <row r="21128" spans="8:16" x14ac:dyDescent="0.25">
      <c r="H21128" s="12"/>
      <c r="I21128" s="12"/>
      <c r="J21128" s="12"/>
      <c r="K21128" s="12"/>
      <c r="L21128" s="12"/>
      <c r="M21128" s="11"/>
      <c r="N21128" s="11"/>
      <c r="O21128" s="11"/>
      <c r="P21128" s="11"/>
    </row>
    <row r="21129" spans="8:16" x14ac:dyDescent="0.25">
      <c r="H21129" s="12"/>
      <c r="I21129" s="12"/>
      <c r="J21129" s="12"/>
      <c r="K21129" s="12"/>
      <c r="L21129" s="12"/>
      <c r="M21129" s="11"/>
      <c r="N21129" s="11"/>
      <c r="O21129" s="11"/>
      <c r="P21129" s="11"/>
    </row>
    <row r="21130" spans="8:16" x14ac:dyDescent="0.25">
      <c r="H21130" s="12"/>
      <c r="I21130" s="12"/>
      <c r="J21130" s="12"/>
      <c r="K21130" s="12"/>
      <c r="L21130" s="12"/>
      <c r="M21130" s="11"/>
      <c r="N21130" s="11"/>
      <c r="O21130" s="11"/>
      <c r="P21130" s="11"/>
    </row>
    <row r="21131" spans="8:16" x14ac:dyDescent="0.25">
      <c r="H21131" s="12"/>
      <c r="I21131" s="12"/>
      <c r="J21131" s="12"/>
      <c r="K21131" s="12"/>
      <c r="L21131" s="12"/>
      <c r="M21131" s="11"/>
      <c r="N21131" s="11"/>
      <c r="O21131" s="11"/>
      <c r="P21131" s="11"/>
    </row>
    <row r="21132" spans="8:16" x14ac:dyDescent="0.25">
      <c r="H21132" s="12"/>
      <c r="I21132" s="12"/>
      <c r="J21132" s="12"/>
      <c r="K21132" s="12"/>
      <c r="L21132" s="12"/>
      <c r="M21132" s="11"/>
      <c r="N21132" s="11"/>
      <c r="O21132" s="11"/>
      <c r="P21132" s="11"/>
    </row>
    <row r="21133" spans="8:16" x14ac:dyDescent="0.25">
      <c r="H21133" s="12"/>
      <c r="I21133" s="12"/>
      <c r="J21133" s="12"/>
      <c r="K21133" s="12"/>
      <c r="L21133" s="12"/>
      <c r="M21133" s="11"/>
      <c r="N21133" s="11"/>
      <c r="O21133" s="11"/>
      <c r="P21133" s="11"/>
    </row>
    <row r="21134" spans="8:16" x14ac:dyDescent="0.25">
      <c r="H21134" s="12"/>
      <c r="I21134" s="12"/>
      <c r="J21134" s="12"/>
      <c r="K21134" s="12"/>
      <c r="L21134" s="12"/>
      <c r="M21134" s="11"/>
      <c r="N21134" s="11"/>
      <c r="O21134" s="11"/>
      <c r="P21134" s="11"/>
    </row>
    <row r="21135" spans="8:16" x14ac:dyDescent="0.25">
      <c r="H21135" s="12"/>
      <c r="I21135" s="12"/>
      <c r="J21135" s="12"/>
      <c r="K21135" s="12"/>
      <c r="L21135" s="12"/>
      <c r="M21135" s="11"/>
      <c r="N21135" s="11"/>
      <c r="O21135" s="11"/>
      <c r="P21135" s="11"/>
    </row>
    <row r="21136" spans="8:16" x14ac:dyDescent="0.25">
      <c r="H21136" s="12"/>
      <c r="I21136" s="12"/>
      <c r="J21136" s="12"/>
      <c r="K21136" s="12"/>
      <c r="L21136" s="12"/>
      <c r="M21136" s="11"/>
      <c r="N21136" s="11"/>
      <c r="O21136" s="11"/>
      <c r="P21136" s="11"/>
    </row>
    <row r="21137" spans="8:16" x14ac:dyDescent="0.25">
      <c r="H21137" s="12"/>
      <c r="I21137" s="12"/>
      <c r="J21137" s="12"/>
      <c r="K21137" s="12"/>
      <c r="L21137" s="12"/>
      <c r="M21137" s="11"/>
      <c r="N21137" s="11"/>
      <c r="O21137" s="11"/>
      <c r="P21137" s="11"/>
    </row>
    <row r="21138" spans="8:16" x14ac:dyDescent="0.25">
      <c r="H21138" s="12"/>
      <c r="I21138" s="12"/>
      <c r="J21138" s="12"/>
      <c r="K21138" s="12"/>
      <c r="L21138" s="12"/>
      <c r="M21138" s="11"/>
      <c r="N21138" s="11"/>
      <c r="O21138" s="11"/>
      <c r="P21138" s="11"/>
    </row>
    <row r="21139" spans="8:16" x14ac:dyDescent="0.25">
      <c r="H21139" s="12"/>
      <c r="I21139" s="12"/>
      <c r="J21139" s="12"/>
      <c r="K21139" s="12"/>
      <c r="L21139" s="12"/>
      <c r="M21139" s="11"/>
      <c r="N21139" s="11"/>
      <c r="O21139" s="11"/>
      <c r="P21139" s="11"/>
    </row>
    <row r="21140" spans="8:16" x14ac:dyDescent="0.25">
      <c r="H21140" s="12"/>
      <c r="I21140" s="12"/>
      <c r="J21140" s="12"/>
      <c r="K21140" s="12"/>
      <c r="L21140" s="12"/>
      <c r="M21140" s="11"/>
      <c r="N21140" s="11"/>
      <c r="O21140" s="11"/>
      <c r="P21140" s="11"/>
    </row>
    <row r="21141" spans="8:16" x14ac:dyDescent="0.25">
      <c r="H21141" s="12"/>
      <c r="I21141" s="12"/>
      <c r="J21141" s="12"/>
      <c r="K21141" s="12"/>
      <c r="L21141" s="12"/>
      <c r="M21141" s="11"/>
      <c r="N21141" s="11"/>
      <c r="O21141" s="11"/>
      <c r="P21141" s="11"/>
    </row>
    <row r="21142" spans="8:16" x14ac:dyDescent="0.25">
      <c r="H21142" s="12"/>
      <c r="I21142" s="12"/>
      <c r="J21142" s="12"/>
      <c r="K21142" s="12"/>
      <c r="L21142" s="12"/>
      <c r="M21142" s="11"/>
      <c r="N21142" s="11"/>
      <c r="O21142" s="11"/>
      <c r="P21142" s="11"/>
    </row>
    <row r="21143" spans="8:16" x14ac:dyDescent="0.25">
      <c r="H21143" s="12"/>
      <c r="I21143" s="12"/>
      <c r="J21143" s="12"/>
      <c r="K21143" s="12"/>
      <c r="L21143" s="12"/>
      <c r="M21143" s="11"/>
      <c r="N21143" s="11"/>
      <c r="O21143" s="11"/>
      <c r="P21143" s="11"/>
    </row>
    <row r="21144" spans="8:16" x14ac:dyDescent="0.25">
      <c r="H21144" s="12"/>
      <c r="I21144" s="12"/>
      <c r="J21144" s="12"/>
      <c r="K21144" s="12"/>
      <c r="L21144" s="12"/>
      <c r="M21144" s="11"/>
      <c r="N21144" s="11"/>
      <c r="O21144" s="11"/>
      <c r="P21144" s="11"/>
    </row>
    <row r="21145" spans="8:16" x14ac:dyDescent="0.25">
      <c r="H21145" s="12"/>
      <c r="I21145" s="12"/>
      <c r="J21145" s="12"/>
      <c r="K21145" s="12"/>
      <c r="L21145" s="12"/>
      <c r="M21145" s="11"/>
      <c r="N21145" s="11"/>
      <c r="O21145" s="11"/>
      <c r="P21145" s="11"/>
    </row>
    <row r="21146" spans="8:16" x14ac:dyDescent="0.25">
      <c r="H21146" s="12"/>
      <c r="I21146" s="12"/>
      <c r="J21146" s="12"/>
      <c r="K21146" s="12"/>
      <c r="L21146" s="12"/>
      <c r="M21146" s="11"/>
      <c r="N21146" s="11"/>
      <c r="O21146" s="11"/>
      <c r="P21146" s="11"/>
    </row>
    <row r="21147" spans="8:16" x14ac:dyDescent="0.25">
      <c r="H21147" s="12"/>
      <c r="I21147" s="12"/>
      <c r="J21147" s="12"/>
      <c r="K21147" s="12"/>
      <c r="L21147" s="12"/>
      <c r="M21147" s="11"/>
      <c r="N21147" s="11"/>
      <c r="O21147" s="11"/>
      <c r="P21147" s="11"/>
    </row>
    <row r="21148" spans="8:16" x14ac:dyDescent="0.25">
      <c r="H21148" s="12"/>
      <c r="I21148" s="12"/>
      <c r="J21148" s="12"/>
      <c r="K21148" s="12"/>
      <c r="L21148" s="12"/>
      <c r="M21148" s="11"/>
      <c r="N21148" s="11"/>
      <c r="O21148" s="11"/>
      <c r="P21148" s="11"/>
    </row>
    <row r="21149" spans="8:16" x14ac:dyDescent="0.25">
      <c r="H21149" s="12"/>
      <c r="I21149" s="12"/>
      <c r="J21149" s="12"/>
      <c r="K21149" s="12"/>
      <c r="L21149" s="12"/>
      <c r="M21149" s="11"/>
      <c r="N21149" s="11"/>
      <c r="O21149" s="11"/>
      <c r="P21149" s="11"/>
    </row>
    <row r="21150" spans="8:16" x14ac:dyDescent="0.25">
      <c r="H21150" s="12"/>
      <c r="I21150" s="12"/>
      <c r="J21150" s="12"/>
      <c r="K21150" s="12"/>
      <c r="L21150" s="12"/>
      <c r="M21150" s="11"/>
      <c r="N21150" s="11"/>
      <c r="O21150" s="11"/>
      <c r="P21150" s="11"/>
    </row>
    <row r="21151" spans="8:16" x14ac:dyDescent="0.25">
      <c r="H21151" s="12"/>
      <c r="I21151" s="12"/>
      <c r="J21151" s="12"/>
      <c r="K21151" s="12"/>
      <c r="L21151" s="12"/>
      <c r="M21151" s="11"/>
      <c r="N21151" s="11"/>
      <c r="O21151" s="11"/>
      <c r="P21151" s="11"/>
    </row>
    <row r="21152" spans="8:16" x14ac:dyDescent="0.25">
      <c r="H21152" s="12"/>
      <c r="I21152" s="12"/>
      <c r="J21152" s="12"/>
      <c r="K21152" s="12"/>
      <c r="L21152" s="12"/>
      <c r="M21152" s="11"/>
      <c r="N21152" s="11"/>
      <c r="O21152" s="11"/>
      <c r="P21152" s="11"/>
    </row>
    <row r="21153" spans="8:16" x14ac:dyDescent="0.25">
      <c r="H21153" s="12"/>
      <c r="I21153" s="12"/>
      <c r="J21153" s="12"/>
      <c r="K21153" s="12"/>
      <c r="L21153" s="12"/>
      <c r="M21153" s="11"/>
      <c r="N21153" s="11"/>
      <c r="O21153" s="11"/>
      <c r="P21153" s="11"/>
    </row>
    <row r="21154" spans="8:16" x14ac:dyDescent="0.25">
      <c r="H21154" s="12"/>
      <c r="I21154" s="12"/>
      <c r="J21154" s="12"/>
      <c r="K21154" s="12"/>
      <c r="L21154" s="12"/>
      <c r="M21154" s="11"/>
      <c r="N21154" s="11"/>
      <c r="O21154" s="11"/>
      <c r="P21154" s="11"/>
    </row>
    <row r="21155" spans="8:16" x14ac:dyDescent="0.25">
      <c r="H21155" s="12"/>
      <c r="I21155" s="12"/>
      <c r="J21155" s="12"/>
      <c r="K21155" s="12"/>
      <c r="L21155" s="12"/>
      <c r="M21155" s="11"/>
      <c r="N21155" s="11"/>
      <c r="O21155" s="11"/>
      <c r="P21155" s="11"/>
    </row>
    <row r="21156" spans="8:16" x14ac:dyDescent="0.25">
      <c r="H21156" s="12"/>
      <c r="I21156" s="12"/>
      <c r="J21156" s="12"/>
      <c r="K21156" s="12"/>
      <c r="L21156" s="12"/>
      <c r="M21156" s="11"/>
      <c r="N21156" s="11"/>
      <c r="O21156" s="11"/>
      <c r="P21156" s="11"/>
    </row>
    <row r="21157" spans="8:16" x14ac:dyDescent="0.25">
      <c r="H21157" s="12"/>
      <c r="I21157" s="12"/>
      <c r="J21157" s="12"/>
      <c r="K21157" s="12"/>
      <c r="L21157" s="12"/>
      <c r="M21157" s="11"/>
      <c r="N21157" s="11"/>
      <c r="O21157" s="11"/>
      <c r="P21157" s="11"/>
    </row>
    <row r="21158" spans="8:16" x14ac:dyDescent="0.25">
      <c r="H21158" s="12"/>
      <c r="I21158" s="12"/>
      <c r="J21158" s="12"/>
      <c r="K21158" s="12"/>
      <c r="L21158" s="12"/>
      <c r="M21158" s="11"/>
      <c r="N21158" s="11"/>
      <c r="O21158" s="11"/>
      <c r="P21158" s="11"/>
    </row>
    <row r="21159" spans="8:16" x14ac:dyDescent="0.25">
      <c r="H21159" s="12"/>
      <c r="I21159" s="12"/>
      <c r="J21159" s="12"/>
      <c r="K21159" s="12"/>
      <c r="L21159" s="12"/>
      <c r="M21159" s="11"/>
      <c r="N21159" s="11"/>
      <c r="O21159" s="11"/>
      <c r="P21159" s="11"/>
    </row>
    <row r="21160" spans="8:16" x14ac:dyDescent="0.25">
      <c r="H21160" s="12"/>
      <c r="I21160" s="12"/>
      <c r="J21160" s="12"/>
      <c r="K21160" s="12"/>
      <c r="L21160" s="12"/>
      <c r="M21160" s="11"/>
      <c r="N21160" s="11"/>
      <c r="O21160" s="11"/>
      <c r="P21160" s="11"/>
    </row>
    <row r="21161" spans="8:16" x14ac:dyDescent="0.25">
      <c r="H21161" s="12"/>
      <c r="I21161" s="12"/>
      <c r="J21161" s="12"/>
      <c r="K21161" s="12"/>
      <c r="L21161" s="12"/>
      <c r="M21161" s="11"/>
      <c r="N21161" s="11"/>
      <c r="O21161" s="11"/>
      <c r="P21161" s="11"/>
    </row>
    <row r="21162" spans="8:16" x14ac:dyDescent="0.25">
      <c r="H21162" s="12"/>
      <c r="I21162" s="12"/>
      <c r="J21162" s="12"/>
      <c r="K21162" s="12"/>
      <c r="L21162" s="12"/>
      <c r="M21162" s="11"/>
      <c r="N21162" s="11"/>
      <c r="O21162" s="11"/>
      <c r="P21162" s="11"/>
    </row>
    <row r="21163" spans="8:16" x14ac:dyDescent="0.25">
      <c r="H21163" s="12"/>
      <c r="I21163" s="12"/>
      <c r="J21163" s="12"/>
      <c r="K21163" s="12"/>
      <c r="L21163" s="12"/>
      <c r="M21163" s="11"/>
      <c r="N21163" s="11"/>
      <c r="O21163" s="11"/>
      <c r="P21163" s="11"/>
    </row>
    <row r="21164" spans="8:16" x14ac:dyDescent="0.25">
      <c r="H21164" s="12"/>
      <c r="I21164" s="12"/>
      <c r="J21164" s="12"/>
      <c r="K21164" s="12"/>
      <c r="L21164" s="12"/>
      <c r="M21164" s="11"/>
      <c r="N21164" s="11"/>
      <c r="O21164" s="11"/>
      <c r="P21164" s="11"/>
    </row>
    <row r="21165" spans="8:16" x14ac:dyDescent="0.25">
      <c r="H21165" s="12"/>
      <c r="I21165" s="12"/>
      <c r="J21165" s="12"/>
      <c r="K21165" s="12"/>
      <c r="L21165" s="12"/>
      <c r="M21165" s="11"/>
      <c r="N21165" s="11"/>
      <c r="O21165" s="11"/>
      <c r="P21165" s="11"/>
    </row>
    <row r="21166" spans="8:16" x14ac:dyDescent="0.25">
      <c r="H21166" s="12"/>
      <c r="I21166" s="12"/>
      <c r="J21166" s="12"/>
      <c r="K21166" s="12"/>
      <c r="L21166" s="12"/>
      <c r="M21166" s="11"/>
      <c r="N21166" s="11"/>
      <c r="O21166" s="11"/>
      <c r="P21166" s="11"/>
    </row>
    <row r="21167" spans="8:16" x14ac:dyDescent="0.25">
      <c r="H21167" s="12"/>
      <c r="I21167" s="12"/>
      <c r="J21167" s="12"/>
      <c r="K21167" s="12"/>
      <c r="L21167" s="12"/>
      <c r="M21167" s="11"/>
      <c r="N21167" s="11"/>
      <c r="O21167" s="11"/>
      <c r="P21167" s="11"/>
    </row>
    <row r="21168" spans="8:16" x14ac:dyDescent="0.25">
      <c r="H21168" s="12"/>
      <c r="I21168" s="12"/>
      <c r="J21168" s="12"/>
      <c r="K21168" s="12"/>
      <c r="L21168" s="12"/>
      <c r="M21168" s="11"/>
      <c r="N21168" s="11"/>
      <c r="O21168" s="11"/>
      <c r="P21168" s="11"/>
    </row>
    <row r="21169" spans="8:16" x14ac:dyDescent="0.25">
      <c r="H21169" s="12"/>
      <c r="I21169" s="12"/>
      <c r="J21169" s="12"/>
      <c r="K21169" s="12"/>
      <c r="L21169" s="12"/>
      <c r="M21169" s="11"/>
      <c r="N21169" s="11"/>
      <c r="O21169" s="11"/>
      <c r="P21169" s="11"/>
    </row>
    <row r="21170" spans="8:16" x14ac:dyDescent="0.25">
      <c r="H21170" s="12"/>
      <c r="I21170" s="12"/>
      <c r="J21170" s="12"/>
      <c r="K21170" s="12"/>
      <c r="L21170" s="12"/>
      <c r="M21170" s="11"/>
      <c r="N21170" s="11"/>
      <c r="O21170" s="11"/>
      <c r="P21170" s="11"/>
    </row>
    <row r="21171" spans="8:16" x14ac:dyDescent="0.25">
      <c r="H21171" s="12"/>
      <c r="I21171" s="12"/>
      <c r="J21171" s="12"/>
      <c r="K21171" s="12"/>
      <c r="L21171" s="12"/>
      <c r="M21171" s="11"/>
      <c r="N21171" s="11"/>
      <c r="O21171" s="11"/>
      <c r="P21171" s="11"/>
    </row>
    <row r="21172" spans="8:16" x14ac:dyDescent="0.25">
      <c r="H21172" s="12"/>
      <c r="I21172" s="12"/>
      <c r="J21172" s="12"/>
      <c r="K21172" s="12"/>
      <c r="L21172" s="12"/>
      <c r="M21172" s="11"/>
      <c r="N21172" s="11"/>
      <c r="O21172" s="11"/>
      <c r="P21172" s="11"/>
    </row>
    <row r="21173" spans="8:16" x14ac:dyDescent="0.25">
      <c r="H21173" s="12"/>
      <c r="I21173" s="12"/>
      <c r="J21173" s="12"/>
      <c r="K21173" s="12"/>
      <c r="L21173" s="12"/>
      <c r="M21173" s="11"/>
      <c r="N21173" s="11"/>
      <c r="O21173" s="11"/>
      <c r="P21173" s="11"/>
    </row>
    <row r="21174" spans="8:16" x14ac:dyDescent="0.25">
      <c r="H21174" s="12"/>
      <c r="I21174" s="12"/>
      <c r="J21174" s="12"/>
      <c r="K21174" s="12"/>
      <c r="L21174" s="12"/>
      <c r="M21174" s="11"/>
      <c r="N21174" s="11"/>
      <c r="O21174" s="11"/>
      <c r="P21174" s="11"/>
    </row>
    <row r="21175" spans="8:16" x14ac:dyDescent="0.25">
      <c r="H21175" s="12"/>
      <c r="I21175" s="12"/>
      <c r="J21175" s="12"/>
      <c r="K21175" s="12"/>
      <c r="L21175" s="12"/>
      <c r="M21175" s="11"/>
      <c r="N21175" s="11"/>
      <c r="O21175" s="11"/>
      <c r="P21175" s="11"/>
    </row>
    <row r="21176" spans="8:16" x14ac:dyDescent="0.25">
      <c r="H21176" s="12"/>
      <c r="I21176" s="12"/>
      <c r="J21176" s="12"/>
      <c r="K21176" s="12"/>
      <c r="L21176" s="12"/>
      <c r="M21176" s="11"/>
      <c r="N21176" s="11"/>
      <c r="O21176" s="11"/>
      <c r="P21176" s="11"/>
    </row>
    <row r="21177" spans="8:16" x14ac:dyDescent="0.25">
      <c r="H21177" s="12"/>
      <c r="I21177" s="12"/>
      <c r="J21177" s="12"/>
      <c r="K21177" s="12"/>
      <c r="L21177" s="12"/>
      <c r="M21177" s="11"/>
      <c r="N21177" s="11"/>
      <c r="O21177" s="11"/>
      <c r="P21177" s="11"/>
    </row>
    <row r="21178" spans="8:16" x14ac:dyDescent="0.25">
      <c r="H21178" s="12"/>
      <c r="I21178" s="12"/>
      <c r="J21178" s="12"/>
      <c r="K21178" s="12"/>
      <c r="L21178" s="12"/>
      <c r="M21178" s="11"/>
      <c r="N21178" s="11"/>
      <c r="O21178" s="11"/>
      <c r="P21178" s="11"/>
    </row>
    <row r="21179" spans="8:16" x14ac:dyDescent="0.25">
      <c r="H21179" s="12"/>
      <c r="I21179" s="12"/>
      <c r="J21179" s="12"/>
      <c r="K21179" s="12"/>
      <c r="L21179" s="12"/>
      <c r="M21179" s="11"/>
      <c r="N21179" s="11"/>
      <c r="O21179" s="11"/>
      <c r="P21179" s="11"/>
    </row>
    <row r="21180" spans="8:16" x14ac:dyDescent="0.25">
      <c r="H21180" s="12"/>
      <c r="I21180" s="12"/>
      <c r="J21180" s="12"/>
      <c r="K21180" s="12"/>
      <c r="L21180" s="12"/>
      <c r="M21180" s="11"/>
      <c r="N21180" s="11"/>
      <c r="O21180" s="11"/>
      <c r="P21180" s="11"/>
    </row>
    <row r="21181" spans="8:16" x14ac:dyDescent="0.25">
      <c r="H21181" s="12"/>
      <c r="I21181" s="12"/>
      <c r="J21181" s="12"/>
      <c r="K21181" s="12"/>
      <c r="L21181" s="12"/>
      <c r="M21181" s="11"/>
      <c r="N21181" s="11"/>
      <c r="O21181" s="11"/>
      <c r="P21181" s="11"/>
    </row>
    <row r="21182" spans="8:16" x14ac:dyDescent="0.25">
      <c r="H21182" s="12"/>
      <c r="I21182" s="12"/>
      <c r="J21182" s="12"/>
      <c r="K21182" s="12"/>
      <c r="L21182" s="12"/>
      <c r="M21182" s="11"/>
      <c r="N21182" s="11"/>
      <c r="O21182" s="11"/>
      <c r="P21182" s="11"/>
    </row>
    <row r="21183" spans="8:16" x14ac:dyDescent="0.25">
      <c r="H21183" s="12"/>
      <c r="I21183" s="12"/>
      <c r="J21183" s="12"/>
      <c r="K21183" s="12"/>
      <c r="L21183" s="12"/>
      <c r="M21183" s="11"/>
      <c r="N21183" s="11"/>
      <c r="O21183" s="11"/>
      <c r="P21183" s="11"/>
    </row>
    <row r="21184" spans="8:16" x14ac:dyDescent="0.25">
      <c r="H21184" s="12"/>
      <c r="I21184" s="12"/>
      <c r="J21184" s="12"/>
      <c r="K21184" s="12"/>
      <c r="L21184" s="12"/>
      <c r="M21184" s="11"/>
      <c r="N21184" s="11"/>
      <c r="O21184" s="11"/>
      <c r="P21184" s="11"/>
    </row>
    <row r="21185" spans="8:16" x14ac:dyDescent="0.25">
      <c r="H21185" s="12"/>
      <c r="I21185" s="12"/>
      <c r="J21185" s="12"/>
      <c r="K21185" s="12"/>
      <c r="L21185" s="12"/>
      <c r="M21185" s="11"/>
      <c r="N21185" s="11"/>
      <c r="O21185" s="11"/>
      <c r="P21185" s="11"/>
    </row>
    <row r="21186" spans="8:16" x14ac:dyDescent="0.25">
      <c r="H21186" s="12"/>
      <c r="I21186" s="12"/>
      <c r="J21186" s="12"/>
      <c r="K21186" s="12"/>
      <c r="L21186" s="12"/>
      <c r="M21186" s="11"/>
      <c r="N21186" s="11"/>
      <c r="O21186" s="11"/>
      <c r="P21186" s="11"/>
    </row>
    <row r="21187" spans="8:16" x14ac:dyDescent="0.25">
      <c r="H21187" s="12"/>
      <c r="I21187" s="12"/>
      <c r="J21187" s="12"/>
      <c r="K21187" s="12"/>
      <c r="L21187" s="12"/>
      <c r="M21187" s="11"/>
      <c r="N21187" s="11"/>
      <c r="O21187" s="11"/>
      <c r="P21187" s="11"/>
    </row>
    <row r="21188" spans="8:16" x14ac:dyDescent="0.25">
      <c r="H21188" s="12"/>
      <c r="I21188" s="12"/>
      <c r="J21188" s="12"/>
      <c r="K21188" s="12"/>
      <c r="L21188" s="12"/>
      <c r="M21188" s="11"/>
      <c r="N21188" s="11"/>
      <c r="O21188" s="11"/>
      <c r="P21188" s="11"/>
    </row>
    <row r="21189" spans="8:16" x14ac:dyDescent="0.25">
      <c r="H21189" s="12"/>
      <c r="I21189" s="12"/>
      <c r="J21189" s="12"/>
      <c r="K21189" s="12"/>
      <c r="L21189" s="12"/>
      <c r="M21189" s="11"/>
      <c r="N21189" s="11"/>
      <c r="O21189" s="11"/>
      <c r="P21189" s="11"/>
    </row>
    <row r="21190" spans="8:16" x14ac:dyDescent="0.25">
      <c r="H21190" s="12"/>
      <c r="I21190" s="12"/>
      <c r="J21190" s="12"/>
      <c r="K21190" s="12"/>
      <c r="L21190" s="12"/>
      <c r="M21190" s="11"/>
      <c r="N21190" s="11"/>
      <c r="O21190" s="11"/>
      <c r="P21190" s="11"/>
    </row>
    <row r="21191" spans="8:16" x14ac:dyDescent="0.25">
      <c r="H21191" s="12"/>
      <c r="I21191" s="12"/>
      <c r="J21191" s="12"/>
      <c r="K21191" s="12"/>
      <c r="L21191" s="12"/>
      <c r="M21191" s="11"/>
      <c r="N21191" s="11"/>
      <c r="O21191" s="11"/>
      <c r="P21191" s="11"/>
    </row>
    <row r="21192" spans="8:16" x14ac:dyDescent="0.25">
      <c r="H21192" s="12"/>
      <c r="I21192" s="12"/>
      <c r="J21192" s="12"/>
      <c r="K21192" s="12"/>
      <c r="L21192" s="12"/>
      <c r="M21192" s="11"/>
      <c r="N21192" s="11"/>
      <c r="O21192" s="11"/>
      <c r="P21192" s="11"/>
    </row>
    <row r="21193" spans="8:16" x14ac:dyDescent="0.25">
      <c r="H21193" s="12"/>
      <c r="I21193" s="12"/>
      <c r="J21193" s="12"/>
      <c r="K21193" s="12"/>
      <c r="L21193" s="12"/>
      <c r="M21193" s="11"/>
      <c r="N21193" s="11"/>
      <c r="O21193" s="11"/>
      <c r="P21193" s="11"/>
    </row>
    <row r="21194" spans="8:16" x14ac:dyDescent="0.25">
      <c r="H21194" s="12"/>
      <c r="I21194" s="12"/>
      <c r="J21194" s="12"/>
      <c r="K21194" s="12"/>
      <c r="L21194" s="12"/>
      <c r="M21194" s="11"/>
      <c r="N21194" s="11"/>
      <c r="O21194" s="11"/>
      <c r="P21194" s="11"/>
    </row>
    <row r="21195" spans="8:16" x14ac:dyDescent="0.25">
      <c r="H21195" s="12"/>
      <c r="I21195" s="12"/>
      <c r="J21195" s="12"/>
      <c r="K21195" s="12"/>
      <c r="L21195" s="12"/>
      <c r="M21195" s="11"/>
      <c r="N21195" s="11"/>
      <c r="O21195" s="11"/>
      <c r="P21195" s="11"/>
    </row>
    <row r="21196" spans="8:16" x14ac:dyDescent="0.25">
      <c r="H21196" s="12"/>
      <c r="I21196" s="12"/>
      <c r="J21196" s="12"/>
      <c r="K21196" s="12"/>
      <c r="L21196" s="12"/>
      <c r="M21196" s="11"/>
      <c r="N21196" s="11"/>
      <c r="O21196" s="11"/>
      <c r="P21196" s="11"/>
    </row>
    <row r="21197" spans="8:16" x14ac:dyDescent="0.25">
      <c r="H21197" s="12"/>
      <c r="I21197" s="12"/>
      <c r="J21197" s="12"/>
      <c r="K21197" s="12"/>
      <c r="L21197" s="12"/>
      <c r="M21197" s="11"/>
      <c r="N21197" s="11"/>
      <c r="O21197" s="11"/>
      <c r="P21197" s="11"/>
    </row>
    <row r="21198" spans="8:16" x14ac:dyDescent="0.25">
      <c r="H21198" s="12"/>
      <c r="I21198" s="12"/>
      <c r="J21198" s="12"/>
      <c r="K21198" s="12"/>
      <c r="L21198" s="12"/>
      <c r="M21198" s="11"/>
      <c r="N21198" s="11"/>
      <c r="O21198" s="11"/>
      <c r="P21198" s="11"/>
    </row>
    <row r="21199" spans="8:16" x14ac:dyDescent="0.25">
      <c r="H21199" s="12"/>
      <c r="I21199" s="12"/>
      <c r="J21199" s="12"/>
      <c r="K21199" s="12"/>
      <c r="L21199" s="12"/>
      <c r="M21199" s="11"/>
      <c r="N21199" s="11"/>
      <c r="O21199" s="11"/>
      <c r="P21199" s="11"/>
    </row>
    <row r="21200" spans="8:16" x14ac:dyDescent="0.25">
      <c r="H21200" s="12"/>
      <c r="I21200" s="12"/>
      <c r="J21200" s="12"/>
      <c r="K21200" s="12"/>
      <c r="L21200" s="12"/>
      <c r="M21200" s="11"/>
      <c r="N21200" s="11"/>
      <c r="O21200" s="11"/>
      <c r="P21200" s="11"/>
    </row>
    <row r="21201" spans="8:16" x14ac:dyDescent="0.25">
      <c r="H21201" s="12"/>
      <c r="I21201" s="12"/>
      <c r="J21201" s="12"/>
      <c r="K21201" s="12"/>
      <c r="L21201" s="12"/>
      <c r="M21201" s="11"/>
      <c r="N21201" s="11"/>
      <c r="O21201" s="11"/>
      <c r="P21201" s="11"/>
    </row>
    <row r="21202" spans="8:16" x14ac:dyDescent="0.25">
      <c r="H21202" s="12"/>
      <c r="I21202" s="12"/>
      <c r="J21202" s="12"/>
      <c r="K21202" s="12"/>
      <c r="L21202" s="12"/>
      <c r="M21202" s="11"/>
      <c r="N21202" s="11"/>
      <c r="O21202" s="11"/>
      <c r="P21202" s="11"/>
    </row>
    <row r="21203" spans="8:16" x14ac:dyDescent="0.25">
      <c r="H21203" s="12"/>
      <c r="I21203" s="12"/>
      <c r="J21203" s="12"/>
      <c r="K21203" s="12"/>
      <c r="L21203" s="12"/>
      <c r="M21203" s="11"/>
      <c r="N21203" s="11"/>
      <c r="O21203" s="11"/>
      <c r="P21203" s="11"/>
    </row>
    <row r="21204" spans="8:16" x14ac:dyDescent="0.25">
      <c r="H21204" s="12"/>
      <c r="I21204" s="12"/>
      <c r="J21204" s="12"/>
      <c r="K21204" s="12"/>
      <c r="L21204" s="12"/>
      <c r="M21204" s="11"/>
      <c r="N21204" s="11"/>
      <c r="O21204" s="11"/>
      <c r="P21204" s="11"/>
    </row>
    <row r="21205" spans="8:16" x14ac:dyDescent="0.25">
      <c r="H21205" s="12"/>
      <c r="I21205" s="12"/>
      <c r="J21205" s="12"/>
      <c r="K21205" s="12"/>
      <c r="L21205" s="12"/>
      <c r="M21205" s="11"/>
      <c r="N21205" s="11"/>
      <c r="O21205" s="11"/>
      <c r="P21205" s="11"/>
    </row>
    <row r="21206" spans="8:16" x14ac:dyDescent="0.25">
      <c r="H21206" s="12"/>
      <c r="I21206" s="12"/>
      <c r="J21206" s="12"/>
      <c r="K21206" s="12"/>
      <c r="L21206" s="12"/>
      <c r="M21206" s="11"/>
      <c r="N21206" s="11"/>
      <c r="O21206" s="11"/>
      <c r="P21206" s="11"/>
    </row>
    <row r="21207" spans="8:16" x14ac:dyDescent="0.25">
      <c r="H21207" s="12"/>
      <c r="I21207" s="12"/>
      <c r="J21207" s="12"/>
      <c r="K21207" s="12"/>
      <c r="L21207" s="12"/>
      <c r="M21207" s="11"/>
      <c r="N21207" s="11"/>
      <c r="O21207" s="11"/>
      <c r="P21207" s="11"/>
    </row>
    <row r="21208" spans="8:16" x14ac:dyDescent="0.25">
      <c r="H21208" s="12"/>
      <c r="I21208" s="12"/>
      <c r="J21208" s="12"/>
      <c r="K21208" s="12"/>
      <c r="L21208" s="12"/>
      <c r="M21208" s="11"/>
      <c r="N21208" s="11"/>
      <c r="O21208" s="11"/>
      <c r="P21208" s="11"/>
    </row>
    <row r="21209" spans="8:16" x14ac:dyDescent="0.25">
      <c r="H21209" s="12"/>
      <c r="I21209" s="12"/>
      <c r="J21209" s="12"/>
      <c r="K21209" s="12"/>
      <c r="L21209" s="12"/>
      <c r="M21209" s="11"/>
      <c r="N21209" s="11"/>
      <c r="O21209" s="11"/>
      <c r="P21209" s="11"/>
    </row>
    <row r="21210" spans="8:16" x14ac:dyDescent="0.25">
      <c r="H21210" s="12"/>
      <c r="I21210" s="12"/>
      <c r="J21210" s="12"/>
      <c r="K21210" s="12"/>
      <c r="L21210" s="12"/>
      <c r="M21210" s="11"/>
      <c r="N21210" s="11"/>
      <c r="O21210" s="11"/>
      <c r="P21210" s="11"/>
    </row>
    <row r="21211" spans="8:16" x14ac:dyDescent="0.25">
      <c r="H21211" s="12"/>
      <c r="I21211" s="12"/>
      <c r="J21211" s="12"/>
      <c r="K21211" s="12"/>
      <c r="L21211" s="12"/>
      <c r="M21211" s="11"/>
      <c r="N21211" s="11"/>
      <c r="O21211" s="11"/>
      <c r="P21211" s="11"/>
    </row>
    <row r="21212" spans="8:16" x14ac:dyDescent="0.25">
      <c r="H21212" s="12"/>
      <c r="I21212" s="12"/>
      <c r="J21212" s="12"/>
      <c r="K21212" s="12"/>
      <c r="L21212" s="12"/>
      <c r="M21212" s="11"/>
      <c r="N21212" s="11"/>
      <c r="O21212" s="11"/>
      <c r="P21212" s="11"/>
    </row>
    <row r="21213" spans="8:16" x14ac:dyDescent="0.25">
      <c r="H21213" s="12"/>
      <c r="I21213" s="12"/>
      <c r="J21213" s="12"/>
      <c r="K21213" s="12"/>
      <c r="L21213" s="12"/>
      <c r="M21213" s="11"/>
      <c r="N21213" s="11"/>
      <c r="O21213" s="11"/>
      <c r="P21213" s="11"/>
    </row>
    <row r="21214" spans="8:16" x14ac:dyDescent="0.25">
      <c r="H21214" s="12"/>
      <c r="I21214" s="12"/>
      <c r="J21214" s="12"/>
      <c r="K21214" s="12"/>
      <c r="L21214" s="12"/>
      <c r="M21214" s="11"/>
      <c r="N21214" s="11"/>
      <c r="O21214" s="11"/>
      <c r="P21214" s="11"/>
    </row>
    <row r="21215" spans="8:16" x14ac:dyDescent="0.25">
      <c r="H21215" s="12"/>
      <c r="I21215" s="12"/>
      <c r="J21215" s="12"/>
      <c r="K21215" s="12"/>
      <c r="L21215" s="12"/>
      <c r="M21215" s="11"/>
      <c r="N21215" s="11"/>
      <c r="O21215" s="11"/>
      <c r="P21215" s="11"/>
    </row>
    <row r="21216" spans="8:16" x14ac:dyDescent="0.25">
      <c r="H21216" s="12"/>
      <c r="I21216" s="12"/>
      <c r="J21216" s="12"/>
      <c r="K21216" s="12"/>
      <c r="L21216" s="12"/>
      <c r="M21216" s="11"/>
      <c r="N21216" s="11"/>
      <c r="O21216" s="11"/>
      <c r="P21216" s="11"/>
    </row>
    <row r="21217" spans="8:16" x14ac:dyDescent="0.25">
      <c r="H21217" s="12"/>
      <c r="I21217" s="12"/>
      <c r="J21217" s="12"/>
      <c r="K21217" s="12"/>
      <c r="L21217" s="12"/>
      <c r="M21217" s="11"/>
      <c r="N21217" s="11"/>
      <c r="O21217" s="11"/>
      <c r="P21217" s="11"/>
    </row>
    <row r="21218" spans="8:16" x14ac:dyDescent="0.25">
      <c r="H21218" s="12"/>
      <c r="I21218" s="12"/>
      <c r="J21218" s="12"/>
      <c r="K21218" s="12"/>
      <c r="L21218" s="12"/>
      <c r="M21218" s="11"/>
      <c r="N21218" s="11"/>
      <c r="O21218" s="11"/>
      <c r="P21218" s="11"/>
    </row>
    <row r="21219" spans="8:16" x14ac:dyDescent="0.25">
      <c r="H21219" s="12"/>
      <c r="I21219" s="12"/>
      <c r="J21219" s="12"/>
      <c r="K21219" s="12"/>
      <c r="L21219" s="12"/>
      <c r="M21219" s="11"/>
      <c r="N21219" s="11"/>
      <c r="O21219" s="11"/>
      <c r="P21219" s="11"/>
    </row>
    <row r="21220" spans="8:16" x14ac:dyDescent="0.25">
      <c r="H21220" s="12"/>
      <c r="I21220" s="12"/>
      <c r="J21220" s="12"/>
      <c r="K21220" s="12"/>
      <c r="L21220" s="12"/>
      <c r="M21220" s="11"/>
      <c r="N21220" s="11"/>
      <c r="O21220" s="11"/>
      <c r="P21220" s="11"/>
    </row>
    <row r="21221" spans="8:16" x14ac:dyDescent="0.25">
      <c r="H21221" s="12"/>
      <c r="I21221" s="12"/>
      <c r="J21221" s="12"/>
      <c r="K21221" s="12"/>
      <c r="L21221" s="12"/>
      <c r="M21221" s="11"/>
      <c r="N21221" s="11"/>
      <c r="O21221" s="11"/>
      <c r="P21221" s="11"/>
    </row>
    <row r="21222" spans="8:16" x14ac:dyDescent="0.25">
      <c r="H21222" s="12"/>
      <c r="I21222" s="12"/>
      <c r="J21222" s="12"/>
      <c r="K21222" s="12"/>
      <c r="L21222" s="12"/>
      <c r="M21222" s="11"/>
      <c r="N21222" s="11"/>
      <c r="O21222" s="11"/>
      <c r="P21222" s="11"/>
    </row>
    <row r="21223" spans="8:16" x14ac:dyDescent="0.25">
      <c r="H21223" s="12"/>
      <c r="I21223" s="12"/>
      <c r="J21223" s="12"/>
      <c r="K21223" s="12"/>
      <c r="L21223" s="12"/>
      <c r="M21223" s="11"/>
      <c r="N21223" s="11"/>
      <c r="O21223" s="11"/>
      <c r="P21223" s="11"/>
    </row>
    <row r="21224" spans="8:16" x14ac:dyDescent="0.25">
      <c r="H21224" s="12"/>
      <c r="I21224" s="12"/>
      <c r="J21224" s="12"/>
      <c r="K21224" s="12"/>
      <c r="L21224" s="12"/>
      <c r="M21224" s="11"/>
      <c r="N21224" s="11"/>
      <c r="O21224" s="11"/>
      <c r="P21224" s="11"/>
    </row>
    <row r="21225" spans="8:16" x14ac:dyDescent="0.25">
      <c r="H21225" s="12"/>
      <c r="I21225" s="12"/>
      <c r="J21225" s="12"/>
      <c r="K21225" s="12"/>
      <c r="L21225" s="12"/>
      <c r="M21225" s="11"/>
      <c r="N21225" s="11"/>
      <c r="O21225" s="11"/>
      <c r="P21225" s="11"/>
    </row>
    <row r="21226" spans="8:16" x14ac:dyDescent="0.25">
      <c r="H21226" s="12"/>
      <c r="I21226" s="12"/>
      <c r="J21226" s="12"/>
      <c r="K21226" s="12"/>
      <c r="L21226" s="12"/>
      <c r="M21226" s="11"/>
      <c r="N21226" s="11"/>
      <c r="O21226" s="11"/>
      <c r="P21226" s="11"/>
    </row>
    <row r="21227" spans="8:16" x14ac:dyDescent="0.25">
      <c r="H21227" s="12"/>
      <c r="I21227" s="12"/>
      <c r="J21227" s="12"/>
      <c r="K21227" s="12"/>
      <c r="L21227" s="12"/>
      <c r="M21227" s="11"/>
      <c r="N21227" s="11"/>
      <c r="O21227" s="11"/>
      <c r="P21227" s="11"/>
    </row>
    <row r="21228" spans="8:16" x14ac:dyDescent="0.25">
      <c r="H21228" s="12"/>
      <c r="I21228" s="12"/>
      <c r="J21228" s="12"/>
      <c r="K21228" s="12"/>
      <c r="L21228" s="12"/>
      <c r="M21228" s="11"/>
      <c r="N21228" s="11"/>
      <c r="O21228" s="11"/>
      <c r="P21228" s="11"/>
    </row>
    <row r="21229" spans="8:16" x14ac:dyDescent="0.25">
      <c r="H21229" s="12"/>
      <c r="I21229" s="12"/>
      <c r="J21229" s="12"/>
      <c r="K21229" s="12"/>
      <c r="L21229" s="12"/>
      <c r="M21229" s="11"/>
      <c r="N21229" s="11"/>
      <c r="O21229" s="11"/>
      <c r="P21229" s="11"/>
    </row>
    <row r="21230" spans="8:16" x14ac:dyDescent="0.25">
      <c r="H21230" s="12"/>
      <c r="I21230" s="12"/>
      <c r="J21230" s="12"/>
      <c r="K21230" s="12"/>
      <c r="L21230" s="12"/>
      <c r="M21230" s="11"/>
      <c r="N21230" s="11"/>
      <c r="O21230" s="11"/>
      <c r="P21230" s="11"/>
    </row>
    <row r="21231" spans="8:16" x14ac:dyDescent="0.25">
      <c r="H21231" s="12"/>
      <c r="I21231" s="12"/>
      <c r="J21231" s="12"/>
      <c r="K21231" s="12"/>
      <c r="L21231" s="12"/>
      <c r="M21231" s="11"/>
      <c r="N21231" s="11"/>
      <c r="O21231" s="11"/>
      <c r="P21231" s="11"/>
    </row>
    <row r="21232" spans="8:16" x14ac:dyDescent="0.25">
      <c r="H21232" s="12"/>
      <c r="I21232" s="12"/>
      <c r="J21232" s="12"/>
      <c r="K21232" s="12"/>
      <c r="L21232" s="12"/>
      <c r="M21232" s="11"/>
      <c r="N21232" s="11"/>
      <c r="O21232" s="11"/>
      <c r="P21232" s="11"/>
    </row>
    <row r="21233" spans="8:16" x14ac:dyDescent="0.25">
      <c r="H21233" s="12"/>
      <c r="I21233" s="12"/>
      <c r="J21233" s="12"/>
      <c r="K21233" s="12"/>
      <c r="L21233" s="12"/>
      <c r="M21233" s="11"/>
      <c r="N21233" s="11"/>
      <c r="O21233" s="11"/>
      <c r="P21233" s="11"/>
    </row>
    <row r="21234" spans="8:16" x14ac:dyDescent="0.25">
      <c r="H21234" s="12"/>
      <c r="I21234" s="12"/>
      <c r="J21234" s="12"/>
      <c r="K21234" s="12"/>
      <c r="L21234" s="12"/>
      <c r="M21234" s="11"/>
      <c r="N21234" s="11"/>
      <c r="O21234" s="11"/>
      <c r="P21234" s="11"/>
    </row>
    <row r="21235" spans="8:16" x14ac:dyDescent="0.25">
      <c r="H21235" s="12"/>
      <c r="I21235" s="12"/>
      <c r="J21235" s="12"/>
      <c r="K21235" s="12"/>
      <c r="L21235" s="12"/>
      <c r="M21235" s="11"/>
      <c r="N21235" s="11"/>
      <c r="O21235" s="11"/>
      <c r="P21235" s="11"/>
    </row>
    <row r="21236" spans="8:16" x14ac:dyDescent="0.25">
      <c r="H21236" s="12"/>
      <c r="I21236" s="12"/>
      <c r="J21236" s="12"/>
      <c r="K21236" s="12"/>
      <c r="L21236" s="12"/>
      <c r="M21236" s="11"/>
      <c r="N21236" s="11"/>
      <c r="O21236" s="11"/>
      <c r="P21236" s="11"/>
    </row>
    <row r="21237" spans="8:16" x14ac:dyDescent="0.25">
      <c r="H21237" s="12"/>
      <c r="I21237" s="12"/>
      <c r="J21237" s="12"/>
      <c r="K21237" s="12"/>
      <c r="L21237" s="12"/>
      <c r="M21237" s="11"/>
      <c r="N21237" s="11"/>
      <c r="O21237" s="11"/>
      <c r="P21237" s="11"/>
    </row>
    <row r="21238" spans="8:16" x14ac:dyDescent="0.25">
      <c r="H21238" s="12"/>
      <c r="I21238" s="12"/>
      <c r="J21238" s="12"/>
      <c r="K21238" s="12"/>
      <c r="L21238" s="12"/>
      <c r="M21238" s="11"/>
      <c r="N21238" s="11"/>
      <c r="O21238" s="11"/>
      <c r="P21238" s="11"/>
    </row>
    <row r="21239" spans="8:16" x14ac:dyDescent="0.25">
      <c r="H21239" s="12"/>
      <c r="I21239" s="12"/>
      <c r="J21239" s="12"/>
      <c r="K21239" s="12"/>
      <c r="L21239" s="12"/>
      <c r="M21239" s="11"/>
      <c r="N21239" s="11"/>
      <c r="O21239" s="11"/>
      <c r="P21239" s="11"/>
    </row>
    <row r="21240" spans="8:16" x14ac:dyDescent="0.25">
      <c r="H21240" s="12"/>
      <c r="I21240" s="12"/>
      <c r="J21240" s="12"/>
      <c r="K21240" s="12"/>
      <c r="L21240" s="12"/>
      <c r="M21240" s="11"/>
      <c r="N21240" s="11"/>
      <c r="O21240" s="11"/>
      <c r="P21240" s="11"/>
    </row>
    <row r="21241" spans="8:16" x14ac:dyDescent="0.25">
      <c r="H21241" s="12"/>
      <c r="I21241" s="12"/>
      <c r="J21241" s="12"/>
      <c r="K21241" s="12"/>
      <c r="L21241" s="12"/>
      <c r="M21241" s="11"/>
      <c r="N21241" s="11"/>
      <c r="O21241" s="11"/>
      <c r="P21241" s="11"/>
    </row>
    <row r="21242" spans="8:16" x14ac:dyDescent="0.25">
      <c r="H21242" s="12"/>
      <c r="I21242" s="12"/>
      <c r="J21242" s="12"/>
      <c r="K21242" s="12"/>
      <c r="L21242" s="12"/>
      <c r="M21242" s="11"/>
      <c r="N21242" s="11"/>
      <c r="O21242" s="11"/>
      <c r="P21242" s="11"/>
    </row>
    <row r="21243" spans="8:16" x14ac:dyDescent="0.25">
      <c r="H21243" s="12"/>
      <c r="I21243" s="12"/>
      <c r="J21243" s="12"/>
      <c r="K21243" s="12"/>
      <c r="L21243" s="12"/>
      <c r="M21243" s="11"/>
      <c r="N21243" s="11"/>
      <c r="O21243" s="11"/>
      <c r="P21243" s="11"/>
    </row>
    <row r="21244" spans="8:16" x14ac:dyDescent="0.25">
      <c r="H21244" s="12"/>
      <c r="I21244" s="12"/>
      <c r="J21244" s="12"/>
      <c r="K21244" s="12"/>
      <c r="L21244" s="12"/>
      <c r="M21244" s="11"/>
      <c r="N21244" s="11"/>
      <c r="O21244" s="11"/>
      <c r="P21244" s="11"/>
    </row>
    <row r="21245" spans="8:16" x14ac:dyDescent="0.25">
      <c r="H21245" s="12"/>
      <c r="I21245" s="12"/>
      <c r="J21245" s="12"/>
      <c r="K21245" s="12"/>
      <c r="L21245" s="12"/>
      <c r="M21245" s="11"/>
      <c r="N21245" s="11"/>
      <c r="O21245" s="11"/>
      <c r="P21245" s="11"/>
    </row>
    <row r="21246" spans="8:16" x14ac:dyDescent="0.25">
      <c r="H21246" s="12"/>
      <c r="I21246" s="12"/>
      <c r="J21246" s="12"/>
      <c r="K21246" s="12"/>
      <c r="L21246" s="12"/>
      <c r="M21246" s="11"/>
      <c r="N21246" s="11"/>
      <c r="O21246" s="11"/>
      <c r="P21246" s="11"/>
    </row>
    <row r="21247" spans="8:16" x14ac:dyDescent="0.25">
      <c r="H21247" s="12"/>
      <c r="I21247" s="12"/>
      <c r="J21247" s="12"/>
      <c r="K21247" s="12"/>
      <c r="L21247" s="12"/>
      <c r="M21247" s="11"/>
      <c r="N21247" s="11"/>
      <c r="O21247" s="11"/>
      <c r="P21247" s="11"/>
    </row>
    <row r="21248" spans="8:16" x14ac:dyDescent="0.25">
      <c r="H21248" s="12"/>
      <c r="I21248" s="12"/>
      <c r="J21248" s="12"/>
      <c r="K21248" s="12"/>
      <c r="L21248" s="12"/>
      <c r="M21248" s="11"/>
      <c r="N21248" s="11"/>
      <c r="O21248" s="11"/>
      <c r="P21248" s="11"/>
    </row>
    <row r="21249" spans="8:16" x14ac:dyDescent="0.25">
      <c r="H21249" s="12"/>
      <c r="I21249" s="12"/>
      <c r="J21249" s="12"/>
      <c r="K21249" s="12"/>
      <c r="L21249" s="12"/>
      <c r="M21249" s="11"/>
      <c r="N21249" s="11"/>
      <c r="O21249" s="11"/>
      <c r="P21249" s="11"/>
    </row>
    <row r="21250" spans="8:16" x14ac:dyDescent="0.25">
      <c r="H21250" s="12"/>
      <c r="I21250" s="12"/>
      <c r="J21250" s="12"/>
      <c r="K21250" s="12"/>
      <c r="L21250" s="12"/>
      <c r="M21250" s="11"/>
      <c r="N21250" s="11"/>
      <c r="O21250" s="11"/>
      <c r="P21250" s="11"/>
    </row>
    <row r="21251" spans="8:16" x14ac:dyDescent="0.25">
      <c r="H21251" s="12"/>
      <c r="I21251" s="12"/>
      <c r="J21251" s="12"/>
      <c r="K21251" s="12"/>
      <c r="L21251" s="12"/>
      <c r="M21251" s="11"/>
      <c r="N21251" s="11"/>
      <c r="O21251" s="11"/>
      <c r="P21251" s="11"/>
    </row>
    <row r="21252" spans="8:16" x14ac:dyDescent="0.25">
      <c r="H21252" s="12"/>
      <c r="I21252" s="12"/>
      <c r="J21252" s="12"/>
      <c r="K21252" s="12"/>
      <c r="L21252" s="12"/>
      <c r="M21252" s="11"/>
      <c r="N21252" s="11"/>
      <c r="O21252" s="11"/>
      <c r="P21252" s="11"/>
    </row>
    <row r="21253" spans="8:16" x14ac:dyDescent="0.25">
      <c r="H21253" s="12"/>
      <c r="I21253" s="12"/>
      <c r="J21253" s="12"/>
      <c r="K21253" s="12"/>
      <c r="L21253" s="12"/>
      <c r="M21253" s="11"/>
      <c r="N21253" s="11"/>
      <c r="O21253" s="11"/>
      <c r="P21253" s="11"/>
    </row>
    <row r="21254" spans="8:16" x14ac:dyDescent="0.25">
      <c r="H21254" s="12"/>
      <c r="I21254" s="12"/>
      <c r="J21254" s="12"/>
      <c r="K21254" s="12"/>
      <c r="L21254" s="12"/>
      <c r="M21254" s="11"/>
      <c r="N21254" s="11"/>
      <c r="O21254" s="11"/>
      <c r="P21254" s="11"/>
    </row>
    <row r="21255" spans="8:16" x14ac:dyDescent="0.25">
      <c r="H21255" s="12"/>
      <c r="I21255" s="12"/>
      <c r="J21255" s="12"/>
      <c r="K21255" s="12"/>
      <c r="L21255" s="12"/>
      <c r="M21255" s="11"/>
      <c r="N21255" s="11"/>
      <c r="O21255" s="11"/>
      <c r="P21255" s="11"/>
    </row>
    <row r="21256" spans="8:16" x14ac:dyDescent="0.25">
      <c r="H21256" s="12"/>
      <c r="I21256" s="12"/>
      <c r="J21256" s="12"/>
      <c r="K21256" s="12"/>
      <c r="L21256" s="12"/>
      <c r="M21256" s="11"/>
      <c r="N21256" s="11"/>
      <c r="O21256" s="11"/>
      <c r="P21256" s="11"/>
    </row>
    <row r="21257" spans="8:16" x14ac:dyDescent="0.25">
      <c r="H21257" s="12"/>
      <c r="I21257" s="12"/>
      <c r="J21257" s="12"/>
      <c r="K21257" s="12"/>
      <c r="L21257" s="12"/>
      <c r="M21257" s="11"/>
      <c r="N21257" s="11"/>
      <c r="O21257" s="11"/>
      <c r="P21257" s="11"/>
    </row>
    <row r="21258" spans="8:16" x14ac:dyDescent="0.25">
      <c r="H21258" s="12"/>
      <c r="I21258" s="12"/>
      <c r="J21258" s="12"/>
      <c r="K21258" s="12"/>
      <c r="L21258" s="12"/>
      <c r="M21258" s="11"/>
      <c r="N21258" s="11"/>
      <c r="O21258" s="11"/>
      <c r="P21258" s="11"/>
    </row>
    <row r="21259" spans="8:16" x14ac:dyDescent="0.25">
      <c r="H21259" s="12"/>
      <c r="I21259" s="12"/>
      <c r="J21259" s="12"/>
      <c r="K21259" s="12"/>
      <c r="L21259" s="12"/>
      <c r="M21259" s="11"/>
      <c r="N21259" s="11"/>
      <c r="O21259" s="11"/>
      <c r="P21259" s="11"/>
    </row>
    <row r="21260" spans="8:16" x14ac:dyDescent="0.25">
      <c r="H21260" s="12"/>
      <c r="I21260" s="12"/>
      <c r="J21260" s="12"/>
      <c r="K21260" s="12"/>
      <c r="L21260" s="12"/>
      <c r="M21260" s="11"/>
      <c r="N21260" s="11"/>
      <c r="O21260" s="11"/>
      <c r="P21260" s="11"/>
    </row>
    <row r="21261" spans="8:16" x14ac:dyDescent="0.25">
      <c r="H21261" s="12"/>
      <c r="I21261" s="12"/>
      <c r="J21261" s="12"/>
      <c r="K21261" s="12"/>
      <c r="L21261" s="12"/>
      <c r="M21261" s="11"/>
      <c r="N21261" s="11"/>
      <c r="O21261" s="11"/>
      <c r="P21261" s="11"/>
    </row>
    <row r="21262" spans="8:16" x14ac:dyDescent="0.25">
      <c r="H21262" s="12"/>
      <c r="I21262" s="12"/>
      <c r="J21262" s="12"/>
      <c r="K21262" s="12"/>
      <c r="L21262" s="12"/>
      <c r="M21262" s="11"/>
      <c r="N21262" s="11"/>
      <c r="O21262" s="11"/>
      <c r="P21262" s="11"/>
    </row>
    <row r="21263" spans="8:16" x14ac:dyDescent="0.25">
      <c r="H21263" s="12"/>
      <c r="I21263" s="12"/>
      <c r="J21263" s="12"/>
      <c r="K21263" s="12"/>
      <c r="L21263" s="12"/>
      <c r="M21263" s="11"/>
      <c r="N21263" s="11"/>
      <c r="O21263" s="11"/>
      <c r="P21263" s="11"/>
    </row>
    <row r="21264" spans="8:16" x14ac:dyDescent="0.25">
      <c r="H21264" s="12"/>
      <c r="I21264" s="12"/>
      <c r="J21264" s="12"/>
      <c r="K21264" s="12"/>
      <c r="L21264" s="12"/>
      <c r="M21264" s="11"/>
      <c r="N21264" s="11"/>
      <c r="O21264" s="11"/>
      <c r="P21264" s="11"/>
    </row>
    <row r="21265" spans="8:16" x14ac:dyDescent="0.25">
      <c r="H21265" s="12"/>
      <c r="I21265" s="12"/>
      <c r="J21265" s="12"/>
      <c r="K21265" s="12"/>
      <c r="L21265" s="12"/>
      <c r="M21265" s="11"/>
      <c r="N21265" s="11"/>
      <c r="O21265" s="11"/>
      <c r="P21265" s="11"/>
    </row>
    <row r="21266" spans="8:16" x14ac:dyDescent="0.25">
      <c r="H21266" s="12"/>
      <c r="I21266" s="12"/>
      <c r="J21266" s="12"/>
      <c r="K21266" s="12"/>
      <c r="L21266" s="12"/>
      <c r="M21266" s="11"/>
      <c r="N21266" s="11"/>
      <c r="O21266" s="11"/>
      <c r="P21266" s="11"/>
    </row>
    <row r="21267" spans="8:16" x14ac:dyDescent="0.25">
      <c r="H21267" s="12"/>
      <c r="I21267" s="12"/>
      <c r="J21267" s="12"/>
      <c r="K21267" s="12"/>
      <c r="L21267" s="12"/>
      <c r="M21267" s="11"/>
      <c r="N21267" s="11"/>
      <c r="O21267" s="11"/>
      <c r="P21267" s="11"/>
    </row>
    <row r="21268" spans="8:16" x14ac:dyDescent="0.25">
      <c r="H21268" s="12"/>
      <c r="I21268" s="12"/>
      <c r="J21268" s="12"/>
      <c r="K21268" s="12"/>
      <c r="L21268" s="12"/>
      <c r="M21268" s="11"/>
      <c r="N21268" s="11"/>
      <c r="O21268" s="11"/>
      <c r="P21268" s="11"/>
    </row>
    <row r="21269" spans="8:16" x14ac:dyDescent="0.25">
      <c r="H21269" s="12"/>
      <c r="I21269" s="12"/>
      <c r="J21269" s="12"/>
      <c r="K21269" s="12"/>
      <c r="L21269" s="12"/>
      <c r="M21269" s="11"/>
      <c r="N21269" s="11"/>
      <c r="O21269" s="11"/>
      <c r="P21269" s="11"/>
    </row>
    <row r="21270" spans="8:16" x14ac:dyDescent="0.25">
      <c r="H21270" s="12"/>
      <c r="I21270" s="12"/>
      <c r="J21270" s="12"/>
      <c r="K21270" s="12"/>
      <c r="L21270" s="12"/>
      <c r="M21270" s="11"/>
      <c r="N21270" s="11"/>
      <c r="O21270" s="11"/>
      <c r="P21270" s="11"/>
    </row>
    <row r="21271" spans="8:16" x14ac:dyDescent="0.25">
      <c r="H21271" s="12"/>
      <c r="I21271" s="12"/>
      <c r="J21271" s="12"/>
      <c r="K21271" s="12"/>
      <c r="L21271" s="12"/>
      <c r="M21271" s="11"/>
      <c r="N21271" s="11"/>
      <c r="O21271" s="11"/>
      <c r="P21271" s="11"/>
    </row>
    <row r="21272" spans="8:16" x14ac:dyDescent="0.25">
      <c r="H21272" s="12"/>
      <c r="I21272" s="12"/>
      <c r="J21272" s="12"/>
      <c r="K21272" s="12"/>
      <c r="L21272" s="12"/>
      <c r="M21272" s="11"/>
      <c r="N21272" s="11"/>
      <c r="O21272" s="11"/>
      <c r="P21272" s="11"/>
    </row>
    <row r="21273" spans="8:16" x14ac:dyDescent="0.25">
      <c r="H21273" s="12"/>
      <c r="I21273" s="12"/>
      <c r="J21273" s="12"/>
      <c r="K21273" s="12"/>
      <c r="L21273" s="12"/>
      <c r="M21273" s="11"/>
      <c r="N21273" s="11"/>
      <c r="O21273" s="11"/>
      <c r="P21273" s="11"/>
    </row>
    <row r="21274" spans="8:16" x14ac:dyDescent="0.25">
      <c r="H21274" s="12"/>
      <c r="I21274" s="12"/>
      <c r="J21274" s="12"/>
      <c r="K21274" s="12"/>
      <c r="L21274" s="12"/>
      <c r="M21274" s="11"/>
      <c r="N21274" s="11"/>
      <c r="O21274" s="11"/>
      <c r="P21274" s="11"/>
    </row>
    <row r="21275" spans="8:16" x14ac:dyDescent="0.25">
      <c r="H21275" s="12"/>
      <c r="I21275" s="12"/>
      <c r="J21275" s="12"/>
      <c r="K21275" s="12"/>
      <c r="L21275" s="12"/>
      <c r="M21275" s="11"/>
      <c r="N21275" s="11"/>
      <c r="O21275" s="11"/>
      <c r="P21275" s="11"/>
    </row>
    <row r="21276" spans="8:16" x14ac:dyDescent="0.25">
      <c r="H21276" s="12"/>
      <c r="I21276" s="12"/>
      <c r="J21276" s="12"/>
      <c r="K21276" s="12"/>
      <c r="L21276" s="12"/>
      <c r="M21276" s="11"/>
      <c r="N21276" s="11"/>
      <c r="O21276" s="11"/>
      <c r="P21276" s="11"/>
    </row>
    <row r="21277" spans="8:16" x14ac:dyDescent="0.25">
      <c r="H21277" s="12"/>
      <c r="I21277" s="12"/>
      <c r="J21277" s="12"/>
      <c r="K21277" s="12"/>
      <c r="L21277" s="12"/>
      <c r="M21277" s="11"/>
      <c r="N21277" s="11"/>
      <c r="O21277" s="11"/>
      <c r="P21277" s="11"/>
    </row>
    <row r="21278" spans="8:16" x14ac:dyDescent="0.25">
      <c r="H21278" s="12"/>
      <c r="I21278" s="12"/>
      <c r="J21278" s="12"/>
      <c r="K21278" s="12"/>
      <c r="L21278" s="12"/>
      <c r="M21278" s="11"/>
      <c r="N21278" s="11"/>
      <c r="O21278" s="11"/>
      <c r="P21278" s="11"/>
    </row>
    <row r="21279" spans="8:16" x14ac:dyDescent="0.25">
      <c r="H21279" s="12"/>
      <c r="I21279" s="12"/>
      <c r="J21279" s="12"/>
      <c r="K21279" s="12"/>
      <c r="L21279" s="12"/>
      <c r="M21279" s="11"/>
      <c r="N21279" s="11"/>
      <c r="O21279" s="11"/>
      <c r="P21279" s="11"/>
    </row>
    <row r="21280" spans="8:16" x14ac:dyDescent="0.25">
      <c r="H21280" s="12"/>
      <c r="I21280" s="12"/>
      <c r="J21280" s="12"/>
      <c r="K21280" s="12"/>
      <c r="L21280" s="12"/>
      <c r="M21280" s="11"/>
      <c r="N21280" s="11"/>
      <c r="O21280" s="11"/>
      <c r="P21280" s="11"/>
    </row>
    <row r="21281" spans="8:16" x14ac:dyDescent="0.25">
      <c r="H21281" s="12"/>
      <c r="I21281" s="12"/>
      <c r="J21281" s="12"/>
      <c r="K21281" s="12"/>
      <c r="L21281" s="12"/>
      <c r="M21281" s="11"/>
      <c r="N21281" s="11"/>
      <c r="O21281" s="11"/>
      <c r="P21281" s="11"/>
    </row>
    <row r="21282" spans="8:16" x14ac:dyDescent="0.25">
      <c r="H21282" s="12"/>
      <c r="I21282" s="12"/>
      <c r="J21282" s="12"/>
      <c r="K21282" s="12"/>
      <c r="L21282" s="12"/>
      <c r="M21282" s="11"/>
      <c r="N21282" s="11"/>
      <c r="O21282" s="11"/>
      <c r="P21282" s="11"/>
    </row>
    <row r="21283" spans="8:16" x14ac:dyDescent="0.25">
      <c r="H21283" s="12"/>
      <c r="I21283" s="12"/>
      <c r="J21283" s="12"/>
      <c r="K21283" s="12"/>
      <c r="L21283" s="12"/>
      <c r="M21283" s="11"/>
      <c r="N21283" s="11"/>
      <c r="O21283" s="11"/>
      <c r="P21283" s="11"/>
    </row>
    <row r="21284" spans="8:16" x14ac:dyDescent="0.25">
      <c r="H21284" s="12"/>
      <c r="I21284" s="12"/>
      <c r="J21284" s="12"/>
      <c r="K21284" s="12"/>
      <c r="L21284" s="12"/>
      <c r="M21284" s="11"/>
      <c r="N21284" s="11"/>
      <c r="O21284" s="11"/>
      <c r="P21284" s="11"/>
    </row>
    <row r="21285" spans="8:16" x14ac:dyDescent="0.25">
      <c r="H21285" s="12"/>
      <c r="I21285" s="12"/>
      <c r="J21285" s="12"/>
      <c r="K21285" s="12"/>
      <c r="L21285" s="12"/>
      <c r="M21285" s="11"/>
      <c r="N21285" s="11"/>
      <c r="O21285" s="11"/>
      <c r="P21285" s="11"/>
    </row>
    <row r="21286" spans="8:16" x14ac:dyDescent="0.25">
      <c r="H21286" s="12"/>
      <c r="I21286" s="12"/>
      <c r="J21286" s="12"/>
      <c r="K21286" s="12"/>
      <c r="L21286" s="12"/>
      <c r="M21286" s="11"/>
      <c r="N21286" s="11"/>
      <c r="O21286" s="11"/>
      <c r="P21286" s="11"/>
    </row>
    <row r="21287" spans="8:16" x14ac:dyDescent="0.25">
      <c r="H21287" s="12"/>
      <c r="I21287" s="12"/>
      <c r="J21287" s="12"/>
      <c r="K21287" s="12"/>
      <c r="L21287" s="12"/>
      <c r="M21287" s="11"/>
      <c r="N21287" s="11"/>
      <c r="O21287" s="11"/>
      <c r="P21287" s="11"/>
    </row>
    <row r="21288" spans="8:16" x14ac:dyDescent="0.25">
      <c r="H21288" s="12"/>
      <c r="I21288" s="12"/>
      <c r="J21288" s="12"/>
      <c r="K21288" s="12"/>
      <c r="L21288" s="12"/>
      <c r="M21288" s="11"/>
      <c r="N21288" s="11"/>
      <c r="O21288" s="11"/>
      <c r="P21288" s="11"/>
    </row>
    <row r="21289" spans="8:16" x14ac:dyDescent="0.25">
      <c r="H21289" s="12"/>
      <c r="I21289" s="12"/>
      <c r="J21289" s="12"/>
      <c r="K21289" s="12"/>
      <c r="L21289" s="12"/>
      <c r="M21289" s="11"/>
      <c r="N21289" s="11"/>
      <c r="O21289" s="11"/>
      <c r="P21289" s="11"/>
    </row>
    <row r="21290" spans="8:16" x14ac:dyDescent="0.25">
      <c r="H21290" s="12"/>
      <c r="I21290" s="12"/>
      <c r="J21290" s="12"/>
      <c r="K21290" s="12"/>
      <c r="L21290" s="12"/>
      <c r="M21290" s="11"/>
      <c r="N21290" s="11"/>
      <c r="O21290" s="11"/>
      <c r="P21290" s="11"/>
    </row>
    <row r="21291" spans="8:16" x14ac:dyDescent="0.25">
      <c r="H21291" s="12"/>
      <c r="I21291" s="12"/>
      <c r="J21291" s="12"/>
      <c r="K21291" s="12"/>
      <c r="L21291" s="12"/>
      <c r="M21291" s="11"/>
      <c r="N21291" s="11"/>
      <c r="O21291" s="11"/>
      <c r="P21291" s="11"/>
    </row>
    <row r="21292" spans="8:16" x14ac:dyDescent="0.25">
      <c r="H21292" s="12"/>
      <c r="I21292" s="12"/>
      <c r="J21292" s="12"/>
      <c r="K21292" s="12"/>
      <c r="L21292" s="12"/>
      <c r="M21292" s="11"/>
      <c r="N21292" s="11"/>
      <c r="O21292" s="11"/>
      <c r="P21292" s="11"/>
    </row>
    <row r="21293" spans="8:16" x14ac:dyDescent="0.25">
      <c r="H21293" s="12"/>
      <c r="I21293" s="12"/>
      <c r="J21293" s="12"/>
      <c r="K21293" s="12"/>
      <c r="L21293" s="12"/>
      <c r="M21293" s="11"/>
      <c r="N21293" s="11"/>
      <c r="O21293" s="11"/>
      <c r="P21293" s="11"/>
    </row>
    <row r="21294" spans="8:16" x14ac:dyDescent="0.25">
      <c r="H21294" s="12"/>
      <c r="I21294" s="12"/>
      <c r="J21294" s="12"/>
      <c r="K21294" s="12"/>
      <c r="L21294" s="12"/>
      <c r="M21294" s="11"/>
      <c r="N21294" s="11"/>
      <c r="O21294" s="11"/>
      <c r="P21294" s="11"/>
    </row>
    <row r="21295" spans="8:16" x14ac:dyDescent="0.25">
      <c r="H21295" s="12"/>
      <c r="I21295" s="12"/>
      <c r="J21295" s="12"/>
      <c r="K21295" s="12"/>
      <c r="L21295" s="12"/>
      <c r="M21295" s="11"/>
      <c r="N21295" s="11"/>
      <c r="O21295" s="11"/>
      <c r="P21295" s="11"/>
    </row>
    <row r="21296" spans="8:16" x14ac:dyDescent="0.25">
      <c r="H21296" s="12"/>
      <c r="I21296" s="12"/>
      <c r="J21296" s="12"/>
      <c r="K21296" s="12"/>
      <c r="L21296" s="12"/>
      <c r="M21296" s="11"/>
      <c r="N21296" s="11"/>
      <c r="O21296" s="11"/>
      <c r="P21296" s="11"/>
    </row>
    <row r="21297" spans="8:16" x14ac:dyDescent="0.25">
      <c r="H21297" s="12"/>
      <c r="I21297" s="12"/>
      <c r="J21297" s="12"/>
      <c r="K21297" s="12"/>
      <c r="L21297" s="12"/>
      <c r="M21297" s="11"/>
      <c r="N21297" s="11"/>
      <c r="O21297" s="11"/>
      <c r="P21297" s="11"/>
    </row>
    <row r="21298" spans="8:16" x14ac:dyDescent="0.25">
      <c r="H21298" s="12"/>
      <c r="I21298" s="12"/>
      <c r="J21298" s="12"/>
      <c r="K21298" s="12"/>
      <c r="L21298" s="12"/>
      <c r="M21298" s="11"/>
      <c r="N21298" s="11"/>
      <c r="O21298" s="11"/>
      <c r="P21298" s="11"/>
    </row>
    <row r="21299" spans="8:16" x14ac:dyDescent="0.25">
      <c r="H21299" s="12"/>
      <c r="I21299" s="12"/>
      <c r="J21299" s="12"/>
      <c r="K21299" s="12"/>
      <c r="L21299" s="12"/>
      <c r="M21299" s="11"/>
      <c r="N21299" s="11"/>
      <c r="O21299" s="11"/>
      <c r="P21299" s="11"/>
    </row>
    <row r="21300" spans="8:16" x14ac:dyDescent="0.25">
      <c r="H21300" s="12"/>
      <c r="I21300" s="12"/>
      <c r="J21300" s="12"/>
      <c r="K21300" s="12"/>
      <c r="L21300" s="12"/>
      <c r="M21300" s="11"/>
      <c r="N21300" s="11"/>
      <c r="O21300" s="11"/>
      <c r="P21300" s="11"/>
    </row>
    <row r="21301" spans="8:16" x14ac:dyDescent="0.25">
      <c r="H21301" s="12"/>
      <c r="I21301" s="12"/>
      <c r="J21301" s="12"/>
      <c r="K21301" s="12"/>
      <c r="L21301" s="12"/>
      <c r="M21301" s="11"/>
      <c r="N21301" s="11"/>
      <c r="O21301" s="11"/>
      <c r="P21301" s="11"/>
    </row>
    <row r="21302" spans="8:16" x14ac:dyDescent="0.25">
      <c r="H21302" s="12"/>
      <c r="I21302" s="12"/>
      <c r="J21302" s="12"/>
      <c r="K21302" s="12"/>
      <c r="L21302" s="12"/>
      <c r="M21302" s="11"/>
      <c r="N21302" s="11"/>
      <c r="O21302" s="11"/>
      <c r="P21302" s="11"/>
    </row>
    <row r="21303" spans="8:16" x14ac:dyDescent="0.25">
      <c r="H21303" s="12"/>
      <c r="I21303" s="12"/>
      <c r="J21303" s="12"/>
      <c r="K21303" s="12"/>
      <c r="L21303" s="12"/>
      <c r="M21303" s="11"/>
      <c r="N21303" s="11"/>
      <c r="O21303" s="11"/>
      <c r="P21303" s="11"/>
    </row>
    <row r="21304" spans="8:16" x14ac:dyDescent="0.25">
      <c r="H21304" s="12"/>
      <c r="I21304" s="12"/>
      <c r="J21304" s="12"/>
      <c r="K21304" s="12"/>
      <c r="L21304" s="12"/>
      <c r="M21304" s="11"/>
      <c r="N21304" s="11"/>
      <c r="O21304" s="11"/>
      <c r="P21304" s="11"/>
    </row>
    <row r="21305" spans="8:16" x14ac:dyDescent="0.25">
      <c r="H21305" s="12"/>
      <c r="I21305" s="12"/>
      <c r="J21305" s="12"/>
      <c r="K21305" s="12"/>
      <c r="L21305" s="12"/>
      <c r="M21305" s="11"/>
      <c r="N21305" s="11"/>
      <c r="O21305" s="11"/>
      <c r="P21305" s="11"/>
    </row>
    <row r="21306" spans="8:16" x14ac:dyDescent="0.25">
      <c r="H21306" s="12"/>
      <c r="I21306" s="12"/>
      <c r="J21306" s="12"/>
      <c r="K21306" s="12"/>
      <c r="L21306" s="12"/>
      <c r="M21306" s="11"/>
      <c r="N21306" s="11"/>
      <c r="O21306" s="11"/>
      <c r="P21306" s="11"/>
    </row>
    <row r="21307" spans="8:16" x14ac:dyDescent="0.25">
      <c r="H21307" s="12"/>
      <c r="I21307" s="12"/>
      <c r="J21307" s="12"/>
      <c r="K21307" s="12"/>
      <c r="L21307" s="12"/>
      <c r="M21307" s="11"/>
      <c r="N21307" s="11"/>
      <c r="O21307" s="11"/>
      <c r="P21307" s="11"/>
    </row>
    <row r="21308" spans="8:16" x14ac:dyDescent="0.25">
      <c r="H21308" s="12"/>
      <c r="I21308" s="12"/>
      <c r="J21308" s="12"/>
      <c r="K21308" s="12"/>
      <c r="L21308" s="12"/>
      <c r="M21308" s="11"/>
      <c r="N21308" s="11"/>
      <c r="O21308" s="11"/>
      <c r="P21308" s="11"/>
    </row>
    <row r="21309" spans="8:16" x14ac:dyDescent="0.25">
      <c r="H21309" s="12"/>
      <c r="I21309" s="12"/>
      <c r="J21309" s="12"/>
      <c r="K21309" s="12"/>
      <c r="L21309" s="12"/>
      <c r="M21309" s="11"/>
      <c r="N21309" s="11"/>
      <c r="O21309" s="11"/>
      <c r="P21309" s="11"/>
    </row>
    <row r="21310" spans="8:16" x14ac:dyDescent="0.25">
      <c r="H21310" s="12"/>
      <c r="I21310" s="12"/>
      <c r="J21310" s="12"/>
      <c r="K21310" s="12"/>
      <c r="L21310" s="12"/>
      <c r="M21310" s="11"/>
      <c r="N21310" s="11"/>
      <c r="O21310" s="11"/>
      <c r="P21310" s="11"/>
    </row>
    <row r="21311" spans="8:16" x14ac:dyDescent="0.25">
      <c r="H21311" s="12"/>
      <c r="I21311" s="12"/>
      <c r="J21311" s="12"/>
      <c r="K21311" s="12"/>
      <c r="L21311" s="12"/>
      <c r="M21311" s="11"/>
      <c r="N21311" s="11"/>
      <c r="O21311" s="11"/>
      <c r="P21311" s="11"/>
    </row>
    <row r="21312" spans="8:16" x14ac:dyDescent="0.25">
      <c r="H21312" s="12"/>
      <c r="I21312" s="12"/>
      <c r="J21312" s="12"/>
      <c r="K21312" s="12"/>
      <c r="L21312" s="12"/>
      <c r="M21312" s="11"/>
      <c r="N21312" s="11"/>
      <c r="O21312" s="11"/>
      <c r="P21312" s="11"/>
    </row>
    <row r="21313" spans="8:16" x14ac:dyDescent="0.25">
      <c r="H21313" s="12"/>
      <c r="I21313" s="12"/>
      <c r="J21313" s="12"/>
      <c r="K21313" s="12"/>
      <c r="L21313" s="12"/>
      <c r="M21313" s="11"/>
      <c r="N21313" s="11"/>
      <c r="O21313" s="11"/>
      <c r="P21313" s="11"/>
    </row>
    <row r="21314" spans="8:16" x14ac:dyDescent="0.25">
      <c r="H21314" s="12"/>
      <c r="I21314" s="12"/>
      <c r="J21314" s="12"/>
      <c r="K21314" s="12"/>
      <c r="L21314" s="12"/>
      <c r="M21314" s="11"/>
      <c r="N21314" s="11"/>
      <c r="O21314" s="11"/>
      <c r="P21314" s="11"/>
    </row>
    <row r="21315" spans="8:16" x14ac:dyDescent="0.25">
      <c r="H21315" s="12"/>
      <c r="I21315" s="12"/>
      <c r="J21315" s="12"/>
      <c r="K21315" s="12"/>
      <c r="L21315" s="12"/>
      <c r="M21315" s="11"/>
      <c r="N21315" s="11"/>
      <c r="O21315" s="11"/>
      <c r="P21315" s="11"/>
    </row>
    <row r="21316" spans="8:16" x14ac:dyDescent="0.25">
      <c r="H21316" s="12"/>
      <c r="I21316" s="12"/>
      <c r="J21316" s="12"/>
      <c r="K21316" s="12"/>
      <c r="L21316" s="12"/>
      <c r="M21316" s="11"/>
      <c r="N21316" s="11"/>
      <c r="O21316" s="11"/>
      <c r="P21316" s="11"/>
    </row>
    <row r="21317" spans="8:16" x14ac:dyDescent="0.25">
      <c r="H21317" s="12"/>
      <c r="I21317" s="12"/>
      <c r="J21317" s="12"/>
      <c r="K21317" s="12"/>
      <c r="L21317" s="12"/>
      <c r="M21317" s="11"/>
      <c r="N21317" s="11"/>
      <c r="O21317" s="11"/>
      <c r="P21317" s="11"/>
    </row>
    <row r="21318" spans="8:16" x14ac:dyDescent="0.25">
      <c r="H21318" s="12"/>
      <c r="I21318" s="12"/>
      <c r="J21318" s="12"/>
      <c r="K21318" s="12"/>
      <c r="L21318" s="12"/>
      <c r="M21318" s="11"/>
      <c r="N21318" s="11"/>
      <c r="O21318" s="11"/>
      <c r="P21318" s="11"/>
    </row>
    <row r="21319" spans="8:16" x14ac:dyDescent="0.25">
      <c r="H21319" s="12"/>
      <c r="I21319" s="12"/>
      <c r="J21319" s="12"/>
      <c r="K21319" s="12"/>
      <c r="L21319" s="12"/>
      <c r="M21319" s="11"/>
      <c r="N21319" s="11"/>
      <c r="O21319" s="11"/>
      <c r="P21319" s="11"/>
    </row>
    <row r="21320" spans="8:16" x14ac:dyDescent="0.25">
      <c r="H21320" s="12"/>
      <c r="I21320" s="12"/>
      <c r="J21320" s="12"/>
      <c r="K21320" s="12"/>
      <c r="L21320" s="12"/>
      <c r="M21320" s="11"/>
      <c r="N21320" s="11"/>
      <c r="O21320" s="11"/>
      <c r="P21320" s="11"/>
    </row>
    <row r="21321" spans="8:16" x14ac:dyDescent="0.25">
      <c r="H21321" s="12"/>
      <c r="I21321" s="12"/>
      <c r="J21321" s="12"/>
      <c r="K21321" s="12"/>
      <c r="L21321" s="12"/>
      <c r="M21321" s="11"/>
      <c r="N21321" s="11"/>
      <c r="O21321" s="11"/>
      <c r="P21321" s="11"/>
    </row>
    <row r="21322" spans="8:16" x14ac:dyDescent="0.25">
      <c r="H21322" s="12"/>
      <c r="I21322" s="12"/>
      <c r="J21322" s="12"/>
      <c r="K21322" s="12"/>
      <c r="L21322" s="12"/>
      <c r="M21322" s="11"/>
      <c r="N21322" s="11"/>
      <c r="O21322" s="11"/>
      <c r="P21322" s="11"/>
    </row>
    <row r="21323" spans="8:16" x14ac:dyDescent="0.25">
      <c r="H21323" s="12"/>
      <c r="I21323" s="12"/>
      <c r="J21323" s="12"/>
      <c r="K21323" s="12"/>
      <c r="L21323" s="12"/>
      <c r="M21323" s="11"/>
      <c r="N21323" s="11"/>
      <c r="O21323" s="11"/>
      <c r="P21323" s="11"/>
    </row>
    <row r="21324" spans="8:16" x14ac:dyDescent="0.25">
      <c r="H21324" s="12"/>
      <c r="I21324" s="12"/>
      <c r="J21324" s="12"/>
      <c r="K21324" s="12"/>
      <c r="L21324" s="12"/>
      <c r="M21324" s="11"/>
      <c r="N21324" s="11"/>
      <c r="O21324" s="11"/>
      <c r="P21324" s="11"/>
    </row>
    <row r="21325" spans="8:16" x14ac:dyDescent="0.25">
      <c r="H21325" s="12"/>
      <c r="I21325" s="12"/>
      <c r="J21325" s="12"/>
      <c r="K21325" s="12"/>
      <c r="L21325" s="12"/>
      <c r="M21325" s="11"/>
      <c r="N21325" s="11"/>
      <c r="O21325" s="11"/>
      <c r="P21325" s="11"/>
    </row>
    <row r="21326" spans="8:16" x14ac:dyDescent="0.25">
      <c r="H21326" s="12"/>
      <c r="I21326" s="12"/>
      <c r="J21326" s="12"/>
      <c r="K21326" s="12"/>
      <c r="L21326" s="12"/>
      <c r="M21326" s="11"/>
      <c r="N21326" s="11"/>
      <c r="O21326" s="11"/>
      <c r="P21326" s="11"/>
    </row>
    <row r="21327" spans="8:16" x14ac:dyDescent="0.25">
      <c r="H21327" s="12"/>
      <c r="I21327" s="12"/>
      <c r="J21327" s="12"/>
      <c r="K21327" s="12"/>
      <c r="L21327" s="12"/>
      <c r="M21327" s="11"/>
      <c r="N21327" s="11"/>
      <c r="O21327" s="11"/>
      <c r="P21327" s="11"/>
    </row>
    <row r="21328" spans="8:16" x14ac:dyDescent="0.25">
      <c r="H21328" s="12"/>
      <c r="I21328" s="12"/>
      <c r="J21328" s="12"/>
      <c r="K21328" s="12"/>
      <c r="L21328" s="12"/>
      <c r="M21328" s="11"/>
      <c r="N21328" s="11"/>
      <c r="O21328" s="11"/>
      <c r="P21328" s="11"/>
    </row>
    <row r="21329" spans="8:16" x14ac:dyDescent="0.25">
      <c r="H21329" s="12"/>
      <c r="I21329" s="12"/>
      <c r="J21329" s="12"/>
      <c r="K21329" s="12"/>
      <c r="L21329" s="12"/>
      <c r="M21329" s="11"/>
      <c r="N21329" s="11"/>
      <c r="O21329" s="11"/>
      <c r="P21329" s="11"/>
    </row>
    <row r="21330" spans="8:16" x14ac:dyDescent="0.25">
      <c r="H21330" s="12"/>
      <c r="I21330" s="12"/>
      <c r="J21330" s="12"/>
      <c r="K21330" s="12"/>
      <c r="L21330" s="12"/>
      <c r="M21330" s="11"/>
      <c r="N21330" s="11"/>
      <c r="O21330" s="11"/>
      <c r="P21330" s="11"/>
    </row>
    <row r="21331" spans="8:16" x14ac:dyDescent="0.25">
      <c r="H21331" s="12"/>
      <c r="I21331" s="12"/>
      <c r="J21331" s="12"/>
      <c r="K21331" s="12"/>
      <c r="L21331" s="12"/>
      <c r="M21331" s="11"/>
      <c r="N21331" s="11"/>
      <c r="O21331" s="11"/>
      <c r="P21331" s="11"/>
    </row>
    <row r="21332" spans="8:16" x14ac:dyDescent="0.25">
      <c r="H21332" s="12"/>
      <c r="I21332" s="12"/>
      <c r="J21332" s="12"/>
      <c r="K21332" s="12"/>
      <c r="L21332" s="12"/>
      <c r="M21332" s="11"/>
      <c r="N21332" s="11"/>
      <c r="O21332" s="11"/>
      <c r="P21332" s="11"/>
    </row>
    <row r="21333" spans="8:16" x14ac:dyDescent="0.25">
      <c r="H21333" s="12"/>
      <c r="I21333" s="12"/>
      <c r="J21333" s="12"/>
      <c r="K21333" s="12"/>
      <c r="L21333" s="12"/>
      <c r="M21333" s="11"/>
      <c r="N21333" s="11"/>
      <c r="O21333" s="11"/>
      <c r="P21333" s="11"/>
    </row>
    <row r="21334" spans="8:16" x14ac:dyDescent="0.25">
      <c r="H21334" s="12"/>
      <c r="I21334" s="12"/>
      <c r="J21334" s="12"/>
      <c r="K21334" s="12"/>
      <c r="L21334" s="12"/>
      <c r="M21334" s="11"/>
      <c r="N21334" s="11"/>
      <c r="O21334" s="11"/>
      <c r="P21334" s="11"/>
    </row>
    <row r="21335" spans="8:16" x14ac:dyDescent="0.25">
      <c r="H21335" s="12"/>
      <c r="I21335" s="12"/>
      <c r="J21335" s="12"/>
      <c r="K21335" s="12"/>
      <c r="L21335" s="12"/>
      <c r="M21335" s="11"/>
      <c r="N21335" s="11"/>
      <c r="O21335" s="11"/>
      <c r="P21335" s="11"/>
    </row>
    <row r="21336" spans="8:16" x14ac:dyDescent="0.25">
      <c r="H21336" s="12"/>
      <c r="I21336" s="12"/>
      <c r="J21336" s="12"/>
      <c r="K21336" s="12"/>
      <c r="L21336" s="12"/>
      <c r="M21336" s="11"/>
      <c r="N21336" s="11"/>
      <c r="O21336" s="11"/>
      <c r="P21336" s="11"/>
    </row>
    <row r="21337" spans="8:16" x14ac:dyDescent="0.25">
      <c r="H21337" s="12"/>
      <c r="I21337" s="12"/>
      <c r="J21337" s="12"/>
      <c r="K21337" s="12"/>
      <c r="L21337" s="12"/>
      <c r="M21337" s="11"/>
      <c r="N21337" s="11"/>
      <c r="O21337" s="11"/>
      <c r="P21337" s="11"/>
    </row>
    <row r="21338" spans="8:16" x14ac:dyDescent="0.25">
      <c r="H21338" s="12"/>
      <c r="I21338" s="12"/>
      <c r="J21338" s="12"/>
      <c r="K21338" s="12"/>
      <c r="L21338" s="12"/>
      <c r="M21338" s="11"/>
      <c r="N21338" s="11"/>
      <c r="O21338" s="11"/>
      <c r="P21338" s="11"/>
    </row>
    <row r="21339" spans="8:16" x14ac:dyDescent="0.25">
      <c r="H21339" s="12"/>
      <c r="I21339" s="12"/>
      <c r="J21339" s="12"/>
      <c r="K21339" s="12"/>
      <c r="L21339" s="12"/>
      <c r="M21339" s="11"/>
      <c r="N21339" s="11"/>
      <c r="O21339" s="11"/>
      <c r="P21339" s="11"/>
    </row>
    <row r="21340" spans="8:16" x14ac:dyDescent="0.25">
      <c r="H21340" s="12"/>
      <c r="I21340" s="12"/>
      <c r="J21340" s="12"/>
      <c r="K21340" s="12"/>
      <c r="L21340" s="12"/>
      <c r="M21340" s="11"/>
      <c r="N21340" s="11"/>
      <c r="O21340" s="11"/>
      <c r="P21340" s="11"/>
    </row>
    <row r="21341" spans="8:16" x14ac:dyDescent="0.25">
      <c r="H21341" s="12"/>
      <c r="I21341" s="12"/>
      <c r="J21341" s="12"/>
      <c r="K21341" s="12"/>
      <c r="L21341" s="12"/>
      <c r="M21341" s="11"/>
      <c r="N21341" s="11"/>
      <c r="O21341" s="11"/>
      <c r="P21341" s="11"/>
    </row>
    <row r="21342" spans="8:16" x14ac:dyDescent="0.25">
      <c r="H21342" s="12"/>
      <c r="I21342" s="12"/>
      <c r="J21342" s="12"/>
      <c r="K21342" s="12"/>
      <c r="L21342" s="12"/>
      <c r="M21342" s="11"/>
      <c r="N21342" s="11"/>
      <c r="O21342" s="11"/>
      <c r="P21342" s="11"/>
    </row>
    <row r="21343" spans="8:16" x14ac:dyDescent="0.25">
      <c r="H21343" s="12"/>
      <c r="I21343" s="12"/>
      <c r="J21343" s="12"/>
      <c r="K21343" s="12"/>
      <c r="L21343" s="12"/>
      <c r="M21343" s="11"/>
      <c r="N21343" s="11"/>
      <c r="O21343" s="11"/>
      <c r="P21343" s="11"/>
    </row>
    <row r="21344" spans="8:16" x14ac:dyDescent="0.25">
      <c r="H21344" s="12"/>
      <c r="I21344" s="12"/>
      <c r="J21344" s="12"/>
      <c r="K21344" s="12"/>
      <c r="L21344" s="12"/>
      <c r="M21344" s="11"/>
      <c r="N21344" s="11"/>
      <c r="O21344" s="11"/>
      <c r="P21344" s="11"/>
    </row>
    <row r="21345" spans="8:16" x14ac:dyDescent="0.25">
      <c r="H21345" s="12"/>
      <c r="I21345" s="12"/>
      <c r="J21345" s="12"/>
      <c r="K21345" s="12"/>
      <c r="L21345" s="12"/>
      <c r="M21345" s="11"/>
      <c r="N21345" s="11"/>
      <c r="O21345" s="11"/>
      <c r="P21345" s="11"/>
    </row>
    <row r="21346" spans="8:16" x14ac:dyDescent="0.25">
      <c r="H21346" s="12"/>
      <c r="I21346" s="12"/>
      <c r="J21346" s="12"/>
      <c r="K21346" s="12"/>
      <c r="L21346" s="12"/>
      <c r="M21346" s="11"/>
      <c r="N21346" s="11"/>
      <c r="O21346" s="11"/>
      <c r="P21346" s="11"/>
    </row>
    <row r="21347" spans="8:16" x14ac:dyDescent="0.25">
      <c r="H21347" s="12"/>
      <c r="I21347" s="12"/>
      <c r="J21347" s="12"/>
      <c r="K21347" s="12"/>
      <c r="L21347" s="12"/>
      <c r="M21347" s="11"/>
      <c r="N21347" s="11"/>
      <c r="O21347" s="11"/>
      <c r="P21347" s="11"/>
    </row>
    <row r="21348" spans="8:16" x14ac:dyDescent="0.25">
      <c r="H21348" s="12"/>
      <c r="I21348" s="12"/>
      <c r="J21348" s="12"/>
      <c r="K21348" s="12"/>
      <c r="L21348" s="12"/>
      <c r="M21348" s="11"/>
      <c r="N21348" s="11"/>
      <c r="O21348" s="11"/>
      <c r="P21348" s="11"/>
    </row>
    <row r="21349" spans="8:16" x14ac:dyDescent="0.25">
      <c r="H21349" s="12"/>
      <c r="I21349" s="12"/>
      <c r="J21349" s="12"/>
      <c r="K21349" s="12"/>
      <c r="L21349" s="12"/>
      <c r="M21349" s="11"/>
      <c r="N21349" s="11"/>
      <c r="O21349" s="11"/>
      <c r="P21349" s="11"/>
    </row>
    <row r="21350" spans="8:16" x14ac:dyDescent="0.25">
      <c r="H21350" s="12"/>
      <c r="I21350" s="12"/>
      <c r="J21350" s="12"/>
      <c r="K21350" s="12"/>
      <c r="L21350" s="12"/>
      <c r="M21350" s="11"/>
      <c r="N21350" s="11"/>
      <c r="O21350" s="11"/>
      <c r="P21350" s="11"/>
    </row>
    <row r="21351" spans="8:16" x14ac:dyDescent="0.25">
      <c r="H21351" s="12"/>
      <c r="I21351" s="12"/>
      <c r="J21351" s="12"/>
      <c r="K21351" s="12"/>
      <c r="L21351" s="12"/>
      <c r="M21351" s="11"/>
      <c r="N21351" s="11"/>
      <c r="O21351" s="11"/>
      <c r="P21351" s="11"/>
    </row>
    <row r="21352" spans="8:16" x14ac:dyDescent="0.25">
      <c r="H21352" s="12"/>
      <c r="I21352" s="12"/>
      <c r="J21352" s="12"/>
      <c r="K21352" s="12"/>
      <c r="L21352" s="12"/>
      <c r="M21352" s="11"/>
      <c r="N21352" s="11"/>
      <c r="O21352" s="11"/>
      <c r="P21352" s="11"/>
    </row>
    <row r="21353" spans="8:16" x14ac:dyDescent="0.25">
      <c r="H21353" s="12"/>
      <c r="I21353" s="12"/>
      <c r="J21353" s="12"/>
      <c r="K21353" s="12"/>
      <c r="L21353" s="12"/>
      <c r="M21353" s="11"/>
      <c r="N21353" s="11"/>
      <c r="O21353" s="11"/>
      <c r="P21353" s="11"/>
    </row>
    <row r="21354" spans="8:16" x14ac:dyDescent="0.25">
      <c r="H21354" s="12"/>
      <c r="I21354" s="12"/>
      <c r="J21354" s="12"/>
      <c r="K21354" s="12"/>
      <c r="L21354" s="12"/>
      <c r="M21354" s="11"/>
      <c r="N21354" s="11"/>
      <c r="O21354" s="11"/>
      <c r="P21354" s="11"/>
    </row>
    <row r="21355" spans="8:16" x14ac:dyDescent="0.25">
      <c r="H21355" s="12"/>
      <c r="I21355" s="12"/>
      <c r="J21355" s="12"/>
      <c r="K21355" s="12"/>
      <c r="L21355" s="12"/>
      <c r="M21355" s="11"/>
      <c r="N21355" s="11"/>
      <c r="O21355" s="11"/>
      <c r="P21355" s="11"/>
    </row>
    <row r="21356" spans="8:16" x14ac:dyDescent="0.25">
      <c r="H21356" s="12"/>
      <c r="I21356" s="12"/>
      <c r="J21356" s="12"/>
      <c r="K21356" s="12"/>
      <c r="L21356" s="12"/>
      <c r="M21356" s="11"/>
      <c r="N21356" s="11"/>
      <c r="O21356" s="11"/>
      <c r="P21356" s="11"/>
    </row>
    <row r="21357" spans="8:16" x14ac:dyDescent="0.25">
      <c r="H21357" s="12"/>
      <c r="I21357" s="12"/>
      <c r="J21357" s="12"/>
      <c r="K21357" s="12"/>
      <c r="L21357" s="12"/>
      <c r="M21357" s="11"/>
      <c r="N21357" s="11"/>
      <c r="O21357" s="11"/>
      <c r="P21357" s="11"/>
    </row>
    <row r="21358" spans="8:16" x14ac:dyDescent="0.25">
      <c r="H21358" s="12"/>
      <c r="I21358" s="12"/>
      <c r="J21358" s="12"/>
      <c r="K21358" s="12"/>
      <c r="L21358" s="12"/>
      <c r="M21358" s="11"/>
      <c r="N21358" s="11"/>
      <c r="O21358" s="11"/>
      <c r="P21358" s="11"/>
    </row>
    <row r="21359" spans="8:16" x14ac:dyDescent="0.25">
      <c r="H21359" s="12"/>
      <c r="I21359" s="12"/>
      <c r="J21359" s="12"/>
      <c r="K21359" s="12"/>
      <c r="L21359" s="12"/>
      <c r="M21359" s="11"/>
      <c r="N21359" s="11"/>
      <c r="O21359" s="11"/>
      <c r="P21359" s="11"/>
    </row>
    <row r="21360" spans="8:16" x14ac:dyDescent="0.25">
      <c r="H21360" s="12"/>
      <c r="I21360" s="12"/>
      <c r="J21360" s="12"/>
      <c r="K21360" s="12"/>
      <c r="L21360" s="12"/>
      <c r="M21360" s="11"/>
      <c r="N21360" s="11"/>
      <c r="O21360" s="11"/>
      <c r="P21360" s="11"/>
    </row>
    <row r="21361" spans="8:16" x14ac:dyDescent="0.25">
      <c r="H21361" s="12"/>
      <c r="I21361" s="12"/>
      <c r="J21361" s="12"/>
      <c r="K21361" s="12"/>
      <c r="L21361" s="12"/>
      <c r="M21361" s="11"/>
      <c r="N21361" s="11"/>
      <c r="O21361" s="11"/>
      <c r="P21361" s="11"/>
    </row>
    <row r="21362" spans="8:16" x14ac:dyDescent="0.25">
      <c r="H21362" s="12"/>
      <c r="I21362" s="12"/>
      <c r="J21362" s="12"/>
      <c r="K21362" s="12"/>
      <c r="L21362" s="12"/>
      <c r="M21362" s="11"/>
      <c r="N21362" s="11"/>
      <c r="O21362" s="11"/>
      <c r="P21362" s="11"/>
    </row>
    <row r="21363" spans="8:16" x14ac:dyDescent="0.25">
      <c r="H21363" s="12"/>
      <c r="I21363" s="12"/>
      <c r="J21363" s="12"/>
      <c r="K21363" s="12"/>
      <c r="L21363" s="12"/>
      <c r="M21363" s="11"/>
      <c r="N21363" s="11"/>
      <c r="O21363" s="11"/>
      <c r="P21363" s="11"/>
    </row>
    <row r="21364" spans="8:16" x14ac:dyDescent="0.25">
      <c r="H21364" s="12"/>
      <c r="I21364" s="12"/>
      <c r="J21364" s="12"/>
      <c r="K21364" s="12"/>
      <c r="L21364" s="12"/>
      <c r="M21364" s="11"/>
      <c r="N21364" s="11"/>
      <c r="O21364" s="11"/>
      <c r="P21364" s="11"/>
    </row>
    <row r="21365" spans="8:16" x14ac:dyDescent="0.25">
      <c r="H21365" s="12"/>
      <c r="I21365" s="12"/>
      <c r="J21365" s="12"/>
      <c r="K21365" s="12"/>
      <c r="L21365" s="12"/>
      <c r="M21365" s="11"/>
      <c r="N21365" s="11"/>
      <c r="O21365" s="11"/>
      <c r="P21365" s="11"/>
    </row>
    <row r="21366" spans="8:16" x14ac:dyDescent="0.25">
      <c r="H21366" s="12"/>
      <c r="I21366" s="12"/>
      <c r="J21366" s="12"/>
      <c r="K21366" s="12"/>
      <c r="L21366" s="12"/>
      <c r="M21366" s="11"/>
      <c r="N21366" s="11"/>
      <c r="O21366" s="11"/>
      <c r="P21366" s="11"/>
    </row>
    <row r="21367" spans="8:16" x14ac:dyDescent="0.25">
      <c r="H21367" s="12"/>
      <c r="I21367" s="12"/>
      <c r="J21367" s="12"/>
      <c r="K21367" s="12"/>
      <c r="L21367" s="12"/>
      <c r="M21367" s="11"/>
      <c r="N21367" s="11"/>
      <c r="O21367" s="11"/>
      <c r="P21367" s="11"/>
    </row>
    <row r="21368" spans="8:16" x14ac:dyDescent="0.25">
      <c r="H21368" s="12"/>
      <c r="I21368" s="12"/>
      <c r="J21368" s="12"/>
      <c r="K21368" s="12"/>
      <c r="L21368" s="12"/>
      <c r="M21368" s="11"/>
      <c r="N21368" s="11"/>
      <c r="O21368" s="11"/>
      <c r="P21368" s="11"/>
    </row>
    <row r="21369" spans="8:16" x14ac:dyDescent="0.25">
      <c r="H21369" s="12"/>
      <c r="I21369" s="12"/>
      <c r="J21369" s="12"/>
      <c r="K21369" s="12"/>
      <c r="L21369" s="12"/>
      <c r="M21369" s="11"/>
      <c r="N21369" s="11"/>
      <c r="O21369" s="11"/>
      <c r="P21369" s="11"/>
    </row>
    <row r="21370" spans="8:16" x14ac:dyDescent="0.25">
      <c r="H21370" s="12"/>
      <c r="I21370" s="12"/>
      <c r="J21370" s="12"/>
      <c r="K21370" s="12"/>
      <c r="L21370" s="12"/>
      <c r="M21370" s="11"/>
      <c r="N21370" s="11"/>
      <c r="O21370" s="11"/>
      <c r="P21370" s="11"/>
    </row>
    <row r="21371" spans="8:16" x14ac:dyDescent="0.25">
      <c r="H21371" s="12"/>
      <c r="I21371" s="12"/>
      <c r="J21371" s="12"/>
      <c r="K21371" s="12"/>
      <c r="L21371" s="12"/>
      <c r="M21371" s="11"/>
      <c r="N21371" s="11"/>
      <c r="O21371" s="11"/>
      <c r="P21371" s="11"/>
    </row>
    <row r="21372" spans="8:16" x14ac:dyDescent="0.25">
      <c r="H21372" s="12"/>
      <c r="I21372" s="12"/>
      <c r="J21372" s="12"/>
      <c r="K21372" s="12"/>
      <c r="L21372" s="12"/>
      <c r="M21372" s="11"/>
      <c r="N21372" s="11"/>
      <c r="O21372" s="11"/>
      <c r="P21372" s="11"/>
    </row>
    <row r="21373" spans="8:16" x14ac:dyDescent="0.25">
      <c r="H21373" s="12"/>
      <c r="I21373" s="12"/>
      <c r="J21373" s="12"/>
      <c r="K21373" s="12"/>
      <c r="L21373" s="12"/>
      <c r="M21373" s="11"/>
      <c r="N21373" s="11"/>
      <c r="O21373" s="11"/>
      <c r="P21373" s="11"/>
    </row>
    <row r="21374" spans="8:16" x14ac:dyDescent="0.25">
      <c r="H21374" s="12"/>
      <c r="I21374" s="12"/>
      <c r="J21374" s="12"/>
      <c r="K21374" s="12"/>
      <c r="L21374" s="12"/>
      <c r="M21374" s="11"/>
      <c r="N21374" s="11"/>
      <c r="O21374" s="11"/>
      <c r="P21374" s="11"/>
    </row>
    <row r="21375" spans="8:16" x14ac:dyDescent="0.25">
      <c r="H21375" s="12"/>
      <c r="I21375" s="12"/>
      <c r="J21375" s="12"/>
      <c r="K21375" s="12"/>
      <c r="L21375" s="12"/>
      <c r="M21375" s="11"/>
      <c r="N21375" s="11"/>
      <c r="O21375" s="11"/>
      <c r="P21375" s="11"/>
    </row>
    <row r="21376" spans="8:16" x14ac:dyDescent="0.25">
      <c r="H21376" s="12"/>
      <c r="I21376" s="12"/>
      <c r="J21376" s="12"/>
      <c r="K21376" s="12"/>
      <c r="L21376" s="12"/>
      <c r="M21376" s="11"/>
      <c r="N21376" s="11"/>
      <c r="O21376" s="11"/>
      <c r="P21376" s="11"/>
    </row>
    <row r="21377" spans="8:16" x14ac:dyDescent="0.25">
      <c r="H21377" s="12"/>
      <c r="I21377" s="12"/>
      <c r="J21377" s="12"/>
      <c r="K21377" s="12"/>
      <c r="L21377" s="12"/>
      <c r="M21377" s="11"/>
      <c r="N21377" s="11"/>
      <c r="O21377" s="11"/>
      <c r="P21377" s="11"/>
    </row>
    <row r="21378" spans="8:16" x14ac:dyDescent="0.25">
      <c r="H21378" s="12"/>
      <c r="I21378" s="12"/>
      <c r="J21378" s="12"/>
      <c r="K21378" s="12"/>
      <c r="L21378" s="12"/>
      <c r="M21378" s="11"/>
      <c r="N21378" s="11"/>
      <c r="O21378" s="11"/>
      <c r="P21378" s="11"/>
    </row>
    <row r="21379" spans="8:16" x14ac:dyDescent="0.25">
      <c r="H21379" s="12"/>
      <c r="I21379" s="12"/>
      <c r="J21379" s="12"/>
      <c r="K21379" s="12"/>
      <c r="L21379" s="12"/>
      <c r="M21379" s="11"/>
      <c r="N21379" s="11"/>
      <c r="O21379" s="11"/>
      <c r="P21379" s="11"/>
    </row>
    <row r="21380" spans="8:16" x14ac:dyDescent="0.25">
      <c r="H21380" s="12"/>
      <c r="I21380" s="12"/>
      <c r="J21380" s="12"/>
      <c r="K21380" s="12"/>
      <c r="L21380" s="12"/>
      <c r="M21380" s="11"/>
      <c r="N21380" s="11"/>
      <c r="O21380" s="11"/>
      <c r="P21380" s="11"/>
    </row>
    <row r="21381" spans="8:16" x14ac:dyDescent="0.25">
      <c r="H21381" s="12"/>
      <c r="I21381" s="12"/>
      <c r="J21381" s="12"/>
      <c r="K21381" s="12"/>
      <c r="L21381" s="12"/>
      <c r="M21381" s="11"/>
      <c r="N21381" s="11"/>
      <c r="O21381" s="11"/>
      <c r="P21381" s="11"/>
    </row>
    <row r="21382" spans="8:16" x14ac:dyDescent="0.25">
      <c r="H21382" s="12"/>
      <c r="I21382" s="12"/>
      <c r="J21382" s="12"/>
      <c r="K21382" s="12"/>
      <c r="L21382" s="12"/>
      <c r="M21382" s="11"/>
      <c r="N21382" s="11"/>
      <c r="O21382" s="11"/>
      <c r="P21382" s="11"/>
    </row>
    <row r="21383" spans="8:16" x14ac:dyDescent="0.25">
      <c r="H21383" s="12"/>
      <c r="I21383" s="12"/>
      <c r="J21383" s="12"/>
      <c r="K21383" s="12"/>
      <c r="L21383" s="12"/>
      <c r="M21383" s="11"/>
      <c r="N21383" s="11"/>
      <c r="O21383" s="11"/>
      <c r="P21383" s="11"/>
    </row>
    <row r="21384" spans="8:16" x14ac:dyDescent="0.25">
      <c r="H21384" s="12"/>
      <c r="I21384" s="12"/>
      <c r="J21384" s="12"/>
      <c r="K21384" s="12"/>
      <c r="L21384" s="12"/>
      <c r="M21384" s="11"/>
      <c r="N21384" s="11"/>
      <c r="O21384" s="11"/>
      <c r="P21384" s="11"/>
    </row>
    <row r="21385" spans="8:16" x14ac:dyDescent="0.25">
      <c r="H21385" s="12"/>
      <c r="I21385" s="12"/>
      <c r="J21385" s="12"/>
      <c r="K21385" s="12"/>
      <c r="L21385" s="12"/>
      <c r="M21385" s="11"/>
      <c r="N21385" s="11"/>
      <c r="O21385" s="11"/>
      <c r="P21385" s="11"/>
    </row>
    <row r="21386" spans="8:16" x14ac:dyDescent="0.25">
      <c r="H21386" s="12"/>
      <c r="I21386" s="12"/>
      <c r="J21386" s="12"/>
      <c r="K21386" s="12"/>
      <c r="L21386" s="12"/>
      <c r="M21386" s="11"/>
      <c r="N21386" s="11"/>
      <c r="O21386" s="11"/>
      <c r="P21386" s="11"/>
    </row>
    <row r="21387" spans="8:16" x14ac:dyDescent="0.25">
      <c r="H21387" s="12"/>
      <c r="I21387" s="12"/>
      <c r="J21387" s="12"/>
      <c r="K21387" s="12"/>
      <c r="L21387" s="12"/>
      <c r="M21387" s="11"/>
      <c r="N21387" s="11"/>
      <c r="O21387" s="11"/>
      <c r="P21387" s="11"/>
    </row>
    <row r="21388" spans="8:16" x14ac:dyDescent="0.25">
      <c r="H21388" s="12"/>
      <c r="I21388" s="12"/>
      <c r="J21388" s="12"/>
      <c r="K21388" s="12"/>
      <c r="L21388" s="12"/>
      <c r="M21388" s="11"/>
      <c r="N21388" s="11"/>
      <c r="O21388" s="11"/>
      <c r="P21388" s="11"/>
    </row>
    <row r="21389" spans="8:16" x14ac:dyDescent="0.25">
      <c r="H21389" s="12"/>
      <c r="I21389" s="12"/>
      <c r="J21389" s="12"/>
      <c r="K21389" s="12"/>
      <c r="L21389" s="12"/>
      <c r="M21389" s="11"/>
      <c r="N21389" s="11"/>
      <c r="O21389" s="11"/>
      <c r="P21389" s="11"/>
    </row>
    <row r="21390" spans="8:16" x14ac:dyDescent="0.25">
      <c r="H21390" s="12"/>
      <c r="I21390" s="12"/>
      <c r="J21390" s="12"/>
      <c r="K21390" s="12"/>
      <c r="L21390" s="12"/>
      <c r="M21390" s="11"/>
      <c r="N21390" s="11"/>
      <c r="O21390" s="11"/>
      <c r="P21390" s="11"/>
    </row>
    <row r="21391" spans="8:16" x14ac:dyDescent="0.25">
      <c r="H21391" s="12"/>
      <c r="I21391" s="12"/>
      <c r="J21391" s="12"/>
      <c r="K21391" s="12"/>
      <c r="L21391" s="12"/>
      <c r="M21391" s="11"/>
      <c r="N21391" s="11"/>
      <c r="O21391" s="11"/>
      <c r="P21391" s="11"/>
    </row>
    <row r="21392" spans="8:16" x14ac:dyDescent="0.25">
      <c r="H21392" s="12"/>
      <c r="I21392" s="12"/>
      <c r="J21392" s="12"/>
      <c r="K21392" s="12"/>
      <c r="L21392" s="12"/>
      <c r="M21392" s="11"/>
      <c r="N21392" s="11"/>
      <c r="O21392" s="11"/>
      <c r="P21392" s="11"/>
    </row>
    <row r="21393" spans="8:16" x14ac:dyDescent="0.25">
      <c r="H21393" s="12"/>
      <c r="I21393" s="12"/>
      <c r="J21393" s="12"/>
      <c r="K21393" s="12"/>
      <c r="L21393" s="12"/>
      <c r="M21393" s="11"/>
      <c r="N21393" s="11"/>
      <c r="O21393" s="11"/>
      <c r="P21393" s="11"/>
    </row>
    <row r="21394" spans="8:16" x14ac:dyDescent="0.25">
      <c r="H21394" s="12"/>
      <c r="I21394" s="12"/>
      <c r="J21394" s="12"/>
      <c r="K21394" s="12"/>
      <c r="L21394" s="12"/>
      <c r="M21394" s="11"/>
      <c r="N21394" s="11"/>
      <c r="O21394" s="11"/>
      <c r="P21394" s="11"/>
    </row>
    <row r="21395" spans="8:16" x14ac:dyDescent="0.25">
      <c r="H21395" s="12"/>
      <c r="I21395" s="12"/>
      <c r="J21395" s="12"/>
      <c r="K21395" s="12"/>
      <c r="L21395" s="12"/>
      <c r="M21395" s="11"/>
      <c r="N21395" s="11"/>
      <c r="O21395" s="11"/>
      <c r="P21395" s="11"/>
    </row>
    <row r="21396" spans="8:16" x14ac:dyDescent="0.25">
      <c r="H21396" s="12"/>
      <c r="I21396" s="12"/>
      <c r="J21396" s="12"/>
      <c r="K21396" s="12"/>
      <c r="L21396" s="12"/>
      <c r="M21396" s="11"/>
      <c r="N21396" s="11"/>
      <c r="O21396" s="11"/>
      <c r="P21396" s="11"/>
    </row>
    <row r="21397" spans="8:16" x14ac:dyDescent="0.25">
      <c r="H21397" s="12"/>
      <c r="I21397" s="12"/>
      <c r="J21397" s="12"/>
      <c r="K21397" s="12"/>
      <c r="L21397" s="12"/>
      <c r="M21397" s="11"/>
      <c r="N21397" s="11"/>
      <c r="O21397" s="11"/>
      <c r="P21397" s="11"/>
    </row>
    <row r="21398" spans="8:16" x14ac:dyDescent="0.25">
      <c r="H21398" s="12"/>
      <c r="I21398" s="12"/>
      <c r="J21398" s="12"/>
      <c r="K21398" s="12"/>
      <c r="L21398" s="12"/>
      <c r="M21398" s="11"/>
      <c r="N21398" s="11"/>
      <c r="O21398" s="11"/>
      <c r="P21398" s="11"/>
    </row>
    <row r="21399" spans="8:16" x14ac:dyDescent="0.25">
      <c r="H21399" s="12"/>
      <c r="I21399" s="12"/>
      <c r="J21399" s="12"/>
      <c r="K21399" s="12"/>
      <c r="L21399" s="12"/>
      <c r="M21399" s="11"/>
      <c r="N21399" s="11"/>
      <c r="O21399" s="11"/>
      <c r="P21399" s="11"/>
    </row>
    <row r="21400" spans="8:16" x14ac:dyDescent="0.25">
      <c r="H21400" s="12"/>
      <c r="I21400" s="12"/>
      <c r="J21400" s="12"/>
      <c r="K21400" s="12"/>
      <c r="L21400" s="12"/>
      <c r="M21400" s="11"/>
      <c r="N21400" s="11"/>
      <c r="O21400" s="11"/>
      <c r="P21400" s="11"/>
    </row>
    <row r="21401" spans="8:16" x14ac:dyDescent="0.25">
      <c r="H21401" s="12"/>
      <c r="I21401" s="12"/>
      <c r="J21401" s="12"/>
      <c r="K21401" s="12"/>
      <c r="L21401" s="12"/>
      <c r="M21401" s="11"/>
      <c r="N21401" s="11"/>
      <c r="O21401" s="11"/>
      <c r="P21401" s="11"/>
    </row>
    <row r="21402" spans="8:16" x14ac:dyDescent="0.25">
      <c r="H21402" s="12"/>
      <c r="I21402" s="12"/>
      <c r="J21402" s="12"/>
      <c r="K21402" s="12"/>
      <c r="L21402" s="12"/>
      <c r="M21402" s="11"/>
      <c r="N21402" s="11"/>
      <c r="O21402" s="11"/>
      <c r="P21402" s="11"/>
    </row>
    <row r="21403" spans="8:16" x14ac:dyDescent="0.25">
      <c r="H21403" s="12"/>
      <c r="I21403" s="12"/>
      <c r="J21403" s="12"/>
      <c r="K21403" s="12"/>
      <c r="L21403" s="12"/>
      <c r="M21403" s="11"/>
      <c r="N21403" s="11"/>
      <c r="O21403" s="11"/>
      <c r="P21403" s="11"/>
    </row>
    <row r="21404" spans="8:16" x14ac:dyDescent="0.25">
      <c r="H21404" s="12"/>
      <c r="I21404" s="12"/>
      <c r="J21404" s="12"/>
      <c r="K21404" s="12"/>
      <c r="L21404" s="12"/>
      <c r="M21404" s="11"/>
      <c r="N21404" s="11"/>
      <c r="O21404" s="11"/>
      <c r="P21404" s="11"/>
    </row>
    <row r="21405" spans="8:16" x14ac:dyDescent="0.25">
      <c r="H21405" s="12"/>
      <c r="I21405" s="12"/>
      <c r="J21405" s="12"/>
      <c r="K21405" s="12"/>
      <c r="L21405" s="12"/>
      <c r="M21405" s="11"/>
      <c r="N21405" s="11"/>
      <c r="O21405" s="11"/>
      <c r="P21405" s="11"/>
    </row>
    <row r="21406" spans="8:16" x14ac:dyDescent="0.25">
      <c r="H21406" s="12"/>
      <c r="I21406" s="12"/>
      <c r="J21406" s="12"/>
      <c r="K21406" s="12"/>
      <c r="L21406" s="12"/>
      <c r="M21406" s="11"/>
      <c r="N21406" s="11"/>
      <c r="O21406" s="11"/>
      <c r="P21406" s="11"/>
    </row>
    <row r="21407" spans="8:16" x14ac:dyDescent="0.25">
      <c r="H21407" s="12"/>
      <c r="I21407" s="12"/>
      <c r="J21407" s="12"/>
      <c r="K21407" s="12"/>
      <c r="L21407" s="12"/>
      <c r="M21407" s="11"/>
      <c r="N21407" s="11"/>
      <c r="O21407" s="11"/>
      <c r="P21407" s="11"/>
    </row>
    <row r="21408" spans="8:16" x14ac:dyDescent="0.25">
      <c r="H21408" s="12"/>
      <c r="I21408" s="12"/>
      <c r="J21408" s="12"/>
      <c r="K21408" s="12"/>
      <c r="L21408" s="12"/>
      <c r="M21408" s="11"/>
      <c r="N21408" s="11"/>
      <c r="O21408" s="11"/>
      <c r="P21408" s="11"/>
    </row>
    <row r="21409" spans="8:16" x14ac:dyDescent="0.25">
      <c r="H21409" s="12"/>
      <c r="I21409" s="12"/>
      <c r="J21409" s="12"/>
      <c r="K21409" s="12"/>
      <c r="L21409" s="12"/>
      <c r="M21409" s="11"/>
      <c r="N21409" s="11"/>
      <c r="O21409" s="11"/>
      <c r="P21409" s="11"/>
    </row>
    <row r="21410" spans="8:16" x14ac:dyDescent="0.25">
      <c r="H21410" s="12"/>
      <c r="I21410" s="12"/>
      <c r="J21410" s="12"/>
      <c r="K21410" s="12"/>
      <c r="L21410" s="12"/>
      <c r="M21410" s="11"/>
      <c r="N21410" s="11"/>
      <c r="O21410" s="11"/>
      <c r="P21410" s="11"/>
    </row>
    <row r="21411" spans="8:16" x14ac:dyDescent="0.25">
      <c r="H21411" s="12"/>
      <c r="I21411" s="12"/>
      <c r="J21411" s="12"/>
      <c r="K21411" s="12"/>
      <c r="L21411" s="12"/>
      <c r="M21411" s="11"/>
      <c r="N21411" s="11"/>
      <c r="O21411" s="11"/>
      <c r="P21411" s="11"/>
    </row>
    <row r="21412" spans="8:16" x14ac:dyDescent="0.25">
      <c r="H21412" s="12"/>
      <c r="I21412" s="12"/>
      <c r="J21412" s="12"/>
      <c r="K21412" s="12"/>
      <c r="L21412" s="12"/>
      <c r="M21412" s="11"/>
      <c r="N21412" s="11"/>
      <c r="O21412" s="11"/>
      <c r="P21412" s="11"/>
    </row>
    <row r="21413" spans="8:16" x14ac:dyDescent="0.25">
      <c r="H21413" s="12"/>
      <c r="I21413" s="12"/>
      <c r="J21413" s="12"/>
      <c r="K21413" s="12"/>
      <c r="L21413" s="12"/>
      <c r="M21413" s="11"/>
      <c r="N21413" s="11"/>
      <c r="O21413" s="11"/>
      <c r="P21413" s="11"/>
    </row>
    <row r="21414" spans="8:16" x14ac:dyDescent="0.25">
      <c r="H21414" s="12"/>
      <c r="I21414" s="12"/>
      <c r="J21414" s="12"/>
      <c r="K21414" s="12"/>
      <c r="L21414" s="12"/>
      <c r="M21414" s="11"/>
      <c r="N21414" s="11"/>
      <c r="O21414" s="11"/>
      <c r="P21414" s="11"/>
    </row>
    <row r="21415" spans="8:16" x14ac:dyDescent="0.25">
      <c r="H21415" s="12"/>
      <c r="I21415" s="12"/>
      <c r="J21415" s="12"/>
      <c r="K21415" s="12"/>
      <c r="L21415" s="12"/>
      <c r="M21415" s="11"/>
      <c r="N21415" s="11"/>
      <c r="O21415" s="11"/>
      <c r="P21415" s="11"/>
    </row>
    <row r="21416" spans="8:16" x14ac:dyDescent="0.25">
      <c r="H21416" s="12"/>
      <c r="I21416" s="12"/>
      <c r="J21416" s="12"/>
      <c r="K21416" s="12"/>
      <c r="L21416" s="12"/>
      <c r="M21416" s="11"/>
      <c r="N21416" s="11"/>
      <c r="O21416" s="11"/>
      <c r="P21416" s="11"/>
    </row>
    <row r="21417" spans="8:16" x14ac:dyDescent="0.25">
      <c r="H21417" s="12"/>
      <c r="I21417" s="12"/>
      <c r="J21417" s="12"/>
      <c r="K21417" s="12"/>
      <c r="L21417" s="12"/>
      <c r="M21417" s="11"/>
      <c r="N21417" s="11"/>
      <c r="O21417" s="11"/>
      <c r="P21417" s="11"/>
    </row>
    <row r="21418" spans="8:16" x14ac:dyDescent="0.25">
      <c r="H21418" s="12"/>
      <c r="I21418" s="12"/>
      <c r="J21418" s="12"/>
      <c r="K21418" s="12"/>
      <c r="L21418" s="12"/>
      <c r="M21418" s="11"/>
      <c r="N21418" s="11"/>
      <c r="O21418" s="11"/>
      <c r="P21418" s="11"/>
    </row>
    <row r="21419" spans="8:16" x14ac:dyDescent="0.25">
      <c r="H21419" s="12"/>
      <c r="I21419" s="12"/>
      <c r="J21419" s="12"/>
      <c r="K21419" s="12"/>
      <c r="L21419" s="12"/>
      <c r="M21419" s="11"/>
      <c r="N21419" s="11"/>
      <c r="O21419" s="11"/>
      <c r="P21419" s="11"/>
    </row>
    <row r="21420" spans="8:16" x14ac:dyDescent="0.25">
      <c r="H21420" s="12"/>
      <c r="I21420" s="12"/>
      <c r="J21420" s="12"/>
      <c r="K21420" s="12"/>
      <c r="L21420" s="12"/>
      <c r="M21420" s="11"/>
      <c r="N21420" s="11"/>
      <c r="O21420" s="11"/>
      <c r="P21420" s="11"/>
    </row>
    <row r="21421" spans="8:16" x14ac:dyDescent="0.25">
      <c r="H21421" s="12"/>
      <c r="I21421" s="12"/>
      <c r="J21421" s="12"/>
      <c r="K21421" s="12"/>
      <c r="L21421" s="12"/>
      <c r="M21421" s="11"/>
      <c r="N21421" s="11"/>
      <c r="O21421" s="11"/>
      <c r="P21421" s="11"/>
    </row>
    <row r="21422" spans="8:16" x14ac:dyDescent="0.25">
      <c r="H21422" s="12"/>
      <c r="I21422" s="12"/>
      <c r="J21422" s="12"/>
      <c r="K21422" s="12"/>
      <c r="L21422" s="12"/>
      <c r="M21422" s="11"/>
      <c r="N21422" s="11"/>
      <c r="O21422" s="11"/>
      <c r="P21422" s="11"/>
    </row>
    <row r="21423" spans="8:16" x14ac:dyDescent="0.25">
      <c r="H21423" s="12"/>
      <c r="I21423" s="12"/>
      <c r="J21423" s="12"/>
      <c r="K21423" s="12"/>
      <c r="L21423" s="12"/>
      <c r="M21423" s="11"/>
      <c r="N21423" s="11"/>
      <c r="O21423" s="11"/>
      <c r="P21423" s="11"/>
    </row>
    <row r="21424" spans="8:16" x14ac:dyDescent="0.25">
      <c r="H21424" s="12"/>
      <c r="I21424" s="12"/>
      <c r="J21424" s="12"/>
      <c r="K21424" s="12"/>
      <c r="L21424" s="12"/>
      <c r="M21424" s="11"/>
      <c r="N21424" s="11"/>
      <c r="O21424" s="11"/>
      <c r="P21424" s="11"/>
    </row>
    <row r="21425" spans="8:16" x14ac:dyDescent="0.25">
      <c r="H21425" s="12"/>
      <c r="I21425" s="12"/>
      <c r="J21425" s="12"/>
      <c r="K21425" s="12"/>
      <c r="L21425" s="12"/>
      <c r="M21425" s="11"/>
      <c r="N21425" s="11"/>
      <c r="O21425" s="11"/>
      <c r="P21425" s="11"/>
    </row>
    <row r="21426" spans="8:16" x14ac:dyDescent="0.25">
      <c r="H21426" s="12"/>
      <c r="I21426" s="12"/>
      <c r="J21426" s="12"/>
      <c r="K21426" s="12"/>
      <c r="L21426" s="12"/>
      <c r="M21426" s="11"/>
      <c r="N21426" s="11"/>
      <c r="O21426" s="11"/>
      <c r="P21426" s="11"/>
    </row>
    <row r="21427" spans="8:16" x14ac:dyDescent="0.25">
      <c r="H21427" s="12"/>
      <c r="I21427" s="12"/>
      <c r="J21427" s="12"/>
      <c r="K21427" s="12"/>
      <c r="L21427" s="12"/>
      <c r="M21427" s="11"/>
      <c r="N21427" s="11"/>
      <c r="O21427" s="11"/>
      <c r="P21427" s="11"/>
    </row>
    <row r="21428" spans="8:16" x14ac:dyDescent="0.25">
      <c r="H21428" s="12"/>
      <c r="I21428" s="12"/>
      <c r="J21428" s="12"/>
      <c r="K21428" s="12"/>
      <c r="L21428" s="12"/>
      <c r="M21428" s="11"/>
      <c r="N21428" s="11"/>
      <c r="O21428" s="11"/>
      <c r="P21428" s="11"/>
    </row>
    <row r="21429" spans="8:16" x14ac:dyDescent="0.25">
      <c r="H21429" s="12"/>
      <c r="I21429" s="12"/>
      <c r="J21429" s="12"/>
      <c r="K21429" s="12"/>
      <c r="L21429" s="12"/>
      <c r="M21429" s="11"/>
      <c r="N21429" s="11"/>
      <c r="O21429" s="11"/>
      <c r="P21429" s="11"/>
    </row>
    <row r="21430" spans="8:16" x14ac:dyDescent="0.25">
      <c r="H21430" s="12"/>
      <c r="I21430" s="12"/>
      <c r="J21430" s="12"/>
      <c r="K21430" s="12"/>
      <c r="L21430" s="12"/>
      <c r="M21430" s="11"/>
      <c r="N21430" s="11"/>
      <c r="O21430" s="11"/>
      <c r="P21430" s="11"/>
    </row>
    <row r="21431" spans="8:16" x14ac:dyDescent="0.25">
      <c r="H21431" s="12"/>
      <c r="I21431" s="12"/>
      <c r="J21431" s="12"/>
      <c r="K21431" s="12"/>
      <c r="L21431" s="12"/>
      <c r="M21431" s="11"/>
      <c r="N21431" s="11"/>
      <c r="O21431" s="11"/>
      <c r="P21431" s="11"/>
    </row>
    <row r="21432" spans="8:16" x14ac:dyDescent="0.25">
      <c r="H21432" s="12"/>
      <c r="I21432" s="12"/>
      <c r="J21432" s="12"/>
      <c r="K21432" s="12"/>
      <c r="L21432" s="12"/>
      <c r="M21432" s="11"/>
      <c r="N21432" s="11"/>
      <c r="O21432" s="11"/>
      <c r="P21432" s="11"/>
    </row>
    <row r="21433" spans="8:16" x14ac:dyDescent="0.25">
      <c r="H21433" s="12"/>
      <c r="I21433" s="12"/>
      <c r="J21433" s="12"/>
      <c r="K21433" s="12"/>
      <c r="L21433" s="12"/>
      <c r="M21433" s="11"/>
      <c r="N21433" s="11"/>
      <c r="O21433" s="11"/>
      <c r="P21433" s="11"/>
    </row>
    <row r="21434" spans="8:16" x14ac:dyDescent="0.25">
      <c r="H21434" s="12"/>
      <c r="I21434" s="12"/>
      <c r="J21434" s="12"/>
      <c r="K21434" s="12"/>
      <c r="L21434" s="12"/>
      <c r="M21434" s="11"/>
      <c r="N21434" s="11"/>
      <c r="O21434" s="11"/>
      <c r="P21434" s="11"/>
    </row>
    <row r="21435" spans="8:16" x14ac:dyDescent="0.25">
      <c r="H21435" s="12"/>
      <c r="I21435" s="12"/>
      <c r="J21435" s="12"/>
      <c r="K21435" s="12"/>
      <c r="L21435" s="12"/>
      <c r="M21435" s="11"/>
      <c r="N21435" s="11"/>
      <c r="O21435" s="11"/>
      <c r="P21435" s="11"/>
    </row>
    <row r="21436" spans="8:16" x14ac:dyDescent="0.25">
      <c r="H21436" s="12"/>
      <c r="I21436" s="12"/>
      <c r="J21436" s="12"/>
      <c r="K21436" s="12"/>
      <c r="L21436" s="12"/>
      <c r="M21436" s="11"/>
      <c r="N21436" s="11"/>
      <c r="O21436" s="11"/>
      <c r="P21436" s="11"/>
    </row>
    <row r="21437" spans="8:16" x14ac:dyDescent="0.25">
      <c r="H21437" s="12"/>
      <c r="I21437" s="12"/>
      <c r="J21437" s="12"/>
      <c r="K21437" s="12"/>
      <c r="L21437" s="12"/>
      <c r="M21437" s="11"/>
      <c r="N21437" s="11"/>
      <c r="O21437" s="11"/>
      <c r="P21437" s="11"/>
    </row>
    <row r="21438" spans="8:16" x14ac:dyDescent="0.25">
      <c r="H21438" s="12"/>
      <c r="I21438" s="12"/>
      <c r="J21438" s="12"/>
      <c r="K21438" s="12"/>
      <c r="L21438" s="12"/>
      <c r="M21438" s="11"/>
      <c r="N21438" s="11"/>
      <c r="O21438" s="11"/>
      <c r="P21438" s="11"/>
    </row>
    <row r="21439" spans="8:16" x14ac:dyDescent="0.25">
      <c r="H21439" s="12"/>
      <c r="I21439" s="12"/>
      <c r="J21439" s="12"/>
      <c r="K21439" s="12"/>
      <c r="L21439" s="12"/>
      <c r="M21439" s="11"/>
      <c r="N21439" s="11"/>
      <c r="O21439" s="11"/>
      <c r="P21439" s="11"/>
    </row>
    <row r="21440" spans="8:16" x14ac:dyDescent="0.25">
      <c r="H21440" s="12"/>
      <c r="I21440" s="12"/>
      <c r="J21440" s="12"/>
      <c r="K21440" s="12"/>
      <c r="L21440" s="12"/>
      <c r="M21440" s="11"/>
      <c r="N21440" s="11"/>
      <c r="O21440" s="11"/>
      <c r="P21440" s="11"/>
    </row>
    <row r="21441" spans="8:16" x14ac:dyDescent="0.25">
      <c r="H21441" s="12"/>
      <c r="I21441" s="12"/>
      <c r="J21441" s="12"/>
      <c r="K21441" s="12"/>
      <c r="L21441" s="12"/>
      <c r="M21441" s="11"/>
      <c r="N21441" s="11"/>
      <c r="O21441" s="11"/>
      <c r="P21441" s="11"/>
    </row>
    <row r="21442" spans="8:16" x14ac:dyDescent="0.25">
      <c r="H21442" s="12"/>
      <c r="I21442" s="12"/>
      <c r="J21442" s="12"/>
      <c r="K21442" s="12"/>
      <c r="L21442" s="12"/>
      <c r="M21442" s="11"/>
      <c r="N21442" s="11"/>
      <c r="O21442" s="11"/>
      <c r="P21442" s="11"/>
    </row>
    <row r="21443" spans="8:16" x14ac:dyDescent="0.25">
      <c r="H21443" s="12"/>
      <c r="I21443" s="12"/>
      <c r="J21443" s="12"/>
      <c r="K21443" s="12"/>
      <c r="L21443" s="12"/>
      <c r="M21443" s="11"/>
      <c r="N21443" s="11"/>
      <c r="O21443" s="11"/>
      <c r="P21443" s="11"/>
    </row>
    <row r="21444" spans="8:16" x14ac:dyDescent="0.25">
      <c r="H21444" s="12"/>
      <c r="I21444" s="12"/>
      <c r="J21444" s="12"/>
      <c r="K21444" s="12"/>
      <c r="L21444" s="12"/>
      <c r="M21444" s="11"/>
      <c r="N21444" s="11"/>
      <c r="O21444" s="11"/>
      <c r="P21444" s="11"/>
    </row>
    <row r="21445" spans="8:16" x14ac:dyDescent="0.25">
      <c r="H21445" s="12"/>
      <c r="I21445" s="12"/>
      <c r="J21445" s="12"/>
      <c r="K21445" s="12"/>
      <c r="L21445" s="12"/>
      <c r="M21445" s="11"/>
      <c r="N21445" s="11"/>
      <c r="O21445" s="11"/>
      <c r="P21445" s="11"/>
    </row>
    <row r="21446" spans="8:16" x14ac:dyDescent="0.25">
      <c r="H21446" s="12"/>
      <c r="I21446" s="12"/>
      <c r="J21446" s="12"/>
      <c r="K21446" s="12"/>
      <c r="L21446" s="12"/>
      <c r="M21446" s="11"/>
      <c r="N21446" s="11"/>
      <c r="O21446" s="11"/>
      <c r="P21446" s="11"/>
    </row>
    <row r="21447" spans="8:16" x14ac:dyDescent="0.25">
      <c r="H21447" s="12"/>
      <c r="I21447" s="12"/>
      <c r="J21447" s="12"/>
      <c r="K21447" s="12"/>
      <c r="L21447" s="12"/>
      <c r="M21447" s="11"/>
      <c r="N21447" s="11"/>
      <c r="O21447" s="11"/>
      <c r="P21447" s="11"/>
    </row>
    <row r="21448" spans="8:16" x14ac:dyDescent="0.25">
      <c r="H21448" s="12"/>
      <c r="I21448" s="12"/>
      <c r="J21448" s="12"/>
      <c r="K21448" s="12"/>
      <c r="L21448" s="12"/>
      <c r="M21448" s="11"/>
      <c r="N21448" s="11"/>
      <c r="O21448" s="11"/>
      <c r="P21448" s="11"/>
    </row>
    <row r="21449" spans="8:16" x14ac:dyDescent="0.25">
      <c r="H21449" s="12"/>
      <c r="I21449" s="12"/>
      <c r="J21449" s="12"/>
      <c r="K21449" s="12"/>
      <c r="L21449" s="12"/>
      <c r="M21449" s="11"/>
      <c r="N21449" s="11"/>
      <c r="O21449" s="11"/>
      <c r="P21449" s="11"/>
    </row>
    <row r="21450" spans="8:16" x14ac:dyDescent="0.25">
      <c r="H21450" s="12"/>
      <c r="I21450" s="12"/>
      <c r="J21450" s="12"/>
      <c r="K21450" s="12"/>
      <c r="L21450" s="12"/>
      <c r="M21450" s="11"/>
      <c r="N21450" s="11"/>
      <c r="O21450" s="11"/>
      <c r="P21450" s="11"/>
    </row>
    <row r="21451" spans="8:16" x14ac:dyDescent="0.25">
      <c r="H21451" s="12"/>
      <c r="I21451" s="12"/>
      <c r="J21451" s="12"/>
      <c r="K21451" s="12"/>
      <c r="L21451" s="12"/>
      <c r="M21451" s="11"/>
      <c r="N21451" s="11"/>
      <c r="O21451" s="11"/>
      <c r="P21451" s="11"/>
    </row>
    <row r="21452" spans="8:16" x14ac:dyDescent="0.25">
      <c r="H21452" s="12"/>
      <c r="I21452" s="12"/>
      <c r="J21452" s="12"/>
      <c r="K21452" s="12"/>
      <c r="L21452" s="12"/>
      <c r="M21452" s="11"/>
      <c r="N21452" s="11"/>
      <c r="O21452" s="11"/>
      <c r="P21452" s="11"/>
    </row>
    <row r="21453" spans="8:16" x14ac:dyDescent="0.25">
      <c r="H21453" s="12"/>
      <c r="I21453" s="12"/>
      <c r="J21453" s="12"/>
      <c r="K21453" s="12"/>
      <c r="L21453" s="12"/>
      <c r="M21453" s="11"/>
      <c r="N21453" s="11"/>
      <c r="O21453" s="11"/>
      <c r="P21453" s="11"/>
    </row>
    <row r="21454" spans="8:16" x14ac:dyDescent="0.25">
      <c r="H21454" s="12"/>
      <c r="I21454" s="12"/>
      <c r="J21454" s="12"/>
      <c r="K21454" s="12"/>
      <c r="L21454" s="12"/>
      <c r="M21454" s="11"/>
      <c r="N21454" s="11"/>
      <c r="O21454" s="11"/>
      <c r="P21454" s="11"/>
    </row>
    <row r="21455" spans="8:16" x14ac:dyDescent="0.25">
      <c r="H21455" s="12"/>
      <c r="I21455" s="12"/>
      <c r="J21455" s="12"/>
      <c r="K21455" s="12"/>
      <c r="L21455" s="12"/>
      <c r="M21455" s="11"/>
      <c r="N21455" s="11"/>
      <c r="O21455" s="11"/>
      <c r="P21455" s="11"/>
    </row>
    <row r="21456" spans="8:16" x14ac:dyDescent="0.25">
      <c r="H21456" s="12"/>
      <c r="I21456" s="12"/>
      <c r="J21456" s="12"/>
      <c r="K21456" s="12"/>
      <c r="L21456" s="12"/>
      <c r="M21456" s="11"/>
      <c r="N21456" s="11"/>
      <c r="O21456" s="11"/>
      <c r="P21456" s="11"/>
    </row>
    <row r="21457" spans="8:16" x14ac:dyDescent="0.25">
      <c r="H21457" s="12"/>
      <c r="I21457" s="12"/>
      <c r="J21457" s="12"/>
      <c r="K21457" s="12"/>
      <c r="L21457" s="12"/>
      <c r="M21457" s="11"/>
      <c r="N21457" s="11"/>
      <c r="O21457" s="11"/>
      <c r="P21457" s="11"/>
    </row>
    <row r="21458" spans="8:16" x14ac:dyDescent="0.25">
      <c r="H21458" s="12"/>
      <c r="I21458" s="12"/>
      <c r="J21458" s="12"/>
      <c r="K21458" s="12"/>
      <c r="L21458" s="12"/>
      <c r="M21458" s="11"/>
      <c r="N21458" s="11"/>
      <c r="O21458" s="11"/>
      <c r="P21458" s="11"/>
    </row>
    <row r="21459" spans="8:16" x14ac:dyDescent="0.25">
      <c r="H21459" s="12"/>
      <c r="I21459" s="12"/>
      <c r="J21459" s="12"/>
      <c r="K21459" s="12"/>
      <c r="L21459" s="12"/>
      <c r="M21459" s="11"/>
      <c r="N21459" s="11"/>
      <c r="O21459" s="11"/>
      <c r="P21459" s="11"/>
    </row>
    <row r="21460" spans="8:16" x14ac:dyDescent="0.25">
      <c r="H21460" s="12"/>
      <c r="I21460" s="12"/>
      <c r="J21460" s="12"/>
      <c r="K21460" s="12"/>
      <c r="L21460" s="12"/>
      <c r="M21460" s="11"/>
      <c r="N21460" s="11"/>
      <c r="O21460" s="11"/>
      <c r="P21460" s="11"/>
    </row>
    <row r="21461" spans="8:16" x14ac:dyDescent="0.25">
      <c r="H21461" s="12"/>
      <c r="I21461" s="12"/>
      <c r="J21461" s="12"/>
      <c r="K21461" s="12"/>
      <c r="L21461" s="12"/>
      <c r="M21461" s="11"/>
      <c r="N21461" s="11"/>
      <c r="O21461" s="11"/>
      <c r="P21461" s="11"/>
    </row>
    <row r="21462" spans="8:16" x14ac:dyDescent="0.25">
      <c r="H21462" s="12"/>
      <c r="I21462" s="12"/>
      <c r="J21462" s="12"/>
      <c r="K21462" s="12"/>
      <c r="L21462" s="12"/>
      <c r="M21462" s="11"/>
      <c r="N21462" s="11"/>
      <c r="O21462" s="11"/>
      <c r="P21462" s="11"/>
    </row>
    <row r="21463" spans="8:16" x14ac:dyDescent="0.25">
      <c r="H21463" s="12"/>
      <c r="I21463" s="12"/>
      <c r="J21463" s="12"/>
      <c r="K21463" s="12"/>
      <c r="L21463" s="12"/>
      <c r="M21463" s="11"/>
      <c r="N21463" s="11"/>
      <c r="O21463" s="11"/>
      <c r="P21463" s="11"/>
    </row>
    <row r="21464" spans="8:16" x14ac:dyDescent="0.25">
      <c r="H21464" s="12"/>
      <c r="I21464" s="12"/>
      <c r="J21464" s="12"/>
      <c r="K21464" s="12"/>
      <c r="L21464" s="12"/>
      <c r="M21464" s="11"/>
      <c r="N21464" s="11"/>
      <c r="O21464" s="11"/>
      <c r="P21464" s="11"/>
    </row>
    <row r="21465" spans="8:16" x14ac:dyDescent="0.25">
      <c r="H21465" s="12"/>
      <c r="I21465" s="12"/>
      <c r="J21465" s="12"/>
      <c r="K21465" s="12"/>
      <c r="L21465" s="12"/>
      <c r="M21465" s="11"/>
      <c r="N21465" s="11"/>
      <c r="O21465" s="11"/>
      <c r="P21465" s="11"/>
    </row>
    <row r="21466" spans="8:16" x14ac:dyDescent="0.25">
      <c r="H21466" s="12"/>
      <c r="I21466" s="12"/>
      <c r="J21466" s="12"/>
      <c r="K21466" s="12"/>
      <c r="L21466" s="12"/>
      <c r="M21466" s="11"/>
      <c r="N21466" s="11"/>
      <c r="O21466" s="11"/>
      <c r="P21466" s="11"/>
    </row>
    <row r="21467" spans="8:16" x14ac:dyDescent="0.25">
      <c r="H21467" s="12"/>
      <c r="I21467" s="12"/>
      <c r="J21467" s="12"/>
      <c r="K21467" s="12"/>
      <c r="L21467" s="12"/>
      <c r="M21467" s="11"/>
      <c r="N21467" s="11"/>
      <c r="O21467" s="11"/>
      <c r="P21467" s="11"/>
    </row>
    <row r="21468" spans="8:16" x14ac:dyDescent="0.25">
      <c r="H21468" s="12"/>
      <c r="I21468" s="12"/>
      <c r="J21468" s="12"/>
      <c r="K21468" s="12"/>
      <c r="L21468" s="12"/>
      <c r="M21468" s="11"/>
      <c r="N21468" s="11"/>
      <c r="O21468" s="11"/>
      <c r="P21468" s="11"/>
    </row>
    <row r="21469" spans="8:16" x14ac:dyDescent="0.25">
      <c r="H21469" s="12"/>
      <c r="I21469" s="12"/>
      <c r="J21469" s="12"/>
      <c r="K21469" s="12"/>
      <c r="L21469" s="12"/>
      <c r="M21469" s="11"/>
      <c r="N21469" s="11"/>
      <c r="O21469" s="11"/>
      <c r="P21469" s="11"/>
    </row>
    <row r="21470" spans="8:16" x14ac:dyDescent="0.25">
      <c r="H21470" s="12"/>
      <c r="I21470" s="12"/>
      <c r="J21470" s="12"/>
      <c r="K21470" s="12"/>
      <c r="L21470" s="12"/>
      <c r="M21470" s="11"/>
      <c r="N21470" s="11"/>
      <c r="O21470" s="11"/>
      <c r="P21470" s="11"/>
    </row>
    <row r="21471" spans="8:16" x14ac:dyDescent="0.25">
      <c r="H21471" s="12"/>
      <c r="I21471" s="12"/>
      <c r="J21471" s="12"/>
      <c r="K21471" s="12"/>
      <c r="L21471" s="12"/>
      <c r="M21471" s="11"/>
      <c r="N21471" s="11"/>
      <c r="O21471" s="11"/>
      <c r="P21471" s="11"/>
    </row>
    <row r="21472" spans="8:16" x14ac:dyDescent="0.25">
      <c r="H21472" s="12"/>
      <c r="I21472" s="12"/>
      <c r="J21472" s="12"/>
      <c r="K21472" s="12"/>
      <c r="L21472" s="12"/>
      <c r="M21472" s="11"/>
      <c r="N21472" s="11"/>
      <c r="O21472" s="11"/>
      <c r="P21472" s="11"/>
    </row>
    <row r="21473" spans="8:16" x14ac:dyDescent="0.25">
      <c r="H21473" s="12"/>
      <c r="I21473" s="12"/>
      <c r="J21473" s="12"/>
      <c r="K21473" s="12"/>
      <c r="L21473" s="12"/>
      <c r="M21473" s="11"/>
      <c r="N21473" s="11"/>
      <c r="O21473" s="11"/>
      <c r="P21473" s="11"/>
    </row>
    <row r="21474" spans="8:16" x14ac:dyDescent="0.25">
      <c r="H21474" s="12"/>
      <c r="I21474" s="12"/>
      <c r="J21474" s="12"/>
      <c r="K21474" s="12"/>
      <c r="L21474" s="12"/>
      <c r="M21474" s="11"/>
      <c r="N21474" s="11"/>
      <c r="O21474" s="11"/>
      <c r="P21474" s="11"/>
    </row>
    <row r="21475" spans="8:16" x14ac:dyDescent="0.25">
      <c r="H21475" s="12"/>
      <c r="I21475" s="12"/>
      <c r="J21475" s="12"/>
      <c r="K21475" s="12"/>
      <c r="L21475" s="12"/>
      <c r="M21475" s="11"/>
      <c r="N21475" s="11"/>
      <c r="O21475" s="11"/>
      <c r="P21475" s="11"/>
    </row>
    <row r="21476" spans="8:16" x14ac:dyDescent="0.25">
      <c r="H21476" s="12"/>
      <c r="I21476" s="12"/>
      <c r="J21476" s="12"/>
      <c r="K21476" s="12"/>
      <c r="L21476" s="12"/>
      <c r="M21476" s="11"/>
      <c r="N21476" s="11"/>
      <c r="O21476" s="11"/>
      <c r="P21476" s="11"/>
    </row>
    <row r="21477" spans="8:16" x14ac:dyDescent="0.25">
      <c r="H21477" s="12"/>
      <c r="I21477" s="12"/>
      <c r="J21477" s="12"/>
      <c r="K21477" s="12"/>
      <c r="L21477" s="12"/>
      <c r="M21477" s="11"/>
      <c r="N21477" s="11"/>
      <c r="O21477" s="11"/>
      <c r="P21477" s="11"/>
    </row>
    <row r="21478" spans="8:16" x14ac:dyDescent="0.25">
      <c r="H21478" s="12"/>
      <c r="I21478" s="12"/>
      <c r="J21478" s="12"/>
      <c r="K21478" s="12"/>
      <c r="L21478" s="12"/>
      <c r="M21478" s="11"/>
      <c r="N21478" s="11"/>
      <c r="O21478" s="11"/>
      <c r="P21478" s="11"/>
    </row>
    <row r="21479" spans="8:16" x14ac:dyDescent="0.25">
      <c r="H21479" s="12"/>
      <c r="I21479" s="12"/>
      <c r="J21479" s="12"/>
      <c r="K21479" s="12"/>
      <c r="L21479" s="12"/>
      <c r="M21479" s="11"/>
      <c r="N21479" s="11"/>
      <c r="O21479" s="11"/>
      <c r="P21479" s="11"/>
    </row>
    <row r="21480" spans="8:16" x14ac:dyDescent="0.25">
      <c r="H21480" s="12"/>
      <c r="I21480" s="12"/>
      <c r="J21480" s="12"/>
      <c r="K21480" s="12"/>
      <c r="L21480" s="12"/>
      <c r="M21480" s="11"/>
      <c r="N21480" s="11"/>
      <c r="O21480" s="11"/>
      <c r="P21480" s="11"/>
    </row>
    <row r="21481" spans="8:16" x14ac:dyDescent="0.25">
      <c r="H21481" s="12"/>
      <c r="I21481" s="12"/>
      <c r="J21481" s="12"/>
      <c r="K21481" s="12"/>
      <c r="L21481" s="12"/>
      <c r="M21481" s="11"/>
      <c r="N21481" s="11"/>
      <c r="O21481" s="11"/>
      <c r="P21481" s="11"/>
    </row>
    <row r="21482" spans="8:16" x14ac:dyDescent="0.25">
      <c r="H21482" s="12"/>
      <c r="I21482" s="12"/>
      <c r="J21482" s="12"/>
      <c r="K21482" s="12"/>
      <c r="L21482" s="12"/>
      <c r="M21482" s="11"/>
      <c r="N21482" s="11"/>
      <c r="O21482" s="11"/>
      <c r="P21482" s="11"/>
    </row>
    <row r="21483" spans="8:16" x14ac:dyDescent="0.25">
      <c r="H21483" s="12"/>
      <c r="I21483" s="12"/>
      <c r="J21483" s="12"/>
      <c r="K21483" s="12"/>
      <c r="L21483" s="12"/>
      <c r="M21483" s="11"/>
      <c r="N21483" s="11"/>
      <c r="O21483" s="11"/>
      <c r="P21483" s="11"/>
    </row>
    <row r="21484" spans="8:16" x14ac:dyDescent="0.25">
      <c r="H21484" s="12"/>
      <c r="I21484" s="12"/>
      <c r="J21484" s="12"/>
      <c r="K21484" s="12"/>
      <c r="L21484" s="12"/>
      <c r="M21484" s="11"/>
      <c r="N21484" s="11"/>
      <c r="O21484" s="11"/>
      <c r="P21484" s="11"/>
    </row>
    <row r="21485" spans="8:16" x14ac:dyDescent="0.25">
      <c r="H21485" s="12"/>
      <c r="I21485" s="12"/>
      <c r="J21485" s="12"/>
      <c r="K21485" s="12"/>
      <c r="L21485" s="12"/>
      <c r="M21485" s="11"/>
      <c r="N21485" s="11"/>
      <c r="O21485" s="11"/>
      <c r="P21485" s="11"/>
    </row>
    <row r="21486" spans="8:16" x14ac:dyDescent="0.25">
      <c r="H21486" s="12"/>
      <c r="I21486" s="12"/>
      <c r="J21486" s="12"/>
      <c r="K21486" s="12"/>
      <c r="L21486" s="12"/>
      <c r="M21486" s="11"/>
      <c r="N21486" s="11"/>
      <c r="O21486" s="11"/>
      <c r="P21486" s="11"/>
    </row>
    <row r="21487" spans="8:16" x14ac:dyDescent="0.25">
      <c r="H21487" s="12"/>
      <c r="I21487" s="12"/>
      <c r="J21487" s="12"/>
      <c r="K21487" s="12"/>
      <c r="L21487" s="12"/>
      <c r="M21487" s="11"/>
      <c r="N21487" s="11"/>
      <c r="O21487" s="11"/>
      <c r="P21487" s="11"/>
    </row>
    <row r="21488" spans="8:16" x14ac:dyDescent="0.25">
      <c r="H21488" s="12"/>
      <c r="I21488" s="12"/>
      <c r="J21488" s="12"/>
      <c r="K21488" s="12"/>
      <c r="L21488" s="12"/>
      <c r="M21488" s="11"/>
      <c r="N21488" s="11"/>
      <c r="O21488" s="11"/>
      <c r="P21488" s="11"/>
    </row>
    <row r="21489" spans="8:16" x14ac:dyDescent="0.25">
      <c r="H21489" s="12"/>
      <c r="I21489" s="12"/>
      <c r="J21489" s="12"/>
      <c r="K21489" s="12"/>
      <c r="L21489" s="12"/>
      <c r="M21489" s="11"/>
      <c r="N21489" s="11"/>
      <c r="O21489" s="11"/>
      <c r="P21489" s="11"/>
    </row>
    <row r="21490" spans="8:16" x14ac:dyDescent="0.25">
      <c r="H21490" s="12"/>
      <c r="I21490" s="12"/>
      <c r="J21490" s="12"/>
      <c r="K21490" s="12"/>
      <c r="L21490" s="12"/>
      <c r="M21490" s="11"/>
      <c r="N21490" s="11"/>
      <c r="O21490" s="11"/>
      <c r="P21490" s="11"/>
    </row>
    <row r="21491" spans="8:16" x14ac:dyDescent="0.25">
      <c r="H21491" s="12"/>
      <c r="I21491" s="12"/>
      <c r="J21491" s="12"/>
      <c r="K21491" s="12"/>
      <c r="L21491" s="12"/>
      <c r="M21491" s="11"/>
      <c r="N21491" s="11"/>
      <c r="O21491" s="11"/>
      <c r="P21491" s="11"/>
    </row>
    <row r="21492" spans="8:16" x14ac:dyDescent="0.25">
      <c r="H21492" s="12"/>
      <c r="I21492" s="12"/>
      <c r="J21492" s="12"/>
      <c r="K21492" s="12"/>
      <c r="L21492" s="12"/>
      <c r="M21492" s="11"/>
      <c r="N21492" s="11"/>
      <c r="O21492" s="11"/>
      <c r="P21492" s="11"/>
    </row>
    <row r="21493" spans="8:16" x14ac:dyDescent="0.25">
      <c r="H21493" s="12"/>
      <c r="I21493" s="12"/>
      <c r="J21493" s="12"/>
      <c r="K21493" s="12"/>
      <c r="L21493" s="12"/>
      <c r="M21493" s="11"/>
      <c r="N21493" s="11"/>
      <c r="O21493" s="11"/>
      <c r="P21493" s="11"/>
    </row>
    <row r="21494" spans="8:16" x14ac:dyDescent="0.25">
      <c r="H21494" s="12"/>
      <c r="I21494" s="12"/>
      <c r="J21494" s="12"/>
      <c r="K21494" s="12"/>
      <c r="L21494" s="12"/>
      <c r="M21494" s="11"/>
      <c r="N21494" s="11"/>
      <c r="O21494" s="11"/>
      <c r="P21494" s="11"/>
    </row>
    <row r="21495" spans="8:16" x14ac:dyDescent="0.25">
      <c r="H21495" s="12"/>
      <c r="I21495" s="12"/>
      <c r="J21495" s="12"/>
      <c r="K21495" s="12"/>
      <c r="L21495" s="12"/>
      <c r="M21495" s="11"/>
      <c r="N21495" s="11"/>
      <c r="O21495" s="11"/>
      <c r="P21495" s="11"/>
    </row>
    <row r="21496" spans="8:16" x14ac:dyDescent="0.25">
      <c r="H21496" s="12"/>
      <c r="I21496" s="12"/>
      <c r="J21496" s="12"/>
      <c r="K21496" s="12"/>
      <c r="L21496" s="12"/>
      <c r="M21496" s="11"/>
      <c r="N21496" s="11"/>
      <c r="O21496" s="11"/>
      <c r="P21496" s="11"/>
    </row>
    <row r="21497" spans="8:16" x14ac:dyDescent="0.25">
      <c r="H21497" s="12"/>
      <c r="I21497" s="12"/>
      <c r="J21497" s="12"/>
      <c r="K21497" s="12"/>
      <c r="L21497" s="12"/>
      <c r="M21497" s="11"/>
      <c r="N21497" s="11"/>
      <c r="O21497" s="11"/>
      <c r="P21497" s="11"/>
    </row>
    <row r="21498" spans="8:16" x14ac:dyDescent="0.25">
      <c r="H21498" s="12"/>
      <c r="I21498" s="12"/>
      <c r="J21498" s="12"/>
      <c r="K21498" s="12"/>
      <c r="L21498" s="12"/>
      <c r="M21498" s="11"/>
      <c r="N21498" s="11"/>
      <c r="O21498" s="11"/>
      <c r="P21498" s="11"/>
    </row>
    <row r="21499" spans="8:16" x14ac:dyDescent="0.25">
      <c r="H21499" s="12"/>
      <c r="I21499" s="12"/>
      <c r="J21499" s="12"/>
      <c r="K21499" s="12"/>
      <c r="L21499" s="12"/>
      <c r="M21499" s="11"/>
      <c r="N21499" s="11"/>
      <c r="O21499" s="11"/>
      <c r="P21499" s="11"/>
    </row>
    <row r="21500" spans="8:16" x14ac:dyDescent="0.25">
      <c r="H21500" s="12"/>
      <c r="I21500" s="12"/>
      <c r="J21500" s="12"/>
      <c r="K21500" s="12"/>
      <c r="L21500" s="12"/>
      <c r="M21500" s="11"/>
      <c r="N21500" s="11"/>
      <c r="O21500" s="11"/>
      <c r="P21500" s="11"/>
    </row>
    <row r="21501" spans="8:16" x14ac:dyDescent="0.25">
      <c r="H21501" s="12"/>
      <c r="I21501" s="12"/>
      <c r="J21501" s="12"/>
      <c r="K21501" s="12"/>
      <c r="L21501" s="12"/>
      <c r="M21501" s="11"/>
      <c r="N21501" s="11"/>
      <c r="O21501" s="11"/>
      <c r="P21501" s="11"/>
    </row>
    <row r="21502" spans="8:16" x14ac:dyDescent="0.25">
      <c r="H21502" s="12"/>
      <c r="I21502" s="12"/>
      <c r="J21502" s="12"/>
      <c r="K21502" s="12"/>
      <c r="L21502" s="12"/>
      <c r="M21502" s="11"/>
      <c r="N21502" s="11"/>
      <c r="O21502" s="11"/>
      <c r="P21502" s="11"/>
    </row>
    <row r="21503" spans="8:16" x14ac:dyDescent="0.25">
      <c r="H21503" s="12"/>
      <c r="I21503" s="12"/>
      <c r="J21503" s="12"/>
      <c r="K21503" s="12"/>
      <c r="L21503" s="12"/>
      <c r="M21503" s="11"/>
      <c r="N21503" s="11"/>
      <c r="O21503" s="11"/>
      <c r="P21503" s="11"/>
    </row>
    <row r="21504" spans="8:16" x14ac:dyDescent="0.25">
      <c r="H21504" s="12"/>
      <c r="I21504" s="12"/>
      <c r="J21504" s="12"/>
      <c r="K21504" s="12"/>
      <c r="L21504" s="12"/>
      <c r="M21504" s="11"/>
      <c r="N21504" s="11"/>
      <c r="O21504" s="11"/>
      <c r="P21504" s="11"/>
    </row>
    <row r="21505" spans="8:16" x14ac:dyDescent="0.25">
      <c r="H21505" s="12"/>
      <c r="I21505" s="12"/>
      <c r="J21505" s="12"/>
      <c r="K21505" s="12"/>
      <c r="L21505" s="12"/>
      <c r="M21505" s="11"/>
      <c r="N21505" s="11"/>
      <c r="O21505" s="11"/>
      <c r="P21505" s="11"/>
    </row>
    <row r="21506" spans="8:16" x14ac:dyDescent="0.25">
      <c r="H21506" s="12"/>
      <c r="I21506" s="12"/>
      <c r="J21506" s="12"/>
      <c r="K21506" s="12"/>
      <c r="L21506" s="12"/>
      <c r="M21506" s="11"/>
      <c r="N21506" s="11"/>
      <c r="O21506" s="11"/>
      <c r="P21506" s="11"/>
    </row>
    <row r="21507" spans="8:16" x14ac:dyDescent="0.25">
      <c r="H21507" s="12"/>
      <c r="I21507" s="12"/>
      <c r="J21507" s="12"/>
      <c r="K21507" s="12"/>
      <c r="L21507" s="12"/>
      <c r="M21507" s="11"/>
      <c r="N21507" s="11"/>
      <c r="O21507" s="11"/>
      <c r="P21507" s="11"/>
    </row>
    <row r="21508" spans="8:16" x14ac:dyDescent="0.25">
      <c r="H21508" s="12"/>
      <c r="I21508" s="12"/>
      <c r="J21508" s="12"/>
      <c r="K21508" s="12"/>
      <c r="L21508" s="12"/>
      <c r="M21508" s="11"/>
      <c r="N21508" s="11"/>
      <c r="O21508" s="11"/>
      <c r="P21508" s="11"/>
    </row>
    <row r="21509" spans="8:16" x14ac:dyDescent="0.25">
      <c r="H21509" s="12"/>
      <c r="I21509" s="12"/>
      <c r="J21509" s="12"/>
      <c r="K21509" s="12"/>
      <c r="L21509" s="12"/>
      <c r="M21509" s="11"/>
      <c r="N21509" s="11"/>
      <c r="O21509" s="11"/>
      <c r="P21509" s="11"/>
    </row>
    <row r="21510" spans="8:16" x14ac:dyDescent="0.25">
      <c r="H21510" s="12"/>
      <c r="I21510" s="12"/>
      <c r="J21510" s="12"/>
      <c r="K21510" s="12"/>
      <c r="L21510" s="12"/>
      <c r="M21510" s="11"/>
      <c r="N21510" s="11"/>
      <c r="O21510" s="11"/>
      <c r="P21510" s="11"/>
    </row>
    <row r="21511" spans="8:16" x14ac:dyDescent="0.25">
      <c r="H21511" s="12"/>
      <c r="I21511" s="12"/>
      <c r="J21511" s="12"/>
      <c r="K21511" s="12"/>
      <c r="L21511" s="12"/>
      <c r="M21511" s="11"/>
      <c r="N21511" s="11"/>
      <c r="O21511" s="11"/>
      <c r="P21511" s="11"/>
    </row>
    <row r="21512" spans="8:16" x14ac:dyDescent="0.25">
      <c r="H21512" s="12"/>
      <c r="I21512" s="12"/>
      <c r="J21512" s="12"/>
      <c r="K21512" s="12"/>
      <c r="L21512" s="12"/>
      <c r="M21512" s="11"/>
      <c r="N21512" s="11"/>
      <c r="O21512" s="11"/>
      <c r="P21512" s="11"/>
    </row>
    <row r="21513" spans="8:16" x14ac:dyDescent="0.25">
      <c r="H21513" s="12"/>
      <c r="I21513" s="12"/>
      <c r="J21513" s="12"/>
      <c r="K21513" s="12"/>
      <c r="L21513" s="12"/>
      <c r="M21513" s="11"/>
      <c r="N21513" s="11"/>
      <c r="O21513" s="11"/>
      <c r="P21513" s="11"/>
    </row>
    <row r="21514" spans="8:16" x14ac:dyDescent="0.25">
      <c r="H21514" s="12"/>
      <c r="I21514" s="12"/>
      <c r="J21514" s="12"/>
      <c r="K21514" s="12"/>
      <c r="L21514" s="12"/>
      <c r="M21514" s="11"/>
      <c r="N21514" s="11"/>
      <c r="O21514" s="11"/>
      <c r="P21514" s="11"/>
    </row>
    <row r="21515" spans="8:16" x14ac:dyDescent="0.25">
      <c r="H21515" s="12"/>
      <c r="I21515" s="12"/>
      <c r="J21515" s="12"/>
      <c r="K21515" s="12"/>
      <c r="L21515" s="12"/>
      <c r="M21515" s="11"/>
      <c r="N21515" s="11"/>
      <c r="O21515" s="11"/>
      <c r="P21515" s="11"/>
    </row>
    <row r="21516" spans="8:16" x14ac:dyDescent="0.25">
      <c r="H21516" s="12"/>
      <c r="I21516" s="12"/>
      <c r="J21516" s="12"/>
      <c r="K21516" s="12"/>
      <c r="L21516" s="12"/>
      <c r="M21516" s="11"/>
      <c r="N21516" s="11"/>
      <c r="O21516" s="11"/>
      <c r="P21516" s="11"/>
    </row>
    <row r="21517" spans="8:16" x14ac:dyDescent="0.25">
      <c r="H21517" s="12"/>
      <c r="I21517" s="12"/>
      <c r="J21517" s="12"/>
      <c r="K21517" s="12"/>
      <c r="L21517" s="12"/>
      <c r="M21517" s="11"/>
      <c r="N21517" s="11"/>
      <c r="O21517" s="11"/>
      <c r="P21517" s="11"/>
    </row>
    <row r="21518" spans="8:16" x14ac:dyDescent="0.25">
      <c r="H21518" s="12"/>
      <c r="I21518" s="12"/>
      <c r="J21518" s="12"/>
      <c r="K21518" s="12"/>
      <c r="L21518" s="12"/>
      <c r="M21518" s="11"/>
      <c r="N21518" s="11"/>
      <c r="O21518" s="11"/>
      <c r="P21518" s="11"/>
    </row>
    <row r="21519" spans="8:16" x14ac:dyDescent="0.25">
      <c r="H21519" s="12"/>
      <c r="I21519" s="12"/>
      <c r="J21519" s="12"/>
      <c r="K21519" s="12"/>
      <c r="L21519" s="12"/>
      <c r="M21519" s="11"/>
      <c r="N21519" s="11"/>
      <c r="O21519" s="11"/>
      <c r="P21519" s="11"/>
    </row>
    <row r="21520" spans="8:16" x14ac:dyDescent="0.25">
      <c r="H21520" s="12"/>
      <c r="I21520" s="12"/>
      <c r="J21520" s="12"/>
      <c r="K21520" s="12"/>
      <c r="L21520" s="12"/>
      <c r="M21520" s="11"/>
      <c r="N21520" s="11"/>
      <c r="O21520" s="11"/>
      <c r="P21520" s="11"/>
    </row>
    <row r="21521" spans="8:16" x14ac:dyDescent="0.25">
      <c r="H21521" s="12"/>
      <c r="I21521" s="12"/>
      <c r="J21521" s="12"/>
      <c r="K21521" s="12"/>
      <c r="L21521" s="12"/>
      <c r="M21521" s="11"/>
      <c r="N21521" s="11"/>
      <c r="O21521" s="11"/>
      <c r="P21521" s="11"/>
    </row>
    <row r="21522" spans="8:16" x14ac:dyDescent="0.25">
      <c r="H21522" s="12"/>
      <c r="I21522" s="12"/>
      <c r="J21522" s="12"/>
      <c r="K21522" s="12"/>
      <c r="L21522" s="12"/>
      <c r="M21522" s="11"/>
      <c r="N21522" s="11"/>
      <c r="O21522" s="11"/>
      <c r="P21522" s="11"/>
    </row>
    <row r="21523" spans="8:16" x14ac:dyDescent="0.25">
      <c r="H21523" s="12"/>
      <c r="I21523" s="12"/>
      <c r="J21523" s="12"/>
      <c r="K21523" s="12"/>
      <c r="L21523" s="12"/>
      <c r="M21523" s="11"/>
      <c r="N21523" s="11"/>
      <c r="O21523" s="11"/>
      <c r="P21523" s="11"/>
    </row>
    <row r="21524" spans="8:16" x14ac:dyDescent="0.25">
      <c r="H21524" s="12"/>
      <c r="I21524" s="12"/>
      <c r="J21524" s="12"/>
      <c r="K21524" s="12"/>
      <c r="L21524" s="12"/>
      <c r="M21524" s="11"/>
      <c r="N21524" s="11"/>
      <c r="O21524" s="11"/>
      <c r="P21524" s="11"/>
    </row>
    <row r="21525" spans="8:16" x14ac:dyDescent="0.25">
      <c r="H21525" s="12"/>
      <c r="I21525" s="12"/>
      <c r="J21525" s="12"/>
      <c r="K21525" s="12"/>
      <c r="L21525" s="12"/>
      <c r="M21525" s="11"/>
      <c r="N21525" s="11"/>
      <c r="O21525" s="11"/>
      <c r="P21525" s="11"/>
    </row>
    <row r="21526" spans="8:16" x14ac:dyDescent="0.25">
      <c r="H21526" s="12"/>
      <c r="I21526" s="12"/>
      <c r="J21526" s="12"/>
      <c r="K21526" s="12"/>
      <c r="L21526" s="12"/>
      <c r="M21526" s="11"/>
      <c r="N21526" s="11"/>
      <c r="O21526" s="11"/>
      <c r="P21526" s="11"/>
    </row>
    <row r="21527" spans="8:16" x14ac:dyDescent="0.25">
      <c r="H21527" s="12"/>
      <c r="I21527" s="12"/>
      <c r="J21527" s="12"/>
      <c r="K21527" s="12"/>
      <c r="L21527" s="12"/>
      <c r="M21527" s="11"/>
      <c r="N21527" s="11"/>
      <c r="O21527" s="11"/>
      <c r="P21527" s="11"/>
    </row>
    <row r="21528" spans="8:16" x14ac:dyDescent="0.25">
      <c r="H21528" s="12"/>
      <c r="I21528" s="12"/>
      <c r="J21528" s="12"/>
      <c r="K21528" s="12"/>
      <c r="L21528" s="12"/>
      <c r="M21528" s="11"/>
      <c r="N21528" s="11"/>
      <c r="O21528" s="11"/>
      <c r="P21528" s="11"/>
    </row>
    <row r="21529" spans="8:16" x14ac:dyDescent="0.25">
      <c r="H21529" s="12"/>
      <c r="I21529" s="12"/>
      <c r="J21529" s="12"/>
      <c r="K21529" s="12"/>
      <c r="L21529" s="12"/>
      <c r="M21529" s="11"/>
      <c r="N21529" s="11"/>
      <c r="O21529" s="11"/>
      <c r="P21529" s="11"/>
    </row>
    <row r="21530" spans="8:16" x14ac:dyDescent="0.25">
      <c r="H21530" s="12"/>
      <c r="I21530" s="12"/>
      <c r="J21530" s="12"/>
      <c r="K21530" s="12"/>
      <c r="L21530" s="12"/>
      <c r="M21530" s="11"/>
      <c r="N21530" s="11"/>
      <c r="O21530" s="11"/>
      <c r="P21530" s="11"/>
    </row>
    <row r="21531" spans="8:16" x14ac:dyDescent="0.25">
      <c r="H21531" s="12"/>
      <c r="I21531" s="12"/>
      <c r="J21531" s="12"/>
      <c r="K21531" s="12"/>
      <c r="L21531" s="12"/>
      <c r="M21531" s="11"/>
      <c r="N21531" s="11"/>
      <c r="O21531" s="11"/>
      <c r="P21531" s="11"/>
    </row>
    <row r="21532" spans="8:16" x14ac:dyDescent="0.25">
      <c r="H21532" s="12"/>
      <c r="I21532" s="12"/>
      <c r="J21532" s="12"/>
      <c r="K21532" s="12"/>
      <c r="L21532" s="12"/>
      <c r="M21532" s="11"/>
      <c r="N21532" s="11"/>
      <c r="O21532" s="11"/>
      <c r="P21532" s="11"/>
    </row>
    <row r="21533" spans="8:16" x14ac:dyDescent="0.25">
      <c r="H21533" s="12"/>
      <c r="I21533" s="12"/>
      <c r="J21533" s="12"/>
      <c r="K21533" s="12"/>
      <c r="L21533" s="12"/>
      <c r="M21533" s="11"/>
      <c r="N21533" s="11"/>
      <c r="O21533" s="11"/>
      <c r="P21533" s="11"/>
    </row>
    <row r="21534" spans="8:16" x14ac:dyDescent="0.25">
      <c r="H21534" s="12"/>
      <c r="I21534" s="12"/>
      <c r="J21534" s="12"/>
      <c r="K21534" s="12"/>
      <c r="L21534" s="12"/>
      <c r="M21534" s="11"/>
      <c r="N21534" s="11"/>
      <c r="O21534" s="11"/>
      <c r="P21534" s="11"/>
    </row>
    <row r="21535" spans="8:16" x14ac:dyDescent="0.25">
      <c r="H21535" s="12"/>
      <c r="I21535" s="12"/>
      <c r="J21535" s="12"/>
      <c r="K21535" s="12"/>
      <c r="L21535" s="12"/>
      <c r="M21535" s="11"/>
      <c r="N21535" s="11"/>
      <c r="O21535" s="11"/>
      <c r="P21535" s="11"/>
    </row>
    <row r="21536" spans="8:16" x14ac:dyDescent="0.25">
      <c r="H21536" s="12"/>
      <c r="I21536" s="12"/>
      <c r="J21536" s="12"/>
      <c r="K21536" s="12"/>
      <c r="L21536" s="12"/>
      <c r="M21536" s="11"/>
      <c r="N21536" s="11"/>
      <c r="O21536" s="11"/>
      <c r="P21536" s="11"/>
    </row>
    <row r="21537" spans="8:16" x14ac:dyDescent="0.25">
      <c r="H21537" s="12"/>
      <c r="I21537" s="12"/>
      <c r="J21537" s="12"/>
      <c r="K21537" s="12"/>
      <c r="L21537" s="12"/>
      <c r="M21537" s="11"/>
      <c r="N21537" s="11"/>
      <c r="O21537" s="11"/>
      <c r="P21537" s="11"/>
    </row>
    <row r="21538" spans="8:16" x14ac:dyDescent="0.25">
      <c r="H21538" s="12"/>
      <c r="I21538" s="12"/>
      <c r="J21538" s="12"/>
      <c r="K21538" s="12"/>
      <c r="L21538" s="12"/>
      <c r="M21538" s="11"/>
      <c r="N21538" s="11"/>
      <c r="O21538" s="11"/>
      <c r="P21538" s="11"/>
    </row>
    <row r="21539" spans="8:16" x14ac:dyDescent="0.25">
      <c r="H21539" s="12"/>
      <c r="I21539" s="12"/>
      <c r="J21539" s="12"/>
      <c r="K21539" s="12"/>
      <c r="L21539" s="12"/>
      <c r="M21539" s="11"/>
      <c r="N21539" s="11"/>
      <c r="O21539" s="11"/>
      <c r="P21539" s="11"/>
    </row>
    <row r="21540" spans="8:16" x14ac:dyDescent="0.25">
      <c r="H21540" s="12"/>
      <c r="I21540" s="12"/>
      <c r="J21540" s="12"/>
      <c r="K21540" s="12"/>
      <c r="L21540" s="12"/>
      <c r="M21540" s="11"/>
      <c r="N21540" s="11"/>
      <c r="O21540" s="11"/>
      <c r="P21540" s="11"/>
    </row>
    <row r="21541" spans="8:16" x14ac:dyDescent="0.25">
      <c r="H21541" s="12"/>
      <c r="I21541" s="12"/>
      <c r="J21541" s="12"/>
      <c r="K21541" s="12"/>
      <c r="L21541" s="12"/>
      <c r="M21541" s="11"/>
      <c r="N21541" s="11"/>
      <c r="O21541" s="11"/>
      <c r="P21541" s="11"/>
    </row>
    <row r="21542" spans="8:16" x14ac:dyDescent="0.25">
      <c r="H21542" s="12"/>
      <c r="I21542" s="12"/>
      <c r="J21542" s="12"/>
      <c r="K21542" s="12"/>
      <c r="L21542" s="12"/>
      <c r="M21542" s="11"/>
      <c r="N21542" s="11"/>
      <c r="O21542" s="11"/>
      <c r="P21542" s="11"/>
    </row>
    <row r="21543" spans="8:16" x14ac:dyDescent="0.25">
      <c r="H21543" s="12"/>
      <c r="I21543" s="12"/>
      <c r="J21543" s="12"/>
      <c r="K21543" s="12"/>
      <c r="L21543" s="12"/>
      <c r="M21543" s="11"/>
      <c r="N21543" s="11"/>
      <c r="O21543" s="11"/>
      <c r="P21543" s="11"/>
    </row>
    <row r="21544" spans="8:16" x14ac:dyDescent="0.25">
      <c r="H21544" s="12"/>
      <c r="I21544" s="12"/>
      <c r="J21544" s="12"/>
      <c r="K21544" s="12"/>
      <c r="L21544" s="12"/>
      <c r="M21544" s="11"/>
      <c r="N21544" s="11"/>
      <c r="O21544" s="11"/>
      <c r="P21544" s="11"/>
    </row>
    <row r="21545" spans="8:16" x14ac:dyDescent="0.25">
      <c r="H21545" s="12"/>
      <c r="I21545" s="12"/>
      <c r="J21545" s="12"/>
      <c r="K21545" s="12"/>
      <c r="L21545" s="12"/>
      <c r="M21545" s="11"/>
      <c r="N21545" s="11"/>
      <c r="O21545" s="11"/>
      <c r="P21545" s="11"/>
    </row>
    <row r="21546" spans="8:16" x14ac:dyDescent="0.25">
      <c r="H21546" s="12"/>
      <c r="I21546" s="12"/>
      <c r="J21546" s="12"/>
      <c r="K21546" s="12"/>
      <c r="L21546" s="12"/>
      <c r="M21546" s="11"/>
      <c r="N21546" s="11"/>
      <c r="O21546" s="11"/>
      <c r="P21546" s="11"/>
    </row>
    <row r="21547" spans="8:16" x14ac:dyDescent="0.25">
      <c r="H21547" s="12"/>
      <c r="I21547" s="12"/>
      <c r="J21547" s="12"/>
      <c r="K21547" s="12"/>
      <c r="L21547" s="12"/>
      <c r="M21547" s="11"/>
      <c r="N21547" s="11"/>
      <c r="O21547" s="11"/>
      <c r="P21547" s="11"/>
    </row>
    <row r="21548" spans="8:16" x14ac:dyDescent="0.25">
      <c r="H21548" s="12"/>
      <c r="I21548" s="12"/>
      <c r="J21548" s="12"/>
      <c r="K21548" s="12"/>
      <c r="L21548" s="12"/>
      <c r="M21548" s="11"/>
      <c r="N21548" s="11"/>
      <c r="O21548" s="11"/>
      <c r="P21548" s="11"/>
    </row>
    <row r="21549" spans="8:16" x14ac:dyDescent="0.25">
      <c r="H21549" s="12"/>
      <c r="I21549" s="12"/>
      <c r="J21549" s="12"/>
      <c r="K21549" s="12"/>
      <c r="L21549" s="12"/>
      <c r="M21549" s="11"/>
      <c r="N21549" s="11"/>
      <c r="O21549" s="11"/>
      <c r="P21549" s="11"/>
    </row>
    <row r="21550" spans="8:16" x14ac:dyDescent="0.25">
      <c r="H21550" s="12"/>
      <c r="I21550" s="12"/>
      <c r="J21550" s="12"/>
      <c r="K21550" s="12"/>
      <c r="L21550" s="12"/>
      <c r="M21550" s="11"/>
      <c r="N21550" s="11"/>
      <c r="O21550" s="11"/>
      <c r="P21550" s="11"/>
    </row>
    <row r="21551" spans="8:16" x14ac:dyDescent="0.25">
      <c r="H21551" s="12"/>
      <c r="I21551" s="12"/>
      <c r="J21551" s="12"/>
      <c r="K21551" s="12"/>
      <c r="L21551" s="12"/>
      <c r="M21551" s="11"/>
      <c r="N21551" s="11"/>
      <c r="O21551" s="11"/>
      <c r="P21551" s="11"/>
    </row>
    <row r="21552" spans="8:16" x14ac:dyDescent="0.25">
      <c r="H21552" s="12"/>
      <c r="I21552" s="12"/>
      <c r="J21552" s="12"/>
      <c r="K21552" s="12"/>
      <c r="L21552" s="12"/>
      <c r="M21552" s="11"/>
      <c r="N21552" s="11"/>
      <c r="O21552" s="11"/>
      <c r="P21552" s="11"/>
    </row>
    <row r="21553" spans="8:16" x14ac:dyDescent="0.25">
      <c r="H21553" s="12"/>
      <c r="I21553" s="12"/>
      <c r="J21553" s="12"/>
      <c r="K21553" s="12"/>
      <c r="L21553" s="12"/>
      <c r="M21553" s="11"/>
      <c r="N21553" s="11"/>
      <c r="O21553" s="11"/>
      <c r="P21553" s="11"/>
    </row>
    <row r="21554" spans="8:16" x14ac:dyDescent="0.25">
      <c r="H21554" s="12"/>
      <c r="I21554" s="12"/>
      <c r="J21554" s="12"/>
      <c r="K21554" s="12"/>
      <c r="L21554" s="12"/>
      <c r="M21554" s="11"/>
      <c r="N21554" s="11"/>
      <c r="O21554" s="11"/>
      <c r="P21554" s="11"/>
    </row>
    <row r="21555" spans="8:16" x14ac:dyDescent="0.25">
      <c r="H21555" s="12"/>
      <c r="I21555" s="12"/>
      <c r="J21555" s="12"/>
      <c r="K21555" s="12"/>
      <c r="L21555" s="12"/>
      <c r="M21555" s="11"/>
      <c r="N21555" s="11"/>
      <c r="O21555" s="11"/>
      <c r="P21555" s="11"/>
    </row>
    <row r="21556" spans="8:16" x14ac:dyDescent="0.25">
      <c r="H21556" s="12"/>
      <c r="I21556" s="12"/>
      <c r="J21556" s="12"/>
      <c r="K21556" s="12"/>
      <c r="L21556" s="12"/>
      <c r="M21556" s="11"/>
      <c r="N21556" s="11"/>
      <c r="O21556" s="11"/>
      <c r="P21556" s="11"/>
    </row>
    <row r="21557" spans="8:16" x14ac:dyDescent="0.25">
      <c r="H21557" s="12"/>
      <c r="I21557" s="12"/>
      <c r="J21557" s="12"/>
      <c r="K21557" s="12"/>
      <c r="L21557" s="12"/>
      <c r="M21557" s="11"/>
      <c r="N21557" s="11"/>
      <c r="O21557" s="11"/>
      <c r="P21557" s="11"/>
    </row>
    <row r="21558" spans="8:16" x14ac:dyDescent="0.25">
      <c r="H21558" s="12"/>
      <c r="I21558" s="12"/>
      <c r="J21558" s="12"/>
      <c r="K21558" s="12"/>
      <c r="L21558" s="12"/>
      <c r="M21558" s="11"/>
      <c r="N21558" s="11"/>
      <c r="O21558" s="11"/>
      <c r="P21558" s="11"/>
    </row>
    <row r="21559" spans="8:16" x14ac:dyDescent="0.25">
      <c r="H21559" s="12"/>
      <c r="I21559" s="12"/>
      <c r="J21559" s="12"/>
      <c r="K21559" s="12"/>
      <c r="L21559" s="12"/>
      <c r="M21559" s="11"/>
      <c r="N21559" s="11"/>
      <c r="O21559" s="11"/>
      <c r="P21559" s="11"/>
    </row>
    <row r="21560" spans="8:16" x14ac:dyDescent="0.25">
      <c r="H21560" s="12"/>
      <c r="I21560" s="12"/>
      <c r="J21560" s="12"/>
      <c r="K21560" s="12"/>
      <c r="L21560" s="12"/>
      <c r="M21560" s="11"/>
      <c r="N21560" s="11"/>
      <c r="O21560" s="11"/>
      <c r="P21560" s="11"/>
    </row>
    <row r="21561" spans="8:16" x14ac:dyDescent="0.25">
      <c r="H21561" s="12"/>
      <c r="I21561" s="12"/>
      <c r="J21561" s="12"/>
      <c r="K21561" s="12"/>
      <c r="L21561" s="12"/>
      <c r="M21561" s="11"/>
      <c r="N21561" s="11"/>
      <c r="O21561" s="11"/>
      <c r="P21561" s="11"/>
    </row>
    <row r="21562" spans="8:16" x14ac:dyDescent="0.25">
      <c r="H21562" s="12"/>
      <c r="I21562" s="12"/>
      <c r="J21562" s="12"/>
      <c r="K21562" s="12"/>
      <c r="L21562" s="12"/>
      <c r="M21562" s="11"/>
      <c r="N21562" s="11"/>
      <c r="O21562" s="11"/>
      <c r="P21562" s="11"/>
    </row>
    <row r="21563" spans="8:16" x14ac:dyDescent="0.25">
      <c r="H21563" s="12"/>
      <c r="I21563" s="12"/>
      <c r="J21563" s="12"/>
      <c r="K21563" s="12"/>
      <c r="L21563" s="12"/>
      <c r="M21563" s="11"/>
      <c r="N21563" s="11"/>
      <c r="O21563" s="11"/>
      <c r="P21563" s="11"/>
    </row>
    <row r="21564" spans="8:16" x14ac:dyDescent="0.25">
      <c r="H21564" s="12"/>
      <c r="I21564" s="12"/>
      <c r="J21564" s="12"/>
      <c r="K21564" s="12"/>
      <c r="L21564" s="12"/>
      <c r="M21564" s="11"/>
      <c r="N21564" s="11"/>
      <c r="O21564" s="11"/>
      <c r="P21564" s="11"/>
    </row>
    <row r="21565" spans="8:16" x14ac:dyDescent="0.25">
      <c r="H21565" s="12"/>
      <c r="I21565" s="12"/>
      <c r="J21565" s="12"/>
      <c r="K21565" s="12"/>
      <c r="L21565" s="12"/>
      <c r="M21565" s="11"/>
      <c r="N21565" s="11"/>
      <c r="O21565" s="11"/>
      <c r="P21565" s="11"/>
    </row>
    <row r="21566" spans="8:16" x14ac:dyDescent="0.25">
      <c r="H21566" s="12"/>
      <c r="I21566" s="12"/>
      <c r="J21566" s="12"/>
      <c r="K21566" s="12"/>
      <c r="L21566" s="12"/>
      <c r="M21566" s="11"/>
      <c r="N21566" s="11"/>
      <c r="O21566" s="11"/>
      <c r="P21566" s="11"/>
    </row>
    <row r="21567" spans="8:16" x14ac:dyDescent="0.25">
      <c r="H21567" s="12"/>
      <c r="I21567" s="12"/>
      <c r="J21567" s="12"/>
      <c r="K21567" s="12"/>
      <c r="L21567" s="12"/>
      <c r="M21567" s="11"/>
      <c r="N21567" s="11"/>
      <c r="O21567" s="11"/>
      <c r="P21567" s="11"/>
    </row>
    <row r="21568" spans="8:16" x14ac:dyDescent="0.25">
      <c r="H21568" s="12"/>
      <c r="I21568" s="12"/>
      <c r="J21568" s="12"/>
      <c r="K21568" s="12"/>
      <c r="L21568" s="12"/>
      <c r="M21568" s="11"/>
      <c r="N21568" s="11"/>
      <c r="O21568" s="11"/>
      <c r="P21568" s="11"/>
    </row>
    <row r="21569" spans="8:16" x14ac:dyDescent="0.25">
      <c r="H21569" s="12"/>
      <c r="I21569" s="12"/>
      <c r="J21569" s="12"/>
      <c r="K21569" s="12"/>
      <c r="L21569" s="12"/>
      <c r="M21569" s="11"/>
      <c r="N21569" s="11"/>
      <c r="O21569" s="11"/>
      <c r="P21569" s="11"/>
    </row>
    <row r="21570" spans="8:16" x14ac:dyDescent="0.25">
      <c r="H21570" s="12"/>
      <c r="I21570" s="12"/>
      <c r="J21570" s="12"/>
      <c r="K21570" s="12"/>
      <c r="L21570" s="12"/>
      <c r="M21570" s="11"/>
      <c r="N21570" s="11"/>
      <c r="O21570" s="11"/>
      <c r="P21570" s="11"/>
    </row>
    <row r="21571" spans="8:16" x14ac:dyDescent="0.25">
      <c r="H21571" s="12"/>
      <c r="I21571" s="12"/>
      <c r="J21571" s="12"/>
      <c r="K21571" s="12"/>
      <c r="L21571" s="12"/>
      <c r="M21571" s="11"/>
      <c r="N21571" s="11"/>
      <c r="O21571" s="11"/>
      <c r="P21571" s="11"/>
    </row>
    <row r="21572" spans="8:16" x14ac:dyDescent="0.25">
      <c r="H21572" s="12"/>
      <c r="I21572" s="12"/>
      <c r="J21572" s="12"/>
      <c r="K21572" s="12"/>
      <c r="L21572" s="12"/>
      <c r="M21572" s="11"/>
      <c r="N21572" s="11"/>
      <c r="O21572" s="11"/>
      <c r="P21572" s="11"/>
    </row>
    <row r="21573" spans="8:16" x14ac:dyDescent="0.25">
      <c r="H21573" s="12"/>
      <c r="I21573" s="12"/>
      <c r="J21573" s="12"/>
      <c r="K21573" s="12"/>
      <c r="L21573" s="12"/>
      <c r="M21573" s="11"/>
      <c r="N21573" s="11"/>
      <c r="O21573" s="11"/>
      <c r="P21573" s="11"/>
    </row>
    <row r="21574" spans="8:16" x14ac:dyDescent="0.25">
      <c r="H21574" s="12"/>
      <c r="I21574" s="12"/>
      <c r="J21574" s="12"/>
      <c r="K21574" s="12"/>
      <c r="L21574" s="12"/>
      <c r="M21574" s="11"/>
      <c r="N21574" s="11"/>
      <c r="O21574" s="11"/>
      <c r="P21574" s="11"/>
    </row>
    <row r="21575" spans="8:16" x14ac:dyDescent="0.25">
      <c r="H21575" s="12"/>
      <c r="I21575" s="12"/>
      <c r="J21575" s="12"/>
      <c r="K21575" s="12"/>
      <c r="L21575" s="12"/>
      <c r="M21575" s="11"/>
      <c r="N21575" s="11"/>
      <c r="O21575" s="11"/>
      <c r="P21575" s="11"/>
    </row>
    <row r="21576" spans="8:16" x14ac:dyDescent="0.25">
      <c r="H21576" s="12"/>
      <c r="I21576" s="12"/>
      <c r="J21576" s="12"/>
      <c r="K21576" s="12"/>
      <c r="L21576" s="12"/>
      <c r="M21576" s="11"/>
      <c r="N21576" s="11"/>
      <c r="O21576" s="11"/>
      <c r="P21576" s="11"/>
    </row>
    <row r="21577" spans="8:16" x14ac:dyDescent="0.25">
      <c r="H21577" s="12"/>
      <c r="I21577" s="12"/>
      <c r="J21577" s="12"/>
      <c r="K21577" s="12"/>
      <c r="L21577" s="12"/>
      <c r="M21577" s="11"/>
      <c r="N21577" s="11"/>
      <c r="O21577" s="11"/>
      <c r="P21577" s="11"/>
    </row>
    <row r="21578" spans="8:16" x14ac:dyDescent="0.25">
      <c r="H21578" s="12"/>
      <c r="I21578" s="12"/>
      <c r="J21578" s="12"/>
      <c r="K21578" s="12"/>
      <c r="L21578" s="12"/>
      <c r="M21578" s="11"/>
      <c r="N21578" s="11"/>
      <c r="O21578" s="11"/>
      <c r="P21578" s="11"/>
    </row>
    <row r="21579" spans="8:16" x14ac:dyDescent="0.25">
      <c r="H21579" s="12"/>
      <c r="I21579" s="12"/>
      <c r="J21579" s="12"/>
      <c r="K21579" s="12"/>
      <c r="L21579" s="12"/>
      <c r="M21579" s="11"/>
      <c r="N21579" s="11"/>
      <c r="O21579" s="11"/>
      <c r="P21579" s="11"/>
    </row>
    <row r="21580" spans="8:16" x14ac:dyDescent="0.25">
      <c r="H21580" s="12"/>
      <c r="I21580" s="12"/>
      <c r="J21580" s="12"/>
      <c r="K21580" s="12"/>
      <c r="L21580" s="12"/>
      <c r="M21580" s="11"/>
      <c r="N21580" s="11"/>
      <c r="O21580" s="11"/>
      <c r="P21580" s="11"/>
    </row>
    <row r="21581" spans="8:16" x14ac:dyDescent="0.25">
      <c r="H21581" s="12"/>
      <c r="I21581" s="12"/>
      <c r="J21581" s="12"/>
      <c r="K21581" s="12"/>
      <c r="L21581" s="12"/>
      <c r="M21581" s="11"/>
      <c r="N21581" s="11"/>
      <c r="O21581" s="11"/>
      <c r="P21581" s="11"/>
    </row>
    <row r="21582" spans="8:16" x14ac:dyDescent="0.25">
      <c r="H21582" s="12"/>
      <c r="I21582" s="12"/>
      <c r="J21582" s="12"/>
      <c r="K21582" s="12"/>
      <c r="L21582" s="12"/>
      <c r="M21582" s="11"/>
      <c r="N21582" s="11"/>
      <c r="O21582" s="11"/>
      <c r="P21582" s="11"/>
    </row>
    <row r="21583" spans="8:16" x14ac:dyDescent="0.25">
      <c r="H21583" s="12"/>
      <c r="I21583" s="12"/>
      <c r="J21583" s="12"/>
      <c r="K21583" s="12"/>
      <c r="L21583" s="12"/>
      <c r="M21583" s="11"/>
      <c r="N21583" s="11"/>
      <c r="O21583" s="11"/>
      <c r="P21583" s="11"/>
    </row>
    <row r="21584" spans="8:16" x14ac:dyDescent="0.25">
      <c r="H21584" s="12"/>
      <c r="I21584" s="12"/>
      <c r="J21584" s="12"/>
      <c r="K21584" s="12"/>
      <c r="L21584" s="12"/>
      <c r="M21584" s="11"/>
      <c r="N21584" s="11"/>
      <c r="O21584" s="11"/>
      <c r="P21584" s="11"/>
    </row>
    <row r="21585" spans="8:16" x14ac:dyDescent="0.25">
      <c r="H21585" s="12"/>
      <c r="I21585" s="12"/>
      <c r="J21585" s="12"/>
      <c r="K21585" s="12"/>
      <c r="L21585" s="12"/>
      <c r="M21585" s="11"/>
      <c r="N21585" s="11"/>
      <c r="O21585" s="11"/>
      <c r="P21585" s="11"/>
    </row>
    <row r="21586" spans="8:16" x14ac:dyDescent="0.25">
      <c r="H21586" s="12"/>
      <c r="I21586" s="12"/>
      <c r="J21586" s="12"/>
      <c r="K21586" s="12"/>
      <c r="L21586" s="12"/>
      <c r="M21586" s="11"/>
      <c r="N21586" s="11"/>
      <c r="O21586" s="11"/>
      <c r="P21586" s="11"/>
    </row>
    <row r="21587" spans="8:16" x14ac:dyDescent="0.25">
      <c r="H21587" s="12"/>
      <c r="I21587" s="12"/>
      <c r="J21587" s="12"/>
      <c r="K21587" s="12"/>
      <c r="L21587" s="12"/>
      <c r="M21587" s="11"/>
      <c r="N21587" s="11"/>
      <c r="O21587" s="11"/>
      <c r="P21587" s="11"/>
    </row>
    <row r="21588" spans="8:16" x14ac:dyDescent="0.25">
      <c r="H21588" s="12"/>
      <c r="I21588" s="12"/>
      <c r="J21588" s="12"/>
      <c r="K21588" s="12"/>
      <c r="L21588" s="12"/>
      <c r="M21588" s="11"/>
      <c r="N21588" s="11"/>
      <c r="O21588" s="11"/>
      <c r="P21588" s="11"/>
    </row>
    <row r="21589" spans="8:16" x14ac:dyDescent="0.25">
      <c r="H21589" s="12"/>
      <c r="I21589" s="12"/>
      <c r="J21589" s="12"/>
      <c r="K21589" s="12"/>
      <c r="L21589" s="12"/>
      <c r="M21589" s="11"/>
      <c r="N21589" s="11"/>
      <c r="O21589" s="11"/>
      <c r="P21589" s="11"/>
    </row>
    <row r="21590" spans="8:16" x14ac:dyDescent="0.25">
      <c r="H21590" s="12"/>
      <c r="I21590" s="12"/>
      <c r="J21590" s="12"/>
      <c r="K21590" s="12"/>
      <c r="L21590" s="12"/>
      <c r="M21590" s="11"/>
      <c r="N21590" s="11"/>
      <c r="O21590" s="11"/>
      <c r="P21590" s="11"/>
    </row>
    <row r="21591" spans="8:16" x14ac:dyDescent="0.25">
      <c r="H21591" s="12"/>
      <c r="I21591" s="12"/>
      <c r="J21591" s="12"/>
      <c r="K21591" s="12"/>
      <c r="L21591" s="12"/>
      <c r="M21591" s="11"/>
      <c r="N21591" s="11"/>
      <c r="O21591" s="11"/>
      <c r="P21591" s="11"/>
    </row>
    <row r="21592" spans="8:16" x14ac:dyDescent="0.25">
      <c r="H21592" s="12"/>
      <c r="I21592" s="12"/>
      <c r="J21592" s="12"/>
      <c r="K21592" s="12"/>
      <c r="L21592" s="12"/>
      <c r="M21592" s="11"/>
      <c r="N21592" s="11"/>
      <c r="O21592" s="11"/>
      <c r="P21592" s="11"/>
    </row>
    <row r="21593" spans="8:16" x14ac:dyDescent="0.25">
      <c r="H21593" s="12"/>
      <c r="I21593" s="12"/>
      <c r="J21593" s="12"/>
      <c r="K21593" s="12"/>
      <c r="L21593" s="12"/>
      <c r="M21593" s="11"/>
      <c r="N21593" s="11"/>
      <c r="O21593" s="11"/>
      <c r="P21593" s="11"/>
    </row>
    <row r="21594" spans="8:16" x14ac:dyDescent="0.25">
      <c r="H21594" s="12"/>
      <c r="I21594" s="12"/>
      <c r="J21594" s="12"/>
      <c r="K21594" s="12"/>
      <c r="L21594" s="12"/>
      <c r="M21594" s="11"/>
      <c r="N21594" s="11"/>
      <c r="O21594" s="11"/>
      <c r="P21594" s="11"/>
    </row>
    <row r="21595" spans="8:16" x14ac:dyDescent="0.25">
      <c r="H21595" s="12"/>
      <c r="I21595" s="12"/>
      <c r="J21595" s="12"/>
      <c r="K21595" s="12"/>
      <c r="L21595" s="12"/>
      <c r="M21595" s="11"/>
      <c r="N21595" s="11"/>
      <c r="O21595" s="11"/>
      <c r="P21595" s="11"/>
    </row>
    <row r="21596" spans="8:16" x14ac:dyDescent="0.25">
      <c r="H21596" s="12"/>
      <c r="I21596" s="12"/>
      <c r="J21596" s="12"/>
      <c r="K21596" s="12"/>
      <c r="L21596" s="12"/>
      <c r="M21596" s="11"/>
      <c r="N21596" s="11"/>
      <c r="O21596" s="11"/>
      <c r="P21596" s="11"/>
    </row>
    <row r="21597" spans="8:16" x14ac:dyDescent="0.25">
      <c r="H21597" s="12"/>
      <c r="I21597" s="12"/>
      <c r="J21597" s="12"/>
      <c r="K21597" s="12"/>
      <c r="L21597" s="12"/>
      <c r="M21597" s="11"/>
      <c r="N21597" s="11"/>
      <c r="O21597" s="11"/>
      <c r="P21597" s="11"/>
    </row>
    <row r="21598" spans="8:16" x14ac:dyDescent="0.25">
      <c r="H21598" s="12"/>
      <c r="I21598" s="12"/>
      <c r="J21598" s="12"/>
      <c r="K21598" s="12"/>
      <c r="L21598" s="12"/>
      <c r="M21598" s="11"/>
      <c r="N21598" s="11"/>
      <c r="O21598" s="11"/>
      <c r="P21598" s="11"/>
    </row>
    <row r="21599" spans="8:16" x14ac:dyDescent="0.25">
      <c r="H21599" s="12"/>
      <c r="I21599" s="12"/>
      <c r="J21599" s="12"/>
      <c r="K21599" s="12"/>
      <c r="L21599" s="12"/>
      <c r="M21599" s="11"/>
      <c r="N21599" s="11"/>
      <c r="O21599" s="11"/>
      <c r="P21599" s="11"/>
    </row>
    <row r="21600" spans="8:16" x14ac:dyDescent="0.25">
      <c r="H21600" s="12"/>
      <c r="I21600" s="12"/>
      <c r="J21600" s="12"/>
      <c r="K21600" s="12"/>
      <c r="L21600" s="12"/>
      <c r="M21600" s="11"/>
      <c r="N21600" s="11"/>
      <c r="O21600" s="11"/>
      <c r="P21600" s="11"/>
    </row>
    <row r="21601" spans="8:16" x14ac:dyDescent="0.25">
      <c r="H21601" s="12"/>
      <c r="I21601" s="12"/>
      <c r="J21601" s="12"/>
      <c r="K21601" s="12"/>
      <c r="L21601" s="12"/>
      <c r="M21601" s="11"/>
      <c r="N21601" s="11"/>
      <c r="O21601" s="11"/>
      <c r="P21601" s="11"/>
    </row>
    <row r="21602" spans="8:16" x14ac:dyDescent="0.25">
      <c r="H21602" s="12"/>
      <c r="I21602" s="12"/>
      <c r="J21602" s="12"/>
      <c r="K21602" s="12"/>
      <c r="L21602" s="12"/>
      <c r="M21602" s="11"/>
      <c r="N21602" s="11"/>
      <c r="O21602" s="11"/>
      <c r="P21602" s="11"/>
    </row>
    <row r="21603" spans="8:16" x14ac:dyDescent="0.25">
      <c r="H21603" s="12"/>
      <c r="I21603" s="12"/>
      <c r="J21603" s="12"/>
      <c r="K21603" s="12"/>
      <c r="L21603" s="12"/>
      <c r="M21603" s="11"/>
      <c r="N21603" s="11"/>
      <c r="O21603" s="11"/>
      <c r="P21603" s="11"/>
    </row>
    <row r="21604" spans="8:16" x14ac:dyDescent="0.25">
      <c r="H21604" s="12"/>
      <c r="I21604" s="12"/>
      <c r="J21604" s="12"/>
      <c r="K21604" s="12"/>
      <c r="L21604" s="12"/>
      <c r="M21604" s="11"/>
      <c r="N21604" s="11"/>
      <c r="O21604" s="11"/>
      <c r="P21604" s="11"/>
    </row>
    <row r="21605" spans="8:16" x14ac:dyDescent="0.25">
      <c r="H21605" s="12"/>
      <c r="I21605" s="12"/>
      <c r="J21605" s="12"/>
      <c r="K21605" s="12"/>
      <c r="L21605" s="12"/>
      <c r="M21605" s="11"/>
      <c r="N21605" s="11"/>
      <c r="O21605" s="11"/>
      <c r="P21605" s="11"/>
    </row>
    <row r="21606" spans="8:16" x14ac:dyDescent="0.25">
      <c r="H21606" s="12"/>
      <c r="I21606" s="12"/>
      <c r="J21606" s="12"/>
      <c r="K21606" s="12"/>
      <c r="L21606" s="12"/>
      <c r="M21606" s="11"/>
      <c r="N21606" s="11"/>
      <c r="O21606" s="11"/>
      <c r="P21606" s="11"/>
    </row>
    <row r="21607" spans="8:16" x14ac:dyDescent="0.25">
      <c r="H21607" s="12"/>
      <c r="I21607" s="12"/>
      <c r="J21607" s="12"/>
      <c r="K21607" s="12"/>
      <c r="L21607" s="12"/>
      <c r="M21607" s="11"/>
      <c r="N21607" s="11"/>
      <c r="O21607" s="11"/>
      <c r="P21607" s="11"/>
    </row>
    <row r="21608" spans="8:16" x14ac:dyDescent="0.25">
      <c r="H21608" s="12"/>
      <c r="I21608" s="12"/>
      <c r="J21608" s="12"/>
      <c r="K21608" s="12"/>
      <c r="L21608" s="12"/>
      <c r="M21608" s="11"/>
      <c r="N21608" s="11"/>
      <c r="O21608" s="11"/>
      <c r="P21608" s="11"/>
    </row>
    <row r="21609" spans="8:16" x14ac:dyDescent="0.25">
      <c r="H21609" s="12"/>
      <c r="I21609" s="12"/>
      <c r="J21609" s="12"/>
      <c r="K21609" s="12"/>
      <c r="L21609" s="12"/>
      <c r="M21609" s="11"/>
      <c r="N21609" s="11"/>
      <c r="O21609" s="11"/>
      <c r="P21609" s="11"/>
    </row>
    <row r="21610" spans="8:16" x14ac:dyDescent="0.25">
      <c r="H21610" s="12"/>
      <c r="I21610" s="12"/>
      <c r="J21610" s="12"/>
      <c r="K21610" s="12"/>
      <c r="L21610" s="12"/>
      <c r="M21610" s="11"/>
      <c r="N21610" s="11"/>
      <c r="O21610" s="11"/>
      <c r="P21610" s="11"/>
    </row>
    <row r="21611" spans="8:16" x14ac:dyDescent="0.25">
      <c r="H21611" s="12"/>
      <c r="I21611" s="12"/>
      <c r="J21611" s="12"/>
      <c r="K21611" s="12"/>
      <c r="L21611" s="12"/>
      <c r="M21611" s="11"/>
      <c r="N21611" s="11"/>
      <c r="O21611" s="11"/>
      <c r="P21611" s="11"/>
    </row>
    <row r="21612" spans="8:16" x14ac:dyDescent="0.25">
      <c r="H21612" s="12"/>
      <c r="I21612" s="12"/>
      <c r="J21612" s="12"/>
      <c r="K21612" s="12"/>
      <c r="L21612" s="12"/>
      <c r="M21612" s="11"/>
      <c r="N21612" s="11"/>
      <c r="O21612" s="11"/>
      <c r="P21612" s="11"/>
    </row>
    <row r="21613" spans="8:16" x14ac:dyDescent="0.25">
      <c r="H21613" s="12"/>
      <c r="I21613" s="12"/>
      <c r="J21613" s="12"/>
      <c r="K21613" s="12"/>
      <c r="L21613" s="12"/>
      <c r="M21613" s="11"/>
      <c r="N21613" s="11"/>
      <c r="O21613" s="11"/>
      <c r="P21613" s="11"/>
    </row>
    <row r="21614" spans="8:16" x14ac:dyDescent="0.25">
      <c r="H21614" s="12"/>
      <c r="I21614" s="12"/>
      <c r="J21614" s="12"/>
      <c r="K21614" s="12"/>
      <c r="L21614" s="12"/>
      <c r="M21614" s="11"/>
      <c r="N21614" s="11"/>
      <c r="O21614" s="11"/>
      <c r="P21614" s="11"/>
    </row>
    <row r="21615" spans="8:16" x14ac:dyDescent="0.25">
      <c r="H21615" s="12"/>
      <c r="I21615" s="12"/>
      <c r="J21615" s="12"/>
      <c r="K21615" s="12"/>
      <c r="L21615" s="12"/>
      <c r="M21615" s="11"/>
      <c r="N21615" s="11"/>
      <c r="O21615" s="11"/>
      <c r="P21615" s="11"/>
    </row>
    <row r="21616" spans="8:16" x14ac:dyDescent="0.25">
      <c r="H21616" s="12"/>
      <c r="I21616" s="12"/>
      <c r="J21616" s="12"/>
      <c r="K21616" s="12"/>
      <c r="L21616" s="12"/>
      <c r="M21616" s="11"/>
      <c r="N21616" s="11"/>
      <c r="O21616" s="11"/>
      <c r="P21616" s="11"/>
    </row>
    <row r="21617" spans="8:16" x14ac:dyDescent="0.25">
      <c r="H21617" s="12"/>
      <c r="I21617" s="12"/>
      <c r="J21617" s="12"/>
      <c r="K21617" s="12"/>
      <c r="L21617" s="12"/>
      <c r="M21617" s="11"/>
      <c r="N21617" s="11"/>
      <c r="O21617" s="11"/>
      <c r="P21617" s="11"/>
    </row>
    <row r="21618" spans="8:16" x14ac:dyDescent="0.25">
      <c r="H21618" s="12"/>
      <c r="I21618" s="12"/>
      <c r="J21618" s="12"/>
      <c r="K21618" s="12"/>
      <c r="L21618" s="12"/>
      <c r="M21618" s="11"/>
      <c r="N21618" s="11"/>
      <c r="O21618" s="11"/>
      <c r="P21618" s="11"/>
    </row>
    <row r="21619" spans="8:16" x14ac:dyDescent="0.25">
      <c r="H21619" s="12"/>
      <c r="I21619" s="12"/>
      <c r="J21619" s="12"/>
      <c r="K21619" s="12"/>
      <c r="L21619" s="12"/>
      <c r="M21619" s="11"/>
      <c r="N21619" s="11"/>
      <c r="O21619" s="11"/>
      <c r="P21619" s="11"/>
    </row>
    <row r="21620" spans="8:16" x14ac:dyDescent="0.25">
      <c r="H21620" s="12"/>
      <c r="I21620" s="12"/>
      <c r="J21620" s="12"/>
      <c r="K21620" s="12"/>
      <c r="L21620" s="12"/>
      <c r="M21620" s="11"/>
      <c r="N21620" s="11"/>
      <c r="O21620" s="11"/>
      <c r="P21620" s="11"/>
    </row>
    <row r="21621" spans="8:16" x14ac:dyDescent="0.25">
      <c r="H21621" s="12"/>
      <c r="I21621" s="12"/>
      <c r="J21621" s="12"/>
      <c r="K21621" s="12"/>
      <c r="L21621" s="12"/>
      <c r="M21621" s="11"/>
      <c r="N21621" s="11"/>
      <c r="O21621" s="11"/>
      <c r="P21621" s="11"/>
    </row>
    <row r="21622" spans="8:16" x14ac:dyDescent="0.25">
      <c r="H21622" s="12"/>
      <c r="I21622" s="12"/>
      <c r="J21622" s="12"/>
      <c r="K21622" s="12"/>
      <c r="L21622" s="12"/>
      <c r="M21622" s="11"/>
      <c r="N21622" s="11"/>
      <c r="O21622" s="11"/>
      <c r="P21622" s="11"/>
    </row>
    <row r="21623" spans="8:16" x14ac:dyDescent="0.25">
      <c r="H21623" s="12"/>
      <c r="I21623" s="12"/>
      <c r="J21623" s="12"/>
      <c r="K21623" s="12"/>
      <c r="L21623" s="12"/>
      <c r="M21623" s="11"/>
      <c r="N21623" s="11"/>
      <c r="O21623" s="11"/>
      <c r="P21623" s="11"/>
    </row>
    <row r="21624" spans="8:16" x14ac:dyDescent="0.25">
      <c r="H21624" s="12"/>
      <c r="I21624" s="12"/>
      <c r="J21624" s="12"/>
      <c r="K21624" s="12"/>
      <c r="L21624" s="12"/>
      <c r="M21624" s="11"/>
      <c r="N21624" s="11"/>
      <c r="O21624" s="11"/>
      <c r="P21624" s="11"/>
    </row>
    <row r="21625" spans="8:16" x14ac:dyDescent="0.25">
      <c r="H21625" s="12"/>
      <c r="I21625" s="12"/>
      <c r="J21625" s="12"/>
      <c r="K21625" s="12"/>
      <c r="L21625" s="12"/>
      <c r="M21625" s="11"/>
      <c r="N21625" s="11"/>
      <c r="O21625" s="11"/>
      <c r="P21625" s="11"/>
    </row>
    <row r="21626" spans="8:16" x14ac:dyDescent="0.25">
      <c r="H21626" s="12"/>
      <c r="I21626" s="12"/>
      <c r="J21626" s="12"/>
      <c r="K21626" s="12"/>
      <c r="L21626" s="12"/>
      <c r="M21626" s="11"/>
      <c r="N21626" s="11"/>
      <c r="O21626" s="11"/>
      <c r="P21626" s="11"/>
    </row>
    <row r="21627" spans="8:16" x14ac:dyDescent="0.25">
      <c r="H21627" s="12"/>
      <c r="I21627" s="12"/>
      <c r="J21627" s="12"/>
      <c r="K21627" s="12"/>
      <c r="L21627" s="12"/>
      <c r="M21627" s="11"/>
      <c r="N21627" s="11"/>
      <c r="O21627" s="11"/>
      <c r="P21627" s="11"/>
    </row>
    <row r="21628" spans="8:16" x14ac:dyDescent="0.25">
      <c r="H21628" s="12"/>
      <c r="I21628" s="12"/>
      <c r="J21628" s="12"/>
      <c r="K21628" s="12"/>
      <c r="L21628" s="12"/>
      <c r="M21628" s="11"/>
      <c r="N21628" s="11"/>
      <c r="O21628" s="11"/>
      <c r="P21628" s="11"/>
    </row>
    <row r="21629" spans="8:16" x14ac:dyDescent="0.25">
      <c r="H21629" s="12"/>
      <c r="I21629" s="12"/>
      <c r="J21629" s="12"/>
      <c r="K21629" s="12"/>
      <c r="L21629" s="12"/>
      <c r="M21629" s="11"/>
      <c r="N21629" s="11"/>
      <c r="O21629" s="11"/>
      <c r="P21629" s="11"/>
    </row>
    <row r="21630" spans="8:16" x14ac:dyDescent="0.25">
      <c r="H21630" s="12"/>
      <c r="I21630" s="12"/>
      <c r="J21630" s="12"/>
      <c r="K21630" s="12"/>
      <c r="L21630" s="12"/>
      <c r="M21630" s="11"/>
      <c r="N21630" s="11"/>
      <c r="O21630" s="11"/>
      <c r="P21630" s="11"/>
    </row>
    <row r="21631" spans="8:16" x14ac:dyDescent="0.25">
      <c r="H21631" s="12"/>
      <c r="I21631" s="12"/>
      <c r="J21631" s="12"/>
      <c r="K21631" s="12"/>
      <c r="L21631" s="12"/>
      <c r="M21631" s="11"/>
      <c r="N21631" s="11"/>
      <c r="O21631" s="11"/>
      <c r="P21631" s="11"/>
    </row>
    <row r="21632" spans="8:16" x14ac:dyDescent="0.25">
      <c r="H21632" s="12"/>
      <c r="I21632" s="12"/>
      <c r="J21632" s="12"/>
      <c r="K21632" s="12"/>
      <c r="L21632" s="12"/>
      <c r="M21632" s="11"/>
      <c r="N21632" s="11"/>
      <c r="O21632" s="11"/>
      <c r="P21632" s="11"/>
    </row>
    <row r="21633" spans="8:16" x14ac:dyDescent="0.25">
      <c r="H21633" s="12"/>
      <c r="I21633" s="12"/>
      <c r="J21633" s="12"/>
      <c r="K21633" s="12"/>
      <c r="L21633" s="12"/>
      <c r="M21633" s="11"/>
      <c r="N21633" s="11"/>
      <c r="O21633" s="11"/>
      <c r="P21633" s="11"/>
    </row>
    <row r="21634" spans="8:16" x14ac:dyDescent="0.25">
      <c r="H21634" s="12"/>
      <c r="I21634" s="12"/>
      <c r="J21634" s="12"/>
      <c r="K21634" s="12"/>
      <c r="L21634" s="12"/>
      <c r="M21634" s="11"/>
      <c r="N21634" s="11"/>
      <c r="O21634" s="11"/>
      <c r="P21634" s="11"/>
    </row>
    <row r="21635" spans="8:16" x14ac:dyDescent="0.25">
      <c r="H21635" s="12"/>
      <c r="I21635" s="12"/>
      <c r="J21635" s="12"/>
      <c r="K21635" s="12"/>
      <c r="L21635" s="12"/>
      <c r="M21635" s="11"/>
      <c r="N21635" s="11"/>
      <c r="O21635" s="11"/>
      <c r="P21635" s="11"/>
    </row>
    <row r="21636" spans="8:16" x14ac:dyDescent="0.25">
      <c r="H21636" s="12"/>
      <c r="I21636" s="12"/>
      <c r="J21636" s="12"/>
      <c r="K21636" s="12"/>
      <c r="L21636" s="12"/>
      <c r="M21636" s="11"/>
      <c r="N21636" s="11"/>
      <c r="O21636" s="11"/>
      <c r="P21636" s="11"/>
    </row>
    <row r="21637" spans="8:16" x14ac:dyDescent="0.25">
      <c r="H21637" s="12"/>
      <c r="I21637" s="12"/>
      <c r="J21637" s="12"/>
      <c r="K21637" s="12"/>
      <c r="L21637" s="12"/>
      <c r="M21637" s="11"/>
      <c r="N21637" s="11"/>
      <c r="O21637" s="11"/>
      <c r="P21637" s="11"/>
    </row>
    <row r="21638" spans="8:16" x14ac:dyDescent="0.25">
      <c r="H21638" s="12"/>
      <c r="I21638" s="12"/>
      <c r="J21638" s="12"/>
      <c r="K21638" s="12"/>
      <c r="L21638" s="12"/>
      <c r="M21638" s="11"/>
      <c r="N21638" s="11"/>
      <c r="O21638" s="11"/>
      <c r="P21638" s="11"/>
    </row>
    <row r="21639" spans="8:16" x14ac:dyDescent="0.25">
      <c r="H21639" s="12"/>
      <c r="I21639" s="12"/>
      <c r="J21639" s="12"/>
      <c r="K21639" s="12"/>
      <c r="L21639" s="12"/>
      <c r="M21639" s="11"/>
      <c r="N21639" s="11"/>
      <c r="O21639" s="11"/>
      <c r="P21639" s="11"/>
    </row>
    <row r="21640" spans="8:16" x14ac:dyDescent="0.25">
      <c r="H21640" s="12"/>
      <c r="I21640" s="12"/>
      <c r="J21640" s="12"/>
      <c r="K21640" s="12"/>
      <c r="L21640" s="12"/>
      <c r="M21640" s="11"/>
      <c r="N21640" s="11"/>
      <c r="O21640" s="11"/>
      <c r="P21640" s="11"/>
    </row>
    <row r="21641" spans="8:16" x14ac:dyDescent="0.25">
      <c r="H21641" s="12"/>
      <c r="I21641" s="12"/>
      <c r="J21641" s="12"/>
      <c r="K21641" s="12"/>
      <c r="L21641" s="12"/>
      <c r="M21641" s="11"/>
      <c r="N21641" s="11"/>
      <c r="O21641" s="11"/>
      <c r="P21641" s="11"/>
    </row>
    <row r="21642" spans="8:16" x14ac:dyDescent="0.25">
      <c r="H21642" s="12"/>
      <c r="I21642" s="12"/>
      <c r="J21642" s="12"/>
      <c r="K21642" s="12"/>
      <c r="L21642" s="12"/>
      <c r="M21642" s="11"/>
      <c r="N21642" s="11"/>
      <c r="O21642" s="11"/>
      <c r="P21642" s="11"/>
    </row>
    <row r="21643" spans="8:16" x14ac:dyDescent="0.25">
      <c r="H21643" s="12"/>
      <c r="I21643" s="12"/>
      <c r="J21643" s="12"/>
      <c r="K21643" s="12"/>
      <c r="L21643" s="12"/>
      <c r="M21643" s="11"/>
      <c r="N21643" s="11"/>
      <c r="O21643" s="11"/>
      <c r="P21643" s="11"/>
    </row>
    <row r="21644" spans="8:16" x14ac:dyDescent="0.25">
      <c r="H21644" s="12"/>
      <c r="I21644" s="12"/>
      <c r="J21644" s="12"/>
      <c r="K21644" s="12"/>
      <c r="L21644" s="12"/>
      <c r="M21644" s="11"/>
      <c r="N21644" s="11"/>
      <c r="O21644" s="11"/>
      <c r="P21644" s="11"/>
    </row>
    <row r="21645" spans="8:16" x14ac:dyDescent="0.25">
      <c r="H21645" s="12"/>
      <c r="I21645" s="12"/>
      <c r="J21645" s="12"/>
      <c r="K21645" s="12"/>
      <c r="L21645" s="12"/>
      <c r="M21645" s="11"/>
      <c r="N21645" s="11"/>
      <c r="O21645" s="11"/>
      <c r="P21645" s="11"/>
    </row>
    <row r="21646" spans="8:16" x14ac:dyDescent="0.25">
      <c r="H21646" s="12"/>
      <c r="I21646" s="12"/>
      <c r="J21646" s="12"/>
      <c r="K21646" s="12"/>
      <c r="L21646" s="12"/>
      <c r="M21646" s="11"/>
      <c r="N21646" s="11"/>
      <c r="O21646" s="11"/>
      <c r="P21646" s="11"/>
    </row>
    <row r="21647" spans="8:16" x14ac:dyDescent="0.25">
      <c r="H21647" s="12"/>
      <c r="I21647" s="12"/>
      <c r="J21647" s="12"/>
      <c r="K21647" s="12"/>
      <c r="L21647" s="12"/>
      <c r="M21647" s="11"/>
      <c r="N21647" s="11"/>
      <c r="O21647" s="11"/>
      <c r="P21647" s="11"/>
    </row>
    <row r="21648" spans="8:16" x14ac:dyDescent="0.25">
      <c r="H21648" s="12"/>
      <c r="I21648" s="12"/>
      <c r="J21648" s="12"/>
      <c r="K21648" s="12"/>
      <c r="L21648" s="12"/>
      <c r="M21648" s="11"/>
      <c r="N21648" s="11"/>
      <c r="O21648" s="11"/>
      <c r="P21648" s="11"/>
    </row>
    <row r="21649" spans="8:16" x14ac:dyDescent="0.25">
      <c r="H21649" s="12"/>
      <c r="I21649" s="12"/>
      <c r="J21649" s="12"/>
      <c r="K21649" s="12"/>
      <c r="L21649" s="12"/>
      <c r="M21649" s="11"/>
      <c r="N21649" s="11"/>
      <c r="O21649" s="11"/>
      <c r="P21649" s="11"/>
    </row>
    <row r="21650" spans="8:16" x14ac:dyDescent="0.25">
      <c r="H21650" s="12"/>
      <c r="I21650" s="12"/>
      <c r="J21650" s="12"/>
      <c r="K21650" s="12"/>
      <c r="L21650" s="12"/>
      <c r="M21650" s="11"/>
      <c r="N21650" s="11"/>
      <c r="O21650" s="11"/>
      <c r="P21650" s="11"/>
    </row>
    <row r="21651" spans="8:16" x14ac:dyDescent="0.25">
      <c r="H21651" s="12"/>
      <c r="I21651" s="12"/>
      <c r="J21651" s="12"/>
      <c r="K21651" s="12"/>
      <c r="L21651" s="12"/>
      <c r="M21651" s="11"/>
      <c r="N21651" s="11"/>
      <c r="O21651" s="11"/>
      <c r="P21651" s="11"/>
    </row>
    <row r="21652" spans="8:16" x14ac:dyDescent="0.25">
      <c r="H21652" s="12"/>
      <c r="I21652" s="12"/>
      <c r="J21652" s="12"/>
      <c r="K21652" s="12"/>
      <c r="L21652" s="12"/>
      <c r="M21652" s="11"/>
      <c r="N21652" s="11"/>
      <c r="O21652" s="11"/>
      <c r="P21652" s="11"/>
    </row>
    <row r="21653" spans="8:16" x14ac:dyDescent="0.25">
      <c r="H21653" s="12"/>
      <c r="I21653" s="12"/>
      <c r="J21653" s="12"/>
      <c r="K21653" s="12"/>
      <c r="L21653" s="12"/>
      <c r="M21653" s="11"/>
      <c r="N21653" s="11"/>
      <c r="O21653" s="11"/>
      <c r="P21653" s="11"/>
    </row>
    <row r="21654" spans="8:16" x14ac:dyDescent="0.25">
      <c r="H21654" s="12"/>
      <c r="I21654" s="12"/>
      <c r="J21654" s="12"/>
      <c r="K21654" s="12"/>
      <c r="L21654" s="12"/>
      <c r="M21654" s="11"/>
      <c r="N21654" s="11"/>
      <c r="O21654" s="11"/>
      <c r="P21654" s="11"/>
    </row>
    <row r="21655" spans="8:16" x14ac:dyDescent="0.25">
      <c r="H21655" s="12"/>
      <c r="I21655" s="12"/>
      <c r="J21655" s="12"/>
      <c r="K21655" s="12"/>
      <c r="L21655" s="12"/>
      <c r="M21655" s="11"/>
      <c r="N21655" s="11"/>
      <c r="O21655" s="11"/>
      <c r="P21655" s="11"/>
    </row>
    <row r="21656" spans="8:16" x14ac:dyDescent="0.25">
      <c r="H21656" s="12"/>
      <c r="I21656" s="12"/>
      <c r="J21656" s="12"/>
      <c r="K21656" s="12"/>
      <c r="L21656" s="12"/>
      <c r="M21656" s="11"/>
      <c r="N21656" s="11"/>
      <c r="O21656" s="11"/>
      <c r="P21656" s="11"/>
    </row>
    <row r="21657" spans="8:16" x14ac:dyDescent="0.25">
      <c r="H21657" s="12"/>
      <c r="I21657" s="12"/>
      <c r="J21657" s="12"/>
      <c r="K21657" s="12"/>
      <c r="L21657" s="12"/>
      <c r="M21657" s="11"/>
      <c r="N21657" s="11"/>
      <c r="O21657" s="11"/>
      <c r="P21657" s="11"/>
    </row>
    <row r="21658" spans="8:16" x14ac:dyDescent="0.25">
      <c r="H21658" s="12"/>
      <c r="I21658" s="12"/>
      <c r="J21658" s="12"/>
      <c r="K21658" s="12"/>
      <c r="L21658" s="12"/>
      <c r="M21658" s="11"/>
      <c r="N21658" s="11"/>
      <c r="O21658" s="11"/>
      <c r="P21658" s="11"/>
    </row>
    <row r="21659" spans="8:16" x14ac:dyDescent="0.25">
      <c r="H21659" s="12"/>
      <c r="I21659" s="12"/>
      <c r="J21659" s="12"/>
      <c r="K21659" s="12"/>
      <c r="L21659" s="12"/>
      <c r="M21659" s="11"/>
      <c r="N21659" s="11"/>
      <c r="O21659" s="11"/>
      <c r="P21659" s="11"/>
    </row>
    <row r="21660" spans="8:16" x14ac:dyDescent="0.25">
      <c r="H21660" s="12"/>
      <c r="I21660" s="12"/>
      <c r="J21660" s="12"/>
      <c r="K21660" s="12"/>
      <c r="L21660" s="12"/>
      <c r="M21660" s="11"/>
      <c r="N21660" s="11"/>
      <c r="O21660" s="11"/>
      <c r="P21660" s="11"/>
    </row>
    <row r="21661" spans="8:16" x14ac:dyDescent="0.25">
      <c r="H21661" s="12"/>
      <c r="I21661" s="12"/>
      <c r="J21661" s="12"/>
      <c r="K21661" s="12"/>
      <c r="L21661" s="12"/>
      <c r="M21661" s="11"/>
      <c r="N21661" s="11"/>
      <c r="O21661" s="11"/>
      <c r="P21661" s="11"/>
    </row>
    <row r="21662" spans="8:16" x14ac:dyDescent="0.25">
      <c r="H21662" s="12"/>
      <c r="I21662" s="12"/>
      <c r="J21662" s="12"/>
      <c r="K21662" s="12"/>
      <c r="L21662" s="12"/>
      <c r="M21662" s="11"/>
      <c r="N21662" s="11"/>
      <c r="O21662" s="11"/>
      <c r="P21662" s="11"/>
    </row>
    <row r="21663" spans="8:16" x14ac:dyDescent="0.25">
      <c r="H21663" s="12"/>
      <c r="I21663" s="12"/>
      <c r="J21663" s="12"/>
      <c r="K21663" s="12"/>
      <c r="L21663" s="12"/>
      <c r="M21663" s="11"/>
      <c r="N21663" s="11"/>
      <c r="O21663" s="11"/>
      <c r="P21663" s="11"/>
    </row>
    <row r="21664" spans="8:16" x14ac:dyDescent="0.25">
      <c r="H21664" s="12"/>
      <c r="I21664" s="12"/>
      <c r="J21664" s="12"/>
      <c r="K21664" s="12"/>
      <c r="L21664" s="12"/>
      <c r="M21664" s="11"/>
      <c r="N21664" s="11"/>
      <c r="O21664" s="11"/>
      <c r="P21664" s="11"/>
    </row>
    <row r="21665" spans="8:16" x14ac:dyDescent="0.25">
      <c r="H21665" s="12"/>
      <c r="I21665" s="12"/>
      <c r="J21665" s="12"/>
      <c r="K21665" s="12"/>
      <c r="L21665" s="12"/>
      <c r="M21665" s="11"/>
      <c r="N21665" s="11"/>
      <c r="O21665" s="11"/>
      <c r="P21665" s="11"/>
    </row>
    <row r="21666" spans="8:16" x14ac:dyDescent="0.25">
      <c r="H21666" s="12"/>
      <c r="I21666" s="12"/>
      <c r="J21666" s="12"/>
      <c r="K21666" s="12"/>
      <c r="L21666" s="12"/>
      <c r="M21666" s="11"/>
      <c r="N21666" s="11"/>
      <c r="O21666" s="11"/>
      <c r="P21666" s="11"/>
    </row>
    <row r="21667" spans="8:16" x14ac:dyDescent="0.25">
      <c r="H21667" s="12"/>
      <c r="I21667" s="12"/>
      <c r="J21667" s="12"/>
      <c r="K21667" s="12"/>
      <c r="L21667" s="12"/>
      <c r="M21667" s="11"/>
      <c r="N21667" s="11"/>
      <c r="O21667" s="11"/>
      <c r="P21667" s="11"/>
    </row>
    <row r="21668" spans="8:16" x14ac:dyDescent="0.25">
      <c r="H21668" s="12"/>
      <c r="I21668" s="12"/>
      <c r="J21668" s="12"/>
      <c r="K21668" s="12"/>
      <c r="L21668" s="12"/>
      <c r="M21668" s="11"/>
      <c r="N21668" s="11"/>
      <c r="O21668" s="11"/>
      <c r="P21668" s="11"/>
    </row>
    <row r="21669" spans="8:16" x14ac:dyDescent="0.25">
      <c r="H21669" s="12"/>
      <c r="I21669" s="12"/>
      <c r="J21669" s="12"/>
      <c r="K21669" s="12"/>
      <c r="L21669" s="12"/>
      <c r="M21669" s="11"/>
      <c r="N21669" s="11"/>
      <c r="O21669" s="11"/>
      <c r="P21669" s="11"/>
    </row>
    <row r="21670" spans="8:16" x14ac:dyDescent="0.25">
      <c r="H21670" s="12"/>
      <c r="I21670" s="12"/>
      <c r="J21670" s="12"/>
      <c r="K21670" s="12"/>
      <c r="L21670" s="12"/>
      <c r="M21670" s="11"/>
      <c r="N21670" s="11"/>
      <c r="O21670" s="11"/>
      <c r="P21670" s="11"/>
    </row>
    <row r="21671" spans="8:16" x14ac:dyDescent="0.25">
      <c r="H21671" s="12"/>
      <c r="I21671" s="12"/>
      <c r="J21671" s="12"/>
      <c r="K21671" s="12"/>
      <c r="L21671" s="12"/>
      <c r="M21671" s="11"/>
      <c r="N21671" s="11"/>
      <c r="O21671" s="11"/>
      <c r="P21671" s="11"/>
    </row>
    <row r="21672" spans="8:16" x14ac:dyDescent="0.25">
      <c r="H21672" s="12"/>
      <c r="I21672" s="12"/>
      <c r="J21672" s="12"/>
      <c r="K21672" s="12"/>
      <c r="L21672" s="12"/>
      <c r="M21672" s="11"/>
      <c r="N21672" s="11"/>
      <c r="O21672" s="11"/>
      <c r="P21672" s="11"/>
    </row>
    <row r="21673" spans="8:16" x14ac:dyDescent="0.25">
      <c r="H21673" s="12"/>
      <c r="I21673" s="12"/>
      <c r="J21673" s="12"/>
      <c r="K21673" s="12"/>
      <c r="L21673" s="12"/>
      <c r="M21673" s="11"/>
      <c r="N21673" s="11"/>
      <c r="O21673" s="11"/>
      <c r="P21673" s="11"/>
    </row>
    <row r="21674" spans="8:16" x14ac:dyDescent="0.25">
      <c r="H21674" s="12"/>
      <c r="I21674" s="12"/>
      <c r="J21674" s="12"/>
      <c r="K21674" s="12"/>
      <c r="L21674" s="12"/>
      <c r="M21674" s="11"/>
      <c r="N21674" s="11"/>
      <c r="O21674" s="11"/>
      <c r="P21674" s="11"/>
    </row>
    <row r="21675" spans="8:16" x14ac:dyDescent="0.25">
      <c r="H21675" s="12"/>
      <c r="I21675" s="12"/>
      <c r="J21675" s="12"/>
      <c r="K21675" s="12"/>
      <c r="L21675" s="12"/>
      <c r="M21675" s="11"/>
      <c r="N21675" s="11"/>
      <c r="O21675" s="11"/>
      <c r="P21675" s="11"/>
    </row>
    <row r="21676" spans="8:16" x14ac:dyDescent="0.25">
      <c r="H21676" s="12"/>
      <c r="I21676" s="12"/>
      <c r="J21676" s="12"/>
      <c r="K21676" s="12"/>
      <c r="L21676" s="12"/>
      <c r="M21676" s="11"/>
      <c r="N21676" s="11"/>
      <c r="O21676" s="11"/>
      <c r="P21676" s="11"/>
    </row>
    <row r="21677" spans="8:16" x14ac:dyDescent="0.25">
      <c r="H21677" s="12"/>
      <c r="I21677" s="12"/>
      <c r="J21677" s="12"/>
      <c r="K21677" s="12"/>
      <c r="L21677" s="12"/>
      <c r="M21677" s="11"/>
      <c r="N21677" s="11"/>
      <c r="O21677" s="11"/>
      <c r="P21677" s="11"/>
    </row>
    <row r="21678" spans="8:16" x14ac:dyDescent="0.25">
      <c r="H21678" s="12"/>
      <c r="I21678" s="12"/>
      <c r="J21678" s="12"/>
      <c r="K21678" s="12"/>
      <c r="L21678" s="12"/>
      <c r="M21678" s="11"/>
      <c r="N21678" s="11"/>
      <c r="O21678" s="11"/>
      <c r="P21678" s="11"/>
    </row>
    <row r="21679" spans="8:16" x14ac:dyDescent="0.25">
      <c r="H21679" s="12"/>
      <c r="I21679" s="12"/>
      <c r="J21679" s="12"/>
      <c r="K21679" s="12"/>
      <c r="L21679" s="12"/>
      <c r="M21679" s="11"/>
      <c r="N21679" s="11"/>
      <c r="O21679" s="11"/>
      <c r="P21679" s="11"/>
    </row>
    <row r="21680" spans="8:16" x14ac:dyDescent="0.25">
      <c r="H21680" s="12"/>
      <c r="I21680" s="12"/>
      <c r="J21680" s="12"/>
      <c r="K21680" s="12"/>
      <c r="L21680" s="12"/>
      <c r="M21680" s="11"/>
      <c r="N21680" s="11"/>
      <c r="O21680" s="11"/>
      <c r="P21680" s="11"/>
    </row>
    <row r="21681" spans="8:16" x14ac:dyDescent="0.25">
      <c r="H21681" s="12"/>
      <c r="I21681" s="12"/>
      <c r="J21681" s="12"/>
      <c r="K21681" s="12"/>
      <c r="L21681" s="12"/>
      <c r="M21681" s="11"/>
      <c r="N21681" s="11"/>
      <c r="O21681" s="11"/>
      <c r="P21681" s="11"/>
    </row>
    <row r="21682" spans="8:16" x14ac:dyDescent="0.25">
      <c r="H21682" s="12"/>
      <c r="I21682" s="12"/>
      <c r="J21682" s="12"/>
      <c r="K21682" s="12"/>
      <c r="L21682" s="12"/>
      <c r="M21682" s="11"/>
      <c r="N21682" s="11"/>
      <c r="O21682" s="11"/>
      <c r="P21682" s="11"/>
    </row>
    <row r="21683" spans="8:16" x14ac:dyDescent="0.25">
      <c r="H21683" s="12"/>
      <c r="I21683" s="12"/>
      <c r="J21683" s="12"/>
      <c r="K21683" s="12"/>
      <c r="L21683" s="12"/>
      <c r="M21683" s="11"/>
      <c r="N21683" s="11"/>
      <c r="O21683" s="11"/>
      <c r="P21683" s="11"/>
    </row>
    <row r="21684" spans="8:16" x14ac:dyDescent="0.25">
      <c r="H21684" s="12"/>
      <c r="I21684" s="12"/>
      <c r="J21684" s="12"/>
      <c r="K21684" s="12"/>
      <c r="L21684" s="12"/>
      <c r="M21684" s="11"/>
      <c r="N21684" s="11"/>
      <c r="O21684" s="11"/>
      <c r="P21684" s="11"/>
    </row>
    <row r="21685" spans="8:16" x14ac:dyDescent="0.25">
      <c r="H21685" s="12"/>
      <c r="I21685" s="12"/>
      <c r="J21685" s="12"/>
      <c r="K21685" s="12"/>
      <c r="L21685" s="12"/>
      <c r="M21685" s="11"/>
      <c r="N21685" s="11"/>
      <c r="O21685" s="11"/>
      <c r="P21685" s="11"/>
    </row>
    <row r="21686" spans="8:16" x14ac:dyDescent="0.25">
      <c r="H21686" s="12"/>
      <c r="I21686" s="12"/>
      <c r="J21686" s="12"/>
      <c r="K21686" s="12"/>
      <c r="L21686" s="12"/>
      <c r="M21686" s="11"/>
      <c r="N21686" s="11"/>
      <c r="O21686" s="11"/>
      <c r="P21686" s="11"/>
    </row>
    <row r="21687" spans="8:16" x14ac:dyDescent="0.25">
      <c r="H21687" s="12"/>
      <c r="I21687" s="12"/>
      <c r="J21687" s="12"/>
      <c r="K21687" s="12"/>
      <c r="L21687" s="12"/>
      <c r="M21687" s="11"/>
      <c r="N21687" s="11"/>
      <c r="O21687" s="11"/>
      <c r="P21687" s="11"/>
    </row>
    <row r="21688" spans="8:16" x14ac:dyDescent="0.25">
      <c r="H21688" s="12"/>
      <c r="I21688" s="12"/>
      <c r="J21688" s="12"/>
      <c r="K21688" s="12"/>
      <c r="L21688" s="12"/>
      <c r="M21688" s="11"/>
      <c r="N21688" s="11"/>
      <c r="O21688" s="11"/>
      <c r="P21688" s="11"/>
    </row>
    <row r="21689" spans="8:16" x14ac:dyDescent="0.25">
      <c r="H21689" s="12"/>
      <c r="I21689" s="12"/>
      <c r="J21689" s="12"/>
      <c r="K21689" s="12"/>
      <c r="L21689" s="12"/>
      <c r="M21689" s="11"/>
      <c r="N21689" s="11"/>
      <c r="O21689" s="11"/>
      <c r="P21689" s="11"/>
    </row>
    <row r="21690" spans="8:16" x14ac:dyDescent="0.25">
      <c r="H21690" s="12"/>
      <c r="I21690" s="12"/>
      <c r="J21690" s="12"/>
      <c r="K21690" s="12"/>
      <c r="L21690" s="12"/>
      <c r="M21690" s="11"/>
      <c r="N21690" s="11"/>
      <c r="O21690" s="11"/>
      <c r="P21690" s="11"/>
    </row>
    <row r="21691" spans="8:16" x14ac:dyDescent="0.25">
      <c r="H21691" s="12"/>
      <c r="I21691" s="12"/>
      <c r="J21691" s="12"/>
      <c r="K21691" s="12"/>
      <c r="L21691" s="12"/>
      <c r="M21691" s="11"/>
      <c r="N21691" s="11"/>
      <c r="O21691" s="11"/>
      <c r="P21691" s="11"/>
    </row>
    <row r="21692" spans="8:16" x14ac:dyDescent="0.25">
      <c r="H21692" s="12"/>
      <c r="I21692" s="12"/>
      <c r="J21692" s="12"/>
      <c r="K21692" s="12"/>
      <c r="L21692" s="12"/>
      <c r="M21692" s="11"/>
      <c r="N21692" s="11"/>
      <c r="O21692" s="11"/>
      <c r="P21692" s="11"/>
    </row>
    <row r="21693" spans="8:16" x14ac:dyDescent="0.25">
      <c r="H21693" s="12"/>
      <c r="I21693" s="12"/>
      <c r="J21693" s="12"/>
      <c r="K21693" s="12"/>
      <c r="L21693" s="12"/>
      <c r="M21693" s="11"/>
      <c r="N21693" s="11"/>
      <c r="O21693" s="11"/>
      <c r="P21693" s="11"/>
    </row>
    <row r="21694" spans="8:16" x14ac:dyDescent="0.25">
      <c r="H21694" s="12"/>
      <c r="I21694" s="12"/>
      <c r="J21694" s="12"/>
      <c r="K21694" s="12"/>
      <c r="L21694" s="12"/>
      <c r="M21694" s="11"/>
      <c r="N21694" s="11"/>
      <c r="O21694" s="11"/>
      <c r="P21694" s="11"/>
    </row>
    <row r="21695" spans="8:16" x14ac:dyDescent="0.25">
      <c r="H21695" s="12"/>
      <c r="I21695" s="12"/>
      <c r="J21695" s="12"/>
      <c r="K21695" s="12"/>
      <c r="L21695" s="12"/>
      <c r="M21695" s="11"/>
      <c r="N21695" s="11"/>
      <c r="O21695" s="11"/>
      <c r="P21695" s="11"/>
    </row>
    <row r="21696" spans="8:16" x14ac:dyDescent="0.25">
      <c r="H21696" s="12"/>
      <c r="I21696" s="12"/>
      <c r="J21696" s="12"/>
      <c r="K21696" s="12"/>
      <c r="L21696" s="12"/>
      <c r="M21696" s="11"/>
      <c r="N21696" s="11"/>
      <c r="O21696" s="11"/>
      <c r="P21696" s="11"/>
    </row>
    <row r="21697" spans="8:16" x14ac:dyDescent="0.25">
      <c r="H21697" s="12"/>
      <c r="I21697" s="12"/>
      <c r="J21697" s="12"/>
      <c r="K21697" s="12"/>
      <c r="L21697" s="12"/>
      <c r="M21697" s="11"/>
      <c r="N21697" s="11"/>
      <c r="O21697" s="11"/>
      <c r="P21697" s="11"/>
    </row>
    <row r="21698" spans="8:16" x14ac:dyDescent="0.25">
      <c r="H21698" s="12"/>
      <c r="I21698" s="12"/>
      <c r="J21698" s="12"/>
      <c r="K21698" s="12"/>
      <c r="L21698" s="12"/>
      <c r="M21698" s="11"/>
      <c r="N21698" s="11"/>
      <c r="O21698" s="11"/>
      <c r="P21698" s="11"/>
    </row>
    <row r="21699" spans="8:16" x14ac:dyDescent="0.25">
      <c r="H21699" s="12"/>
      <c r="I21699" s="12"/>
      <c r="J21699" s="12"/>
      <c r="K21699" s="12"/>
      <c r="L21699" s="12"/>
      <c r="M21699" s="11"/>
      <c r="N21699" s="11"/>
      <c r="O21699" s="11"/>
      <c r="P21699" s="11"/>
    </row>
    <row r="21700" spans="8:16" x14ac:dyDescent="0.25">
      <c r="H21700" s="12"/>
      <c r="I21700" s="12"/>
      <c r="J21700" s="12"/>
      <c r="K21700" s="12"/>
      <c r="L21700" s="12"/>
      <c r="M21700" s="11"/>
      <c r="N21700" s="11"/>
      <c r="O21700" s="11"/>
      <c r="P21700" s="11"/>
    </row>
    <row r="21701" spans="8:16" x14ac:dyDescent="0.25">
      <c r="H21701" s="12"/>
      <c r="I21701" s="12"/>
      <c r="J21701" s="12"/>
      <c r="K21701" s="12"/>
      <c r="L21701" s="12"/>
      <c r="M21701" s="11"/>
      <c r="N21701" s="11"/>
      <c r="O21701" s="11"/>
      <c r="P21701" s="11"/>
    </row>
    <row r="21702" spans="8:16" x14ac:dyDescent="0.25">
      <c r="H21702" s="12"/>
      <c r="I21702" s="12"/>
      <c r="J21702" s="12"/>
      <c r="K21702" s="12"/>
      <c r="L21702" s="12"/>
      <c r="M21702" s="11"/>
      <c r="N21702" s="11"/>
      <c r="O21702" s="11"/>
      <c r="P21702" s="11"/>
    </row>
    <row r="21703" spans="8:16" x14ac:dyDescent="0.25">
      <c r="H21703" s="12"/>
      <c r="I21703" s="12"/>
      <c r="J21703" s="12"/>
      <c r="K21703" s="12"/>
      <c r="L21703" s="12"/>
      <c r="M21703" s="11"/>
      <c r="N21703" s="11"/>
      <c r="O21703" s="11"/>
      <c r="P21703" s="11"/>
    </row>
    <row r="21704" spans="8:16" x14ac:dyDescent="0.25">
      <c r="H21704" s="12"/>
      <c r="I21704" s="12"/>
      <c r="J21704" s="12"/>
      <c r="K21704" s="12"/>
      <c r="L21704" s="12"/>
      <c r="M21704" s="11"/>
      <c r="N21704" s="11"/>
      <c r="O21704" s="11"/>
      <c r="P21704" s="11"/>
    </row>
    <row r="21705" spans="8:16" x14ac:dyDescent="0.25">
      <c r="H21705" s="12"/>
      <c r="I21705" s="12"/>
      <c r="J21705" s="12"/>
      <c r="K21705" s="12"/>
      <c r="L21705" s="12"/>
      <c r="M21705" s="11"/>
      <c r="N21705" s="11"/>
      <c r="O21705" s="11"/>
      <c r="P21705" s="11"/>
    </row>
    <row r="21706" spans="8:16" x14ac:dyDescent="0.25">
      <c r="H21706" s="12"/>
      <c r="I21706" s="12"/>
      <c r="J21706" s="12"/>
      <c r="K21706" s="12"/>
      <c r="L21706" s="12"/>
      <c r="M21706" s="11"/>
      <c r="N21706" s="11"/>
      <c r="O21706" s="11"/>
      <c r="P21706" s="11"/>
    </row>
    <row r="21707" spans="8:16" x14ac:dyDescent="0.25">
      <c r="H21707" s="12"/>
      <c r="I21707" s="12"/>
      <c r="J21707" s="12"/>
      <c r="K21707" s="12"/>
      <c r="L21707" s="12"/>
      <c r="M21707" s="11"/>
      <c r="N21707" s="11"/>
      <c r="O21707" s="11"/>
      <c r="P21707" s="11"/>
    </row>
    <row r="21708" spans="8:16" x14ac:dyDescent="0.25">
      <c r="H21708" s="12"/>
      <c r="I21708" s="12"/>
      <c r="J21708" s="12"/>
      <c r="K21708" s="12"/>
      <c r="L21708" s="12"/>
      <c r="M21708" s="11"/>
      <c r="N21708" s="11"/>
      <c r="O21708" s="11"/>
      <c r="P21708" s="11"/>
    </row>
    <row r="21709" spans="8:16" x14ac:dyDescent="0.25">
      <c r="H21709" s="12"/>
      <c r="I21709" s="12"/>
      <c r="J21709" s="12"/>
      <c r="K21709" s="12"/>
      <c r="L21709" s="12"/>
      <c r="M21709" s="11"/>
      <c r="N21709" s="11"/>
      <c r="O21709" s="11"/>
      <c r="P21709" s="11"/>
    </row>
    <row r="21710" spans="8:16" x14ac:dyDescent="0.25">
      <c r="H21710" s="12"/>
      <c r="I21710" s="12"/>
      <c r="J21710" s="12"/>
      <c r="K21710" s="12"/>
      <c r="L21710" s="12"/>
      <c r="M21710" s="11"/>
      <c r="N21710" s="11"/>
      <c r="O21710" s="11"/>
      <c r="P21710" s="11"/>
    </row>
    <row r="21711" spans="8:16" x14ac:dyDescent="0.25">
      <c r="H21711" s="12"/>
      <c r="I21711" s="12"/>
      <c r="J21711" s="12"/>
      <c r="K21711" s="12"/>
      <c r="L21711" s="12"/>
      <c r="M21711" s="11"/>
      <c r="N21711" s="11"/>
      <c r="O21711" s="11"/>
      <c r="P21711" s="11"/>
    </row>
    <row r="21712" spans="8:16" x14ac:dyDescent="0.25">
      <c r="H21712" s="12"/>
      <c r="I21712" s="12"/>
      <c r="J21712" s="12"/>
      <c r="K21712" s="12"/>
      <c r="L21712" s="12"/>
      <c r="M21712" s="11"/>
      <c r="N21712" s="11"/>
      <c r="O21712" s="11"/>
      <c r="P21712" s="11"/>
    </row>
    <row r="21713" spans="8:16" x14ac:dyDescent="0.25">
      <c r="H21713" s="12"/>
      <c r="I21713" s="12"/>
      <c r="J21713" s="12"/>
      <c r="K21713" s="12"/>
      <c r="L21713" s="12"/>
      <c r="M21713" s="11"/>
      <c r="N21713" s="11"/>
      <c r="O21713" s="11"/>
      <c r="P21713" s="11"/>
    </row>
    <row r="21714" spans="8:16" x14ac:dyDescent="0.25">
      <c r="H21714" s="12"/>
      <c r="I21714" s="12"/>
      <c r="J21714" s="12"/>
      <c r="K21714" s="12"/>
      <c r="L21714" s="12"/>
      <c r="M21714" s="11"/>
      <c r="N21714" s="11"/>
      <c r="O21714" s="11"/>
      <c r="P21714" s="11"/>
    </row>
    <row r="21715" spans="8:16" x14ac:dyDescent="0.25">
      <c r="H21715" s="12"/>
      <c r="I21715" s="12"/>
      <c r="J21715" s="12"/>
      <c r="K21715" s="12"/>
      <c r="L21715" s="12"/>
      <c r="M21715" s="11"/>
      <c r="N21715" s="11"/>
      <c r="O21715" s="11"/>
      <c r="P21715" s="11"/>
    </row>
    <row r="21716" spans="8:16" x14ac:dyDescent="0.25">
      <c r="H21716" s="12"/>
      <c r="I21716" s="12"/>
      <c r="J21716" s="12"/>
      <c r="K21716" s="12"/>
      <c r="L21716" s="12"/>
      <c r="M21716" s="11"/>
      <c r="N21716" s="11"/>
      <c r="O21716" s="11"/>
      <c r="P21716" s="11"/>
    </row>
    <row r="21717" spans="8:16" x14ac:dyDescent="0.25">
      <c r="H21717" s="12"/>
      <c r="I21717" s="12"/>
      <c r="J21717" s="12"/>
      <c r="K21717" s="12"/>
      <c r="L21717" s="12"/>
      <c r="M21717" s="11"/>
      <c r="N21717" s="11"/>
      <c r="O21717" s="11"/>
      <c r="P21717" s="11"/>
    </row>
    <row r="21718" spans="8:16" x14ac:dyDescent="0.25">
      <c r="H21718" s="12"/>
      <c r="I21718" s="12"/>
      <c r="J21718" s="12"/>
      <c r="K21718" s="12"/>
      <c r="L21718" s="12"/>
      <c r="M21718" s="11"/>
      <c r="N21718" s="11"/>
      <c r="O21718" s="11"/>
      <c r="P21718" s="11"/>
    </row>
    <row r="21719" spans="8:16" x14ac:dyDescent="0.25">
      <c r="H21719" s="12"/>
      <c r="I21719" s="12"/>
      <c r="J21719" s="12"/>
      <c r="K21719" s="12"/>
      <c r="L21719" s="12"/>
      <c r="M21719" s="11"/>
      <c r="N21719" s="11"/>
      <c r="O21719" s="11"/>
      <c r="P21719" s="11"/>
    </row>
    <row r="21720" spans="8:16" x14ac:dyDescent="0.25">
      <c r="H21720" s="12"/>
      <c r="I21720" s="12"/>
      <c r="J21720" s="12"/>
      <c r="K21720" s="12"/>
      <c r="L21720" s="12"/>
      <c r="M21720" s="11"/>
      <c r="N21720" s="11"/>
      <c r="O21720" s="11"/>
      <c r="P21720" s="11"/>
    </row>
    <row r="21721" spans="8:16" x14ac:dyDescent="0.25">
      <c r="H21721" s="12"/>
      <c r="I21721" s="12"/>
      <c r="J21721" s="12"/>
      <c r="K21721" s="12"/>
      <c r="L21721" s="12"/>
      <c r="M21721" s="11"/>
      <c r="N21721" s="11"/>
      <c r="O21721" s="11"/>
      <c r="P21721" s="11"/>
    </row>
    <row r="21722" spans="8:16" x14ac:dyDescent="0.25">
      <c r="H21722" s="12"/>
      <c r="I21722" s="12"/>
      <c r="J21722" s="12"/>
      <c r="K21722" s="12"/>
      <c r="L21722" s="12"/>
      <c r="M21722" s="11"/>
      <c r="N21722" s="11"/>
      <c r="O21722" s="11"/>
      <c r="P21722" s="11"/>
    </row>
    <row r="21723" spans="8:16" x14ac:dyDescent="0.25">
      <c r="H21723" s="12"/>
      <c r="I21723" s="12"/>
      <c r="J21723" s="12"/>
      <c r="K21723" s="12"/>
      <c r="L21723" s="12"/>
      <c r="M21723" s="11"/>
      <c r="N21723" s="11"/>
      <c r="O21723" s="11"/>
      <c r="P21723" s="11"/>
    </row>
    <row r="21724" spans="8:16" x14ac:dyDescent="0.25">
      <c r="H21724" s="12"/>
      <c r="I21724" s="12"/>
      <c r="J21724" s="12"/>
      <c r="K21724" s="12"/>
      <c r="L21724" s="12"/>
      <c r="M21724" s="11"/>
      <c r="N21724" s="11"/>
      <c r="O21724" s="11"/>
      <c r="P21724" s="11"/>
    </row>
    <row r="21725" spans="8:16" x14ac:dyDescent="0.25">
      <c r="H21725" s="12"/>
      <c r="I21725" s="12"/>
      <c r="J21725" s="12"/>
      <c r="K21725" s="12"/>
      <c r="L21725" s="12"/>
      <c r="M21725" s="11"/>
      <c r="N21725" s="11"/>
      <c r="O21725" s="11"/>
      <c r="P21725" s="11"/>
    </row>
    <row r="21726" spans="8:16" x14ac:dyDescent="0.25">
      <c r="H21726" s="12"/>
      <c r="I21726" s="12"/>
      <c r="J21726" s="12"/>
      <c r="K21726" s="12"/>
      <c r="L21726" s="12"/>
      <c r="M21726" s="11"/>
      <c r="N21726" s="11"/>
      <c r="O21726" s="11"/>
      <c r="P21726" s="11"/>
    </row>
    <row r="21727" spans="8:16" x14ac:dyDescent="0.25">
      <c r="H21727" s="12"/>
      <c r="I21727" s="12"/>
      <c r="J21727" s="12"/>
      <c r="K21727" s="12"/>
      <c r="L21727" s="12"/>
      <c r="M21727" s="11"/>
      <c r="N21727" s="11"/>
      <c r="O21727" s="11"/>
      <c r="P21727" s="11"/>
    </row>
    <row r="21728" spans="8:16" x14ac:dyDescent="0.25">
      <c r="H21728" s="12"/>
      <c r="I21728" s="12"/>
      <c r="J21728" s="12"/>
      <c r="K21728" s="12"/>
      <c r="L21728" s="12"/>
      <c r="M21728" s="11"/>
      <c r="N21728" s="11"/>
      <c r="O21728" s="11"/>
      <c r="P21728" s="11"/>
    </row>
    <row r="21729" spans="8:16" x14ac:dyDescent="0.25">
      <c r="H21729" s="12"/>
      <c r="I21729" s="12"/>
      <c r="J21729" s="12"/>
      <c r="K21729" s="12"/>
      <c r="L21729" s="12"/>
      <c r="M21729" s="11"/>
      <c r="N21729" s="11"/>
      <c r="O21729" s="11"/>
      <c r="P21729" s="11"/>
    </row>
    <row r="21730" spans="8:16" x14ac:dyDescent="0.25">
      <c r="H21730" s="12"/>
      <c r="I21730" s="12"/>
      <c r="J21730" s="12"/>
      <c r="K21730" s="12"/>
      <c r="L21730" s="12"/>
      <c r="M21730" s="11"/>
      <c r="N21730" s="11"/>
      <c r="O21730" s="11"/>
      <c r="P21730" s="11"/>
    </row>
    <row r="21731" spans="8:16" x14ac:dyDescent="0.25">
      <c r="H21731" s="12"/>
      <c r="I21731" s="12"/>
      <c r="J21731" s="12"/>
      <c r="K21731" s="12"/>
      <c r="L21731" s="12"/>
      <c r="M21731" s="11"/>
      <c r="N21731" s="11"/>
      <c r="O21731" s="11"/>
      <c r="P21731" s="11"/>
    </row>
    <row r="21732" spans="8:16" x14ac:dyDescent="0.25">
      <c r="H21732" s="12"/>
      <c r="I21732" s="12"/>
      <c r="J21732" s="12"/>
      <c r="K21732" s="12"/>
      <c r="L21732" s="12"/>
      <c r="M21732" s="11"/>
      <c r="N21732" s="11"/>
      <c r="O21732" s="11"/>
      <c r="P21732" s="11"/>
    </row>
    <row r="21733" spans="8:16" x14ac:dyDescent="0.25">
      <c r="H21733" s="12"/>
      <c r="I21733" s="12"/>
      <c r="J21733" s="12"/>
      <c r="K21733" s="12"/>
      <c r="L21733" s="12"/>
      <c r="M21733" s="11"/>
      <c r="N21733" s="11"/>
      <c r="O21733" s="11"/>
      <c r="P21733" s="11"/>
    </row>
    <row r="21734" spans="8:16" x14ac:dyDescent="0.25">
      <c r="H21734" s="12"/>
      <c r="I21734" s="12"/>
      <c r="J21734" s="12"/>
      <c r="K21734" s="12"/>
      <c r="L21734" s="12"/>
      <c r="M21734" s="11"/>
      <c r="N21734" s="11"/>
      <c r="O21734" s="11"/>
      <c r="P21734" s="11"/>
    </row>
    <row r="21735" spans="8:16" x14ac:dyDescent="0.25">
      <c r="H21735" s="12"/>
      <c r="I21735" s="12"/>
      <c r="J21735" s="12"/>
      <c r="K21735" s="12"/>
      <c r="L21735" s="12"/>
      <c r="M21735" s="11"/>
      <c r="N21735" s="11"/>
      <c r="O21735" s="11"/>
      <c r="P21735" s="11"/>
    </row>
    <row r="21736" spans="8:16" x14ac:dyDescent="0.25">
      <c r="H21736" s="12"/>
      <c r="I21736" s="12"/>
      <c r="J21736" s="12"/>
      <c r="K21736" s="12"/>
      <c r="L21736" s="12"/>
      <c r="M21736" s="11"/>
      <c r="N21736" s="11"/>
      <c r="O21736" s="11"/>
      <c r="P21736" s="11"/>
    </row>
    <row r="21737" spans="8:16" x14ac:dyDescent="0.25">
      <c r="H21737" s="12"/>
      <c r="I21737" s="12"/>
      <c r="J21737" s="12"/>
      <c r="K21737" s="12"/>
      <c r="L21737" s="12"/>
      <c r="M21737" s="11"/>
      <c r="N21737" s="11"/>
      <c r="O21737" s="11"/>
      <c r="P21737" s="11"/>
    </row>
    <row r="21738" spans="8:16" x14ac:dyDescent="0.25">
      <c r="H21738" s="12"/>
      <c r="I21738" s="12"/>
      <c r="J21738" s="12"/>
      <c r="K21738" s="12"/>
      <c r="L21738" s="12"/>
      <c r="M21738" s="11"/>
      <c r="N21738" s="11"/>
      <c r="O21738" s="11"/>
      <c r="P21738" s="11"/>
    </row>
    <row r="21739" spans="8:16" x14ac:dyDescent="0.25">
      <c r="H21739" s="12"/>
      <c r="I21739" s="12"/>
      <c r="J21739" s="12"/>
      <c r="K21739" s="12"/>
      <c r="L21739" s="12"/>
      <c r="M21739" s="11"/>
      <c r="N21739" s="11"/>
      <c r="O21739" s="11"/>
      <c r="P21739" s="11"/>
    </row>
    <row r="21740" spans="8:16" x14ac:dyDescent="0.25">
      <c r="H21740" s="12"/>
      <c r="I21740" s="12"/>
      <c r="J21740" s="12"/>
      <c r="K21740" s="12"/>
      <c r="L21740" s="12"/>
      <c r="M21740" s="11"/>
      <c r="N21740" s="11"/>
      <c r="O21740" s="11"/>
      <c r="P21740" s="11"/>
    </row>
    <row r="21741" spans="8:16" x14ac:dyDescent="0.25">
      <c r="H21741" s="12"/>
      <c r="I21741" s="12"/>
      <c r="J21741" s="12"/>
      <c r="K21741" s="12"/>
      <c r="L21741" s="12"/>
      <c r="M21741" s="11"/>
      <c r="N21741" s="11"/>
      <c r="O21741" s="11"/>
      <c r="P21741" s="11"/>
    </row>
    <row r="21742" spans="8:16" x14ac:dyDescent="0.25">
      <c r="H21742" s="12"/>
      <c r="I21742" s="12"/>
      <c r="J21742" s="12"/>
      <c r="K21742" s="12"/>
      <c r="L21742" s="12"/>
      <c r="M21742" s="11"/>
      <c r="N21742" s="11"/>
      <c r="O21742" s="11"/>
      <c r="P21742" s="11"/>
    </row>
    <row r="21743" spans="8:16" x14ac:dyDescent="0.25">
      <c r="H21743" s="12"/>
      <c r="I21743" s="12"/>
      <c r="J21743" s="12"/>
      <c r="K21743" s="12"/>
      <c r="L21743" s="12"/>
      <c r="M21743" s="11"/>
      <c r="N21743" s="11"/>
      <c r="O21743" s="11"/>
      <c r="P21743" s="11"/>
    </row>
    <row r="21744" spans="8:16" x14ac:dyDescent="0.25">
      <c r="H21744" s="12"/>
      <c r="I21744" s="12"/>
      <c r="J21744" s="12"/>
      <c r="K21744" s="12"/>
      <c r="L21744" s="12"/>
      <c r="M21744" s="11"/>
      <c r="N21744" s="11"/>
      <c r="O21744" s="11"/>
      <c r="P21744" s="11"/>
    </row>
    <row r="21745" spans="8:16" x14ac:dyDescent="0.25">
      <c r="H21745" s="12"/>
      <c r="I21745" s="12"/>
      <c r="J21745" s="12"/>
      <c r="K21745" s="12"/>
      <c r="L21745" s="12"/>
      <c r="M21745" s="11"/>
      <c r="N21745" s="11"/>
      <c r="O21745" s="11"/>
      <c r="P21745" s="11"/>
    </row>
    <row r="21746" spans="8:16" x14ac:dyDescent="0.25">
      <c r="H21746" s="12"/>
      <c r="I21746" s="12"/>
      <c r="J21746" s="12"/>
      <c r="K21746" s="12"/>
      <c r="L21746" s="12"/>
      <c r="M21746" s="11"/>
      <c r="N21746" s="11"/>
      <c r="O21746" s="11"/>
      <c r="P21746" s="11"/>
    </row>
    <row r="21747" spans="8:16" x14ac:dyDescent="0.25">
      <c r="H21747" s="12"/>
      <c r="I21747" s="12"/>
      <c r="J21747" s="12"/>
      <c r="K21747" s="12"/>
      <c r="L21747" s="12"/>
      <c r="M21747" s="11"/>
      <c r="N21747" s="11"/>
      <c r="O21747" s="11"/>
      <c r="P21747" s="11"/>
    </row>
    <row r="21748" spans="8:16" x14ac:dyDescent="0.25">
      <c r="H21748" s="12"/>
      <c r="I21748" s="12"/>
      <c r="J21748" s="12"/>
      <c r="K21748" s="12"/>
      <c r="L21748" s="12"/>
      <c r="M21748" s="11"/>
      <c r="N21748" s="11"/>
      <c r="O21748" s="11"/>
      <c r="P21748" s="11"/>
    </row>
    <row r="21749" spans="8:16" x14ac:dyDescent="0.25">
      <c r="H21749" s="12"/>
      <c r="I21749" s="12"/>
      <c r="J21749" s="12"/>
      <c r="K21749" s="12"/>
      <c r="L21749" s="12"/>
      <c r="M21749" s="11"/>
      <c r="N21749" s="11"/>
      <c r="O21749" s="11"/>
      <c r="P21749" s="11"/>
    </row>
    <row r="21750" spans="8:16" x14ac:dyDescent="0.25">
      <c r="H21750" s="12"/>
      <c r="I21750" s="12"/>
      <c r="J21750" s="12"/>
      <c r="K21750" s="12"/>
      <c r="L21750" s="12"/>
      <c r="M21750" s="11"/>
      <c r="N21750" s="11"/>
      <c r="O21750" s="11"/>
      <c r="P21750" s="11"/>
    </row>
    <row r="21751" spans="8:16" x14ac:dyDescent="0.25">
      <c r="H21751" s="12"/>
      <c r="I21751" s="12"/>
      <c r="J21751" s="12"/>
      <c r="K21751" s="12"/>
      <c r="L21751" s="12"/>
      <c r="M21751" s="11"/>
      <c r="N21751" s="11"/>
      <c r="O21751" s="11"/>
      <c r="P21751" s="11"/>
    </row>
    <row r="21752" spans="8:16" x14ac:dyDescent="0.25">
      <c r="H21752" s="12"/>
      <c r="I21752" s="12"/>
      <c r="J21752" s="12"/>
      <c r="K21752" s="12"/>
      <c r="L21752" s="12"/>
      <c r="M21752" s="11"/>
      <c r="N21752" s="11"/>
      <c r="O21752" s="11"/>
      <c r="P21752" s="11"/>
    </row>
    <row r="21753" spans="8:16" x14ac:dyDescent="0.25">
      <c r="H21753" s="12"/>
      <c r="I21753" s="12"/>
      <c r="J21753" s="12"/>
      <c r="K21753" s="12"/>
      <c r="L21753" s="12"/>
      <c r="M21753" s="11"/>
      <c r="N21753" s="11"/>
      <c r="O21753" s="11"/>
      <c r="P21753" s="11"/>
    </row>
    <row r="21754" spans="8:16" x14ac:dyDescent="0.25">
      <c r="H21754" s="12"/>
      <c r="I21754" s="12"/>
      <c r="J21754" s="12"/>
      <c r="K21754" s="12"/>
      <c r="L21754" s="12"/>
      <c r="M21754" s="11"/>
      <c r="N21754" s="11"/>
      <c r="O21754" s="11"/>
      <c r="P21754" s="11"/>
    </row>
    <row r="21755" spans="8:16" x14ac:dyDescent="0.25">
      <c r="H21755" s="12"/>
      <c r="I21755" s="12"/>
      <c r="J21755" s="12"/>
      <c r="K21755" s="12"/>
      <c r="L21755" s="12"/>
      <c r="M21755" s="11"/>
      <c r="N21755" s="11"/>
      <c r="O21755" s="11"/>
      <c r="P21755" s="11"/>
    </row>
    <row r="21756" spans="8:16" x14ac:dyDescent="0.25">
      <c r="H21756" s="12"/>
      <c r="I21756" s="12"/>
      <c r="J21756" s="12"/>
      <c r="K21756" s="12"/>
      <c r="L21756" s="12"/>
      <c r="M21756" s="11"/>
      <c r="N21756" s="11"/>
      <c r="O21756" s="11"/>
      <c r="P21756" s="11"/>
    </row>
    <row r="21757" spans="8:16" x14ac:dyDescent="0.25">
      <c r="H21757" s="12"/>
      <c r="I21757" s="12"/>
      <c r="J21757" s="12"/>
      <c r="K21757" s="12"/>
      <c r="L21757" s="12"/>
      <c r="M21757" s="11"/>
      <c r="N21757" s="11"/>
      <c r="O21757" s="11"/>
      <c r="P21757" s="11"/>
    </row>
    <row r="21758" spans="8:16" x14ac:dyDescent="0.25">
      <c r="H21758" s="12"/>
      <c r="I21758" s="12"/>
      <c r="J21758" s="12"/>
      <c r="K21758" s="12"/>
      <c r="L21758" s="12"/>
      <c r="M21758" s="11"/>
      <c r="N21758" s="11"/>
      <c r="O21758" s="11"/>
      <c r="P21758" s="11"/>
    </row>
    <row r="21759" spans="8:16" x14ac:dyDescent="0.25">
      <c r="H21759" s="12"/>
      <c r="I21759" s="12"/>
      <c r="J21759" s="12"/>
      <c r="K21759" s="12"/>
      <c r="L21759" s="12"/>
      <c r="M21759" s="11"/>
      <c r="N21759" s="11"/>
      <c r="O21759" s="11"/>
      <c r="P21759" s="11"/>
    </row>
    <row r="21760" spans="8:16" x14ac:dyDescent="0.25">
      <c r="H21760" s="12"/>
      <c r="I21760" s="12"/>
      <c r="J21760" s="12"/>
      <c r="K21760" s="12"/>
      <c r="L21760" s="12"/>
      <c r="M21760" s="11"/>
      <c r="N21760" s="11"/>
      <c r="O21760" s="11"/>
      <c r="P21760" s="11"/>
    </row>
    <row r="21761" spans="8:16" x14ac:dyDescent="0.25">
      <c r="H21761" s="12"/>
      <c r="I21761" s="12"/>
      <c r="J21761" s="12"/>
      <c r="K21761" s="12"/>
      <c r="L21761" s="12"/>
      <c r="M21761" s="11"/>
      <c r="N21761" s="11"/>
      <c r="O21761" s="11"/>
      <c r="P21761" s="11"/>
    </row>
    <row r="21762" spans="8:16" x14ac:dyDescent="0.25">
      <c r="H21762" s="12"/>
      <c r="I21762" s="12"/>
      <c r="J21762" s="12"/>
      <c r="K21762" s="12"/>
      <c r="L21762" s="12"/>
      <c r="M21762" s="11"/>
      <c r="N21762" s="11"/>
      <c r="O21762" s="11"/>
      <c r="P21762" s="11"/>
    </row>
    <row r="21763" spans="8:16" x14ac:dyDescent="0.25">
      <c r="H21763" s="12"/>
      <c r="I21763" s="12"/>
      <c r="J21763" s="12"/>
      <c r="K21763" s="12"/>
      <c r="L21763" s="12"/>
      <c r="M21763" s="11"/>
      <c r="N21763" s="11"/>
      <c r="O21763" s="11"/>
      <c r="P21763" s="11"/>
    </row>
    <row r="21764" spans="8:16" x14ac:dyDescent="0.25">
      <c r="H21764" s="12"/>
      <c r="I21764" s="12"/>
      <c r="J21764" s="12"/>
      <c r="K21764" s="12"/>
      <c r="L21764" s="12"/>
      <c r="M21764" s="11"/>
      <c r="N21764" s="11"/>
      <c r="O21764" s="11"/>
      <c r="P21764" s="11"/>
    </row>
    <row r="21765" spans="8:16" x14ac:dyDescent="0.25">
      <c r="H21765" s="12"/>
      <c r="I21765" s="12"/>
      <c r="J21765" s="12"/>
      <c r="K21765" s="12"/>
      <c r="L21765" s="12"/>
      <c r="M21765" s="11"/>
      <c r="N21765" s="11"/>
      <c r="O21765" s="11"/>
      <c r="P21765" s="11"/>
    </row>
    <row r="21766" spans="8:16" x14ac:dyDescent="0.25">
      <c r="H21766" s="12"/>
      <c r="I21766" s="12"/>
      <c r="J21766" s="12"/>
      <c r="K21766" s="12"/>
      <c r="L21766" s="12"/>
      <c r="M21766" s="11"/>
      <c r="N21766" s="11"/>
      <c r="O21766" s="11"/>
      <c r="P21766" s="11"/>
    </row>
    <row r="21767" spans="8:16" x14ac:dyDescent="0.25">
      <c r="H21767" s="12"/>
      <c r="I21767" s="12"/>
      <c r="J21767" s="12"/>
      <c r="K21767" s="12"/>
      <c r="L21767" s="12"/>
      <c r="M21767" s="11"/>
      <c r="N21767" s="11"/>
      <c r="O21767" s="11"/>
      <c r="P21767" s="11"/>
    </row>
    <row r="21768" spans="8:16" x14ac:dyDescent="0.25">
      <c r="H21768" s="12"/>
      <c r="I21768" s="12"/>
      <c r="J21768" s="12"/>
      <c r="K21768" s="12"/>
      <c r="L21768" s="12"/>
      <c r="M21768" s="11"/>
      <c r="N21768" s="11"/>
      <c r="O21768" s="11"/>
      <c r="P21768" s="11"/>
    </row>
    <row r="21769" spans="8:16" x14ac:dyDescent="0.25">
      <c r="H21769" s="12"/>
      <c r="I21769" s="12"/>
      <c r="J21769" s="12"/>
      <c r="K21769" s="12"/>
      <c r="L21769" s="12"/>
      <c r="M21769" s="11"/>
      <c r="N21769" s="11"/>
      <c r="O21769" s="11"/>
      <c r="P21769" s="11"/>
    </row>
    <row r="21770" spans="8:16" x14ac:dyDescent="0.25">
      <c r="H21770" s="12"/>
      <c r="I21770" s="12"/>
      <c r="J21770" s="12"/>
      <c r="K21770" s="12"/>
      <c r="L21770" s="12"/>
      <c r="M21770" s="11"/>
      <c r="N21770" s="11"/>
      <c r="O21770" s="11"/>
      <c r="P21770" s="11"/>
    </row>
    <row r="21771" spans="8:16" x14ac:dyDescent="0.25">
      <c r="H21771" s="12"/>
      <c r="I21771" s="12"/>
      <c r="J21771" s="12"/>
      <c r="K21771" s="12"/>
      <c r="L21771" s="12"/>
      <c r="M21771" s="11"/>
      <c r="N21771" s="11"/>
      <c r="O21771" s="11"/>
      <c r="P21771" s="11"/>
    </row>
    <row r="21772" spans="8:16" x14ac:dyDescent="0.25">
      <c r="H21772" s="12"/>
      <c r="I21772" s="12"/>
      <c r="J21772" s="12"/>
      <c r="K21772" s="12"/>
      <c r="L21772" s="12"/>
      <c r="M21772" s="11"/>
      <c r="N21772" s="11"/>
      <c r="O21772" s="11"/>
      <c r="P21772" s="11"/>
    </row>
    <row r="21773" spans="8:16" x14ac:dyDescent="0.25">
      <c r="H21773" s="12"/>
      <c r="I21773" s="12"/>
      <c r="J21773" s="12"/>
      <c r="K21773" s="12"/>
      <c r="L21773" s="12"/>
      <c r="M21773" s="11"/>
      <c r="N21773" s="11"/>
      <c r="O21773" s="11"/>
      <c r="P21773" s="11"/>
    </row>
    <row r="21774" spans="8:16" x14ac:dyDescent="0.25">
      <c r="H21774" s="12"/>
      <c r="I21774" s="12"/>
      <c r="J21774" s="12"/>
      <c r="K21774" s="12"/>
      <c r="L21774" s="12"/>
      <c r="M21774" s="11"/>
      <c r="N21774" s="11"/>
      <c r="O21774" s="11"/>
      <c r="P21774" s="11"/>
    </row>
    <row r="21775" spans="8:16" x14ac:dyDescent="0.25">
      <c r="H21775" s="12"/>
      <c r="I21775" s="12"/>
      <c r="J21775" s="12"/>
      <c r="K21775" s="12"/>
      <c r="L21775" s="12"/>
      <c r="M21775" s="11"/>
      <c r="N21775" s="11"/>
      <c r="O21775" s="11"/>
      <c r="P21775" s="11"/>
    </row>
    <row r="21776" spans="8:16" x14ac:dyDescent="0.25">
      <c r="H21776" s="12"/>
      <c r="I21776" s="12"/>
      <c r="J21776" s="12"/>
      <c r="K21776" s="12"/>
      <c r="L21776" s="12"/>
      <c r="M21776" s="11"/>
      <c r="N21776" s="11"/>
      <c r="O21776" s="11"/>
      <c r="P21776" s="11"/>
    </row>
    <row r="21777" spans="8:16" x14ac:dyDescent="0.25">
      <c r="H21777" s="12"/>
      <c r="I21777" s="12"/>
      <c r="J21777" s="12"/>
      <c r="K21777" s="12"/>
      <c r="L21777" s="12"/>
      <c r="M21777" s="11"/>
      <c r="N21777" s="11"/>
      <c r="O21777" s="11"/>
      <c r="P21777" s="11"/>
    </row>
    <row r="21778" spans="8:16" x14ac:dyDescent="0.25">
      <c r="H21778" s="12"/>
      <c r="I21778" s="12"/>
      <c r="J21778" s="12"/>
      <c r="K21778" s="12"/>
      <c r="L21778" s="12"/>
      <c r="M21778" s="11"/>
      <c r="N21778" s="11"/>
      <c r="O21778" s="11"/>
      <c r="P21778" s="11"/>
    </row>
    <row r="21779" spans="8:16" x14ac:dyDescent="0.25">
      <c r="H21779" s="12"/>
      <c r="I21779" s="12"/>
      <c r="J21779" s="12"/>
      <c r="K21779" s="12"/>
      <c r="L21779" s="12"/>
      <c r="M21779" s="11"/>
      <c r="N21779" s="11"/>
      <c r="O21779" s="11"/>
      <c r="P21779" s="11"/>
    </row>
    <row r="21780" spans="8:16" x14ac:dyDescent="0.25">
      <c r="H21780" s="12"/>
      <c r="I21780" s="12"/>
      <c r="J21780" s="12"/>
      <c r="K21780" s="12"/>
      <c r="L21780" s="12"/>
      <c r="M21780" s="11"/>
      <c r="N21780" s="11"/>
      <c r="O21780" s="11"/>
      <c r="P21780" s="11"/>
    </row>
    <row r="21781" spans="8:16" x14ac:dyDescent="0.25">
      <c r="H21781" s="12"/>
      <c r="I21781" s="12"/>
      <c r="J21781" s="12"/>
      <c r="K21781" s="12"/>
      <c r="L21781" s="12"/>
      <c r="M21781" s="11"/>
      <c r="N21781" s="11"/>
      <c r="O21781" s="11"/>
      <c r="P21781" s="11"/>
    </row>
    <row r="21782" spans="8:16" x14ac:dyDescent="0.25">
      <c r="H21782" s="12"/>
      <c r="I21782" s="12"/>
      <c r="J21782" s="12"/>
      <c r="K21782" s="12"/>
      <c r="L21782" s="12"/>
      <c r="M21782" s="11"/>
      <c r="N21782" s="11"/>
      <c r="O21782" s="11"/>
      <c r="P21782" s="11"/>
    </row>
    <row r="21783" spans="8:16" x14ac:dyDescent="0.25">
      <c r="H21783" s="12"/>
      <c r="I21783" s="12"/>
      <c r="J21783" s="12"/>
      <c r="K21783" s="12"/>
      <c r="L21783" s="12"/>
      <c r="M21783" s="11"/>
      <c r="N21783" s="11"/>
      <c r="O21783" s="11"/>
      <c r="P21783" s="11"/>
    </row>
    <row r="21784" spans="8:16" x14ac:dyDescent="0.25">
      <c r="H21784" s="12"/>
      <c r="I21784" s="12"/>
      <c r="J21784" s="12"/>
      <c r="K21784" s="12"/>
      <c r="L21784" s="12"/>
      <c r="M21784" s="11"/>
      <c r="N21784" s="11"/>
      <c r="O21784" s="11"/>
      <c r="P21784" s="11"/>
    </row>
    <row r="21785" spans="8:16" x14ac:dyDescent="0.25">
      <c r="H21785" s="12"/>
      <c r="I21785" s="12"/>
      <c r="J21785" s="12"/>
      <c r="K21785" s="12"/>
      <c r="L21785" s="12"/>
      <c r="M21785" s="11"/>
      <c r="N21785" s="11"/>
      <c r="O21785" s="11"/>
      <c r="P21785" s="11"/>
    </row>
    <row r="21786" spans="8:16" x14ac:dyDescent="0.25">
      <c r="H21786" s="12"/>
      <c r="I21786" s="12"/>
      <c r="J21786" s="12"/>
      <c r="K21786" s="12"/>
      <c r="L21786" s="12"/>
      <c r="M21786" s="11"/>
      <c r="N21786" s="11"/>
      <c r="O21786" s="11"/>
      <c r="P21786" s="11"/>
    </row>
    <row r="21787" spans="8:16" x14ac:dyDescent="0.25">
      <c r="H21787" s="12"/>
      <c r="I21787" s="12"/>
      <c r="J21787" s="12"/>
      <c r="K21787" s="12"/>
      <c r="L21787" s="12"/>
      <c r="M21787" s="11"/>
      <c r="N21787" s="11"/>
      <c r="O21787" s="11"/>
      <c r="P21787" s="11"/>
    </row>
    <row r="21788" spans="8:16" x14ac:dyDescent="0.25">
      <c r="H21788" s="12"/>
      <c r="I21788" s="12"/>
      <c r="J21788" s="12"/>
      <c r="K21788" s="12"/>
      <c r="L21788" s="12"/>
      <c r="M21788" s="11"/>
      <c r="N21788" s="11"/>
      <c r="O21788" s="11"/>
      <c r="P21788" s="11"/>
    </row>
    <row r="21789" spans="8:16" x14ac:dyDescent="0.25">
      <c r="H21789" s="12"/>
      <c r="I21789" s="12"/>
      <c r="J21789" s="12"/>
      <c r="K21789" s="12"/>
      <c r="L21789" s="12"/>
      <c r="M21789" s="11"/>
      <c r="N21789" s="11"/>
      <c r="O21789" s="11"/>
      <c r="P21789" s="11"/>
    </row>
    <row r="21790" spans="8:16" x14ac:dyDescent="0.25">
      <c r="H21790" s="12"/>
      <c r="I21790" s="12"/>
      <c r="J21790" s="12"/>
      <c r="K21790" s="12"/>
      <c r="L21790" s="12"/>
      <c r="M21790" s="11"/>
      <c r="N21790" s="11"/>
      <c r="O21790" s="11"/>
      <c r="P21790" s="11"/>
    </row>
    <row r="21791" spans="8:16" x14ac:dyDescent="0.25">
      <c r="H21791" s="12"/>
      <c r="I21791" s="12"/>
      <c r="J21791" s="12"/>
      <c r="K21791" s="12"/>
      <c r="L21791" s="12"/>
      <c r="M21791" s="11"/>
      <c r="N21791" s="11"/>
      <c r="O21791" s="11"/>
      <c r="P21791" s="11"/>
    </row>
    <row r="21792" spans="8:16" x14ac:dyDescent="0.25">
      <c r="H21792" s="12"/>
      <c r="I21792" s="12"/>
      <c r="J21792" s="12"/>
      <c r="K21792" s="12"/>
      <c r="L21792" s="12"/>
      <c r="M21792" s="11"/>
      <c r="N21792" s="11"/>
      <c r="O21792" s="11"/>
      <c r="P21792" s="11"/>
    </row>
    <row r="21793" spans="8:16" x14ac:dyDescent="0.25">
      <c r="H21793" s="12"/>
      <c r="I21793" s="12"/>
      <c r="J21793" s="12"/>
      <c r="K21793" s="12"/>
      <c r="L21793" s="12"/>
      <c r="M21793" s="11"/>
      <c r="N21793" s="11"/>
      <c r="O21793" s="11"/>
      <c r="P21793" s="11"/>
    </row>
    <row r="21794" spans="8:16" x14ac:dyDescent="0.25">
      <c r="H21794" s="12"/>
      <c r="I21794" s="12"/>
      <c r="J21794" s="12"/>
      <c r="K21794" s="12"/>
      <c r="L21794" s="12"/>
      <c r="M21794" s="11"/>
      <c r="N21794" s="11"/>
      <c r="O21794" s="11"/>
      <c r="P21794" s="11"/>
    </row>
    <row r="21795" spans="8:16" x14ac:dyDescent="0.25">
      <c r="H21795" s="12"/>
      <c r="I21795" s="12"/>
      <c r="J21795" s="12"/>
      <c r="K21795" s="12"/>
      <c r="L21795" s="12"/>
      <c r="M21795" s="11"/>
      <c r="N21795" s="11"/>
      <c r="O21795" s="11"/>
      <c r="P21795" s="11"/>
    </row>
    <row r="21796" spans="8:16" x14ac:dyDescent="0.25">
      <c r="H21796" s="12"/>
      <c r="I21796" s="12"/>
      <c r="J21796" s="12"/>
      <c r="K21796" s="12"/>
      <c r="L21796" s="12"/>
      <c r="M21796" s="11"/>
      <c r="N21796" s="11"/>
      <c r="O21796" s="11"/>
      <c r="P21796" s="11"/>
    </row>
    <row r="21797" spans="8:16" x14ac:dyDescent="0.25">
      <c r="H21797" s="12"/>
      <c r="I21797" s="12"/>
      <c r="J21797" s="12"/>
      <c r="K21797" s="12"/>
      <c r="L21797" s="12"/>
      <c r="M21797" s="11"/>
      <c r="N21797" s="11"/>
      <c r="O21797" s="11"/>
      <c r="P21797" s="11"/>
    </row>
    <row r="21798" spans="8:16" x14ac:dyDescent="0.25">
      <c r="H21798" s="12"/>
      <c r="I21798" s="12"/>
      <c r="J21798" s="12"/>
      <c r="K21798" s="12"/>
      <c r="L21798" s="12"/>
      <c r="M21798" s="11"/>
      <c r="N21798" s="11"/>
      <c r="O21798" s="11"/>
      <c r="P21798" s="11"/>
    </row>
    <row r="21799" spans="8:16" x14ac:dyDescent="0.25">
      <c r="H21799" s="12"/>
      <c r="I21799" s="12"/>
      <c r="J21799" s="12"/>
      <c r="K21799" s="12"/>
      <c r="L21799" s="12"/>
      <c r="M21799" s="11"/>
      <c r="N21799" s="11"/>
      <c r="O21799" s="11"/>
      <c r="P21799" s="11"/>
    </row>
    <row r="21800" spans="8:16" x14ac:dyDescent="0.25">
      <c r="H21800" s="12"/>
      <c r="I21800" s="12"/>
      <c r="J21800" s="12"/>
      <c r="K21800" s="12"/>
      <c r="L21800" s="12"/>
      <c r="M21800" s="11"/>
      <c r="N21800" s="11"/>
      <c r="O21800" s="11"/>
      <c r="P21800" s="11"/>
    </row>
    <row r="21801" spans="8:16" x14ac:dyDescent="0.25">
      <c r="H21801" s="12"/>
      <c r="I21801" s="12"/>
      <c r="J21801" s="12"/>
      <c r="K21801" s="12"/>
      <c r="L21801" s="12"/>
      <c r="M21801" s="11"/>
      <c r="N21801" s="11"/>
      <c r="O21801" s="11"/>
      <c r="P21801" s="11"/>
    </row>
    <row r="21802" spans="8:16" x14ac:dyDescent="0.25">
      <c r="H21802" s="12"/>
      <c r="I21802" s="12"/>
      <c r="J21802" s="12"/>
      <c r="K21802" s="12"/>
      <c r="L21802" s="12"/>
      <c r="M21802" s="11"/>
      <c r="N21802" s="11"/>
      <c r="O21802" s="11"/>
      <c r="P21802" s="11"/>
    </row>
    <row r="21803" spans="8:16" x14ac:dyDescent="0.25">
      <c r="H21803" s="12"/>
      <c r="I21803" s="12"/>
      <c r="J21803" s="12"/>
      <c r="K21803" s="12"/>
      <c r="L21803" s="12"/>
      <c r="M21803" s="11"/>
      <c r="N21803" s="11"/>
      <c r="O21803" s="11"/>
      <c r="P21803" s="11"/>
    </row>
    <row r="21804" spans="8:16" x14ac:dyDescent="0.25">
      <c r="H21804" s="12"/>
      <c r="I21804" s="12"/>
      <c r="J21804" s="12"/>
      <c r="K21804" s="12"/>
      <c r="L21804" s="12"/>
      <c r="M21804" s="11"/>
      <c r="N21804" s="11"/>
      <c r="O21804" s="11"/>
      <c r="P21804" s="11"/>
    </row>
    <row r="21805" spans="8:16" x14ac:dyDescent="0.25">
      <c r="H21805" s="12"/>
      <c r="I21805" s="12"/>
      <c r="J21805" s="12"/>
      <c r="K21805" s="12"/>
      <c r="L21805" s="12"/>
      <c r="M21805" s="11"/>
      <c r="N21805" s="11"/>
      <c r="O21805" s="11"/>
      <c r="P21805" s="11"/>
    </row>
    <row r="21806" spans="8:16" x14ac:dyDescent="0.25">
      <c r="H21806" s="12"/>
      <c r="I21806" s="12"/>
      <c r="J21806" s="12"/>
      <c r="K21806" s="12"/>
      <c r="L21806" s="12"/>
      <c r="M21806" s="11"/>
      <c r="N21806" s="11"/>
      <c r="O21806" s="11"/>
      <c r="P21806" s="11"/>
    </row>
    <row r="21807" spans="8:16" x14ac:dyDescent="0.25">
      <c r="H21807" s="12"/>
      <c r="I21807" s="12"/>
      <c r="J21807" s="12"/>
      <c r="K21807" s="12"/>
      <c r="L21807" s="12"/>
      <c r="M21807" s="11"/>
      <c r="N21807" s="11"/>
      <c r="O21807" s="11"/>
      <c r="P21807" s="11"/>
    </row>
    <row r="21808" spans="8:16" x14ac:dyDescent="0.25">
      <c r="H21808" s="12"/>
      <c r="I21808" s="12"/>
      <c r="J21808" s="12"/>
      <c r="K21808" s="12"/>
      <c r="L21808" s="12"/>
      <c r="M21808" s="11"/>
      <c r="N21808" s="11"/>
      <c r="O21808" s="11"/>
      <c r="P21808" s="11"/>
    </row>
    <row r="21809" spans="8:16" x14ac:dyDescent="0.25">
      <c r="H21809" s="12"/>
      <c r="I21809" s="12"/>
      <c r="J21809" s="12"/>
      <c r="K21809" s="12"/>
      <c r="L21809" s="12"/>
      <c r="M21809" s="11"/>
      <c r="N21809" s="11"/>
      <c r="O21809" s="11"/>
      <c r="P21809" s="11"/>
    </row>
    <row r="21810" spans="8:16" x14ac:dyDescent="0.25">
      <c r="H21810" s="12"/>
      <c r="I21810" s="12"/>
      <c r="J21810" s="12"/>
      <c r="K21810" s="12"/>
      <c r="L21810" s="12"/>
      <c r="M21810" s="11"/>
      <c r="N21810" s="11"/>
      <c r="O21810" s="11"/>
      <c r="P21810" s="11"/>
    </row>
    <row r="21811" spans="8:16" x14ac:dyDescent="0.25">
      <c r="H21811" s="12"/>
      <c r="I21811" s="12"/>
      <c r="J21811" s="12"/>
      <c r="K21811" s="12"/>
      <c r="L21811" s="12"/>
      <c r="M21811" s="11"/>
      <c r="N21811" s="11"/>
      <c r="O21811" s="11"/>
      <c r="P21811" s="11"/>
    </row>
    <row r="21812" spans="8:16" x14ac:dyDescent="0.25">
      <c r="H21812" s="12"/>
      <c r="I21812" s="12"/>
      <c r="J21812" s="12"/>
      <c r="K21812" s="12"/>
      <c r="L21812" s="12"/>
      <c r="M21812" s="11"/>
      <c r="N21812" s="11"/>
      <c r="O21812" s="11"/>
      <c r="P21812" s="11"/>
    </row>
    <row r="21813" spans="8:16" x14ac:dyDescent="0.25">
      <c r="H21813" s="12"/>
      <c r="I21813" s="12"/>
      <c r="J21813" s="12"/>
      <c r="K21813" s="12"/>
      <c r="L21813" s="12"/>
      <c r="M21813" s="11"/>
      <c r="N21813" s="11"/>
      <c r="O21813" s="11"/>
      <c r="P21813" s="11"/>
    </row>
    <row r="21814" spans="8:16" x14ac:dyDescent="0.25">
      <c r="H21814" s="12"/>
      <c r="I21814" s="12"/>
      <c r="J21814" s="12"/>
      <c r="K21814" s="12"/>
      <c r="L21814" s="12"/>
      <c r="M21814" s="11"/>
      <c r="N21814" s="11"/>
      <c r="O21814" s="11"/>
      <c r="P21814" s="11"/>
    </row>
    <row r="21815" spans="8:16" x14ac:dyDescent="0.25">
      <c r="H21815" s="12"/>
      <c r="I21815" s="12"/>
      <c r="J21815" s="12"/>
      <c r="K21815" s="12"/>
      <c r="L21815" s="12"/>
      <c r="M21815" s="11"/>
      <c r="N21815" s="11"/>
      <c r="O21815" s="11"/>
      <c r="P21815" s="11"/>
    </row>
    <row r="21816" spans="8:16" x14ac:dyDescent="0.25">
      <c r="H21816" s="12"/>
      <c r="I21816" s="12"/>
      <c r="J21816" s="12"/>
      <c r="K21816" s="12"/>
      <c r="L21816" s="12"/>
      <c r="M21816" s="11"/>
      <c r="N21816" s="11"/>
      <c r="O21816" s="11"/>
      <c r="P21816" s="11"/>
    </row>
    <row r="21817" spans="8:16" x14ac:dyDescent="0.25">
      <c r="H21817" s="12"/>
      <c r="I21817" s="12"/>
      <c r="J21817" s="12"/>
      <c r="K21817" s="12"/>
      <c r="L21817" s="12"/>
      <c r="M21817" s="11"/>
      <c r="N21817" s="11"/>
      <c r="O21817" s="11"/>
      <c r="P21817" s="11"/>
    </row>
    <row r="21818" spans="8:16" x14ac:dyDescent="0.25">
      <c r="H21818" s="12"/>
      <c r="I21818" s="12"/>
      <c r="J21818" s="12"/>
      <c r="K21818" s="12"/>
      <c r="L21818" s="12"/>
      <c r="M21818" s="11"/>
      <c r="N21818" s="11"/>
      <c r="O21818" s="11"/>
      <c r="P21818" s="11"/>
    </row>
    <row r="21819" spans="8:16" x14ac:dyDescent="0.25">
      <c r="H21819" s="12"/>
      <c r="I21819" s="12"/>
      <c r="J21819" s="12"/>
      <c r="K21819" s="12"/>
      <c r="L21819" s="12"/>
      <c r="M21819" s="11"/>
      <c r="N21819" s="11"/>
      <c r="O21819" s="11"/>
      <c r="P21819" s="11"/>
    </row>
    <row r="21820" spans="8:16" x14ac:dyDescent="0.25">
      <c r="H21820" s="12"/>
      <c r="I21820" s="12"/>
      <c r="J21820" s="12"/>
      <c r="K21820" s="12"/>
      <c r="L21820" s="12"/>
      <c r="M21820" s="11"/>
      <c r="N21820" s="11"/>
      <c r="O21820" s="11"/>
      <c r="P21820" s="11"/>
    </row>
    <row r="21821" spans="8:16" x14ac:dyDescent="0.25">
      <c r="H21821" s="12"/>
      <c r="I21821" s="12"/>
      <c r="J21821" s="12"/>
      <c r="K21821" s="12"/>
      <c r="L21821" s="12"/>
      <c r="M21821" s="11"/>
      <c r="N21821" s="11"/>
      <c r="O21821" s="11"/>
      <c r="P21821" s="11"/>
    </row>
    <row r="21822" spans="8:16" x14ac:dyDescent="0.25">
      <c r="H21822" s="12"/>
      <c r="I21822" s="12"/>
      <c r="J21822" s="12"/>
      <c r="K21822" s="12"/>
      <c r="L21822" s="12"/>
      <c r="M21822" s="11"/>
      <c r="N21822" s="11"/>
      <c r="O21822" s="11"/>
      <c r="P21822" s="11"/>
    </row>
    <row r="21823" spans="8:16" x14ac:dyDescent="0.25">
      <c r="H21823" s="12"/>
      <c r="I21823" s="12"/>
      <c r="J21823" s="12"/>
      <c r="K21823" s="12"/>
      <c r="L21823" s="12"/>
      <c r="M21823" s="11"/>
      <c r="N21823" s="11"/>
      <c r="O21823" s="11"/>
      <c r="P21823" s="11"/>
    </row>
    <row r="21824" spans="8:16" x14ac:dyDescent="0.25">
      <c r="H21824" s="12"/>
      <c r="I21824" s="12"/>
      <c r="J21824" s="12"/>
      <c r="K21824" s="12"/>
      <c r="L21824" s="12"/>
      <c r="M21824" s="11"/>
      <c r="N21824" s="11"/>
      <c r="O21824" s="11"/>
      <c r="P21824" s="11"/>
    </row>
    <row r="21825" spans="8:16" x14ac:dyDescent="0.25">
      <c r="H21825" s="12"/>
      <c r="I21825" s="12"/>
      <c r="J21825" s="12"/>
      <c r="K21825" s="12"/>
      <c r="L21825" s="12"/>
      <c r="M21825" s="11"/>
      <c r="N21825" s="11"/>
      <c r="O21825" s="11"/>
      <c r="P21825" s="11"/>
    </row>
    <row r="21826" spans="8:16" x14ac:dyDescent="0.25">
      <c r="H21826" s="12"/>
      <c r="I21826" s="12"/>
      <c r="J21826" s="12"/>
      <c r="K21826" s="12"/>
      <c r="L21826" s="12"/>
      <c r="M21826" s="11"/>
      <c r="N21826" s="11"/>
      <c r="O21826" s="11"/>
      <c r="P21826" s="11"/>
    </row>
    <row r="21827" spans="8:16" x14ac:dyDescent="0.25">
      <c r="H21827" s="12"/>
      <c r="I21827" s="12"/>
      <c r="J21827" s="12"/>
      <c r="K21827" s="12"/>
      <c r="L21827" s="12"/>
      <c r="M21827" s="11"/>
      <c r="N21827" s="11"/>
      <c r="O21827" s="11"/>
      <c r="P21827" s="11"/>
    </row>
    <row r="21828" spans="8:16" x14ac:dyDescent="0.25">
      <c r="H21828" s="12"/>
      <c r="I21828" s="12"/>
      <c r="J21828" s="12"/>
      <c r="K21828" s="12"/>
      <c r="L21828" s="12"/>
      <c r="M21828" s="11"/>
      <c r="N21828" s="11"/>
      <c r="O21828" s="11"/>
      <c r="P21828" s="11"/>
    </row>
    <row r="21829" spans="8:16" x14ac:dyDescent="0.25">
      <c r="H21829" s="12"/>
      <c r="I21829" s="12"/>
      <c r="J21829" s="12"/>
      <c r="K21829" s="12"/>
      <c r="L21829" s="12"/>
      <c r="M21829" s="11"/>
      <c r="N21829" s="11"/>
      <c r="O21829" s="11"/>
      <c r="P21829" s="11"/>
    </row>
    <row r="21830" spans="8:16" x14ac:dyDescent="0.25">
      <c r="H21830" s="12"/>
      <c r="I21830" s="12"/>
      <c r="J21830" s="12"/>
      <c r="K21830" s="12"/>
      <c r="L21830" s="12"/>
      <c r="M21830" s="11"/>
      <c r="N21830" s="11"/>
      <c r="O21830" s="11"/>
      <c r="P21830" s="11"/>
    </row>
    <row r="21831" spans="8:16" x14ac:dyDescent="0.25">
      <c r="H21831" s="12"/>
      <c r="I21831" s="12"/>
      <c r="J21831" s="12"/>
      <c r="K21831" s="12"/>
      <c r="L21831" s="12"/>
      <c r="M21831" s="11"/>
      <c r="N21831" s="11"/>
      <c r="O21831" s="11"/>
      <c r="P21831" s="11"/>
    </row>
    <row r="21832" spans="8:16" x14ac:dyDescent="0.25">
      <c r="H21832" s="12"/>
      <c r="I21832" s="12"/>
      <c r="J21832" s="12"/>
      <c r="K21832" s="12"/>
      <c r="L21832" s="12"/>
      <c r="M21832" s="11"/>
      <c r="N21832" s="11"/>
      <c r="O21832" s="11"/>
      <c r="P21832" s="11"/>
    </row>
    <row r="21833" spans="8:16" x14ac:dyDescent="0.25">
      <c r="H21833" s="12"/>
      <c r="I21833" s="12"/>
      <c r="J21833" s="12"/>
      <c r="K21833" s="12"/>
      <c r="L21833" s="12"/>
      <c r="M21833" s="11"/>
      <c r="N21833" s="11"/>
      <c r="O21833" s="11"/>
      <c r="P21833" s="11"/>
    </row>
    <row r="21834" spans="8:16" x14ac:dyDescent="0.25">
      <c r="H21834" s="12"/>
      <c r="I21834" s="12"/>
      <c r="J21834" s="12"/>
      <c r="K21834" s="12"/>
      <c r="L21834" s="12"/>
      <c r="M21834" s="11"/>
      <c r="N21834" s="11"/>
      <c r="O21834" s="11"/>
      <c r="P21834" s="11"/>
    </row>
    <row r="21835" spans="8:16" x14ac:dyDescent="0.25">
      <c r="H21835" s="12"/>
      <c r="I21835" s="12"/>
      <c r="J21835" s="12"/>
      <c r="K21835" s="12"/>
      <c r="L21835" s="12"/>
      <c r="M21835" s="11"/>
      <c r="N21835" s="11"/>
      <c r="O21835" s="11"/>
      <c r="P21835" s="11"/>
    </row>
    <row r="21836" spans="8:16" x14ac:dyDescent="0.25">
      <c r="H21836" s="12"/>
      <c r="I21836" s="12"/>
      <c r="J21836" s="12"/>
      <c r="K21836" s="12"/>
      <c r="L21836" s="12"/>
      <c r="M21836" s="11"/>
      <c r="N21836" s="11"/>
      <c r="O21836" s="11"/>
      <c r="P21836" s="11"/>
    </row>
    <row r="21837" spans="8:16" x14ac:dyDescent="0.25">
      <c r="H21837" s="12"/>
      <c r="I21837" s="12"/>
      <c r="J21837" s="12"/>
      <c r="K21837" s="12"/>
      <c r="L21837" s="12"/>
      <c r="M21837" s="11"/>
      <c r="N21837" s="11"/>
      <c r="O21837" s="11"/>
      <c r="P21837" s="11"/>
    </row>
    <row r="21838" spans="8:16" x14ac:dyDescent="0.25">
      <c r="H21838" s="12"/>
      <c r="I21838" s="12"/>
      <c r="J21838" s="12"/>
      <c r="K21838" s="12"/>
      <c r="L21838" s="12"/>
      <c r="M21838" s="11"/>
      <c r="N21838" s="11"/>
      <c r="O21838" s="11"/>
      <c r="P21838" s="11"/>
    </row>
    <row r="21839" spans="8:16" x14ac:dyDescent="0.25">
      <c r="H21839" s="12"/>
      <c r="I21839" s="12"/>
      <c r="J21839" s="12"/>
      <c r="K21839" s="12"/>
      <c r="L21839" s="12"/>
      <c r="M21839" s="11"/>
      <c r="N21839" s="11"/>
      <c r="O21839" s="11"/>
      <c r="P21839" s="11"/>
    </row>
    <row r="21840" spans="8:16" x14ac:dyDescent="0.25">
      <c r="H21840" s="12"/>
      <c r="I21840" s="12"/>
      <c r="J21840" s="12"/>
      <c r="K21840" s="12"/>
      <c r="L21840" s="12"/>
      <c r="M21840" s="11"/>
      <c r="N21840" s="11"/>
      <c r="O21840" s="11"/>
      <c r="P21840" s="11"/>
    </row>
    <row r="21841" spans="8:16" x14ac:dyDescent="0.25">
      <c r="H21841" s="12"/>
      <c r="I21841" s="12"/>
      <c r="J21841" s="12"/>
      <c r="K21841" s="12"/>
      <c r="L21841" s="12"/>
      <c r="M21841" s="11"/>
      <c r="N21841" s="11"/>
      <c r="O21841" s="11"/>
      <c r="P21841" s="11"/>
    </row>
    <row r="21842" spans="8:16" x14ac:dyDescent="0.25">
      <c r="H21842" s="12"/>
      <c r="I21842" s="12"/>
      <c r="J21842" s="12"/>
      <c r="K21842" s="12"/>
      <c r="L21842" s="12"/>
      <c r="M21842" s="11"/>
      <c r="N21842" s="11"/>
      <c r="O21842" s="11"/>
      <c r="P21842" s="11"/>
    </row>
    <row r="21843" spans="8:16" x14ac:dyDescent="0.25">
      <c r="H21843" s="12"/>
      <c r="I21843" s="12"/>
      <c r="J21843" s="12"/>
      <c r="K21843" s="12"/>
      <c r="L21843" s="12"/>
      <c r="M21843" s="11"/>
      <c r="N21843" s="11"/>
      <c r="O21843" s="11"/>
      <c r="P21843" s="11"/>
    </row>
    <row r="21844" spans="8:16" x14ac:dyDescent="0.25">
      <c r="H21844" s="12"/>
      <c r="I21844" s="12"/>
      <c r="J21844" s="12"/>
      <c r="K21844" s="12"/>
      <c r="L21844" s="12"/>
      <c r="M21844" s="11"/>
      <c r="N21844" s="11"/>
      <c r="O21844" s="11"/>
      <c r="P21844" s="11"/>
    </row>
    <row r="21845" spans="8:16" x14ac:dyDescent="0.25">
      <c r="H21845" s="12"/>
      <c r="I21845" s="12"/>
      <c r="J21845" s="12"/>
      <c r="K21845" s="12"/>
      <c r="L21845" s="12"/>
      <c r="M21845" s="11"/>
      <c r="N21845" s="11"/>
      <c r="O21845" s="11"/>
      <c r="P21845" s="11"/>
    </row>
    <row r="21846" spans="8:16" x14ac:dyDescent="0.25">
      <c r="H21846" s="12"/>
      <c r="I21846" s="12"/>
      <c r="J21846" s="12"/>
      <c r="K21846" s="12"/>
      <c r="L21846" s="12"/>
      <c r="M21846" s="11"/>
      <c r="N21846" s="11"/>
      <c r="O21846" s="11"/>
      <c r="P21846" s="11"/>
    </row>
    <row r="21847" spans="8:16" x14ac:dyDescent="0.25">
      <c r="H21847" s="12"/>
      <c r="I21847" s="12"/>
      <c r="J21847" s="12"/>
      <c r="K21847" s="12"/>
      <c r="L21847" s="12"/>
      <c r="M21847" s="11"/>
      <c r="N21847" s="11"/>
      <c r="O21847" s="11"/>
      <c r="P21847" s="11"/>
    </row>
    <row r="21848" spans="8:16" x14ac:dyDescent="0.25">
      <c r="H21848" s="12"/>
      <c r="I21848" s="12"/>
      <c r="J21848" s="12"/>
      <c r="K21848" s="12"/>
      <c r="L21848" s="12"/>
      <c r="M21848" s="11"/>
      <c r="N21848" s="11"/>
      <c r="O21848" s="11"/>
      <c r="P21848" s="11"/>
    </row>
    <row r="21849" spans="8:16" x14ac:dyDescent="0.25">
      <c r="H21849" s="12"/>
      <c r="I21849" s="12"/>
      <c r="J21849" s="12"/>
      <c r="K21849" s="12"/>
      <c r="L21849" s="12"/>
      <c r="M21849" s="11"/>
      <c r="N21849" s="11"/>
      <c r="O21849" s="11"/>
      <c r="P21849" s="11"/>
    </row>
    <row r="21850" spans="8:16" x14ac:dyDescent="0.25">
      <c r="H21850" s="12"/>
      <c r="I21850" s="12"/>
      <c r="J21850" s="12"/>
      <c r="K21850" s="12"/>
      <c r="L21850" s="12"/>
      <c r="M21850" s="11"/>
      <c r="N21850" s="11"/>
      <c r="O21850" s="11"/>
      <c r="P21850" s="11"/>
    </row>
    <row r="21851" spans="8:16" x14ac:dyDescent="0.25">
      <c r="H21851" s="12"/>
      <c r="I21851" s="12"/>
      <c r="J21851" s="12"/>
      <c r="K21851" s="12"/>
      <c r="L21851" s="12"/>
      <c r="M21851" s="11"/>
      <c r="N21851" s="11"/>
      <c r="O21851" s="11"/>
      <c r="P21851" s="11"/>
    </row>
    <row r="21852" spans="8:16" x14ac:dyDescent="0.25">
      <c r="H21852" s="12"/>
      <c r="I21852" s="12"/>
      <c r="J21852" s="12"/>
      <c r="K21852" s="12"/>
      <c r="L21852" s="12"/>
      <c r="M21852" s="11"/>
      <c r="N21852" s="11"/>
      <c r="O21852" s="11"/>
      <c r="P21852" s="11"/>
    </row>
    <row r="21853" spans="8:16" x14ac:dyDescent="0.25">
      <c r="H21853" s="12"/>
      <c r="I21853" s="12"/>
      <c r="J21853" s="12"/>
      <c r="K21853" s="12"/>
      <c r="L21853" s="12"/>
      <c r="M21853" s="11"/>
      <c r="N21853" s="11"/>
      <c r="O21853" s="11"/>
      <c r="P21853" s="11"/>
    </row>
    <row r="21854" spans="8:16" x14ac:dyDescent="0.25">
      <c r="H21854" s="12"/>
      <c r="I21854" s="12"/>
      <c r="J21854" s="12"/>
      <c r="K21854" s="12"/>
      <c r="L21854" s="12"/>
      <c r="M21854" s="11"/>
      <c r="N21854" s="11"/>
      <c r="O21854" s="11"/>
      <c r="P21854" s="11"/>
    </row>
    <row r="21855" spans="8:16" x14ac:dyDescent="0.25">
      <c r="H21855" s="12"/>
      <c r="I21855" s="12"/>
      <c r="J21855" s="12"/>
      <c r="K21855" s="12"/>
      <c r="L21855" s="12"/>
      <c r="M21855" s="11"/>
      <c r="N21855" s="11"/>
      <c r="O21855" s="11"/>
      <c r="P21855" s="11"/>
    </row>
    <row r="21856" spans="8:16" x14ac:dyDescent="0.25">
      <c r="H21856" s="12"/>
      <c r="I21856" s="12"/>
      <c r="J21856" s="12"/>
      <c r="K21856" s="12"/>
      <c r="L21856" s="12"/>
      <c r="M21856" s="11"/>
      <c r="N21856" s="11"/>
      <c r="O21856" s="11"/>
      <c r="P21856" s="11"/>
    </row>
    <row r="21857" spans="8:16" x14ac:dyDescent="0.25">
      <c r="H21857" s="12"/>
      <c r="I21857" s="12"/>
      <c r="J21857" s="12"/>
      <c r="K21857" s="12"/>
      <c r="L21857" s="12"/>
      <c r="M21857" s="11"/>
      <c r="N21857" s="11"/>
      <c r="O21857" s="11"/>
      <c r="P21857" s="11"/>
    </row>
    <row r="21858" spans="8:16" x14ac:dyDescent="0.25">
      <c r="H21858" s="12"/>
      <c r="I21858" s="12"/>
      <c r="J21858" s="12"/>
      <c r="K21858" s="12"/>
      <c r="L21858" s="12"/>
      <c r="M21858" s="11"/>
      <c r="N21858" s="11"/>
      <c r="O21858" s="11"/>
      <c r="P21858" s="11"/>
    </row>
    <row r="21859" spans="8:16" x14ac:dyDescent="0.25">
      <c r="H21859" s="12"/>
      <c r="I21859" s="12"/>
      <c r="J21859" s="12"/>
      <c r="K21859" s="12"/>
      <c r="L21859" s="12"/>
      <c r="M21859" s="11"/>
      <c r="N21859" s="11"/>
      <c r="O21859" s="11"/>
      <c r="P21859" s="11"/>
    </row>
    <row r="21860" spans="8:16" x14ac:dyDescent="0.25">
      <c r="H21860" s="12"/>
      <c r="I21860" s="12"/>
      <c r="J21860" s="12"/>
      <c r="K21860" s="12"/>
      <c r="L21860" s="12"/>
      <c r="M21860" s="11"/>
      <c r="N21860" s="11"/>
      <c r="O21860" s="11"/>
      <c r="P21860" s="11"/>
    </row>
    <row r="21861" spans="8:16" x14ac:dyDescent="0.25">
      <c r="H21861" s="12"/>
      <c r="I21861" s="12"/>
      <c r="J21861" s="12"/>
      <c r="K21861" s="12"/>
      <c r="L21861" s="12"/>
      <c r="M21861" s="11"/>
      <c r="N21861" s="11"/>
      <c r="O21861" s="11"/>
      <c r="P21861" s="11"/>
    </row>
    <row r="21862" spans="8:16" x14ac:dyDescent="0.25">
      <c r="H21862" s="12"/>
      <c r="I21862" s="12"/>
      <c r="J21862" s="12"/>
      <c r="K21862" s="12"/>
      <c r="L21862" s="12"/>
      <c r="M21862" s="11"/>
      <c r="N21862" s="11"/>
      <c r="O21862" s="11"/>
      <c r="P21862" s="11"/>
    </row>
    <row r="21863" spans="8:16" x14ac:dyDescent="0.25">
      <c r="H21863" s="12"/>
      <c r="I21863" s="12"/>
      <c r="J21863" s="12"/>
      <c r="K21863" s="12"/>
      <c r="L21863" s="12"/>
      <c r="M21863" s="11"/>
      <c r="N21863" s="11"/>
      <c r="O21863" s="11"/>
      <c r="P21863" s="11"/>
    </row>
    <row r="21864" spans="8:16" x14ac:dyDescent="0.25">
      <c r="H21864" s="12"/>
      <c r="I21864" s="12"/>
      <c r="J21864" s="12"/>
      <c r="K21864" s="12"/>
      <c r="L21864" s="12"/>
      <c r="M21864" s="11"/>
      <c r="N21864" s="11"/>
      <c r="O21864" s="11"/>
      <c r="P21864" s="11"/>
    </row>
    <row r="21865" spans="8:16" x14ac:dyDescent="0.25">
      <c r="H21865" s="12"/>
      <c r="I21865" s="12"/>
      <c r="J21865" s="12"/>
      <c r="K21865" s="12"/>
      <c r="L21865" s="12"/>
      <c r="M21865" s="11"/>
      <c r="N21865" s="11"/>
      <c r="O21865" s="11"/>
      <c r="P21865" s="11"/>
    </row>
    <row r="21866" spans="8:16" x14ac:dyDescent="0.25">
      <c r="H21866" s="12"/>
      <c r="I21866" s="12"/>
      <c r="J21866" s="12"/>
      <c r="K21866" s="12"/>
      <c r="L21866" s="12"/>
      <c r="M21866" s="11"/>
      <c r="N21866" s="11"/>
      <c r="O21866" s="11"/>
      <c r="P21866" s="11"/>
    </row>
    <row r="21867" spans="8:16" x14ac:dyDescent="0.25">
      <c r="H21867" s="12"/>
      <c r="I21867" s="12"/>
      <c r="J21867" s="12"/>
      <c r="K21867" s="12"/>
      <c r="L21867" s="12"/>
      <c r="M21867" s="11"/>
      <c r="N21867" s="11"/>
      <c r="O21867" s="11"/>
      <c r="P21867" s="11"/>
    </row>
    <row r="21868" spans="8:16" x14ac:dyDescent="0.25">
      <c r="H21868" s="12"/>
      <c r="I21868" s="12"/>
      <c r="J21868" s="12"/>
      <c r="K21868" s="12"/>
      <c r="L21868" s="12"/>
      <c r="M21868" s="11"/>
      <c r="N21868" s="11"/>
      <c r="O21868" s="11"/>
      <c r="P21868" s="11"/>
    </row>
    <row r="21869" spans="8:16" x14ac:dyDescent="0.25">
      <c r="H21869" s="12"/>
      <c r="I21869" s="12"/>
      <c r="J21869" s="12"/>
      <c r="K21869" s="12"/>
      <c r="L21869" s="12"/>
      <c r="M21869" s="11"/>
      <c r="N21869" s="11"/>
      <c r="O21869" s="11"/>
      <c r="P21869" s="11"/>
    </row>
    <row r="21870" spans="8:16" x14ac:dyDescent="0.25">
      <c r="H21870" s="12"/>
      <c r="I21870" s="12"/>
      <c r="J21870" s="12"/>
      <c r="K21870" s="12"/>
      <c r="L21870" s="12"/>
      <c r="M21870" s="11"/>
      <c r="N21870" s="11"/>
      <c r="O21870" s="11"/>
      <c r="P21870" s="11"/>
    </row>
    <row r="21871" spans="8:16" x14ac:dyDescent="0.25">
      <c r="H21871" s="12"/>
      <c r="I21871" s="12"/>
      <c r="J21871" s="12"/>
      <c r="K21871" s="12"/>
      <c r="L21871" s="12"/>
      <c r="M21871" s="11"/>
      <c r="N21871" s="11"/>
      <c r="O21871" s="11"/>
      <c r="P21871" s="11"/>
    </row>
    <row r="21872" spans="8:16" x14ac:dyDescent="0.25">
      <c r="H21872" s="12"/>
      <c r="I21872" s="12"/>
      <c r="J21872" s="12"/>
      <c r="K21872" s="12"/>
      <c r="L21872" s="12"/>
      <c r="M21872" s="11"/>
      <c r="N21872" s="11"/>
      <c r="O21872" s="11"/>
      <c r="P21872" s="11"/>
    </row>
    <row r="21873" spans="8:16" x14ac:dyDescent="0.25">
      <c r="H21873" s="12"/>
      <c r="I21873" s="12"/>
      <c r="J21873" s="12"/>
      <c r="K21873" s="12"/>
      <c r="L21873" s="12"/>
      <c r="M21873" s="11"/>
      <c r="N21873" s="11"/>
      <c r="O21873" s="11"/>
      <c r="P21873" s="11"/>
    </row>
    <row r="21874" spans="8:16" x14ac:dyDescent="0.25">
      <c r="H21874" s="12"/>
      <c r="I21874" s="12"/>
      <c r="J21874" s="12"/>
      <c r="K21874" s="12"/>
      <c r="L21874" s="12"/>
      <c r="M21874" s="11"/>
      <c r="N21874" s="11"/>
      <c r="O21874" s="11"/>
      <c r="P21874" s="11"/>
    </row>
    <row r="21875" spans="8:16" x14ac:dyDescent="0.25">
      <c r="H21875" s="12"/>
      <c r="I21875" s="12"/>
      <c r="J21875" s="12"/>
      <c r="K21875" s="12"/>
      <c r="L21875" s="12"/>
      <c r="M21875" s="11"/>
      <c r="N21875" s="11"/>
      <c r="O21875" s="11"/>
      <c r="P21875" s="11"/>
    </row>
    <row r="21876" spans="8:16" x14ac:dyDescent="0.25">
      <c r="H21876" s="12"/>
      <c r="I21876" s="12"/>
      <c r="J21876" s="12"/>
      <c r="K21876" s="12"/>
      <c r="L21876" s="12"/>
      <c r="M21876" s="11"/>
      <c r="N21876" s="11"/>
      <c r="O21876" s="11"/>
      <c r="P21876" s="11"/>
    </row>
    <row r="21877" spans="8:16" x14ac:dyDescent="0.25">
      <c r="H21877" s="12"/>
      <c r="I21877" s="12"/>
      <c r="J21877" s="12"/>
      <c r="K21877" s="12"/>
      <c r="L21877" s="12"/>
      <c r="M21877" s="11"/>
      <c r="N21877" s="11"/>
      <c r="O21877" s="11"/>
      <c r="P21877" s="11"/>
    </row>
    <row r="21878" spans="8:16" x14ac:dyDescent="0.25">
      <c r="H21878" s="12"/>
      <c r="I21878" s="12"/>
      <c r="J21878" s="12"/>
      <c r="K21878" s="12"/>
      <c r="L21878" s="12"/>
      <c r="M21878" s="11"/>
      <c r="N21878" s="11"/>
      <c r="O21878" s="11"/>
      <c r="P21878" s="11"/>
    </row>
    <row r="21879" spans="8:16" x14ac:dyDescent="0.25">
      <c r="H21879" s="12"/>
      <c r="I21879" s="12"/>
      <c r="J21879" s="12"/>
      <c r="K21879" s="12"/>
      <c r="L21879" s="12"/>
      <c r="M21879" s="11"/>
      <c r="N21879" s="11"/>
      <c r="O21879" s="11"/>
      <c r="P21879" s="11"/>
    </row>
    <row r="21880" spans="8:16" x14ac:dyDescent="0.25">
      <c r="H21880" s="12"/>
      <c r="I21880" s="12"/>
      <c r="J21880" s="12"/>
      <c r="K21880" s="12"/>
      <c r="L21880" s="12"/>
      <c r="M21880" s="11"/>
      <c r="N21880" s="11"/>
      <c r="O21880" s="11"/>
      <c r="P21880" s="11"/>
    </row>
    <row r="21881" spans="8:16" x14ac:dyDescent="0.25">
      <c r="H21881" s="12"/>
      <c r="I21881" s="12"/>
      <c r="J21881" s="12"/>
      <c r="K21881" s="12"/>
      <c r="L21881" s="12"/>
      <c r="M21881" s="11"/>
      <c r="N21881" s="11"/>
      <c r="O21881" s="11"/>
      <c r="P21881" s="11"/>
    </row>
    <row r="21882" spans="8:16" x14ac:dyDescent="0.25">
      <c r="H21882" s="12"/>
      <c r="I21882" s="12"/>
      <c r="J21882" s="12"/>
      <c r="K21882" s="12"/>
      <c r="L21882" s="12"/>
      <c r="M21882" s="11"/>
      <c r="N21882" s="11"/>
      <c r="O21882" s="11"/>
      <c r="P21882" s="11"/>
    </row>
    <row r="21883" spans="8:16" x14ac:dyDescent="0.25">
      <c r="H21883" s="12"/>
      <c r="I21883" s="12"/>
      <c r="J21883" s="12"/>
      <c r="K21883" s="12"/>
      <c r="L21883" s="12"/>
      <c r="M21883" s="11"/>
      <c r="N21883" s="11"/>
      <c r="O21883" s="11"/>
      <c r="P21883" s="11"/>
    </row>
    <row r="21884" spans="8:16" x14ac:dyDescent="0.25">
      <c r="H21884" s="12"/>
      <c r="I21884" s="12"/>
      <c r="J21884" s="12"/>
      <c r="K21884" s="12"/>
      <c r="L21884" s="12"/>
      <c r="M21884" s="11"/>
      <c r="N21884" s="11"/>
      <c r="O21884" s="11"/>
      <c r="P21884" s="11"/>
    </row>
    <row r="21885" spans="8:16" x14ac:dyDescent="0.25">
      <c r="H21885" s="12"/>
      <c r="I21885" s="12"/>
      <c r="J21885" s="12"/>
      <c r="K21885" s="12"/>
      <c r="L21885" s="12"/>
      <c r="M21885" s="11"/>
      <c r="N21885" s="11"/>
      <c r="O21885" s="11"/>
      <c r="P21885" s="11"/>
    </row>
    <row r="21886" spans="8:16" x14ac:dyDescent="0.25">
      <c r="H21886" s="12"/>
      <c r="I21886" s="12"/>
      <c r="J21886" s="12"/>
      <c r="K21886" s="12"/>
      <c r="L21886" s="12"/>
      <c r="M21886" s="11"/>
      <c r="N21886" s="11"/>
      <c r="O21886" s="11"/>
      <c r="P21886" s="11"/>
    </row>
    <row r="21887" spans="8:16" x14ac:dyDescent="0.25">
      <c r="H21887" s="12"/>
      <c r="I21887" s="12"/>
      <c r="J21887" s="12"/>
      <c r="K21887" s="12"/>
      <c r="L21887" s="12"/>
      <c r="M21887" s="11"/>
      <c r="N21887" s="11"/>
      <c r="O21887" s="11"/>
      <c r="P21887" s="11"/>
    </row>
    <row r="21888" spans="8:16" x14ac:dyDescent="0.25">
      <c r="H21888" s="12"/>
      <c r="I21888" s="12"/>
      <c r="J21888" s="12"/>
      <c r="K21888" s="12"/>
      <c r="L21888" s="12"/>
      <c r="M21888" s="11"/>
      <c r="N21888" s="11"/>
      <c r="O21888" s="11"/>
      <c r="P21888" s="11"/>
    </row>
    <row r="21889" spans="8:16" x14ac:dyDescent="0.25">
      <c r="H21889" s="12"/>
      <c r="I21889" s="12"/>
      <c r="J21889" s="12"/>
      <c r="K21889" s="12"/>
      <c r="L21889" s="12"/>
      <c r="M21889" s="11"/>
      <c r="N21889" s="11"/>
      <c r="O21889" s="11"/>
      <c r="P21889" s="11"/>
    </row>
    <row r="21890" spans="8:16" x14ac:dyDescent="0.25">
      <c r="H21890" s="12"/>
      <c r="I21890" s="12"/>
      <c r="J21890" s="12"/>
      <c r="K21890" s="12"/>
      <c r="L21890" s="12"/>
      <c r="M21890" s="11"/>
      <c r="N21890" s="11"/>
      <c r="O21890" s="11"/>
      <c r="P21890" s="11"/>
    </row>
    <row r="21891" spans="8:16" x14ac:dyDescent="0.25">
      <c r="H21891" s="12"/>
      <c r="I21891" s="12"/>
      <c r="J21891" s="12"/>
      <c r="K21891" s="12"/>
      <c r="L21891" s="12"/>
      <c r="M21891" s="11"/>
      <c r="N21891" s="11"/>
      <c r="O21891" s="11"/>
      <c r="P21891" s="11"/>
    </row>
    <row r="21892" spans="8:16" x14ac:dyDescent="0.25">
      <c r="H21892" s="12"/>
      <c r="I21892" s="12"/>
      <c r="J21892" s="12"/>
      <c r="K21892" s="12"/>
      <c r="L21892" s="12"/>
      <c r="M21892" s="11"/>
      <c r="N21892" s="11"/>
      <c r="O21892" s="11"/>
      <c r="P21892" s="11"/>
    </row>
    <row r="21893" spans="8:16" x14ac:dyDescent="0.25">
      <c r="H21893" s="12"/>
      <c r="I21893" s="12"/>
      <c r="J21893" s="12"/>
      <c r="K21893" s="12"/>
      <c r="L21893" s="12"/>
      <c r="M21893" s="11"/>
      <c r="N21893" s="11"/>
      <c r="O21893" s="11"/>
      <c r="P21893" s="11"/>
    </row>
    <row r="21894" spans="8:16" x14ac:dyDescent="0.25">
      <c r="H21894" s="12"/>
      <c r="I21894" s="12"/>
      <c r="J21894" s="12"/>
      <c r="K21894" s="12"/>
      <c r="L21894" s="12"/>
      <c r="M21894" s="11"/>
      <c r="N21894" s="11"/>
      <c r="O21894" s="11"/>
      <c r="P21894" s="11"/>
    </row>
    <row r="21895" spans="8:16" x14ac:dyDescent="0.25">
      <c r="H21895" s="12"/>
      <c r="I21895" s="12"/>
      <c r="J21895" s="12"/>
      <c r="K21895" s="12"/>
      <c r="L21895" s="12"/>
      <c r="M21895" s="11"/>
      <c r="N21895" s="11"/>
      <c r="O21895" s="11"/>
      <c r="P21895" s="11"/>
    </row>
    <row r="21896" spans="8:16" x14ac:dyDescent="0.25">
      <c r="H21896" s="12"/>
      <c r="I21896" s="12"/>
      <c r="J21896" s="12"/>
      <c r="K21896" s="12"/>
      <c r="L21896" s="12"/>
      <c r="M21896" s="11"/>
      <c r="N21896" s="11"/>
      <c r="O21896" s="11"/>
      <c r="P21896" s="11"/>
    </row>
    <row r="21897" spans="8:16" x14ac:dyDescent="0.25">
      <c r="H21897" s="12"/>
      <c r="I21897" s="12"/>
      <c r="J21897" s="12"/>
      <c r="K21897" s="12"/>
      <c r="L21897" s="12"/>
      <c r="M21897" s="11"/>
      <c r="N21897" s="11"/>
      <c r="O21897" s="11"/>
      <c r="P21897" s="11"/>
    </row>
    <row r="21898" spans="8:16" x14ac:dyDescent="0.25">
      <c r="H21898" s="12"/>
      <c r="I21898" s="12"/>
      <c r="J21898" s="12"/>
      <c r="K21898" s="12"/>
      <c r="L21898" s="12"/>
      <c r="M21898" s="11"/>
      <c r="N21898" s="11"/>
      <c r="O21898" s="11"/>
      <c r="P21898" s="11"/>
    </row>
    <row r="21899" spans="8:16" x14ac:dyDescent="0.25">
      <c r="H21899" s="12"/>
      <c r="I21899" s="12"/>
      <c r="J21899" s="12"/>
      <c r="K21899" s="12"/>
      <c r="L21899" s="12"/>
      <c r="M21899" s="11"/>
      <c r="N21899" s="11"/>
      <c r="O21899" s="11"/>
      <c r="P21899" s="11"/>
    </row>
    <row r="21900" spans="8:16" x14ac:dyDescent="0.25">
      <c r="H21900" s="12"/>
      <c r="I21900" s="12"/>
      <c r="J21900" s="12"/>
      <c r="K21900" s="12"/>
      <c r="L21900" s="12"/>
      <c r="M21900" s="11"/>
      <c r="N21900" s="11"/>
      <c r="O21900" s="11"/>
      <c r="P21900" s="11"/>
    </row>
    <row r="21901" spans="8:16" x14ac:dyDescent="0.25">
      <c r="H21901" s="12"/>
      <c r="I21901" s="12"/>
      <c r="J21901" s="12"/>
      <c r="K21901" s="12"/>
      <c r="L21901" s="12"/>
      <c r="M21901" s="11"/>
      <c r="N21901" s="11"/>
      <c r="O21901" s="11"/>
      <c r="P21901" s="11"/>
    </row>
    <row r="21902" spans="8:16" x14ac:dyDescent="0.25">
      <c r="H21902" s="12"/>
      <c r="I21902" s="12"/>
      <c r="J21902" s="12"/>
      <c r="K21902" s="12"/>
      <c r="L21902" s="12"/>
      <c r="M21902" s="11"/>
      <c r="N21902" s="11"/>
      <c r="O21902" s="11"/>
      <c r="P21902" s="11"/>
    </row>
    <row r="21903" spans="8:16" x14ac:dyDescent="0.25">
      <c r="H21903" s="12"/>
      <c r="I21903" s="12"/>
      <c r="J21903" s="12"/>
      <c r="K21903" s="12"/>
      <c r="L21903" s="12"/>
      <c r="M21903" s="11"/>
      <c r="N21903" s="11"/>
      <c r="O21903" s="11"/>
      <c r="P21903" s="11"/>
    </row>
    <row r="21904" spans="8:16" x14ac:dyDescent="0.25">
      <c r="H21904" s="12"/>
      <c r="I21904" s="12"/>
      <c r="J21904" s="12"/>
      <c r="K21904" s="12"/>
      <c r="L21904" s="12"/>
      <c r="M21904" s="11"/>
      <c r="N21904" s="11"/>
      <c r="O21904" s="11"/>
      <c r="P21904" s="11"/>
    </row>
    <row r="21905" spans="8:16" x14ac:dyDescent="0.25">
      <c r="H21905" s="12"/>
      <c r="I21905" s="12"/>
      <c r="J21905" s="12"/>
      <c r="K21905" s="12"/>
      <c r="L21905" s="12"/>
      <c r="M21905" s="11"/>
      <c r="N21905" s="11"/>
      <c r="O21905" s="11"/>
      <c r="P21905" s="11"/>
    </row>
    <row r="21906" spans="8:16" x14ac:dyDescent="0.25">
      <c r="H21906" s="12"/>
      <c r="I21906" s="12"/>
      <c r="J21906" s="12"/>
      <c r="K21906" s="12"/>
      <c r="L21906" s="12"/>
      <c r="M21906" s="11"/>
      <c r="N21906" s="11"/>
      <c r="O21906" s="11"/>
      <c r="P21906" s="11"/>
    </row>
    <row r="21907" spans="8:16" x14ac:dyDescent="0.25">
      <c r="H21907" s="12"/>
      <c r="I21907" s="12"/>
      <c r="J21907" s="12"/>
      <c r="K21907" s="12"/>
      <c r="L21907" s="12"/>
      <c r="M21907" s="11"/>
      <c r="N21907" s="11"/>
      <c r="O21907" s="11"/>
      <c r="P21907" s="11"/>
    </row>
    <row r="21908" spans="8:16" x14ac:dyDescent="0.25">
      <c r="H21908" s="12"/>
      <c r="I21908" s="12"/>
      <c r="J21908" s="12"/>
      <c r="K21908" s="12"/>
      <c r="L21908" s="12"/>
      <c r="M21908" s="11"/>
      <c r="N21908" s="11"/>
      <c r="O21908" s="11"/>
      <c r="P21908" s="11"/>
    </row>
    <row r="21909" spans="8:16" x14ac:dyDescent="0.25">
      <c r="H21909" s="12"/>
      <c r="I21909" s="12"/>
      <c r="J21909" s="12"/>
      <c r="K21909" s="12"/>
      <c r="L21909" s="12"/>
      <c r="M21909" s="11"/>
      <c r="N21909" s="11"/>
      <c r="O21909" s="11"/>
      <c r="P21909" s="11"/>
    </row>
    <row r="21910" spans="8:16" x14ac:dyDescent="0.25">
      <c r="H21910" s="12"/>
      <c r="I21910" s="12"/>
      <c r="J21910" s="12"/>
      <c r="K21910" s="12"/>
      <c r="L21910" s="12"/>
      <c r="M21910" s="11"/>
      <c r="N21910" s="11"/>
      <c r="O21910" s="11"/>
      <c r="P21910" s="11"/>
    </row>
    <row r="21911" spans="8:16" x14ac:dyDescent="0.25">
      <c r="H21911" s="12"/>
      <c r="I21911" s="12"/>
      <c r="J21911" s="12"/>
      <c r="K21911" s="12"/>
      <c r="L21911" s="12"/>
      <c r="M21911" s="11"/>
      <c r="N21911" s="11"/>
      <c r="O21911" s="11"/>
      <c r="P21911" s="11"/>
    </row>
    <row r="21912" spans="8:16" x14ac:dyDescent="0.25">
      <c r="H21912" s="12"/>
      <c r="I21912" s="12"/>
      <c r="J21912" s="12"/>
      <c r="K21912" s="12"/>
      <c r="L21912" s="12"/>
      <c r="M21912" s="11"/>
      <c r="N21912" s="11"/>
      <c r="O21912" s="11"/>
      <c r="P21912" s="11"/>
    </row>
    <row r="21913" spans="8:16" x14ac:dyDescent="0.25">
      <c r="H21913" s="12"/>
      <c r="I21913" s="12"/>
      <c r="J21913" s="12"/>
      <c r="K21913" s="12"/>
      <c r="L21913" s="12"/>
      <c r="M21913" s="11"/>
      <c r="N21913" s="11"/>
      <c r="O21913" s="11"/>
      <c r="P21913" s="11"/>
    </row>
    <row r="21914" spans="8:16" x14ac:dyDescent="0.25">
      <c r="H21914" s="12"/>
      <c r="I21914" s="12"/>
      <c r="J21914" s="12"/>
      <c r="K21914" s="12"/>
      <c r="L21914" s="12"/>
      <c r="M21914" s="11"/>
      <c r="N21914" s="11"/>
      <c r="O21914" s="11"/>
      <c r="P21914" s="11"/>
    </row>
    <row r="21915" spans="8:16" x14ac:dyDescent="0.25">
      <c r="H21915" s="12"/>
      <c r="I21915" s="12"/>
      <c r="J21915" s="12"/>
      <c r="K21915" s="12"/>
      <c r="L21915" s="12"/>
      <c r="M21915" s="11"/>
      <c r="N21915" s="11"/>
      <c r="O21915" s="11"/>
      <c r="P21915" s="11"/>
    </row>
    <row r="21916" spans="8:16" x14ac:dyDescent="0.25">
      <c r="H21916" s="12"/>
      <c r="I21916" s="12"/>
      <c r="J21916" s="12"/>
      <c r="K21916" s="12"/>
      <c r="L21916" s="12"/>
      <c r="M21916" s="11"/>
      <c r="N21916" s="11"/>
      <c r="O21916" s="11"/>
      <c r="P21916" s="11"/>
    </row>
    <row r="21917" spans="8:16" x14ac:dyDescent="0.25">
      <c r="H21917" s="12"/>
      <c r="I21917" s="12"/>
      <c r="J21917" s="12"/>
      <c r="K21917" s="12"/>
      <c r="L21917" s="12"/>
      <c r="M21917" s="11"/>
      <c r="N21917" s="11"/>
      <c r="O21917" s="11"/>
      <c r="P21917" s="11"/>
    </row>
    <row r="21918" spans="8:16" x14ac:dyDescent="0.25">
      <c r="H21918" s="12"/>
      <c r="I21918" s="12"/>
      <c r="J21918" s="12"/>
      <c r="K21918" s="12"/>
      <c r="L21918" s="12"/>
      <c r="M21918" s="11"/>
      <c r="N21918" s="11"/>
      <c r="O21918" s="11"/>
      <c r="P21918" s="11"/>
    </row>
    <row r="21919" spans="8:16" x14ac:dyDescent="0.25">
      <c r="H21919" s="12"/>
      <c r="I21919" s="12"/>
      <c r="J21919" s="12"/>
      <c r="K21919" s="12"/>
      <c r="L21919" s="12"/>
      <c r="M21919" s="11"/>
      <c r="N21919" s="11"/>
      <c r="O21919" s="11"/>
      <c r="P21919" s="11"/>
    </row>
    <row r="21920" spans="8:16" x14ac:dyDescent="0.25">
      <c r="H21920" s="12"/>
      <c r="I21920" s="12"/>
      <c r="J21920" s="12"/>
      <c r="K21920" s="12"/>
      <c r="L21920" s="12"/>
      <c r="M21920" s="11"/>
      <c r="N21920" s="11"/>
      <c r="O21920" s="11"/>
      <c r="P21920" s="11"/>
    </row>
    <row r="21921" spans="8:16" x14ac:dyDescent="0.25">
      <c r="H21921" s="12"/>
      <c r="I21921" s="12"/>
      <c r="J21921" s="12"/>
      <c r="K21921" s="12"/>
      <c r="L21921" s="12"/>
      <c r="M21921" s="11"/>
      <c r="N21921" s="11"/>
      <c r="O21921" s="11"/>
      <c r="P21921" s="11"/>
    </row>
    <row r="21922" spans="8:16" x14ac:dyDescent="0.25">
      <c r="H21922" s="12"/>
      <c r="I21922" s="12"/>
      <c r="J21922" s="12"/>
      <c r="K21922" s="12"/>
      <c r="L21922" s="12"/>
      <c r="M21922" s="11"/>
      <c r="N21922" s="11"/>
      <c r="O21922" s="11"/>
      <c r="P21922" s="11"/>
    </row>
    <row r="21923" spans="8:16" x14ac:dyDescent="0.25">
      <c r="H21923" s="12"/>
      <c r="I21923" s="12"/>
      <c r="J21923" s="12"/>
      <c r="K21923" s="12"/>
      <c r="L21923" s="12"/>
      <c r="M21923" s="11"/>
      <c r="N21923" s="11"/>
      <c r="O21923" s="11"/>
      <c r="P21923" s="11"/>
    </row>
    <row r="21924" spans="8:16" x14ac:dyDescent="0.25">
      <c r="H21924" s="12"/>
      <c r="I21924" s="12"/>
      <c r="J21924" s="12"/>
      <c r="K21924" s="12"/>
      <c r="L21924" s="12"/>
      <c r="M21924" s="11"/>
      <c r="N21924" s="11"/>
      <c r="O21924" s="11"/>
      <c r="P21924" s="11"/>
    </row>
    <row r="21925" spans="8:16" x14ac:dyDescent="0.25">
      <c r="H21925" s="12"/>
      <c r="I21925" s="12"/>
      <c r="J21925" s="12"/>
      <c r="K21925" s="12"/>
      <c r="L21925" s="12"/>
      <c r="M21925" s="11"/>
      <c r="N21925" s="11"/>
      <c r="O21925" s="11"/>
      <c r="P21925" s="11"/>
    </row>
    <row r="21926" spans="8:16" x14ac:dyDescent="0.25">
      <c r="H21926" s="12"/>
      <c r="I21926" s="12"/>
      <c r="J21926" s="12"/>
      <c r="K21926" s="12"/>
      <c r="L21926" s="12"/>
      <c r="M21926" s="11"/>
      <c r="N21926" s="11"/>
      <c r="O21926" s="11"/>
      <c r="P21926" s="11"/>
    </row>
    <row r="21927" spans="8:16" x14ac:dyDescent="0.25">
      <c r="H21927" s="12"/>
      <c r="I21927" s="12"/>
      <c r="J21927" s="12"/>
      <c r="K21927" s="12"/>
      <c r="L21927" s="12"/>
      <c r="M21927" s="11"/>
      <c r="N21927" s="11"/>
      <c r="O21927" s="11"/>
      <c r="P21927" s="11"/>
    </row>
    <row r="21928" spans="8:16" x14ac:dyDescent="0.25">
      <c r="H21928" s="12"/>
      <c r="I21928" s="12"/>
      <c r="J21928" s="12"/>
      <c r="K21928" s="12"/>
      <c r="L21928" s="12"/>
      <c r="M21928" s="11"/>
      <c r="N21928" s="11"/>
      <c r="O21928" s="11"/>
      <c r="P21928" s="11"/>
    </row>
    <row r="21929" spans="8:16" x14ac:dyDescent="0.25">
      <c r="H21929" s="12"/>
      <c r="I21929" s="12"/>
      <c r="J21929" s="12"/>
      <c r="K21929" s="12"/>
      <c r="L21929" s="12"/>
      <c r="M21929" s="11"/>
      <c r="N21929" s="11"/>
      <c r="O21929" s="11"/>
      <c r="P21929" s="11"/>
    </row>
    <row r="21930" spans="8:16" x14ac:dyDescent="0.25">
      <c r="H21930" s="12"/>
      <c r="I21930" s="12"/>
      <c r="J21930" s="12"/>
      <c r="K21930" s="12"/>
      <c r="L21930" s="12"/>
      <c r="M21930" s="11"/>
      <c r="N21930" s="11"/>
      <c r="O21930" s="11"/>
      <c r="P21930" s="11"/>
    </row>
    <row r="21931" spans="8:16" x14ac:dyDescent="0.25">
      <c r="H21931" s="12"/>
      <c r="I21931" s="12"/>
      <c r="J21931" s="12"/>
      <c r="K21931" s="12"/>
      <c r="L21931" s="12"/>
      <c r="M21931" s="11"/>
      <c r="N21931" s="11"/>
      <c r="O21931" s="11"/>
      <c r="P21931" s="11"/>
    </row>
    <row r="21932" spans="8:16" x14ac:dyDescent="0.25">
      <c r="H21932" s="12"/>
      <c r="I21932" s="12"/>
      <c r="J21932" s="12"/>
      <c r="K21932" s="12"/>
      <c r="L21932" s="12"/>
      <c r="M21932" s="11"/>
      <c r="N21932" s="11"/>
      <c r="O21932" s="11"/>
      <c r="P21932" s="11"/>
    </row>
    <row r="21933" spans="8:16" x14ac:dyDescent="0.25">
      <c r="H21933" s="12"/>
      <c r="I21933" s="12"/>
      <c r="J21933" s="12"/>
      <c r="K21933" s="12"/>
      <c r="L21933" s="12"/>
      <c r="M21933" s="11"/>
      <c r="N21933" s="11"/>
      <c r="O21933" s="11"/>
      <c r="P21933" s="11"/>
    </row>
    <row r="21934" spans="8:16" x14ac:dyDescent="0.25">
      <c r="H21934" s="12"/>
      <c r="I21934" s="12"/>
      <c r="J21934" s="12"/>
      <c r="K21934" s="12"/>
      <c r="L21934" s="12"/>
      <c r="M21934" s="11"/>
      <c r="N21934" s="11"/>
      <c r="O21934" s="11"/>
      <c r="P21934" s="11"/>
    </row>
    <row r="21935" spans="8:16" x14ac:dyDescent="0.25">
      <c r="H21935" s="12"/>
      <c r="I21935" s="12"/>
      <c r="J21935" s="12"/>
      <c r="K21935" s="12"/>
      <c r="L21935" s="12"/>
      <c r="M21935" s="11"/>
      <c r="N21935" s="11"/>
      <c r="O21935" s="11"/>
      <c r="P21935" s="11"/>
    </row>
    <row r="21936" spans="8:16" x14ac:dyDescent="0.25">
      <c r="H21936" s="12"/>
      <c r="I21936" s="12"/>
      <c r="J21936" s="12"/>
      <c r="K21936" s="12"/>
      <c r="L21936" s="12"/>
      <c r="M21936" s="11"/>
      <c r="N21936" s="11"/>
      <c r="O21936" s="11"/>
      <c r="P21936" s="11"/>
    </row>
    <row r="21937" spans="8:16" x14ac:dyDescent="0.25">
      <c r="H21937" s="12"/>
      <c r="I21937" s="12"/>
      <c r="J21937" s="12"/>
      <c r="K21937" s="12"/>
      <c r="L21937" s="12"/>
      <c r="M21937" s="11"/>
      <c r="N21937" s="11"/>
      <c r="O21937" s="11"/>
      <c r="P21937" s="11"/>
    </row>
    <row r="21938" spans="8:16" x14ac:dyDescent="0.25">
      <c r="H21938" s="12"/>
      <c r="I21938" s="12"/>
      <c r="J21938" s="12"/>
      <c r="K21938" s="12"/>
      <c r="L21938" s="12"/>
      <c r="M21938" s="11"/>
      <c r="N21938" s="11"/>
      <c r="O21938" s="11"/>
      <c r="P21938" s="11"/>
    </row>
    <row r="21939" spans="8:16" x14ac:dyDescent="0.25">
      <c r="H21939" s="12"/>
      <c r="I21939" s="12"/>
      <c r="J21939" s="12"/>
      <c r="K21939" s="12"/>
      <c r="L21939" s="12"/>
      <c r="M21939" s="11"/>
      <c r="N21939" s="11"/>
      <c r="O21939" s="11"/>
      <c r="P21939" s="11"/>
    </row>
    <row r="21940" spans="8:16" x14ac:dyDescent="0.25">
      <c r="H21940" s="12"/>
      <c r="I21940" s="12"/>
      <c r="J21940" s="12"/>
      <c r="K21940" s="12"/>
      <c r="L21940" s="12"/>
      <c r="M21940" s="11"/>
      <c r="N21940" s="11"/>
      <c r="O21940" s="11"/>
      <c r="P21940" s="11"/>
    </row>
    <row r="21941" spans="8:16" x14ac:dyDescent="0.25">
      <c r="H21941" s="12"/>
      <c r="I21941" s="12"/>
      <c r="J21941" s="12"/>
      <c r="K21941" s="12"/>
      <c r="L21941" s="12"/>
      <c r="M21941" s="11"/>
      <c r="N21941" s="11"/>
      <c r="O21941" s="11"/>
      <c r="P21941" s="11"/>
    </row>
    <row r="21942" spans="8:16" x14ac:dyDescent="0.25">
      <c r="H21942" s="12"/>
      <c r="I21942" s="12"/>
      <c r="J21942" s="12"/>
      <c r="K21942" s="12"/>
      <c r="L21942" s="12"/>
      <c r="M21942" s="11"/>
      <c r="N21942" s="11"/>
      <c r="O21942" s="11"/>
      <c r="P21942" s="11"/>
    </row>
    <row r="21943" spans="8:16" x14ac:dyDescent="0.25">
      <c r="H21943" s="12"/>
      <c r="I21943" s="12"/>
      <c r="J21943" s="12"/>
      <c r="K21943" s="12"/>
      <c r="L21943" s="12"/>
      <c r="M21943" s="11"/>
      <c r="N21943" s="11"/>
      <c r="O21943" s="11"/>
      <c r="P21943" s="11"/>
    </row>
    <row r="21944" spans="8:16" x14ac:dyDescent="0.25">
      <c r="H21944" s="12"/>
      <c r="I21944" s="12"/>
      <c r="J21944" s="12"/>
      <c r="K21944" s="12"/>
      <c r="L21944" s="12"/>
      <c r="M21944" s="11"/>
      <c r="N21944" s="11"/>
      <c r="O21944" s="11"/>
      <c r="P21944" s="11"/>
    </row>
    <row r="21945" spans="8:16" x14ac:dyDescent="0.25">
      <c r="H21945" s="12"/>
      <c r="I21945" s="12"/>
      <c r="J21945" s="12"/>
      <c r="K21945" s="12"/>
      <c r="L21945" s="12"/>
      <c r="M21945" s="11"/>
      <c r="N21945" s="11"/>
      <c r="O21945" s="11"/>
      <c r="P21945" s="11"/>
    </row>
    <row r="21946" spans="8:16" x14ac:dyDescent="0.25">
      <c r="H21946" s="12"/>
      <c r="I21946" s="12"/>
      <c r="J21946" s="12"/>
      <c r="K21946" s="12"/>
      <c r="L21946" s="12"/>
      <c r="M21946" s="11"/>
      <c r="N21946" s="11"/>
      <c r="O21946" s="11"/>
      <c r="P21946" s="11"/>
    </row>
    <row r="21947" spans="8:16" x14ac:dyDescent="0.25">
      <c r="H21947" s="12"/>
      <c r="I21947" s="12"/>
      <c r="J21947" s="12"/>
      <c r="K21947" s="12"/>
      <c r="L21947" s="12"/>
      <c r="M21947" s="11"/>
      <c r="N21947" s="11"/>
      <c r="O21947" s="11"/>
      <c r="P21947" s="11"/>
    </row>
    <row r="21948" spans="8:16" x14ac:dyDescent="0.25">
      <c r="H21948" s="12"/>
      <c r="I21948" s="12"/>
      <c r="J21948" s="12"/>
      <c r="K21948" s="12"/>
      <c r="L21948" s="12"/>
      <c r="M21948" s="11"/>
      <c r="N21948" s="11"/>
      <c r="O21948" s="11"/>
      <c r="P21948" s="11"/>
    </row>
    <row r="21949" spans="8:16" x14ac:dyDescent="0.25">
      <c r="H21949" s="12"/>
      <c r="I21949" s="12"/>
      <c r="J21949" s="12"/>
      <c r="K21949" s="12"/>
      <c r="L21949" s="12"/>
      <c r="M21949" s="11"/>
      <c r="N21949" s="11"/>
      <c r="O21949" s="11"/>
      <c r="P21949" s="11"/>
    </row>
    <row r="21950" spans="8:16" x14ac:dyDescent="0.25">
      <c r="H21950" s="12"/>
      <c r="I21950" s="12"/>
      <c r="J21950" s="12"/>
      <c r="K21950" s="12"/>
      <c r="L21950" s="12"/>
      <c r="M21950" s="11"/>
      <c r="N21950" s="11"/>
      <c r="O21950" s="11"/>
      <c r="P21950" s="11"/>
    </row>
    <row r="21951" spans="8:16" x14ac:dyDescent="0.25">
      <c r="H21951" s="12"/>
      <c r="I21951" s="12"/>
      <c r="J21951" s="12"/>
      <c r="K21951" s="12"/>
      <c r="L21951" s="12"/>
      <c r="M21951" s="11"/>
      <c r="N21951" s="11"/>
      <c r="O21951" s="11"/>
      <c r="P21951" s="11"/>
    </row>
    <row r="21952" spans="8:16" x14ac:dyDescent="0.25">
      <c r="H21952" s="12"/>
      <c r="I21952" s="12"/>
      <c r="J21952" s="12"/>
      <c r="K21952" s="12"/>
      <c r="L21952" s="12"/>
      <c r="M21952" s="11"/>
      <c r="N21952" s="11"/>
      <c r="O21952" s="11"/>
      <c r="P21952" s="11"/>
    </row>
    <row r="21953" spans="8:16" x14ac:dyDescent="0.25">
      <c r="H21953" s="12"/>
      <c r="I21953" s="12"/>
      <c r="J21953" s="12"/>
      <c r="K21953" s="12"/>
      <c r="L21953" s="12"/>
      <c r="M21953" s="11"/>
      <c r="N21953" s="11"/>
      <c r="O21953" s="11"/>
      <c r="P21953" s="11"/>
    </row>
    <row r="21954" spans="8:16" x14ac:dyDescent="0.25">
      <c r="H21954" s="12"/>
      <c r="I21954" s="12"/>
      <c r="J21954" s="12"/>
      <c r="K21954" s="12"/>
      <c r="L21954" s="12"/>
      <c r="M21954" s="11"/>
      <c r="N21954" s="11"/>
      <c r="O21954" s="11"/>
      <c r="P21954" s="11"/>
    </row>
    <row r="21955" spans="8:16" x14ac:dyDescent="0.25">
      <c r="H21955" s="12"/>
      <c r="I21955" s="12"/>
      <c r="J21955" s="12"/>
      <c r="K21955" s="12"/>
      <c r="L21955" s="12"/>
      <c r="M21955" s="11"/>
      <c r="N21955" s="11"/>
      <c r="O21955" s="11"/>
      <c r="P21955" s="11"/>
    </row>
    <row r="21956" spans="8:16" x14ac:dyDescent="0.25">
      <c r="H21956" s="12"/>
      <c r="I21956" s="12"/>
      <c r="J21956" s="12"/>
      <c r="K21956" s="12"/>
      <c r="L21956" s="12"/>
      <c r="M21956" s="11"/>
      <c r="N21956" s="11"/>
      <c r="O21956" s="11"/>
      <c r="P21956" s="11"/>
    </row>
    <row r="21957" spans="8:16" x14ac:dyDescent="0.25">
      <c r="H21957" s="12"/>
      <c r="I21957" s="12"/>
      <c r="J21957" s="12"/>
      <c r="K21957" s="12"/>
      <c r="L21957" s="12"/>
      <c r="M21957" s="11"/>
      <c r="N21957" s="11"/>
      <c r="O21957" s="11"/>
      <c r="P21957" s="11"/>
    </row>
    <row r="21958" spans="8:16" x14ac:dyDescent="0.25">
      <c r="H21958" s="12"/>
      <c r="I21958" s="12"/>
      <c r="J21958" s="12"/>
      <c r="K21958" s="12"/>
      <c r="L21958" s="12"/>
      <c r="M21958" s="11"/>
      <c r="N21958" s="11"/>
      <c r="O21958" s="11"/>
      <c r="P21958" s="11"/>
    </row>
    <row r="21959" spans="8:16" x14ac:dyDescent="0.25">
      <c r="H21959" s="12"/>
      <c r="I21959" s="12"/>
      <c r="J21959" s="12"/>
      <c r="K21959" s="12"/>
      <c r="L21959" s="12"/>
      <c r="M21959" s="11"/>
      <c r="N21959" s="11"/>
      <c r="O21959" s="11"/>
      <c r="P21959" s="11"/>
    </row>
    <row r="21960" spans="8:16" x14ac:dyDescent="0.25">
      <c r="H21960" s="12"/>
      <c r="I21960" s="12"/>
      <c r="J21960" s="12"/>
      <c r="K21960" s="12"/>
      <c r="L21960" s="12"/>
      <c r="M21960" s="11"/>
      <c r="N21960" s="11"/>
      <c r="O21960" s="11"/>
      <c r="P21960" s="11"/>
    </row>
    <row r="21961" spans="8:16" x14ac:dyDescent="0.25">
      <c r="H21961" s="12"/>
      <c r="I21961" s="12"/>
      <c r="J21961" s="12"/>
      <c r="K21961" s="12"/>
      <c r="L21961" s="12"/>
      <c r="M21961" s="11"/>
      <c r="N21961" s="11"/>
      <c r="O21961" s="11"/>
      <c r="P21961" s="11"/>
    </row>
    <row r="21962" spans="8:16" x14ac:dyDescent="0.25">
      <c r="H21962" s="12"/>
      <c r="I21962" s="12"/>
      <c r="J21962" s="12"/>
      <c r="K21962" s="12"/>
      <c r="L21962" s="12"/>
      <c r="M21962" s="11"/>
      <c r="N21962" s="11"/>
      <c r="O21962" s="11"/>
      <c r="P21962" s="11"/>
    </row>
    <row r="21963" spans="8:16" x14ac:dyDescent="0.25">
      <c r="H21963" s="12"/>
      <c r="I21963" s="12"/>
      <c r="J21963" s="12"/>
      <c r="K21963" s="12"/>
      <c r="L21963" s="12"/>
      <c r="M21963" s="11"/>
      <c r="N21963" s="11"/>
      <c r="O21963" s="11"/>
      <c r="P21963" s="11"/>
    </row>
    <row r="21964" spans="8:16" x14ac:dyDescent="0.25">
      <c r="H21964" s="12"/>
      <c r="I21964" s="12"/>
      <c r="J21964" s="12"/>
      <c r="K21964" s="12"/>
      <c r="L21964" s="12"/>
      <c r="M21964" s="11"/>
      <c r="N21964" s="11"/>
      <c r="O21964" s="11"/>
      <c r="P21964" s="11"/>
    </row>
    <row r="21965" spans="8:16" x14ac:dyDescent="0.25">
      <c r="H21965" s="12"/>
      <c r="I21965" s="12"/>
      <c r="J21965" s="12"/>
      <c r="K21965" s="12"/>
      <c r="L21965" s="12"/>
      <c r="M21965" s="11"/>
      <c r="N21965" s="11"/>
      <c r="O21965" s="11"/>
      <c r="P21965" s="11"/>
    </row>
    <row r="21966" spans="8:16" x14ac:dyDescent="0.25">
      <c r="H21966" s="12"/>
      <c r="I21966" s="12"/>
      <c r="J21966" s="12"/>
      <c r="K21966" s="12"/>
      <c r="L21966" s="12"/>
      <c r="M21966" s="11"/>
      <c r="N21966" s="11"/>
      <c r="O21966" s="11"/>
      <c r="P21966" s="11"/>
    </row>
    <row r="21967" spans="8:16" x14ac:dyDescent="0.25">
      <c r="H21967" s="12"/>
      <c r="I21967" s="12"/>
      <c r="J21967" s="12"/>
      <c r="K21967" s="12"/>
      <c r="L21967" s="12"/>
      <c r="M21967" s="11"/>
      <c r="N21967" s="11"/>
      <c r="O21967" s="11"/>
      <c r="P21967" s="11"/>
    </row>
    <row r="21968" spans="8:16" x14ac:dyDescent="0.25">
      <c r="H21968" s="12"/>
      <c r="I21968" s="12"/>
      <c r="J21968" s="12"/>
      <c r="K21968" s="12"/>
      <c r="L21968" s="12"/>
      <c r="M21968" s="11"/>
      <c r="N21968" s="11"/>
      <c r="O21968" s="11"/>
      <c r="P21968" s="11"/>
    </row>
    <row r="21969" spans="8:16" x14ac:dyDescent="0.25">
      <c r="H21969" s="12"/>
      <c r="I21969" s="12"/>
      <c r="J21969" s="12"/>
      <c r="K21969" s="12"/>
      <c r="L21969" s="12"/>
      <c r="M21969" s="11"/>
      <c r="N21969" s="11"/>
      <c r="O21969" s="11"/>
      <c r="P21969" s="11"/>
    </row>
    <row r="21970" spans="8:16" x14ac:dyDescent="0.25">
      <c r="H21970" s="12"/>
      <c r="I21970" s="12"/>
      <c r="J21970" s="12"/>
      <c r="K21970" s="12"/>
      <c r="L21970" s="12"/>
      <c r="M21970" s="11"/>
      <c r="N21970" s="11"/>
      <c r="O21970" s="11"/>
      <c r="P21970" s="11"/>
    </row>
    <row r="21971" spans="8:16" x14ac:dyDescent="0.25">
      <c r="H21971" s="12"/>
      <c r="I21971" s="12"/>
      <c r="J21971" s="12"/>
      <c r="K21971" s="12"/>
      <c r="L21971" s="12"/>
      <c r="M21971" s="11"/>
      <c r="N21971" s="11"/>
      <c r="O21971" s="11"/>
      <c r="P21971" s="11"/>
    </row>
    <row r="21972" spans="8:16" x14ac:dyDescent="0.25">
      <c r="H21972" s="12"/>
      <c r="I21972" s="12"/>
      <c r="J21972" s="12"/>
      <c r="K21972" s="12"/>
      <c r="L21972" s="12"/>
      <c r="M21972" s="11"/>
      <c r="N21972" s="11"/>
      <c r="O21972" s="11"/>
      <c r="P21972" s="11"/>
    </row>
    <row r="21973" spans="8:16" x14ac:dyDescent="0.25">
      <c r="H21973" s="12"/>
      <c r="I21973" s="12"/>
      <c r="J21973" s="12"/>
      <c r="K21973" s="12"/>
      <c r="L21973" s="12"/>
      <c r="M21973" s="11"/>
      <c r="N21973" s="11"/>
      <c r="O21973" s="11"/>
      <c r="P21973" s="11"/>
    </row>
    <row r="21974" spans="8:16" x14ac:dyDescent="0.25">
      <c r="H21974" s="12"/>
      <c r="I21974" s="12"/>
      <c r="J21974" s="12"/>
      <c r="K21974" s="12"/>
      <c r="L21974" s="12"/>
      <c r="M21974" s="11"/>
      <c r="N21974" s="11"/>
      <c r="O21974" s="11"/>
      <c r="P21974" s="11"/>
    </row>
    <row r="21975" spans="8:16" x14ac:dyDescent="0.25">
      <c r="H21975" s="12"/>
      <c r="I21975" s="12"/>
      <c r="J21975" s="12"/>
      <c r="K21975" s="12"/>
      <c r="L21975" s="12"/>
      <c r="M21975" s="11"/>
      <c r="N21975" s="11"/>
      <c r="O21975" s="11"/>
      <c r="P21975" s="11"/>
    </row>
    <row r="21976" spans="8:16" x14ac:dyDescent="0.25">
      <c r="H21976" s="12"/>
      <c r="I21976" s="12"/>
      <c r="J21976" s="12"/>
      <c r="K21976" s="12"/>
      <c r="L21976" s="12"/>
      <c r="M21976" s="11"/>
      <c r="N21976" s="11"/>
      <c r="O21976" s="11"/>
      <c r="P21976" s="11"/>
    </row>
    <row r="21977" spans="8:16" x14ac:dyDescent="0.25">
      <c r="H21977" s="12"/>
      <c r="I21977" s="12"/>
      <c r="J21977" s="12"/>
      <c r="K21977" s="12"/>
      <c r="L21977" s="12"/>
      <c r="M21977" s="11"/>
      <c r="N21977" s="11"/>
      <c r="O21977" s="11"/>
      <c r="P21977" s="11"/>
    </row>
    <row r="21978" spans="8:16" x14ac:dyDescent="0.25">
      <c r="H21978" s="12"/>
      <c r="I21978" s="12"/>
      <c r="J21978" s="12"/>
      <c r="K21978" s="12"/>
      <c r="L21978" s="12"/>
      <c r="M21978" s="11"/>
      <c r="N21978" s="11"/>
      <c r="O21978" s="11"/>
      <c r="P21978" s="11"/>
    </row>
    <row r="21979" spans="8:16" x14ac:dyDescent="0.25">
      <c r="H21979" s="12"/>
      <c r="I21979" s="12"/>
      <c r="J21979" s="12"/>
      <c r="K21979" s="12"/>
      <c r="L21979" s="12"/>
      <c r="M21979" s="11"/>
      <c r="N21979" s="11"/>
      <c r="O21979" s="11"/>
      <c r="P21979" s="11"/>
    </row>
    <row r="21980" spans="8:16" x14ac:dyDescent="0.25">
      <c r="H21980" s="12"/>
      <c r="I21980" s="12"/>
      <c r="J21980" s="12"/>
      <c r="K21980" s="12"/>
      <c r="L21980" s="12"/>
      <c r="M21980" s="11"/>
      <c r="N21980" s="11"/>
      <c r="O21980" s="11"/>
      <c r="P21980" s="11"/>
    </row>
    <row r="21981" spans="8:16" x14ac:dyDescent="0.25">
      <c r="H21981" s="12"/>
      <c r="I21981" s="12"/>
      <c r="J21981" s="12"/>
      <c r="K21981" s="12"/>
      <c r="L21981" s="12"/>
      <c r="M21981" s="11"/>
      <c r="N21981" s="11"/>
      <c r="O21981" s="11"/>
      <c r="P21981" s="11"/>
    </row>
    <row r="21982" spans="8:16" x14ac:dyDescent="0.25">
      <c r="H21982" s="12"/>
      <c r="I21982" s="12"/>
      <c r="J21982" s="12"/>
      <c r="K21982" s="12"/>
      <c r="L21982" s="12"/>
      <c r="M21982" s="11"/>
      <c r="N21982" s="11"/>
      <c r="O21982" s="11"/>
      <c r="P21982" s="11"/>
    </row>
    <row r="21983" spans="8:16" x14ac:dyDescent="0.25">
      <c r="H21983" s="12"/>
      <c r="I21983" s="12"/>
      <c r="J21983" s="12"/>
      <c r="K21983" s="12"/>
      <c r="L21983" s="12"/>
      <c r="M21983" s="11"/>
      <c r="N21983" s="11"/>
      <c r="O21983" s="11"/>
      <c r="P21983" s="11"/>
    </row>
    <row r="21984" spans="8:16" x14ac:dyDescent="0.25">
      <c r="H21984" s="12"/>
      <c r="I21984" s="12"/>
      <c r="J21984" s="12"/>
      <c r="K21984" s="12"/>
      <c r="L21984" s="12"/>
      <c r="M21984" s="11"/>
      <c r="N21984" s="11"/>
      <c r="O21984" s="11"/>
      <c r="P21984" s="11"/>
    </row>
    <row r="21985" spans="8:16" x14ac:dyDescent="0.25">
      <c r="H21985" s="12"/>
      <c r="I21985" s="12"/>
      <c r="J21985" s="12"/>
      <c r="K21985" s="12"/>
      <c r="L21985" s="12"/>
      <c r="M21985" s="11"/>
      <c r="N21985" s="11"/>
      <c r="O21985" s="11"/>
      <c r="P21985" s="11"/>
    </row>
    <row r="21986" spans="8:16" x14ac:dyDescent="0.25">
      <c r="H21986" s="12"/>
      <c r="I21986" s="12"/>
      <c r="J21986" s="12"/>
      <c r="K21986" s="12"/>
      <c r="L21986" s="12"/>
      <c r="M21986" s="11"/>
      <c r="N21986" s="11"/>
      <c r="O21986" s="11"/>
      <c r="P21986" s="11"/>
    </row>
    <row r="21987" spans="8:16" x14ac:dyDescent="0.25">
      <c r="H21987" s="12"/>
      <c r="I21987" s="12"/>
      <c r="J21987" s="12"/>
      <c r="K21987" s="12"/>
      <c r="L21987" s="12"/>
      <c r="M21987" s="11"/>
      <c r="N21987" s="11"/>
      <c r="O21987" s="11"/>
      <c r="P21987" s="11"/>
    </row>
    <row r="21988" spans="8:16" x14ac:dyDescent="0.25">
      <c r="H21988" s="12"/>
      <c r="I21988" s="12"/>
      <c r="J21988" s="12"/>
      <c r="K21988" s="12"/>
      <c r="L21988" s="12"/>
      <c r="M21988" s="11"/>
      <c r="N21988" s="11"/>
      <c r="O21988" s="11"/>
      <c r="P21988" s="11"/>
    </row>
    <row r="21989" spans="8:16" x14ac:dyDescent="0.25">
      <c r="H21989" s="12"/>
      <c r="I21989" s="12"/>
      <c r="J21989" s="12"/>
      <c r="K21989" s="12"/>
      <c r="L21989" s="12"/>
      <c r="M21989" s="11"/>
      <c r="N21989" s="11"/>
      <c r="O21989" s="11"/>
      <c r="P21989" s="11"/>
    </row>
    <row r="21990" spans="8:16" x14ac:dyDescent="0.25">
      <c r="H21990" s="12"/>
      <c r="I21990" s="12"/>
      <c r="J21990" s="12"/>
      <c r="K21990" s="12"/>
      <c r="L21990" s="12"/>
      <c r="M21990" s="11"/>
      <c r="N21990" s="11"/>
      <c r="O21990" s="11"/>
      <c r="P21990" s="11"/>
    </row>
    <row r="21991" spans="8:16" x14ac:dyDescent="0.25">
      <c r="H21991" s="12"/>
      <c r="I21991" s="12"/>
      <c r="J21991" s="12"/>
      <c r="K21991" s="12"/>
      <c r="L21991" s="12"/>
      <c r="M21991" s="11"/>
      <c r="N21991" s="11"/>
      <c r="O21991" s="11"/>
      <c r="P21991" s="11"/>
    </row>
    <row r="21992" spans="8:16" x14ac:dyDescent="0.25">
      <c r="H21992" s="12"/>
      <c r="I21992" s="12"/>
      <c r="J21992" s="12"/>
      <c r="K21992" s="12"/>
      <c r="L21992" s="12"/>
      <c r="M21992" s="11"/>
      <c r="N21992" s="11"/>
      <c r="O21992" s="11"/>
      <c r="P21992" s="11"/>
    </row>
    <row r="21993" spans="8:16" x14ac:dyDescent="0.25">
      <c r="H21993" s="12"/>
      <c r="I21993" s="12"/>
      <c r="J21993" s="12"/>
      <c r="K21993" s="12"/>
      <c r="L21993" s="12"/>
      <c r="M21993" s="11"/>
      <c r="N21993" s="11"/>
      <c r="O21993" s="11"/>
      <c r="P21993" s="11"/>
    </row>
    <row r="21994" spans="8:16" x14ac:dyDescent="0.25">
      <c r="H21994" s="12"/>
      <c r="I21994" s="12"/>
      <c r="J21994" s="12"/>
      <c r="K21994" s="12"/>
      <c r="L21994" s="12"/>
      <c r="M21994" s="11"/>
      <c r="N21994" s="11"/>
      <c r="O21994" s="11"/>
      <c r="P21994" s="11"/>
    </row>
    <row r="21995" spans="8:16" x14ac:dyDescent="0.25">
      <c r="H21995" s="12"/>
      <c r="I21995" s="12"/>
      <c r="J21995" s="12"/>
      <c r="K21995" s="12"/>
      <c r="L21995" s="12"/>
      <c r="M21995" s="11"/>
      <c r="N21995" s="11"/>
      <c r="O21995" s="11"/>
      <c r="P21995" s="11"/>
    </row>
    <row r="21996" spans="8:16" x14ac:dyDescent="0.25">
      <c r="H21996" s="12"/>
      <c r="I21996" s="12"/>
      <c r="J21996" s="12"/>
      <c r="K21996" s="12"/>
      <c r="L21996" s="12"/>
      <c r="M21996" s="11"/>
      <c r="N21996" s="11"/>
      <c r="O21996" s="11"/>
      <c r="P21996" s="11"/>
    </row>
    <row r="21997" spans="8:16" x14ac:dyDescent="0.25">
      <c r="H21997" s="12"/>
      <c r="I21997" s="12"/>
      <c r="J21997" s="12"/>
      <c r="K21997" s="12"/>
      <c r="L21997" s="12"/>
      <c r="M21997" s="11"/>
      <c r="N21997" s="11"/>
      <c r="O21997" s="11"/>
      <c r="P21997" s="11"/>
    </row>
    <row r="21998" spans="8:16" x14ac:dyDescent="0.25">
      <c r="H21998" s="12"/>
      <c r="I21998" s="12"/>
      <c r="J21998" s="12"/>
      <c r="K21998" s="12"/>
      <c r="L21998" s="12"/>
      <c r="M21998" s="11"/>
      <c r="N21998" s="11"/>
      <c r="O21998" s="11"/>
      <c r="P21998" s="11"/>
    </row>
    <row r="21999" spans="8:16" x14ac:dyDescent="0.25">
      <c r="H21999" s="12"/>
      <c r="I21999" s="12"/>
      <c r="J21999" s="12"/>
      <c r="K21999" s="12"/>
      <c r="L21999" s="12"/>
      <c r="M21999" s="11"/>
      <c r="N21999" s="11"/>
      <c r="O21999" s="11"/>
      <c r="P21999" s="11"/>
    </row>
    <row r="22000" spans="8:16" x14ac:dyDescent="0.25">
      <c r="H22000" s="12"/>
      <c r="I22000" s="12"/>
      <c r="J22000" s="12"/>
      <c r="K22000" s="12"/>
      <c r="L22000" s="12"/>
      <c r="M22000" s="11"/>
      <c r="N22000" s="11"/>
      <c r="O22000" s="11"/>
      <c r="P22000" s="11"/>
    </row>
    <row r="22001" spans="8:16" x14ac:dyDescent="0.25">
      <c r="H22001" s="12"/>
      <c r="I22001" s="12"/>
      <c r="J22001" s="12"/>
      <c r="K22001" s="12"/>
      <c r="L22001" s="12"/>
      <c r="M22001" s="11"/>
      <c r="N22001" s="11"/>
      <c r="O22001" s="11"/>
      <c r="P22001" s="11"/>
    </row>
    <row r="22002" spans="8:16" x14ac:dyDescent="0.25">
      <c r="H22002" s="12"/>
      <c r="I22002" s="12"/>
      <c r="J22002" s="12"/>
      <c r="K22002" s="12"/>
      <c r="L22002" s="12"/>
      <c r="M22002" s="11"/>
      <c r="N22002" s="11"/>
      <c r="O22002" s="11"/>
      <c r="P22002" s="11"/>
    </row>
    <row r="22003" spans="8:16" x14ac:dyDescent="0.25">
      <c r="H22003" s="12"/>
      <c r="I22003" s="12"/>
      <c r="J22003" s="12"/>
      <c r="K22003" s="12"/>
      <c r="L22003" s="12"/>
      <c r="M22003" s="11"/>
      <c r="N22003" s="11"/>
      <c r="O22003" s="11"/>
      <c r="P22003" s="11"/>
    </row>
    <row r="22004" spans="8:16" x14ac:dyDescent="0.25">
      <c r="H22004" s="12"/>
      <c r="I22004" s="12"/>
      <c r="J22004" s="12"/>
      <c r="K22004" s="12"/>
      <c r="L22004" s="12"/>
      <c r="M22004" s="11"/>
      <c r="N22004" s="11"/>
      <c r="O22004" s="11"/>
      <c r="P22004" s="11"/>
    </row>
    <row r="22005" spans="8:16" x14ac:dyDescent="0.25">
      <c r="H22005" s="12"/>
      <c r="I22005" s="12"/>
      <c r="J22005" s="12"/>
      <c r="K22005" s="12"/>
      <c r="L22005" s="12"/>
      <c r="M22005" s="11"/>
      <c r="N22005" s="11"/>
      <c r="O22005" s="11"/>
      <c r="P22005" s="11"/>
    </row>
    <row r="22006" spans="8:16" x14ac:dyDescent="0.25">
      <c r="H22006" s="12"/>
      <c r="I22006" s="12"/>
      <c r="J22006" s="12"/>
      <c r="K22006" s="12"/>
      <c r="L22006" s="12"/>
      <c r="M22006" s="11"/>
      <c r="N22006" s="11"/>
      <c r="O22006" s="11"/>
      <c r="P22006" s="11"/>
    </row>
    <row r="22007" spans="8:16" x14ac:dyDescent="0.25">
      <c r="H22007" s="12"/>
      <c r="I22007" s="12"/>
      <c r="J22007" s="12"/>
      <c r="K22007" s="12"/>
      <c r="L22007" s="12"/>
      <c r="M22007" s="11"/>
      <c r="N22007" s="11"/>
      <c r="O22007" s="11"/>
      <c r="P22007" s="11"/>
    </row>
    <row r="22008" spans="8:16" x14ac:dyDescent="0.25">
      <c r="H22008" s="12"/>
      <c r="I22008" s="12"/>
      <c r="J22008" s="12"/>
      <c r="K22008" s="12"/>
      <c r="L22008" s="12"/>
      <c r="M22008" s="11"/>
      <c r="N22008" s="11"/>
      <c r="O22008" s="11"/>
      <c r="P22008" s="11"/>
    </row>
    <row r="22009" spans="8:16" x14ac:dyDescent="0.25">
      <c r="H22009" s="12"/>
      <c r="I22009" s="12"/>
      <c r="J22009" s="12"/>
      <c r="K22009" s="12"/>
      <c r="L22009" s="12"/>
      <c r="M22009" s="11"/>
      <c r="N22009" s="11"/>
      <c r="O22009" s="11"/>
      <c r="P22009" s="11"/>
    </row>
    <row r="22010" spans="8:16" x14ac:dyDescent="0.25">
      <c r="H22010" s="12"/>
      <c r="I22010" s="12"/>
      <c r="J22010" s="12"/>
      <c r="K22010" s="12"/>
      <c r="L22010" s="12"/>
      <c r="M22010" s="11"/>
      <c r="N22010" s="11"/>
      <c r="O22010" s="11"/>
      <c r="P22010" s="11"/>
    </row>
    <row r="22011" spans="8:16" x14ac:dyDescent="0.25">
      <c r="H22011" s="12"/>
      <c r="I22011" s="12"/>
      <c r="J22011" s="12"/>
      <c r="K22011" s="12"/>
      <c r="L22011" s="12"/>
      <c r="M22011" s="11"/>
      <c r="N22011" s="11"/>
      <c r="O22011" s="11"/>
      <c r="P22011" s="11"/>
    </row>
    <row r="22012" spans="8:16" x14ac:dyDescent="0.25">
      <c r="H22012" s="12"/>
      <c r="I22012" s="12"/>
      <c r="J22012" s="12"/>
      <c r="K22012" s="12"/>
      <c r="L22012" s="12"/>
      <c r="M22012" s="11"/>
      <c r="N22012" s="11"/>
      <c r="O22012" s="11"/>
      <c r="P22012" s="11"/>
    </row>
    <row r="22013" spans="8:16" x14ac:dyDescent="0.25">
      <c r="H22013" s="12"/>
      <c r="I22013" s="12"/>
      <c r="J22013" s="12"/>
      <c r="K22013" s="12"/>
      <c r="L22013" s="12"/>
      <c r="M22013" s="11"/>
      <c r="N22013" s="11"/>
      <c r="O22013" s="11"/>
      <c r="P22013" s="11"/>
    </row>
    <row r="22014" spans="8:16" x14ac:dyDescent="0.25">
      <c r="H22014" s="12"/>
      <c r="I22014" s="12"/>
      <c r="J22014" s="12"/>
      <c r="K22014" s="12"/>
      <c r="L22014" s="12"/>
      <c r="M22014" s="11"/>
      <c r="N22014" s="11"/>
      <c r="O22014" s="11"/>
      <c r="P22014" s="11"/>
    </row>
    <row r="22015" spans="8:16" x14ac:dyDescent="0.25">
      <c r="H22015" s="12"/>
      <c r="I22015" s="12"/>
      <c r="J22015" s="12"/>
      <c r="K22015" s="12"/>
      <c r="L22015" s="12"/>
      <c r="M22015" s="11"/>
      <c r="N22015" s="11"/>
      <c r="O22015" s="11"/>
      <c r="P22015" s="11"/>
    </row>
    <row r="22016" spans="8:16" x14ac:dyDescent="0.25">
      <c r="H22016" s="12"/>
      <c r="I22016" s="12"/>
      <c r="J22016" s="12"/>
      <c r="K22016" s="12"/>
      <c r="L22016" s="12"/>
      <c r="M22016" s="11"/>
      <c r="N22016" s="11"/>
      <c r="O22016" s="11"/>
      <c r="P22016" s="11"/>
    </row>
    <row r="22017" spans="8:16" x14ac:dyDescent="0.25">
      <c r="H22017" s="12"/>
      <c r="I22017" s="12"/>
      <c r="J22017" s="12"/>
      <c r="K22017" s="12"/>
      <c r="L22017" s="12"/>
      <c r="M22017" s="11"/>
      <c r="N22017" s="11"/>
      <c r="O22017" s="11"/>
      <c r="P22017" s="11"/>
    </row>
    <row r="22018" spans="8:16" x14ac:dyDescent="0.25">
      <c r="H22018" s="12"/>
      <c r="I22018" s="12"/>
      <c r="J22018" s="12"/>
      <c r="K22018" s="12"/>
      <c r="L22018" s="12"/>
      <c r="M22018" s="11"/>
      <c r="N22018" s="11"/>
      <c r="O22018" s="11"/>
      <c r="P22018" s="11"/>
    </row>
    <row r="22019" spans="8:16" x14ac:dyDescent="0.25">
      <c r="H22019" s="12"/>
      <c r="I22019" s="12"/>
      <c r="J22019" s="12"/>
      <c r="K22019" s="12"/>
      <c r="L22019" s="12"/>
      <c r="M22019" s="11"/>
      <c r="N22019" s="11"/>
      <c r="O22019" s="11"/>
      <c r="P22019" s="11"/>
    </row>
    <row r="22020" spans="8:16" x14ac:dyDescent="0.25">
      <c r="H22020" s="12"/>
      <c r="I22020" s="12"/>
      <c r="J22020" s="12"/>
      <c r="K22020" s="12"/>
      <c r="L22020" s="12"/>
      <c r="M22020" s="11"/>
      <c r="N22020" s="11"/>
      <c r="O22020" s="11"/>
      <c r="P22020" s="11"/>
    </row>
    <row r="22021" spans="8:16" x14ac:dyDescent="0.25">
      <c r="H22021" s="12"/>
      <c r="I22021" s="12"/>
      <c r="J22021" s="12"/>
      <c r="K22021" s="12"/>
      <c r="L22021" s="12"/>
      <c r="M22021" s="11"/>
      <c r="N22021" s="11"/>
      <c r="O22021" s="11"/>
      <c r="P22021" s="11"/>
    </row>
    <row r="22022" spans="8:16" x14ac:dyDescent="0.25">
      <c r="H22022" s="12"/>
      <c r="I22022" s="12"/>
      <c r="J22022" s="12"/>
      <c r="K22022" s="12"/>
      <c r="L22022" s="12"/>
      <c r="M22022" s="11"/>
      <c r="N22022" s="11"/>
      <c r="O22022" s="11"/>
      <c r="P22022" s="11"/>
    </row>
    <row r="22023" spans="8:16" x14ac:dyDescent="0.25">
      <c r="H22023" s="12"/>
      <c r="I22023" s="12"/>
      <c r="J22023" s="12"/>
      <c r="K22023" s="12"/>
      <c r="L22023" s="12"/>
      <c r="M22023" s="11"/>
      <c r="N22023" s="11"/>
      <c r="O22023" s="11"/>
      <c r="P22023" s="11"/>
    </row>
    <row r="22024" spans="8:16" x14ac:dyDescent="0.25">
      <c r="H22024" s="12"/>
      <c r="I22024" s="12"/>
      <c r="J22024" s="12"/>
      <c r="K22024" s="12"/>
      <c r="L22024" s="12"/>
      <c r="M22024" s="11"/>
      <c r="N22024" s="11"/>
      <c r="O22024" s="11"/>
      <c r="P22024" s="11"/>
    </row>
    <row r="22025" spans="8:16" x14ac:dyDescent="0.25">
      <c r="H22025" s="12"/>
      <c r="I22025" s="12"/>
      <c r="J22025" s="12"/>
      <c r="K22025" s="12"/>
      <c r="L22025" s="12"/>
      <c r="M22025" s="11"/>
      <c r="N22025" s="11"/>
      <c r="O22025" s="11"/>
      <c r="P22025" s="11"/>
    </row>
    <row r="22026" spans="8:16" x14ac:dyDescent="0.25">
      <c r="H22026" s="12"/>
      <c r="I22026" s="12"/>
      <c r="J22026" s="12"/>
      <c r="K22026" s="12"/>
      <c r="L22026" s="12"/>
      <c r="M22026" s="11"/>
      <c r="N22026" s="11"/>
      <c r="O22026" s="11"/>
      <c r="P22026" s="11"/>
    </row>
    <row r="22027" spans="8:16" x14ac:dyDescent="0.25">
      <c r="H22027" s="12"/>
      <c r="I22027" s="12"/>
      <c r="J22027" s="12"/>
      <c r="K22027" s="12"/>
      <c r="L22027" s="12"/>
      <c r="M22027" s="11"/>
      <c r="N22027" s="11"/>
      <c r="O22027" s="11"/>
      <c r="P22027" s="11"/>
    </row>
    <row r="22028" spans="8:16" x14ac:dyDescent="0.25">
      <c r="H22028" s="12"/>
      <c r="I22028" s="12"/>
      <c r="J22028" s="12"/>
      <c r="K22028" s="12"/>
      <c r="L22028" s="12"/>
      <c r="M22028" s="11"/>
      <c r="N22028" s="11"/>
      <c r="O22028" s="11"/>
      <c r="P22028" s="11"/>
    </row>
    <row r="22029" spans="8:16" x14ac:dyDescent="0.25">
      <c r="H22029" s="12"/>
      <c r="I22029" s="12"/>
      <c r="J22029" s="12"/>
      <c r="K22029" s="12"/>
      <c r="L22029" s="12"/>
      <c r="M22029" s="11"/>
      <c r="N22029" s="11"/>
      <c r="O22029" s="11"/>
      <c r="P22029" s="11"/>
    </row>
    <row r="22030" spans="8:16" x14ac:dyDescent="0.25">
      <c r="H22030" s="12"/>
      <c r="I22030" s="12"/>
      <c r="J22030" s="12"/>
      <c r="K22030" s="12"/>
      <c r="L22030" s="12"/>
      <c r="M22030" s="11"/>
      <c r="N22030" s="11"/>
      <c r="O22030" s="11"/>
      <c r="P22030" s="11"/>
    </row>
    <row r="22031" spans="8:16" x14ac:dyDescent="0.25">
      <c r="H22031" s="12"/>
      <c r="I22031" s="12"/>
      <c r="J22031" s="12"/>
      <c r="K22031" s="12"/>
      <c r="L22031" s="12"/>
      <c r="M22031" s="11"/>
      <c r="N22031" s="11"/>
      <c r="O22031" s="11"/>
      <c r="P22031" s="11"/>
    </row>
    <row r="22032" spans="8:16" x14ac:dyDescent="0.25">
      <c r="H22032" s="12"/>
      <c r="I22032" s="12"/>
      <c r="J22032" s="12"/>
      <c r="K22032" s="12"/>
      <c r="L22032" s="12"/>
      <c r="M22032" s="11"/>
      <c r="N22032" s="11"/>
      <c r="O22032" s="11"/>
      <c r="P22032" s="11"/>
    </row>
    <row r="22033" spans="8:16" x14ac:dyDescent="0.25">
      <c r="H22033" s="12"/>
      <c r="I22033" s="12"/>
      <c r="J22033" s="12"/>
      <c r="K22033" s="12"/>
      <c r="L22033" s="12"/>
      <c r="M22033" s="11"/>
      <c r="N22033" s="11"/>
      <c r="O22033" s="11"/>
      <c r="P22033" s="11"/>
    </row>
    <row r="22034" spans="8:16" x14ac:dyDescent="0.25">
      <c r="H22034" s="12"/>
      <c r="I22034" s="12"/>
      <c r="J22034" s="12"/>
      <c r="K22034" s="12"/>
      <c r="L22034" s="12"/>
      <c r="M22034" s="11"/>
      <c r="N22034" s="11"/>
      <c r="O22034" s="11"/>
      <c r="P22034" s="11"/>
    </row>
    <row r="22035" spans="8:16" x14ac:dyDescent="0.25">
      <c r="H22035" s="12"/>
      <c r="I22035" s="12"/>
      <c r="J22035" s="12"/>
      <c r="K22035" s="12"/>
      <c r="L22035" s="12"/>
      <c r="M22035" s="11"/>
      <c r="N22035" s="11"/>
      <c r="O22035" s="11"/>
      <c r="P22035" s="11"/>
    </row>
    <row r="22036" spans="8:16" x14ac:dyDescent="0.25">
      <c r="H22036" s="12"/>
      <c r="I22036" s="12"/>
      <c r="J22036" s="12"/>
      <c r="K22036" s="12"/>
      <c r="L22036" s="12"/>
      <c r="M22036" s="11"/>
      <c r="N22036" s="11"/>
      <c r="O22036" s="11"/>
      <c r="P22036" s="11"/>
    </row>
    <row r="22037" spans="8:16" x14ac:dyDescent="0.25">
      <c r="H22037" s="12"/>
      <c r="I22037" s="12"/>
      <c r="J22037" s="12"/>
      <c r="K22037" s="12"/>
      <c r="L22037" s="12"/>
      <c r="M22037" s="11"/>
      <c r="N22037" s="11"/>
      <c r="O22037" s="11"/>
      <c r="P22037" s="11"/>
    </row>
    <row r="22038" spans="8:16" x14ac:dyDescent="0.25">
      <c r="H22038" s="12"/>
      <c r="I22038" s="12"/>
      <c r="J22038" s="12"/>
      <c r="K22038" s="12"/>
      <c r="L22038" s="12"/>
      <c r="M22038" s="11"/>
      <c r="N22038" s="11"/>
      <c r="O22038" s="11"/>
      <c r="P22038" s="11"/>
    </row>
    <row r="22039" spans="8:16" x14ac:dyDescent="0.25">
      <c r="H22039" s="12"/>
      <c r="I22039" s="12"/>
      <c r="J22039" s="12"/>
      <c r="K22039" s="12"/>
      <c r="L22039" s="12"/>
      <c r="M22039" s="11"/>
      <c r="N22039" s="11"/>
      <c r="O22039" s="11"/>
      <c r="P22039" s="11"/>
    </row>
    <row r="22040" spans="8:16" x14ac:dyDescent="0.25">
      <c r="H22040" s="12"/>
      <c r="I22040" s="12"/>
      <c r="J22040" s="12"/>
      <c r="K22040" s="12"/>
      <c r="L22040" s="12"/>
      <c r="M22040" s="11"/>
      <c r="N22040" s="11"/>
      <c r="O22040" s="11"/>
      <c r="P22040" s="11"/>
    </row>
    <row r="22041" spans="8:16" x14ac:dyDescent="0.25">
      <c r="H22041" s="12"/>
      <c r="I22041" s="12"/>
      <c r="J22041" s="12"/>
      <c r="K22041" s="12"/>
      <c r="L22041" s="12"/>
      <c r="M22041" s="11"/>
      <c r="N22041" s="11"/>
      <c r="O22041" s="11"/>
      <c r="P22041" s="11"/>
    </row>
    <row r="22042" spans="8:16" x14ac:dyDescent="0.25">
      <c r="H22042" s="12"/>
      <c r="I22042" s="12"/>
      <c r="J22042" s="12"/>
      <c r="K22042" s="12"/>
      <c r="L22042" s="12"/>
      <c r="M22042" s="11"/>
      <c r="N22042" s="11"/>
      <c r="O22042" s="11"/>
      <c r="P22042" s="11"/>
    </row>
    <row r="22043" spans="8:16" x14ac:dyDescent="0.25">
      <c r="H22043" s="12"/>
      <c r="I22043" s="12"/>
      <c r="J22043" s="12"/>
      <c r="K22043" s="12"/>
      <c r="L22043" s="12"/>
      <c r="M22043" s="11"/>
      <c r="N22043" s="11"/>
      <c r="O22043" s="11"/>
      <c r="P22043" s="11"/>
    </row>
    <row r="22044" spans="8:16" x14ac:dyDescent="0.25">
      <c r="H22044" s="12"/>
      <c r="I22044" s="12"/>
      <c r="J22044" s="12"/>
      <c r="K22044" s="12"/>
      <c r="L22044" s="12"/>
      <c r="M22044" s="11"/>
      <c r="N22044" s="11"/>
      <c r="O22044" s="11"/>
      <c r="P22044" s="11"/>
    </row>
    <row r="22045" spans="8:16" x14ac:dyDescent="0.25">
      <c r="H22045" s="12"/>
      <c r="I22045" s="12"/>
      <c r="J22045" s="12"/>
      <c r="K22045" s="12"/>
      <c r="L22045" s="12"/>
      <c r="M22045" s="11"/>
      <c r="N22045" s="11"/>
      <c r="O22045" s="11"/>
      <c r="P22045" s="11"/>
    </row>
    <row r="22046" spans="8:16" x14ac:dyDescent="0.25">
      <c r="H22046" s="12"/>
      <c r="I22046" s="12"/>
      <c r="J22046" s="12"/>
      <c r="K22046" s="12"/>
      <c r="L22046" s="12"/>
      <c r="M22046" s="11"/>
      <c r="N22046" s="11"/>
      <c r="O22046" s="11"/>
      <c r="P22046" s="11"/>
    </row>
    <row r="22047" spans="8:16" x14ac:dyDescent="0.25">
      <c r="H22047" s="12"/>
      <c r="I22047" s="12"/>
      <c r="J22047" s="12"/>
      <c r="K22047" s="12"/>
      <c r="L22047" s="12"/>
      <c r="M22047" s="11"/>
      <c r="N22047" s="11"/>
      <c r="O22047" s="11"/>
      <c r="P22047" s="11"/>
    </row>
    <row r="22048" spans="8:16" x14ac:dyDescent="0.25">
      <c r="H22048" s="12"/>
      <c r="I22048" s="12"/>
      <c r="J22048" s="12"/>
      <c r="K22048" s="12"/>
      <c r="L22048" s="12"/>
      <c r="M22048" s="11"/>
      <c r="N22048" s="11"/>
      <c r="O22048" s="11"/>
      <c r="P22048" s="11"/>
    </row>
    <row r="22049" spans="8:16" x14ac:dyDescent="0.25">
      <c r="H22049" s="12"/>
      <c r="I22049" s="12"/>
      <c r="J22049" s="12"/>
      <c r="K22049" s="12"/>
      <c r="L22049" s="12"/>
      <c r="M22049" s="11"/>
      <c r="N22049" s="11"/>
      <c r="O22049" s="11"/>
      <c r="P22049" s="11"/>
    </row>
    <row r="22050" spans="8:16" x14ac:dyDescent="0.25">
      <c r="H22050" s="12"/>
      <c r="I22050" s="12"/>
      <c r="J22050" s="12"/>
      <c r="K22050" s="12"/>
      <c r="L22050" s="12"/>
      <c r="M22050" s="11"/>
      <c r="N22050" s="11"/>
      <c r="O22050" s="11"/>
      <c r="P22050" s="11"/>
    </row>
    <row r="22051" spans="8:16" x14ac:dyDescent="0.25">
      <c r="H22051" s="12"/>
      <c r="I22051" s="12"/>
      <c r="J22051" s="12"/>
      <c r="K22051" s="12"/>
      <c r="L22051" s="12"/>
      <c r="M22051" s="11"/>
      <c r="N22051" s="11"/>
      <c r="O22051" s="11"/>
      <c r="P22051" s="11"/>
    </row>
    <row r="22052" spans="8:16" x14ac:dyDescent="0.25">
      <c r="H22052" s="12"/>
      <c r="I22052" s="12"/>
      <c r="J22052" s="12"/>
      <c r="K22052" s="12"/>
      <c r="L22052" s="12"/>
      <c r="M22052" s="11"/>
      <c r="N22052" s="11"/>
      <c r="O22052" s="11"/>
      <c r="P22052" s="11"/>
    </row>
    <row r="22053" spans="8:16" x14ac:dyDescent="0.25">
      <c r="H22053" s="12"/>
      <c r="I22053" s="12"/>
      <c r="J22053" s="12"/>
      <c r="K22053" s="12"/>
      <c r="L22053" s="12"/>
      <c r="M22053" s="11"/>
      <c r="N22053" s="11"/>
      <c r="O22053" s="11"/>
      <c r="P22053" s="11"/>
    </row>
    <row r="22054" spans="8:16" x14ac:dyDescent="0.25">
      <c r="H22054" s="12"/>
      <c r="I22054" s="12"/>
      <c r="J22054" s="12"/>
      <c r="K22054" s="12"/>
      <c r="L22054" s="12"/>
      <c r="M22054" s="11"/>
      <c r="N22054" s="11"/>
      <c r="O22054" s="11"/>
      <c r="P22054" s="11"/>
    </row>
    <row r="22055" spans="8:16" x14ac:dyDescent="0.25">
      <c r="H22055" s="12"/>
      <c r="I22055" s="12"/>
      <c r="J22055" s="12"/>
      <c r="K22055" s="12"/>
      <c r="L22055" s="12"/>
      <c r="M22055" s="11"/>
      <c r="N22055" s="11"/>
      <c r="O22055" s="11"/>
      <c r="P22055" s="11"/>
    </row>
    <row r="22056" spans="8:16" x14ac:dyDescent="0.25">
      <c r="H22056" s="12"/>
      <c r="I22056" s="12"/>
      <c r="J22056" s="12"/>
      <c r="K22056" s="12"/>
      <c r="L22056" s="12"/>
      <c r="M22056" s="11"/>
      <c r="N22056" s="11"/>
      <c r="O22056" s="11"/>
      <c r="P22056" s="11"/>
    </row>
    <row r="22057" spans="8:16" x14ac:dyDescent="0.25">
      <c r="H22057" s="12"/>
      <c r="I22057" s="12"/>
      <c r="J22057" s="12"/>
      <c r="K22057" s="12"/>
      <c r="L22057" s="12"/>
      <c r="M22057" s="11"/>
      <c r="N22057" s="11"/>
      <c r="O22057" s="11"/>
      <c r="P22057" s="11"/>
    </row>
    <row r="22058" spans="8:16" x14ac:dyDescent="0.25">
      <c r="H22058" s="12"/>
      <c r="I22058" s="12"/>
      <c r="J22058" s="12"/>
      <c r="K22058" s="12"/>
      <c r="L22058" s="12"/>
      <c r="M22058" s="11"/>
      <c r="N22058" s="11"/>
      <c r="O22058" s="11"/>
      <c r="P22058" s="11"/>
    </row>
    <row r="22059" spans="8:16" x14ac:dyDescent="0.25">
      <c r="H22059" s="12"/>
      <c r="I22059" s="12"/>
      <c r="J22059" s="12"/>
      <c r="K22059" s="12"/>
      <c r="L22059" s="12"/>
      <c r="M22059" s="11"/>
      <c r="N22059" s="11"/>
      <c r="O22059" s="11"/>
      <c r="P22059" s="11"/>
    </row>
    <row r="22060" spans="8:16" x14ac:dyDescent="0.25">
      <c r="H22060" s="12"/>
      <c r="I22060" s="12"/>
      <c r="J22060" s="12"/>
      <c r="K22060" s="12"/>
      <c r="L22060" s="12"/>
      <c r="M22060" s="11"/>
      <c r="N22060" s="11"/>
      <c r="O22060" s="11"/>
      <c r="P22060" s="11"/>
    </row>
    <row r="22061" spans="8:16" x14ac:dyDescent="0.25">
      <c r="H22061" s="12"/>
      <c r="I22061" s="12"/>
      <c r="J22061" s="12"/>
      <c r="K22061" s="12"/>
      <c r="L22061" s="12"/>
      <c r="M22061" s="11"/>
      <c r="N22061" s="11"/>
      <c r="O22061" s="11"/>
      <c r="P22061" s="11"/>
    </row>
    <row r="22062" spans="8:16" x14ac:dyDescent="0.25">
      <c r="H22062" s="12"/>
      <c r="I22062" s="12"/>
      <c r="J22062" s="12"/>
      <c r="K22062" s="12"/>
      <c r="L22062" s="12"/>
      <c r="M22062" s="11"/>
      <c r="N22062" s="11"/>
      <c r="O22062" s="11"/>
      <c r="P22062" s="11"/>
    </row>
    <row r="22063" spans="8:16" x14ac:dyDescent="0.25">
      <c r="H22063" s="12"/>
      <c r="I22063" s="12"/>
      <c r="J22063" s="12"/>
      <c r="K22063" s="12"/>
      <c r="L22063" s="12"/>
      <c r="M22063" s="11"/>
      <c r="N22063" s="11"/>
      <c r="O22063" s="11"/>
      <c r="P22063" s="11"/>
    </row>
    <row r="22064" spans="8:16" x14ac:dyDescent="0.25">
      <c r="H22064" s="12"/>
      <c r="I22064" s="12"/>
      <c r="J22064" s="12"/>
      <c r="K22064" s="12"/>
      <c r="L22064" s="12"/>
      <c r="M22064" s="11"/>
      <c r="N22064" s="11"/>
      <c r="O22064" s="11"/>
      <c r="P22064" s="11"/>
    </row>
    <row r="22065" spans="8:16" x14ac:dyDescent="0.25">
      <c r="H22065" s="12"/>
      <c r="I22065" s="12"/>
      <c r="J22065" s="12"/>
      <c r="K22065" s="12"/>
      <c r="L22065" s="12"/>
      <c r="M22065" s="11"/>
      <c r="N22065" s="11"/>
      <c r="O22065" s="11"/>
      <c r="P22065" s="11"/>
    </row>
    <row r="22066" spans="8:16" x14ac:dyDescent="0.25">
      <c r="H22066" s="12"/>
      <c r="I22066" s="12"/>
      <c r="J22066" s="12"/>
      <c r="K22066" s="12"/>
      <c r="L22066" s="12"/>
      <c r="M22066" s="11"/>
      <c r="N22066" s="11"/>
      <c r="O22066" s="11"/>
      <c r="P22066" s="11"/>
    </row>
    <row r="22067" spans="8:16" x14ac:dyDescent="0.25">
      <c r="H22067" s="12"/>
      <c r="I22067" s="12"/>
      <c r="J22067" s="12"/>
      <c r="K22067" s="12"/>
      <c r="L22067" s="12"/>
      <c r="M22067" s="11"/>
      <c r="N22067" s="11"/>
      <c r="O22067" s="11"/>
      <c r="P22067" s="11"/>
    </row>
    <row r="22068" spans="8:16" x14ac:dyDescent="0.25">
      <c r="H22068" s="12"/>
      <c r="I22068" s="12"/>
      <c r="J22068" s="12"/>
      <c r="K22068" s="12"/>
      <c r="L22068" s="12"/>
      <c r="M22068" s="11"/>
      <c r="N22068" s="11"/>
      <c r="O22068" s="11"/>
      <c r="P22068" s="11"/>
    </row>
    <row r="22069" spans="8:16" x14ac:dyDescent="0.25">
      <c r="H22069" s="12"/>
      <c r="I22069" s="12"/>
      <c r="J22069" s="12"/>
      <c r="K22069" s="12"/>
      <c r="L22069" s="12"/>
      <c r="M22069" s="11"/>
      <c r="N22069" s="11"/>
      <c r="O22069" s="11"/>
      <c r="P22069" s="11"/>
    </row>
    <row r="22070" spans="8:16" x14ac:dyDescent="0.25">
      <c r="H22070" s="12"/>
      <c r="I22070" s="12"/>
      <c r="J22070" s="12"/>
      <c r="K22070" s="12"/>
      <c r="L22070" s="12"/>
      <c r="M22070" s="11"/>
      <c r="N22070" s="11"/>
      <c r="O22070" s="11"/>
      <c r="P22070" s="11"/>
    </row>
    <row r="22071" spans="8:16" x14ac:dyDescent="0.25">
      <c r="H22071" s="12"/>
      <c r="I22071" s="12"/>
      <c r="J22071" s="12"/>
      <c r="K22071" s="12"/>
      <c r="L22071" s="12"/>
      <c r="M22071" s="11"/>
      <c r="N22071" s="11"/>
      <c r="O22071" s="11"/>
      <c r="P22071" s="11"/>
    </row>
    <row r="22072" spans="8:16" x14ac:dyDescent="0.25">
      <c r="H22072" s="12"/>
      <c r="I22072" s="12"/>
      <c r="J22072" s="12"/>
      <c r="K22072" s="12"/>
      <c r="L22072" s="12"/>
      <c r="M22072" s="11"/>
      <c r="N22072" s="11"/>
      <c r="O22072" s="11"/>
      <c r="P22072" s="11"/>
    </row>
    <row r="22073" spans="8:16" x14ac:dyDescent="0.25">
      <c r="H22073" s="12"/>
      <c r="I22073" s="12"/>
      <c r="J22073" s="12"/>
      <c r="K22073" s="12"/>
      <c r="L22073" s="12"/>
      <c r="M22073" s="11"/>
      <c r="N22073" s="11"/>
      <c r="O22073" s="11"/>
      <c r="P22073" s="11"/>
    </row>
    <row r="22074" spans="8:16" x14ac:dyDescent="0.25">
      <c r="H22074" s="12"/>
      <c r="I22074" s="12"/>
      <c r="J22074" s="12"/>
      <c r="K22074" s="12"/>
      <c r="L22074" s="12"/>
      <c r="M22074" s="11"/>
      <c r="N22074" s="11"/>
      <c r="O22074" s="11"/>
      <c r="P22074" s="11"/>
    </row>
    <row r="22075" spans="8:16" x14ac:dyDescent="0.25">
      <c r="H22075" s="12"/>
      <c r="I22075" s="12"/>
      <c r="J22075" s="12"/>
      <c r="K22075" s="12"/>
      <c r="L22075" s="12"/>
      <c r="M22075" s="11"/>
      <c r="N22075" s="11"/>
      <c r="O22075" s="11"/>
      <c r="P22075" s="11"/>
    </row>
    <row r="22076" spans="8:16" x14ac:dyDescent="0.25">
      <c r="H22076" s="12"/>
      <c r="I22076" s="12"/>
      <c r="J22076" s="12"/>
      <c r="K22076" s="12"/>
      <c r="L22076" s="12"/>
      <c r="M22076" s="11"/>
      <c r="N22076" s="11"/>
      <c r="O22076" s="11"/>
      <c r="P22076" s="11"/>
    </row>
    <row r="22077" spans="8:16" x14ac:dyDescent="0.25">
      <c r="H22077" s="12"/>
      <c r="I22077" s="12"/>
      <c r="J22077" s="12"/>
      <c r="K22077" s="12"/>
      <c r="L22077" s="12"/>
      <c r="M22077" s="11"/>
      <c r="N22077" s="11"/>
      <c r="O22077" s="11"/>
      <c r="P22077" s="11"/>
    </row>
    <row r="22078" spans="8:16" x14ac:dyDescent="0.25">
      <c r="H22078" s="12"/>
      <c r="I22078" s="12"/>
      <c r="J22078" s="12"/>
      <c r="K22078" s="12"/>
      <c r="L22078" s="12"/>
      <c r="M22078" s="11"/>
      <c r="N22078" s="11"/>
      <c r="O22078" s="11"/>
      <c r="P22078" s="11"/>
    </row>
    <row r="22079" spans="8:16" x14ac:dyDescent="0.25">
      <c r="H22079" s="12"/>
      <c r="I22079" s="12"/>
      <c r="J22079" s="12"/>
      <c r="K22079" s="12"/>
      <c r="L22079" s="12"/>
      <c r="M22079" s="11"/>
      <c r="N22079" s="11"/>
      <c r="O22079" s="11"/>
      <c r="P22079" s="11"/>
    </row>
    <row r="22080" spans="8:16" x14ac:dyDescent="0.25">
      <c r="H22080" s="12"/>
      <c r="I22080" s="12"/>
      <c r="J22080" s="12"/>
      <c r="K22080" s="12"/>
      <c r="L22080" s="12"/>
      <c r="M22080" s="11"/>
      <c r="N22080" s="11"/>
      <c r="O22080" s="11"/>
      <c r="P22080" s="11"/>
    </row>
    <row r="22081" spans="8:16" x14ac:dyDescent="0.25">
      <c r="H22081" s="12"/>
      <c r="I22081" s="12"/>
      <c r="J22081" s="12"/>
      <c r="K22081" s="12"/>
      <c r="L22081" s="12"/>
      <c r="M22081" s="11"/>
      <c r="N22081" s="11"/>
      <c r="O22081" s="11"/>
      <c r="P22081" s="11"/>
    </row>
    <row r="22082" spans="8:16" x14ac:dyDescent="0.25">
      <c r="H22082" s="12"/>
      <c r="I22082" s="12"/>
      <c r="J22082" s="12"/>
      <c r="K22082" s="12"/>
      <c r="L22082" s="12"/>
      <c r="M22082" s="11"/>
      <c r="N22082" s="11"/>
      <c r="O22082" s="11"/>
      <c r="P22082" s="11"/>
    </row>
    <row r="22083" spans="8:16" x14ac:dyDescent="0.25">
      <c r="H22083" s="12"/>
      <c r="I22083" s="12"/>
      <c r="J22083" s="12"/>
      <c r="K22083" s="12"/>
      <c r="L22083" s="12"/>
      <c r="M22083" s="11"/>
      <c r="N22083" s="11"/>
      <c r="O22083" s="11"/>
      <c r="P22083" s="11"/>
    </row>
    <row r="22084" spans="8:16" x14ac:dyDescent="0.25">
      <c r="H22084" s="12"/>
      <c r="I22084" s="12"/>
      <c r="J22084" s="12"/>
      <c r="K22084" s="12"/>
      <c r="L22084" s="12"/>
      <c r="M22084" s="11"/>
      <c r="N22084" s="11"/>
      <c r="O22084" s="11"/>
      <c r="P22084" s="11"/>
    </row>
    <row r="22085" spans="8:16" x14ac:dyDescent="0.25">
      <c r="H22085" s="12"/>
      <c r="I22085" s="12"/>
      <c r="J22085" s="12"/>
      <c r="K22085" s="12"/>
      <c r="L22085" s="12"/>
      <c r="M22085" s="11"/>
      <c r="N22085" s="11"/>
      <c r="O22085" s="11"/>
      <c r="P22085" s="11"/>
    </row>
    <row r="22086" spans="8:16" x14ac:dyDescent="0.25">
      <c r="H22086" s="12"/>
      <c r="I22086" s="12"/>
      <c r="J22086" s="12"/>
      <c r="K22086" s="12"/>
      <c r="L22086" s="12"/>
      <c r="M22086" s="11"/>
      <c r="N22086" s="11"/>
      <c r="O22086" s="11"/>
      <c r="P22086" s="11"/>
    </row>
    <row r="22087" spans="8:16" x14ac:dyDescent="0.25">
      <c r="H22087" s="12"/>
      <c r="I22087" s="12"/>
      <c r="J22087" s="12"/>
      <c r="K22087" s="12"/>
      <c r="L22087" s="12"/>
      <c r="M22087" s="11"/>
      <c r="N22087" s="11"/>
      <c r="O22087" s="11"/>
      <c r="P22087" s="11"/>
    </row>
    <row r="22088" spans="8:16" x14ac:dyDescent="0.25">
      <c r="H22088" s="12"/>
      <c r="I22088" s="12"/>
      <c r="J22088" s="12"/>
      <c r="K22088" s="12"/>
      <c r="L22088" s="12"/>
      <c r="M22088" s="11"/>
      <c r="N22088" s="11"/>
      <c r="O22088" s="11"/>
      <c r="P22088" s="11"/>
    </row>
    <row r="22089" spans="8:16" x14ac:dyDescent="0.25">
      <c r="H22089" s="12"/>
      <c r="I22089" s="12"/>
      <c r="J22089" s="12"/>
      <c r="K22089" s="12"/>
      <c r="L22089" s="12"/>
      <c r="M22089" s="11"/>
      <c r="N22089" s="11"/>
      <c r="O22089" s="11"/>
      <c r="P22089" s="11"/>
    </row>
    <row r="22090" spans="8:16" x14ac:dyDescent="0.25">
      <c r="H22090" s="12"/>
      <c r="I22090" s="12"/>
      <c r="J22090" s="12"/>
      <c r="K22090" s="12"/>
      <c r="L22090" s="12"/>
      <c r="M22090" s="11"/>
      <c r="N22090" s="11"/>
      <c r="O22090" s="11"/>
      <c r="P22090" s="11"/>
    </row>
    <row r="22091" spans="8:16" x14ac:dyDescent="0.25">
      <c r="H22091" s="12"/>
      <c r="I22091" s="12"/>
      <c r="J22091" s="12"/>
      <c r="K22091" s="12"/>
      <c r="L22091" s="12"/>
      <c r="M22091" s="11"/>
      <c r="N22091" s="11"/>
      <c r="O22091" s="11"/>
      <c r="P22091" s="11"/>
    </row>
    <row r="22092" spans="8:16" x14ac:dyDescent="0.25">
      <c r="H22092" s="12"/>
      <c r="I22092" s="12"/>
      <c r="J22092" s="12"/>
      <c r="K22092" s="12"/>
      <c r="L22092" s="12"/>
      <c r="M22092" s="11"/>
      <c r="N22092" s="11"/>
      <c r="O22092" s="11"/>
      <c r="P22092" s="11"/>
    </row>
    <row r="22093" spans="8:16" x14ac:dyDescent="0.25">
      <c r="H22093" s="12"/>
      <c r="I22093" s="12"/>
      <c r="J22093" s="12"/>
      <c r="K22093" s="12"/>
      <c r="L22093" s="12"/>
      <c r="M22093" s="11"/>
      <c r="N22093" s="11"/>
      <c r="O22093" s="11"/>
      <c r="P22093" s="11"/>
    </row>
    <row r="22094" spans="8:16" x14ac:dyDescent="0.25">
      <c r="H22094" s="12"/>
      <c r="I22094" s="12"/>
      <c r="J22094" s="12"/>
      <c r="K22094" s="12"/>
      <c r="L22094" s="12"/>
      <c r="M22094" s="11"/>
      <c r="N22094" s="11"/>
      <c r="O22094" s="11"/>
      <c r="P22094" s="11"/>
    </row>
    <row r="22095" spans="8:16" x14ac:dyDescent="0.25">
      <c r="H22095" s="12"/>
      <c r="I22095" s="12"/>
      <c r="J22095" s="12"/>
      <c r="K22095" s="12"/>
      <c r="L22095" s="12"/>
      <c r="M22095" s="11"/>
      <c r="N22095" s="11"/>
      <c r="O22095" s="11"/>
      <c r="P22095" s="11"/>
    </row>
    <row r="22096" spans="8:16" x14ac:dyDescent="0.25">
      <c r="H22096" s="12"/>
      <c r="I22096" s="12"/>
      <c r="J22096" s="12"/>
      <c r="K22096" s="12"/>
      <c r="L22096" s="12"/>
      <c r="M22096" s="11"/>
      <c r="N22096" s="11"/>
      <c r="O22096" s="11"/>
      <c r="P22096" s="11"/>
    </row>
    <row r="22097" spans="8:16" x14ac:dyDescent="0.25">
      <c r="H22097" s="12"/>
      <c r="I22097" s="12"/>
      <c r="J22097" s="12"/>
      <c r="K22097" s="12"/>
      <c r="L22097" s="12"/>
      <c r="M22097" s="11"/>
      <c r="N22097" s="11"/>
      <c r="O22097" s="11"/>
      <c r="P22097" s="11"/>
    </row>
    <row r="22098" spans="8:16" x14ac:dyDescent="0.25">
      <c r="H22098" s="12"/>
      <c r="I22098" s="12"/>
      <c r="J22098" s="12"/>
      <c r="K22098" s="12"/>
      <c r="L22098" s="12"/>
      <c r="M22098" s="11"/>
      <c r="N22098" s="11"/>
      <c r="O22098" s="11"/>
      <c r="P22098" s="11"/>
    </row>
    <row r="22099" spans="8:16" x14ac:dyDescent="0.25">
      <c r="H22099" s="12"/>
      <c r="I22099" s="12"/>
      <c r="J22099" s="12"/>
      <c r="K22099" s="12"/>
      <c r="L22099" s="12"/>
      <c r="M22099" s="11"/>
      <c r="N22099" s="11"/>
      <c r="O22099" s="11"/>
      <c r="P22099" s="11"/>
    </row>
    <row r="22100" spans="8:16" x14ac:dyDescent="0.25">
      <c r="H22100" s="12"/>
      <c r="I22100" s="12"/>
      <c r="J22100" s="12"/>
      <c r="K22100" s="12"/>
      <c r="L22100" s="12"/>
      <c r="M22100" s="11"/>
      <c r="N22100" s="11"/>
      <c r="O22100" s="11"/>
      <c r="P22100" s="11"/>
    </row>
    <row r="22101" spans="8:16" x14ac:dyDescent="0.25">
      <c r="H22101" s="12"/>
      <c r="I22101" s="12"/>
      <c r="J22101" s="12"/>
      <c r="K22101" s="12"/>
      <c r="L22101" s="12"/>
      <c r="M22101" s="11"/>
      <c r="N22101" s="11"/>
      <c r="O22101" s="11"/>
      <c r="P22101" s="11"/>
    </row>
    <row r="22102" spans="8:16" x14ac:dyDescent="0.25">
      <c r="H22102" s="12"/>
      <c r="I22102" s="12"/>
      <c r="J22102" s="12"/>
      <c r="K22102" s="12"/>
      <c r="L22102" s="12"/>
      <c r="M22102" s="11"/>
      <c r="N22102" s="11"/>
      <c r="O22102" s="11"/>
      <c r="P22102" s="11"/>
    </row>
    <row r="22103" spans="8:16" x14ac:dyDescent="0.25">
      <c r="H22103" s="12"/>
      <c r="I22103" s="12"/>
      <c r="J22103" s="12"/>
      <c r="K22103" s="12"/>
      <c r="L22103" s="12"/>
      <c r="M22103" s="11"/>
      <c r="N22103" s="11"/>
      <c r="O22103" s="11"/>
      <c r="P22103" s="11"/>
    </row>
    <row r="22104" spans="8:16" x14ac:dyDescent="0.25">
      <c r="H22104" s="12"/>
      <c r="I22104" s="12"/>
      <c r="J22104" s="12"/>
      <c r="K22104" s="12"/>
      <c r="L22104" s="12"/>
      <c r="M22104" s="11"/>
      <c r="N22104" s="11"/>
      <c r="O22104" s="11"/>
      <c r="P22104" s="11"/>
    </row>
    <row r="22105" spans="8:16" x14ac:dyDescent="0.25">
      <c r="H22105" s="12"/>
      <c r="I22105" s="12"/>
      <c r="J22105" s="12"/>
      <c r="K22105" s="12"/>
      <c r="L22105" s="12"/>
      <c r="M22105" s="11"/>
      <c r="N22105" s="11"/>
      <c r="O22105" s="11"/>
      <c r="P22105" s="11"/>
    </row>
    <row r="22106" spans="8:16" x14ac:dyDescent="0.25">
      <c r="H22106" s="12"/>
      <c r="I22106" s="12"/>
      <c r="J22106" s="12"/>
      <c r="K22106" s="12"/>
      <c r="L22106" s="12"/>
      <c r="M22106" s="11"/>
      <c r="N22106" s="11"/>
      <c r="O22106" s="11"/>
      <c r="P22106" s="11"/>
    </row>
    <row r="22107" spans="8:16" x14ac:dyDescent="0.25">
      <c r="H22107" s="12"/>
      <c r="I22107" s="12"/>
      <c r="J22107" s="12"/>
      <c r="K22107" s="12"/>
      <c r="L22107" s="12"/>
      <c r="M22107" s="11"/>
      <c r="N22107" s="11"/>
      <c r="O22107" s="11"/>
      <c r="P22107" s="11"/>
    </row>
    <row r="22108" spans="8:16" x14ac:dyDescent="0.25">
      <c r="H22108" s="12"/>
      <c r="I22108" s="12"/>
      <c r="J22108" s="12"/>
      <c r="K22108" s="12"/>
      <c r="L22108" s="12"/>
      <c r="M22108" s="11"/>
      <c r="N22108" s="11"/>
      <c r="O22108" s="11"/>
      <c r="P22108" s="11"/>
    </row>
    <row r="22109" spans="8:16" x14ac:dyDescent="0.25">
      <c r="H22109" s="12"/>
      <c r="I22109" s="12"/>
      <c r="J22109" s="12"/>
      <c r="K22109" s="12"/>
      <c r="L22109" s="12"/>
      <c r="M22109" s="11"/>
      <c r="N22109" s="11"/>
      <c r="O22109" s="11"/>
      <c r="P22109" s="11"/>
    </row>
    <row r="22110" spans="8:16" x14ac:dyDescent="0.25">
      <c r="H22110" s="12"/>
      <c r="I22110" s="12"/>
      <c r="J22110" s="12"/>
      <c r="K22110" s="12"/>
      <c r="L22110" s="12"/>
      <c r="M22110" s="11"/>
      <c r="N22110" s="11"/>
      <c r="O22110" s="11"/>
      <c r="P22110" s="11"/>
    </row>
    <row r="22111" spans="8:16" x14ac:dyDescent="0.25">
      <c r="H22111" s="12"/>
      <c r="I22111" s="12"/>
      <c r="J22111" s="12"/>
      <c r="K22111" s="12"/>
      <c r="L22111" s="12"/>
      <c r="M22111" s="11"/>
      <c r="N22111" s="11"/>
      <c r="O22111" s="11"/>
      <c r="P22111" s="11"/>
    </row>
    <row r="22112" spans="8:16" x14ac:dyDescent="0.25">
      <c r="H22112" s="12"/>
      <c r="I22112" s="12"/>
      <c r="J22112" s="12"/>
      <c r="K22112" s="12"/>
      <c r="L22112" s="12"/>
      <c r="M22112" s="11"/>
      <c r="N22112" s="11"/>
      <c r="O22112" s="11"/>
      <c r="P22112" s="11"/>
    </row>
    <row r="22113" spans="8:16" x14ac:dyDescent="0.25">
      <c r="H22113" s="12"/>
      <c r="I22113" s="12"/>
      <c r="J22113" s="12"/>
      <c r="K22113" s="12"/>
      <c r="L22113" s="12"/>
      <c r="M22113" s="11"/>
      <c r="N22113" s="11"/>
      <c r="O22113" s="11"/>
      <c r="P22113" s="11"/>
    </row>
    <row r="22114" spans="8:16" x14ac:dyDescent="0.25">
      <c r="H22114" s="12"/>
      <c r="I22114" s="12"/>
      <c r="J22114" s="12"/>
      <c r="K22114" s="12"/>
      <c r="L22114" s="12"/>
      <c r="M22114" s="11"/>
      <c r="N22114" s="11"/>
      <c r="O22114" s="11"/>
      <c r="P22114" s="11"/>
    </row>
    <row r="22115" spans="8:16" x14ac:dyDescent="0.25">
      <c r="H22115" s="12"/>
      <c r="I22115" s="12"/>
      <c r="J22115" s="12"/>
      <c r="K22115" s="12"/>
      <c r="L22115" s="12"/>
      <c r="M22115" s="11"/>
      <c r="N22115" s="11"/>
      <c r="O22115" s="11"/>
      <c r="P22115" s="11"/>
    </row>
    <row r="22116" spans="8:16" x14ac:dyDescent="0.25">
      <c r="H22116" s="12"/>
      <c r="I22116" s="12"/>
      <c r="J22116" s="12"/>
      <c r="K22116" s="12"/>
      <c r="L22116" s="12"/>
      <c r="M22116" s="11"/>
      <c r="N22116" s="11"/>
      <c r="O22116" s="11"/>
      <c r="P22116" s="11"/>
    </row>
    <row r="22117" spans="8:16" x14ac:dyDescent="0.25">
      <c r="H22117" s="12"/>
      <c r="I22117" s="12"/>
      <c r="J22117" s="12"/>
      <c r="K22117" s="12"/>
      <c r="L22117" s="12"/>
      <c r="M22117" s="11"/>
      <c r="N22117" s="11"/>
      <c r="O22117" s="11"/>
      <c r="P22117" s="11"/>
    </row>
    <row r="22118" spans="8:16" x14ac:dyDescent="0.25">
      <c r="H22118" s="12"/>
      <c r="I22118" s="12"/>
      <c r="J22118" s="12"/>
      <c r="K22118" s="12"/>
      <c r="L22118" s="12"/>
      <c r="M22118" s="11"/>
      <c r="N22118" s="11"/>
      <c r="O22118" s="11"/>
      <c r="P22118" s="11"/>
    </row>
    <row r="22119" spans="8:16" x14ac:dyDescent="0.25">
      <c r="H22119" s="12"/>
      <c r="I22119" s="12"/>
      <c r="J22119" s="12"/>
      <c r="K22119" s="12"/>
      <c r="L22119" s="12"/>
      <c r="M22119" s="11"/>
      <c r="N22119" s="11"/>
      <c r="O22119" s="11"/>
      <c r="P22119" s="11"/>
    </row>
    <row r="22120" spans="8:16" x14ac:dyDescent="0.25">
      <c r="H22120" s="12"/>
      <c r="I22120" s="12"/>
      <c r="J22120" s="12"/>
      <c r="K22120" s="12"/>
      <c r="L22120" s="12"/>
      <c r="M22120" s="11"/>
      <c r="N22120" s="11"/>
      <c r="O22120" s="11"/>
      <c r="P22120" s="11"/>
    </row>
    <row r="22121" spans="8:16" x14ac:dyDescent="0.25">
      <c r="H22121" s="12"/>
      <c r="I22121" s="12"/>
      <c r="J22121" s="12"/>
      <c r="K22121" s="12"/>
      <c r="L22121" s="12"/>
      <c r="M22121" s="11"/>
      <c r="N22121" s="11"/>
      <c r="O22121" s="11"/>
      <c r="P22121" s="11"/>
    </row>
    <row r="22122" spans="8:16" x14ac:dyDescent="0.25">
      <c r="H22122" s="12"/>
      <c r="I22122" s="12"/>
      <c r="J22122" s="12"/>
      <c r="K22122" s="12"/>
      <c r="L22122" s="12"/>
      <c r="M22122" s="11"/>
      <c r="N22122" s="11"/>
      <c r="O22122" s="11"/>
      <c r="P22122" s="11"/>
    </row>
    <row r="22123" spans="8:16" x14ac:dyDescent="0.25">
      <c r="H22123" s="12"/>
      <c r="I22123" s="12"/>
      <c r="J22123" s="12"/>
      <c r="K22123" s="12"/>
      <c r="L22123" s="12"/>
      <c r="M22123" s="11"/>
      <c r="N22123" s="11"/>
      <c r="O22123" s="11"/>
      <c r="P22123" s="11"/>
    </row>
    <row r="22124" spans="8:16" x14ac:dyDescent="0.25">
      <c r="H22124" s="12"/>
      <c r="I22124" s="12"/>
      <c r="J22124" s="12"/>
      <c r="K22124" s="12"/>
      <c r="L22124" s="12"/>
      <c r="M22124" s="11"/>
      <c r="N22124" s="11"/>
      <c r="O22124" s="11"/>
      <c r="P22124" s="11"/>
    </row>
    <row r="22125" spans="8:16" x14ac:dyDescent="0.25">
      <c r="H22125" s="12"/>
      <c r="I22125" s="12"/>
      <c r="J22125" s="12"/>
      <c r="K22125" s="12"/>
      <c r="L22125" s="12"/>
      <c r="M22125" s="11"/>
      <c r="N22125" s="11"/>
      <c r="O22125" s="11"/>
      <c r="P22125" s="11"/>
    </row>
    <row r="22126" spans="8:16" x14ac:dyDescent="0.25">
      <c r="H22126" s="12"/>
      <c r="I22126" s="12"/>
      <c r="J22126" s="12"/>
      <c r="K22126" s="12"/>
      <c r="L22126" s="12"/>
      <c r="M22126" s="11"/>
      <c r="N22126" s="11"/>
      <c r="O22126" s="11"/>
      <c r="P22126" s="11"/>
    </row>
    <row r="22127" spans="8:16" x14ac:dyDescent="0.25">
      <c r="H22127" s="12"/>
      <c r="I22127" s="12"/>
      <c r="J22127" s="12"/>
      <c r="K22127" s="12"/>
      <c r="L22127" s="12"/>
      <c r="M22127" s="11"/>
      <c r="N22127" s="11"/>
      <c r="O22127" s="11"/>
      <c r="P22127" s="11"/>
    </row>
    <row r="22128" spans="8:16" x14ac:dyDescent="0.25">
      <c r="H22128" s="12"/>
      <c r="I22128" s="12"/>
      <c r="J22128" s="12"/>
      <c r="K22128" s="12"/>
      <c r="L22128" s="12"/>
      <c r="M22128" s="11"/>
      <c r="N22128" s="11"/>
      <c r="O22128" s="11"/>
      <c r="P22128" s="11"/>
    </row>
    <row r="22129" spans="8:16" x14ac:dyDescent="0.25">
      <c r="H22129" s="12"/>
      <c r="I22129" s="12"/>
      <c r="J22129" s="12"/>
      <c r="K22129" s="12"/>
      <c r="L22129" s="12"/>
      <c r="M22129" s="11"/>
      <c r="N22129" s="11"/>
      <c r="O22129" s="11"/>
      <c r="P22129" s="11"/>
    </row>
    <row r="22130" spans="8:16" x14ac:dyDescent="0.25">
      <c r="H22130" s="12"/>
      <c r="I22130" s="12"/>
      <c r="J22130" s="12"/>
      <c r="K22130" s="12"/>
      <c r="L22130" s="12"/>
      <c r="M22130" s="11"/>
      <c r="N22130" s="11"/>
      <c r="O22130" s="11"/>
      <c r="P22130" s="11"/>
    </row>
    <row r="22131" spans="8:16" x14ac:dyDescent="0.25">
      <c r="H22131" s="12"/>
      <c r="I22131" s="12"/>
      <c r="J22131" s="12"/>
      <c r="K22131" s="12"/>
      <c r="L22131" s="12"/>
      <c r="M22131" s="11"/>
      <c r="N22131" s="11"/>
      <c r="O22131" s="11"/>
      <c r="P22131" s="11"/>
    </row>
    <row r="22132" spans="8:16" x14ac:dyDescent="0.25">
      <c r="H22132" s="12"/>
      <c r="I22132" s="12"/>
      <c r="J22132" s="12"/>
      <c r="K22132" s="12"/>
      <c r="L22132" s="12"/>
      <c r="M22132" s="11"/>
      <c r="N22132" s="11"/>
      <c r="O22132" s="11"/>
      <c r="P22132" s="11"/>
    </row>
    <row r="22133" spans="8:16" x14ac:dyDescent="0.25">
      <c r="H22133" s="12"/>
      <c r="I22133" s="12"/>
      <c r="J22133" s="12"/>
      <c r="K22133" s="12"/>
      <c r="L22133" s="12"/>
      <c r="M22133" s="11"/>
      <c r="N22133" s="11"/>
      <c r="O22133" s="11"/>
      <c r="P22133" s="11"/>
    </row>
    <row r="22134" spans="8:16" x14ac:dyDescent="0.25">
      <c r="H22134" s="12"/>
      <c r="I22134" s="12"/>
      <c r="J22134" s="12"/>
      <c r="K22134" s="12"/>
      <c r="L22134" s="12"/>
      <c r="M22134" s="11"/>
      <c r="N22134" s="11"/>
      <c r="O22134" s="11"/>
      <c r="P22134" s="11"/>
    </row>
    <row r="22135" spans="8:16" x14ac:dyDescent="0.25">
      <c r="H22135" s="12"/>
      <c r="I22135" s="12"/>
      <c r="J22135" s="12"/>
      <c r="K22135" s="12"/>
      <c r="L22135" s="12"/>
      <c r="M22135" s="11"/>
      <c r="N22135" s="11"/>
      <c r="O22135" s="11"/>
      <c r="P22135" s="11"/>
    </row>
    <row r="22136" spans="8:16" x14ac:dyDescent="0.25">
      <c r="H22136" s="12"/>
      <c r="I22136" s="12"/>
      <c r="J22136" s="12"/>
      <c r="K22136" s="12"/>
      <c r="L22136" s="12"/>
      <c r="M22136" s="11"/>
      <c r="N22136" s="11"/>
      <c r="O22136" s="11"/>
      <c r="P22136" s="11"/>
    </row>
    <row r="22137" spans="8:16" x14ac:dyDescent="0.25">
      <c r="H22137" s="12"/>
      <c r="I22137" s="12"/>
      <c r="J22137" s="12"/>
      <c r="K22137" s="12"/>
      <c r="L22137" s="12"/>
      <c r="M22137" s="11"/>
      <c r="N22137" s="11"/>
      <c r="O22137" s="11"/>
      <c r="P22137" s="11"/>
    </row>
    <row r="22138" spans="8:16" x14ac:dyDescent="0.25">
      <c r="H22138" s="12"/>
      <c r="I22138" s="12"/>
      <c r="J22138" s="12"/>
      <c r="K22138" s="12"/>
      <c r="L22138" s="12"/>
      <c r="M22138" s="11"/>
      <c r="N22138" s="11"/>
      <c r="O22138" s="11"/>
      <c r="P22138" s="11"/>
    </row>
    <row r="22139" spans="8:16" x14ac:dyDescent="0.25">
      <c r="H22139" s="12"/>
      <c r="I22139" s="12"/>
      <c r="J22139" s="12"/>
      <c r="K22139" s="12"/>
      <c r="L22139" s="12"/>
      <c r="M22139" s="11"/>
      <c r="N22139" s="11"/>
      <c r="O22139" s="11"/>
      <c r="P22139" s="11"/>
    </row>
    <row r="22140" spans="8:16" x14ac:dyDescent="0.25">
      <c r="H22140" s="12"/>
      <c r="I22140" s="12"/>
      <c r="J22140" s="12"/>
      <c r="K22140" s="12"/>
      <c r="L22140" s="12"/>
      <c r="M22140" s="11"/>
      <c r="N22140" s="11"/>
      <c r="O22140" s="11"/>
      <c r="P22140" s="11"/>
    </row>
    <row r="22141" spans="8:16" x14ac:dyDescent="0.25">
      <c r="H22141" s="12"/>
      <c r="I22141" s="12"/>
      <c r="J22141" s="12"/>
      <c r="K22141" s="12"/>
      <c r="L22141" s="12"/>
      <c r="M22141" s="11"/>
      <c r="N22141" s="11"/>
      <c r="O22141" s="11"/>
      <c r="P22141" s="11"/>
    </row>
    <row r="22142" spans="8:16" x14ac:dyDescent="0.25">
      <c r="H22142" s="12"/>
      <c r="I22142" s="12"/>
      <c r="J22142" s="12"/>
      <c r="K22142" s="12"/>
      <c r="L22142" s="12"/>
      <c r="M22142" s="11"/>
      <c r="N22142" s="11"/>
      <c r="O22142" s="11"/>
      <c r="P22142" s="11"/>
    </row>
    <row r="22143" spans="8:16" x14ac:dyDescent="0.25">
      <c r="H22143" s="12"/>
      <c r="I22143" s="12"/>
      <c r="J22143" s="12"/>
      <c r="K22143" s="12"/>
      <c r="L22143" s="12"/>
      <c r="M22143" s="11"/>
      <c r="N22143" s="11"/>
      <c r="O22143" s="11"/>
      <c r="P22143" s="11"/>
    </row>
    <row r="22144" spans="8:16" x14ac:dyDescent="0.25">
      <c r="H22144" s="12"/>
      <c r="I22144" s="12"/>
      <c r="J22144" s="12"/>
      <c r="K22144" s="12"/>
      <c r="L22144" s="12"/>
      <c r="M22144" s="11"/>
      <c r="N22144" s="11"/>
      <c r="O22144" s="11"/>
      <c r="P22144" s="11"/>
    </row>
    <row r="22145" spans="8:16" x14ac:dyDescent="0.25">
      <c r="H22145" s="12"/>
      <c r="I22145" s="12"/>
      <c r="J22145" s="12"/>
      <c r="K22145" s="12"/>
      <c r="L22145" s="12"/>
      <c r="M22145" s="11"/>
      <c r="N22145" s="11"/>
      <c r="O22145" s="11"/>
      <c r="P22145" s="11"/>
    </row>
    <row r="22146" spans="8:16" x14ac:dyDescent="0.25">
      <c r="H22146" s="12"/>
      <c r="I22146" s="12"/>
      <c r="J22146" s="12"/>
      <c r="K22146" s="12"/>
      <c r="L22146" s="12"/>
      <c r="M22146" s="11"/>
      <c r="N22146" s="11"/>
      <c r="O22146" s="11"/>
      <c r="P22146" s="11"/>
    </row>
    <row r="22147" spans="8:16" x14ac:dyDescent="0.25">
      <c r="H22147" s="12"/>
      <c r="I22147" s="12"/>
      <c r="J22147" s="12"/>
      <c r="K22147" s="12"/>
      <c r="L22147" s="12"/>
      <c r="M22147" s="11"/>
      <c r="N22147" s="11"/>
      <c r="O22147" s="11"/>
      <c r="P22147" s="11"/>
    </row>
    <row r="22148" spans="8:16" x14ac:dyDescent="0.25">
      <c r="H22148" s="12"/>
      <c r="I22148" s="12"/>
      <c r="J22148" s="12"/>
      <c r="K22148" s="12"/>
      <c r="L22148" s="12"/>
      <c r="M22148" s="11"/>
      <c r="N22148" s="11"/>
      <c r="O22148" s="11"/>
      <c r="P22148" s="11"/>
    </row>
    <row r="22149" spans="8:16" x14ac:dyDescent="0.25">
      <c r="H22149" s="12"/>
      <c r="I22149" s="12"/>
      <c r="J22149" s="12"/>
      <c r="K22149" s="12"/>
      <c r="L22149" s="12"/>
      <c r="M22149" s="11"/>
      <c r="N22149" s="11"/>
      <c r="O22149" s="11"/>
      <c r="P22149" s="11"/>
    </row>
    <row r="22150" spans="8:16" x14ac:dyDescent="0.25">
      <c r="H22150" s="12"/>
      <c r="I22150" s="12"/>
      <c r="J22150" s="12"/>
      <c r="K22150" s="12"/>
      <c r="L22150" s="12"/>
      <c r="M22150" s="11"/>
      <c r="N22150" s="11"/>
      <c r="O22150" s="11"/>
      <c r="P22150" s="11"/>
    </row>
    <row r="22151" spans="8:16" x14ac:dyDescent="0.25">
      <c r="H22151" s="12"/>
      <c r="I22151" s="12"/>
      <c r="J22151" s="12"/>
      <c r="K22151" s="12"/>
      <c r="L22151" s="12"/>
      <c r="M22151" s="11"/>
      <c r="N22151" s="11"/>
      <c r="O22151" s="11"/>
      <c r="P22151" s="11"/>
    </row>
    <row r="22152" spans="8:16" x14ac:dyDescent="0.25">
      <c r="H22152" s="12"/>
      <c r="I22152" s="12"/>
      <c r="J22152" s="12"/>
      <c r="K22152" s="12"/>
      <c r="L22152" s="12"/>
      <c r="M22152" s="11"/>
      <c r="N22152" s="11"/>
      <c r="O22152" s="11"/>
      <c r="P22152" s="11"/>
    </row>
    <row r="22153" spans="8:16" x14ac:dyDescent="0.25">
      <c r="H22153" s="12"/>
      <c r="I22153" s="12"/>
      <c r="J22153" s="12"/>
      <c r="K22153" s="12"/>
      <c r="L22153" s="12"/>
      <c r="M22153" s="11"/>
      <c r="N22153" s="11"/>
      <c r="O22153" s="11"/>
      <c r="P22153" s="11"/>
    </row>
    <row r="22154" spans="8:16" x14ac:dyDescent="0.25">
      <c r="H22154" s="12"/>
      <c r="I22154" s="12"/>
      <c r="J22154" s="12"/>
      <c r="K22154" s="12"/>
      <c r="L22154" s="12"/>
      <c r="M22154" s="11"/>
      <c r="N22154" s="11"/>
      <c r="O22154" s="11"/>
      <c r="P22154" s="11"/>
    </row>
    <row r="22155" spans="8:16" x14ac:dyDescent="0.25">
      <c r="H22155" s="12"/>
      <c r="I22155" s="12"/>
      <c r="J22155" s="12"/>
      <c r="K22155" s="12"/>
      <c r="L22155" s="12"/>
      <c r="M22155" s="11"/>
      <c r="N22155" s="11"/>
      <c r="O22155" s="11"/>
      <c r="P22155" s="11"/>
    </row>
    <row r="22156" spans="8:16" x14ac:dyDescent="0.25">
      <c r="H22156" s="12"/>
      <c r="I22156" s="12"/>
      <c r="J22156" s="12"/>
      <c r="K22156" s="12"/>
      <c r="L22156" s="12"/>
      <c r="M22156" s="11"/>
      <c r="N22156" s="11"/>
      <c r="O22156" s="11"/>
      <c r="P22156" s="11"/>
    </row>
    <row r="22157" spans="8:16" x14ac:dyDescent="0.25">
      <c r="H22157" s="12"/>
      <c r="I22157" s="12"/>
      <c r="J22157" s="12"/>
      <c r="K22157" s="12"/>
      <c r="L22157" s="12"/>
      <c r="M22157" s="11"/>
      <c r="N22157" s="11"/>
      <c r="O22157" s="11"/>
      <c r="P22157" s="11"/>
    </row>
    <row r="22158" spans="8:16" x14ac:dyDescent="0.25">
      <c r="H22158" s="12"/>
      <c r="I22158" s="12"/>
      <c r="J22158" s="12"/>
      <c r="K22158" s="12"/>
      <c r="L22158" s="12"/>
      <c r="M22158" s="11"/>
      <c r="N22158" s="11"/>
      <c r="O22158" s="11"/>
      <c r="P22158" s="11"/>
    </row>
    <row r="22159" spans="8:16" x14ac:dyDescent="0.25">
      <c r="H22159" s="12"/>
      <c r="I22159" s="12"/>
      <c r="J22159" s="12"/>
      <c r="K22159" s="12"/>
      <c r="L22159" s="12"/>
      <c r="M22159" s="11"/>
      <c r="N22159" s="11"/>
      <c r="O22159" s="11"/>
      <c r="P22159" s="11"/>
    </row>
    <row r="22160" spans="8:16" x14ac:dyDescent="0.25">
      <c r="H22160" s="12"/>
      <c r="I22160" s="12"/>
      <c r="J22160" s="12"/>
      <c r="K22160" s="12"/>
      <c r="L22160" s="12"/>
      <c r="M22160" s="11"/>
      <c r="N22160" s="11"/>
      <c r="O22160" s="11"/>
      <c r="P22160" s="11"/>
    </row>
    <row r="22161" spans="8:16" x14ac:dyDescent="0.25">
      <c r="H22161" s="12"/>
      <c r="I22161" s="12"/>
      <c r="J22161" s="12"/>
      <c r="K22161" s="12"/>
      <c r="L22161" s="12"/>
      <c r="M22161" s="11"/>
      <c r="N22161" s="11"/>
      <c r="O22161" s="11"/>
      <c r="P22161" s="11"/>
    </row>
    <row r="22162" spans="8:16" x14ac:dyDescent="0.25">
      <c r="H22162" s="12"/>
      <c r="I22162" s="12"/>
      <c r="J22162" s="12"/>
      <c r="K22162" s="12"/>
      <c r="L22162" s="12"/>
      <c r="M22162" s="11"/>
      <c r="N22162" s="11"/>
      <c r="O22162" s="11"/>
      <c r="P22162" s="11"/>
    </row>
    <row r="22163" spans="8:16" x14ac:dyDescent="0.25">
      <c r="H22163" s="12"/>
      <c r="I22163" s="12"/>
      <c r="J22163" s="12"/>
      <c r="K22163" s="12"/>
      <c r="L22163" s="12"/>
      <c r="M22163" s="11"/>
      <c r="N22163" s="11"/>
      <c r="O22163" s="11"/>
      <c r="P22163" s="11"/>
    </row>
    <row r="22164" spans="8:16" x14ac:dyDescent="0.25">
      <c r="H22164" s="12"/>
      <c r="I22164" s="12"/>
      <c r="J22164" s="12"/>
      <c r="K22164" s="12"/>
      <c r="L22164" s="12"/>
      <c r="M22164" s="11"/>
      <c r="N22164" s="11"/>
      <c r="O22164" s="11"/>
      <c r="P22164" s="11"/>
    </row>
    <row r="22165" spans="8:16" x14ac:dyDescent="0.25">
      <c r="H22165" s="12"/>
      <c r="I22165" s="12"/>
      <c r="J22165" s="12"/>
      <c r="K22165" s="12"/>
      <c r="L22165" s="12"/>
      <c r="M22165" s="11"/>
      <c r="N22165" s="11"/>
      <c r="O22165" s="11"/>
      <c r="P22165" s="11"/>
    </row>
    <row r="22166" spans="8:16" x14ac:dyDescent="0.25">
      <c r="H22166" s="12"/>
      <c r="I22166" s="12"/>
      <c r="J22166" s="12"/>
      <c r="K22166" s="12"/>
      <c r="L22166" s="12"/>
      <c r="M22166" s="11"/>
      <c r="N22166" s="11"/>
      <c r="O22166" s="11"/>
      <c r="P22166" s="11"/>
    </row>
    <row r="22167" spans="8:16" x14ac:dyDescent="0.25">
      <c r="H22167" s="12"/>
      <c r="I22167" s="12"/>
      <c r="J22167" s="12"/>
      <c r="K22167" s="12"/>
      <c r="L22167" s="12"/>
      <c r="M22167" s="11"/>
      <c r="N22167" s="11"/>
      <c r="O22167" s="11"/>
      <c r="P22167" s="11"/>
    </row>
    <row r="22168" spans="8:16" x14ac:dyDescent="0.25">
      <c r="H22168" s="12"/>
      <c r="I22168" s="12"/>
      <c r="J22168" s="12"/>
      <c r="K22168" s="12"/>
      <c r="L22168" s="12"/>
      <c r="M22168" s="11"/>
      <c r="N22168" s="11"/>
      <c r="O22168" s="11"/>
      <c r="P22168" s="11"/>
    </row>
    <row r="22169" spans="8:16" x14ac:dyDescent="0.25">
      <c r="H22169" s="12"/>
      <c r="I22169" s="12"/>
      <c r="J22169" s="12"/>
      <c r="K22169" s="12"/>
      <c r="L22169" s="12"/>
      <c r="M22169" s="11"/>
      <c r="N22169" s="11"/>
      <c r="O22169" s="11"/>
      <c r="P22169" s="11"/>
    </row>
    <row r="22170" spans="8:16" x14ac:dyDescent="0.25">
      <c r="H22170" s="12"/>
      <c r="I22170" s="12"/>
      <c r="J22170" s="12"/>
      <c r="K22170" s="12"/>
      <c r="L22170" s="12"/>
      <c r="M22170" s="11"/>
      <c r="N22170" s="11"/>
      <c r="O22170" s="11"/>
      <c r="P22170" s="11"/>
    </row>
    <row r="22171" spans="8:16" x14ac:dyDescent="0.25">
      <c r="H22171" s="12"/>
      <c r="I22171" s="12"/>
      <c r="J22171" s="12"/>
      <c r="K22171" s="12"/>
      <c r="L22171" s="12"/>
      <c r="M22171" s="11"/>
      <c r="N22171" s="11"/>
      <c r="O22171" s="11"/>
      <c r="P22171" s="11"/>
    </row>
    <row r="22172" spans="8:16" x14ac:dyDescent="0.25">
      <c r="H22172" s="12"/>
      <c r="I22172" s="12"/>
      <c r="J22172" s="12"/>
      <c r="K22172" s="12"/>
      <c r="L22172" s="12"/>
      <c r="M22172" s="11"/>
      <c r="N22172" s="11"/>
      <c r="O22172" s="11"/>
      <c r="P22172" s="11"/>
    </row>
    <row r="22173" spans="8:16" x14ac:dyDescent="0.25">
      <c r="H22173" s="12"/>
      <c r="I22173" s="12"/>
      <c r="J22173" s="12"/>
      <c r="K22173" s="12"/>
      <c r="L22173" s="12"/>
      <c r="M22173" s="11"/>
      <c r="N22173" s="11"/>
      <c r="O22173" s="11"/>
      <c r="P22173" s="11"/>
    </row>
    <row r="22174" spans="8:16" x14ac:dyDescent="0.25">
      <c r="H22174" s="12"/>
      <c r="I22174" s="12"/>
      <c r="J22174" s="12"/>
      <c r="K22174" s="12"/>
      <c r="L22174" s="12"/>
      <c r="M22174" s="11"/>
      <c r="N22174" s="11"/>
      <c r="O22174" s="11"/>
      <c r="P22174" s="11"/>
    </row>
    <row r="22175" spans="8:16" x14ac:dyDescent="0.25">
      <c r="H22175" s="12"/>
      <c r="I22175" s="12"/>
      <c r="J22175" s="12"/>
      <c r="K22175" s="12"/>
      <c r="L22175" s="12"/>
      <c r="M22175" s="11"/>
      <c r="N22175" s="11"/>
      <c r="O22175" s="11"/>
      <c r="P22175" s="11"/>
    </row>
    <row r="22176" spans="8:16" x14ac:dyDescent="0.25">
      <c r="H22176" s="12"/>
      <c r="I22176" s="12"/>
      <c r="J22176" s="12"/>
      <c r="K22176" s="12"/>
      <c r="L22176" s="12"/>
      <c r="M22176" s="11"/>
      <c r="N22176" s="11"/>
      <c r="O22176" s="11"/>
      <c r="P22176" s="11"/>
    </row>
    <row r="22177" spans="8:16" x14ac:dyDescent="0.25">
      <c r="H22177" s="12"/>
      <c r="I22177" s="12"/>
      <c r="J22177" s="12"/>
      <c r="K22177" s="12"/>
      <c r="L22177" s="12"/>
      <c r="M22177" s="11"/>
      <c r="N22177" s="11"/>
      <c r="O22177" s="11"/>
      <c r="P22177" s="11"/>
    </row>
    <row r="22178" spans="8:16" x14ac:dyDescent="0.25">
      <c r="H22178" s="12"/>
      <c r="I22178" s="12"/>
      <c r="J22178" s="12"/>
      <c r="K22178" s="12"/>
      <c r="L22178" s="12"/>
      <c r="M22178" s="11"/>
      <c r="N22178" s="11"/>
      <c r="O22178" s="11"/>
      <c r="P22178" s="11"/>
    </row>
    <row r="22179" spans="8:16" x14ac:dyDescent="0.25">
      <c r="H22179" s="12"/>
      <c r="I22179" s="12"/>
      <c r="J22179" s="12"/>
      <c r="K22179" s="12"/>
      <c r="L22179" s="12"/>
      <c r="M22179" s="11"/>
      <c r="N22179" s="11"/>
      <c r="O22179" s="11"/>
      <c r="P22179" s="11"/>
    </row>
    <row r="22180" spans="8:16" x14ac:dyDescent="0.25">
      <c r="H22180" s="12"/>
      <c r="I22180" s="12"/>
      <c r="J22180" s="12"/>
      <c r="K22180" s="12"/>
      <c r="L22180" s="12"/>
      <c r="M22180" s="11"/>
      <c r="N22180" s="11"/>
      <c r="O22180" s="11"/>
      <c r="P22180" s="11"/>
    </row>
    <row r="22181" spans="8:16" x14ac:dyDescent="0.25">
      <c r="H22181" s="12"/>
      <c r="I22181" s="12"/>
      <c r="J22181" s="12"/>
      <c r="K22181" s="12"/>
      <c r="L22181" s="12"/>
      <c r="M22181" s="11"/>
      <c r="N22181" s="11"/>
      <c r="O22181" s="11"/>
      <c r="P22181" s="11"/>
    </row>
    <row r="22182" spans="8:16" x14ac:dyDescent="0.25">
      <c r="H22182" s="12"/>
      <c r="I22182" s="12"/>
      <c r="J22182" s="12"/>
      <c r="K22182" s="12"/>
      <c r="L22182" s="12"/>
      <c r="M22182" s="11"/>
      <c r="N22182" s="11"/>
      <c r="O22182" s="11"/>
      <c r="P22182" s="11"/>
    </row>
    <row r="22183" spans="8:16" x14ac:dyDescent="0.25">
      <c r="H22183" s="12"/>
      <c r="I22183" s="12"/>
      <c r="J22183" s="12"/>
      <c r="K22183" s="12"/>
      <c r="L22183" s="12"/>
      <c r="M22183" s="11"/>
      <c r="N22183" s="11"/>
      <c r="O22183" s="11"/>
      <c r="P22183" s="11"/>
    </row>
    <row r="22184" spans="8:16" x14ac:dyDescent="0.25">
      <c r="H22184" s="12"/>
      <c r="I22184" s="12"/>
      <c r="J22184" s="12"/>
      <c r="K22184" s="12"/>
      <c r="L22184" s="12"/>
      <c r="M22184" s="11"/>
      <c r="N22184" s="11"/>
      <c r="O22184" s="11"/>
      <c r="P22184" s="11"/>
    </row>
    <row r="22185" spans="8:16" x14ac:dyDescent="0.25">
      <c r="H22185" s="12"/>
      <c r="I22185" s="12"/>
      <c r="J22185" s="12"/>
      <c r="K22185" s="12"/>
      <c r="L22185" s="12"/>
      <c r="M22185" s="11"/>
      <c r="N22185" s="11"/>
      <c r="O22185" s="11"/>
      <c r="P22185" s="11"/>
    </row>
    <row r="22186" spans="8:16" x14ac:dyDescent="0.25">
      <c r="H22186" s="12"/>
      <c r="I22186" s="12"/>
      <c r="J22186" s="12"/>
      <c r="K22186" s="12"/>
      <c r="L22186" s="12"/>
      <c r="M22186" s="11"/>
      <c r="N22186" s="11"/>
      <c r="O22186" s="11"/>
      <c r="P22186" s="11"/>
    </row>
    <row r="22187" spans="8:16" x14ac:dyDescent="0.25">
      <c r="H22187" s="12"/>
      <c r="I22187" s="12"/>
      <c r="J22187" s="12"/>
      <c r="K22187" s="12"/>
      <c r="L22187" s="12"/>
      <c r="M22187" s="11"/>
      <c r="N22187" s="11"/>
      <c r="O22187" s="11"/>
      <c r="P22187" s="11"/>
    </row>
    <row r="22188" spans="8:16" x14ac:dyDescent="0.25">
      <c r="H22188" s="12"/>
      <c r="I22188" s="12"/>
      <c r="J22188" s="12"/>
      <c r="K22188" s="12"/>
      <c r="L22188" s="12"/>
      <c r="M22188" s="11"/>
      <c r="N22188" s="11"/>
      <c r="O22188" s="11"/>
      <c r="P22188" s="11"/>
    </row>
    <row r="22189" spans="8:16" x14ac:dyDescent="0.25">
      <c r="H22189" s="12"/>
      <c r="I22189" s="12"/>
      <c r="J22189" s="12"/>
      <c r="K22189" s="12"/>
      <c r="L22189" s="12"/>
      <c r="M22189" s="11"/>
      <c r="N22189" s="11"/>
      <c r="O22189" s="11"/>
      <c r="P22189" s="11"/>
    </row>
    <row r="22190" spans="8:16" x14ac:dyDescent="0.25">
      <c r="H22190" s="12"/>
      <c r="I22190" s="12"/>
      <c r="J22190" s="12"/>
      <c r="K22190" s="12"/>
      <c r="L22190" s="12"/>
      <c r="M22190" s="11"/>
      <c r="N22190" s="11"/>
      <c r="O22190" s="11"/>
      <c r="P22190" s="11"/>
    </row>
    <row r="22191" spans="8:16" x14ac:dyDescent="0.25">
      <c r="H22191" s="12"/>
      <c r="I22191" s="12"/>
      <c r="J22191" s="12"/>
      <c r="K22191" s="12"/>
      <c r="L22191" s="12"/>
      <c r="M22191" s="11"/>
      <c r="N22191" s="11"/>
      <c r="O22191" s="11"/>
      <c r="P22191" s="11"/>
    </row>
    <row r="22192" spans="8:16" x14ac:dyDescent="0.25">
      <c r="H22192" s="12"/>
      <c r="I22192" s="12"/>
      <c r="J22192" s="12"/>
      <c r="K22192" s="12"/>
      <c r="L22192" s="12"/>
      <c r="M22192" s="11"/>
      <c r="N22192" s="11"/>
      <c r="O22192" s="11"/>
      <c r="P22192" s="11"/>
    </row>
    <row r="22193" spans="8:16" x14ac:dyDescent="0.25">
      <c r="H22193" s="12"/>
      <c r="I22193" s="12"/>
      <c r="J22193" s="12"/>
      <c r="K22193" s="12"/>
      <c r="L22193" s="12"/>
      <c r="M22193" s="11"/>
      <c r="N22193" s="11"/>
      <c r="O22193" s="11"/>
      <c r="P22193" s="11"/>
    </row>
    <row r="22194" spans="8:16" x14ac:dyDescent="0.25">
      <c r="H22194" s="12"/>
      <c r="I22194" s="12"/>
      <c r="J22194" s="12"/>
      <c r="K22194" s="12"/>
      <c r="L22194" s="12"/>
      <c r="M22194" s="11"/>
      <c r="N22194" s="11"/>
      <c r="O22194" s="11"/>
      <c r="P22194" s="11"/>
    </row>
    <row r="22195" spans="8:16" x14ac:dyDescent="0.25">
      <c r="H22195" s="12"/>
      <c r="I22195" s="12"/>
      <c r="J22195" s="12"/>
      <c r="K22195" s="12"/>
      <c r="L22195" s="12"/>
      <c r="M22195" s="11"/>
      <c r="N22195" s="11"/>
      <c r="O22195" s="11"/>
      <c r="P22195" s="11"/>
    </row>
    <row r="22196" spans="8:16" x14ac:dyDescent="0.25">
      <c r="H22196" s="12"/>
      <c r="I22196" s="12"/>
      <c r="J22196" s="12"/>
      <c r="K22196" s="12"/>
      <c r="L22196" s="12"/>
      <c r="M22196" s="11"/>
      <c r="N22196" s="11"/>
      <c r="O22196" s="11"/>
      <c r="P22196" s="11"/>
    </row>
    <row r="22197" spans="8:16" x14ac:dyDescent="0.25">
      <c r="H22197" s="12"/>
      <c r="I22197" s="12"/>
      <c r="J22197" s="12"/>
      <c r="K22197" s="12"/>
      <c r="L22197" s="12"/>
      <c r="M22197" s="11"/>
      <c r="N22197" s="11"/>
      <c r="O22197" s="11"/>
      <c r="P22197" s="11"/>
    </row>
    <row r="22198" spans="8:16" x14ac:dyDescent="0.25">
      <c r="H22198" s="12"/>
      <c r="I22198" s="12"/>
      <c r="J22198" s="12"/>
      <c r="K22198" s="12"/>
      <c r="L22198" s="12"/>
      <c r="M22198" s="11"/>
      <c r="N22198" s="11"/>
      <c r="O22198" s="11"/>
      <c r="P22198" s="11"/>
    </row>
    <row r="22199" spans="8:16" x14ac:dyDescent="0.25">
      <c r="H22199" s="12"/>
      <c r="I22199" s="12"/>
      <c r="J22199" s="12"/>
      <c r="K22199" s="12"/>
      <c r="L22199" s="12"/>
      <c r="M22199" s="11"/>
      <c r="N22199" s="11"/>
      <c r="O22199" s="11"/>
      <c r="P22199" s="11"/>
    </row>
    <row r="22200" spans="8:16" x14ac:dyDescent="0.25">
      <c r="H22200" s="12"/>
      <c r="I22200" s="12"/>
      <c r="J22200" s="12"/>
      <c r="K22200" s="12"/>
      <c r="L22200" s="12"/>
      <c r="M22200" s="11"/>
      <c r="N22200" s="11"/>
      <c r="O22200" s="11"/>
      <c r="P22200" s="11"/>
    </row>
    <row r="22201" spans="8:16" x14ac:dyDescent="0.25">
      <c r="H22201" s="12"/>
      <c r="I22201" s="12"/>
      <c r="J22201" s="12"/>
      <c r="K22201" s="12"/>
      <c r="L22201" s="12"/>
      <c r="M22201" s="11"/>
      <c r="N22201" s="11"/>
      <c r="O22201" s="11"/>
      <c r="P22201" s="11"/>
    </row>
    <row r="22202" spans="8:16" x14ac:dyDescent="0.25">
      <c r="H22202" s="12"/>
      <c r="I22202" s="12"/>
      <c r="J22202" s="12"/>
      <c r="K22202" s="12"/>
      <c r="L22202" s="12"/>
      <c r="M22202" s="11"/>
      <c r="N22202" s="11"/>
      <c r="O22202" s="11"/>
      <c r="P22202" s="11"/>
    </row>
    <row r="22203" spans="8:16" x14ac:dyDescent="0.25">
      <c r="H22203" s="12"/>
      <c r="I22203" s="12"/>
      <c r="J22203" s="12"/>
      <c r="K22203" s="12"/>
      <c r="L22203" s="12"/>
      <c r="M22203" s="11"/>
      <c r="N22203" s="11"/>
      <c r="O22203" s="11"/>
      <c r="P22203" s="11"/>
    </row>
    <row r="22204" spans="8:16" x14ac:dyDescent="0.25">
      <c r="H22204" s="12"/>
      <c r="I22204" s="12"/>
      <c r="J22204" s="12"/>
      <c r="K22204" s="12"/>
      <c r="L22204" s="12"/>
      <c r="M22204" s="11"/>
      <c r="N22204" s="11"/>
      <c r="O22204" s="11"/>
      <c r="P22204" s="11"/>
    </row>
    <row r="22205" spans="8:16" x14ac:dyDescent="0.25">
      <c r="H22205" s="12"/>
      <c r="I22205" s="12"/>
      <c r="J22205" s="12"/>
      <c r="K22205" s="12"/>
      <c r="L22205" s="12"/>
      <c r="M22205" s="11"/>
      <c r="N22205" s="11"/>
      <c r="O22205" s="11"/>
      <c r="P22205" s="11"/>
    </row>
    <row r="22206" spans="8:16" x14ac:dyDescent="0.25">
      <c r="H22206" s="12"/>
      <c r="I22206" s="12"/>
      <c r="J22206" s="12"/>
      <c r="K22206" s="12"/>
      <c r="L22206" s="12"/>
      <c r="M22206" s="11"/>
      <c r="N22206" s="11"/>
      <c r="O22206" s="11"/>
      <c r="P22206" s="11"/>
    </row>
    <row r="22207" spans="8:16" x14ac:dyDescent="0.25">
      <c r="H22207" s="12"/>
      <c r="I22207" s="12"/>
      <c r="J22207" s="12"/>
      <c r="K22207" s="12"/>
      <c r="L22207" s="12"/>
      <c r="M22207" s="11"/>
      <c r="N22207" s="11"/>
      <c r="O22207" s="11"/>
      <c r="P22207" s="11"/>
    </row>
    <row r="22208" spans="8:16" x14ac:dyDescent="0.25">
      <c r="H22208" s="12"/>
      <c r="I22208" s="12"/>
      <c r="J22208" s="12"/>
      <c r="K22208" s="12"/>
      <c r="L22208" s="12"/>
      <c r="M22208" s="11"/>
      <c r="N22208" s="11"/>
      <c r="O22208" s="11"/>
      <c r="P22208" s="11"/>
    </row>
    <row r="22209" spans="8:16" x14ac:dyDescent="0.25">
      <c r="H22209" s="12"/>
      <c r="I22209" s="12"/>
      <c r="J22209" s="12"/>
      <c r="K22209" s="12"/>
      <c r="L22209" s="12"/>
      <c r="M22209" s="11"/>
      <c r="N22209" s="11"/>
      <c r="O22209" s="11"/>
      <c r="P22209" s="11"/>
    </row>
    <row r="22210" spans="8:16" x14ac:dyDescent="0.25">
      <c r="H22210" s="12"/>
      <c r="I22210" s="12"/>
      <c r="J22210" s="12"/>
      <c r="K22210" s="12"/>
      <c r="L22210" s="12"/>
      <c r="M22210" s="11"/>
      <c r="N22210" s="11"/>
      <c r="O22210" s="11"/>
      <c r="P22210" s="11"/>
    </row>
    <row r="22211" spans="8:16" x14ac:dyDescent="0.25">
      <c r="H22211" s="12"/>
      <c r="I22211" s="12"/>
      <c r="J22211" s="12"/>
      <c r="K22211" s="12"/>
      <c r="L22211" s="12"/>
      <c r="M22211" s="11"/>
      <c r="N22211" s="11"/>
      <c r="O22211" s="11"/>
      <c r="P22211" s="11"/>
    </row>
    <row r="22212" spans="8:16" x14ac:dyDescent="0.25">
      <c r="H22212" s="12"/>
      <c r="I22212" s="12"/>
      <c r="J22212" s="12"/>
      <c r="K22212" s="12"/>
      <c r="L22212" s="12"/>
      <c r="M22212" s="11"/>
      <c r="N22212" s="11"/>
      <c r="O22212" s="11"/>
      <c r="P22212" s="11"/>
    </row>
    <row r="22213" spans="8:16" x14ac:dyDescent="0.25">
      <c r="H22213" s="12"/>
      <c r="I22213" s="12"/>
      <c r="J22213" s="12"/>
      <c r="K22213" s="12"/>
      <c r="L22213" s="12"/>
      <c r="M22213" s="11"/>
      <c r="N22213" s="11"/>
      <c r="O22213" s="11"/>
      <c r="P22213" s="11"/>
    </row>
    <row r="22214" spans="8:16" x14ac:dyDescent="0.25">
      <c r="H22214" s="12"/>
      <c r="I22214" s="12"/>
      <c r="J22214" s="12"/>
      <c r="K22214" s="12"/>
      <c r="L22214" s="12"/>
      <c r="M22214" s="11"/>
      <c r="N22214" s="11"/>
      <c r="O22214" s="11"/>
      <c r="P22214" s="11"/>
    </row>
    <row r="22215" spans="8:16" x14ac:dyDescent="0.25">
      <c r="H22215" s="12"/>
      <c r="I22215" s="12"/>
      <c r="J22215" s="12"/>
      <c r="K22215" s="12"/>
      <c r="L22215" s="12"/>
      <c r="M22215" s="11"/>
      <c r="N22215" s="11"/>
      <c r="O22215" s="11"/>
      <c r="P22215" s="11"/>
    </row>
    <row r="22216" spans="8:16" x14ac:dyDescent="0.25">
      <c r="H22216" s="12"/>
      <c r="I22216" s="12"/>
      <c r="J22216" s="12"/>
      <c r="K22216" s="12"/>
      <c r="L22216" s="12"/>
      <c r="M22216" s="11"/>
      <c r="N22216" s="11"/>
      <c r="O22216" s="11"/>
      <c r="P22216" s="11"/>
    </row>
    <row r="22217" spans="8:16" x14ac:dyDescent="0.25">
      <c r="H22217" s="12"/>
      <c r="I22217" s="12"/>
      <c r="J22217" s="12"/>
      <c r="K22217" s="12"/>
      <c r="L22217" s="12"/>
      <c r="M22217" s="11"/>
      <c r="N22217" s="11"/>
      <c r="O22217" s="11"/>
      <c r="P22217" s="11"/>
    </row>
    <row r="22218" spans="8:16" x14ac:dyDescent="0.25">
      <c r="H22218" s="12"/>
      <c r="I22218" s="12"/>
      <c r="J22218" s="12"/>
      <c r="K22218" s="12"/>
      <c r="L22218" s="12"/>
      <c r="M22218" s="11"/>
      <c r="N22218" s="11"/>
      <c r="O22218" s="11"/>
      <c r="P22218" s="11"/>
    </row>
    <row r="22219" spans="8:16" x14ac:dyDescent="0.25">
      <c r="H22219" s="12"/>
      <c r="I22219" s="12"/>
      <c r="J22219" s="12"/>
      <c r="K22219" s="12"/>
      <c r="L22219" s="12"/>
      <c r="M22219" s="11"/>
      <c r="N22219" s="11"/>
      <c r="O22219" s="11"/>
      <c r="P22219" s="11"/>
    </row>
    <row r="22220" spans="8:16" x14ac:dyDescent="0.25">
      <c r="H22220" s="12"/>
      <c r="I22220" s="12"/>
      <c r="J22220" s="12"/>
      <c r="K22220" s="12"/>
      <c r="L22220" s="12"/>
      <c r="M22220" s="11"/>
      <c r="N22220" s="11"/>
      <c r="O22220" s="11"/>
      <c r="P22220" s="11"/>
    </row>
    <row r="22221" spans="8:16" x14ac:dyDescent="0.25">
      <c r="H22221" s="12"/>
      <c r="I22221" s="12"/>
      <c r="J22221" s="12"/>
      <c r="K22221" s="12"/>
      <c r="L22221" s="12"/>
      <c r="M22221" s="11"/>
      <c r="N22221" s="11"/>
      <c r="O22221" s="11"/>
      <c r="P22221" s="11"/>
    </row>
    <row r="22222" spans="8:16" x14ac:dyDescent="0.25">
      <c r="H22222" s="12"/>
      <c r="I22222" s="12"/>
      <c r="J22222" s="12"/>
      <c r="K22222" s="12"/>
      <c r="L22222" s="12"/>
      <c r="M22222" s="11"/>
      <c r="N22222" s="11"/>
      <c r="O22222" s="11"/>
      <c r="P22222" s="11"/>
    </row>
    <row r="22223" spans="8:16" x14ac:dyDescent="0.25">
      <c r="H22223" s="12"/>
      <c r="I22223" s="12"/>
      <c r="J22223" s="12"/>
      <c r="K22223" s="12"/>
      <c r="L22223" s="12"/>
      <c r="M22223" s="11"/>
      <c r="N22223" s="11"/>
      <c r="O22223" s="11"/>
      <c r="P22223" s="11"/>
    </row>
    <row r="22224" spans="8:16" x14ac:dyDescent="0.25">
      <c r="H22224" s="12"/>
      <c r="I22224" s="12"/>
      <c r="J22224" s="12"/>
      <c r="K22224" s="12"/>
      <c r="L22224" s="12"/>
      <c r="M22224" s="11"/>
      <c r="N22224" s="11"/>
      <c r="O22224" s="11"/>
      <c r="P22224" s="11"/>
    </row>
    <row r="22225" spans="8:16" x14ac:dyDescent="0.25">
      <c r="H22225" s="12"/>
      <c r="I22225" s="12"/>
      <c r="J22225" s="12"/>
      <c r="K22225" s="12"/>
      <c r="L22225" s="12"/>
      <c r="M22225" s="11"/>
      <c r="N22225" s="11"/>
      <c r="O22225" s="11"/>
      <c r="P22225" s="11"/>
    </row>
    <row r="22226" spans="8:16" x14ac:dyDescent="0.25">
      <c r="H22226" s="12"/>
      <c r="I22226" s="12"/>
      <c r="J22226" s="12"/>
      <c r="K22226" s="12"/>
      <c r="L22226" s="12"/>
      <c r="M22226" s="11"/>
      <c r="N22226" s="11"/>
      <c r="O22226" s="11"/>
      <c r="P22226" s="11"/>
    </row>
    <row r="22227" spans="8:16" x14ac:dyDescent="0.25">
      <c r="H22227" s="12"/>
      <c r="I22227" s="12"/>
      <c r="J22227" s="12"/>
      <c r="K22227" s="12"/>
      <c r="L22227" s="12"/>
      <c r="M22227" s="11"/>
      <c r="N22227" s="11"/>
      <c r="O22227" s="11"/>
      <c r="P22227" s="11"/>
    </row>
    <row r="22228" spans="8:16" x14ac:dyDescent="0.25">
      <c r="H22228" s="12"/>
      <c r="I22228" s="12"/>
      <c r="J22228" s="12"/>
      <c r="K22228" s="12"/>
      <c r="L22228" s="12"/>
      <c r="M22228" s="11"/>
      <c r="N22228" s="11"/>
      <c r="O22228" s="11"/>
      <c r="P22228" s="11"/>
    </row>
    <row r="22229" spans="8:16" x14ac:dyDescent="0.25">
      <c r="H22229" s="12"/>
      <c r="I22229" s="12"/>
      <c r="J22229" s="12"/>
      <c r="K22229" s="12"/>
      <c r="L22229" s="12"/>
      <c r="M22229" s="11"/>
      <c r="N22229" s="11"/>
      <c r="O22229" s="11"/>
      <c r="P22229" s="11"/>
    </row>
    <row r="22230" spans="8:16" x14ac:dyDescent="0.25">
      <c r="H22230" s="12"/>
      <c r="I22230" s="12"/>
      <c r="J22230" s="12"/>
      <c r="K22230" s="12"/>
      <c r="L22230" s="12"/>
      <c r="M22230" s="11"/>
      <c r="N22230" s="11"/>
      <c r="O22230" s="11"/>
      <c r="P22230" s="11"/>
    </row>
    <row r="22231" spans="8:16" x14ac:dyDescent="0.25">
      <c r="H22231" s="12"/>
      <c r="I22231" s="12"/>
      <c r="J22231" s="12"/>
      <c r="K22231" s="12"/>
      <c r="L22231" s="12"/>
      <c r="M22231" s="11"/>
      <c r="N22231" s="11"/>
      <c r="O22231" s="11"/>
      <c r="P22231" s="11"/>
    </row>
    <row r="22232" spans="8:16" x14ac:dyDescent="0.25">
      <c r="H22232" s="12"/>
      <c r="I22232" s="12"/>
      <c r="J22232" s="12"/>
      <c r="K22232" s="12"/>
      <c r="L22232" s="12"/>
      <c r="M22232" s="11"/>
      <c r="N22232" s="11"/>
      <c r="O22232" s="11"/>
      <c r="P22232" s="11"/>
    </row>
    <row r="22233" spans="8:16" x14ac:dyDescent="0.25">
      <c r="H22233" s="12"/>
      <c r="I22233" s="12"/>
      <c r="J22233" s="12"/>
      <c r="K22233" s="12"/>
      <c r="L22233" s="12"/>
      <c r="M22233" s="11"/>
      <c r="N22233" s="11"/>
      <c r="O22233" s="11"/>
      <c r="P22233" s="11"/>
    </row>
    <row r="22234" spans="8:16" x14ac:dyDescent="0.25">
      <c r="H22234" s="12"/>
      <c r="I22234" s="12"/>
      <c r="J22234" s="12"/>
      <c r="K22234" s="12"/>
      <c r="L22234" s="12"/>
      <c r="M22234" s="11"/>
      <c r="N22234" s="11"/>
      <c r="O22234" s="11"/>
      <c r="P22234" s="11"/>
    </row>
    <row r="22235" spans="8:16" x14ac:dyDescent="0.25">
      <c r="H22235" s="12"/>
      <c r="I22235" s="12"/>
      <c r="J22235" s="12"/>
      <c r="K22235" s="12"/>
      <c r="L22235" s="12"/>
      <c r="M22235" s="11"/>
      <c r="N22235" s="11"/>
      <c r="O22235" s="11"/>
      <c r="P22235" s="11"/>
    </row>
    <row r="22236" spans="8:16" x14ac:dyDescent="0.25">
      <c r="H22236" s="12"/>
      <c r="I22236" s="12"/>
      <c r="J22236" s="12"/>
      <c r="K22236" s="12"/>
      <c r="L22236" s="12"/>
      <c r="M22236" s="11"/>
      <c r="N22236" s="11"/>
      <c r="O22236" s="11"/>
      <c r="P22236" s="11"/>
    </row>
    <row r="22237" spans="8:16" x14ac:dyDescent="0.25">
      <c r="H22237" s="12"/>
      <c r="I22237" s="12"/>
      <c r="J22237" s="12"/>
      <c r="K22237" s="12"/>
      <c r="L22237" s="12"/>
      <c r="M22237" s="11"/>
      <c r="N22237" s="11"/>
      <c r="O22237" s="11"/>
      <c r="P22237" s="11"/>
    </row>
    <row r="22238" spans="8:16" x14ac:dyDescent="0.25">
      <c r="H22238" s="12"/>
      <c r="I22238" s="12"/>
      <c r="J22238" s="12"/>
      <c r="K22238" s="12"/>
      <c r="L22238" s="12"/>
      <c r="M22238" s="11"/>
      <c r="N22238" s="11"/>
      <c r="O22238" s="11"/>
      <c r="P22238" s="11"/>
    </row>
    <row r="22239" spans="8:16" x14ac:dyDescent="0.25">
      <c r="H22239" s="12"/>
      <c r="I22239" s="12"/>
      <c r="J22239" s="12"/>
      <c r="K22239" s="12"/>
      <c r="L22239" s="12"/>
      <c r="M22239" s="11"/>
      <c r="N22239" s="11"/>
      <c r="O22239" s="11"/>
      <c r="P22239" s="11"/>
    </row>
    <row r="22240" spans="8:16" x14ac:dyDescent="0.25">
      <c r="H22240" s="12"/>
      <c r="I22240" s="12"/>
      <c r="J22240" s="12"/>
      <c r="K22240" s="12"/>
      <c r="L22240" s="12"/>
      <c r="M22240" s="11"/>
      <c r="N22240" s="11"/>
      <c r="O22240" s="11"/>
      <c r="P22240" s="11"/>
    </row>
    <row r="22241" spans="8:16" x14ac:dyDescent="0.25">
      <c r="H22241" s="12"/>
      <c r="I22241" s="12"/>
      <c r="J22241" s="12"/>
      <c r="K22241" s="12"/>
      <c r="L22241" s="12"/>
      <c r="M22241" s="11"/>
      <c r="N22241" s="11"/>
      <c r="O22241" s="11"/>
      <c r="P22241" s="11"/>
    </row>
    <row r="22242" spans="8:16" x14ac:dyDescent="0.25">
      <c r="H22242" s="12"/>
      <c r="I22242" s="12"/>
      <c r="J22242" s="12"/>
      <c r="K22242" s="12"/>
      <c r="L22242" s="12"/>
      <c r="M22242" s="11"/>
      <c r="N22242" s="11"/>
      <c r="O22242" s="11"/>
      <c r="P22242" s="11"/>
    </row>
    <row r="22243" spans="8:16" x14ac:dyDescent="0.25">
      <c r="H22243" s="12"/>
      <c r="I22243" s="12"/>
      <c r="J22243" s="12"/>
      <c r="K22243" s="12"/>
      <c r="L22243" s="12"/>
      <c r="M22243" s="11"/>
      <c r="N22243" s="11"/>
      <c r="O22243" s="11"/>
      <c r="P22243" s="11"/>
    </row>
    <row r="22244" spans="8:16" x14ac:dyDescent="0.25">
      <c r="H22244" s="12"/>
      <c r="I22244" s="12"/>
      <c r="J22244" s="12"/>
      <c r="K22244" s="12"/>
      <c r="L22244" s="12"/>
      <c r="M22244" s="11"/>
      <c r="N22244" s="11"/>
      <c r="O22244" s="11"/>
      <c r="P22244" s="11"/>
    </row>
    <row r="22245" spans="8:16" x14ac:dyDescent="0.25">
      <c r="H22245" s="12"/>
      <c r="I22245" s="12"/>
      <c r="J22245" s="12"/>
      <c r="K22245" s="12"/>
      <c r="L22245" s="12"/>
      <c r="M22245" s="11"/>
      <c r="N22245" s="11"/>
      <c r="O22245" s="11"/>
      <c r="P22245" s="11"/>
    </row>
    <row r="22246" spans="8:16" x14ac:dyDescent="0.25">
      <c r="H22246" s="12"/>
      <c r="I22246" s="12"/>
      <c r="J22246" s="12"/>
      <c r="K22246" s="12"/>
      <c r="L22246" s="12"/>
      <c r="M22246" s="11"/>
      <c r="N22246" s="11"/>
      <c r="O22246" s="11"/>
      <c r="P22246" s="11"/>
    </row>
    <row r="22247" spans="8:16" x14ac:dyDescent="0.25">
      <c r="H22247" s="12"/>
      <c r="I22247" s="12"/>
      <c r="J22247" s="12"/>
      <c r="K22247" s="12"/>
      <c r="L22247" s="12"/>
      <c r="M22247" s="11"/>
      <c r="N22247" s="11"/>
      <c r="O22247" s="11"/>
      <c r="P22247" s="11"/>
    </row>
    <row r="22248" spans="8:16" x14ac:dyDescent="0.25">
      <c r="H22248" s="12"/>
      <c r="I22248" s="12"/>
      <c r="J22248" s="12"/>
      <c r="K22248" s="12"/>
      <c r="L22248" s="12"/>
      <c r="M22248" s="11"/>
      <c r="N22248" s="11"/>
      <c r="O22248" s="11"/>
      <c r="P22248" s="11"/>
    </row>
    <row r="22249" spans="8:16" x14ac:dyDescent="0.25">
      <c r="H22249" s="12"/>
      <c r="I22249" s="12"/>
      <c r="J22249" s="12"/>
      <c r="K22249" s="12"/>
      <c r="L22249" s="12"/>
      <c r="M22249" s="11"/>
      <c r="N22249" s="11"/>
      <c r="O22249" s="11"/>
      <c r="P22249" s="11"/>
    </row>
    <row r="22250" spans="8:16" x14ac:dyDescent="0.25">
      <c r="H22250" s="12"/>
      <c r="I22250" s="12"/>
      <c r="J22250" s="12"/>
      <c r="K22250" s="12"/>
      <c r="L22250" s="12"/>
      <c r="M22250" s="11"/>
      <c r="N22250" s="11"/>
      <c r="O22250" s="11"/>
      <c r="P22250" s="11"/>
    </row>
    <row r="22251" spans="8:16" x14ac:dyDescent="0.25">
      <c r="H22251" s="12"/>
      <c r="I22251" s="12"/>
      <c r="J22251" s="12"/>
      <c r="K22251" s="12"/>
      <c r="L22251" s="12"/>
      <c r="M22251" s="11"/>
      <c r="N22251" s="11"/>
      <c r="O22251" s="11"/>
      <c r="P22251" s="11"/>
    </row>
    <row r="22252" spans="8:16" x14ac:dyDescent="0.25">
      <c r="H22252" s="12"/>
      <c r="I22252" s="12"/>
      <c r="J22252" s="12"/>
      <c r="K22252" s="12"/>
      <c r="L22252" s="12"/>
      <c r="M22252" s="11"/>
      <c r="N22252" s="11"/>
      <c r="O22252" s="11"/>
      <c r="P22252" s="11"/>
    </row>
    <row r="22253" spans="8:16" x14ac:dyDescent="0.25">
      <c r="H22253" s="12"/>
      <c r="I22253" s="12"/>
      <c r="J22253" s="12"/>
      <c r="K22253" s="12"/>
      <c r="L22253" s="12"/>
      <c r="M22253" s="11"/>
      <c r="N22253" s="11"/>
      <c r="O22253" s="11"/>
      <c r="P22253" s="11"/>
    </row>
    <row r="22254" spans="8:16" x14ac:dyDescent="0.25">
      <c r="H22254" s="12"/>
      <c r="I22254" s="12"/>
      <c r="J22254" s="12"/>
      <c r="K22254" s="12"/>
      <c r="L22254" s="12"/>
      <c r="M22254" s="11"/>
      <c r="N22254" s="11"/>
      <c r="O22254" s="11"/>
      <c r="P22254" s="11"/>
    </row>
    <row r="22255" spans="8:16" x14ac:dyDescent="0.25">
      <c r="H22255" s="12"/>
      <c r="I22255" s="12"/>
      <c r="J22255" s="12"/>
      <c r="K22255" s="12"/>
      <c r="L22255" s="12"/>
      <c r="M22255" s="11"/>
      <c r="N22255" s="11"/>
      <c r="O22255" s="11"/>
      <c r="P22255" s="11"/>
    </row>
    <row r="22256" spans="8:16" x14ac:dyDescent="0.25">
      <c r="H22256" s="12"/>
      <c r="I22256" s="12"/>
      <c r="J22256" s="12"/>
      <c r="K22256" s="12"/>
      <c r="L22256" s="12"/>
      <c r="M22256" s="11"/>
      <c r="N22256" s="11"/>
      <c r="O22256" s="11"/>
      <c r="P22256" s="11"/>
    </row>
    <row r="22257" spans="8:16" x14ac:dyDescent="0.25">
      <c r="H22257" s="12"/>
      <c r="I22257" s="12"/>
      <c r="J22257" s="12"/>
      <c r="K22257" s="12"/>
      <c r="L22257" s="12"/>
      <c r="M22257" s="11"/>
      <c r="N22257" s="11"/>
      <c r="O22257" s="11"/>
      <c r="P22257" s="11"/>
    </row>
    <row r="22258" spans="8:16" x14ac:dyDescent="0.25">
      <c r="H22258" s="12"/>
      <c r="I22258" s="12"/>
      <c r="J22258" s="12"/>
      <c r="K22258" s="12"/>
      <c r="L22258" s="12"/>
      <c r="M22258" s="11"/>
      <c r="N22258" s="11"/>
      <c r="O22258" s="11"/>
      <c r="P22258" s="11"/>
    </row>
    <row r="22259" spans="8:16" x14ac:dyDescent="0.25">
      <c r="H22259" s="12"/>
      <c r="I22259" s="12"/>
      <c r="J22259" s="12"/>
      <c r="K22259" s="12"/>
      <c r="L22259" s="12"/>
      <c r="M22259" s="11"/>
      <c r="N22259" s="11"/>
      <c r="O22259" s="11"/>
      <c r="P22259" s="11"/>
    </row>
    <row r="22260" spans="8:16" x14ac:dyDescent="0.25">
      <c r="H22260" s="12"/>
      <c r="I22260" s="12"/>
      <c r="J22260" s="12"/>
      <c r="K22260" s="12"/>
      <c r="L22260" s="12"/>
      <c r="M22260" s="11"/>
      <c r="N22260" s="11"/>
      <c r="O22260" s="11"/>
      <c r="P22260" s="11"/>
    </row>
    <row r="22261" spans="8:16" x14ac:dyDescent="0.25">
      <c r="H22261" s="12"/>
      <c r="I22261" s="12"/>
      <c r="J22261" s="12"/>
      <c r="K22261" s="12"/>
      <c r="L22261" s="12"/>
      <c r="M22261" s="11"/>
      <c r="N22261" s="11"/>
      <c r="O22261" s="11"/>
      <c r="P22261" s="11"/>
    </row>
    <row r="22262" spans="8:16" x14ac:dyDescent="0.25">
      <c r="H22262" s="12"/>
      <c r="I22262" s="12"/>
      <c r="J22262" s="12"/>
      <c r="K22262" s="12"/>
      <c r="L22262" s="12"/>
      <c r="M22262" s="11"/>
      <c r="N22262" s="11"/>
      <c r="O22262" s="11"/>
      <c r="P22262" s="11"/>
    </row>
    <row r="22263" spans="8:16" x14ac:dyDescent="0.25">
      <c r="H22263" s="12"/>
      <c r="I22263" s="12"/>
      <c r="J22263" s="12"/>
      <c r="K22263" s="12"/>
      <c r="L22263" s="12"/>
      <c r="M22263" s="11"/>
      <c r="N22263" s="11"/>
      <c r="O22263" s="11"/>
      <c r="P22263" s="11"/>
    </row>
    <row r="22264" spans="8:16" x14ac:dyDescent="0.25">
      <c r="H22264" s="12"/>
      <c r="I22264" s="12"/>
      <c r="J22264" s="12"/>
      <c r="K22264" s="12"/>
      <c r="L22264" s="12"/>
      <c r="M22264" s="11"/>
      <c r="N22264" s="11"/>
      <c r="O22264" s="11"/>
      <c r="P22264" s="11"/>
    </row>
    <row r="22265" spans="8:16" x14ac:dyDescent="0.25">
      <c r="H22265" s="12"/>
      <c r="I22265" s="12"/>
      <c r="J22265" s="12"/>
      <c r="K22265" s="12"/>
      <c r="L22265" s="12"/>
      <c r="M22265" s="11"/>
      <c r="N22265" s="11"/>
      <c r="O22265" s="11"/>
      <c r="P22265" s="11"/>
    </row>
    <row r="22266" spans="8:16" x14ac:dyDescent="0.25">
      <c r="H22266" s="12"/>
      <c r="I22266" s="12"/>
      <c r="J22266" s="12"/>
      <c r="K22266" s="12"/>
      <c r="L22266" s="12"/>
      <c r="M22266" s="11"/>
      <c r="N22266" s="11"/>
      <c r="O22266" s="11"/>
      <c r="P22266" s="11"/>
    </row>
    <row r="22267" spans="8:16" x14ac:dyDescent="0.25">
      <c r="H22267" s="12"/>
      <c r="I22267" s="12"/>
      <c r="J22267" s="12"/>
      <c r="K22267" s="12"/>
      <c r="L22267" s="12"/>
      <c r="M22267" s="11"/>
      <c r="N22267" s="11"/>
      <c r="O22267" s="11"/>
      <c r="P22267" s="11"/>
    </row>
    <row r="22268" spans="8:16" x14ac:dyDescent="0.25">
      <c r="H22268" s="12"/>
      <c r="I22268" s="12"/>
      <c r="J22268" s="12"/>
      <c r="K22268" s="12"/>
      <c r="L22268" s="12"/>
      <c r="M22268" s="11"/>
      <c r="N22268" s="11"/>
      <c r="O22268" s="11"/>
      <c r="P22268" s="11"/>
    </row>
    <row r="22269" spans="8:16" x14ac:dyDescent="0.25">
      <c r="H22269" s="12"/>
      <c r="I22269" s="12"/>
      <c r="J22269" s="12"/>
      <c r="K22269" s="12"/>
      <c r="L22269" s="12"/>
      <c r="M22269" s="11"/>
      <c r="N22269" s="11"/>
      <c r="O22269" s="11"/>
      <c r="P22269" s="11"/>
    </row>
    <row r="22270" spans="8:16" x14ac:dyDescent="0.25">
      <c r="H22270" s="12"/>
      <c r="I22270" s="12"/>
      <c r="J22270" s="12"/>
      <c r="K22270" s="12"/>
      <c r="L22270" s="12"/>
      <c r="M22270" s="11"/>
      <c r="N22270" s="11"/>
      <c r="O22270" s="11"/>
      <c r="P22270" s="11"/>
    </row>
    <row r="22271" spans="8:16" x14ac:dyDescent="0.25">
      <c r="H22271" s="12"/>
      <c r="I22271" s="12"/>
      <c r="J22271" s="12"/>
      <c r="K22271" s="12"/>
      <c r="L22271" s="12"/>
      <c r="M22271" s="11"/>
      <c r="N22271" s="11"/>
      <c r="O22271" s="11"/>
      <c r="P22271" s="11"/>
    </row>
    <row r="22272" spans="8:16" x14ac:dyDescent="0.25">
      <c r="H22272" s="12"/>
      <c r="I22272" s="12"/>
      <c r="J22272" s="12"/>
      <c r="K22272" s="12"/>
      <c r="L22272" s="12"/>
      <c r="M22272" s="11"/>
      <c r="N22272" s="11"/>
      <c r="O22272" s="11"/>
      <c r="P22272" s="11"/>
    </row>
    <row r="22273" spans="8:16" x14ac:dyDescent="0.25">
      <c r="H22273" s="12"/>
      <c r="I22273" s="12"/>
      <c r="J22273" s="12"/>
      <c r="K22273" s="12"/>
      <c r="L22273" s="12"/>
      <c r="M22273" s="11"/>
      <c r="N22273" s="11"/>
      <c r="O22273" s="11"/>
      <c r="P22273" s="11"/>
    </row>
    <row r="22274" spans="8:16" x14ac:dyDescent="0.25">
      <c r="H22274" s="12"/>
      <c r="I22274" s="12"/>
      <c r="J22274" s="12"/>
      <c r="K22274" s="12"/>
      <c r="L22274" s="12"/>
      <c r="M22274" s="11"/>
      <c r="N22274" s="11"/>
      <c r="O22274" s="11"/>
      <c r="P22274" s="11"/>
    </row>
    <row r="22275" spans="8:16" x14ac:dyDescent="0.25">
      <c r="H22275" s="12"/>
      <c r="I22275" s="12"/>
      <c r="J22275" s="12"/>
      <c r="K22275" s="12"/>
      <c r="L22275" s="12"/>
      <c r="M22275" s="11"/>
      <c r="N22275" s="11"/>
      <c r="O22275" s="11"/>
      <c r="P22275" s="11"/>
    </row>
    <row r="22276" spans="8:16" x14ac:dyDescent="0.25">
      <c r="H22276" s="12"/>
      <c r="I22276" s="12"/>
      <c r="J22276" s="12"/>
      <c r="K22276" s="12"/>
      <c r="L22276" s="12"/>
      <c r="M22276" s="11"/>
      <c r="N22276" s="11"/>
      <c r="O22276" s="11"/>
      <c r="P22276" s="11"/>
    </row>
    <row r="22277" spans="8:16" x14ac:dyDescent="0.25">
      <c r="H22277" s="12"/>
      <c r="I22277" s="12"/>
      <c r="J22277" s="12"/>
      <c r="K22277" s="12"/>
      <c r="L22277" s="12"/>
      <c r="M22277" s="11"/>
      <c r="N22277" s="11"/>
      <c r="O22277" s="11"/>
      <c r="P22277" s="11"/>
    </row>
    <row r="22278" spans="8:16" x14ac:dyDescent="0.25">
      <c r="H22278" s="12"/>
      <c r="I22278" s="12"/>
      <c r="J22278" s="12"/>
      <c r="K22278" s="12"/>
      <c r="L22278" s="12"/>
      <c r="M22278" s="11"/>
      <c r="N22278" s="11"/>
      <c r="O22278" s="11"/>
      <c r="P22278" s="11"/>
    </row>
    <row r="22279" spans="8:16" x14ac:dyDescent="0.25">
      <c r="H22279" s="12"/>
      <c r="I22279" s="12"/>
      <c r="J22279" s="12"/>
      <c r="K22279" s="12"/>
      <c r="L22279" s="12"/>
      <c r="M22279" s="11"/>
      <c r="N22279" s="11"/>
      <c r="O22279" s="11"/>
      <c r="P22279" s="11"/>
    </row>
    <row r="22280" spans="8:16" x14ac:dyDescent="0.25">
      <c r="H22280" s="12"/>
      <c r="I22280" s="12"/>
      <c r="J22280" s="12"/>
      <c r="K22280" s="12"/>
      <c r="L22280" s="12"/>
      <c r="M22280" s="11"/>
      <c r="N22280" s="11"/>
      <c r="O22280" s="11"/>
      <c r="P22280" s="11"/>
    </row>
    <row r="22281" spans="8:16" x14ac:dyDescent="0.25">
      <c r="H22281" s="12"/>
      <c r="I22281" s="12"/>
      <c r="J22281" s="12"/>
      <c r="K22281" s="12"/>
      <c r="L22281" s="12"/>
      <c r="M22281" s="11"/>
      <c r="N22281" s="11"/>
      <c r="O22281" s="11"/>
      <c r="P22281" s="11"/>
    </row>
    <row r="22282" spans="8:16" x14ac:dyDescent="0.25">
      <c r="H22282" s="12"/>
      <c r="I22282" s="12"/>
      <c r="J22282" s="12"/>
      <c r="K22282" s="12"/>
      <c r="L22282" s="12"/>
      <c r="M22282" s="11"/>
      <c r="N22282" s="11"/>
      <c r="O22282" s="11"/>
      <c r="P22282" s="11"/>
    </row>
    <row r="22283" spans="8:16" x14ac:dyDescent="0.25">
      <c r="H22283" s="12"/>
      <c r="I22283" s="12"/>
      <c r="J22283" s="12"/>
      <c r="K22283" s="12"/>
      <c r="L22283" s="12"/>
      <c r="M22283" s="11"/>
      <c r="N22283" s="11"/>
      <c r="O22283" s="11"/>
      <c r="P22283" s="11"/>
    </row>
    <row r="22284" spans="8:16" x14ac:dyDescent="0.25">
      <c r="H22284" s="12"/>
      <c r="I22284" s="12"/>
      <c r="J22284" s="12"/>
      <c r="K22284" s="12"/>
      <c r="L22284" s="12"/>
      <c r="M22284" s="11"/>
      <c r="N22284" s="11"/>
      <c r="O22284" s="11"/>
      <c r="P22284" s="11"/>
    </row>
    <row r="22285" spans="8:16" x14ac:dyDescent="0.25">
      <c r="H22285" s="12"/>
      <c r="I22285" s="12"/>
      <c r="J22285" s="12"/>
      <c r="K22285" s="12"/>
      <c r="L22285" s="12"/>
      <c r="M22285" s="11"/>
      <c r="N22285" s="11"/>
      <c r="O22285" s="11"/>
      <c r="P22285" s="11"/>
    </row>
    <row r="22286" spans="8:16" x14ac:dyDescent="0.25">
      <c r="H22286" s="12"/>
      <c r="I22286" s="12"/>
      <c r="J22286" s="12"/>
      <c r="K22286" s="12"/>
      <c r="L22286" s="12"/>
      <c r="M22286" s="11"/>
      <c r="N22286" s="11"/>
      <c r="O22286" s="11"/>
      <c r="P22286" s="11"/>
    </row>
    <row r="22287" spans="8:16" x14ac:dyDescent="0.25">
      <c r="H22287" s="12"/>
      <c r="I22287" s="12"/>
      <c r="J22287" s="12"/>
      <c r="K22287" s="12"/>
      <c r="L22287" s="12"/>
      <c r="M22287" s="11"/>
      <c r="N22287" s="11"/>
      <c r="O22287" s="11"/>
      <c r="P22287" s="11"/>
    </row>
    <row r="22288" spans="8:16" x14ac:dyDescent="0.25">
      <c r="H22288" s="12"/>
      <c r="I22288" s="12"/>
      <c r="J22288" s="12"/>
      <c r="K22288" s="12"/>
      <c r="L22288" s="12"/>
      <c r="M22288" s="11"/>
      <c r="N22288" s="11"/>
      <c r="O22288" s="11"/>
      <c r="P22288" s="11"/>
    </row>
    <row r="22289" spans="8:16" x14ac:dyDescent="0.25">
      <c r="H22289" s="12"/>
      <c r="I22289" s="12"/>
      <c r="J22289" s="12"/>
      <c r="K22289" s="12"/>
      <c r="L22289" s="12"/>
      <c r="M22289" s="11"/>
      <c r="N22289" s="11"/>
      <c r="O22289" s="11"/>
      <c r="P22289" s="11"/>
    </row>
    <row r="22290" spans="8:16" x14ac:dyDescent="0.25">
      <c r="H22290" s="12"/>
      <c r="I22290" s="12"/>
      <c r="J22290" s="12"/>
      <c r="K22290" s="12"/>
      <c r="L22290" s="12"/>
      <c r="M22290" s="11"/>
      <c r="N22290" s="11"/>
      <c r="O22290" s="11"/>
      <c r="P22290" s="11"/>
    </row>
    <row r="22291" spans="8:16" x14ac:dyDescent="0.25">
      <c r="H22291" s="12"/>
      <c r="I22291" s="12"/>
      <c r="J22291" s="12"/>
      <c r="K22291" s="12"/>
      <c r="L22291" s="12"/>
      <c r="M22291" s="11"/>
      <c r="N22291" s="11"/>
      <c r="O22291" s="11"/>
      <c r="P22291" s="11"/>
    </row>
    <row r="22292" spans="8:16" x14ac:dyDescent="0.25">
      <c r="H22292" s="12"/>
      <c r="I22292" s="12"/>
      <c r="J22292" s="12"/>
      <c r="K22292" s="12"/>
      <c r="L22292" s="12"/>
      <c r="M22292" s="11"/>
      <c r="N22292" s="11"/>
      <c r="O22292" s="11"/>
      <c r="P22292" s="11"/>
    </row>
    <row r="22293" spans="8:16" x14ac:dyDescent="0.25">
      <c r="H22293" s="12"/>
      <c r="I22293" s="12"/>
      <c r="J22293" s="12"/>
      <c r="K22293" s="12"/>
      <c r="L22293" s="12"/>
      <c r="M22293" s="11"/>
      <c r="N22293" s="11"/>
      <c r="O22293" s="11"/>
      <c r="P22293" s="11"/>
    </row>
    <row r="22294" spans="8:16" x14ac:dyDescent="0.25">
      <c r="H22294" s="12"/>
      <c r="I22294" s="12"/>
      <c r="J22294" s="12"/>
      <c r="K22294" s="12"/>
      <c r="L22294" s="12"/>
      <c r="M22294" s="11"/>
      <c r="N22294" s="11"/>
      <c r="O22294" s="11"/>
      <c r="P22294" s="11"/>
    </row>
    <row r="22295" spans="8:16" x14ac:dyDescent="0.25">
      <c r="H22295" s="12"/>
      <c r="I22295" s="12"/>
      <c r="J22295" s="12"/>
      <c r="K22295" s="12"/>
      <c r="L22295" s="12"/>
      <c r="M22295" s="11"/>
      <c r="N22295" s="11"/>
      <c r="O22295" s="11"/>
      <c r="P22295" s="11"/>
    </row>
    <row r="22296" spans="8:16" x14ac:dyDescent="0.25">
      <c r="H22296" s="12"/>
      <c r="I22296" s="12"/>
      <c r="J22296" s="12"/>
      <c r="K22296" s="12"/>
      <c r="L22296" s="12"/>
      <c r="M22296" s="11"/>
      <c r="N22296" s="11"/>
      <c r="O22296" s="11"/>
      <c r="P22296" s="11"/>
    </row>
    <row r="22297" spans="8:16" x14ac:dyDescent="0.25">
      <c r="H22297" s="12"/>
      <c r="I22297" s="12"/>
      <c r="J22297" s="12"/>
      <c r="K22297" s="12"/>
      <c r="L22297" s="12"/>
      <c r="M22297" s="11"/>
      <c r="N22297" s="11"/>
      <c r="O22297" s="11"/>
      <c r="P22297" s="11"/>
    </row>
    <row r="22298" spans="8:16" x14ac:dyDescent="0.25">
      <c r="H22298" s="12"/>
      <c r="I22298" s="12"/>
      <c r="J22298" s="12"/>
      <c r="K22298" s="12"/>
      <c r="L22298" s="12"/>
      <c r="M22298" s="11"/>
      <c r="N22298" s="11"/>
      <c r="O22298" s="11"/>
      <c r="P22298" s="11"/>
    </row>
    <row r="22299" spans="8:16" x14ac:dyDescent="0.25">
      <c r="H22299" s="12"/>
      <c r="I22299" s="12"/>
      <c r="J22299" s="12"/>
      <c r="K22299" s="12"/>
      <c r="L22299" s="12"/>
      <c r="M22299" s="11"/>
      <c r="N22299" s="11"/>
      <c r="O22299" s="11"/>
      <c r="P22299" s="11"/>
    </row>
    <row r="22300" spans="8:16" x14ac:dyDescent="0.25">
      <c r="H22300" s="12"/>
      <c r="I22300" s="12"/>
      <c r="J22300" s="12"/>
      <c r="K22300" s="12"/>
      <c r="L22300" s="12"/>
      <c r="M22300" s="11"/>
      <c r="N22300" s="11"/>
      <c r="O22300" s="11"/>
      <c r="P22300" s="11"/>
    </row>
    <row r="22301" spans="8:16" x14ac:dyDescent="0.25">
      <c r="H22301" s="12"/>
      <c r="I22301" s="12"/>
      <c r="J22301" s="12"/>
      <c r="K22301" s="12"/>
      <c r="L22301" s="12"/>
      <c r="M22301" s="11"/>
      <c r="N22301" s="11"/>
      <c r="O22301" s="11"/>
      <c r="P22301" s="11"/>
    </row>
    <row r="22302" spans="8:16" x14ac:dyDescent="0.25">
      <c r="H22302" s="12"/>
      <c r="I22302" s="12"/>
      <c r="J22302" s="12"/>
      <c r="K22302" s="12"/>
      <c r="L22302" s="12"/>
      <c r="M22302" s="11"/>
      <c r="N22302" s="11"/>
      <c r="O22302" s="11"/>
      <c r="P22302" s="11"/>
    </row>
    <row r="22303" spans="8:16" x14ac:dyDescent="0.25">
      <c r="H22303" s="12"/>
      <c r="I22303" s="12"/>
      <c r="J22303" s="12"/>
      <c r="K22303" s="12"/>
      <c r="L22303" s="12"/>
      <c r="M22303" s="11"/>
      <c r="N22303" s="11"/>
      <c r="O22303" s="11"/>
      <c r="P22303" s="11"/>
    </row>
    <row r="22304" spans="8:16" x14ac:dyDescent="0.25">
      <c r="H22304" s="12"/>
      <c r="I22304" s="12"/>
      <c r="J22304" s="12"/>
      <c r="K22304" s="12"/>
      <c r="L22304" s="12"/>
      <c r="M22304" s="11"/>
      <c r="N22304" s="11"/>
      <c r="O22304" s="11"/>
      <c r="P22304" s="11"/>
    </row>
    <row r="22305" spans="8:16" x14ac:dyDescent="0.25">
      <c r="H22305" s="12"/>
      <c r="I22305" s="12"/>
      <c r="J22305" s="12"/>
      <c r="K22305" s="12"/>
      <c r="L22305" s="12"/>
      <c r="M22305" s="11"/>
      <c r="N22305" s="11"/>
      <c r="O22305" s="11"/>
      <c r="P22305" s="11"/>
    </row>
    <row r="22306" spans="8:16" x14ac:dyDescent="0.25">
      <c r="H22306" s="12"/>
      <c r="I22306" s="12"/>
      <c r="J22306" s="12"/>
      <c r="K22306" s="12"/>
      <c r="L22306" s="12"/>
      <c r="M22306" s="11"/>
      <c r="N22306" s="11"/>
      <c r="O22306" s="11"/>
      <c r="P22306" s="11"/>
    </row>
    <row r="22307" spans="8:16" x14ac:dyDescent="0.25">
      <c r="H22307" s="12"/>
      <c r="I22307" s="12"/>
      <c r="J22307" s="12"/>
      <c r="K22307" s="12"/>
      <c r="L22307" s="12"/>
      <c r="M22307" s="11"/>
      <c r="N22307" s="11"/>
      <c r="O22307" s="11"/>
      <c r="P22307" s="11"/>
    </row>
    <row r="22308" spans="8:16" x14ac:dyDescent="0.25">
      <c r="H22308" s="12"/>
      <c r="I22308" s="12"/>
      <c r="J22308" s="12"/>
      <c r="K22308" s="12"/>
      <c r="L22308" s="12"/>
      <c r="M22308" s="11"/>
      <c r="N22308" s="11"/>
      <c r="O22308" s="11"/>
      <c r="P22308" s="11"/>
    </row>
    <row r="22309" spans="8:16" x14ac:dyDescent="0.25">
      <c r="H22309" s="12"/>
      <c r="I22309" s="12"/>
      <c r="J22309" s="12"/>
      <c r="K22309" s="12"/>
      <c r="L22309" s="12"/>
      <c r="M22309" s="11"/>
      <c r="N22309" s="11"/>
      <c r="O22309" s="11"/>
      <c r="P22309" s="11"/>
    </row>
    <row r="22310" spans="8:16" x14ac:dyDescent="0.25">
      <c r="H22310" s="12"/>
      <c r="I22310" s="12"/>
      <c r="J22310" s="12"/>
      <c r="K22310" s="12"/>
      <c r="L22310" s="12"/>
      <c r="M22310" s="11"/>
      <c r="N22310" s="11"/>
      <c r="O22310" s="11"/>
      <c r="P22310" s="11"/>
    </row>
    <row r="22311" spans="8:16" x14ac:dyDescent="0.25">
      <c r="H22311" s="12"/>
      <c r="I22311" s="12"/>
      <c r="J22311" s="12"/>
      <c r="K22311" s="12"/>
      <c r="L22311" s="12"/>
      <c r="M22311" s="11"/>
      <c r="N22311" s="11"/>
      <c r="O22311" s="11"/>
      <c r="P22311" s="11"/>
    </row>
    <row r="22312" spans="8:16" x14ac:dyDescent="0.25">
      <c r="H22312" s="12"/>
      <c r="I22312" s="12"/>
      <c r="J22312" s="12"/>
      <c r="K22312" s="12"/>
      <c r="L22312" s="12"/>
      <c r="M22312" s="11"/>
      <c r="N22312" s="11"/>
      <c r="O22312" s="11"/>
      <c r="P22312" s="11"/>
    </row>
    <row r="22313" spans="8:16" x14ac:dyDescent="0.25">
      <c r="H22313" s="12"/>
      <c r="I22313" s="12"/>
      <c r="J22313" s="12"/>
      <c r="K22313" s="12"/>
      <c r="L22313" s="12"/>
      <c r="M22313" s="11"/>
      <c r="N22313" s="11"/>
      <c r="O22313" s="11"/>
      <c r="P22313" s="11"/>
    </row>
    <row r="22314" spans="8:16" x14ac:dyDescent="0.25">
      <c r="H22314" s="12"/>
      <c r="I22314" s="12"/>
      <c r="J22314" s="12"/>
      <c r="K22314" s="12"/>
      <c r="L22314" s="12"/>
      <c r="M22314" s="11"/>
      <c r="N22314" s="11"/>
      <c r="O22314" s="11"/>
      <c r="P22314" s="11"/>
    </row>
    <row r="22315" spans="8:16" x14ac:dyDescent="0.25">
      <c r="H22315" s="12"/>
      <c r="I22315" s="12"/>
      <c r="J22315" s="12"/>
      <c r="K22315" s="12"/>
      <c r="L22315" s="12"/>
      <c r="M22315" s="11"/>
      <c r="N22315" s="11"/>
      <c r="O22315" s="11"/>
      <c r="P22315" s="11"/>
    </row>
    <row r="22316" spans="8:16" x14ac:dyDescent="0.25">
      <c r="H22316" s="12"/>
      <c r="I22316" s="12"/>
      <c r="J22316" s="12"/>
      <c r="K22316" s="12"/>
      <c r="L22316" s="12"/>
      <c r="M22316" s="11"/>
      <c r="N22316" s="11"/>
      <c r="O22316" s="11"/>
      <c r="P22316" s="11"/>
    </row>
    <row r="22317" spans="8:16" x14ac:dyDescent="0.25">
      <c r="H22317" s="12"/>
      <c r="I22317" s="12"/>
      <c r="J22317" s="12"/>
      <c r="K22317" s="12"/>
      <c r="L22317" s="12"/>
      <c r="M22317" s="11"/>
      <c r="N22317" s="11"/>
      <c r="O22317" s="11"/>
      <c r="P22317" s="11"/>
    </row>
    <row r="22318" spans="8:16" x14ac:dyDescent="0.25">
      <c r="H22318" s="12"/>
      <c r="I22318" s="12"/>
      <c r="J22318" s="12"/>
      <c r="K22318" s="12"/>
      <c r="L22318" s="12"/>
      <c r="M22318" s="11"/>
      <c r="N22318" s="11"/>
      <c r="O22318" s="11"/>
      <c r="P22318" s="11"/>
    </row>
    <row r="22319" spans="8:16" x14ac:dyDescent="0.25">
      <c r="H22319" s="12"/>
      <c r="I22319" s="12"/>
      <c r="J22319" s="12"/>
      <c r="K22319" s="12"/>
      <c r="L22319" s="12"/>
      <c r="M22319" s="11"/>
      <c r="N22319" s="11"/>
      <c r="O22319" s="11"/>
      <c r="P22319" s="11"/>
    </row>
    <row r="22320" spans="8:16" x14ac:dyDescent="0.25">
      <c r="H22320" s="12"/>
      <c r="I22320" s="12"/>
      <c r="J22320" s="12"/>
      <c r="K22320" s="12"/>
      <c r="L22320" s="12"/>
      <c r="M22320" s="11"/>
      <c r="N22320" s="11"/>
      <c r="O22320" s="11"/>
      <c r="P22320" s="11"/>
    </row>
    <row r="22321" spans="8:16" x14ac:dyDescent="0.25">
      <c r="H22321" s="12"/>
      <c r="I22321" s="12"/>
      <c r="J22321" s="12"/>
      <c r="K22321" s="12"/>
      <c r="L22321" s="12"/>
      <c r="M22321" s="11"/>
      <c r="N22321" s="11"/>
      <c r="O22321" s="11"/>
      <c r="P22321" s="11"/>
    </row>
    <row r="22322" spans="8:16" x14ac:dyDescent="0.25">
      <c r="H22322" s="12"/>
      <c r="I22322" s="12"/>
      <c r="J22322" s="12"/>
      <c r="K22322" s="12"/>
      <c r="L22322" s="12"/>
      <c r="M22322" s="11"/>
      <c r="N22322" s="11"/>
      <c r="O22322" s="11"/>
      <c r="P22322" s="11"/>
    </row>
    <row r="22323" spans="8:16" x14ac:dyDescent="0.25">
      <c r="H22323" s="12"/>
      <c r="I22323" s="12"/>
      <c r="J22323" s="12"/>
      <c r="K22323" s="12"/>
      <c r="L22323" s="12"/>
      <c r="M22323" s="11"/>
      <c r="N22323" s="11"/>
      <c r="O22323" s="11"/>
      <c r="P22323" s="11"/>
    </row>
    <row r="22324" spans="8:16" x14ac:dyDescent="0.25">
      <c r="H22324" s="12"/>
      <c r="I22324" s="12"/>
      <c r="J22324" s="12"/>
      <c r="K22324" s="12"/>
      <c r="L22324" s="12"/>
      <c r="M22324" s="11"/>
      <c r="N22324" s="11"/>
      <c r="O22324" s="11"/>
      <c r="P22324" s="11"/>
    </row>
    <row r="22325" spans="8:16" x14ac:dyDescent="0.25">
      <c r="H22325" s="12"/>
      <c r="I22325" s="12"/>
      <c r="J22325" s="12"/>
      <c r="K22325" s="12"/>
      <c r="L22325" s="12"/>
      <c r="M22325" s="11"/>
      <c r="N22325" s="11"/>
      <c r="O22325" s="11"/>
      <c r="P22325" s="11"/>
    </row>
    <row r="22326" spans="8:16" x14ac:dyDescent="0.25">
      <c r="H22326" s="12"/>
      <c r="I22326" s="12"/>
      <c r="J22326" s="12"/>
      <c r="K22326" s="12"/>
      <c r="L22326" s="12"/>
      <c r="M22326" s="11"/>
      <c r="N22326" s="11"/>
      <c r="O22326" s="11"/>
      <c r="P22326" s="11"/>
    </row>
    <row r="22327" spans="8:16" x14ac:dyDescent="0.25">
      <c r="H22327" s="12"/>
      <c r="I22327" s="12"/>
      <c r="J22327" s="12"/>
      <c r="K22327" s="12"/>
      <c r="L22327" s="12"/>
      <c r="M22327" s="11"/>
      <c r="N22327" s="11"/>
      <c r="O22327" s="11"/>
      <c r="P22327" s="11"/>
    </row>
    <row r="22328" spans="8:16" x14ac:dyDescent="0.25">
      <c r="H22328" s="12"/>
      <c r="I22328" s="12"/>
      <c r="J22328" s="12"/>
      <c r="K22328" s="12"/>
      <c r="L22328" s="12"/>
      <c r="M22328" s="11"/>
      <c r="N22328" s="11"/>
      <c r="O22328" s="11"/>
      <c r="P22328" s="11"/>
    </row>
    <row r="22329" spans="8:16" x14ac:dyDescent="0.25">
      <c r="H22329" s="12"/>
      <c r="I22329" s="12"/>
      <c r="J22329" s="12"/>
      <c r="K22329" s="12"/>
      <c r="L22329" s="12"/>
      <c r="M22329" s="11"/>
      <c r="N22329" s="11"/>
      <c r="O22329" s="11"/>
      <c r="P22329" s="11"/>
    </row>
    <row r="22330" spans="8:16" x14ac:dyDescent="0.25">
      <c r="H22330" s="12"/>
      <c r="I22330" s="12"/>
      <c r="J22330" s="12"/>
      <c r="K22330" s="12"/>
      <c r="L22330" s="12"/>
      <c r="M22330" s="11"/>
      <c r="N22330" s="11"/>
      <c r="O22330" s="11"/>
      <c r="P22330" s="11"/>
    </row>
    <row r="22331" spans="8:16" x14ac:dyDescent="0.25">
      <c r="H22331" s="12"/>
      <c r="I22331" s="12"/>
      <c r="J22331" s="12"/>
      <c r="K22331" s="12"/>
      <c r="L22331" s="12"/>
      <c r="M22331" s="11"/>
      <c r="N22331" s="11"/>
      <c r="O22331" s="11"/>
      <c r="P22331" s="11"/>
    </row>
    <row r="22332" spans="8:16" x14ac:dyDescent="0.25">
      <c r="H22332" s="12"/>
      <c r="I22332" s="12"/>
      <c r="J22332" s="12"/>
      <c r="K22332" s="12"/>
      <c r="L22332" s="12"/>
      <c r="M22332" s="11"/>
      <c r="N22332" s="11"/>
      <c r="O22332" s="11"/>
      <c r="P22332" s="11"/>
    </row>
    <row r="22333" spans="8:16" x14ac:dyDescent="0.25">
      <c r="H22333" s="12"/>
      <c r="I22333" s="12"/>
      <c r="J22333" s="12"/>
      <c r="K22333" s="12"/>
      <c r="L22333" s="12"/>
      <c r="M22333" s="11"/>
      <c r="N22333" s="11"/>
      <c r="O22333" s="11"/>
      <c r="P22333" s="11"/>
    </row>
    <row r="22334" spans="8:16" x14ac:dyDescent="0.25">
      <c r="H22334" s="12"/>
      <c r="I22334" s="12"/>
      <c r="J22334" s="12"/>
      <c r="K22334" s="12"/>
      <c r="L22334" s="12"/>
      <c r="M22334" s="11"/>
      <c r="N22334" s="11"/>
      <c r="O22334" s="11"/>
      <c r="P22334" s="11"/>
    </row>
    <row r="22335" spans="8:16" x14ac:dyDescent="0.25">
      <c r="H22335" s="12"/>
      <c r="I22335" s="12"/>
      <c r="J22335" s="12"/>
      <c r="K22335" s="12"/>
      <c r="L22335" s="12"/>
      <c r="M22335" s="11"/>
      <c r="N22335" s="11"/>
      <c r="O22335" s="11"/>
      <c r="P22335" s="11"/>
    </row>
    <row r="22336" spans="8:16" x14ac:dyDescent="0.25">
      <c r="H22336" s="12"/>
      <c r="I22336" s="12"/>
      <c r="J22336" s="12"/>
      <c r="K22336" s="12"/>
      <c r="L22336" s="12"/>
      <c r="M22336" s="11"/>
      <c r="N22336" s="11"/>
      <c r="O22336" s="11"/>
      <c r="P22336" s="11"/>
    </row>
    <row r="22337" spans="8:16" x14ac:dyDescent="0.25">
      <c r="H22337" s="12"/>
      <c r="I22337" s="12"/>
      <c r="J22337" s="12"/>
      <c r="K22337" s="12"/>
      <c r="L22337" s="12"/>
      <c r="M22337" s="11"/>
      <c r="N22337" s="11"/>
      <c r="O22337" s="11"/>
      <c r="P22337" s="11"/>
    </row>
    <row r="22338" spans="8:16" x14ac:dyDescent="0.25">
      <c r="H22338" s="12"/>
      <c r="I22338" s="12"/>
      <c r="J22338" s="12"/>
      <c r="K22338" s="12"/>
      <c r="L22338" s="12"/>
      <c r="M22338" s="11"/>
      <c r="N22338" s="11"/>
      <c r="O22338" s="11"/>
      <c r="P22338" s="11"/>
    </row>
    <row r="22339" spans="8:16" x14ac:dyDescent="0.25">
      <c r="H22339" s="12"/>
      <c r="I22339" s="12"/>
      <c r="J22339" s="12"/>
      <c r="K22339" s="12"/>
      <c r="L22339" s="12"/>
      <c r="M22339" s="11"/>
      <c r="N22339" s="11"/>
      <c r="O22339" s="11"/>
      <c r="P22339" s="11"/>
    </row>
    <row r="22340" spans="8:16" x14ac:dyDescent="0.25">
      <c r="H22340" s="12"/>
      <c r="I22340" s="12"/>
      <c r="J22340" s="12"/>
      <c r="K22340" s="12"/>
      <c r="L22340" s="12"/>
      <c r="M22340" s="11"/>
      <c r="N22340" s="11"/>
      <c r="O22340" s="11"/>
      <c r="P22340" s="11"/>
    </row>
    <row r="22341" spans="8:16" x14ac:dyDescent="0.25">
      <c r="H22341" s="12"/>
      <c r="I22341" s="12"/>
      <c r="J22341" s="12"/>
      <c r="K22341" s="12"/>
      <c r="L22341" s="12"/>
      <c r="M22341" s="11"/>
      <c r="N22341" s="11"/>
      <c r="O22341" s="11"/>
      <c r="P22341" s="11"/>
    </row>
    <row r="22342" spans="8:16" x14ac:dyDescent="0.25">
      <c r="H22342" s="12"/>
      <c r="I22342" s="12"/>
      <c r="J22342" s="12"/>
      <c r="K22342" s="12"/>
      <c r="L22342" s="12"/>
      <c r="M22342" s="11"/>
      <c r="N22342" s="11"/>
      <c r="O22342" s="11"/>
      <c r="P22342" s="11"/>
    </row>
    <row r="22343" spans="8:16" x14ac:dyDescent="0.25">
      <c r="H22343" s="12"/>
      <c r="I22343" s="12"/>
      <c r="J22343" s="12"/>
      <c r="K22343" s="12"/>
      <c r="L22343" s="12"/>
      <c r="M22343" s="11"/>
      <c r="N22343" s="11"/>
      <c r="O22343" s="11"/>
      <c r="P22343" s="11"/>
    </row>
    <row r="22344" spans="8:16" x14ac:dyDescent="0.25">
      <c r="H22344" s="12"/>
      <c r="I22344" s="12"/>
      <c r="J22344" s="12"/>
      <c r="K22344" s="12"/>
      <c r="L22344" s="12"/>
      <c r="M22344" s="11"/>
      <c r="N22344" s="11"/>
      <c r="O22344" s="11"/>
      <c r="P22344" s="11"/>
    </row>
    <row r="22345" spans="8:16" x14ac:dyDescent="0.25">
      <c r="H22345" s="12"/>
      <c r="I22345" s="12"/>
      <c r="J22345" s="12"/>
      <c r="K22345" s="12"/>
      <c r="L22345" s="12"/>
      <c r="M22345" s="11"/>
      <c r="N22345" s="11"/>
      <c r="O22345" s="11"/>
      <c r="P22345" s="11"/>
    </row>
    <row r="22346" spans="8:16" x14ac:dyDescent="0.25">
      <c r="H22346" s="12"/>
      <c r="I22346" s="12"/>
      <c r="J22346" s="12"/>
      <c r="K22346" s="12"/>
      <c r="L22346" s="12"/>
      <c r="M22346" s="11"/>
      <c r="N22346" s="11"/>
      <c r="O22346" s="11"/>
      <c r="P22346" s="11"/>
    </row>
    <row r="22347" spans="8:16" x14ac:dyDescent="0.25">
      <c r="H22347" s="12"/>
      <c r="I22347" s="12"/>
      <c r="J22347" s="12"/>
      <c r="K22347" s="12"/>
      <c r="L22347" s="12"/>
      <c r="M22347" s="11"/>
      <c r="N22347" s="11"/>
      <c r="O22347" s="11"/>
      <c r="P22347" s="11"/>
    </row>
    <row r="22348" spans="8:16" x14ac:dyDescent="0.25">
      <c r="H22348" s="12"/>
      <c r="I22348" s="12"/>
      <c r="J22348" s="12"/>
      <c r="K22348" s="12"/>
      <c r="L22348" s="12"/>
      <c r="M22348" s="11"/>
      <c r="N22348" s="11"/>
      <c r="O22348" s="11"/>
      <c r="P22348" s="11"/>
    </row>
    <row r="22349" spans="8:16" x14ac:dyDescent="0.25">
      <c r="H22349" s="12"/>
      <c r="I22349" s="12"/>
      <c r="J22349" s="12"/>
      <c r="K22349" s="12"/>
      <c r="L22349" s="12"/>
      <c r="M22349" s="11"/>
      <c r="N22349" s="11"/>
      <c r="O22349" s="11"/>
      <c r="P22349" s="11"/>
    </row>
    <row r="22350" spans="8:16" x14ac:dyDescent="0.25">
      <c r="H22350" s="12"/>
      <c r="I22350" s="12"/>
      <c r="J22350" s="12"/>
      <c r="K22350" s="12"/>
      <c r="L22350" s="12"/>
      <c r="M22350" s="11"/>
      <c r="N22350" s="11"/>
      <c r="O22350" s="11"/>
      <c r="P22350" s="11"/>
    </row>
    <row r="22351" spans="8:16" x14ac:dyDescent="0.25">
      <c r="H22351" s="12"/>
      <c r="I22351" s="12"/>
      <c r="J22351" s="12"/>
      <c r="K22351" s="12"/>
      <c r="L22351" s="12"/>
      <c r="M22351" s="11"/>
      <c r="N22351" s="11"/>
      <c r="O22351" s="11"/>
      <c r="P22351" s="11"/>
    </row>
    <row r="22352" spans="8:16" x14ac:dyDescent="0.25">
      <c r="H22352" s="12"/>
      <c r="I22352" s="12"/>
      <c r="J22352" s="12"/>
      <c r="K22352" s="12"/>
      <c r="L22352" s="12"/>
      <c r="M22352" s="11"/>
      <c r="N22352" s="11"/>
      <c r="O22352" s="11"/>
      <c r="P22352" s="11"/>
    </row>
    <row r="22353" spans="8:16" x14ac:dyDescent="0.25">
      <c r="H22353" s="12"/>
      <c r="I22353" s="12"/>
      <c r="J22353" s="12"/>
      <c r="K22353" s="12"/>
      <c r="L22353" s="12"/>
      <c r="M22353" s="11"/>
      <c r="N22353" s="11"/>
      <c r="O22353" s="11"/>
      <c r="P22353" s="11"/>
    </row>
    <row r="22354" spans="8:16" x14ac:dyDescent="0.25">
      <c r="H22354" s="12"/>
      <c r="I22354" s="12"/>
      <c r="J22354" s="12"/>
      <c r="K22354" s="12"/>
      <c r="L22354" s="12"/>
      <c r="M22354" s="11"/>
      <c r="N22354" s="11"/>
      <c r="O22354" s="11"/>
      <c r="P22354" s="11"/>
    </row>
    <row r="22355" spans="8:16" x14ac:dyDescent="0.25">
      <c r="H22355" s="12"/>
      <c r="I22355" s="12"/>
      <c r="J22355" s="12"/>
      <c r="K22355" s="12"/>
      <c r="L22355" s="12"/>
      <c r="M22355" s="11"/>
      <c r="N22355" s="11"/>
      <c r="O22355" s="11"/>
      <c r="P22355" s="11"/>
    </row>
    <row r="22356" spans="8:16" x14ac:dyDescent="0.25">
      <c r="H22356" s="12"/>
      <c r="I22356" s="12"/>
      <c r="J22356" s="12"/>
      <c r="K22356" s="12"/>
      <c r="L22356" s="12"/>
      <c r="M22356" s="11"/>
      <c r="N22356" s="11"/>
      <c r="O22356" s="11"/>
      <c r="P22356" s="11"/>
    </row>
    <row r="22357" spans="8:16" x14ac:dyDescent="0.25">
      <c r="H22357" s="12"/>
      <c r="I22357" s="12"/>
      <c r="J22357" s="12"/>
      <c r="K22357" s="12"/>
      <c r="L22357" s="12"/>
      <c r="M22357" s="11"/>
      <c r="N22357" s="11"/>
      <c r="O22357" s="11"/>
      <c r="P22357" s="11"/>
    </row>
    <row r="22358" spans="8:16" x14ac:dyDescent="0.25">
      <c r="H22358" s="12"/>
      <c r="I22358" s="12"/>
      <c r="J22358" s="12"/>
      <c r="K22358" s="12"/>
      <c r="L22358" s="12"/>
      <c r="M22358" s="11"/>
      <c r="N22358" s="11"/>
      <c r="O22358" s="11"/>
      <c r="P22358" s="11"/>
    </row>
    <row r="22359" spans="8:16" x14ac:dyDescent="0.25">
      <c r="H22359" s="12"/>
      <c r="I22359" s="12"/>
      <c r="J22359" s="12"/>
      <c r="K22359" s="12"/>
      <c r="L22359" s="12"/>
      <c r="M22359" s="11"/>
      <c r="N22359" s="11"/>
      <c r="O22359" s="11"/>
      <c r="P22359" s="11"/>
    </row>
    <row r="22360" spans="8:16" x14ac:dyDescent="0.25">
      <c r="H22360" s="12"/>
      <c r="I22360" s="12"/>
      <c r="J22360" s="12"/>
      <c r="K22360" s="12"/>
      <c r="L22360" s="12"/>
      <c r="M22360" s="11"/>
      <c r="N22360" s="11"/>
      <c r="O22360" s="11"/>
      <c r="P22360" s="11"/>
    </row>
    <row r="22361" spans="8:16" x14ac:dyDescent="0.25">
      <c r="H22361" s="12"/>
      <c r="I22361" s="12"/>
      <c r="J22361" s="12"/>
      <c r="K22361" s="12"/>
      <c r="L22361" s="12"/>
      <c r="M22361" s="11"/>
      <c r="N22361" s="11"/>
      <c r="O22361" s="11"/>
      <c r="P22361" s="11"/>
    </row>
    <row r="22362" spans="8:16" x14ac:dyDescent="0.25">
      <c r="H22362" s="12"/>
      <c r="I22362" s="12"/>
      <c r="J22362" s="12"/>
      <c r="K22362" s="12"/>
      <c r="L22362" s="12"/>
      <c r="M22362" s="11"/>
      <c r="N22362" s="11"/>
      <c r="O22362" s="11"/>
      <c r="P22362" s="11"/>
    </row>
    <row r="22363" spans="8:16" x14ac:dyDescent="0.25">
      <c r="H22363" s="12"/>
      <c r="I22363" s="12"/>
      <c r="J22363" s="12"/>
      <c r="K22363" s="12"/>
      <c r="L22363" s="12"/>
      <c r="M22363" s="11"/>
      <c r="N22363" s="11"/>
      <c r="O22363" s="11"/>
      <c r="P22363" s="11"/>
    </row>
    <row r="22364" spans="8:16" x14ac:dyDescent="0.25">
      <c r="H22364" s="12"/>
      <c r="I22364" s="12"/>
      <c r="J22364" s="12"/>
      <c r="K22364" s="12"/>
      <c r="L22364" s="12"/>
      <c r="M22364" s="11"/>
      <c r="N22364" s="11"/>
      <c r="O22364" s="11"/>
      <c r="P22364" s="11"/>
    </row>
    <row r="22365" spans="8:16" x14ac:dyDescent="0.25">
      <c r="H22365" s="12"/>
      <c r="I22365" s="12"/>
      <c r="J22365" s="12"/>
      <c r="K22365" s="12"/>
      <c r="L22365" s="12"/>
      <c r="M22365" s="11"/>
      <c r="N22365" s="11"/>
      <c r="O22365" s="11"/>
      <c r="P22365" s="11"/>
    </row>
    <row r="22366" spans="8:16" x14ac:dyDescent="0.25">
      <c r="H22366" s="12"/>
      <c r="I22366" s="12"/>
      <c r="J22366" s="12"/>
      <c r="K22366" s="12"/>
      <c r="L22366" s="12"/>
      <c r="M22366" s="11"/>
      <c r="N22366" s="11"/>
      <c r="O22366" s="11"/>
      <c r="P22366" s="11"/>
    </row>
    <row r="22367" spans="8:16" x14ac:dyDescent="0.25">
      <c r="H22367" s="12"/>
      <c r="I22367" s="12"/>
      <c r="J22367" s="12"/>
      <c r="K22367" s="12"/>
      <c r="L22367" s="12"/>
      <c r="M22367" s="11"/>
      <c r="N22367" s="11"/>
      <c r="O22367" s="11"/>
      <c r="P22367" s="11"/>
    </row>
    <row r="22368" spans="8:16" x14ac:dyDescent="0.25">
      <c r="H22368" s="12"/>
      <c r="I22368" s="12"/>
      <c r="J22368" s="12"/>
      <c r="K22368" s="12"/>
      <c r="L22368" s="12"/>
      <c r="M22368" s="11"/>
      <c r="N22368" s="11"/>
      <c r="O22368" s="11"/>
      <c r="P22368" s="11"/>
    </row>
    <row r="22369" spans="8:16" x14ac:dyDescent="0.25">
      <c r="H22369" s="12"/>
      <c r="I22369" s="12"/>
      <c r="J22369" s="12"/>
      <c r="K22369" s="12"/>
      <c r="L22369" s="12"/>
      <c r="M22369" s="11"/>
      <c r="N22369" s="11"/>
      <c r="O22369" s="11"/>
      <c r="P22369" s="11"/>
    </row>
    <row r="22370" spans="8:16" x14ac:dyDescent="0.25">
      <c r="H22370" s="12"/>
      <c r="I22370" s="12"/>
      <c r="J22370" s="12"/>
      <c r="K22370" s="12"/>
      <c r="L22370" s="12"/>
      <c r="M22370" s="11"/>
      <c r="N22370" s="11"/>
      <c r="O22370" s="11"/>
      <c r="P22370" s="11"/>
    </row>
    <row r="22371" spans="8:16" x14ac:dyDescent="0.25">
      <c r="H22371" s="12"/>
      <c r="I22371" s="12"/>
      <c r="J22371" s="12"/>
      <c r="K22371" s="12"/>
      <c r="L22371" s="12"/>
      <c r="M22371" s="11"/>
      <c r="N22371" s="11"/>
      <c r="O22371" s="11"/>
      <c r="P22371" s="11"/>
    </row>
    <row r="22372" spans="8:16" x14ac:dyDescent="0.25">
      <c r="H22372" s="12"/>
      <c r="I22372" s="12"/>
      <c r="J22372" s="12"/>
      <c r="K22372" s="12"/>
      <c r="L22372" s="12"/>
      <c r="M22372" s="11"/>
      <c r="N22372" s="11"/>
      <c r="O22372" s="11"/>
      <c r="P22372" s="11"/>
    </row>
    <row r="22373" spans="8:16" x14ac:dyDescent="0.25">
      <c r="H22373" s="12"/>
      <c r="I22373" s="12"/>
      <c r="J22373" s="12"/>
      <c r="K22373" s="12"/>
      <c r="L22373" s="12"/>
      <c r="M22373" s="11"/>
      <c r="N22373" s="11"/>
      <c r="O22373" s="11"/>
      <c r="P22373" s="11"/>
    </row>
    <row r="22374" spans="8:16" x14ac:dyDescent="0.25">
      <c r="H22374" s="12"/>
      <c r="I22374" s="12"/>
      <c r="J22374" s="12"/>
      <c r="K22374" s="12"/>
      <c r="L22374" s="12"/>
      <c r="M22374" s="11"/>
      <c r="N22374" s="11"/>
      <c r="O22374" s="11"/>
      <c r="P22374" s="11"/>
    </row>
    <row r="22375" spans="8:16" x14ac:dyDescent="0.25">
      <c r="H22375" s="12"/>
      <c r="I22375" s="12"/>
      <c r="J22375" s="12"/>
      <c r="K22375" s="12"/>
      <c r="L22375" s="12"/>
      <c r="M22375" s="11"/>
      <c r="N22375" s="11"/>
      <c r="O22375" s="11"/>
      <c r="P22375" s="11"/>
    </row>
    <row r="22376" spans="8:16" x14ac:dyDescent="0.25">
      <c r="H22376" s="12"/>
      <c r="I22376" s="12"/>
      <c r="J22376" s="12"/>
      <c r="K22376" s="12"/>
      <c r="L22376" s="12"/>
      <c r="M22376" s="11"/>
      <c r="N22376" s="11"/>
      <c r="O22376" s="11"/>
      <c r="P22376" s="11"/>
    </row>
    <row r="22377" spans="8:16" x14ac:dyDescent="0.25">
      <c r="H22377" s="12"/>
      <c r="I22377" s="12"/>
      <c r="J22377" s="12"/>
      <c r="K22377" s="12"/>
      <c r="L22377" s="12"/>
      <c r="M22377" s="11"/>
      <c r="N22377" s="11"/>
      <c r="O22377" s="11"/>
      <c r="P22377" s="11"/>
    </row>
    <row r="22378" spans="8:16" x14ac:dyDescent="0.25">
      <c r="H22378" s="12"/>
      <c r="I22378" s="12"/>
      <c r="J22378" s="12"/>
      <c r="K22378" s="12"/>
      <c r="L22378" s="12"/>
      <c r="M22378" s="11"/>
      <c r="N22378" s="11"/>
      <c r="O22378" s="11"/>
      <c r="P22378" s="11"/>
    </row>
    <row r="22379" spans="8:16" x14ac:dyDescent="0.25">
      <c r="H22379" s="12"/>
      <c r="I22379" s="12"/>
      <c r="J22379" s="12"/>
      <c r="K22379" s="12"/>
      <c r="L22379" s="12"/>
      <c r="M22379" s="11"/>
      <c r="N22379" s="11"/>
      <c r="O22379" s="11"/>
      <c r="P22379" s="11"/>
    </row>
    <row r="22380" spans="8:16" x14ac:dyDescent="0.25">
      <c r="H22380" s="12"/>
      <c r="I22380" s="12"/>
      <c r="J22380" s="12"/>
      <c r="K22380" s="12"/>
      <c r="L22380" s="12"/>
      <c r="M22380" s="11"/>
      <c r="N22380" s="11"/>
      <c r="O22380" s="11"/>
      <c r="P22380" s="11"/>
    </row>
    <row r="22381" spans="8:16" x14ac:dyDescent="0.25">
      <c r="H22381" s="12"/>
      <c r="I22381" s="12"/>
      <c r="J22381" s="12"/>
      <c r="K22381" s="12"/>
      <c r="L22381" s="12"/>
      <c r="M22381" s="11"/>
      <c r="N22381" s="11"/>
      <c r="O22381" s="11"/>
      <c r="P22381" s="11"/>
    </row>
    <row r="22382" spans="8:16" x14ac:dyDescent="0.25">
      <c r="H22382" s="12"/>
      <c r="I22382" s="12"/>
      <c r="J22382" s="12"/>
      <c r="K22382" s="12"/>
      <c r="L22382" s="12"/>
      <c r="M22382" s="11"/>
      <c r="N22382" s="11"/>
      <c r="O22382" s="11"/>
      <c r="P22382" s="11"/>
    </row>
    <row r="22383" spans="8:16" x14ac:dyDescent="0.25">
      <c r="H22383" s="12"/>
      <c r="I22383" s="12"/>
      <c r="J22383" s="12"/>
      <c r="K22383" s="12"/>
      <c r="L22383" s="12"/>
      <c r="M22383" s="11"/>
      <c r="N22383" s="11"/>
      <c r="O22383" s="11"/>
      <c r="P22383" s="11"/>
    </row>
    <row r="22384" spans="8:16" x14ac:dyDescent="0.25">
      <c r="H22384" s="12"/>
      <c r="I22384" s="12"/>
      <c r="J22384" s="12"/>
      <c r="K22384" s="12"/>
      <c r="L22384" s="12"/>
      <c r="M22384" s="11"/>
      <c r="N22384" s="11"/>
      <c r="O22384" s="11"/>
      <c r="P22384" s="11"/>
    </row>
    <row r="22385" spans="8:16" x14ac:dyDescent="0.25">
      <c r="H22385" s="12"/>
      <c r="I22385" s="12"/>
      <c r="J22385" s="12"/>
      <c r="K22385" s="12"/>
      <c r="L22385" s="12"/>
      <c r="M22385" s="11"/>
      <c r="N22385" s="11"/>
      <c r="O22385" s="11"/>
      <c r="P22385" s="11"/>
    </row>
    <row r="22386" spans="8:16" x14ac:dyDescent="0.25">
      <c r="H22386" s="12"/>
      <c r="I22386" s="12"/>
      <c r="J22386" s="12"/>
      <c r="K22386" s="12"/>
      <c r="L22386" s="12"/>
      <c r="M22386" s="11"/>
      <c r="N22386" s="11"/>
      <c r="O22386" s="11"/>
      <c r="P22386" s="11"/>
    </row>
    <row r="22387" spans="8:16" x14ac:dyDescent="0.25">
      <c r="H22387" s="12"/>
      <c r="I22387" s="12"/>
      <c r="J22387" s="12"/>
      <c r="K22387" s="12"/>
      <c r="L22387" s="12"/>
      <c r="M22387" s="11"/>
      <c r="N22387" s="11"/>
      <c r="O22387" s="11"/>
      <c r="P22387" s="11"/>
    </row>
    <row r="22388" spans="8:16" x14ac:dyDescent="0.25">
      <c r="H22388" s="12"/>
      <c r="I22388" s="12"/>
      <c r="J22388" s="12"/>
      <c r="K22388" s="12"/>
      <c r="L22388" s="12"/>
      <c r="M22388" s="11"/>
      <c r="N22388" s="11"/>
      <c r="O22388" s="11"/>
      <c r="P22388" s="11"/>
    </row>
    <row r="22389" spans="8:16" x14ac:dyDescent="0.25">
      <c r="H22389" s="12"/>
      <c r="I22389" s="12"/>
      <c r="J22389" s="12"/>
      <c r="K22389" s="12"/>
      <c r="L22389" s="12"/>
      <c r="M22389" s="11"/>
      <c r="N22389" s="11"/>
      <c r="O22389" s="11"/>
      <c r="P22389" s="11"/>
    </row>
    <row r="22390" spans="8:16" x14ac:dyDescent="0.25">
      <c r="H22390" s="12"/>
      <c r="I22390" s="12"/>
      <c r="J22390" s="12"/>
      <c r="K22390" s="12"/>
      <c r="L22390" s="12"/>
      <c r="M22390" s="11"/>
      <c r="N22390" s="11"/>
      <c r="O22390" s="11"/>
      <c r="P22390" s="11"/>
    </row>
    <row r="22391" spans="8:16" x14ac:dyDescent="0.25">
      <c r="H22391" s="12"/>
      <c r="I22391" s="12"/>
      <c r="J22391" s="12"/>
      <c r="K22391" s="12"/>
      <c r="L22391" s="12"/>
      <c r="M22391" s="11"/>
      <c r="N22391" s="11"/>
      <c r="O22391" s="11"/>
      <c r="P22391" s="11"/>
    </row>
    <row r="22392" spans="8:16" x14ac:dyDescent="0.25">
      <c r="H22392" s="12"/>
      <c r="I22392" s="12"/>
      <c r="J22392" s="12"/>
      <c r="K22392" s="12"/>
      <c r="L22392" s="12"/>
      <c r="M22392" s="11"/>
      <c r="N22392" s="11"/>
      <c r="O22392" s="11"/>
      <c r="P22392" s="11"/>
    </row>
    <row r="22393" spans="8:16" x14ac:dyDescent="0.25">
      <c r="H22393" s="12"/>
      <c r="I22393" s="12"/>
      <c r="J22393" s="12"/>
      <c r="K22393" s="12"/>
      <c r="L22393" s="12"/>
      <c r="M22393" s="11"/>
      <c r="N22393" s="11"/>
      <c r="O22393" s="11"/>
      <c r="P22393" s="11"/>
    </row>
    <row r="22394" spans="8:16" x14ac:dyDescent="0.25">
      <c r="H22394" s="12"/>
      <c r="I22394" s="12"/>
      <c r="J22394" s="12"/>
      <c r="K22394" s="12"/>
      <c r="L22394" s="12"/>
      <c r="M22394" s="11"/>
      <c r="N22394" s="11"/>
      <c r="O22394" s="11"/>
      <c r="P22394" s="11"/>
    </row>
    <row r="22395" spans="8:16" x14ac:dyDescent="0.25">
      <c r="H22395" s="12"/>
      <c r="I22395" s="12"/>
      <c r="J22395" s="12"/>
      <c r="K22395" s="12"/>
      <c r="L22395" s="12"/>
      <c r="M22395" s="11"/>
      <c r="N22395" s="11"/>
      <c r="O22395" s="11"/>
      <c r="P22395" s="11"/>
    </row>
    <row r="22396" spans="8:16" x14ac:dyDescent="0.25">
      <c r="H22396" s="12"/>
      <c r="I22396" s="12"/>
      <c r="J22396" s="12"/>
      <c r="K22396" s="12"/>
      <c r="L22396" s="12"/>
      <c r="M22396" s="11"/>
      <c r="N22396" s="11"/>
      <c r="O22396" s="11"/>
      <c r="P22396" s="11"/>
    </row>
    <row r="22397" spans="8:16" x14ac:dyDescent="0.25">
      <c r="H22397" s="12"/>
      <c r="I22397" s="12"/>
      <c r="J22397" s="12"/>
      <c r="K22397" s="12"/>
      <c r="L22397" s="12"/>
      <c r="M22397" s="11"/>
      <c r="N22397" s="11"/>
      <c r="O22397" s="11"/>
      <c r="P22397" s="11"/>
    </row>
    <row r="22398" spans="8:16" x14ac:dyDescent="0.25">
      <c r="H22398" s="12"/>
      <c r="I22398" s="12"/>
      <c r="J22398" s="12"/>
      <c r="K22398" s="12"/>
      <c r="L22398" s="12"/>
      <c r="M22398" s="11"/>
      <c r="N22398" s="11"/>
      <c r="O22398" s="11"/>
      <c r="P22398" s="11"/>
    </row>
    <row r="22399" spans="8:16" x14ac:dyDescent="0.25">
      <c r="H22399" s="12"/>
      <c r="I22399" s="12"/>
      <c r="J22399" s="12"/>
      <c r="K22399" s="12"/>
      <c r="L22399" s="12"/>
      <c r="M22399" s="11"/>
      <c r="N22399" s="11"/>
      <c r="O22399" s="11"/>
      <c r="P22399" s="11"/>
    </row>
    <row r="22400" spans="8:16" x14ac:dyDescent="0.25">
      <c r="H22400" s="12"/>
      <c r="I22400" s="12"/>
      <c r="J22400" s="12"/>
      <c r="K22400" s="12"/>
      <c r="L22400" s="12"/>
      <c r="M22400" s="11"/>
      <c r="N22400" s="11"/>
      <c r="O22400" s="11"/>
      <c r="P22400" s="11"/>
    </row>
    <row r="22401" spans="8:16" x14ac:dyDescent="0.25">
      <c r="H22401" s="12"/>
      <c r="I22401" s="12"/>
      <c r="J22401" s="12"/>
      <c r="K22401" s="12"/>
      <c r="L22401" s="12"/>
      <c r="M22401" s="11"/>
      <c r="N22401" s="11"/>
      <c r="O22401" s="11"/>
      <c r="P22401" s="11"/>
    </row>
    <row r="22402" spans="8:16" x14ac:dyDescent="0.25">
      <c r="H22402" s="12"/>
      <c r="I22402" s="12"/>
      <c r="J22402" s="12"/>
      <c r="K22402" s="12"/>
      <c r="L22402" s="12"/>
      <c r="M22402" s="11"/>
      <c r="N22402" s="11"/>
      <c r="O22402" s="11"/>
      <c r="P22402" s="11"/>
    </row>
    <row r="22403" spans="8:16" x14ac:dyDescent="0.25">
      <c r="H22403" s="12"/>
      <c r="I22403" s="12"/>
      <c r="J22403" s="12"/>
      <c r="K22403" s="12"/>
      <c r="L22403" s="12"/>
      <c r="M22403" s="11"/>
      <c r="N22403" s="11"/>
      <c r="O22403" s="11"/>
      <c r="P22403" s="11"/>
    </row>
    <row r="22404" spans="8:16" x14ac:dyDescent="0.25">
      <c r="H22404" s="12"/>
      <c r="I22404" s="12"/>
      <c r="J22404" s="12"/>
      <c r="K22404" s="12"/>
      <c r="L22404" s="12"/>
      <c r="M22404" s="11"/>
      <c r="N22404" s="11"/>
      <c r="O22404" s="11"/>
      <c r="P22404" s="11"/>
    </row>
    <row r="22405" spans="8:16" x14ac:dyDescent="0.25">
      <c r="H22405" s="12"/>
      <c r="I22405" s="12"/>
      <c r="J22405" s="12"/>
      <c r="K22405" s="12"/>
      <c r="L22405" s="12"/>
      <c r="M22405" s="11"/>
      <c r="N22405" s="11"/>
      <c r="O22405" s="11"/>
      <c r="P22405" s="11"/>
    </row>
    <row r="22406" spans="8:16" x14ac:dyDescent="0.25">
      <c r="H22406" s="12"/>
      <c r="I22406" s="12"/>
      <c r="J22406" s="12"/>
      <c r="K22406" s="12"/>
      <c r="L22406" s="12"/>
      <c r="M22406" s="11"/>
      <c r="N22406" s="11"/>
      <c r="O22406" s="11"/>
      <c r="P22406" s="11"/>
    </row>
    <row r="22407" spans="8:16" x14ac:dyDescent="0.25">
      <c r="H22407" s="12"/>
      <c r="I22407" s="12"/>
      <c r="J22407" s="12"/>
      <c r="K22407" s="12"/>
      <c r="L22407" s="12"/>
      <c r="M22407" s="11"/>
      <c r="N22407" s="11"/>
      <c r="O22407" s="11"/>
      <c r="P22407" s="11"/>
    </row>
    <row r="22408" spans="8:16" x14ac:dyDescent="0.25">
      <c r="H22408" s="12"/>
      <c r="I22408" s="12"/>
      <c r="J22408" s="12"/>
      <c r="K22408" s="12"/>
      <c r="L22408" s="12"/>
      <c r="M22408" s="11"/>
      <c r="N22408" s="11"/>
      <c r="O22408" s="11"/>
      <c r="P22408" s="11"/>
    </row>
    <row r="22409" spans="8:16" x14ac:dyDescent="0.25">
      <c r="H22409" s="12"/>
      <c r="I22409" s="12"/>
      <c r="J22409" s="12"/>
      <c r="K22409" s="12"/>
      <c r="L22409" s="12"/>
      <c r="M22409" s="11"/>
      <c r="N22409" s="11"/>
      <c r="O22409" s="11"/>
      <c r="P22409" s="11"/>
    </row>
    <row r="22410" spans="8:16" x14ac:dyDescent="0.25">
      <c r="H22410" s="12"/>
      <c r="I22410" s="12"/>
      <c r="J22410" s="12"/>
      <c r="K22410" s="12"/>
      <c r="L22410" s="12"/>
      <c r="M22410" s="11"/>
      <c r="N22410" s="11"/>
      <c r="O22410" s="11"/>
      <c r="P22410" s="11"/>
    </row>
    <row r="22411" spans="8:16" x14ac:dyDescent="0.25">
      <c r="H22411" s="12"/>
      <c r="I22411" s="12"/>
      <c r="J22411" s="12"/>
      <c r="K22411" s="12"/>
      <c r="L22411" s="12"/>
      <c r="M22411" s="11"/>
      <c r="N22411" s="11"/>
      <c r="O22411" s="11"/>
      <c r="P22411" s="11"/>
    </row>
    <row r="22412" spans="8:16" x14ac:dyDescent="0.25">
      <c r="H22412" s="12"/>
      <c r="I22412" s="12"/>
      <c r="J22412" s="12"/>
      <c r="K22412" s="12"/>
      <c r="L22412" s="12"/>
      <c r="M22412" s="11"/>
      <c r="N22412" s="11"/>
      <c r="O22412" s="11"/>
      <c r="P22412" s="11"/>
    </row>
    <row r="22413" spans="8:16" x14ac:dyDescent="0.25">
      <c r="H22413" s="12"/>
      <c r="I22413" s="12"/>
      <c r="J22413" s="12"/>
      <c r="K22413" s="12"/>
      <c r="L22413" s="12"/>
      <c r="M22413" s="11"/>
      <c r="N22413" s="11"/>
      <c r="O22413" s="11"/>
      <c r="P22413" s="11"/>
    </row>
    <row r="22414" spans="8:16" x14ac:dyDescent="0.25">
      <c r="H22414" s="12"/>
      <c r="I22414" s="12"/>
      <c r="J22414" s="12"/>
      <c r="K22414" s="12"/>
      <c r="L22414" s="12"/>
      <c r="M22414" s="11"/>
      <c r="N22414" s="11"/>
      <c r="O22414" s="11"/>
      <c r="P22414" s="11"/>
    </row>
    <row r="22415" spans="8:16" x14ac:dyDescent="0.25">
      <c r="H22415" s="12"/>
      <c r="I22415" s="12"/>
      <c r="J22415" s="12"/>
      <c r="K22415" s="12"/>
      <c r="L22415" s="12"/>
      <c r="M22415" s="11"/>
      <c r="N22415" s="11"/>
      <c r="O22415" s="11"/>
      <c r="P22415" s="11"/>
    </row>
    <row r="22416" spans="8:16" x14ac:dyDescent="0.25">
      <c r="H22416" s="12"/>
      <c r="I22416" s="12"/>
      <c r="J22416" s="12"/>
      <c r="K22416" s="12"/>
      <c r="L22416" s="12"/>
      <c r="M22416" s="11"/>
      <c r="N22416" s="11"/>
      <c r="O22416" s="11"/>
      <c r="P22416" s="11"/>
    </row>
    <row r="22417" spans="8:16" x14ac:dyDescent="0.25">
      <c r="H22417" s="12"/>
      <c r="I22417" s="12"/>
      <c r="J22417" s="12"/>
      <c r="K22417" s="12"/>
      <c r="L22417" s="12"/>
      <c r="M22417" s="11"/>
      <c r="N22417" s="11"/>
      <c r="O22417" s="11"/>
      <c r="P22417" s="11"/>
    </row>
    <row r="22418" spans="8:16" x14ac:dyDescent="0.25">
      <c r="H22418" s="12"/>
      <c r="I22418" s="12"/>
      <c r="J22418" s="12"/>
      <c r="K22418" s="12"/>
      <c r="L22418" s="12"/>
      <c r="M22418" s="11"/>
      <c r="N22418" s="11"/>
      <c r="O22418" s="11"/>
      <c r="P22418" s="11"/>
    </row>
    <row r="22419" spans="8:16" x14ac:dyDescent="0.25">
      <c r="H22419" s="12"/>
      <c r="I22419" s="12"/>
      <c r="J22419" s="12"/>
      <c r="K22419" s="12"/>
      <c r="L22419" s="12"/>
      <c r="M22419" s="11"/>
      <c r="N22419" s="11"/>
      <c r="O22419" s="11"/>
      <c r="P22419" s="11"/>
    </row>
    <row r="22420" spans="8:16" x14ac:dyDescent="0.25">
      <c r="H22420" s="12"/>
      <c r="I22420" s="12"/>
      <c r="J22420" s="12"/>
      <c r="K22420" s="12"/>
      <c r="L22420" s="12"/>
      <c r="M22420" s="11"/>
      <c r="N22420" s="11"/>
      <c r="O22420" s="11"/>
      <c r="P22420" s="11"/>
    </row>
    <row r="22421" spans="8:16" x14ac:dyDescent="0.25">
      <c r="H22421" s="12"/>
      <c r="I22421" s="12"/>
      <c r="J22421" s="12"/>
      <c r="K22421" s="12"/>
      <c r="L22421" s="12"/>
      <c r="M22421" s="11"/>
      <c r="N22421" s="11"/>
      <c r="O22421" s="11"/>
      <c r="P22421" s="11"/>
    </row>
    <row r="22422" spans="8:16" x14ac:dyDescent="0.25">
      <c r="H22422" s="12"/>
      <c r="I22422" s="12"/>
      <c r="J22422" s="12"/>
      <c r="K22422" s="12"/>
      <c r="L22422" s="12"/>
      <c r="M22422" s="11"/>
      <c r="N22422" s="11"/>
      <c r="O22422" s="11"/>
      <c r="P22422" s="11"/>
    </row>
    <row r="22423" spans="8:16" x14ac:dyDescent="0.25">
      <c r="H22423" s="12"/>
      <c r="I22423" s="12"/>
      <c r="J22423" s="12"/>
      <c r="K22423" s="12"/>
      <c r="L22423" s="12"/>
      <c r="M22423" s="11"/>
      <c r="N22423" s="11"/>
      <c r="O22423" s="11"/>
      <c r="P22423" s="11"/>
    </row>
    <row r="22424" spans="8:16" x14ac:dyDescent="0.25">
      <c r="H22424" s="12"/>
      <c r="I22424" s="12"/>
      <c r="J22424" s="12"/>
      <c r="K22424" s="12"/>
      <c r="L22424" s="12"/>
      <c r="M22424" s="11"/>
      <c r="N22424" s="11"/>
      <c r="O22424" s="11"/>
      <c r="P22424" s="11"/>
    </row>
    <row r="22425" spans="8:16" x14ac:dyDescent="0.25">
      <c r="H22425" s="12"/>
      <c r="I22425" s="12"/>
      <c r="J22425" s="12"/>
      <c r="K22425" s="12"/>
      <c r="L22425" s="12"/>
      <c r="M22425" s="11"/>
      <c r="N22425" s="11"/>
      <c r="O22425" s="11"/>
      <c r="P22425" s="11"/>
    </row>
    <row r="22426" spans="8:16" x14ac:dyDescent="0.25">
      <c r="H22426" s="12"/>
      <c r="I22426" s="12"/>
      <c r="J22426" s="12"/>
      <c r="K22426" s="12"/>
      <c r="L22426" s="12"/>
      <c r="M22426" s="11"/>
      <c r="N22426" s="11"/>
      <c r="O22426" s="11"/>
      <c r="P22426" s="11"/>
    </row>
    <row r="22427" spans="8:16" x14ac:dyDescent="0.25">
      <c r="H22427" s="12"/>
      <c r="I22427" s="12"/>
      <c r="J22427" s="12"/>
      <c r="K22427" s="12"/>
      <c r="L22427" s="12"/>
      <c r="M22427" s="11"/>
      <c r="N22427" s="11"/>
      <c r="O22427" s="11"/>
      <c r="P22427" s="11"/>
    </row>
    <row r="22428" spans="8:16" x14ac:dyDescent="0.25">
      <c r="H22428" s="12"/>
      <c r="I22428" s="12"/>
      <c r="J22428" s="12"/>
      <c r="K22428" s="12"/>
      <c r="L22428" s="12"/>
      <c r="M22428" s="11"/>
      <c r="N22428" s="11"/>
      <c r="O22428" s="11"/>
      <c r="P22428" s="11"/>
    </row>
    <row r="22429" spans="8:16" x14ac:dyDescent="0.25">
      <c r="H22429" s="12"/>
      <c r="I22429" s="12"/>
      <c r="J22429" s="12"/>
      <c r="K22429" s="12"/>
      <c r="L22429" s="12"/>
      <c r="M22429" s="11"/>
      <c r="N22429" s="11"/>
      <c r="O22429" s="11"/>
      <c r="P22429" s="11"/>
    </row>
    <row r="22430" spans="8:16" x14ac:dyDescent="0.25">
      <c r="H22430" s="12"/>
      <c r="I22430" s="12"/>
      <c r="J22430" s="12"/>
      <c r="K22430" s="12"/>
      <c r="L22430" s="12"/>
      <c r="M22430" s="11"/>
      <c r="N22430" s="11"/>
      <c r="O22430" s="11"/>
      <c r="P22430" s="11"/>
    </row>
    <row r="22431" spans="8:16" x14ac:dyDescent="0.25">
      <c r="H22431" s="12"/>
      <c r="I22431" s="12"/>
      <c r="J22431" s="12"/>
      <c r="K22431" s="12"/>
      <c r="L22431" s="12"/>
      <c r="M22431" s="11"/>
      <c r="N22431" s="11"/>
      <c r="O22431" s="11"/>
      <c r="P22431" s="11"/>
    </row>
    <row r="22432" spans="8:16" x14ac:dyDescent="0.25">
      <c r="H22432" s="12"/>
      <c r="I22432" s="12"/>
      <c r="J22432" s="12"/>
      <c r="K22432" s="12"/>
      <c r="L22432" s="12"/>
      <c r="M22432" s="11"/>
      <c r="N22432" s="11"/>
      <c r="O22432" s="11"/>
      <c r="P22432" s="11"/>
    </row>
    <row r="22433" spans="8:16" x14ac:dyDescent="0.25">
      <c r="H22433" s="12"/>
      <c r="I22433" s="12"/>
      <c r="J22433" s="12"/>
      <c r="K22433" s="12"/>
      <c r="L22433" s="12"/>
      <c r="M22433" s="11"/>
      <c r="N22433" s="11"/>
      <c r="O22433" s="11"/>
      <c r="P22433" s="11"/>
    </row>
    <row r="22434" spans="8:16" x14ac:dyDescent="0.25">
      <c r="H22434" s="12"/>
      <c r="I22434" s="12"/>
      <c r="J22434" s="12"/>
      <c r="K22434" s="12"/>
      <c r="L22434" s="12"/>
      <c r="M22434" s="11"/>
      <c r="N22434" s="11"/>
      <c r="O22434" s="11"/>
      <c r="P22434" s="11"/>
    </row>
    <row r="22435" spans="8:16" x14ac:dyDescent="0.25">
      <c r="H22435" s="12"/>
      <c r="I22435" s="12"/>
      <c r="J22435" s="12"/>
      <c r="K22435" s="12"/>
      <c r="L22435" s="12"/>
      <c r="M22435" s="11"/>
      <c r="N22435" s="11"/>
      <c r="O22435" s="11"/>
      <c r="P22435" s="11"/>
    </row>
    <row r="22436" spans="8:16" x14ac:dyDescent="0.25">
      <c r="H22436" s="12"/>
      <c r="I22436" s="12"/>
      <c r="J22436" s="12"/>
      <c r="K22436" s="12"/>
      <c r="L22436" s="12"/>
      <c r="M22436" s="11"/>
      <c r="N22436" s="11"/>
      <c r="O22436" s="11"/>
      <c r="P22436" s="11"/>
    </row>
    <row r="22437" spans="8:16" x14ac:dyDescent="0.25">
      <c r="H22437" s="12"/>
      <c r="I22437" s="12"/>
      <c r="J22437" s="12"/>
      <c r="K22437" s="12"/>
      <c r="L22437" s="12"/>
      <c r="M22437" s="11"/>
      <c r="N22437" s="11"/>
      <c r="O22437" s="11"/>
      <c r="P22437" s="11"/>
    </row>
    <row r="22438" spans="8:16" x14ac:dyDescent="0.25">
      <c r="H22438" s="12"/>
      <c r="I22438" s="12"/>
      <c r="J22438" s="12"/>
      <c r="K22438" s="12"/>
      <c r="L22438" s="12"/>
      <c r="M22438" s="11"/>
      <c r="N22438" s="11"/>
      <c r="O22438" s="11"/>
      <c r="P22438" s="11"/>
    </row>
    <row r="22439" spans="8:16" x14ac:dyDescent="0.25">
      <c r="H22439" s="12"/>
      <c r="I22439" s="12"/>
      <c r="J22439" s="12"/>
      <c r="K22439" s="12"/>
      <c r="L22439" s="12"/>
      <c r="M22439" s="11"/>
      <c r="N22439" s="11"/>
      <c r="O22439" s="11"/>
      <c r="P22439" s="11"/>
    </row>
    <row r="22440" spans="8:16" x14ac:dyDescent="0.25">
      <c r="H22440" s="12"/>
      <c r="I22440" s="12"/>
      <c r="J22440" s="12"/>
      <c r="K22440" s="12"/>
      <c r="L22440" s="12"/>
      <c r="M22440" s="11"/>
      <c r="N22440" s="11"/>
      <c r="O22440" s="11"/>
      <c r="P22440" s="11"/>
    </row>
    <row r="22441" spans="8:16" x14ac:dyDescent="0.25">
      <c r="H22441" s="12"/>
      <c r="I22441" s="12"/>
      <c r="J22441" s="12"/>
      <c r="K22441" s="12"/>
      <c r="L22441" s="12"/>
      <c r="M22441" s="11"/>
      <c r="N22441" s="11"/>
      <c r="O22441" s="11"/>
      <c r="P22441" s="11"/>
    </row>
    <row r="22442" spans="8:16" x14ac:dyDescent="0.25">
      <c r="H22442" s="12"/>
      <c r="I22442" s="12"/>
      <c r="J22442" s="12"/>
      <c r="K22442" s="12"/>
      <c r="L22442" s="12"/>
      <c r="M22442" s="11"/>
      <c r="N22442" s="11"/>
      <c r="O22442" s="11"/>
      <c r="P22442" s="11"/>
    </row>
    <row r="22443" spans="8:16" x14ac:dyDescent="0.25">
      <c r="H22443" s="12"/>
      <c r="I22443" s="12"/>
      <c r="J22443" s="12"/>
      <c r="K22443" s="12"/>
      <c r="L22443" s="12"/>
      <c r="M22443" s="11"/>
      <c r="N22443" s="11"/>
      <c r="O22443" s="11"/>
      <c r="P22443" s="11"/>
    </row>
    <row r="22444" spans="8:16" x14ac:dyDescent="0.25">
      <c r="H22444" s="12"/>
      <c r="I22444" s="12"/>
      <c r="J22444" s="12"/>
      <c r="K22444" s="12"/>
      <c r="L22444" s="12"/>
      <c r="M22444" s="11"/>
      <c r="N22444" s="11"/>
      <c r="O22444" s="11"/>
      <c r="P22444" s="11"/>
    </row>
    <row r="22445" spans="8:16" x14ac:dyDescent="0.25">
      <c r="H22445" s="12"/>
      <c r="I22445" s="12"/>
      <c r="J22445" s="12"/>
      <c r="K22445" s="12"/>
      <c r="L22445" s="12"/>
      <c r="M22445" s="11"/>
      <c r="N22445" s="11"/>
      <c r="O22445" s="11"/>
      <c r="P22445" s="11"/>
    </row>
    <row r="22446" spans="8:16" x14ac:dyDescent="0.25">
      <c r="H22446" s="12"/>
      <c r="I22446" s="12"/>
      <c r="J22446" s="12"/>
      <c r="K22446" s="12"/>
      <c r="L22446" s="12"/>
      <c r="M22446" s="11"/>
      <c r="N22446" s="11"/>
      <c r="O22446" s="11"/>
      <c r="P22446" s="11"/>
    </row>
    <row r="22447" spans="8:16" x14ac:dyDescent="0.25">
      <c r="H22447" s="12"/>
      <c r="I22447" s="12"/>
      <c r="J22447" s="12"/>
      <c r="K22447" s="12"/>
      <c r="L22447" s="12"/>
      <c r="M22447" s="11"/>
      <c r="N22447" s="11"/>
      <c r="O22447" s="11"/>
      <c r="P22447" s="11"/>
    </row>
    <row r="22448" spans="8:16" x14ac:dyDescent="0.25">
      <c r="H22448" s="12"/>
      <c r="I22448" s="12"/>
      <c r="J22448" s="12"/>
      <c r="K22448" s="12"/>
      <c r="L22448" s="12"/>
      <c r="M22448" s="11"/>
      <c r="N22448" s="11"/>
      <c r="O22448" s="11"/>
      <c r="P22448" s="11"/>
    </row>
    <row r="22449" spans="8:16" x14ac:dyDescent="0.25">
      <c r="H22449" s="12"/>
      <c r="I22449" s="12"/>
      <c r="J22449" s="12"/>
      <c r="K22449" s="12"/>
      <c r="L22449" s="12"/>
      <c r="M22449" s="11"/>
      <c r="N22449" s="11"/>
      <c r="O22449" s="11"/>
      <c r="P22449" s="11"/>
    </row>
    <row r="22450" spans="8:16" x14ac:dyDescent="0.25">
      <c r="H22450" s="12"/>
      <c r="I22450" s="12"/>
      <c r="J22450" s="12"/>
      <c r="K22450" s="12"/>
      <c r="L22450" s="12"/>
      <c r="M22450" s="11"/>
      <c r="N22450" s="11"/>
      <c r="O22450" s="11"/>
      <c r="P22450" s="11"/>
    </row>
    <row r="22451" spans="8:16" x14ac:dyDescent="0.25">
      <c r="H22451" s="12"/>
      <c r="I22451" s="12"/>
      <c r="J22451" s="12"/>
      <c r="K22451" s="12"/>
      <c r="L22451" s="12"/>
      <c r="M22451" s="11"/>
      <c r="N22451" s="11"/>
      <c r="O22451" s="11"/>
      <c r="P22451" s="11"/>
    </row>
    <row r="22452" spans="8:16" x14ac:dyDescent="0.25">
      <c r="H22452" s="12"/>
      <c r="I22452" s="12"/>
      <c r="J22452" s="12"/>
      <c r="K22452" s="12"/>
      <c r="L22452" s="12"/>
      <c r="M22452" s="11"/>
      <c r="N22452" s="11"/>
      <c r="O22452" s="11"/>
      <c r="P22452" s="11"/>
    </row>
    <row r="22453" spans="8:16" x14ac:dyDescent="0.25">
      <c r="H22453" s="12"/>
      <c r="I22453" s="12"/>
      <c r="J22453" s="12"/>
      <c r="K22453" s="12"/>
      <c r="L22453" s="12"/>
      <c r="M22453" s="11"/>
      <c r="N22453" s="11"/>
      <c r="O22453" s="11"/>
      <c r="P22453" s="11"/>
    </row>
    <row r="22454" spans="8:16" x14ac:dyDescent="0.25">
      <c r="H22454" s="12"/>
      <c r="I22454" s="12"/>
      <c r="J22454" s="12"/>
      <c r="K22454" s="12"/>
      <c r="L22454" s="12"/>
      <c r="M22454" s="11"/>
      <c r="N22454" s="11"/>
      <c r="O22454" s="11"/>
      <c r="P22454" s="11"/>
    </row>
    <row r="22455" spans="8:16" x14ac:dyDescent="0.25">
      <c r="H22455" s="12"/>
      <c r="I22455" s="12"/>
      <c r="J22455" s="12"/>
      <c r="K22455" s="12"/>
      <c r="L22455" s="12"/>
      <c r="M22455" s="11"/>
      <c r="N22455" s="11"/>
      <c r="O22455" s="11"/>
      <c r="P22455" s="11"/>
    </row>
    <row r="22456" spans="8:16" x14ac:dyDescent="0.25">
      <c r="H22456" s="12"/>
      <c r="I22456" s="12"/>
      <c r="J22456" s="12"/>
      <c r="K22456" s="12"/>
      <c r="L22456" s="12"/>
      <c r="M22456" s="11"/>
      <c r="N22456" s="11"/>
      <c r="O22456" s="11"/>
      <c r="P22456" s="11"/>
    </row>
    <row r="22457" spans="8:16" x14ac:dyDescent="0.25">
      <c r="H22457" s="12"/>
      <c r="I22457" s="12"/>
      <c r="J22457" s="12"/>
      <c r="K22457" s="12"/>
      <c r="L22457" s="12"/>
      <c r="M22457" s="11"/>
      <c r="N22457" s="11"/>
      <c r="O22457" s="11"/>
      <c r="P22457" s="11"/>
    </row>
    <row r="22458" spans="8:16" x14ac:dyDescent="0.25">
      <c r="H22458" s="12"/>
      <c r="I22458" s="12"/>
      <c r="J22458" s="12"/>
      <c r="K22458" s="12"/>
      <c r="L22458" s="12"/>
      <c r="M22458" s="11"/>
      <c r="N22458" s="11"/>
      <c r="O22458" s="11"/>
      <c r="P22458" s="11"/>
    </row>
    <row r="22459" spans="8:16" x14ac:dyDescent="0.25">
      <c r="H22459" s="12"/>
      <c r="I22459" s="12"/>
      <c r="J22459" s="12"/>
      <c r="K22459" s="12"/>
      <c r="L22459" s="12"/>
      <c r="M22459" s="11"/>
      <c r="N22459" s="11"/>
      <c r="O22459" s="11"/>
      <c r="P22459" s="11"/>
    </row>
    <row r="22460" spans="8:16" x14ac:dyDescent="0.25">
      <c r="H22460" s="12"/>
      <c r="I22460" s="12"/>
      <c r="J22460" s="12"/>
      <c r="K22460" s="12"/>
      <c r="L22460" s="12"/>
      <c r="M22460" s="11"/>
      <c r="N22460" s="11"/>
      <c r="O22460" s="11"/>
      <c r="P22460" s="11"/>
    </row>
    <row r="22461" spans="8:16" x14ac:dyDescent="0.25">
      <c r="H22461" s="12"/>
      <c r="I22461" s="12"/>
      <c r="J22461" s="12"/>
      <c r="K22461" s="12"/>
      <c r="L22461" s="12"/>
      <c r="M22461" s="11"/>
      <c r="N22461" s="11"/>
      <c r="O22461" s="11"/>
      <c r="P22461" s="11"/>
    </row>
    <row r="22462" spans="8:16" x14ac:dyDescent="0.25">
      <c r="H22462" s="12"/>
      <c r="I22462" s="12"/>
      <c r="J22462" s="12"/>
      <c r="K22462" s="12"/>
      <c r="L22462" s="12"/>
      <c r="M22462" s="11"/>
      <c r="N22462" s="11"/>
      <c r="O22462" s="11"/>
      <c r="P22462" s="11"/>
    </row>
    <row r="22463" spans="8:16" x14ac:dyDescent="0.25">
      <c r="H22463" s="12"/>
      <c r="I22463" s="12"/>
      <c r="J22463" s="12"/>
      <c r="K22463" s="12"/>
      <c r="L22463" s="12"/>
      <c r="M22463" s="11"/>
      <c r="N22463" s="11"/>
      <c r="O22463" s="11"/>
      <c r="P22463" s="11"/>
    </row>
    <row r="22464" spans="8:16" x14ac:dyDescent="0.25">
      <c r="H22464" s="12"/>
      <c r="I22464" s="12"/>
      <c r="J22464" s="12"/>
      <c r="K22464" s="12"/>
      <c r="L22464" s="12"/>
      <c r="M22464" s="11"/>
      <c r="N22464" s="11"/>
      <c r="O22464" s="11"/>
      <c r="P22464" s="11"/>
    </row>
    <row r="22465" spans="8:16" x14ac:dyDescent="0.25">
      <c r="H22465" s="12"/>
      <c r="I22465" s="12"/>
      <c r="J22465" s="12"/>
      <c r="K22465" s="12"/>
      <c r="L22465" s="12"/>
      <c r="M22465" s="11"/>
      <c r="N22465" s="11"/>
      <c r="O22465" s="11"/>
      <c r="P22465" s="11"/>
    </row>
    <row r="22466" spans="8:16" x14ac:dyDescent="0.25">
      <c r="H22466" s="12"/>
      <c r="I22466" s="12"/>
      <c r="J22466" s="12"/>
      <c r="K22466" s="12"/>
      <c r="L22466" s="12"/>
      <c r="M22466" s="11"/>
      <c r="N22466" s="11"/>
      <c r="O22466" s="11"/>
      <c r="P22466" s="11"/>
    </row>
    <row r="22467" spans="8:16" x14ac:dyDescent="0.25">
      <c r="H22467" s="12"/>
      <c r="I22467" s="12"/>
      <c r="J22467" s="12"/>
      <c r="K22467" s="12"/>
      <c r="L22467" s="12"/>
      <c r="M22467" s="11"/>
      <c r="N22467" s="11"/>
      <c r="O22467" s="11"/>
      <c r="P22467" s="11"/>
    </row>
    <row r="22468" spans="8:16" x14ac:dyDescent="0.25">
      <c r="H22468" s="12"/>
      <c r="I22468" s="12"/>
      <c r="J22468" s="12"/>
      <c r="K22468" s="12"/>
      <c r="L22468" s="12"/>
      <c r="M22468" s="11"/>
      <c r="N22468" s="11"/>
      <c r="O22468" s="11"/>
      <c r="P22468" s="11"/>
    </row>
    <row r="22469" spans="8:16" x14ac:dyDescent="0.25">
      <c r="H22469" s="12"/>
      <c r="I22469" s="12"/>
      <c r="J22469" s="12"/>
      <c r="K22469" s="12"/>
      <c r="L22469" s="12"/>
      <c r="M22469" s="11"/>
      <c r="N22469" s="11"/>
      <c r="O22469" s="11"/>
      <c r="P22469" s="11"/>
    </row>
    <row r="22470" spans="8:16" x14ac:dyDescent="0.25">
      <c r="H22470" s="12"/>
      <c r="I22470" s="12"/>
      <c r="J22470" s="12"/>
      <c r="K22470" s="12"/>
      <c r="L22470" s="12"/>
      <c r="M22470" s="11"/>
      <c r="N22470" s="11"/>
      <c r="O22470" s="11"/>
      <c r="P22470" s="11"/>
    </row>
    <row r="22471" spans="8:16" x14ac:dyDescent="0.25">
      <c r="H22471" s="12"/>
      <c r="I22471" s="12"/>
      <c r="J22471" s="12"/>
      <c r="K22471" s="12"/>
      <c r="L22471" s="12"/>
      <c r="M22471" s="11"/>
      <c r="N22471" s="11"/>
      <c r="O22471" s="11"/>
      <c r="P22471" s="11"/>
    </row>
    <row r="22472" spans="8:16" x14ac:dyDescent="0.25">
      <c r="H22472" s="12"/>
      <c r="I22472" s="12"/>
      <c r="J22472" s="12"/>
      <c r="K22472" s="12"/>
      <c r="L22472" s="12"/>
      <c r="M22472" s="11"/>
      <c r="N22472" s="11"/>
      <c r="O22472" s="11"/>
      <c r="P22472" s="11"/>
    </row>
    <row r="22473" spans="8:16" x14ac:dyDescent="0.25">
      <c r="H22473" s="12"/>
      <c r="I22473" s="12"/>
      <c r="J22473" s="12"/>
      <c r="K22473" s="12"/>
      <c r="L22473" s="12"/>
      <c r="M22473" s="11"/>
      <c r="N22473" s="11"/>
      <c r="O22473" s="11"/>
      <c r="P22473" s="11"/>
    </row>
    <row r="22474" spans="8:16" x14ac:dyDescent="0.25">
      <c r="H22474" s="12"/>
      <c r="I22474" s="12"/>
      <c r="J22474" s="12"/>
      <c r="K22474" s="12"/>
      <c r="L22474" s="12"/>
      <c r="M22474" s="11"/>
      <c r="N22474" s="11"/>
      <c r="O22474" s="11"/>
      <c r="P22474" s="11"/>
    </row>
    <row r="22475" spans="8:16" x14ac:dyDescent="0.25">
      <c r="H22475" s="12"/>
      <c r="I22475" s="12"/>
      <c r="J22475" s="12"/>
      <c r="K22475" s="12"/>
      <c r="L22475" s="12"/>
      <c r="M22475" s="11"/>
      <c r="N22475" s="11"/>
      <c r="O22475" s="11"/>
      <c r="P22475" s="11"/>
    </row>
    <row r="22476" spans="8:16" x14ac:dyDescent="0.25">
      <c r="H22476" s="12"/>
      <c r="I22476" s="12"/>
      <c r="J22476" s="12"/>
      <c r="K22476" s="12"/>
      <c r="L22476" s="12"/>
      <c r="M22476" s="11"/>
      <c r="N22476" s="11"/>
      <c r="O22476" s="11"/>
      <c r="P22476" s="11"/>
    </row>
    <row r="22477" spans="8:16" x14ac:dyDescent="0.25">
      <c r="H22477" s="12"/>
      <c r="I22477" s="12"/>
      <c r="J22477" s="12"/>
      <c r="K22477" s="12"/>
      <c r="L22477" s="12"/>
      <c r="M22477" s="11"/>
      <c r="N22477" s="11"/>
      <c r="O22477" s="11"/>
      <c r="P22477" s="11"/>
    </row>
    <row r="22478" spans="8:16" x14ac:dyDescent="0.25">
      <c r="H22478" s="12"/>
      <c r="I22478" s="12"/>
      <c r="J22478" s="12"/>
      <c r="K22478" s="12"/>
      <c r="L22478" s="12"/>
      <c r="M22478" s="11"/>
      <c r="N22478" s="11"/>
      <c r="O22478" s="11"/>
      <c r="P22478" s="11"/>
    </row>
    <row r="22479" spans="8:16" x14ac:dyDescent="0.25">
      <c r="H22479" s="12"/>
      <c r="I22479" s="12"/>
      <c r="J22479" s="12"/>
      <c r="K22479" s="12"/>
      <c r="L22479" s="12"/>
      <c r="M22479" s="11"/>
      <c r="N22479" s="11"/>
      <c r="O22479" s="11"/>
      <c r="P22479" s="11"/>
    </row>
    <row r="22480" spans="8:16" x14ac:dyDescent="0.25">
      <c r="H22480" s="12"/>
      <c r="I22480" s="12"/>
      <c r="J22480" s="12"/>
      <c r="K22480" s="12"/>
      <c r="L22480" s="12"/>
      <c r="M22480" s="11"/>
      <c r="N22480" s="11"/>
      <c r="O22480" s="11"/>
      <c r="P22480" s="11"/>
    </row>
    <row r="22481" spans="8:16" x14ac:dyDescent="0.25">
      <c r="H22481" s="12"/>
      <c r="I22481" s="12"/>
      <c r="J22481" s="12"/>
      <c r="K22481" s="12"/>
      <c r="L22481" s="12"/>
      <c r="M22481" s="11"/>
      <c r="N22481" s="11"/>
      <c r="O22481" s="11"/>
      <c r="P22481" s="11"/>
    </row>
    <row r="22482" spans="8:16" x14ac:dyDescent="0.25">
      <c r="H22482" s="12"/>
      <c r="I22482" s="12"/>
      <c r="J22482" s="12"/>
      <c r="K22482" s="12"/>
      <c r="L22482" s="12"/>
      <c r="M22482" s="11"/>
      <c r="N22482" s="11"/>
      <c r="O22482" s="11"/>
      <c r="P22482" s="11"/>
    </row>
    <row r="22483" spans="8:16" x14ac:dyDescent="0.25">
      <c r="H22483" s="12"/>
      <c r="I22483" s="12"/>
      <c r="J22483" s="12"/>
      <c r="K22483" s="12"/>
      <c r="L22483" s="12"/>
      <c r="M22483" s="11"/>
      <c r="N22483" s="11"/>
      <c r="O22483" s="11"/>
      <c r="P22483" s="11"/>
    </row>
    <row r="22484" spans="8:16" x14ac:dyDescent="0.25">
      <c r="H22484" s="12"/>
      <c r="I22484" s="12"/>
      <c r="J22484" s="12"/>
      <c r="K22484" s="12"/>
      <c r="L22484" s="12"/>
      <c r="M22484" s="11"/>
      <c r="N22484" s="11"/>
      <c r="O22484" s="11"/>
      <c r="P22484" s="11"/>
    </row>
    <row r="22485" spans="8:16" x14ac:dyDescent="0.25">
      <c r="H22485" s="12"/>
      <c r="I22485" s="12"/>
      <c r="J22485" s="12"/>
      <c r="K22485" s="12"/>
      <c r="L22485" s="12"/>
      <c r="M22485" s="11"/>
      <c r="N22485" s="11"/>
      <c r="O22485" s="11"/>
      <c r="P22485" s="11"/>
    </row>
    <row r="22486" spans="8:16" x14ac:dyDescent="0.25">
      <c r="H22486" s="12"/>
      <c r="I22486" s="12"/>
      <c r="J22486" s="12"/>
      <c r="K22486" s="12"/>
      <c r="L22486" s="12"/>
      <c r="M22486" s="11"/>
      <c r="N22486" s="11"/>
      <c r="O22486" s="11"/>
      <c r="P22486" s="11"/>
    </row>
    <row r="22487" spans="8:16" x14ac:dyDescent="0.25">
      <c r="H22487" s="12"/>
      <c r="I22487" s="12"/>
      <c r="J22487" s="12"/>
      <c r="K22487" s="12"/>
      <c r="L22487" s="12"/>
      <c r="M22487" s="11"/>
      <c r="N22487" s="11"/>
      <c r="O22487" s="11"/>
      <c r="P22487" s="11"/>
    </row>
    <row r="22488" spans="8:16" x14ac:dyDescent="0.25">
      <c r="H22488" s="12"/>
      <c r="I22488" s="12"/>
      <c r="J22488" s="12"/>
      <c r="K22488" s="12"/>
      <c r="L22488" s="12"/>
      <c r="M22488" s="11"/>
      <c r="N22488" s="11"/>
      <c r="O22488" s="11"/>
      <c r="P22488" s="11"/>
    </row>
    <row r="22489" spans="8:16" x14ac:dyDescent="0.25">
      <c r="H22489" s="12"/>
      <c r="I22489" s="12"/>
      <c r="J22489" s="12"/>
      <c r="K22489" s="12"/>
      <c r="L22489" s="12"/>
      <c r="M22489" s="11"/>
      <c r="N22489" s="11"/>
      <c r="O22489" s="11"/>
      <c r="P22489" s="11"/>
    </row>
    <row r="22490" spans="8:16" x14ac:dyDescent="0.25">
      <c r="H22490" s="12"/>
      <c r="I22490" s="12"/>
      <c r="J22490" s="12"/>
      <c r="K22490" s="12"/>
      <c r="L22490" s="12"/>
      <c r="M22490" s="11"/>
      <c r="N22490" s="11"/>
      <c r="O22490" s="11"/>
      <c r="P22490" s="11"/>
    </row>
    <row r="22491" spans="8:16" x14ac:dyDescent="0.25">
      <c r="H22491" s="12"/>
      <c r="I22491" s="12"/>
      <c r="J22491" s="12"/>
      <c r="K22491" s="12"/>
      <c r="L22491" s="12"/>
      <c r="M22491" s="11"/>
      <c r="N22491" s="11"/>
      <c r="O22491" s="11"/>
      <c r="P22491" s="11"/>
    </row>
    <row r="22492" spans="8:16" x14ac:dyDescent="0.25">
      <c r="H22492" s="12"/>
      <c r="I22492" s="12"/>
      <c r="J22492" s="12"/>
      <c r="K22492" s="12"/>
      <c r="L22492" s="12"/>
      <c r="M22492" s="11"/>
      <c r="N22492" s="11"/>
      <c r="O22492" s="11"/>
      <c r="P22492" s="11"/>
    </row>
    <row r="22493" spans="8:16" x14ac:dyDescent="0.25">
      <c r="H22493" s="12"/>
      <c r="I22493" s="12"/>
      <c r="J22493" s="12"/>
      <c r="K22493" s="12"/>
      <c r="L22493" s="12"/>
      <c r="M22493" s="11"/>
      <c r="N22493" s="11"/>
      <c r="O22493" s="11"/>
      <c r="P22493" s="11"/>
    </row>
    <row r="22494" spans="8:16" x14ac:dyDescent="0.25">
      <c r="H22494" s="12"/>
      <c r="I22494" s="12"/>
      <c r="J22494" s="12"/>
      <c r="K22494" s="12"/>
      <c r="L22494" s="12"/>
      <c r="M22494" s="11"/>
      <c r="N22494" s="11"/>
      <c r="O22494" s="11"/>
      <c r="P22494" s="11"/>
    </row>
    <row r="22495" spans="8:16" x14ac:dyDescent="0.25">
      <c r="H22495" s="12"/>
      <c r="I22495" s="12"/>
      <c r="J22495" s="12"/>
      <c r="K22495" s="12"/>
      <c r="L22495" s="12"/>
      <c r="M22495" s="11"/>
      <c r="N22495" s="11"/>
      <c r="O22495" s="11"/>
      <c r="P22495" s="11"/>
    </row>
    <row r="22496" spans="8:16" x14ac:dyDescent="0.25">
      <c r="H22496" s="12"/>
      <c r="I22496" s="12"/>
      <c r="J22496" s="12"/>
      <c r="K22496" s="12"/>
      <c r="L22496" s="12"/>
      <c r="M22496" s="11"/>
      <c r="N22496" s="11"/>
      <c r="O22496" s="11"/>
      <c r="P22496" s="11"/>
    </row>
    <row r="22497" spans="8:16" x14ac:dyDescent="0.25">
      <c r="H22497" s="12"/>
      <c r="I22497" s="12"/>
      <c r="J22497" s="12"/>
      <c r="K22497" s="12"/>
      <c r="L22497" s="12"/>
      <c r="M22497" s="11"/>
      <c r="N22497" s="11"/>
      <c r="O22497" s="11"/>
      <c r="P22497" s="11"/>
    </row>
    <row r="22498" spans="8:16" x14ac:dyDescent="0.25">
      <c r="H22498" s="12"/>
      <c r="I22498" s="12"/>
      <c r="J22498" s="12"/>
      <c r="K22498" s="12"/>
      <c r="L22498" s="12"/>
      <c r="M22498" s="11"/>
      <c r="N22498" s="11"/>
      <c r="O22498" s="11"/>
      <c r="P22498" s="11"/>
    </row>
    <row r="22499" spans="8:16" x14ac:dyDescent="0.25">
      <c r="H22499" s="12"/>
      <c r="I22499" s="12"/>
      <c r="J22499" s="12"/>
      <c r="K22499" s="12"/>
      <c r="L22499" s="12"/>
      <c r="M22499" s="11"/>
      <c r="N22499" s="11"/>
      <c r="O22499" s="11"/>
      <c r="P22499" s="11"/>
    </row>
    <row r="22500" spans="8:16" x14ac:dyDescent="0.25">
      <c r="H22500" s="12"/>
      <c r="I22500" s="12"/>
      <c r="J22500" s="12"/>
      <c r="K22500" s="12"/>
      <c r="L22500" s="12"/>
      <c r="M22500" s="11"/>
      <c r="N22500" s="11"/>
      <c r="O22500" s="11"/>
      <c r="P22500" s="11"/>
    </row>
    <row r="22501" spans="8:16" x14ac:dyDescent="0.25">
      <c r="H22501" s="12"/>
      <c r="I22501" s="12"/>
      <c r="J22501" s="12"/>
      <c r="K22501" s="12"/>
      <c r="L22501" s="12"/>
      <c r="M22501" s="11"/>
      <c r="N22501" s="11"/>
      <c r="O22501" s="11"/>
      <c r="P22501" s="11"/>
    </row>
    <row r="22502" spans="8:16" x14ac:dyDescent="0.25">
      <c r="H22502" s="12"/>
      <c r="I22502" s="12"/>
      <c r="J22502" s="12"/>
      <c r="K22502" s="12"/>
      <c r="L22502" s="12"/>
      <c r="M22502" s="11"/>
      <c r="N22502" s="11"/>
      <c r="O22502" s="11"/>
      <c r="P22502" s="11"/>
    </row>
    <row r="22503" spans="8:16" x14ac:dyDescent="0.25">
      <c r="H22503" s="12"/>
      <c r="I22503" s="12"/>
      <c r="J22503" s="12"/>
      <c r="K22503" s="12"/>
      <c r="L22503" s="12"/>
      <c r="M22503" s="11"/>
      <c r="N22503" s="11"/>
      <c r="O22503" s="11"/>
      <c r="P22503" s="11"/>
    </row>
    <row r="22504" spans="8:16" x14ac:dyDescent="0.25">
      <c r="H22504" s="12"/>
      <c r="I22504" s="12"/>
      <c r="J22504" s="12"/>
      <c r="K22504" s="12"/>
      <c r="L22504" s="12"/>
      <c r="M22504" s="11"/>
      <c r="N22504" s="11"/>
      <c r="O22504" s="11"/>
      <c r="P22504" s="11"/>
    </row>
    <row r="22505" spans="8:16" x14ac:dyDescent="0.25">
      <c r="H22505" s="12"/>
      <c r="I22505" s="12"/>
      <c r="J22505" s="12"/>
      <c r="K22505" s="12"/>
      <c r="L22505" s="12"/>
      <c r="M22505" s="11"/>
      <c r="N22505" s="11"/>
      <c r="O22505" s="11"/>
      <c r="P22505" s="11"/>
    </row>
    <row r="22506" spans="8:16" x14ac:dyDescent="0.25">
      <c r="H22506" s="12"/>
      <c r="I22506" s="12"/>
      <c r="J22506" s="12"/>
      <c r="K22506" s="12"/>
      <c r="L22506" s="12"/>
      <c r="M22506" s="11"/>
      <c r="N22506" s="11"/>
      <c r="O22506" s="11"/>
      <c r="P22506" s="11"/>
    </row>
    <row r="22507" spans="8:16" x14ac:dyDescent="0.25">
      <c r="H22507" s="12"/>
      <c r="I22507" s="12"/>
      <c r="J22507" s="12"/>
      <c r="K22507" s="12"/>
      <c r="L22507" s="12"/>
      <c r="M22507" s="11"/>
      <c r="N22507" s="11"/>
      <c r="O22507" s="11"/>
      <c r="P22507" s="11"/>
    </row>
    <row r="22508" spans="8:16" x14ac:dyDescent="0.25">
      <c r="H22508" s="12"/>
      <c r="I22508" s="12"/>
      <c r="J22508" s="12"/>
      <c r="K22508" s="12"/>
      <c r="L22508" s="12"/>
      <c r="M22508" s="11"/>
      <c r="N22508" s="11"/>
      <c r="O22508" s="11"/>
      <c r="P22508" s="11"/>
    </row>
    <row r="22509" spans="8:16" x14ac:dyDescent="0.25">
      <c r="H22509" s="12"/>
      <c r="I22509" s="12"/>
      <c r="J22509" s="12"/>
      <c r="K22509" s="12"/>
      <c r="L22509" s="12"/>
      <c r="M22509" s="11"/>
      <c r="N22509" s="11"/>
      <c r="O22509" s="11"/>
      <c r="P22509" s="11"/>
    </row>
    <row r="22510" spans="8:16" x14ac:dyDescent="0.25">
      <c r="H22510" s="12"/>
      <c r="I22510" s="12"/>
      <c r="J22510" s="12"/>
      <c r="K22510" s="12"/>
      <c r="L22510" s="12"/>
      <c r="M22510" s="11"/>
      <c r="N22510" s="11"/>
      <c r="O22510" s="11"/>
      <c r="P22510" s="11"/>
    </row>
    <row r="22511" spans="8:16" x14ac:dyDescent="0.25">
      <c r="H22511" s="12"/>
      <c r="I22511" s="12"/>
      <c r="J22511" s="12"/>
      <c r="K22511" s="12"/>
      <c r="L22511" s="12"/>
      <c r="M22511" s="11"/>
      <c r="N22511" s="11"/>
      <c r="O22511" s="11"/>
      <c r="P22511" s="11"/>
    </row>
    <row r="22512" spans="8:16" x14ac:dyDescent="0.25">
      <c r="H22512" s="12"/>
      <c r="I22512" s="12"/>
      <c r="J22512" s="12"/>
      <c r="K22512" s="12"/>
      <c r="L22512" s="12"/>
      <c r="M22512" s="11"/>
      <c r="N22512" s="11"/>
      <c r="O22512" s="11"/>
      <c r="P22512" s="11"/>
    </row>
    <row r="22513" spans="8:16" x14ac:dyDescent="0.25">
      <c r="H22513" s="12"/>
      <c r="I22513" s="12"/>
      <c r="J22513" s="12"/>
      <c r="K22513" s="12"/>
      <c r="L22513" s="12"/>
      <c r="M22513" s="11"/>
      <c r="N22513" s="11"/>
      <c r="O22513" s="11"/>
      <c r="P22513" s="11"/>
    </row>
    <row r="22514" spans="8:16" x14ac:dyDescent="0.25">
      <c r="H22514" s="12"/>
      <c r="I22514" s="12"/>
      <c r="J22514" s="12"/>
      <c r="K22514" s="12"/>
      <c r="L22514" s="12"/>
      <c r="M22514" s="11"/>
      <c r="N22514" s="11"/>
      <c r="O22514" s="11"/>
      <c r="P22514" s="11"/>
    </row>
    <row r="22515" spans="8:16" x14ac:dyDescent="0.25">
      <c r="H22515" s="12"/>
      <c r="I22515" s="12"/>
      <c r="J22515" s="12"/>
      <c r="K22515" s="12"/>
      <c r="L22515" s="12"/>
      <c r="M22515" s="11"/>
      <c r="N22515" s="11"/>
      <c r="O22515" s="11"/>
      <c r="P22515" s="11"/>
    </row>
    <row r="22516" spans="8:16" x14ac:dyDescent="0.25">
      <c r="H22516" s="12"/>
      <c r="I22516" s="12"/>
      <c r="J22516" s="12"/>
      <c r="K22516" s="12"/>
      <c r="L22516" s="12"/>
      <c r="M22516" s="11"/>
      <c r="N22516" s="11"/>
      <c r="O22516" s="11"/>
      <c r="P22516" s="11"/>
    </row>
    <row r="22517" spans="8:16" x14ac:dyDescent="0.25">
      <c r="H22517" s="12"/>
      <c r="I22517" s="12"/>
      <c r="J22517" s="12"/>
      <c r="K22517" s="12"/>
      <c r="L22517" s="12"/>
      <c r="M22517" s="11"/>
      <c r="N22517" s="11"/>
      <c r="O22517" s="11"/>
      <c r="P22517" s="11"/>
    </row>
    <row r="22518" spans="8:16" x14ac:dyDescent="0.25">
      <c r="H22518" s="12"/>
      <c r="I22518" s="12"/>
      <c r="J22518" s="12"/>
      <c r="K22518" s="12"/>
      <c r="L22518" s="12"/>
      <c r="M22518" s="11"/>
      <c r="N22518" s="11"/>
      <c r="O22518" s="11"/>
      <c r="P22518" s="11"/>
    </row>
    <row r="22519" spans="8:16" x14ac:dyDescent="0.25">
      <c r="H22519" s="12"/>
      <c r="I22519" s="12"/>
      <c r="J22519" s="12"/>
      <c r="K22519" s="12"/>
      <c r="L22519" s="12"/>
      <c r="M22519" s="11"/>
      <c r="N22519" s="11"/>
      <c r="O22519" s="11"/>
      <c r="P22519" s="11"/>
    </row>
    <row r="22520" spans="8:16" x14ac:dyDescent="0.25">
      <c r="H22520" s="12"/>
      <c r="I22520" s="12"/>
      <c r="J22520" s="12"/>
      <c r="K22520" s="12"/>
      <c r="L22520" s="12"/>
      <c r="M22520" s="11"/>
      <c r="N22520" s="11"/>
      <c r="O22520" s="11"/>
      <c r="P22520" s="11"/>
    </row>
    <row r="22521" spans="8:16" x14ac:dyDescent="0.25">
      <c r="H22521" s="12"/>
      <c r="I22521" s="12"/>
      <c r="J22521" s="12"/>
      <c r="K22521" s="12"/>
      <c r="L22521" s="12"/>
      <c r="M22521" s="11"/>
      <c r="N22521" s="11"/>
      <c r="O22521" s="11"/>
      <c r="P22521" s="11"/>
    </row>
    <row r="22522" spans="8:16" x14ac:dyDescent="0.25">
      <c r="H22522" s="12"/>
      <c r="I22522" s="12"/>
      <c r="J22522" s="12"/>
      <c r="K22522" s="12"/>
      <c r="L22522" s="12"/>
      <c r="M22522" s="11"/>
      <c r="N22522" s="11"/>
      <c r="O22522" s="11"/>
      <c r="P22522" s="11"/>
    </row>
    <row r="22523" spans="8:16" x14ac:dyDescent="0.25">
      <c r="H22523" s="12"/>
      <c r="I22523" s="12"/>
      <c r="J22523" s="12"/>
      <c r="K22523" s="12"/>
      <c r="L22523" s="12"/>
      <c r="M22523" s="11"/>
      <c r="N22523" s="11"/>
      <c r="O22523" s="11"/>
      <c r="P22523" s="11"/>
    </row>
    <row r="22524" spans="8:16" x14ac:dyDescent="0.25">
      <c r="H22524" s="12"/>
      <c r="I22524" s="12"/>
      <c r="J22524" s="12"/>
      <c r="K22524" s="12"/>
      <c r="L22524" s="12"/>
      <c r="M22524" s="11"/>
      <c r="N22524" s="11"/>
      <c r="O22524" s="11"/>
      <c r="P22524" s="11"/>
    </row>
    <row r="22525" spans="8:16" x14ac:dyDescent="0.25">
      <c r="H22525" s="12"/>
      <c r="I22525" s="12"/>
      <c r="J22525" s="12"/>
      <c r="K22525" s="12"/>
      <c r="L22525" s="12"/>
      <c r="M22525" s="11"/>
      <c r="N22525" s="11"/>
      <c r="O22525" s="11"/>
      <c r="P22525" s="11"/>
    </row>
    <row r="22526" spans="8:16" x14ac:dyDescent="0.25">
      <c r="H22526" s="12"/>
      <c r="I22526" s="12"/>
      <c r="J22526" s="12"/>
      <c r="K22526" s="12"/>
      <c r="L22526" s="12"/>
      <c r="M22526" s="11"/>
      <c r="N22526" s="11"/>
      <c r="O22526" s="11"/>
      <c r="P22526" s="11"/>
    </row>
    <row r="22527" spans="8:16" x14ac:dyDescent="0.25">
      <c r="H22527" s="12"/>
      <c r="I22527" s="12"/>
      <c r="J22527" s="12"/>
      <c r="K22527" s="12"/>
      <c r="L22527" s="12"/>
      <c r="M22527" s="11"/>
      <c r="N22527" s="11"/>
      <c r="O22527" s="11"/>
      <c r="P22527" s="11"/>
    </row>
    <row r="22528" spans="8:16" x14ac:dyDescent="0.25">
      <c r="H22528" s="12"/>
      <c r="I22528" s="12"/>
      <c r="J22528" s="12"/>
      <c r="K22528" s="12"/>
      <c r="L22528" s="12"/>
      <c r="M22528" s="11"/>
      <c r="N22528" s="11"/>
      <c r="O22528" s="11"/>
      <c r="P22528" s="11"/>
    </row>
    <row r="22529" spans="8:16" x14ac:dyDescent="0.25">
      <c r="H22529" s="12"/>
      <c r="I22529" s="12"/>
      <c r="J22529" s="12"/>
      <c r="K22529" s="12"/>
      <c r="L22529" s="12"/>
      <c r="M22529" s="11"/>
      <c r="N22529" s="11"/>
      <c r="O22529" s="11"/>
      <c r="P22529" s="11"/>
    </row>
    <row r="22530" spans="8:16" x14ac:dyDescent="0.25">
      <c r="H22530" s="12"/>
      <c r="I22530" s="12"/>
      <c r="J22530" s="12"/>
      <c r="K22530" s="12"/>
      <c r="L22530" s="12"/>
      <c r="M22530" s="11"/>
      <c r="N22530" s="11"/>
      <c r="O22530" s="11"/>
      <c r="P22530" s="11"/>
    </row>
    <row r="22531" spans="8:16" x14ac:dyDescent="0.25">
      <c r="H22531" s="12"/>
      <c r="I22531" s="12"/>
      <c r="J22531" s="12"/>
      <c r="K22531" s="12"/>
      <c r="L22531" s="12"/>
      <c r="M22531" s="11"/>
      <c r="N22531" s="11"/>
      <c r="O22531" s="11"/>
      <c r="P22531" s="11"/>
    </row>
    <row r="22532" spans="8:16" x14ac:dyDescent="0.25">
      <c r="H22532" s="12"/>
      <c r="I22532" s="12"/>
      <c r="J22532" s="12"/>
      <c r="K22532" s="12"/>
      <c r="L22532" s="12"/>
      <c r="M22532" s="11"/>
      <c r="N22532" s="11"/>
      <c r="O22532" s="11"/>
      <c r="P22532" s="11"/>
    </row>
    <row r="22533" spans="8:16" x14ac:dyDescent="0.25">
      <c r="H22533" s="12"/>
      <c r="I22533" s="12"/>
      <c r="J22533" s="12"/>
      <c r="K22533" s="12"/>
      <c r="L22533" s="12"/>
      <c r="M22533" s="11"/>
      <c r="N22533" s="11"/>
      <c r="O22533" s="11"/>
      <c r="P22533" s="11"/>
    </row>
    <row r="22534" spans="8:16" x14ac:dyDescent="0.25">
      <c r="H22534" s="12"/>
      <c r="I22534" s="12"/>
      <c r="J22534" s="12"/>
      <c r="K22534" s="12"/>
      <c r="L22534" s="12"/>
      <c r="M22534" s="11"/>
      <c r="N22534" s="11"/>
      <c r="O22534" s="11"/>
      <c r="P22534" s="11"/>
    </row>
    <row r="22535" spans="8:16" x14ac:dyDescent="0.25">
      <c r="H22535" s="12"/>
      <c r="I22535" s="12"/>
      <c r="J22535" s="12"/>
      <c r="K22535" s="12"/>
      <c r="L22535" s="12"/>
      <c r="M22535" s="11"/>
      <c r="N22535" s="11"/>
      <c r="O22535" s="11"/>
      <c r="P22535" s="11"/>
    </row>
    <row r="22536" spans="8:16" x14ac:dyDescent="0.25">
      <c r="H22536" s="12"/>
      <c r="I22536" s="12"/>
      <c r="J22536" s="12"/>
      <c r="K22536" s="12"/>
      <c r="L22536" s="12"/>
      <c r="M22536" s="11"/>
      <c r="N22536" s="11"/>
      <c r="O22536" s="11"/>
      <c r="P22536" s="11"/>
    </row>
    <row r="22537" spans="8:16" x14ac:dyDescent="0.25">
      <c r="H22537" s="12"/>
      <c r="I22537" s="12"/>
      <c r="J22537" s="12"/>
      <c r="K22537" s="12"/>
      <c r="L22537" s="12"/>
      <c r="M22537" s="11"/>
      <c r="N22537" s="11"/>
      <c r="O22537" s="11"/>
      <c r="P22537" s="11"/>
    </row>
    <row r="22538" spans="8:16" x14ac:dyDescent="0.25">
      <c r="H22538" s="12"/>
      <c r="I22538" s="12"/>
      <c r="J22538" s="12"/>
      <c r="K22538" s="12"/>
      <c r="L22538" s="12"/>
      <c r="M22538" s="11"/>
      <c r="N22538" s="11"/>
      <c r="O22538" s="11"/>
      <c r="P22538" s="11"/>
    </row>
    <row r="22539" spans="8:16" x14ac:dyDescent="0.25">
      <c r="H22539" s="12"/>
      <c r="I22539" s="12"/>
      <c r="J22539" s="12"/>
      <c r="K22539" s="12"/>
      <c r="L22539" s="12"/>
      <c r="M22539" s="11"/>
      <c r="N22539" s="11"/>
      <c r="O22539" s="11"/>
      <c r="P22539" s="11"/>
    </row>
    <row r="22540" spans="8:16" x14ac:dyDescent="0.25">
      <c r="H22540" s="12"/>
      <c r="I22540" s="12"/>
      <c r="J22540" s="12"/>
      <c r="K22540" s="12"/>
      <c r="L22540" s="12"/>
      <c r="M22540" s="11"/>
      <c r="N22540" s="11"/>
      <c r="O22540" s="11"/>
      <c r="P22540" s="11"/>
    </row>
    <row r="22541" spans="8:16" x14ac:dyDescent="0.25">
      <c r="H22541" s="12"/>
      <c r="I22541" s="12"/>
      <c r="J22541" s="12"/>
      <c r="K22541" s="12"/>
      <c r="L22541" s="12"/>
      <c r="M22541" s="11"/>
      <c r="N22541" s="11"/>
      <c r="O22541" s="11"/>
      <c r="P22541" s="11"/>
    </row>
    <row r="22542" spans="8:16" x14ac:dyDescent="0.25">
      <c r="H22542" s="12"/>
      <c r="I22542" s="12"/>
      <c r="J22542" s="12"/>
      <c r="K22542" s="12"/>
      <c r="L22542" s="12"/>
      <c r="M22542" s="11"/>
      <c r="N22542" s="11"/>
      <c r="O22542" s="11"/>
      <c r="P22542" s="11"/>
    </row>
    <row r="22543" spans="8:16" x14ac:dyDescent="0.25">
      <c r="H22543" s="12"/>
      <c r="I22543" s="12"/>
      <c r="J22543" s="12"/>
      <c r="K22543" s="12"/>
      <c r="L22543" s="12"/>
      <c r="M22543" s="11"/>
      <c r="N22543" s="11"/>
      <c r="O22543" s="11"/>
      <c r="P22543" s="11"/>
    </row>
    <row r="22544" spans="8:16" x14ac:dyDescent="0.25">
      <c r="H22544" s="12"/>
      <c r="I22544" s="12"/>
      <c r="J22544" s="12"/>
      <c r="K22544" s="12"/>
      <c r="L22544" s="12"/>
      <c r="M22544" s="11"/>
      <c r="N22544" s="11"/>
      <c r="O22544" s="11"/>
      <c r="P22544" s="11"/>
    </row>
    <row r="22545" spans="8:16" x14ac:dyDescent="0.25">
      <c r="H22545" s="12"/>
      <c r="I22545" s="12"/>
      <c r="J22545" s="12"/>
      <c r="K22545" s="12"/>
      <c r="L22545" s="12"/>
      <c r="M22545" s="11"/>
      <c r="N22545" s="11"/>
      <c r="O22545" s="11"/>
      <c r="P22545" s="11"/>
    </row>
    <row r="22546" spans="8:16" x14ac:dyDescent="0.25">
      <c r="H22546" s="12"/>
      <c r="I22546" s="12"/>
      <c r="J22546" s="12"/>
      <c r="K22546" s="12"/>
      <c r="L22546" s="12"/>
      <c r="M22546" s="11"/>
      <c r="N22546" s="11"/>
      <c r="O22546" s="11"/>
      <c r="P22546" s="11"/>
    </row>
    <row r="22547" spans="8:16" x14ac:dyDescent="0.25">
      <c r="H22547" s="12"/>
      <c r="I22547" s="12"/>
      <c r="J22547" s="12"/>
      <c r="K22547" s="12"/>
      <c r="L22547" s="12"/>
      <c r="M22547" s="11"/>
      <c r="N22547" s="11"/>
      <c r="O22547" s="11"/>
      <c r="P22547" s="11"/>
    </row>
    <row r="22548" spans="8:16" x14ac:dyDescent="0.25">
      <c r="H22548" s="12"/>
      <c r="I22548" s="12"/>
      <c r="J22548" s="12"/>
      <c r="K22548" s="12"/>
      <c r="L22548" s="12"/>
      <c r="M22548" s="11"/>
      <c r="N22548" s="11"/>
      <c r="O22548" s="11"/>
      <c r="P22548" s="11"/>
    </row>
    <row r="22549" spans="8:16" x14ac:dyDescent="0.25">
      <c r="H22549" s="12"/>
      <c r="I22549" s="12"/>
      <c r="J22549" s="12"/>
      <c r="K22549" s="12"/>
      <c r="L22549" s="12"/>
      <c r="M22549" s="11"/>
      <c r="N22549" s="11"/>
      <c r="O22549" s="11"/>
      <c r="P22549" s="11"/>
    </row>
    <row r="22550" spans="8:16" x14ac:dyDescent="0.25">
      <c r="H22550" s="12"/>
      <c r="I22550" s="12"/>
      <c r="J22550" s="12"/>
      <c r="K22550" s="12"/>
      <c r="L22550" s="12"/>
      <c r="M22550" s="11"/>
      <c r="N22550" s="11"/>
      <c r="O22550" s="11"/>
      <c r="P22550" s="11"/>
    </row>
    <row r="22551" spans="8:16" x14ac:dyDescent="0.25">
      <c r="H22551" s="12"/>
      <c r="I22551" s="12"/>
      <c r="J22551" s="12"/>
      <c r="K22551" s="12"/>
      <c r="L22551" s="12"/>
      <c r="M22551" s="11"/>
      <c r="N22551" s="11"/>
      <c r="O22551" s="11"/>
      <c r="P22551" s="11"/>
    </row>
    <row r="22552" spans="8:16" x14ac:dyDescent="0.25">
      <c r="H22552" s="12"/>
      <c r="I22552" s="12"/>
      <c r="J22552" s="12"/>
      <c r="K22552" s="12"/>
      <c r="L22552" s="12"/>
      <c r="M22552" s="11"/>
      <c r="N22552" s="11"/>
      <c r="O22552" s="11"/>
      <c r="P22552" s="11"/>
    </row>
    <row r="22553" spans="8:16" x14ac:dyDescent="0.25">
      <c r="H22553" s="12"/>
      <c r="I22553" s="12"/>
      <c r="J22553" s="12"/>
      <c r="K22553" s="12"/>
      <c r="L22553" s="12"/>
      <c r="M22553" s="11"/>
      <c r="N22553" s="11"/>
      <c r="O22553" s="11"/>
      <c r="P22553" s="11"/>
    </row>
    <row r="22554" spans="8:16" x14ac:dyDescent="0.25">
      <c r="H22554" s="12"/>
      <c r="I22554" s="12"/>
      <c r="J22554" s="12"/>
      <c r="K22554" s="12"/>
      <c r="L22554" s="12"/>
      <c r="M22554" s="11"/>
      <c r="N22554" s="11"/>
      <c r="O22554" s="11"/>
      <c r="P22554" s="11"/>
    </row>
    <row r="22555" spans="8:16" x14ac:dyDescent="0.25">
      <c r="H22555" s="12"/>
      <c r="I22555" s="12"/>
      <c r="J22555" s="12"/>
      <c r="K22555" s="12"/>
      <c r="L22555" s="12"/>
      <c r="M22555" s="11"/>
      <c r="N22555" s="11"/>
      <c r="O22555" s="11"/>
      <c r="P22555" s="11"/>
    </row>
    <row r="22556" spans="8:16" x14ac:dyDescent="0.25">
      <c r="H22556" s="12"/>
      <c r="I22556" s="12"/>
      <c r="J22556" s="12"/>
      <c r="K22556" s="12"/>
      <c r="L22556" s="12"/>
      <c r="M22556" s="11"/>
      <c r="N22556" s="11"/>
      <c r="O22556" s="11"/>
      <c r="P22556" s="11"/>
    </row>
    <row r="22557" spans="8:16" x14ac:dyDescent="0.25">
      <c r="H22557" s="12"/>
      <c r="I22557" s="12"/>
      <c r="J22557" s="12"/>
      <c r="K22557" s="12"/>
      <c r="L22557" s="12"/>
      <c r="M22557" s="11"/>
      <c r="N22557" s="11"/>
      <c r="O22557" s="11"/>
      <c r="P22557" s="11"/>
    </row>
    <row r="22558" spans="8:16" x14ac:dyDescent="0.25">
      <c r="H22558" s="12"/>
      <c r="I22558" s="12"/>
      <c r="J22558" s="12"/>
      <c r="K22558" s="12"/>
      <c r="L22558" s="12"/>
      <c r="M22558" s="11"/>
      <c r="N22558" s="11"/>
      <c r="O22558" s="11"/>
      <c r="P22558" s="11"/>
    </row>
    <row r="22559" spans="8:16" x14ac:dyDescent="0.25">
      <c r="H22559" s="12"/>
      <c r="I22559" s="12"/>
      <c r="J22559" s="12"/>
      <c r="K22559" s="12"/>
      <c r="L22559" s="12"/>
      <c r="M22559" s="11"/>
      <c r="N22559" s="11"/>
      <c r="O22559" s="11"/>
      <c r="P22559" s="11"/>
    </row>
    <row r="22560" spans="8:16" x14ac:dyDescent="0.25">
      <c r="H22560" s="12"/>
      <c r="I22560" s="12"/>
      <c r="J22560" s="12"/>
      <c r="K22560" s="12"/>
      <c r="L22560" s="12"/>
      <c r="M22560" s="11"/>
      <c r="N22560" s="11"/>
      <c r="O22560" s="11"/>
      <c r="P22560" s="11"/>
    </row>
    <row r="22561" spans="8:16" x14ac:dyDescent="0.25">
      <c r="H22561" s="12"/>
      <c r="I22561" s="12"/>
      <c r="J22561" s="12"/>
      <c r="K22561" s="12"/>
      <c r="L22561" s="12"/>
      <c r="M22561" s="11"/>
      <c r="N22561" s="11"/>
      <c r="O22561" s="11"/>
      <c r="P22561" s="11"/>
    </row>
    <row r="22562" spans="8:16" x14ac:dyDescent="0.25">
      <c r="H22562" s="12"/>
      <c r="I22562" s="12"/>
      <c r="J22562" s="12"/>
      <c r="K22562" s="12"/>
      <c r="L22562" s="12"/>
      <c r="M22562" s="11"/>
      <c r="N22562" s="11"/>
      <c r="O22562" s="11"/>
      <c r="P22562" s="11"/>
    </row>
    <row r="22563" spans="8:16" x14ac:dyDescent="0.25">
      <c r="H22563" s="12"/>
      <c r="I22563" s="12"/>
      <c r="J22563" s="12"/>
      <c r="K22563" s="12"/>
      <c r="L22563" s="12"/>
      <c r="M22563" s="11"/>
      <c r="N22563" s="11"/>
      <c r="O22563" s="11"/>
      <c r="P22563" s="11"/>
    </row>
    <row r="22564" spans="8:16" x14ac:dyDescent="0.25">
      <c r="H22564" s="12"/>
      <c r="I22564" s="12"/>
      <c r="J22564" s="12"/>
      <c r="K22564" s="12"/>
      <c r="L22564" s="12"/>
      <c r="M22564" s="11"/>
      <c r="N22564" s="11"/>
      <c r="O22564" s="11"/>
      <c r="P22564" s="11"/>
    </row>
    <row r="22565" spans="8:16" x14ac:dyDescent="0.25">
      <c r="H22565" s="12"/>
      <c r="I22565" s="12"/>
      <c r="J22565" s="12"/>
      <c r="K22565" s="12"/>
      <c r="L22565" s="12"/>
      <c r="M22565" s="11"/>
      <c r="N22565" s="11"/>
      <c r="O22565" s="11"/>
      <c r="P22565" s="11"/>
    </row>
    <row r="22566" spans="8:16" x14ac:dyDescent="0.25">
      <c r="H22566" s="12"/>
      <c r="I22566" s="12"/>
      <c r="J22566" s="12"/>
      <c r="K22566" s="12"/>
      <c r="L22566" s="12"/>
      <c r="M22566" s="11"/>
      <c r="N22566" s="11"/>
      <c r="O22566" s="11"/>
      <c r="P22566" s="11"/>
    </row>
    <row r="22567" spans="8:16" x14ac:dyDescent="0.25">
      <c r="H22567" s="12"/>
      <c r="I22567" s="12"/>
      <c r="J22567" s="12"/>
      <c r="K22567" s="12"/>
      <c r="L22567" s="12"/>
      <c r="M22567" s="11"/>
      <c r="N22567" s="11"/>
      <c r="O22567" s="11"/>
      <c r="P22567" s="11"/>
    </row>
    <row r="22568" spans="8:16" x14ac:dyDescent="0.25">
      <c r="H22568" s="12"/>
      <c r="I22568" s="12"/>
      <c r="J22568" s="12"/>
      <c r="K22568" s="12"/>
      <c r="L22568" s="12"/>
      <c r="M22568" s="11"/>
      <c r="N22568" s="11"/>
      <c r="O22568" s="11"/>
      <c r="P22568" s="11"/>
    </row>
    <row r="22569" spans="8:16" x14ac:dyDescent="0.25">
      <c r="H22569" s="12"/>
      <c r="I22569" s="12"/>
      <c r="J22569" s="12"/>
      <c r="K22569" s="12"/>
      <c r="L22569" s="12"/>
      <c r="M22569" s="11"/>
      <c r="N22569" s="11"/>
      <c r="O22569" s="11"/>
      <c r="P22569" s="11"/>
    </row>
    <row r="22570" spans="8:16" x14ac:dyDescent="0.25">
      <c r="H22570" s="12"/>
      <c r="I22570" s="12"/>
      <c r="J22570" s="12"/>
      <c r="K22570" s="12"/>
      <c r="L22570" s="12"/>
      <c r="M22570" s="11"/>
      <c r="N22570" s="11"/>
      <c r="O22570" s="11"/>
      <c r="P22570" s="11"/>
    </row>
    <row r="22571" spans="8:16" x14ac:dyDescent="0.25">
      <c r="H22571" s="12"/>
      <c r="I22571" s="12"/>
      <c r="J22571" s="12"/>
      <c r="K22571" s="12"/>
      <c r="L22571" s="12"/>
      <c r="M22571" s="11"/>
      <c r="N22571" s="11"/>
      <c r="O22571" s="11"/>
      <c r="P22571" s="11"/>
    </row>
    <row r="22572" spans="8:16" x14ac:dyDescent="0.25">
      <c r="H22572" s="12"/>
      <c r="I22572" s="12"/>
      <c r="J22572" s="12"/>
      <c r="K22572" s="12"/>
      <c r="L22572" s="12"/>
      <c r="M22572" s="11"/>
      <c r="N22572" s="11"/>
      <c r="O22572" s="11"/>
      <c r="P22572" s="11"/>
    </row>
    <row r="22573" spans="8:16" x14ac:dyDescent="0.25">
      <c r="H22573" s="12"/>
      <c r="I22573" s="12"/>
      <c r="J22573" s="12"/>
      <c r="K22573" s="12"/>
      <c r="L22573" s="12"/>
      <c r="M22573" s="11"/>
      <c r="N22573" s="11"/>
      <c r="O22573" s="11"/>
      <c r="P22573" s="11"/>
    </row>
    <row r="22574" spans="8:16" x14ac:dyDescent="0.25">
      <c r="H22574" s="12"/>
      <c r="I22574" s="12"/>
      <c r="J22574" s="12"/>
      <c r="K22574" s="12"/>
      <c r="L22574" s="12"/>
      <c r="M22574" s="11"/>
      <c r="N22574" s="11"/>
      <c r="O22574" s="11"/>
      <c r="P22574" s="11"/>
    </row>
    <row r="22575" spans="8:16" x14ac:dyDescent="0.25">
      <c r="H22575" s="12"/>
      <c r="I22575" s="12"/>
      <c r="J22575" s="12"/>
      <c r="K22575" s="12"/>
      <c r="L22575" s="12"/>
      <c r="M22575" s="11"/>
      <c r="N22575" s="11"/>
      <c r="O22575" s="11"/>
      <c r="P22575" s="11"/>
    </row>
    <row r="22576" spans="8:16" x14ac:dyDescent="0.25">
      <c r="H22576" s="12"/>
      <c r="I22576" s="12"/>
      <c r="J22576" s="12"/>
      <c r="K22576" s="12"/>
      <c r="L22576" s="12"/>
      <c r="M22576" s="11"/>
      <c r="N22576" s="11"/>
      <c r="O22576" s="11"/>
      <c r="P22576" s="11"/>
    </row>
    <row r="22577" spans="8:16" x14ac:dyDescent="0.25">
      <c r="H22577" s="12"/>
      <c r="I22577" s="12"/>
      <c r="J22577" s="12"/>
      <c r="K22577" s="12"/>
      <c r="L22577" s="12"/>
      <c r="M22577" s="11"/>
      <c r="N22577" s="11"/>
      <c r="O22577" s="11"/>
      <c r="P22577" s="11"/>
    </row>
    <row r="22578" spans="8:16" x14ac:dyDescent="0.25">
      <c r="H22578" s="12"/>
      <c r="I22578" s="12"/>
      <c r="J22578" s="12"/>
      <c r="K22578" s="12"/>
      <c r="L22578" s="12"/>
      <c r="M22578" s="11"/>
      <c r="N22578" s="11"/>
      <c r="O22578" s="11"/>
      <c r="P22578" s="11"/>
    </row>
    <row r="22579" spans="8:16" x14ac:dyDescent="0.25">
      <c r="H22579" s="12"/>
      <c r="I22579" s="12"/>
      <c r="J22579" s="12"/>
      <c r="K22579" s="12"/>
      <c r="L22579" s="12"/>
      <c r="M22579" s="11"/>
      <c r="N22579" s="11"/>
      <c r="O22579" s="11"/>
      <c r="P22579" s="11"/>
    </row>
    <row r="22580" spans="8:16" x14ac:dyDescent="0.25">
      <c r="H22580" s="12"/>
      <c r="I22580" s="12"/>
      <c r="J22580" s="12"/>
      <c r="K22580" s="12"/>
      <c r="L22580" s="12"/>
      <c r="M22580" s="11"/>
      <c r="N22580" s="11"/>
      <c r="O22580" s="11"/>
      <c r="P22580" s="11"/>
    </row>
    <row r="22581" spans="8:16" x14ac:dyDescent="0.25">
      <c r="H22581" s="12"/>
      <c r="I22581" s="12"/>
      <c r="J22581" s="12"/>
      <c r="K22581" s="12"/>
      <c r="L22581" s="12"/>
      <c r="M22581" s="11"/>
      <c r="N22581" s="11"/>
      <c r="O22581" s="11"/>
      <c r="P22581" s="11"/>
    </row>
    <row r="22582" spans="8:16" x14ac:dyDescent="0.25">
      <c r="H22582" s="12"/>
      <c r="I22582" s="12"/>
      <c r="J22582" s="12"/>
      <c r="K22582" s="12"/>
      <c r="L22582" s="12"/>
      <c r="M22582" s="11"/>
      <c r="N22582" s="11"/>
      <c r="O22582" s="11"/>
      <c r="P22582" s="11"/>
    </row>
    <row r="22583" spans="8:16" x14ac:dyDescent="0.25">
      <c r="H22583" s="12"/>
      <c r="I22583" s="12"/>
      <c r="J22583" s="12"/>
      <c r="K22583" s="12"/>
      <c r="L22583" s="12"/>
      <c r="M22583" s="11"/>
      <c r="N22583" s="11"/>
      <c r="O22583" s="11"/>
      <c r="P22583" s="11"/>
    </row>
    <row r="22584" spans="8:16" x14ac:dyDescent="0.25">
      <c r="H22584" s="12"/>
      <c r="I22584" s="12"/>
      <c r="J22584" s="12"/>
      <c r="K22584" s="12"/>
      <c r="L22584" s="12"/>
      <c r="M22584" s="11"/>
      <c r="N22584" s="11"/>
      <c r="O22584" s="11"/>
      <c r="P22584" s="11"/>
    </row>
    <row r="22585" spans="8:16" x14ac:dyDescent="0.25">
      <c r="H22585" s="12"/>
      <c r="I22585" s="12"/>
      <c r="J22585" s="12"/>
      <c r="K22585" s="12"/>
      <c r="L22585" s="12"/>
      <c r="M22585" s="11"/>
      <c r="N22585" s="11"/>
      <c r="O22585" s="11"/>
      <c r="P22585" s="11"/>
    </row>
    <row r="22586" spans="8:16" x14ac:dyDescent="0.25">
      <c r="H22586" s="12"/>
      <c r="I22586" s="12"/>
      <c r="J22586" s="12"/>
      <c r="K22586" s="12"/>
      <c r="L22586" s="12"/>
      <c r="M22586" s="11"/>
      <c r="N22586" s="11"/>
      <c r="O22586" s="11"/>
      <c r="P22586" s="11"/>
    </row>
    <row r="22587" spans="8:16" x14ac:dyDescent="0.25">
      <c r="H22587" s="12"/>
      <c r="I22587" s="12"/>
      <c r="J22587" s="12"/>
      <c r="K22587" s="12"/>
      <c r="L22587" s="12"/>
      <c r="M22587" s="11"/>
      <c r="N22587" s="11"/>
      <c r="O22587" s="11"/>
      <c r="P22587" s="11"/>
    </row>
    <row r="22588" spans="8:16" x14ac:dyDescent="0.25">
      <c r="H22588" s="12"/>
      <c r="I22588" s="12"/>
      <c r="J22588" s="12"/>
      <c r="K22588" s="12"/>
      <c r="L22588" s="12"/>
      <c r="M22588" s="11"/>
      <c r="N22588" s="11"/>
      <c r="O22588" s="11"/>
      <c r="P22588" s="11"/>
    </row>
    <row r="22589" spans="8:16" x14ac:dyDescent="0.25">
      <c r="H22589" s="12"/>
      <c r="I22589" s="12"/>
      <c r="J22589" s="12"/>
      <c r="K22589" s="12"/>
      <c r="L22589" s="12"/>
      <c r="M22589" s="11"/>
      <c r="N22589" s="11"/>
      <c r="O22589" s="11"/>
      <c r="P22589" s="11"/>
    </row>
    <row r="22590" spans="8:16" x14ac:dyDescent="0.25">
      <c r="H22590" s="12"/>
      <c r="I22590" s="12"/>
      <c r="J22590" s="12"/>
      <c r="K22590" s="12"/>
      <c r="L22590" s="12"/>
      <c r="M22590" s="11"/>
      <c r="N22590" s="11"/>
      <c r="O22590" s="11"/>
      <c r="P22590" s="11"/>
    </row>
    <row r="22591" spans="8:16" x14ac:dyDescent="0.25">
      <c r="H22591" s="12"/>
      <c r="I22591" s="12"/>
      <c r="J22591" s="12"/>
      <c r="K22591" s="12"/>
      <c r="L22591" s="12"/>
      <c r="M22591" s="11"/>
      <c r="N22591" s="11"/>
      <c r="O22591" s="11"/>
      <c r="P22591" s="11"/>
    </row>
    <row r="22592" spans="8:16" x14ac:dyDescent="0.25">
      <c r="H22592" s="12"/>
      <c r="I22592" s="12"/>
      <c r="J22592" s="12"/>
      <c r="K22592" s="12"/>
      <c r="L22592" s="12"/>
      <c r="M22592" s="11"/>
      <c r="N22592" s="11"/>
      <c r="O22592" s="11"/>
      <c r="P22592" s="11"/>
    </row>
    <row r="22593" spans="8:16" x14ac:dyDescent="0.25">
      <c r="H22593" s="12"/>
      <c r="I22593" s="12"/>
      <c r="J22593" s="12"/>
      <c r="K22593" s="12"/>
      <c r="L22593" s="12"/>
      <c r="M22593" s="11"/>
      <c r="N22593" s="11"/>
      <c r="O22593" s="11"/>
      <c r="P22593" s="11"/>
    </row>
    <row r="22594" spans="8:16" x14ac:dyDescent="0.25">
      <c r="H22594" s="12"/>
      <c r="I22594" s="12"/>
      <c r="J22594" s="12"/>
      <c r="K22594" s="12"/>
      <c r="L22594" s="12"/>
      <c r="M22594" s="11"/>
      <c r="N22594" s="11"/>
      <c r="O22594" s="11"/>
      <c r="P22594" s="11"/>
    </row>
    <row r="22595" spans="8:16" x14ac:dyDescent="0.25">
      <c r="H22595" s="12"/>
      <c r="I22595" s="12"/>
      <c r="J22595" s="12"/>
      <c r="K22595" s="12"/>
      <c r="L22595" s="12"/>
      <c r="M22595" s="11"/>
      <c r="N22595" s="11"/>
      <c r="O22595" s="11"/>
      <c r="P22595" s="11"/>
    </row>
    <row r="22596" spans="8:16" x14ac:dyDescent="0.25">
      <c r="H22596" s="12"/>
      <c r="I22596" s="12"/>
      <c r="J22596" s="12"/>
      <c r="K22596" s="12"/>
      <c r="L22596" s="12"/>
      <c r="M22596" s="11"/>
      <c r="N22596" s="11"/>
      <c r="O22596" s="11"/>
      <c r="P22596" s="11"/>
    </row>
    <row r="22597" spans="8:16" x14ac:dyDescent="0.25">
      <c r="H22597" s="12"/>
      <c r="I22597" s="12"/>
      <c r="J22597" s="12"/>
      <c r="K22597" s="12"/>
      <c r="L22597" s="12"/>
      <c r="M22597" s="11"/>
      <c r="N22597" s="11"/>
      <c r="O22597" s="11"/>
      <c r="P22597" s="11"/>
    </row>
    <row r="22598" spans="8:16" x14ac:dyDescent="0.25">
      <c r="H22598" s="12"/>
      <c r="I22598" s="12"/>
      <c r="J22598" s="12"/>
      <c r="K22598" s="12"/>
      <c r="L22598" s="12"/>
      <c r="M22598" s="11"/>
      <c r="N22598" s="11"/>
      <c r="O22598" s="11"/>
      <c r="P22598" s="11"/>
    </row>
    <row r="22599" spans="8:16" x14ac:dyDescent="0.25">
      <c r="H22599" s="12"/>
      <c r="I22599" s="12"/>
      <c r="J22599" s="12"/>
      <c r="K22599" s="12"/>
      <c r="L22599" s="12"/>
      <c r="M22599" s="11"/>
      <c r="N22599" s="11"/>
      <c r="O22599" s="11"/>
      <c r="P22599" s="11"/>
    </row>
    <row r="22600" spans="8:16" x14ac:dyDescent="0.25">
      <c r="H22600" s="12"/>
      <c r="I22600" s="12"/>
      <c r="J22600" s="12"/>
      <c r="K22600" s="12"/>
      <c r="L22600" s="12"/>
      <c r="M22600" s="11"/>
      <c r="N22600" s="11"/>
      <c r="O22600" s="11"/>
      <c r="P22600" s="11"/>
    </row>
    <row r="22601" spans="8:16" x14ac:dyDescent="0.25">
      <c r="H22601" s="12"/>
      <c r="I22601" s="12"/>
      <c r="J22601" s="12"/>
      <c r="K22601" s="12"/>
      <c r="L22601" s="12"/>
      <c r="M22601" s="11"/>
      <c r="N22601" s="11"/>
      <c r="O22601" s="11"/>
      <c r="P22601" s="11"/>
    </row>
    <row r="22602" spans="8:16" x14ac:dyDescent="0.25">
      <c r="H22602" s="12"/>
      <c r="I22602" s="12"/>
      <c r="J22602" s="12"/>
      <c r="K22602" s="12"/>
      <c r="L22602" s="12"/>
      <c r="M22602" s="11"/>
      <c r="N22602" s="11"/>
      <c r="O22602" s="11"/>
      <c r="P22602" s="11"/>
    </row>
    <row r="22603" spans="8:16" x14ac:dyDescent="0.25">
      <c r="H22603" s="12"/>
      <c r="I22603" s="12"/>
      <c r="J22603" s="12"/>
      <c r="K22603" s="12"/>
      <c r="L22603" s="12"/>
      <c r="M22603" s="11"/>
      <c r="N22603" s="11"/>
      <c r="O22603" s="11"/>
      <c r="P22603" s="11"/>
    </row>
    <row r="22604" spans="8:16" x14ac:dyDescent="0.25">
      <c r="H22604" s="12"/>
      <c r="I22604" s="12"/>
      <c r="J22604" s="12"/>
      <c r="K22604" s="12"/>
      <c r="L22604" s="12"/>
      <c r="M22604" s="11"/>
      <c r="N22604" s="11"/>
      <c r="O22604" s="11"/>
      <c r="P22604" s="11"/>
    </row>
    <row r="22605" spans="8:16" x14ac:dyDescent="0.25">
      <c r="H22605" s="12"/>
      <c r="I22605" s="12"/>
      <c r="J22605" s="12"/>
      <c r="K22605" s="12"/>
      <c r="L22605" s="12"/>
      <c r="M22605" s="11"/>
      <c r="N22605" s="11"/>
      <c r="O22605" s="11"/>
      <c r="P22605" s="11"/>
    </row>
    <row r="22606" spans="8:16" x14ac:dyDescent="0.25">
      <c r="H22606" s="12"/>
      <c r="I22606" s="12"/>
      <c r="J22606" s="12"/>
      <c r="K22606" s="12"/>
      <c r="L22606" s="12"/>
      <c r="M22606" s="11"/>
      <c r="N22606" s="11"/>
      <c r="O22606" s="11"/>
      <c r="P22606" s="11"/>
    </row>
    <row r="22607" spans="8:16" x14ac:dyDescent="0.25">
      <c r="H22607" s="12"/>
      <c r="I22607" s="12"/>
      <c r="J22607" s="12"/>
      <c r="K22607" s="12"/>
      <c r="L22607" s="12"/>
      <c r="M22607" s="11"/>
      <c r="N22607" s="11"/>
      <c r="O22607" s="11"/>
      <c r="P22607" s="11"/>
    </row>
    <row r="22608" spans="8:16" x14ac:dyDescent="0.25">
      <c r="H22608" s="12"/>
      <c r="I22608" s="12"/>
      <c r="J22608" s="12"/>
      <c r="K22608" s="12"/>
      <c r="L22608" s="12"/>
      <c r="M22608" s="11"/>
      <c r="N22608" s="11"/>
      <c r="O22608" s="11"/>
      <c r="P22608" s="11"/>
    </row>
    <row r="22609" spans="8:16" x14ac:dyDescent="0.25">
      <c r="H22609" s="12"/>
      <c r="I22609" s="12"/>
      <c r="J22609" s="12"/>
      <c r="K22609" s="12"/>
      <c r="L22609" s="12"/>
      <c r="M22609" s="11"/>
      <c r="N22609" s="11"/>
      <c r="O22609" s="11"/>
      <c r="P22609" s="11"/>
    </row>
    <row r="22610" spans="8:16" x14ac:dyDescent="0.25">
      <c r="H22610" s="12"/>
      <c r="I22610" s="12"/>
      <c r="J22610" s="12"/>
      <c r="K22610" s="12"/>
      <c r="L22610" s="12"/>
      <c r="M22610" s="11"/>
      <c r="N22610" s="11"/>
      <c r="O22610" s="11"/>
      <c r="P22610" s="11"/>
    </row>
    <row r="22611" spans="8:16" x14ac:dyDescent="0.25">
      <c r="H22611" s="12"/>
      <c r="I22611" s="12"/>
      <c r="J22611" s="12"/>
      <c r="K22611" s="12"/>
      <c r="L22611" s="12"/>
      <c r="M22611" s="11"/>
      <c r="N22611" s="11"/>
      <c r="O22611" s="11"/>
      <c r="P22611" s="11"/>
    </row>
    <row r="22612" spans="8:16" x14ac:dyDescent="0.25">
      <c r="H22612" s="12"/>
      <c r="I22612" s="12"/>
      <c r="J22612" s="12"/>
      <c r="K22612" s="12"/>
      <c r="L22612" s="12"/>
      <c r="M22612" s="11"/>
      <c r="N22612" s="11"/>
      <c r="O22612" s="11"/>
      <c r="P22612" s="11"/>
    </row>
    <row r="22613" spans="8:16" x14ac:dyDescent="0.25">
      <c r="H22613" s="12"/>
      <c r="I22613" s="12"/>
      <c r="J22613" s="12"/>
      <c r="K22613" s="12"/>
      <c r="L22613" s="12"/>
      <c r="M22613" s="11"/>
      <c r="N22613" s="11"/>
      <c r="O22613" s="11"/>
      <c r="P22613" s="11"/>
    </row>
    <row r="22614" spans="8:16" x14ac:dyDescent="0.25">
      <c r="H22614" s="12"/>
      <c r="I22614" s="12"/>
      <c r="J22614" s="12"/>
      <c r="K22614" s="12"/>
      <c r="L22614" s="12"/>
      <c r="M22614" s="11"/>
      <c r="N22614" s="11"/>
      <c r="O22614" s="11"/>
      <c r="P22614" s="11"/>
    </row>
    <row r="22615" spans="8:16" x14ac:dyDescent="0.25">
      <c r="H22615" s="12"/>
      <c r="I22615" s="12"/>
      <c r="J22615" s="12"/>
      <c r="K22615" s="12"/>
      <c r="L22615" s="12"/>
      <c r="M22615" s="11"/>
      <c r="N22615" s="11"/>
      <c r="O22615" s="11"/>
      <c r="P22615" s="11"/>
    </row>
    <row r="22616" spans="8:16" x14ac:dyDescent="0.25">
      <c r="H22616" s="12"/>
      <c r="I22616" s="12"/>
      <c r="J22616" s="12"/>
      <c r="K22616" s="12"/>
      <c r="L22616" s="12"/>
      <c r="M22616" s="11"/>
      <c r="N22616" s="11"/>
      <c r="O22616" s="11"/>
      <c r="P22616" s="11"/>
    </row>
    <row r="22617" spans="8:16" x14ac:dyDescent="0.25">
      <c r="H22617" s="12"/>
      <c r="I22617" s="12"/>
      <c r="J22617" s="12"/>
      <c r="K22617" s="12"/>
      <c r="L22617" s="12"/>
      <c r="M22617" s="11"/>
      <c r="N22617" s="11"/>
      <c r="O22617" s="11"/>
      <c r="P22617" s="11"/>
    </row>
    <row r="22618" spans="8:16" x14ac:dyDescent="0.25">
      <c r="H22618" s="12"/>
      <c r="I22618" s="12"/>
      <c r="J22618" s="12"/>
      <c r="K22618" s="12"/>
      <c r="L22618" s="12"/>
      <c r="M22618" s="11"/>
      <c r="N22618" s="11"/>
      <c r="O22618" s="11"/>
      <c r="P22618" s="11"/>
    </row>
    <row r="22619" spans="8:16" x14ac:dyDescent="0.25">
      <c r="H22619" s="12"/>
      <c r="I22619" s="12"/>
      <c r="J22619" s="12"/>
      <c r="K22619" s="12"/>
      <c r="L22619" s="12"/>
      <c r="M22619" s="11"/>
      <c r="N22619" s="11"/>
      <c r="O22619" s="11"/>
      <c r="P22619" s="11"/>
    </row>
    <row r="22620" spans="8:16" x14ac:dyDescent="0.25">
      <c r="H22620" s="12"/>
      <c r="I22620" s="12"/>
      <c r="J22620" s="12"/>
      <c r="K22620" s="12"/>
      <c r="L22620" s="12"/>
      <c r="M22620" s="11"/>
      <c r="N22620" s="11"/>
      <c r="O22620" s="11"/>
      <c r="P22620" s="11"/>
    </row>
    <row r="22621" spans="8:16" x14ac:dyDescent="0.25">
      <c r="H22621" s="12"/>
      <c r="I22621" s="12"/>
      <c r="J22621" s="12"/>
      <c r="K22621" s="12"/>
      <c r="L22621" s="12"/>
      <c r="M22621" s="11"/>
      <c r="N22621" s="11"/>
      <c r="O22621" s="11"/>
      <c r="P22621" s="11"/>
    </row>
    <row r="22622" spans="8:16" x14ac:dyDescent="0.25">
      <c r="H22622" s="12"/>
      <c r="I22622" s="12"/>
      <c r="J22622" s="12"/>
      <c r="K22622" s="12"/>
      <c r="L22622" s="12"/>
      <c r="M22622" s="11"/>
      <c r="N22622" s="11"/>
      <c r="O22622" s="11"/>
      <c r="P22622" s="11"/>
    </row>
    <row r="22623" spans="8:16" x14ac:dyDescent="0.25">
      <c r="H22623" s="12"/>
      <c r="I22623" s="12"/>
      <c r="J22623" s="12"/>
      <c r="K22623" s="12"/>
      <c r="L22623" s="12"/>
      <c r="M22623" s="11"/>
      <c r="N22623" s="11"/>
      <c r="O22623" s="11"/>
      <c r="P22623" s="11"/>
    </row>
    <row r="22624" spans="8:16" x14ac:dyDescent="0.25">
      <c r="H22624" s="12"/>
      <c r="I22624" s="12"/>
      <c r="J22624" s="12"/>
      <c r="K22624" s="12"/>
      <c r="L22624" s="12"/>
      <c r="M22624" s="11"/>
      <c r="N22624" s="11"/>
      <c r="O22624" s="11"/>
      <c r="P22624" s="11"/>
    </row>
    <row r="22625" spans="8:16" x14ac:dyDescent="0.25">
      <c r="H22625" s="12"/>
      <c r="I22625" s="12"/>
      <c r="J22625" s="12"/>
      <c r="K22625" s="12"/>
      <c r="L22625" s="12"/>
      <c r="M22625" s="11"/>
      <c r="N22625" s="11"/>
      <c r="O22625" s="11"/>
      <c r="P22625" s="11"/>
    </row>
    <row r="22626" spans="8:16" x14ac:dyDescent="0.25">
      <c r="H22626" s="12"/>
      <c r="I22626" s="12"/>
      <c r="J22626" s="12"/>
      <c r="K22626" s="12"/>
      <c r="L22626" s="12"/>
      <c r="M22626" s="11"/>
      <c r="N22626" s="11"/>
      <c r="O22626" s="11"/>
      <c r="P22626" s="11"/>
    </row>
    <row r="22627" spans="8:16" x14ac:dyDescent="0.25">
      <c r="H22627" s="12"/>
      <c r="I22627" s="12"/>
      <c r="J22627" s="12"/>
      <c r="K22627" s="12"/>
      <c r="L22627" s="12"/>
      <c r="M22627" s="11"/>
      <c r="N22627" s="11"/>
      <c r="O22627" s="11"/>
      <c r="P22627" s="11"/>
    </row>
    <row r="22628" spans="8:16" x14ac:dyDescent="0.25">
      <c r="H22628" s="12"/>
      <c r="I22628" s="12"/>
      <c r="J22628" s="12"/>
      <c r="K22628" s="12"/>
      <c r="L22628" s="12"/>
      <c r="M22628" s="11"/>
      <c r="N22628" s="11"/>
      <c r="O22628" s="11"/>
      <c r="P22628" s="11"/>
    </row>
    <row r="22629" spans="8:16" x14ac:dyDescent="0.25">
      <c r="H22629" s="12"/>
      <c r="I22629" s="12"/>
      <c r="J22629" s="12"/>
      <c r="K22629" s="12"/>
      <c r="L22629" s="12"/>
      <c r="M22629" s="11"/>
      <c r="N22629" s="11"/>
      <c r="O22629" s="11"/>
      <c r="P22629" s="11"/>
    </row>
    <row r="22630" spans="8:16" x14ac:dyDescent="0.25">
      <c r="H22630" s="12"/>
      <c r="I22630" s="12"/>
      <c r="J22630" s="12"/>
      <c r="K22630" s="12"/>
      <c r="L22630" s="12"/>
      <c r="M22630" s="11"/>
      <c r="N22630" s="11"/>
      <c r="O22630" s="11"/>
      <c r="P22630" s="11"/>
    </row>
    <row r="22631" spans="8:16" x14ac:dyDescent="0.25">
      <c r="H22631" s="12"/>
      <c r="I22631" s="12"/>
      <c r="J22631" s="12"/>
      <c r="K22631" s="12"/>
      <c r="L22631" s="12"/>
      <c r="M22631" s="11"/>
      <c r="N22631" s="11"/>
      <c r="O22631" s="11"/>
      <c r="P22631" s="11"/>
    </row>
    <row r="22632" spans="8:16" x14ac:dyDescent="0.25">
      <c r="H22632" s="12"/>
      <c r="I22632" s="12"/>
      <c r="J22632" s="12"/>
      <c r="K22632" s="12"/>
      <c r="L22632" s="12"/>
      <c r="M22632" s="11"/>
      <c r="N22632" s="11"/>
      <c r="O22632" s="11"/>
      <c r="P22632" s="11"/>
    </row>
    <row r="22633" spans="8:16" x14ac:dyDescent="0.25">
      <c r="H22633" s="12"/>
      <c r="I22633" s="12"/>
      <c r="J22633" s="12"/>
      <c r="K22633" s="12"/>
      <c r="L22633" s="12"/>
      <c r="M22633" s="11"/>
      <c r="N22633" s="11"/>
      <c r="O22633" s="11"/>
      <c r="P22633" s="11"/>
    </row>
    <row r="22634" spans="8:16" x14ac:dyDescent="0.25">
      <c r="H22634" s="12"/>
      <c r="I22634" s="12"/>
      <c r="J22634" s="12"/>
      <c r="K22634" s="12"/>
      <c r="L22634" s="12"/>
      <c r="M22634" s="11"/>
      <c r="N22634" s="11"/>
      <c r="O22634" s="11"/>
      <c r="P22634" s="11"/>
    </row>
    <row r="22635" spans="8:16" x14ac:dyDescent="0.25">
      <c r="H22635" s="12"/>
      <c r="I22635" s="12"/>
      <c r="J22635" s="12"/>
      <c r="K22635" s="12"/>
      <c r="L22635" s="12"/>
      <c r="M22635" s="11"/>
      <c r="N22635" s="11"/>
      <c r="O22635" s="11"/>
      <c r="P22635" s="11"/>
    </row>
    <row r="22636" spans="8:16" x14ac:dyDescent="0.25">
      <c r="H22636" s="12"/>
      <c r="I22636" s="12"/>
      <c r="J22636" s="12"/>
      <c r="K22636" s="12"/>
      <c r="L22636" s="12"/>
      <c r="M22636" s="11"/>
      <c r="N22636" s="11"/>
      <c r="O22636" s="11"/>
      <c r="P22636" s="11"/>
    </row>
    <row r="22637" spans="8:16" x14ac:dyDescent="0.25">
      <c r="H22637" s="12"/>
      <c r="I22637" s="12"/>
      <c r="J22637" s="12"/>
      <c r="K22637" s="12"/>
      <c r="L22637" s="12"/>
      <c r="M22637" s="11"/>
      <c r="N22637" s="11"/>
      <c r="O22637" s="11"/>
      <c r="P22637" s="11"/>
    </row>
    <row r="22638" spans="8:16" x14ac:dyDescent="0.25">
      <c r="H22638" s="12"/>
      <c r="I22638" s="12"/>
      <c r="J22638" s="12"/>
      <c r="K22638" s="12"/>
      <c r="L22638" s="12"/>
      <c r="M22638" s="11"/>
      <c r="N22638" s="11"/>
      <c r="O22638" s="11"/>
      <c r="P22638" s="11"/>
    </row>
    <row r="22639" spans="8:16" x14ac:dyDescent="0.25">
      <c r="H22639" s="12"/>
      <c r="I22639" s="12"/>
      <c r="J22639" s="12"/>
      <c r="K22639" s="12"/>
      <c r="L22639" s="12"/>
      <c r="M22639" s="11"/>
      <c r="N22639" s="11"/>
      <c r="O22639" s="11"/>
      <c r="P22639" s="11"/>
    </row>
    <row r="22640" spans="8:16" x14ac:dyDescent="0.25">
      <c r="H22640" s="12"/>
      <c r="I22640" s="12"/>
      <c r="J22640" s="12"/>
      <c r="K22640" s="12"/>
      <c r="L22640" s="12"/>
      <c r="M22640" s="11"/>
      <c r="N22640" s="11"/>
      <c r="O22640" s="11"/>
      <c r="P22640" s="11"/>
    </row>
    <row r="22641" spans="8:16" x14ac:dyDescent="0.25">
      <c r="H22641" s="12"/>
      <c r="I22641" s="12"/>
      <c r="J22641" s="12"/>
      <c r="K22641" s="12"/>
      <c r="L22641" s="12"/>
      <c r="M22641" s="11"/>
      <c r="N22641" s="11"/>
      <c r="O22641" s="11"/>
      <c r="P22641" s="11"/>
    </row>
    <row r="22642" spans="8:16" x14ac:dyDescent="0.25">
      <c r="H22642" s="12"/>
      <c r="I22642" s="12"/>
      <c r="J22642" s="12"/>
      <c r="K22642" s="12"/>
      <c r="L22642" s="12"/>
      <c r="M22642" s="11"/>
      <c r="N22642" s="11"/>
      <c r="O22642" s="11"/>
      <c r="P22642" s="11"/>
    </row>
    <row r="22643" spans="8:16" x14ac:dyDescent="0.25">
      <c r="H22643" s="12"/>
      <c r="I22643" s="12"/>
      <c r="J22643" s="12"/>
      <c r="K22643" s="12"/>
      <c r="L22643" s="12"/>
      <c r="M22643" s="11"/>
      <c r="N22643" s="11"/>
      <c r="O22643" s="11"/>
      <c r="P22643" s="11"/>
    </row>
    <row r="22644" spans="8:16" x14ac:dyDescent="0.25">
      <c r="H22644" s="12"/>
      <c r="I22644" s="12"/>
      <c r="J22644" s="12"/>
      <c r="K22644" s="12"/>
      <c r="L22644" s="12"/>
      <c r="M22644" s="11"/>
      <c r="N22644" s="11"/>
      <c r="O22644" s="11"/>
      <c r="P22644" s="11"/>
    </row>
    <row r="22645" spans="8:16" x14ac:dyDescent="0.25">
      <c r="H22645" s="12"/>
      <c r="I22645" s="12"/>
      <c r="J22645" s="12"/>
      <c r="K22645" s="12"/>
      <c r="L22645" s="12"/>
      <c r="M22645" s="11"/>
      <c r="N22645" s="11"/>
      <c r="O22645" s="11"/>
      <c r="P22645" s="11"/>
    </row>
    <row r="22646" spans="8:16" x14ac:dyDescent="0.25">
      <c r="H22646" s="12"/>
      <c r="I22646" s="12"/>
      <c r="J22646" s="12"/>
      <c r="K22646" s="12"/>
      <c r="L22646" s="12"/>
      <c r="M22646" s="11"/>
      <c r="N22646" s="11"/>
      <c r="O22646" s="11"/>
      <c r="P22646" s="11"/>
    </row>
    <row r="22647" spans="8:16" x14ac:dyDescent="0.25">
      <c r="H22647" s="12"/>
      <c r="I22647" s="12"/>
      <c r="J22647" s="12"/>
      <c r="K22647" s="12"/>
      <c r="L22647" s="12"/>
      <c r="M22647" s="11"/>
      <c r="N22647" s="11"/>
      <c r="O22647" s="11"/>
      <c r="P22647" s="11"/>
    </row>
    <row r="22648" spans="8:16" x14ac:dyDescent="0.25">
      <c r="H22648" s="12"/>
      <c r="I22648" s="12"/>
      <c r="J22648" s="12"/>
      <c r="K22648" s="12"/>
      <c r="L22648" s="12"/>
      <c r="M22648" s="11"/>
      <c r="N22648" s="11"/>
      <c r="O22648" s="11"/>
      <c r="P22648" s="11"/>
    </row>
    <row r="22649" spans="8:16" x14ac:dyDescent="0.25">
      <c r="H22649" s="12"/>
      <c r="I22649" s="12"/>
      <c r="J22649" s="12"/>
      <c r="K22649" s="12"/>
      <c r="L22649" s="12"/>
      <c r="M22649" s="11"/>
      <c r="N22649" s="11"/>
      <c r="O22649" s="11"/>
      <c r="P22649" s="11"/>
    </row>
    <row r="22650" spans="8:16" x14ac:dyDescent="0.25">
      <c r="H22650" s="12"/>
      <c r="I22650" s="12"/>
      <c r="J22650" s="12"/>
      <c r="K22650" s="12"/>
      <c r="L22650" s="12"/>
      <c r="M22650" s="11"/>
      <c r="N22650" s="11"/>
      <c r="O22650" s="11"/>
      <c r="P22650" s="11"/>
    </row>
    <row r="22651" spans="8:16" x14ac:dyDescent="0.25">
      <c r="H22651" s="12"/>
      <c r="I22651" s="12"/>
      <c r="J22651" s="12"/>
      <c r="K22651" s="12"/>
      <c r="L22651" s="12"/>
      <c r="M22651" s="11"/>
      <c r="N22651" s="11"/>
      <c r="O22651" s="11"/>
      <c r="P22651" s="11"/>
    </row>
    <row r="22652" spans="8:16" x14ac:dyDescent="0.25">
      <c r="H22652" s="12"/>
      <c r="I22652" s="12"/>
      <c r="J22652" s="12"/>
      <c r="K22652" s="12"/>
      <c r="L22652" s="12"/>
      <c r="M22652" s="11"/>
      <c r="N22652" s="11"/>
      <c r="O22652" s="11"/>
      <c r="P22652" s="11"/>
    </row>
    <row r="22653" spans="8:16" x14ac:dyDescent="0.25">
      <c r="H22653" s="12"/>
      <c r="I22653" s="12"/>
      <c r="J22653" s="12"/>
      <c r="K22653" s="12"/>
      <c r="L22653" s="12"/>
      <c r="M22653" s="11"/>
      <c r="N22653" s="11"/>
      <c r="O22653" s="11"/>
      <c r="P22653" s="11"/>
    </row>
    <row r="22654" spans="8:16" x14ac:dyDescent="0.25">
      <c r="H22654" s="12"/>
      <c r="I22654" s="12"/>
      <c r="J22654" s="12"/>
      <c r="K22654" s="12"/>
      <c r="L22654" s="12"/>
      <c r="M22654" s="11"/>
      <c r="N22654" s="11"/>
      <c r="O22654" s="11"/>
      <c r="P22654" s="11"/>
    </row>
    <row r="22655" spans="8:16" x14ac:dyDescent="0.25">
      <c r="H22655" s="12"/>
      <c r="I22655" s="12"/>
      <c r="J22655" s="12"/>
      <c r="K22655" s="12"/>
      <c r="L22655" s="12"/>
      <c r="M22655" s="11"/>
      <c r="N22655" s="11"/>
      <c r="O22655" s="11"/>
      <c r="P22655" s="11"/>
    </row>
    <row r="22656" spans="8:16" x14ac:dyDescent="0.25">
      <c r="H22656" s="12"/>
      <c r="I22656" s="12"/>
      <c r="J22656" s="12"/>
      <c r="K22656" s="12"/>
      <c r="L22656" s="12"/>
      <c r="M22656" s="11"/>
      <c r="N22656" s="11"/>
      <c r="O22656" s="11"/>
      <c r="P22656" s="11"/>
    </row>
    <row r="22657" spans="8:16" x14ac:dyDescent="0.25">
      <c r="H22657" s="12"/>
      <c r="I22657" s="12"/>
      <c r="J22657" s="12"/>
      <c r="K22657" s="12"/>
      <c r="L22657" s="12"/>
      <c r="M22657" s="11"/>
      <c r="N22657" s="11"/>
      <c r="O22657" s="11"/>
      <c r="P22657" s="11"/>
    </row>
    <row r="22658" spans="8:16" x14ac:dyDescent="0.25">
      <c r="H22658" s="12"/>
      <c r="I22658" s="12"/>
      <c r="J22658" s="12"/>
      <c r="K22658" s="12"/>
      <c r="L22658" s="12"/>
      <c r="M22658" s="11"/>
      <c r="N22658" s="11"/>
      <c r="O22658" s="11"/>
      <c r="P22658" s="11"/>
    </row>
    <row r="22659" spans="8:16" x14ac:dyDescent="0.25">
      <c r="H22659" s="12"/>
      <c r="I22659" s="12"/>
      <c r="J22659" s="12"/>
      <c r="K22659" s="12"/>
      <c r="L22659" s="12"/>
      <c r="M22659" s="11"/>
      <c r="N22659" s="11"/>
      <c r="O22659" s="11"/>
      <c r="P22659" s="11"/>
    </row>
    <row r="22660" spans="8:16" x14ac:dyDescent="0.25">
      <c r="H22660" s="12"/>
      <c r="I22660" s="12"/>
      <c r="J22660" s="12"/>
      <c r="K22660" s="12"/>
      <c r="L22660" s="12"/>
      <c r="M22660" s="11"/>
      <c r="N22660" s="11"/>
      <c r="O22660" s="11"/>
      <c r="P22660" s="11"/>
    </row>
    <row r="22661" spans="8:16" x14ac:dyDescent="0.25">
      <c r="H22661" s="12"/>
      <c r="I22661" s="12"/>
      <c r="J22661" s="12"/>
      <c r="K22661" s="12"/>
      <c r="L22661" s="12"/>
      <c r="M22661" s="11"/>
      <c r="N22661" s="11"/>
      <c r="O22661" s="11"/>
      <c r="P22661" s="11"/>
    </row>
    <row r="22662" spans="8:16" x14ac:dyDescent="0.25">
      <c r="H22662" s="12"/>
      <c r="I22662" s="12"/>
      <c r="J22662" s="12"/>
      <c r="K22662" s="12"/>
      <c r="L22662" s="12"/>
      <c r="M22662" s="11"/>
      <c r="N22662" s="11"/>
      <c r="O22662" s="11"/>
      <c r="P22662" s="11"/>
    </row>
    <row r="22663" spans="8:16" x14ac:dyDescent="0.25">
      <c r="H22663" s="12"/>
      <c r="I22663" s="12"/>
      <c r="J22663" s="12"/>
      <c r="K22663" s="12"/>
      <c r="L22663" s="12"/>
      <c r="M22663" s="11"/>
      <c r="N22663" s="11"/>
      <c r="O22663" s="11"/>
      <c r="P22663" s="11"/>
    </row>
    <row r="22664" spans="8:16" x14ac:dyDescent="0.25">
      <c r="H22664" s="12"/>
      <c r="I22664" s="12"/>
      <c r="J22664" s="12"/>
      <c r="K22664" s="12"/>
      <c r="L22664" s="12"/>
      <c r="M22664" s="11"/>
      <c r="N22664" s="11"/>
      <c r="O22664" s="11"/>
      <c r="P22664" s="11"/>
    </row>
    <row r="22665" spans="8:16" x14ac:dyDescent="0.25">
      <c r="H22665" s="12"/>
      <c r="I22665" s="12"/>
      <c r="J22665" s="12"/>
      <c r="K22665" s="12"/>
      <c r="L22665" s="12"/>
      <c r="M22665" s="11"/>
      <c r="N22665" s="11"/>
      <c r="O22665" s="11"/>
      <c r="P22665" s="11"/>
    </row>
    <row r="22666" spans="8:16" x14ac:dyDescent="0.25">
      <c r="H22666" s="12"/>
      <c r="I22666" s="12"/>
      <c r="J22666" s="12"/>
      <c r="K22666" s="12"/>
      <c r="L22666" s="12"/>
      <c r="M22666" s="11"/>
      <c r="N22666" s="11"/>
      <c r="O22666" s="11"/>
      <c r="P22666" s="11"/>
    </row>
    <row r="22667" spans="8:16" x14ac:dyDescent="0.25">
      <c r="H22667" s="12"/>
      <c r="I22667" s="12"/>
      <c r="J22667" s="12"/>
      <c r="K22667" s="12"/>
      <c r="L22667" s="12"/>
      <c r="M22667" s="11"/>
      <c r="N22667" s="11"/>
      <c r="O22667" s="11"/>
      <c r="P22667" s="11"/>
    </row>
    <row r="22668" spans="8:16" x14ac:dyDescent="0.25">
      <c r="H22668" s="12"/>
      <c r="I22668" s="12"/>
      <c r="J22668" s="12"/>
      <c r="K22668" s="12"/>
      <c r="L22668" s="12"/>
      <c r="M22668" s="11"/>
      <c r="N22668" s="11"/>
      <c r="O22668" s="11"/>
      <c r="P22668" s="11"/>
    </row>
    <row r="22669" spans="8:16" x14ac:dyDescent="0.25">
      <c r="H22669" s="12"/>
      <c r="I22669" s="12"/>
      <c r="J22669" s="12"/>
      <c r="K22669" s="12"/>
      <c r="L22669" s="12"/>
      <c r="M22669" s="11"/>
      <c r="N22669" s="11"/>
      <c r="O22669" s="11"/>
      <c r="P22669" s="11"/>
    </row>
    <row r="22670" spans="8:16" x14ac:dyDescent="0.25">
      <c r="H22670" s="12"/>
      <c r="I22670" s="12"/>
      <c r="J22670" s="12"/>
      <c r="K22670" s="12"/>
      <c r="L22670" s="12"/>
      <c r="M22670" s="11"/>
      <c r="N22670" s="11"/>
      <c r="O22670" s="11"/>
      <c r="P22670" s="11"/>
    </row>
    <row r="22671" spans="8:16" x14ac:dyDescent="0.25">
      <c r="H22671" s="12"/>
      <c r="I22671" s="12"/>
      <c r="J22671" s="12"/>
      <c r="K22671" s="12"/>
      <c r="L22671" s="12"/>
      <c r="M22671" s="11"/>
      <c r="N22671" s="11"/>
      <c r="O22671" s="11"/>
      <c r="P22671" s="11"/>
    </row>
    <row r="22672" spans="8:16" x14ac:dyDescent="0.25">
      <c r="H22672" s="12"/>
      <c r="I22672" s="12"/>
      <c r="J22672" s="12"/>
      <c r="K22672" s="12"/>
      <c r="L22672" s="12"/>
      <c r="M22672" s="11"/>
      <c r="N22672" s="11"/>
      <c r="O22672" s="11"/>
      <c r="P22672" s="11"/>
    </row>
    <row r="22673" spans="8:16" x14ac:dyDescent="0.25">
      <c r="H22673" s="12"/>
      <c r="I22673" s="12"/>
      <c r="J22673" s="12"/>
      <c r="K22673" s="12"/>
      <c r="L22673" s="12"/>
      <c r="M22673" s="11"/>
      <c r="N22673" s="11"/>
      <c r="O22673" s="11"/>
      <c r="P22673" s="11"/>
    </row>
    <row r="22674" spans="8:16" x14ac:dyDescent="0.25">
      <c r="H22674" s="12"/>
      <c r="I22674" s="12"/>
      <c r="J22674" s="12"/>
      <c r="K22674" s="12"/>
      <c r="L22674" s="12"/>
      <c r="M22674" s="11"/>
      <c r="N22674" s="11"/>
      <c r="O22674" s="11"/>
      <c r="P22674" s="11"/>
    </row>
    <row r="22675" spans="8:16" x14ac:dyDescent="0.25">
      <c r="H22675" s="12"/>
      <c r="I22675" s="12"/>
      <c r="J22675" s="12"/>
      <c r="K22675" s="12"/>
      <c r="L22675" s="12"/>
      <c r="M22675" s="11"/>
      <c r="N22675" s="11"/>
      <c r="O22675" s="11"/>
      <c r="P22675" s="11"/>
    </row>
    <row r="22676" spans="8:16" x14ac:dyDescent="0.25">
      <c r="H22676" s="12"/>
      <c r="I22676" s="12"/>
      <c r="J22676" s="12"/>
      <c r="K22676" s="12"/>
      <c r="L22676" s="12"/>
      <c r="M22676" s="11"/>
      <c r="N22676" s="11"/>
      <c r="O22676" s="11"/>
      <c r="P22676" s="11"/>
    </row>
    <row r="22677" spans="8:16" x14ac:dyDescent="0.25">
      <c r="H22677" s="12"/>
      <c r="I22677" s="12"/>
      <c r="J22677" s="12"/>
      <c r="K22677" s="12"/>
      <c r="L22677" s="12"/>
      <c r="M22677" s="11"/>
      <c r="N22677" s="11"/>
      <c r="O22677" s="11"/>
      <c r="P22677" s="11"/>
    </row>
    <row r="22678" spans="8:16" x14ac:dyDescent="0.25">
      <c r="H22678" s="12"/>
      <c r="I22678" s="12"/>
      <c r="J22678" s="12"/>
      <c r="K22678" s="12"/>
      <c r="L22678" s="12"/>
      <c r="M22678" s="11"/>
      <c r="N22678" s="11"/>
      <c r="O22678" s="11"/>
      <c r="P22678" s="11"/>
    </row>
    <row r="22679" spans="8:16" x14ac:dyDescent="0.25">
      <c r="H22679" s="12"/>
      <c r="I22679" s="12"/>
      <c r="J22679" s="12"/>
      <c r="K22679" s="12"/>
      <c r="L22679" s="12"/>
      <c r="M22679" s="11"/>
      <c r="N22679" s="11"/>
      <c r="O22679" s="11"/>
      <c r="P22679" s="11"/>
    </row>
    <row r="22680" spans="8:16" x14ac:dyDescent="0.25">
      <c r="H22680" s="12"/>
      <c r="I22680" s="12"/>
      <c r="J22680" s="12"/>
      <c r="K22680" s="12"/>
      <c r="L22680" s="12"/>
      <c r="M22680" s="11"/>
      <c r="N22680" s="11"/>
      <c r="O22680" s="11"/>
      <c r="P22680" s="11"/>
    </row>
    <row r="22681" spans="8:16" x14ac:dyDescent="0.25">
      <c r="H22681" s="12"/>
      <c r="I22681" s="12"/>
      <c r="J22681" s="12"/>
      <c r="K22681" s="12"/>
      <c r="L22681" s="12"/>
      <c r="M22681" s="11"/>
      <c r="N22681" s="11"/>
      <c r="O22681" s="11"/>
      <c r="P22681" s="11"/>
    </row>
    <row r="22682" spans="8:16" x14ac:dyDescent="0.25">
      <c r="H22682" s="12"/>
      <c r="I22682" s="12"/>
      <c r="J22682" s="12"/>
      <c r="K22682" s="12"/>
      <c r="L22682" s="12"/>
      <c r="M22682" s="11"/>
      <c r="N22682" s="11"/>
      <c r="O22682" s="11"/>
      <c r="P22682" s="11"/>
    </row>
    <row r="22683" spans="8:16" x14ac:dyDescent="0.25">
      <c r="H22683" s="12"/>
      <c r="I22683" s="12"/>
      <c r="J22683" s="12"/>
      <c r="K22683" s="12"/>
      <c r="L22683" s="12"/>
      <c r="M22683" s="11"/>
      <c r="N22683" s="11"/>
      <c r="O22683" s="11"/>
      <c r="P22683" s="11"/>
    </row>
    <row r="22684" spans="8:16" x14ac:dyDescent="0.25">
      <c r="H22684" s="12"/>
      <c r="I22684" s="12"/>
      <c r="J22684" s="12"/>
      <c r="K22684" s="12"/>
      <c r="L22684" s="12"/>
      <c r="M22684" s="11"/>
      <c r="N22684" s="11"/>
      <c r="O22684" s="11"/>
      <c r="P22684" s="11"/>
    </row>
    <row r="22685" spans="8:16" x14ac:dyDescent="0.25">
      <c r="H22685" s="12"/>
      <c r="I22685" s="12"/>
      <c r="J22685" s="12"/>
      <c r="K22685" s="12"/>
      <c r="L22685" s="12"/>
      <c r="M22685" s="11"/>
      <c r="N22685" s="11"/>
      <c r="O22685" s="11"/>
      <c r="P22685" s="11"/>
    </row>
    <row r="22686" spans="8:16" x14ac:dyDescent="0.25">
      <c r="H22686" s="12"/>
      <c r="I22686" s="12"/>
      <c r="J22686" s="12"/>
      <c r="K22686" s="12"/>
      <c r="L22686" s="12"/>
      <c r="M22686" s="11"/>
      <c r="N22686" s="11"/>
      <c r="O22686" s="11"/>
      <c r="P22686" s="11"/>
    </row>
    <row r="22687" spans="8:16" x14ac:dyDescent="0.25">
      <c r="H22687" s="12"/>
      <c r="I22687" s="12"/>
      <c r="J22687" s="12"/>
      <c r="K22687" s="12"/>
      <c r="L22687" s="12"/>
      <c r="M22687" s="11"/>
      <c r="N22687" s="11"/>
      <c r="O22687" s="11"/>
      <c r="P22687" s="11"/>
    </row>
    <row r="22688" spans="8:16" x14ac:dyDescent="0.25">
      <c r="H22688" s="12"/>
      <c r="I22688" s="12"/>
      <c r="J22688" s="12"/>
      <c r="K22688" s="12"/>
      <c r="L22688" s="12"/>
      <c r="M22688" s="11"/>
      <c r="N22688" s="11"/>
      <c r="O22688" s="11"/>
      <c r="P22688" s="11"/>
    </row>
    <row r="22689" spans="8:16" x14ac:dyDescent="0.25">
      <c r="H22689" s="12"/>
      <c r="I22689" s="12"/>
      <c r="J22689" s="12"/>
      <c r="K22689" s="12"/>
      <c r="L22689" s="12"/>
      <c r="M22689" s="11"/>
      <c r="N22689" s="11"/>
      <c r="O22689" s="11"/>
      <c r="P22689" s="11"/>
    </row>
    <row r="22690" spans="8:16" x14ac:dyDescent="0.25">
      <c r="H22690" s="12"/>
      <c r="I22690" s="12"/>
      <c r="J22690" s="12"/>
      <c r="K22690" s="12"/>
      <c r="L22690" s="12"/>
      <c r="M22690" s="11"/>
      <c r="N22690" s="11"/>
      <c r="O22690" s="11"/>
      <c r="P22690" s="11"/>
    </row>
    <row r="22691" spans="8:16" x14ac:dyDescent="0.25">
      <c r="H22691" s="12"/>
      <c r="I22691" s="12"/>
      <c r="J22691" s="12"/>
      <c r="K22691" s="12"/>
      <c r="L22691" s="12"/>
      <c r="M22691" s="11"/>
      <c r="N22691" s="11"/>
      <c r="O22691" s="11"/>
      <c r="P22691" s="11"/>
    </row>
    <row r="22692" spans="8:16" x14ac:dyDescent="0.25">
      <c r="H22692" s="12"/>
      <c r="I22692" s="12"/>
      <c r="J22692" s="12"/>
      <c r="K22692" s="12"/>
      <c r="L22692" s="12"/>
      <c r="M22692" s="11"/>
      <c r="N22692" s="11"/>
      <c r="O22692" s="11"/>
      <c r="P22692" s="11"/>
    </row>
    <row r="22693" spans="8:16" x14ac:dyDescent="0.25">
      <c r="H22693" s="12"/>
      <c r="I22693" s="12"/>
      <c r="J22693" s="12"/>
      <c r="K22693" s="12"/>
      <c r="L22693" s="12"/>
      <c r="M22693" s="11"/>
      <c r="N22693" s="11"/>
      <c r="O22693" s="11"/>
      <c r="P22693" s="11"/>
    </row>
    <row r="22694" spans="8:16" x14ac:dyDescent="0.25">
      <c r="H22694" s="12"/>
      <c r="I22694" s="12"/>
      <c r="J22694" s="12"/>
      <c r="K22694" s="12"/>
      <c r="L22694" s="12"/>
      <c r="M22694" s="11"/>
      <c r="N22694" s="11"/>
      <c r="O22694" s="11"/>
      <c r="P22694" s="11"/>
    </row>
    <row r="22695" spans="8:16" x14ac:dyDescent="0.25">
      <c r="H22695" s="12"/>
      <c r="I22695" s="12"/>
      <c r="J22695" s="12"/>
      <c r="K22695" s="12"/>
      <c r="L22695" s="12"/>
      <c r="M22695" s="11"/>
      <c r="N22695" s="11"/>
      <c r="O22695" s="11"/>
      <c r="P22695" s="11"/>
    </row>
    <row r="22696" spans="8:16" x14ac:dyDescent="0.25">
      <c r="H22696" s="12"/>
      <c r="I22696" s="12"/>
      <c r="J22696" s="12"/>
      <c r="K22696" s="12"/>
      <c r="L22696" s="12"/>
      <c r="M22696" s="11"/>
      <c r="N22696" s="11"/>
      <c r="O22696" s="11"/>
      <c r="P22696" s="11"/>
    </row>
    <row r="22697" spans="8:16" x14ac:dyDescent="0.25">
      <c r="H22697" s="12"/>
      <c r="I22697" s="12"/>
      <c r="J22697" s="12"/>
      <c r="K22697" s="12"/>
      <c r="L22697" s="12"/>
      <c r="M22697" s="11"/>
      <c r="N22697" s="11"/>
      <c r="O22697" s="11"/>
      <c r="P22697" s="11"/>
    </row>
    <row r="22698" spans="8:16" x14ac:dyDescent="0.25">
      <c r="H22698" s="12"/>
      <c r="I22698" s="12"/>
      <c r="J22698" s="12"/>
      <c r="K22698" s="12"/>
      <c r="L22698" s="12"/>
      <c r="M22698" s="11"/>
      <c r="N22698" s="11"/>
      <c r="O22698" s="11"/>
      <c r="P22698" s="11"/>
    </row>
    <row r="22699" spans="8:16" x14ac:dyDescent="0.25">
      <c r="H22699" s="12"/>
      <c r="I22699" s="12"/>
      <c r="J22699" s="12"/>
      <c r="K22699" s="12"/>
      <c r="L22699" s="12"/>
      <c r="M22699" s="11"/>
      <c r="N22699" s="11"/>
      <c r="O22699" s="11"/>
      <c r="P22699" s="11"/>
    </row>
    <row r="22700" spans="8:16" x14ac:dyDescent="0.25">
      <c r="H22700" s="12"/>
      <c r="I22700" s="12"/>
      <c r="J22700" s="12"/>
      <c r="K22700" s="12"/>
      <c r="L22700" s="12"/>
      <c r="M22700" s="11"/>
      <c r="N22700" s="11"/>
      <c r="O22700" s="11"/>
      <c r="P22700" s="11"/>
    </row>
    <row r="22701" spans="8:16" x14ac:dyDescent="0.25">
      <c r="H22701" s="12"/>
      <c r="I22701" s="12"/>
      <c r="J22701" s="12"/>
      <c r="K22701" s="12"/>
      <c r="L22701" s="12"/>
      <c r="M22701" s="11"/>
      <c r="N22701" s="11"/>
      <c r="O22701" s="11"/>
      <c r="P22701" s="11"/>
    </row>
    <row r="22702" spans="8:16" x14ac:dyDescent="0.25">
      <c r="H22702" s="12"/>
      <c r="I22702" s="12"/>
      <c r="J22702" s="12"/>
      <c r="K22702" s="12"/>
      <c r="L22702" s="12"/>
      <c r="M22702" s="11"/>
      <c r="N22702" s="11"/>
      <c r="O22702" s="11"/>
      <c r="P22702" s="11"/>
    </row>
    <row r="22703" spans="8:16" x14ac:dyDescent="0.25">
      <c r="H22703" s="12"/>
      <c r="I22703" s="12"/>
      <c r="J22703" s="12"/>
      <c r="K22703" s="12"/>
      <c r="L22703" s="12"/>
      <c r="M22703" s="11"/>
      <c r="N22703" s="11"/>
      <c r="O22703" s="11"/>
      <c r="P22703" s="11"/>
    </row>
    <row r="22704" spans="8:16" x14ac:dyDescent="0.25">
      <c r="H22704" s="12"/>
      <c r="I22704" s="12"/>
      <c r="J22704" s="12"/>
      <c r="K22704" s="12"/>
      <c r="L22704" s="12"/>
      <c r="M22704" s="11"/>
      <c r="N22704" s="11"/>
      <c r="O22704" s="11"/>
      <c r="P22704" s="11"/>
    </row>
    <row r="22705" spans="8:16" x14ac:dyDescent="0.25">
      <c r="H22705" s="12"/>
      <c r="I22705" s="12"/>
      <c r="J22705" s="12"/>
      <c r="K22705" s="12"/>
      <c r="L22705" s="12"/>
      <c r="M22705" s="11"/>
      <c r="N22705" s="11"/>
      <c r="O22705" s="11"/>
      <c r="P22705" s="11"/>
    </row>
    <row r="22706" spans="8:16" x14ac:dyDescent="0.25">
      <c r="H22706" s="12"/>
      <c r="I22706" s="12"/>
      <c r="J22706" s="12"/>
      <c r="K22706" s="12"/>
      <c r="L22706" s="12"/>
      <c r="M22706" s="11"/>
      <c r="N22706" s="11"/>
      <c r="O22706" s="11"/>
      <c r="P22706" s="11"/>
    </row>
    <row r="22707" spans="8:16" x14ac:dyDescent="0.25">
      <c r="H22707" s="12"/>
      <c r="I22707" s="12"/>
      <c r="J22707" s="12"/>
      <c r="K22707" s="12"/>
      <c r="L22707" s="12"/>
      <c r="M22707" s="11"/>
      <c r="N22707" s="11"/>
      <c r="O22707" s="11"/>
      <c r="P22707" s="11"/>
    </row>
    <row r="22708" spans="8:16" x14ac:dyDescent="0.25">
      <c r="H22708" s="12"/>
      <c r="I22708" s="12"/>
      <c r="J22708" s="12"/>
      <c r="K22708" s="12"/>
      <c r="L22708" s="12"/>
      <c r="M22708" s="11"/>
      <c r="N22708" s="11"/>
      <c r="O22708" s="11"/>
      <c r="P22708" s="11"/>
    </row>
    <row r="22709" spans="8:16" x14ac:dyDescent="0.25">
      <c r="H22709" s="12"/>
      <c r="I22709" s="12"/>
      <c r="J22709" s="12"/>
      <c r="K22709" s="12"/>
      <c r="L22709" s="12"/>
      <c r="M22709" s="11"/>
      <c r="N22709" s="11"/>
      <c r="O22709" s="11"/>
      <c r="P22709" s="11"/>
    </row>
    <row r="22710" spans="8:16" x14ac:dyDescent="0.25">
      <c r="H22710" s="12"/>
      <c r="I22710" s="12"/>
      <c r="J22710" s="12"/>
      <c r="K22710" s="12"/>
      <c r="L22710" s="12"/>
      <c r="M22710" s="11"/>
      <c r="N22710" s="11"/>
      <c r="O22710" s="11"/>
      <c r="P22710" s="11"/>
    </row>
    <row r="22711" spans="8:16" x14ac:dyDescent="0.25">
      <c r="H22711" s="12"/>
      <c r="I22711" s="12"/>
      <c r="J22711" s="12"/>
      <c r="K22711" s="12"/>
      <c r="L22711" s="12"/>
      <c r="M22711" s="11"/>
      <c r="N22711" s="11"/>
      <c r="O22711" s="11"/>
      <c r="P22711" s="11"/>
    </row>
    <row r="22712" spans="8:16" x14ac:dyDescent="0.25">
      <c r="H22712" s="12"/>
      <c r="I22712" s="12"/>
      <c r="J22712" s="12"/>
      <c r="K22712" s="12"/>
      <c r="L22712" s="12"/>
      <c r="M22712" s="11"/>
      <c r="N22712" s="11"/>
      <c r="O22712" s="11"/>
      <c r="P22712" s="11"/>
    </row>
    <row r="22713" spans="8:16" x14ac:dyDescent="0.25">
      <c r="H22713" s="12"/>
      <c r="I22713" s="12"/>
      <c r="J22713" s="12"/>
      <c r="K22713" s="12"/>
      <c r="L22713" s="12"/>
      <c r="M22713" s="11"/>
      <c r="N22713" s="11"/>
      <c r="O22713" s="11"/>
      <c r="P22713" s="11"/>
    </row>
    <row r="22714" spans="8:16" x14ac:dyDescent="0.25">
      <c r="H22714" s="12"/>
      <c r="I22714" s="12"/>
      <c r="J22714" s="12"/>
      <c r="K22714" s="12"/>
      <c r="L22714" s="12"/>
      <c r="M22714" s="11"/>
      <c r="N22714" s="11"/>
      <c r="O22714" s="11"/>
      <c r="P22714" s="11"/>
    </row>
    <row r="22715" spans="8:16" x14ac:dyDescent="0.25">
      <c r="H22715" s="12"/>
      <c r="I22715" s="12"/>
      <c r="J22715" s="12"/>
      <c r="K22715" s="12"/>
      <c r="L22715" s="12"/>
      <c r="M22715" s="11"/>
      <c r="N22715" s="11"/>
      <c r="O22715" s="11"/>
      <c r="P22715" s="11"/>
    </row>
    <row r="22716" spans="8:16" x14ac:dyDescent="0.25">
      <c r="H22716" s="12"/>
      <c r="I22716" s="12"/>
      <c r="J22716" s="12"/>
      <c r="K22716" s="12"/>
      <c r="L22716" s="12"/>
      <c r="M22716" s="11"/>
      <c r="N22716" s="11"/>
      <c r="O22716" s="11"/>
      <c r="P22716" s="11"/>
    </row>
    <row r="22717" spans="8:16" x14ac:dyDescent="0.25">
      <c r="H22717" s="12"/>
      <c r="I22717" s="12"/>
      <c r="J22717" s="12"/>
      <c r="K22717" s="12"/>
      <c r="L22717" s="12"/>
      <c r="M22717" s="11"/>
      <c r="N22717" s="11"/>
      <c r="O22717" s="11"/>
      <c r="P22717" s="11"/>
    </row>
    <row r="22718" spans="8:16" x14ac:dyDescent="0.25">
      <c r="H22718" s="12"/>
      <c r="I22718" s="12"/>
      <c r="J22718" s="12"/>
      <c r="K22718" s="12"/>
      <c r="L22718" s="12"/>
      <c r="M22718" s="11"/>
      <c r="N22718" s="11"/>
      <c r="O22718" s="11"/>
      <c r="P22718" s="11"/>
    </row>
    <row r="22719" spans="8:16" x14ac:dyDescent="0.25">
      <c r="H22719" s="12"/>
      <c r="I22719" s="12"/>
      <c r="J22719" s="12"/>
      <c r="K22719" s="12"/>
      <c r="L22719" s="12"/>
      <c r="M22719" s="11"/>
      <c r="N22719" s="11"/>
      <c r="O22719" s="11"/>
      <c r="P22719" s="11"/>
    </row>
    <row r="22720" spans="8:16" x14ac:dyDescent="0.25">
      <c r="H22720" s="12"/>
      <c r="I22720" s="12"/>
      <c r="J22720" s="12"/>
      <c r="K22720" s="12"/>
      <c r="L22720" s="12"/>
      <c r="M22720" s="11"/>
      <c r="N22720" s="11"/>
      <c r="O22720" s="11"/>
      <c r="P22720" s="11"/>
    </row>
    <row r="22721" spans="8:16" x14ac:dyDescent="0.25">
      <c r="H22721" s="12"/>
      <c r="I22721" s="12"/>
      <c r="J22721" s="12"/>
      <c r="K22721" s="12"/>
      <c r="L22721" s="12"/>
      <c r="M22721" s="11"/>
      <c r="N22721" s="11"/>
      <c r="O22721" s="11"/>
      <c r="P22721" s="11"/>
    </row>
    <row r="22722" spans="8:16" x14ac:dyDescent="0.25">
      <c r="H22722" s="12"/>
      <c r="I22722" s="12"/>
      <c r="J22722" s="12"/>
      <c r="K22722" s="12"/>
      <c r="L22722" s="12"/>
      <c r="M22722" s="11"/>
      <c r="N22722" s="11"/>
      <c r="O22722" s="11"/>
      <c r="P22722" s="11"/>
    </row>
    <row r="22723" spans="8:16" x14ac:dyDescent="0.25">
      <c r="H22723" s="12"/>
      <c r="I22723" s="12"/>
      <c r="J22723" s="12"/>
      <c r="K22723" s="12"/>
      <c r="L22723" s="12"/>
      <c r="M22723" s="11"/>
      <c r="N22723" s="11"/>
      <c r="O22723" s="11"/>
      <c r="P22723" s="11"/>
    </row>
    <row r="22724" spans="8:16" x14ac:dyDescent="0.25">
      <c r="H22724" s="12"/>
      <c r="I22724" s="12"/>
      <c r="J22724" s="12"/>
      <c r="K22724" s="12"/>
      <c r="L22724" s="12"/>
      <c r="M22724" s="11"/>
      <c r="N22724" s="11"/>
      <c r="O22724" s="11"/>
      <c r="P22724" s="11"/>
    </row>
    <row r="22725" spans="8:16" x14ac:dyDescent="0.25">
      <c r="H22725" s="12"/>
      <c r="I22725" s="12"/>
      <c r="J22725" s="12"/>
      <c r="K22725" s="12"/>
      <c r="L22725" s="12"/>
      <c r="M22725" s="11"/>
      <c r="N22725" s="11"/>
      <c r="O22725" s="11"/>
      <c r="P22725" s="11"/>
    </row>
    <row r="22726" spans="8:16" x14ac:dyDescent="0.25">
      <c r="H22726" s="12"/>
      <c r="I22726" s="12"/>
      <c r="J22726" s="12"/>
      <c r="K22726" s="12"/>
      <c r="L22726" s="12"/>
      <c r="M22726" s="11"/>
      <c r="N22726" s="11"/>
      <c r="O22726" s="11"/>
      <c r="P22726" s="11"/>
    </row>
    <row r="22727" spans="8:16" x14ac:dyDescent="0.25">
      <c r="H22727" s="12"/>
      <c r="I22727" s="12"/>
      <c r="J22727" s="12"/>
      <c r="K22727" s="12"/>
      <c r="L22727" s="12"/>
      <c r="M22727" s="11"/>
      <c r="N22727" s="11"/>
      <c r="O22727" s="11"/>
      <c r="P22727" s="11"/>
    </row>
    <row r="22728" spans="8:16" x14ac:dyDescent="0.25">
      <c r="H22728" s="12"/>
      <c r="I22728" s="12"/>
      <c r="J22728" s="12"/>
      <c r="K22728" s="12"/>
      <c r="L22728" s="12"/>
      <c r="M22728" s="11"/>
      <c r="N22728" s="11"/>
      <c r="O22728" s="11"/>
      <c r="P22728" s="11"/>
    </row>
    <row r="22729" spans="8:16" x14ac:dyDescent="0.25">
      <c r="H22729" s="12"/>
      <c r="I22729" s="12"/>
      <c r="J22729" s="12"/>
      <c r="K22729" s="12"/>
      <c r="L22729" s="12"/>
      <c r="M22729" s="11"/>
      <c r="N22729" s="11"/>
      <c r="O22729" s="11"/>
      <c r="P22729" s="11"/>
    </row>
    <row r="22730" spans="8:16" x14ac:dyDescent="0.25">
      <c r="H22730" s="12"/>
      <c r="I22730" s="12"/>
      <c r="J22730" s="12"/>
      <c r="K22730" s="12"/>
      <c r="L22730" s="12"/>
      <c r="M22730" s="11"/>
      <c r="N22730" s="11"/>
      <c r="O22730" s="11"/>
      <c r="P22730" s="11"/>
    </row>
    <row r="22731" spans="8:16" x14ac:dyDescent="0.25">
      <c r="H22731" s="12"/>
      <c r="I22731" s="12"/>
      <c r="J22731" s="12"/>
      <c r="K22731" s="12"/>
      <c r="L22731" s="12"/>
      <c r="M22731" s="11"/>
      <c r="N22731" s="11"/>
      <c r="O22731" s="11"/>
      <c r="P22731" s="11"/>
    </row>
    <row r="22732" spans="8:16" x14ac:dyDescent="0.25">
      <c r="H22732" s="12"/>
      <c r="I22732" s="12"/>
      <c r="J22732" s="12"/>
      <c r="K22732" s="12"/>
      <c r="L22732" s="12"/>
      <c r="M22732" s="11"/>
      <c r="N22732" s="11"/>
      <c r="O22732" s="11"/>
      <c r="P22732" s="11"/>
    </row>
    <row r="22733" spans="8:16" x14ac:dyDescent="0.25">
      <c r="H22733" s="12"/>
      <c r="I22733" s="12"/>
      <c r="J22733" s="12"/>
      <c r="K22733" s="12"/>
      <c r="L22733" s="12"/>
      <c r="M22733" s="11"/>
      <c r="N22733" s="11"/>
      <c r="O22733" s="11"/>
      <c r="P22733" s="11"/>
    </row>
    <row r="22734" spans="8:16" x14ac:dyDescent="0.25">
      <c r="H22734" s="12"/>
      <c r="I22734" s="12"/>
      <c r="J22734" s="12"/>
      <c r="K22734" s="12"/>
      <c r="L22734" s="12"/>
      <c r="M22734" s="11"/>
      <c r="N22734" s="11"/>
      <c r="O22734" s="11"/>
      <c r="P22734" s="11"/>
    </row>
    <row r="22735" spans="8:16" x14ac:dyDescent="0.25">
      <c r="H22735" s="12"/>
      <c r="I22735" s="12"/>
      <c r="J22735" s="12"/>
      <c r="K22735" s="12"/>
      <c r="L22735" s="12"/>
      <c r="M22735" s="11"/>
      <c r="N22735" s="11"/>
      <c r="O22735" s="11"/>
      <c r="P22735" s="11"/>
    </row>
    <row r="22736" spans="8:16" x14ac:dyDescent="0.25">
      <c r="H22736" s="12"/>
      <c r="I22736" s="12"/>
      <c r="J22736" s="12"/>
      <c r="K22736" s="12"/>
      <c r="L22736" s="12"/>
      <c r="M22736" s="11"/>
      <c r="N22736" s="11"/>
      <c r="O22736" s="11"/>
      <c r="P22736" s="11"/>
    </row>
    <row r="22737" spans="8:16" x14ac:dyDescent="0.25">
      <c r="H22737" s="12"/>
      <c r="I22737" s="12"/>
      <c r="J22737" s="12"/>
      <c r="K22737" s="12"/>
      <c r="L22737" s="12"/>
      <c r="M22737" s="11"/>
      <c r="N22737" s="11"/>
      <c r="O22737" s="11"/>
      <c r="P22737" s="11"/>
    </row>
    <row r="22738" spans="8:16" x14ac:dyDescent="0.25">
      <c r="H22738" s="12"/>
      <c r="I22738" s="12"/>
      <c r="J22738" s="12"/>
      <c r="K22738" s="12"/>
      <c r="L22738" s="12"/>
      <c r="M22738" s="11"/>
      <c r="N22738" s="11"/>
      <c r="O22738" s="11"/>
      <c r="P22738" s="11"/>
    </row>
    <row r="22739" spans="8:16" x14ac:dyDescent="0.25">
      <c r="H22739" s="12"/>
      <c r="I22739" s="12"/>
      <c r="J22739" s="12"/>
      <c r="K22739" s="12"/>
      <c r="L22739" s="12"/>
      <c r="M22739" s="11"/>
      <c r="N22739" s="11"/>
      <c r="O22739" s="11"/>
      <c r="P22739" s="11"/>
    </row>
    <row r="22740" spans="8:16" x14ac:dyDescent="0.25">
      <c r="H22740" s="12"/>
      <c r="I22740" s="12"/>
      <c r="J22740" s="12"/>
      <c r="K22740" s="12"/>
      <c r="L22740" s="12"/>
      <c r="M22740" s="11"/>
      <c r="N22740" s="11"/>
      <c r="O22740" s="11"/>
      <c r="P22740" s="11"/>
    </row>
    <row r="22741" spans="8:16" x14ac:dyDescent="0.25">
      <c r="H22741" s="12"/>
      <c r="I22741" s="12"/>
      <c r="J22741" s="12"/>
      <c r="K22741" s="12"/>
      <c r="L22741" s="12"/>
      <c r="M22741" s="11"/>
      <c r="N22741" s="11"/>
      <c r="O22741" s="11"/>
      <c r="P22741" s="11"/>
    </row>
    <row r="22742" spans="8:16" x14ac:dyDescent="0.25">
      <c r="H22742" s="12"/>
      <c r="I22742" s="12"/>
      <c r="J22742" s="12"/>
      <c r="K22742" s="12"/>
      <c r="L22742" s="12"/>
      <c r="M22742" s="11"/>
      <c r="N22742" s="11"/>
      <c r="O22742" s="11"/>
      <c r="P22742" s="11"/>
    </row>
    <row r="22743" spans="8:16" x14ac:dyDescent="0.25">
      <c r="H22743" s="12"/>
      <c r="I22743" s="12"/>
      <c r="J22743" s="12"/>
      <c r="K22743" s="12"/>
      <c r="L22743" s="12"/>
      <c r="M22743" s="11"/>
      <c r="N22743" s="11"/>
      <c r="O22743" s="11"/>
      <c r="P22743" s="11"/>
    </row>
    <row r="22744" spans="8:16" x14ac:dyDescent="0.25">
      <c r="H22744" s="12"/>
      <c r="I22744" s="12"/>
      <c r="J22744" s="12"/>
      <c r="K22744" s="12"/>
      <c r="L22744" s="12"/>
      <c r="M22744" s="11"/>
      <c r="N22744" s="11"/>
      <c r="O22744" s="11"/>
      <c r="P22744" s="11"/>
    </row>
    <row r="22745" spans="8:16" x14ac:dyDescent="0.25">
      <c r="H22745" s="12"/>
      <c r="I22745" s="12"/>
      <c r="J22745" s="12"/>
      <c r="K22745" s="12"/>
      <c r="L22745" s="12"/>
      <c r="M22745" s="11"/>
      <c r="N22745" s="11"/>
      <c r="O22745" s="11"/>
      <c r="P22745" s="11"/>
    </row>
    <row r="22746" spans="8:16" x14ac:dyDescent="0.25">
      <c r="H22746" s="12"/>
      <c r="I22746" s="12"/>
      <c r="J22746" s="12"/>
      <c r="K22746" s="12"/>
      <c r="L22746" s="12"/>
      <c r="M22746" s="11"/>
      <c r="N22746" s="11"/>
      <c r="O22746" s="11"/>
      <c r="P22746" s="11"/>
    </row>
    <row r="22747" spans="8:16" x14ac:dyDescent="0.25">
      <c r="H22747" s="12"/>
      <c r="I22747" s="12"/>
      <c r="J22747" s="12"/>
      <c r="K22747" s="12"/>
      <c r="L22747" s="12"/>
      <c r="M22747" s="11"/>
      <c r="N22747" s="11"/>
      <c r="O22747" s="11"/>
      <c r="P22747" s="11"/>
    </row>
    <row r="22748" spans="8:16" x14ac:dyDescent="0.25">
      <c r="H22748" s="12"/>
      <c r="I22748" s="12"/>
      <c r="J22748" s="12"/>
      <c r="K22748" s="12"/>
      <c r="L22748" s="12"/>
      <c r="M22748" s="11"/>
      <c r="N22748" s="11"/>
      <c r="O22748" s="11"/>
      <c r="P22748" s="11"/>
    </row>
    <row r="22749" spans="8:16" x14ac:dyDescent="0.25">
      <c r="H22749" s="12"/>
      <c r="I22749" s="12"/>
      <c r="J22749" s="12"/>
      <c r="K22749" s="12"/>
      <c r="L22749" s="12"/>
      <c r="M22749" s="11"/>
      <c r="N22749" s="11"/>
      <c r="O22749" s="11"/>
      <c r="P22749" s="11"/>
    </row>
    <row r="22750" spans="8:16" x14ac:dyDescent="0.25">
      <c r="H22750" s="12"/>
      <c r="I22750" s="12"/>
      <c r="J22750" s="12"/>
      <c r="K22750" s="12"/>
      <c r="L22750" s="12"/>
      <c r="M22750" s="11"/>
      <c r="N22750" s="11"/>
      <c r="O22750" s="11"/>
      <c r="P22750" s="11"/>
    </row>
    <row r="22751" spans="8:16" x14ac:dyDescent="0.25">
      <c r="H22751" s="12"/>
      <c r="I22751" s="12"/>
      <c r="J22751" s="12"/>
      <c r="K22751" s="12"/>
      <c r="L22751" s="12"/>
      <c r="M22751" s="11"/>
      <c r="N22751" s="11"/>
      <c r="O22751" s="11"/>
      <c r="P22751" s="11"/>
    </row>
    <row r="22752" spans="8:16" x14ac:dyDescent="0.25">
      <c r="H22752" s="12"/>
      <c r="I22752" s="12"/>
      <c r="J22752" s="12"/>
      <c r="K22752" s="12"/>
      <c r="L22752" s="12"/>
      <c r="M22752" s="11"/>
      <c r="N22752" s="11"/>
      <c r="O22752" s="11"/>
      <c r="P22752" s="11"/>
    </row>
    <row r="22753" spans="8:16" x14ac:dyDescent="0.25">
      <c r="H22753" s="12"/>
      <c r="I22753" s="12"/>
      <c r="J22753" s="12"/>
      <c r="K22753" s="12"/>
      <c r="L22753" s="12"/>
      <c r="M22753" s="11"/>
      <c r="N22753" s="11"/>
      <c r="O22753" s="11"/>
      <c r="P22753" s="11"/>
    </row>
    <row r="22754" spans="8:16" x14ac:dyDescent="0.25">
      <c r="H22754" s="12"/>
      <c r="I22754" s="12"/>
      <c r="J22754" s="12"/>
      <c r="K22754" s="12"/>
      <c r="L22754" s="12"/>
      <c r="M22754" s="11"/>
      <c r="N22754" s="11"/>
      <c r="O22754" s="11"/>
      <c r="P22754" s="11"/>
    </row>
    <row r="22755" spans="8:16" x14ac:dyDescent="0.25">
      <c r="H22755" s="12"/>
      <c r="I22755" s="12"/>
      <c r="J22755" s="12"/>
      <c r="K22755" s="12"/>
      <c r="L22755" s="12"/>
      <c r="M22755" s="11"/>
      <c r="N22755" s="11"/>
      <c r="O22755" s="11"/>
      <c r="P22755" s="11"/>
    </row>
    <row r="22756" spans="8:16" x14ac:dyDescent="0.25">
      <c r="H22756" s="12"/>
      <c r="I22756" s="12"/>
      <c r="J22756" s="12"/>
      <c r="K22756" s="12"/>
      <c r="L22756" s="12"/>
      <c r="M22756" s="11"/>
      <c r="N22756" s="11"/>
      <c r="O22756" s="11"/>
      <c r="P22756" s="11"/>
    </row>
    <row r="22757" spans="8:16" x14ac:dyDescent="0.25">
      <c r="H22757" s="12"/>
      <c r="I22757" s="12"/>
      <c r="J22757" s="12"/>
      <c r="K22757" s="12"/>
      <c r="L22757" s="12"/>
      <c r="M22757" s="11"/>
      <c r="N22757" s="11"/>
      <c r="O22757" s="11"/>
      <c r="P22757" s="11"/>
    </row>
    <row r="22758" spans="8:16" x14ac:dyDescent="0.25">
      <c r="H22758" s="12"/>
      <c r="I22758" s="12"/>
      <c r="J22758" s="12"/>
      <c r="K22758" s="12"/>
      <c r="L22758" s="12"/>
      <c r="M22758" s="11"/>
      <c r="N22758" s="11"/>
      <c r="O22758" s="11"/>
      <c r="P22758" s="11"/>
    </row>
    <row r="22759" spans="8:16" x14ac:dyDescent="0.25">
      <c r="H22759" s="12"/>
      <c r="I22759" s="12"/>
      <c r="J22759" s="12"/>
      <c r="K22759" s="12"/>
      <c r="L22759" s="12"/>
      <c r="M22759" s="11"/>
      <c r="N22759" s="11"/>
      <c r="O22759" s="11"/>
      <c r="P22759" s="11"/>
    </row>
    <row r="22760" spans="8:16" x14ac:dyDescent="0.25">
      <c r="H22760" s="12"/>
      <c r="I22760" s="12"/>
      <c r="J22760" s="12"/>
      <c r="K22760" s="12"/>
      <c r="L22760" s="12"/>
      <c r="M22760" s="11"/>
      <c r="N22760" s="11"/>
      <c r="O22760" s="11"/>
      <c r="P22760" s="11"/>
    </row>
    <row r="22761" spans="8:16" x14ac:dyDescent="0.25">
      <c r="H22761" s="12"/>
      <c r="I22761" s="12"/>
      <c r="J22761" s="12"/>
      <c r="K22761" s="12"/>
      <c r="L22761" s="12"/>
      <c r="M22761" s="11"/>
      <c r="N22761" s="11"/>
      <c r="O22761" s="11"/>
      <c r="P22761" s="11"/>
    </row>
    <row r="22762" spans="8:16" x14ac:dyDescent="0.25">
      <c r="H22762" s="12"/>
      <c r="I22762" s="12"/>
      <c r="J22762" s="12"/>
      <c r="K22762" s="12"/>
      <c r="L22762" s="12"/>
      <c r="M22762" s="11"/>
      <c r="N22762" s="11"/>
      <c r="O22762" s="11"/>
      <c r="P22762" s="11"/>
    </row>
    <row r="22763" spans="8:16" x14ac:dyDescent="0.25">
      <c r="H22763" s="12"/>
      <c r="I22763" s="12"/>
      <c r="J22763" s="12"/>
      <c r="K22763" s="12"/>
      <c r="L22763" s="12"/>
      <c r="M22763" s="11"/>
      <c r="N22763" s="11"/>
      <c r="O22763" s="11"/>
      <c r="P22763" s="11"/>
    </row>
    <row r="22764" spans="8:16" x14ac:dyDescent="0.25">
      <c r="H22764" s="12"/>
      <c r="I22764" s="12"/>
      <c r="J22764" s="12"/>
      <c r="K22764" s="12"/>
      <c r="L22764" s="12"/>
      <c r="M22764" s="11"/>
      <c r="N22764" s="11"/>
      <c r="O22764" s="11"/>
      <c r="P22764" s="11"/>
    </row>
    <row r="22765" spans="8:16" x14ac:dyDescent="0.25">
      <c r="H22765" s="12"/>
      <c r="I22765" s="12"/>
      <c r="J22765" s="12"/>
      <c r="K22765" s="12"/>
      <c r="L22765" s="12"/>
      <c r="M22765" s="11"/>
      <c r="N22765" s="11"/>
      <c r="O22765" s="11"/>
      <c r="P22765" s="11"/>
    </row>
    <row r="22766" spans="8:16" x14ac:dyDescent="0.25">
      <c r="H22766" s="12"/>
      <c r="I22766" s="12"/>
      <c r="J22766" s="12"/>
      <c r="K22766" s="12"/>
      <c r="L22766" s="12"/>
      <c r="M22766" s="11"/>
      <c r="N22766" s="11"/>
      <c r="O22766" s="11"/>
      <c r="P22766" s="11"/>
    </row>
    <row r="22767" spans="8:16" x14ac:dyDescent="0.25">
      <c r="H22767" s="12"/>
      <c r="I22767" s="12"/>
      <c r="J22767" s="12"/>
      <c r="K22767" s="12"/>
      <c r="L22767" s="12"/>
      <c r="M22767" s="11"/>
      <c r="N22767" s="11"/>
      <c r="O22767" s="11"/>
      <c r="P22767" s="11"/>
    </row>
    <row r="22768" spans="8:16" x14ac:dyDescent="0.25">
      <c r="H22768" s="12"/>
      <c r="I22768" s="12"/>
      <c r="J22768" s="12"/>
      <c r="K22768" s="12"/>
      <c r="L22768" s="12"/>
      <c r="M22768" s="11"/>
      <c r="N22768" s="11"/>
      <c r="O22768" s="11"/>
      <c r="P22768" s="11"/>
    </row>
    <row r="22769" spans="8:16" x14ac:dyDescent="0.25">
      <c r="H22769" s="12"/>
      <c r="I22769" s="12"/>
      <c r="J22769" s="12"/>
      <c r="K22769" s="12"/>
      <c r="L22769" s="12"/>
      <c r="M22769" s="11"/>
      <c r="N22769" s="11"/>
      <c r="O22769" s="11"/>
      <c r="P22769" s="11"/>
    </row>
    <row r="22770" spans="8:16" x14ac:dyDescent="0.25">
      <c r="H22770" s="12"/>
      <c r="I22770" s="12"/>
      <c r="J22770" s="12"/>
      <c r="K22770" s="12"/>
      <c r="L22770" s="12"/>
      <c r="M22770" s="11"/>
      <c r="N22770" s="11"/>
      <c r="O22770" s="11"/>
      <c r="P22770" s="11"/>
    </row>
    <row r="22771" spans="8:16" x14ac:dyDescent="0.25">
      <c r="H22771" s="12"/>
      <c r="I22771" s="12"/>
      <c r="J22771" s="12"/>
      <c r="K22771" s="12"/>
      <c r="L22771" s="12"/>
      <c r="M22771" s="11"/>
      <c r="N22771" s="11"/>
      <c r="O22771" s="11"/>
      <c r="P22771" s="11"/>
    </row>
    <row r="22772" spans="8:16" x14ac:dyDescent="0.25">
      <c r="H22772" s="12"/>
      <c r="I22772" s="12"/>
      <c r="J22772" s="12"/>
      <c r="K22772" s="12"/>
      <c r="L22772" s="12"/>
      <c r="M22772" s="11"/>
      <c r="N22772" s="11"/>
      <c r="O22772" s="11"/>
      <c r="P22772" s="11"/>
    </row>
    <row r="22773" spans="8:16" x14ac:dyDescent="0.25">
      <c r="H22773" s="12"/>
      <c r="I22773" s="12"/>
      <c r="J22773" s="12"/>
      <c r="K22773" s="12"/>
      <c r="L22773" s="12"/>
      <c r="M22773" s="11"/>
      <c r="N22773" s="11"/>
      <c r="O22773" s="11"/>
      <c r="P22773" s="11"/>
    </row>
    <row r="22774" spans="8:16" x14ac:dyDescent="0.25">
      <c r="H22774" s="12"/>
      <c r="I22774" s="12"/>
      <c r="J22774" s="12"/>
      <c r="K22774" s="12"/>
      <c r="L22774" s="12"/>
      <c r="M22774" s="11"/>
      <c r="N22774" s="11"/>
      <c r="O22774" s="11"/>
      <c r="P22774" s="11"/>
    </row>
    <row r="22775" spans="8:16" x14ac:dyDescent="0.25">
      <c r="H22775" s="12"/>
      <c r="I22775" s="12"/>
      <c r="J22775" s="12"/>
      <c r="K22775" s="12"/>
      <c r="L22775" s="12"/>
      <c r="M22775" s="11"/>
      <c r="N22775" s="11"/>
      <c r="O22775" s="11"/>
      <c r="P22775" s="11"/>
    </row>
    <row r="22776" spans="8:16" x14ac:dyDescent="0.25">
      <c r="H22776" s="12"/>
      <c r="I22776" s="12"/>
      <c r="J22776" s="12"/>
      <c r="K22776" s="12"/>
      <c r="L22776" s="12"/>
      <c r="M22776" s="11"/>
      <c r="N22776" s="11"/>
      <c r="O22776" s="11"/>
      <c r="P22776" s="11"/>
    </row>
    <row r="22777" spans="8:16" x14ac:dyDescent="0.25">
      <c r="H22777" s="12"/>
      <c r="I22777" s="12"/>
      <c r="J22777" s="12"/>
      <c r="K22777" s="12"/>
      <c r="L22777" s="12"/>
      <c r="M22777" s="11"/>
      <c r="N22777" s="11"/>
      <c r="O22777" s="11"/>
      <c r="P22777" s="11"/>
    </row>
    <row r="22778" spans="8:16" x14ac:dyDescent="0.25">
      <c r="H22778" s="12"/>
      <c r="I22778" s="12"/>
      <c r="J22778" s="12"/>
      <c r="K22778" s="12"/>
      <c r="L22778" s="12"/>
      <c r="M22778" s="11"/>
      <c r="N22778" s="11"/>
      <c r="O22778" s="11"/>
      <c r="P22778" s="11"/>
    </row>
    <row r="22779" spans="8:16" x14ac:dyDescent="0.25">
      <c r="H22779" s="12"/>
      <c r="I22779" s="12"/>
      <c r="J22779" s="12"/>
      <c r="K22779" s="12"/>
      <c r="L22779" s="12"/>
      <c r="M22779" s="11"/>
      <c r="N22779" s="11"/>
      <c r="O22779" s="11"/>
      <c r="P22779" s="11"/>
    </row>
    <row r="22780" spans="8:16" x14ac:dyDescent="0.25">
      <c r="H22780" s="12"/>
      <c r="I22780" s="12"/>
      <c r="J22780" s="12"/>
      <c r="K22780" s="12"/>
      <c r="L22780" s="12"/>
      <c r="M22780" s="11"/>
      <c r="N22780" s="11"/>
      <c r="O22780" s="11"/>
      <c r="P22780" s="11"/>
    </row>
    <row r="22781" spans="8:16" x14ac:dyDescent="0.25">
      <c r="H22781" s="12"/>
      <c r="I22781" s="12"/>
      <c r="J22781" s="12"/>
      <c r="K22781" s="12"/>
      <c r="L22781" s="12"/>
      <c r="M22781" s="11"/>
      <c r="N22781" s="11"/>
      <c r="O22781" s="11"/>
      <c r="P22781" s="11"/>
    </row>
    <row r="22782" spans="8:16" x14ac:dyDescent="0.25">
      <c r="H22782" s="12"/>
      <c r="I22782" s="12"/>
      <c r="J22782" s="12"/>
      <c r="K22782" s="12"/>
      <c r="L22782" s="12"/>
      <c r="M22782" s="11"/>
      <c r="N22782" s="11"/>
      <c r="O22782" s="11"/>
      <c r="P22782" s="11"/>
    </row>
    <row r="22783" spans="8:16" x14ac:dyDescent="0.25">
      <c r="H22783" s="12"/>
      <c r="I22783" s="12"/>
      <c r="J22783" s="12"/>
      <c r="K22783" s="12"/>
      <c r="L22783" s="12"/>
      <c r="M22783" s="11"/>
      <c r="N22783" s="11"/>
      <c r="O22783" s="11"/>
      <c r="P22783" s="11"/>
    </row>
    <row r="22784" spans="8:16" x14ac:dyDescent="0.25">
      <c r="H22784" s="12"/>
      <c r="I22784" s="12"/>
      <c r="J22784" s="12"/>
      <c r="K22784" s="12"/>
      <c r="L22784" s="12"/>
      <c r="M22784" s="11"/>
      <c r="N22784" s="11"/>
      <c r="O22784" s="11"/>
      <c r="P22784" s="11"/>
    </row>
    <row r="22785" spans="8:16" x14ac:dyDescent="0.25">
      <c r="H22785" s="12"/>
      <c r="I22785" s="12"/>
      <c r="J22785" s="12"/>
      <c r="K22785" s="12"/>
      <c r="L22785" s="12"/>
      <c r="M22785" s="11"/>
      <c r="N22785" s="11"/>
      <c r="O22785" s="11"/>
      <c r="P22785" s="11"/>
    </row>
    <row r="22786" spans="8:16" x14ac:dyDescent="0.25">
      <c r="H22786" s="12"/>
      <c r="I22786" s="12"/>
      <c r="J22786" s="12"/>
      <c r="K22786" s="12"/>
      <c r="L22786" s="12"/>
      <c r="M22786" s="11"/>
      <c r="N22786" s="11"/>
      <c r="O22786" s="11"/>
      <c r="P22786" s="11"/>
    </row>
    <row r="22787" spans="8:16" x14ac:dyDescent="0.25">
      <c r="H22787" s="12"/>
      <c r="I22787" s="12"/>
      <c r="J22787" s="12"/>
      <c r="K22787" s="12"/>
      <c r="L22787" s="12"/>
      <c r="M22787" s="11"/>
      <c r="N22787" s="11"/>
      <c r="O22787" s="11"/>
      <c r="P22787" s="11"/>
    </row>
    <row r="22788" spans="8:16" x14ac:dyDescent="0.25">
      <c r="H22788" s="12"/>
      <c r="I22788" s="12"/>
      <c r="J22788" s="12"/>
      <c r="K22788" s="12"/>
      <c r="L22788" s="12"/>
      <c r="M22788" s="11"/>
      <c r="N22788" s="11"/>
      <c r="O22788" s="11"/>
      <c r="P22788" s="11"/>
    </row>
    <row r="22789" spans="8:16" x14ac:dyDescent="0.25">
      <c r="H22789" s="12"/>
      <c r="I22789" s="12"/>
      <c r="J22789" s="12"/>
      <c r="K22789" s="12"/>
      <c r="L22789" s="12"/>
      <c r="M22789" s="11"/>
      <c r="N22789" s="11"/>
      <c r="O22789" s="11"/>
      <c r="P22789" s="11"/>
    </row>
    <row r="22790" spans="8:16" x14ac:dyDescent="0.25">
      <c r="H22790" s="12"/>
      <c r="I22790" s="12"/>
      <c r="J22790" s="12"/>
      <c r="K22790" s="12"/>
      <c r="L22790" s="12"/>
      <c r="M22790" s="11"/>
      <c r="N22790" s="11"/>
      <c r="O22790" s="11"/>
      <c r="P22790" s="11"/>
    </row>
    <row r="22791" spans="8:16" x14ac:dyDescent="0.25">
      <c r="H22791" s="12"/>
      <c r="I22791" s="12"/>
      <c r="J22791" s="12"/>
      <c r="K22791" s="12"/>
      <c r="L22791" s="12"/>
      <c r="M22791" s="11"/>
      <c r="N22791" s="11"/>
      <c r="O22791" s="11"/>
      <c r="P22791" s="11"/>
    </row>
    <row r="22792" spans="8:16" x14ac:dyDescent="0.25">
      <c r="H22792" s="12"/>
      <c r="I22792" s="12"/>
      <c r="J22792" s="12"/>
      <c r="K22792" s="12"/>
      <c r="L22792" s="12"/>
      <c r="M22792" s="11"/>
      <c r="N22792" s="11"/>
      <c r="O22792" s="11"/>
      <c r="P22792" s="11"/>
    </row>
    <row r="22793" spans="8:16" x14ac:dyDescent="0.25">
      <c r="H22793" s="12"/>
      <c r="I22793" s="12"/>
      <c r="J22793" s="12"/>
      <c r="K22793" s="12"/>
      <c r="L22793" s="12"/>
      <c r="M22793" s="11"/>
      <c r="N22793" s="11"/>
      <c r="O22793" s="11"/>
      <c r="P22793" s="11"/>
    </row>
    <row r="22794" spans="8:16" x14ac:dyDescent="0.25">
      <c r="H22794" s="12"/>
      <c r="I22794" s="12"/>
      <c r="J22794" s="12"/>
      <c r="K22794" s="12"/>
      <c r="L22794" s="12"/>
      <c r="M22794" s="11"/>
      <c r="N22794" s="11"/>
      <c r="O22794" s="11"/>
      <c r="P22794" s="11"/>
    </row>
    <row r="22795" spans="8:16" x14ac:dyDescent="0.25">
      <c r="H22795" s="12"/>
      <c r="I22795" s="12"/>
      <c r="J22795" s="12"/>
      <c r="K22795" s="12"/>
      <c r="L22795" s="12"/>
      <c r="M22795" s="11"/>
      <c r="N22795" s="11"/>
      <c r="O22795" s="11"/>
      <c r="P22795" s="11"/>
    </row>
    <row r="22796" spans="8:16" x14ac:dyDescent="0.25">
      <c r="H22796" s="12"/>
      <c r="I22796" s="12"/>
      <c r="J22796" s="12"/>
      <c r="K22796" s="12"/>
      <c r="L22796" s="12"/>
      <c r="M22796" s="11"/>
      <c r="N22796" s="11"/>
      <c r="O22796" s="11"/>
      <c r="P22796" s="11"/>
    </row>
    <row r="22797" spans="8:16" x14ac:dyDescent="0.25">
      <c r="H22797" s="12"/>
      <c r="I22797" s="12"/>
      <c r="J22797" s="12"/>
      <c r="K22797" s="12"/>
      <c r="L22797" s="12"/>
      <c r="M22797" s="11"/>
      <c r="N22797" s="11"/>
      <c r="O22797" s="11"/>
      <c r="P22797" s="11"/>
    </row>
    <row r="22798" spans="8:16" x14ac:dyDescent="0.25">
      <c r="H22798" s="12"/>
      <c r="I22798" s="12"/>
      <c r="J22798" s="12"/>
      <c r="K22798" s="12"/>
      <c r="L22798" s="12"/>
      <c r="M22798" s="11"/>
      <c r="N22798" s="11"/>
      <c r="O22798" s="11"/>
      <c r="P22798" s="11"/>
    </row>
    <row r="22799" spans="8:16" x14ac:dyDescent="0.25">
      <c r="H22799" s="12"/>
      <c r="I22799" s="12"/>
      <c r="J22799" s="12"/>
      <c r="K22799" s="12"/>
      <c r="L22799" s="12"/>
      <c r="M22799" s="11"/>
      <c r="N22799" s="11"/>
      <c r="O22799" s="11"/>
      <c r="P22799" s="11"/>
    </row>
    <row r="22800" spans="8:16" x14ac:dyDescent="0.25">
      <c r="H22800" s="12"/>
      <c r="I22800" s="12"/>
      <c r="J22800" s="12"/>
      <c r="K22800" s="12"/>
      <c r="L22800" s="12"/>
      <c r="M22800" s="11"/>
      <c r="N22800" s="11"/>
      <c r="O22800" s="11"/>
      <c r="P22800" s="11"/>
    </row>
    <row r="22801" spans="8:16" x14ac:dyDescent="0.25">
      <c r="H22801" s="12"/>
      <c r="I22801" s="12"/>
      <c r="J22801" s="12"/>
      <c r="K22801" s="12"/>
      <c r="L22801" s="12"/>
      <c r="M22801" s="11"/>
      <c r="N22801" s="11"/>
      <c r="O22801" s="11"/>
      <c r="P22801" s="11"/>
    </row>
    <row r="22802" spans="8:16" x14ac:dyDescent="0.25">
      <c r="H22802" s="12"/>
      <c r="I22802" s="12"/>
      <c r="J22802" s="12"/>
      <c r="K22802" s="12"/>
      <c r="L22802" s="12"/>
      <c r="M22802" s="11"/>
      <c r="N22802" s="11"/>
      <c r="O22802" s="11"/>
      <c r="P22802" s="11"/>
    </row>
    <row r="22803" spans="8:16" x14ac:dyDescent="0.25">
      <c r="H22803" s="12"/>
      <c r="I22803" s="12"/>
      <c r="J22803" s="12"/>
      <c r="K22803" s="12"/>
      <c r="L22803" s="12"/>
      <c r="M22803" s="11"/>
      <c r="N22803" s="11"/>
      <c r="O22803" s="11"/>
      <c r="P22803" s="11"/>
    </row>
    <row r="22804" spans="8:16" x14ac:dyDescent="0.25">
      <c r="H22804" s="12"/>
      <c r="I22804" s="12"/>
      <c r="J22804" s="12"/>
      <c r="K22804" s="12"/>
      <c r="L22804" s="12"/>
      <c r="M22804" s="11"/>
      <c r="N22804" s="11"/>
      <c r="O22804" s="11"/>
      <c r="P22804" s="11"/>
    </row>
    <row r="22805" spans="8:16" x14ac:dyDescent="0.25">
      <c r="H22805" s="12"/>
      <c r="I22805" s="12"/>
      <c r="J22805" s="12"/>
      <c r="K22805" s="12"/>
      <c r="L22805" s="12"/>
      <c r="M22805" s="11"/>
      <c r="N22805" s="11"/>
      <c r="O22805" s="11"/>
      <c r="P22805" s="11"/>
    </row>
    <row r="22806" spans="8:16" x14ac:dyDescent="0.25">
      <c r="H22806" s="12"/>
      <c r="I22806" s="12"/>
      <c r="J22806" s="12"/>
      <c r="K22806" s="12"/>
      <c r="L22806" s="12"/>
      <c r="M22806" s="11"/>
      <c r="N22806" s="11"/>
      <c r="O22806" s="11"/>
      <c r="P22806" s="11"/>
    </row>
    <row r="22807" spans="8:16" x14ac:dyDescent="0.25">
      <c r="H22807" s="12"/>
      <c r="I22807" s="12"/>
      <c r="J22807" s="12"/>
      <c r="K22807" s="12"/>
      <c r="L22807" s="12"/>
      <c r="M22807" s="11"/>
      <c r="N22807" s="11"/>
      <c r="O22807" s="11"/>
      <c r="P22807" s="11"/>
    </row>
    <row r="22808" spans="8:16" x14ac:dyDescent="0.25">
      <c r="H22808" s="12"/>
      <c r="I22808" s="12"/>
      <c r="J22808" s="12"/>
      <c r="K22808" s="12"/>
      <c r="L22808" s="12"/>
      <c r="M22808" s="11"/>
      <c r="N22808" s="11"/>
      <c r="O22808" s="11"/>
      <c r="P22808" s="11"/>
    </row>
    <row r="22809" spans="8:16" x14ac:dyDescent="0.25">
      <c r="H22809" s="12"/>
      <c r="I22809" s="12"/>
      <c r="J22809" s="12"/>
      <c r="K22809" s="12"/>
      <c r="L22809" s="12"/>
      <c r="M22809" s="11"/>
      <c r="N22809" s="11"/>
      <c r="O22809" s="11"/>
      <c r="P22809" s="11"/>
    </row>
    <row r="22810" spans="8:16" x14ac:dyDescent="0.25">
      <c r="H22810" s="12"/>
      <c r="I22810" s="12"/>
      <c r="J22810" s="12"/>
      <c r="K22810" s="12"/>
      <c r="L22810" s="12"/>
      <c r="M22810" s="11"/>
      <c r="N22810" s="11"/>
      <c r="O22810" s="11"/>
      <c r="P22810" s="11"/>
    </row>
    <row r="22811" spans="8:16" x14ac:dyDescent="0.25">
      <c r="H22811" s="12"/>
      <c r="I22811" s="12"/>
      <c r="J22811" s="12"/>
      <c r="K22811" s="12"/>
      <c r="L22811" s="12"/>
      <c r="M22811" s="11"/>
      <c r="N22811" s="11"/>
      <c r="O22811" s="11"/>
      <c r="P22811" s="11"/>
    </row>
    <row r="22812" spans="8:16" x14ac:dyDescent="0.25">
      <c r="H22812" s="12"/>
      <c r="I22812" s="12"/>
      <c r="J22812" s="12"/>
      <c r="K22812" s="12"/>
      <c r="L22812" s="12"/>
      <c r="M22812" s="11"/>
      <c r="N22812" s="11"/>
      <c r="O22812" s="11"/>
      <c r="P22812" s="11"/>
    </row>
    <row r="22813" spans="8:16" x14ac:dyDescent="0.25">
      <c r="H22813" s="12"/>
      <c r="I22813" s="12"/>
      <c r="J22813" s="12"/>
      <c r="K22813" s="12"/>
      <c r="L22813" s="12"/>
      <c r="M22813" s="11"/>
      <c r="N22813" s="11"/>
      <c r="O22813" s="11"/>
      <c r="P22813" s="11"/>
    </row>
    <row r="22814" spans="8:16" x14ac:dyDescent="0.25">
      <c r="H22814" s="12"/>
      <c r="I22814" s="12"/>
      <c r="J22814" s="12"/>
      <c r="K22814" s="12"/>
      <c r="L22814" s="12"/>
      <c r="M22814" s="11"/>
      <c r="N22814" s="11"/>
      <c r="O22814" s="11"/>
      <c r="P22814" s="11"/>
    </row>
    <row r="22815" spans="8:16" x14ac:dyDescent="0.25">
      <c r="H22815" s="12"/>
      <c r="I22815" s="12"/>
      <c r="J22815" s="12"/>
      <c r="K22815" s="12"/>
      <c r="L22815" s="12"/>
      <c r="M22815" s="11"/>
      <c r="N22815" s="11"/>
      <c r="O22815" s="11"/>
      <c r="P22815" s="11"/>
    </row>
    <row r="22816" spans="8:16" x14ac:dyDescent="0.25">
      <c r="H22816" s="12"/>
      <c r="I22816" s="12"/>
      <c r="J22816" s="12"/>
      <c r="K22816" s="12"/>
      <c r="L22816" s="12"/>
      <c r="M22816" s="11"/>
      <c r="N22816" s="11"/>
      <c r="O22816" s="11"/>
      <c r="P22816" s="11"/>
    </row>
    <row r="22817" spans="8:16" x14ac:dyDescent="0.25">
      <c r="H22817" s="12"/>
      <c r="I22817" s="12"/>
      <c r="J22817" s="12"/>
      <c r="K22817" s="12"/>
      <c r="L22817" s="12"/>
      <c r="M22817" s="11"/>
      <c r="N22817" s="11"/>
      <c r="O22817" s="11"/>
      <c r="P22817" s="11"/>
    </row>
    <row r="22818" spans="8:16" x14ac:dyDescent="0.25">
      <c r="H22818" s="12"/>
      <c r="I22818" s="12"/>
      <c r="J22818" s="12"/>
      <c r="K22818" s="12"/>
      <c r="L22818" s="12"/>
      <c r="M22818" s="11"/>
      <c r="N22818" s="11"/>
      <c r="O22818" s="11"/>
      <c r="P22818" s="11"/>
    </row>
    <row r="22819" spans="8:16" x14ac:dyDescent="0.25">
      <c r="H22819" s="12"/>
      <c r="I22819" s="12"/>
      <c r="J22819" s="12"/>
      <c r="K22819" s="12"/>
      <c r="L22819" s="12"/>
      <c r="M22819" s="11"/>
      <c r="N22819" s="11"/>
      <c r="O22819" s="11"/>
      <c r="P22819" s="11"/>
    </row>
    <row r="22820" spans="8:16" x14ac:dyDescent="0.25">
      <c r="H22820" s="12"/>
      <c r="I22820" s="12"/>
      <c r="J22820" s="12"/>
      <c r="K22820" s="12"/>
      <c r="L22820" s="12"/>
      <c r="M22820" s="11"/>
      <c r="N22820" s="11"/>
      <c r="O22820" s="11"/>
      <c r="P22820" s="11"/>
    </row>
    <row r="22821" spans="8:16" x14ac:dyDescent="0.25">
      <c r="H22821" s="12"/>
      <c r="I22821" s="12"/>
      <c r="J22821" s="12"/>
      <c r="K22821" s="12"/>
      <c r="L22821" s="12"/>
      <c r="M22821" s="11"/>
      <c r="N22821" s="11"/>
      <c r="O22821" s="11"/>
      <c r="P22821" s="11"/>
    </row>
    <row r="22822" spans="8:16" x14ac:dyDescent="0.25">
      <c r="H22822" s="12"/>
      <c r="I22822" s="12"/>
      <c r="J22822" s="12"/>
      <c r="K22822" s="12"/>
      <c r="L22822" s="12"/>
      <c r="M22822" s="11"/>
      <c r="N22822" s="11"/>
      <c r="O22822" s="11"/>
      <c r="P22822" s="11"/>
    </row>
    <row r="22823" spans="8:16" x14ac:dyDescent="0.25">
      <c r="H22823" s="12"/>
      <c r="I22823" s="12"/>
      <c r="J22823" s="12"/>
      <c r="K22823" s="12"/>
      <c r="L22823" s="12"/>
      <c r="M22823" s="11"/>
      <c r="N22823" s="11"/>
      <c r="O22823" s="11"/>
      <c r="P22823" s="11"/>
    </row>
    <row r="22824" spans="8:16" x14ac:dyDescent="0.25">
      <c r="H22824" s="12"/>
      <c r="I22824" s="12"/>
      <c r="J22824" s="12"/>
      <c r="K22824" s="12"/>
      <c r="L22824" s="12"/>
      <c r="M22824" s="11"/>
      <c r="N22824" s="11"/>
      <c r="O22824" s="11"/>
      <c r="P22824" s="11"/>
    </row>
    <row r="22825" spans="8:16" x14ac:dyDescent="0.25">
      <c r="H22825" s="12"/>
      <c r="I22825" s="12"/>
      <c r="J22825" s="12"/>
      <c r="K22825" s="12"/>
      <c r="L22825" s="12"/>
      <c r="M22825" s="11"/>
      <c r="N22825" s="11"/>
      <c r="O22825" s="11"/>
      <c r="P22825" s="11"/>
    </row>
    <row r="22826" spans="8:16" x14ac:dyDescent="0.25">
      <c r="H22826" s="12"/>
      <c r="I22826" s="12"/>
      <c r="J22826" s="12"/>
      <c r="K22826" s="12"/>
      <c r="L22826" s="12"/>
      <c r="M22826" s="11"/>
      <c r="N22826" s="11"/>
      <c r="O22826" s="11"/>
      <c r="P22826" s="11"/>
    </row>
    <row r="22827" spans="8:16" x14ac:dyDescent="0.25">
      <c r="H22827" s="12"/>
      <c r="I22827" s="12"/>
      <c r="J22827" s="12"/>
      <c r="K22827" s="12"/>
      <c r="L22827" s="12"/>
      <c r="M22827" s="11"/>
      <c r="N22827" s="11"/>
      <c r="O22827" s="11"/>
      <c r="P22827" s="11"/>
    </row>
    <row r="22828" spans="8:16" x14ac:dyDescent="0.25">
      <c r="H22828" s="12"/>
      <c r="I22828" s="12"/>
      <c r="J22828" s="12"/>
      <c r="K22828" s="12"/>
      <c r="L22828" s="12"/>
      <c r="M22828" s="11"/>
      <c r="N22828" s="11"/>
      <c r="O22828" s="11"/>
      <c r="P22828" s="11"/>
    </row>
    <row r="22829" spans="8:16" x14ac:dyDescent="0.25">
      <c r="H22829" s="12"/>
      <c r="I22829" s="12"/>
      <c r="J22829" s="12"/>
      <c r="K22829" s="12"/>
      <c r="L22829" s="12"/>
      <c r="M22829" s="11"/>
      <c r="N22829" s="11"/>
      <c r="O22829" s="11"/>
      <c r="P22829" s="11"/>
    </row>
    <row r="22830" spans="8:16" x14ac:dyDescent="0.25">
      <c r="H22830" s="12"/>
      <c r="I22830" s="12"/>
      <c r="J22830" s="12"/>
      <c r="K22830" s="12"/>
      <c r="L22830" s="12"/>
      <c r="M22830" s="11"/>
      <c r="N22830" s="11"/>
      <c r="O22830" s="11"/>
      <c r="P22830" s="11"/>
    </row>
    <row r="22831" spans="8:16" x14ac:dyDescent="0.25">
      <c r="H22831" s="12"/>
      <c r="I22831" s="12"/>
      <c r="J22831" s="12"/>
      <c r="K22831" s="12"/>
      <c r="L22831" s="12"/>
      <c r="M22831" s="11"/>
      <c r="N22831" s="11"/>
      <c r="O22831" s="11"/>
      <c r="P22831" s="11"/>
    </row>
    <row r="22832" spans="8:16" x14ac:dyDescent="0.25">
      <c r="H22832" s="12"/>
      <c r="I22832" s="12"/>
      <c r="J22832" s="12"/>
      <c r="K22832" s="12"/>
      <c r="L22832" s="12"/>
      <c r="M22832" s="11"/>
      <c r="N22832" s="11"/>
      <c r="O22832" s="11"/>
      <c r="P22832" s="11"/>
    </row>
    <row r="22833" spans="8:16" x14ac:dyDescent="0.25">
      <c r="H22833" s="12"/>
      <c r="I22833" s="12"/>
      <c r="J22833" s="12"/>
      <c r="K22833" s="12"/>
      <c r="L22833" s="12"/>
      <c r="M22833" s="11"/>
      <c r="N22833" s="11"/>
      <c r="O22833" s="11"/>
      <c r="P22833" s="11"/>
    </row>
    <row r="22834" spans="8:16" x14ac:dyDescent="0.25">
      <c r="H22834" s="12"/>
      <c r="I22834" s="12"/>
      <c r="J22834" s="12"/>
      <c r="K22834" s="12"/>
      <c r="L22834" s="12"/>
      <c r="M22834" s="11"/>
      <c r="N22834" s="11"/>
      <c r="O22834" s="11"/>
      <c r="P22834" s="11"/>
    </row>
    <row r="22835" spans="8:16" x14ac:dyDescent="0.25">
      <c r="H22835" s="12"/>
      <c r="I22835" s="12"/>
      <c r="J22835" s="12"/>
      <c r="K22835" s="12"/>
      <c r="L22835" s="12"/>
      <c r="M22835" s="11"/>
      <c r="N22835" s="11"/>
      <c r="O22835" s="11"/>
      <c r="P22835" s="11"/>
    </row>
    <row r="22836" spans="8:16" x14ac:dyDescent="0.25">
      <c r="H22836" s="12"/>
      <c r="I22836" s="12"/>
      <c r="J22836" s="12"/>
      <c r="K22836" s="12"/>
      <c r="L22836" s="12"/>
      <c r="M22836" s="11"/>
      <c r="N22836" s="11"/>
      <c r="O22836" s="11"/>
      <c r="P22836" s="11"/>
    </row>
    <row r="22837" spans="8:16" x14ac:dyDescent="0.25">
      <c r="H22837" s="12"/>
      <c r="I22837" s="12"/>
      <c r="J22837" s="12"/>
      <c r="K22837" s="12"/>
      <c r="L22837" s="12"/>
      <c r="M22837" s="11"/>
      <c r="N22837" s="11"/>
      <c r="O22837" s="11"/>
      <c r="P22837" s="11"/>
    </row>
    <row r="22838" spans="8:16" x14ac:dyDescent="0.25">
      <c r="H22838" s="12"/>
      <c r="I22838" s="12"/>
      <c r="J22838" s="12"/>
      <c r="K22838" s="12"/>
      <c r="L22838" s="12"/>
      <c r="M22838" s="11"/>
      <c r="N22838" s="11"/>
      <c r="O22838" s="11"/>
      <c r="P22838" s="11"/>
    </row>
    <row r="22839" spans="8:16" x14ac:dyDescent="0.25">
      <c r="H22839" s="12"/>
      <c r="I22839" s="12"/>
      <c r="J22839" s="12"/>
      <c r="K22839" s="12"/>
      <c r="L22839" s="12"/>
      <c r="M22839" s="11"/>
      <c r="N22839" s="11"/>
      <c r="O22839" s="11"/>
      <c r="P22839" s="11"/>
    </row>
    <row r="22840" spans="8:16" x14ac:dyDescent="0.25">
      <c r="H22840" s="12"/>
      <c r="I22840" s="12"/>
      <c r="J22840" s="12"/>
      <c r="K22840" s="12"/>
      <c r="L22840" s="12"/>
      <c r="M22840" s="11"/>
      <c r="N22840" s="11"/>
      <c r="O22840" s="11"/>
      <c r="P22840" s="11"/>
    </row>
    <row r="22841" spans="8:16" x14ac:dyDescent="0.25">
      <c r="H22841" s="12"/>
      <c r="I22841" s="12"/>
      <c r="J22841" s="12"/>
      <c r="K22841" s="12"/>
      <c r="L22841" s="12"/>
      <c r="M22841" s="11"/>
      <c r="N22841" s="11"/>
      <c r="O22841" s="11"/>
      <c r="P22841" s="11"/>
    </row>
    <row r="22842" spans="8:16" x14ac:dyDescent="0.25">
      <c r="H22842" s="12"/>
      <c r="I22842" s="12"/>
      <c r="J22842" s="12"/>
      <c r="K22842" s="12"/>
      <c r="L22842" s="12"/>
      <c r="M22842" s="11"/>
      <c r="N22842" s="11"/>
      <c r="O22842" s="11"/>
      <c r="P22842" s="11"/>
    </row>
    <row r="22843" spans="8:16" x14ac:dyDescent="0.25">
      <c r="H22843" s="12"/>
      <c r="I22843" s="12"/>
      <c r="J22843" s="12"/>
      <c r="K22843" s="12"/>
      <c r="L22843" s="12"/>
      <c r="M22843" s="11"/>
      <c r="N22843" s="11"/>
      <c r="O22843" s="11"/>
      <c r="P22843" s="11"/>
    </row>
    <row r="22844" spans="8:16" x14ac:dyDescent="0.25">
      <c r="H22844" s="12"/>
      <c r="I22844" s="12"/>
      <c r="J22844" s="12"/>
      <c r="K22844" s="12"/>
      <c r="L22844" s="12"/>
      <c r="M22844" s="11"/>
      <c r="N22844" s="11"/>
      <c r="O22844" s="11"/>
      <c r="P22844" s="11"/>
    </row>
    <row r="22845" spans="8:16" x14ac:dyDescent="0.25">
      <c r="H22845" s="12"/>
      <c r="I22845" s="12"/>
      <c r="J22845" s="12"/>
      <c r="K22845" s="12"/>
      <c r="L22845" s="12"/>
      <c r="M22845" s="11"/>
      <c r="N22845" s="11"/>
      <c r="O22845" s="11"/>
      <c r="P22845" s="11"/>
    </row>
    <row r="22846" spans="8:16" x14ac:dyDescent="0.25">
      <c r="H22846" s="12"/>
      <c r="I22846" s="12"/>
      <c r="J22846" s="12"/>
      <c r="K22846" s="12"/>
      <c r="L22846" s="12"/>
      <c r="M22846" s="11"/>
      <c r="N22846" s="11"/>
      <c r="O22846" s="11"/>
      <c r="P22846" s="11"/>
    </row>
    <row r="22847" spans="8:16" x14ac:dyDescent="0.25">
      <c r="H22847" s="12"/>
      <c r="I22847" s="12"/>
      <c r="J22847" s="12"/>
      <c r="K22847" s="12"/>
      <c r="L22847" s="12"/>
      <c r="M22847" s="11"/>
      <c r="N22847" s="11"/>
      <c r="O22847" s="11"/>
      <c r="P22847" s="11"/>
    </row>
    <row r="22848" spans="8:16" x14ac:dyDescent="0.25">
      <c r="H22848" s="12"/>
      <c r="I22848" s="12"/>
      <c r="J22848" s="12"/>
      <c r="K22848" s="12"/>
      <c r="L22848" s="12"/>
      <c r="M22848" s="11"/>
      <c r="N22848" s="11"/>
      <c r="O22848" s="11"/>
      <c r="P22848" s="11"/>
    </row>
    <row r="22849" spans="8:16" x14ac:dyDescent="0.25">
      <c r="H22849" s="12"/>
      <c r="I22849" s="12"/>
      <c r="J22849" s="12"/>
      <c r="K22849" s="12"/>
      <c r="L22849" s="12"/>
      <c r="M22849" s="11"/>
      <c r="N22849" s="11"/>
      <c r="O22849" s="11"/>
      <c r="P22849" s="11"/>
    </row>
    <row r="22850" spans="8:16" x14ac:dyDescent="0.25">
      <c r="H22850" s="12"/>
      <c r="I22850" s="12"/>
      <c r="J22850" s="12"/>
      <c r="K22850" s="12"/>
      <c r="L22850" s="12"/>
      <c r="M22850" s="11"/>
      <c r="N22850" s="11"/>
      <c r="O22850" s="11"/>
      <c r="P22850" s="11"/>
    </row>
    <row r="22851" spans="8:16" x14ac:dyDescent="0.25">
      <c r="H22851" s="12"/>
      <c r="I22851" s="12"/>
      <c r="J22851" s="12"/>
      <c r="K22851" s="12"/>
      <c r="L22851" s="12"/>
      <c r="M22851" s="11"/>
      <c r="N22851" s="11"/>
      <c r="O22851" s="11"/>
      <c r="P22851" s="11"/>
    </row>
    <row r="22852" spans="8:16" x14ac:dyDescent="0.25">
      <c r="H22852" s="12"/>
      <c r="I22852" s="12"/>
      <c r="J22852" s="12"/>
      <c r="K22852" s="12"/>
      <c r="L22852" s="12"/>
      <c r="M22852" s="11"/>
      <c r="N22852" s="11"/>
      <c r="O22852" s="11"/>
      <c r="P22852" s="11"/>
    </row>
    <row r="22853" spans="8:16" x14ac:dyDescent="0.25">
      <c r="H22853" s="12"/>
      <c r="I22853" s="12"/>
      <c r="J22853" s="12"/>
      <c r="K22853" s="12"/>
      <c r="L22853" s="12"/>
      <c r="M22853" s="11"/>
      <c r="N22853" s="11"/>
      <c r="O22853" s="11"/>
      <c r="P22853" s="11"/>
    </row>
    <row r="22854" spans="8:16" x14ac:dyDescent="0.25">
      <c r="H22854" s="12"/>
      <c r="I22854" s="12"/>
      <c r="J22854" s="12"/>
      <c r="K22854" s="12"/>
      <c r="L22854" s="12"/>
      <c r="M22854" s="11"/>
      <c r="N22854" s="11"/>
      <c r="O22854" s="11"/>
      <c r="P22854" s="11"/>
    </row>
    <row r="22855" spans="8:16" x14ac:dyDescent="0.25">
      <c r="H22855" s="12"/>
      <c r="I22855" s="12"/>
      <c r="J22855" s="12"/>
      <c r="K22855" s="12"/>
      <c r="L22855" s="12"/>
      <c r="M22855" s="11"/>
      <c r="N22855" s="11"/>
      <c r="O22855" s="11"/>
      <c r="P22855" s="11"/>
    </row>
    <row r="22856" spans="8:16" x14ac:dyDescent="0.25">
      <c r="H22856" s="12"/>
      <c r="I22856" s="12"/>
      <c r="J22856" s="12"/>
      <c r="K22856" s="12"/>
      <c r="L22856" s="12"/>
      <c r="M22856" s="11"/>
      <c r="N22856" s="11"/>
      <c r="O22856" s="11"/>
      <c r="P22856" s="11"/>
    </row>
    <row r="22857" spans="8:16" x14ac:dyDescent="0.25">
      <c r="H22857" s="12"/>
      <c r="I22857" s="12"/>
      <c r="J22857" s="12"/>
      <c r="K22857" s="12"/>
      <c r="L22857" s="12"/>
      <c r="M22857" s="11"/>
      <c r="N22857" s="11"/>
      <c r="O22857" s="11"/>
      <c r="P22857" s="11"/>
    </row>
    <row r="22858" spans="8:16" x14ac:dyDescent="0.25">
      <c r="H22858" s="12"/>
      <c r="I22858" s="12"/>
      <c r="J22858" s="12"/>
      <c r="K22858" s="12"/>
      <c r="L22858" s="12"/>
      <c r="M22858" s="11"/>
      <c r="N22858" s="11"/>
      <c r="O22858" s="11"/>
      <c r="P22858" s="11"/>
    </row>
    <row r="22859" spans="8:16" x14ac:dyDescent="0.25">
      <c r="H22859" s="12"/>
      <c r="I22859" s="12"/>
      <c r="J22859" s="12"/>
      <c r="K22859" s="12"/>
      <c r="L22859" s="12"/>
      <c r="M22859" s="11"/>
      <c r="N22859" s="11"/>
      <c r="O22859" s="11"/>
      <c r="P22859" s="11"/>
    </row>
    <row r="22860" spans="8:16" x14ac:dyDescent="0.25">
      <c r="H22860" s="12"/>
      <c r="I22860" s="12"/>
      <c r="J22860" s="12"/>
      <c r="K22860" s="12"/>
      <c r="L22860" s="12"/>
      <c r="M22860" s="11"/>
      <c r="N22860" s="11"/>
      <c r="O22860" s="11"/>
      <c r="P22860" s="11"/>
    </row>
    <row r="22861" spans="8:16" x14ac:dyDescent="0.25">
      <c r="H22861" s="12"/>
      <c r="I22861" s="12"/>
      <c r="J22861" s="12"/>
      <c r="K22861" s="12"/>
      <c r="L22861" s="12"/>
      <c r="M22861" s="11"/>
      <c r="N22861" s="11"/>
      <c r="O22861" s="11"/>
      <c r="P22861" s="11"/>
    </row>
    <row r="22862" spans="8:16" x14ac:dyDescent="0.25">
      <c r="H22862" s="12"/>
      <c r="I22862" s="12"/>
      <c r="J22862" s="12"/>
      <c r="K22862" s="12"/>
      <c r="L22862" s="12"/>
      <c r="M22862" s="11"/>
      <c r="N22862" s="11"/>
      <c r="O22862" s="11"/>
      <c r="P22862" s="11"/>
    </row>
    <row r="22863" spans="8:16" x14ac:dyDescent="0.25">
      <c r="H22863" s="12"/>
      <c r="I22863" s="12"/>
      <c r="J22863" s="12"/>
      <c r="K22863" s="12"/>
      <c r="L22863" s="12"/>
      <c r="M22863" s="11"/>
      <c r="N22863" s="11"/>
      <c r="O22863" s="11"/>
      <c r="P22863" s="11"/>
    </row>
    <row r="22864" spans="8:16" x14ac:dyDescent="0.25">
      <c r="H22864" s="12"/>
      <c r="I22864" s="12"/>
      <c r="J22864" s="12"/>
      <c r="K22864" s="12"/>
      <c r="L22864" s="12"/>
      <c r="M22864" s="11"/>
      <c r="N22864" s="11"/>
      <c r="O22864" s="11"/>
      <c r="P22864" s="11"/>
    </row>
    <row r="22865" spans="8:16" x14ac:dyDescent="0.25">
      <c r="H22865" s="12"/>
      <c r="I22865" s="12"/>
      <c r="J22865" s="12"/>
      <c r="K22865" s="12"/>
      <c r="L22865" s="12"/>
      <c r="M22865" s="11"/>
      <c r="N22865" s="11"/>
      <c r="O22865" s="11"/>
      <c r="P22865" s="11"/>
    </row>
    <row r="22866" spans="8:16" x14ac:dyDescent="0.25">
      <c r="H22866" s="12"/>
      <c r="I22866" s="12"/>
      <c r="J22866" s="12"/>
      <c r="K22866" s="12"/>
      <c r="L22866" s="12"/>
      <c r="M22866" s="11"/>
      <c r="N22866" s="11"/>
      <c r="O22866" s="11"/>
      <c r="P22866" s="11"/>
    </row>
    <row r="22867" spans="8:16" x14ac:dyDescent="0.25">
      <c r="H22867" s="12"/>
      <c r="I22867" s="12"/>
      <c r="J22867" s="12"/>
      <c r="K22867" s="12"/>
      <c r="L22867" s="12"/>
      <c r="M22867" s="11"/>
      <c r="N22867" s="11"/>
      <c r="O22867" s="11"/>
      <c r="P22867" s="11"/>
    </row>
    <row r="22868" spans="8:16" x14ac:dyDescent="0.25">
      <c r="H22868" s="12"/>
      <c r="I22868" s="12"/>
      <c r="J22868" s="12"/>
      <c r="K22868" s="12"/>
      <c r="L22868" s="12"/>
      <c r="M22868" s="11"/>
      <c r="N22868" s="11"/>
      <c r="O22868" s="11"/>
      <c r="P22868" s="11"/>
    </row>
    <row r="22869" spans="8:16" x14ac:dyDescent="0.25">
      <c r="H22869" s="12"/>
      <c r="I22869" s="12"/>
      <c r="J22869" s="12"/>
      <c r="K22869" s="12"/>
      <c r="L22869" s="12"/>
      <c r="M22869" s="11"/>
      <c r="N22869" s="11"/>
      <c r="O22869" s="11"/>
      <c r="P22869" s="11"/>
    </row>
    <row r="22870" spans="8:16" x14ac:dyDescent="0.25">
      <c r="H22870" s="12"/>
      <c r="I22870" s="12"/>
      <c r="J22870" s="12"/>
      <c r="K22870" s="12"/>
      <c r="L22870" s="12"/>
      <c r="M22870" s="11"/>
      <c r="N22870" s="11"/>
      <c r="O22870" s="11"/>
      <c r="P22870" s="11"/>
    </row>
    <row r="22871" spans="8:16" x14ac:dyDescent="0.25">
      <c r="H22871" s="12"/>
      <c r="I22871" s="12"/>
      <c r="J22871" s="12"/>
      <c r="K22871" s="12"/>
      <c r="L22871" s="12"/>
      <c r="M22871" s="11"/>
      <c r="N22871" s="11"/>
      <c r="O22871" s="11"/>
      <c r="P22871" s="11"/>
    </row>
    <row r="22872" spans="8:16" x14ac:dyDescent="0.25">
      <c r="H22872" s="12"/>
      <c r="I22872" s="12"/>
      <c r="J22872" s="12"/>
      <c r="K22872" s="12"/>
      <c r="L22872" s="12"/>
      <c r="M22872" s="11"/>
      <c r="N22872" s="11"/>
      <c r="O22872" s="11"/>
      <c r="P22872" s="11"/>
    </row>
    <row r="22873" spans="8:16" x14ac:dyDescent="0.25">
      <c r="H22873" s="12"/>
      <c r="I22873" s="12"/>
      <c r="J22873" s="12"/>
      <c r="K22873" s="12"/>
      <c r="L22873" s="12"/>
      <c r="M22873" s="11"/>
      <c r="N22873" s="11"/>
      <c r="O22873" s="11"/>
      <c r="P22873" s="11"/>
    </row>
    <row r="22874" spans="8:16" x14ac:dyDescent="0.25">
      <c r="H22874" s="12"/>
      <c r="I22874" s="12"/>
      <c r="J22874" s="12"/>
      <c r="K22874" s="12"/>
      <c r="L22874" s="12"/>
      <c r="M22874" s="11"/>
      <c r="N22874" s="11"/>
      <c r="O22874" s="11"/>
      <c r="P22874" s="11"/>
    </row>
    <row r="22875" spans="8:16" x14ac:dyDescent="0.25">
      <c r="H22875" s="12"/>
      <c r="I22875" s="12"/>
      <c r="J22875" s="12"/>
      <c r="K22875" s="12"/>
      <c r="L22875" s="12"/>
      <c r="M22875" s="11"/>
      <c r="N22875" s="11"/>
      <c r="O22875" s="11"/>
      <c r="P22875" s="11"/>
    </row>
    <row r="22876" spans="8:16" x14ac:dyDescent="0.25">
      <c r="H22876" s="12"/>
      <c r="I22876" s="12"/>
      <c r="J22876" s="12"/>
      <c r="K22876" s="12"/>
      <c r="L22876" s="12"/>
      <c r="M22876" s="11"/>
      <c r="N22876" s="11"/>
      <c r="O22876" s="11"/>
      <c r="P22876" s="11"/>
    </row>
    <row r="22877" spans="8:16" x14ac:dyDescent="0.25">
      <c r="H22877" s="12"/>
      <c r="I22877" s="12"/>
      <c r="J22877" s="12"/>
      <c r="K22877" s="12"/>
      <c r="L22877" s="12"/>
      <c r="M22877" s="11"/>
      <c r="N22877" s="11"/>
      <c r="O22877" s="11"/>
      <c r="P22877" s="11"/>
    </row>
    <row r="22878" spans="8:16" x14ac:dyDescent="0.25">
      <c r="H22878" s="12"/>
      <c r="I22878" s="12"/>
      <c r="J22878" s="12"/>
      <c r="K22878" s="12"/>
      <c r="L22878" s="12"/>
      <c r="M22878" s="11"/>
      <c r="N22878" s="11"/>
      <c r="O22878" s="11"/>
      <c r="P22878" s="11"/>
    </row>
    <row r="22879" spans="8:16" x14ac:dyDescent="0.25">
      <c r="H22879" s="12"/>
      <c r="I22879" s="12"/>
      <c r="J22879" s="12"/>
      <c r="K22879" s="12"/>
      <c r="L22879" s="12"/>
      <c r="M22879" s="11"/>
      <c r="N22879" s="11"/>
      <c r="O22879" s="11"/>
      <c r="P22879" s="11"/>
    </row>
    <row r="22880" spans="8:16" x14ac:dyDescent="0.25">
      <c r="H22880" s="12"/>
      <c r="I22880" s="12"/>
      <c r="J22880" s="12"/>
      <c r="K22880" s="12"/>
      <c r="L22880" s="12"/>
      <c r="M22880" s="11"/>
      <c r="N22880" s="11"/>
      <c r="O22880" s="11"/>
      <c r="P22880" s="11"/>
    </row>
    <row r="22881" spans="8:16" x14ac:dyDescent="0.25">
      <c r="H22881" s="12"/>
      <c r="I22881" s="12"/>
      <c r="J22881" s="12"/>
      <c r="K22881" s="12"/>
      <c r="L22881" s="12"/>
      <c r="M22881" s="11"/>
      <c r="N22881" s="11"/>
      <c r="O22881" s="11"/>
      <c r="P22881" s="11"/>
    </row>
    <row r="22882" spans="8:16" x14ac:dyDescent="0.25">
      <c r="H22882" s="12"/>
      <c r="I22882" s="12"/>
      <c r="J22882" s="12"/>
      <c r="K22882" s="12"/>
      <c r="L22882" s="12"/>
      <c r="M22882" s="11"/>
      <c r="N22882" s="11"/>
      <c r="O22882" s="11"/>
      <c r="P22882" s="11"/>
    </row>
    <row r="22883" spans="8:16" x14ac:dyDescent="0.25">
      <c r="H22883" s="12"/>
      <c r="I22883" s="12"/>
      <c r="J22883" s="12"/>
      <c r="K22883" s="12"/>
      <c r="L22883" s="12"/>
      <c r="M22883" s="11"/>
      <c r="N22883" s="11"/>
      <c r="O22883" s="11"/>
      <c r="P22883" s="11"/>
    </row>
    <row r="22884" spans="8:16" x14ac:dyDescent="0.25">
      <c r="H22884" s="12"/>
      <c r="I22884" s="12"/>
      <c r="J22884" s="12"/>
      <c r="K22884" s="12"/>
      <c r="L22884" s="12"/>
      <c r="M22884" s="11"/>
      <c r="N22884" s="11"/>
      <c r="O22884" s="11"/>
      <c r="P22884" s="11"/>
    </row>
    <row r="22885" spans="8:16" x14ac:dyDescent="0.25">
      <c r="H22885" s="12"/>
      <c r="I22885" s="12"/>
      <c r="J22885" s="12"/>
      <c r="K22885" s="12"/>
      <c r="L22885" s="12"/>
      <c r="M22885" s="11"/>
      <c r="N22885" s="11"/>
      <c r="O22885" s="11"/>
      <c r="P22885" s="11"/>
    </row>
    <row r="22886" spans="8:16" x14ac:dyDescent="0.25">
      <c r="H22886" s="12"/>
      <c r="I22886" s="12"/>
      <c r="J22886" s="12"/>
      <c r="K22886" s="12"/>
      <c r="L22886" s="12"/>
      <c r="M22886" s="11"/>
      <c r="N22886" s="11"/>
      <c r="O22886" s="11"/>
      <c r="P22886" s="11"/>
    </row>
    <row r="22887" spans="8:16" x14ac:dyDescent="0.25">
      <c r="H22887" s="12"/>
      <c r="I22887" s="12"/>
      <c r="J22887" s="12"/>
      <c r="K22887" s="12"/>
      <c r="L22887" s="12"/>
      <c r="M22887" s="11"/>
      <c r="N22887" s="11"/>
      <c r="O22887" s="11"/>
      <c r="P22887" s="11"/>
    </row>
    <row r="22888" spans="8:16" x14ac:dyDescent="0.25">
      <c r="H22888" s="12"/>
      <c r="I22888" s="12"/>
      <c r="J22888" s="12"/>
      <c r="K22888" s="12"/>
      <c r="L22888" s="12"/>
      <c r="M22888" s="11"/>
      <c r="N22888" s="11"/>
      <c r="O22888" s="11"/>
      <c r="P22888" s="11"/>
    </row>
    <row r="22889" spans="8:16" x14ac:dyDescent="0.25">
      <c r="H22889" s="12"/>
      <c r="I22889" s="12"/>
      <c r="J22889" s="12"/>
      <c r="K22889" s="12"/>
      <c r="L22889" s="12"/>
      <c r="M22889" s="11"/>
      <c r="N22889" s="11"/>
      <c r="O22889" s="11"/>
      <c r="P22889" s="11"/>
    </row>
    <row r="22890" spans="8:16" x14ac:dyDescent="0.25">
      <c r="H22890" s="12"/>
      <c r="I22890" s="12"/>
      <c r="J22890" s="12"/>
      <c r="K22890" s="12"/>
      <c r="L22890" s="12"/>
      <c r="M22890" s="11"/>
      <c r="N22890" s="11"/>
      <c r="O22890" s="11"/>
      <c r="P22890" s="11"/>
    </row>
    <row r="22891" spans="8:16" x14ac:dyDescent="0.25">
      <c r="H22891" s="12"/>
      <c r="I22891" s="12"/>
      <c r="J22891" s="12"/>
      <c r="K22891" s="12"/>
      <c r="L22891" s="12"/>
      <c r="M22891" s="11"/>
      <c r="N22891" s="11"/>
      <c r="O22891" s="11"/>
      <c r="P22891" s="11"/>
    </row>
    <row r="22892" spans="8:16" x14ac:dyDescent="0.25">
      <c r="H22892" s="12"/>
      <c r="I22892" s="12"/>
      <c r="J22892" s="12"/>
      <c r="K22892" s="12"/>
      <c r="L22892" s="12"/>
      <c r="M22892" s="11"/>
      <c r="N22892" s="11"/>
      <c r="O22892" s="11"/>
      <c r="P22892" s="11"/>
    </row>
    <row r="22893" spans="8:16" x14ac:dyDescent="0.25">
      <c r="H22893" s="12"/>
      <c r="I22893" s="12"/>
      <c r="J22893" s="12"/>
      <c r="K22893" s="12"/>
      <c r="L22893" s="12"/>
      <c r="M22893" s="11"/>
      <c r="N22893" s="11"/>
      <c r="O22893" s="11"/>
      <c r="P22893" s="11"/>
    </row>
    <row r="22894" spans="8:16" x14ac:dyDescent="0.25">
      <c r="H22894" s="12"/>
      <c r="I22894" s="12"/>
      <c r="J22894" s="12"/>
      <c r="K22894" s="12"/>
      <c r="L22894" s="12"/>
      <c r="M22894" s="11"/>
      <c r="N22894" s="11"/>
      <c r="O22894" s="11"/>
      <c r="P22894" s="11"/>
    </row>
    <row r="22895" spans="8:16" x14ac:dyDescent="0.25">
      <c r="H22895" s="12"/>
      <c r="I22895" s="12"/>
      <c r="J22895" s="12"/>
      <c r="K22895" s="12"/>
      <c r="L22895" s="12"/>
      <c r="M22895" s="11"/>
      <c r="N22895" s="11"/>
      <c r="O22895" s="11"/>
      <c r="P22895" s="11"/>
    </row>
    <row r="22896" spans="8:16" x14ac:dyDescent="0.25">
      <c r="H22896" s="12"/>
      <c r="I22896" s="12"/>
      <c r="J22896" s="12"/>
      <c r="K22896" s="12"/>
      <c r="L22896" s="12"/>
      <c r="M22896" s="11"/>
      <c r="N22896" s="11"/>
      <c r="O22896" s="11"/>
      <c r="P22896" s="11"/>
    </row>
    <row r="22897" spans="8:16" x14ac:dyDescent="0.25">
      <c r="H22897" s="12"/>
      <c r="I22897" s="12"/>
      <c r="J22897" s="12"/>
      <c r="K22897" s="12"/>
      <c r="L22897" s="12"/>
      <c r="M22897" s="11"/>
      <c r="N22897" s="11"/>
      <c r="O22897" s="11"/>
      <c r="P22897" s="11"/>
    </row>
    <row r="22898" spans="8:16" x14ac:dyDescent="0.25">
      <c r="H22898" s="12"/>
      <c r="I22898" s="12"/>
      <c r="J22898" s="12"/>
      <c r="K22898" s="12"/>
      <c r="L22898" s="12"/>
      <c r="M22898" s="11"/>
      <c r="N22898" s="11"/>
      <c r="O22898" s="11"/>
      <c r="P22898" s="11"/>
    </row>
    <row r="22899" spans="8:16" x14ac:dyDescent="0.25">
      <c r="H22899" s="12"/>
      <c r="I22899" s="12"/>
      <c r="J22899" s="12"/>
      <c r="K22899" s="12"/>
      <c r="L22899" s="12"/>
      <c r="M22899" s="11"/>
      <c r="N22899" s="11"/>
      <c r="O22899" s="11"/>
      <c r="P22899" s="11"/>
    </row>
    <row r="22900" spans="8:16" x14ac:dyDescent="0.25">
      <c r="H22900" s="12"/>
      <c r="I22900" s="12"/>
      <c r="J22900" s="12"/>
      <c r="K22900" s="12"/>
      <c r="L22900" s="12"/>
      <c r="M22900" s="11"/>
      <c r="N22900" s="11"/>
      <c r="O22900" s="11"/>
      <c r="P22900" s="11"/>
    </row>
    <row r="22901" spans="8:16" x14ac:dyDescent="0.25">
      <c r="H22901" s="12"/>
      <c r="I22901" s="12"/>
      <c r="J22901" s="12"/>
      <c r="K22901" s="12"/>
      <c r="L22901" s="12"/>
      <c r="M22901" s="11"/>
      <c r="N22901" s="11"/>
      <c r="O22901" s="11"/>
      <c r="P22901" s="11"/>
    </row>
    <row r="22902" spans="8:16" x14ac:dyDescent="0.25">
      <c r="H22902" s="12"/>
      <c r="I22902" s="12"/>
      <c r="J22902" s="12"/>
      <c r="K22902" s="12"/>
      <c r="L22902" s="12"/>
      <c r="M22902" s="11"/>
      <c r="N22902" s="11"/>
      <c r="O22902" s="11"/>
      <c r="P22902" s="11"/>
    </row>
    <row r="22903" spans="8:16" x14ac:dyDescent="0.25">
      <c r="H22903" s="12"/>
      <c r="I22903" s="12"/>
      <c r="J22903" s="12"/>
      <c r="K22903" s="12"/>
      <c r="L22903" s="12"/>
      <c r="M22903" s="11"/>
      <c r="N22903" s="11"/>
      <c r="O22903" s="11"/>
      <c r="P22903" s="11"/>
    </row>
    <row r="22904" spans="8:16" x14ac:dyDescent="0.25">
      <c r="H22904" s="12"/>
      <c r="I22904" s="12"/>
      <c r="J22904" s="12"/>
      <c r="K22904" s="12"/>
      <c r="L22904" s="12"/>
      <c r="M22904" s="11"/>
      <c r="N22904" s="11"/>
      <c r="O22904" s="11"/>
      <c r="P22904" s="11"/>
    </row>
    <row r="22905" spans="8:16" x14ac:dyDescent="0.25">
      <c r="H22905" s="12"/>
      <c r="I22905" s="12"/>
      <c r="J22905" s="12"/>
      <c r="K22905" s="12"/>
      <c r="L22905" s="12"/>
      <c r="M22905" s="11"/>
      <c r="N22905" s="11"/>
      <c r="O22905" s="11"/>
      <c r="P22905" s="11"/>
    </row>
    <row r="22906" spans="8:16" x14ac:dyDescent="0.25">
      <c r="H22906" s="12"/>
      <c r="I22906" s="12"/>
      <c r="J22906" s="12"/>
      <c r="K22906" s="12"/>
      <c r="L22906" s="12"/>
      <c r="M22906" s="11"/>
      <c r="N22906" s="11"/>
      <c r="O22906" s="11"/>
      <c r="P22906" s="11"/>
    </row>
    <row r="22907" spans="8:16" x14ac:dyDescent="0.25">
      <c r="H22907" s="12"/>
      <c r="I22907" s="12"/>
      <c r="J22907" s="12"/>
      <c r="K22907" s="12"/>
      <c r="L22907" s="12"/>
      <c r="M22907" s="11"/>
      <c r="N22907" s="11"/>
      <c r="O22907" s="11"/>
      <c r="P22907" s="11"/>
    </row>
    <row r="22908" spans="8:16" x14ac:dyDescent="0.25">
      <c r="H22908" s="12"/>
      <c r="I22908" s="12"/>
      <c r="J22908" s="12"/>
      <c r="K22908" s="12"/>
      <c r="L22908" s="12"/>
      <c r="M22908" s="11"/>
      <c r="N22908" s="11"/>
      <c r="O22908" s="11"/>
      <c r="P22908" s="11"/>
    </row>
    <row r="22909" spans="8:16" x14ac:dyDescent="0.25">
      <c r="H22909" s="12"/>
      <c r="I22909" s="12"/>
      <c r="J22909" s="12"/>
      <c r="K22909" s="12"/>
      <c r="L22909" s="12"/>
      <c r="M22909" s="11"/>
      <c r="N22909" s="11"/>
      <c r="O22909" s="11"/>
      <c r="P22909" s="11"/>
    </row>
    <row r="22910" spans="8:16" x14ac:dyDescent="0.25">
      <c r="H22910" s="12"/>
      <c r="I22910" s="12"/>
      <c r="J22910" s="12"/>
      <c r="K22910" s="12"/>
      <c r="L22910" s="12"/>
      <c r="M22910" s="11"/>
      <c r="N22910" s="11"/>
      <c r="O22910" s="11"/>
      <c r="P22910" s="11"/>
    </row>
    <row r="22911" spans="8:16" x14ac:dyDescent="0.25">
      <c r="H22911" s="12"/>
      <c r="I22911" s="12"/>
      <c r="J22911" s="12"/>
      <c r="K22911" s="12"/>
      <c r="L22911" s="12"/>
      <c r="M22911" s="11"/>
      <c r="N22911" s="11"/>
      <c r="O22911" s="11"/>
      <c r="P22911" s="11"/>
    </row>
    <row r="22912" spans="8:16" x14ac:dyDescent="0.25">
      <c r="H22912" s="12"/>
      <c r="I22912" s="12"/>
      <c r="J22912" s="12"/>
      <c r="K22912" s="12"/>
      <c r="L22912" s="12"/>
      <c r="M22912" s="11"/>
      <c r="N22912" s="11"/>
      <c r="O22912" s="11"/>
      <c r="P22912" s="11"/>
    </row>
    <row r="22913" spans="8:16" x14ac:dyDescent="0.25">
      <c r="H22913" s="12"/>
      <c r="I22913" s="12"/>
      <c r="J22913" s="12"/>
      <c r="K22913" s="12"/>
      <c r="L22913" s="12"/>
      <c r="M22913" s="11"/>
      <c r="N22913" s="11"/>
      <c r="O22913" s="11"/>
      <c r="P22913" s="11"/>
    </row>
    <row r="22914" spans="8:16" x14ac:dyDescent="0.25">
      <c r="H22914" s="12"/>
      <c r="I22914" s="12"/>
      <c r="J22914" s="12"/>
      <c r="K22914" s="12"/>
      <c r="L22914" s="12"/>
      <c r="M22914" s="11"/>
      <c r="N22914" s="11"/>
      <c r="O22914" s="11"/>
      <c r="P22914" s="11"/>
    </row>
    <row r="22915" spans="8:16" x14ac:dyDescent="0.25">
      <c r="H22915" s="12"/>
      <c r="I22915" s="12"/>
      <c r="J22915" s="12"/>
      <c r="K22915" s="12"/>
      <c r="L22915" s="12"/>
      <c r="M22915" s="11"/>
      <c r="N22915" s="11"/>
      <c r="O22915" s="11"/>
      <c r="P22915" s="11"/>
    </row>
    <row r="22916" spans="8:16" x14ac:dyDescent="0.25">
      <c r="H22916" s="12"/>
      <c r="I22916" s="12"/>
      <c r="J22916" s="12"/>
      <c r="K22916" s="12"/>
      <c r="L22916" s="12"/>
      <c r="M22916" s="11"/>
      <c r="N22916" s="11"/>
      <c r="O22916" s="11"/>
      <c r="P22916" s="11"/>
    </row>
    <row r="22917" spans="8:16" x14ac:dyDescent="0.25">
      <c r="H22917" s="12"/>
      <c r="I22917" s="12"/>
      <c r="J22917" s="12"/>
      <c r="K22917" s="12"/>
      <c r="L22917" s="12"/>
      <c r="M22917" s="11"/>
      <c r="N22917" s="11"/>
      <c r="O22917" s="11"/>
      <c r="P22917" s="11"/>
    </row>
    <row r="22918" spans="8:16" x14ac:dyDescent="0.25">
      <c r="H22918" s="12"/>
      <c r="I22918" s="12"/>
      <c r="J22918" s="12"/>
      <c r="K22918" s="12"/>
      <c r="L22918" s="12"/>
      <c r="M22918" s="11"/>
      <c r="N22918" s="11"/>
      <c r="O22918" s="11"/>
      <c r="P22918" s="11"/>
    </row>
    <row r="22919" spans="8:16" x14ac:dyDescent="0.25">
      <c r="H22919" s="12"/>
      <c r="I22919" s="12"/>
      <c r="J22919" s="12"/>
      <c r="K22919" s="12"/>
      <c r="L22919" s="12"/>
      <c r="M22919" s="11"/>
      <c r="N22919" s="11"/>
      <c r="O22919" s="11"/>
      <c r="P22919" s="11"/>
    </row>
    <row r="22920" spans="8:16" x14ac:dyDescent="0.25">
      <c r="H22920" s="12"/>
      <c r="I22920" s="12"/>
      <c r="J22920" s="12"/>
      <c r="K22920" s="12"/>
      <c r="L22920" s="12"/>
      <c r="M22920" s="11"/>
      <c r="N22920" s="11"/>
      <c r="O22920" s="11"/>
      <c r="P22920" s="11"/>
    </row>
    <row r="22921" spans="8:16" x14ac:dyDescent="0.25">
      <c r="H22921" s="12"/>
      <c r="I22921" s="12"/>
      <c r="J22921" s="12"/>
      <c r="K22921" s="12"/>
      <c r="L22921" s="12"/>
      <c r="M22921" s="11"/>
      <c r="N22921" s="11"/>
      <c r="O22921" s="11"/>
      <c r="P22921" s="11"/>
    </row>
    <row r="22922" spans="8:16" x14ac:dyDescent="0.25">
      <c r="H22922" s="12"/>
      <c r="I22922" s="12"/>
      <c r="J22922" s="12"/>
      <c r="K22922" s="12"/>
      <c r="L22922" s="12"/>
      <c r="M22922" s="11"/>
      <c r="N22922" s="11"/>
      <c r="O22922" s="11"/>
      <c r="P22922" s="11"/>
    </row>
    <row r="22923" spans="8:16" x14ac:dyDescent="0.25">
      <c r="H22923" s="12"/>
      <c r="I22923" s="12"/>
      <c r="J22923" s="12"/>
      <c r="K22923" s="12"/>
      <c r="L22923" s="12"/>
      <c r="M22923" s="11"/>
      <c r="N22923" s="11"/>
      <c r="O22923" s="11"/>
      <c r="P22923" s="11"/>
    </row>
    <row r="22924" spans="8:16" x14ac:dyDescent="0.25">
      <c r="H22924" s="12"/>
      <c r="I22924" s="12"/>
      <c r="J22924" s="12"/>
      <c r="K22924" s="12"/>
      <c r="L22924" s="12"/>
      <c r="M22924" s="11"/>
      <c r="N22924" s="11"/>
      <c r="O22924" s="11"/>
      <c r="P22924" s="11"/>
    </row>
    <row r="22925" spans="8:16" x14ac:dyDescent="0.25">
      <c r="H22925" s="12"/>
      <c r="I22925" s="12"/>
      <c r="J22925" s="12"/>
      <c r="K22925" s="12"/>
      <c r="L22925" s="12"/>
      <c r="M22925" s="11"/>
      <c r="N22925" s="11"/>
      <c r="O22925" s="11"/>
      <c r="P22925" s="11"/>
    </row>
    <row r="22926" spans="8:16" x14ac:dyDescent="0.25">
      <c r="H22926" s="12"/>
      <c r="I22926" s="12"/>
      <c r="J22926" s="12"/>
      <c r="K22926" s="12"/>
      <c r="L22926" s="12"/>
      <c r="M22926" s="11"/>
      <c r="N22926" s="11"/>
      <c r="O22926" s="11"/>
      <c r="P22926" s="11"/>
    </row>
    <row r="22927" spans="8:16" x14ac:dyDescent="0.25">
      <c r="H22927" s="12"/>
      <c r="I22927" s="12"/>
      <c r="J22927" s="12"/>
      <c r="K22927" s="12"/>
      <c r="L22927" s="12"/>
      <c r="M22927" s="11"/>
      <c r="N22927" s="11"/>
      <c r="O22927" s="11"/>
      <c r="P22927" s="11"/>
    </row>
    <row r="22928" spans="8:16" x14ac:dyDescent="0.25">
      <c r="H22928" s="12"/>
      <c r="I22928" s="12"/>
      <c r="J22928" s="12"/>
      <c r="K22928" s="12"/>
      <c r="L22928" s="12"/>
      <c r="M22928" s="11"/>
      <c r="N22928" s="11"/>
      <c r="O22928" s="11"/>
      <c r="P22928" s="11"/>
    </row>
    <row r="22929" spans="8:16" x14ac:dyDescent="0.25">
      <c r="H22929" s="12"/>
      <c r="I22929" s="12"/>
      <c r="J22929" s="12"/>
      <c r="K22929" s="12"/>
      <c r="L22929" s="12"/>
      <c r="M22929" s="11"/>
      <c r="N22929" s="11"/>
      <c r="O22929" s="11"/>
      <c r="P22929" s="11"/>
    </row>
    <row r="22930" spans="8:16" x14ac:dyDescent="0.25">
      <c r="H22930" s="12"/>
      <c r="I22930" s="12"/>
      <c r="J22930" s="12"/>
      <c r="K22930" s="12"/>
      <c r="L22930" s="12"/>
      <c r="M22930" s="11"/>
      <c r="N22930" s="11"/>
      <c r="O22930" s="11"/>
      <c r="P22930" s="11"/>
    </row>
    <row r="22931" spans="8:16" x14ac:dyDescent="0.25">
      <c r="H22931" s="12"/>
      <c r="I22931" s="12"/>
      <c r="J22931" s="12"/>
      <c r="K22931" s="12"/>
      <c r="L22931" s="12"/>
      <c r="M22931" s="11"/>
      <c r="N22931" s="11"/>
      <c r="O22931" s="11"/>
      <c r="P22931" s="11"/>
    </row>
    <row r="22932" spans="8:16" x14ac:dyDescent="0.25">
      <c r="H22932" s="12"/>
      <c r="I22932" s="12"/>
      <c r="J22932" s="12"/>
      <c r="K22932" s="12"/>
      <c r="L22932" s="12"/>
      <c r="M22932" s="11"/>
      <c r="N22932" s="11"/>
      <c r="O22932" s="11"/>
      <c r="P22932" s="11"/>
    </row>
    <row r="22933" spans="8:16" x14ac:dyDescent="0.25">
      <c r="H22933" s="12"/>
      <c r="I22933" s="12"/>
      <c r="J22933" s="12"/>
      <c r="K22933" s="12"/>
      <c r="L22933" s="12"/>
      <c r="M22933" s="11"/>
      <c r="N22933" s="11"/>
      <c r="O22933" s="11"/>
      <c r="P22933" s="11"/>
    </row>
    <row r="22934" spans="8:16" x14ac:dyDescent="0.25">
      <c r="H22934" s="12"/>
      <c r="I22934" s="12"/>
      <c r="J22934" s="12"/>
      <c r="K22934" s="12"/>
      <c r="L22934" s="12"/>
      <c r="M22934" s="11"/>
      <c r="N22934" s="11"/>
      <c r="O22934" s="11"/>
      <c r="P22934" s="11"/>
    </row>
    <row r="22935" spans="8:16" x14ac:dyDescent="0.25">
      <c r="H22935" s="12"/>
      <c r="I22935" s="12"/>
      <c r="J22935" s="12"/>
      <c r="K22935" s="12"/>
      <c r="L22935" s="12"/>
      <c r="M22935" s="11"/>
      <c r="N22935" s="11"/>
      <c r="O22935" s="11"/>
      <c r="P22935" s="11"/>
    </row>
    <row r="22936" spans="8:16" x14ac:dyDescent="0.25">
      <c r="H22936" s="12"/>
      <c r="I22936" s="12"/>
      <c r="J22936" s="12"/>
      <c r="K22936" s="12"/>
      <c r="L22936" s="12"/>
      <c r="M22936" s="11"/>
      <c r="N22936" s="11"/>
      <c r="O22936" s="11"/>
      <c r="P22936" s="11"/>
    </row>
    <row r="22937" spans="8:16" x14ac:dyDescent="0.25">
      <c r="H22937" s="12"/>
      <c r="I22937" s="12"/>
      <c r="J22937" s="12"/>
      <c r="K22937" s="12"/>
      <c r="L22937" s="12"/>
      <c r="M22937" s="11"/>
      <c r="N22937" s="11"/>
      <c r="O22937" s="11"/>
      <c r="P22937" s="11"/>
    </row>
    <row r="22938" spans="8:16" x14ac:dyDescent="0.25">
      <c r="H22938" s="12"/>
      <c r="I22938" s="12"/>
      <c r="J22938" s="12"/>
      <c r="K22938" s="12"/>
      <c r="L22938" s="12"/>
      <c r="M22938" s="11"/>
      <c r="N22938" s="11"/>
      <c r="O22938" s="11"/>
      <c r="P22938" s="11"/>
    </row>
    <row r="22939" spans="8:16" x14ac:dyDescent="0.25">
      <c r="H22939" s="12"/>
      <c r="I22939" s="12"/>
      <c r="J22939" s="12"/>
      <c r="K22939" s="12"/>
      <c r="L22939" s="12"/>
      <c r="M22939" s="11"/>
      <c r="N22939" s="11"/>
      <c r="O22939" s="11"/>
      <c r="P22939" s="11"/>
    </row>
    <row r="22940" spans="8:16" x14ac:dyDescent="0.25">
      <c r="H22940" s="12"/>
      <c r="I22940" s="12"/>
      <c r="J22940" s="12"/>
      <c r="K22940" s="12"/>
      <c r="L22940" s="12"/>
      <c r="M22940" s="11"/>
      <c r="N22940" s="11"/>
      <c r="O22940" s="11"/>
      <c r="P22940" s="11"/>
    </row>
    <row r="22941" spans="8:16" x14ac:dyDescent="0.25">
      <c r="H22941" s="12"/>
      <c r="I22941" s="12"/>
      <c r="J22941" s="12"/>
      <c r="K22941" s="12"/>
      <c r="L22941" s="12"/>
      <c r="M22941" s="11"/>
      <c r="N22941" s="11"/>
      <c r="O22941" s="11"/>
      <c r="P22941" s="11"/>
    </row>
    <row r="22942" spans="8:16" x14ac:dyDescent="0.25">
      <c r="H22942" s="12"/>
      <c r="I22942" s="12"/>
      <c r="J22942" s="12"/>
      <c r="K22942" s="12"/>
      <c r="L22942" s="12"/>
      <c r="M22942" s="11"/>
      <c r="N22942" s="11"/>
      <c r="O22942" s="11"/>
      <c r="P22942" s="11"/>
    </row>
    <row r="22943" spans="8:16" x14ac:dyDescent="0.25">
      <c r="H22943" s="12"/>
      <c r="I22943" s="12"/>
      <c r="J22943" s="12"/>
      <c r="K22943" s="12"/>
      <c r="L22943" s="12"/>
      <c r="M22943" s="11"/>
      <c r="N22943" s="11"/>
      <c r="O22943" s="11"/>
      <c r="P22943" s="11"/>
    </row>
    <row r="22944" spans="8:16" x14ac:dyDescent="0.25">
      <c r="H22944" s="12"/>
      <c r="I22944" s="12"/>
      <c r="J22944" s="12"/>
      <c r="K22944" s="12"/>
      <c r="L22944" s="12"/>
      <c r="M22944" s="11"/>
      <c r="N22944" s="11"/>
      <c r="O22944" s="11"/>
      <c r="P22944" s="11"/>
    </row>
    <row r="22945" spans="8:16" x14ac:dyDescent="0.25">
      <c r="H22945" s="12"/>
      <c r="I22945" s="12"/>
      <c r="J22945" s="12"/>
      <c r="K22945" s="12"/>
      <c r="L22945" s="12"/>
      <c r="M22945" s="11"/>
      <c r="N22945" s="11"/>
      <c r="O22945" s="11"/>
      <c r="P22945" s="11"/>
    </row>
    <row r="22946" spans="8:16" x14ac:dyDescent="0.25">
      <c r="H22946" s="12"/>
      <c r="I22946" s="12"/>
      <c r="J22946" s="12"/>
      <c r="K22946" s="12"/>
      <c r="L22946" s="12"/>
      <c r="M22946" s="11"/>
      <c r="N22946" s="11"/>
      <c r="O22946" s="11"/>
      <c r="P22946" s="11"/>
    </row>
    <row r="22947" spans="8:16" x14ac:dyDescent="0.25">
      <c r="H22947" s="12"/>
      <c r="I22947" s="12"/>
      <c r="J22947" s="12"/>
      <c r="K22947" s="12"/>
      <c r="L22947" s="12"/>
      <c r="M22947" s="11"/>
      <c r="N22947" s="11"/>
      <c r="O22947" s="11"/>
      <c r="P22947" s="11"/>
    </row>
    <row r="22948" spans="8:16" x14ac:dyDescent="0.25">
      <c r="H22948" s="12"/>
      <c r="I22948" s="12"/>
      <c r="J22948" s="12"/>
      <c r="K22948" s="12"/>
      <c r="L22948" s="12"/>
      <c r="M22948" s="11"/>
      <c r="N22948" s="11"/>
      <c r="O22948" s="11"/>
      <c r="P22948" s="11"/>
    </row>
    <row r="22949" spans="8:16" x14ac:dyDescent="0.25">
      <c r="H22949" s="12"/>
      <c r="I22949" s="12"/>
      <c r="J22949" s="12"/>
      <c r="K22949" s="12"/>
      <c r="L22949" s="12"/>
      <c r="M22949" s="11"/>
      <c r="N22949" s="11"/>
      <c r="O22949" s="11"/>
      <c r="P22949" s="11"/>
    </row>
    <row r="22950" spans="8:16" x14ac:dyDescent="0.25">
      <c r="H22950" s="12"/>
      <c r="I22950" s="12"/>
      <c r="J22950" s="12"/>
      <c r="K22950" s="12"/>
      <c r="L22950" s="12"/>
      <c r="M22950" s="11"/>
      <c r="N22950" s="11"/>
      <c r="O22950" s="11"/>
      <c r="P22950" s="11"/>
    </row>
    <row r="22951" spans="8:16" x14ac:dyDescent="0.25">
      <c r="H22951" s="12"/>
      <c r="I22951" s="12"/>
      <c r="J22951" s="12"/>
      <c r="K22951" s="12"/>
      <c r="L22951" s="12"/>
      <c r="M22951" s="11"/>
      <c r="N22951" s="11"/>
      <c r="O22951" s="11"/>
      <c r="P22951" s="11"/>
    </row>
    <row r="22952" spans="8:16" x14ac:dyDescent="0.25">
      <c r="H22952" s="12"/>
      <c r="I22952" s="12"/>
      <c r="J22952" s="12"/>
      <c r="K22952" s="12"/>
      <c r="L22952" s="12"/>
      <c r="M22952" s="11"/>
      <c r="N22952" s="11"/>
      <c r="O22952" s="11"/>
      <c r="P22952" s="11"/>
    </row>
    <row r="22953" spans="8:16" x14ac:dyDescent="0.25">
      <c r="H22953" s="12"/>
      <c r="I22953" s="12"/>
      <c r="J22953" s="12"/>
      <c r="K22953" s="12"/>
      <c r="L22953" s="12"/>
      <c r="M22953" s="11"/>
      <c r="N22953" s="11"/>
      <c r="O22953" s="11"/>
      <c r="P22953" s="11"/>
    </row>
    <row r="22954" spans="8:16" x14ac:dyDescent="0.25">
      <c r="H22954" s="12"/>
      <c r="I22954" s="12"/>
      <c r="J22954" s="12"/>
      <c r="K22954" s="12"/>
      <c r="L22954" s="12"/>
      <c r="M22954" s="11"/>
      <c r="N22954" s="11"/>
      <c r="O22954" s="11"/>
      <c r="P22954" s="11"/>
    </row>
    <row r="22955" spans="8:16" x14ac:dyDescent="0.25">
      <c r="H22955" s="12"/>
      <c r="I22955" s="12"/>
      <c r="J22955" s="12"/>
      <c r="K22955" s="12"/>
      <c r="L22955" s="12"/>
      <c r="M22955" s="11"/>
      <c r="N22955" s="11"/>
      <c r="O22955" s="11"/>
      <c r="P22955" s="11"/>
    </row>
    <row r="22956" spans="8:16" x14ac:dyDescent="0.25">
      <c r="H22956" s="12"/>
      <c r="I22956" s="12"/>
      <c r="J22956" s="12"/>
      <c r="K22956" s="12"/>
      <c r="L22956" s="12"/>
      <c r="M22956" s="11"/>
      <c r="N22956" s="11"/>
      <c r="O22956" s="11"/>
      <c r="P22956" s="11"/>
    </row>
    <row r="22957" spans="8:16" x14ac:dyDescent="0.25">
      <c r="H22957" s="12"/>
      <c r="I22957" s="12"/>
      <c r="J22957" s="12"/>
      <c r="K22957" s="12"/>
      <c r="L22957" s="12"/>
      <c r="M22957" s="11"/>
      <c r="N22957" s="11"/>
      <c r="O22957" s="11"/>
      <c r="P22957" s="11"/>
    </row>
    <row r="22958" spans="8:16" x14ac:dyDescent="0.25">
      <c r="H22958" s="12"/>
      <c r="I22958" s="12"/>
      <c r="J22958" s="12"/>
      <c r="K22958" s="12"/>
      <c r="L22958" s="12"/>
      <c r="M22958" s="11"/>
      <c r="N22958" s="11"/>
      <c r="O22958" s="11"/>
      <c r="P22958" s="11"/>
    </row>
    <row r="22959" spans="8:16" x14ac:dyDescent="0.25">
      <c r="H22959" s="12"/>
      <c r="I22959" s="12"/>
      <c r="J22959" s="12"/>
      <c r="K22959" s="12"/>
      <c r="L22959" s="12"/>
      <c r="M22959" s="11"/>
      <c r="N22959" s="11"/>
      <c r="O22959" s="11"/>
      <c r="P22959" s="11"/>
    </row>
    <row r="22960" spans="8:16" x14ac:dyDescent="0.25">
      <c r="H22960" s="12"/>
      <c r="I22960" s="12"/>
      <c r="J22960" s="12"/>
      <c r="K22960" s="12"/>
      <c r="L22960" s="12"/>
      <c r="M22960" s="11"/>
      <c r="N22960" s="11"/>
      <c r="O22960" s="11"/>
      <c r="P22960" s="11"/>
    </row>
    <row r="22961" spans="8:16" x14ac:dyDescent="0.25">
      <c r="H22961" s="12"/>
      <c r="I22961" s="12"/>
      <c r="J22961" s="12"/>
      <c r="K22961" s="12"/>
      <c r="L22961" s="12"/>
      <c r="M22961" s="11"/>
      <c r="N22961" s="11"/>
      <c r="O22961" s="11"/>
      <c r="P22961" s="11"/>
    </row>
    <row r="22962" spans="8:16" x14ac:dyDescent="0.25">
      <c r="H22962" s="12"/>
      <c r="I22962" s="12"/>
      <c r="J22962" s="12"/>
      <c r="K22962" s="12"/>
      <c r="L22962" s="12"/>
      <c r="M22962" s="11"/>
      <c r="N22962" s="11"/>
      <c r="O22962" s="11"/>
      <c r="P22962" s="11"/>
    </row>
    <row r="22963" spans="8:16" x14ac:dyDescent="0.25">
      <c r="H22963" s="12"/>
      <c r="I22963" s="12"/>
      <c r="J22963" s="12"/>
      <c r="K22963" s="12"/>
      <c r="L22963" s="12"/>
      <c r="M22963" s="11"/>
      <c r="N22963" s="11"/>
      <c r="O22963" s="11"/>
      <c r="P22963" s="11"/>
    </row>
    <row r="22964" spans="8:16" x14ac:dyDescent="0.25">
      <c r="H22964" s="12"/>
      <c r="I22964" s="12"/>
      <c r="J22964" s="12"/>
      <c r="K22964" s="12"/>
      <c r="L22964" s="12"/>
      <c r="M22964" s="11"/>
      <c r="N22964" s="11"/>
      <c r="O22964" s="11"/>
      <c r="P22964" s="11"/>
    </row>
    <row r="22965" spans="8:16" x14ac:dyDescent="0.25">
      <c r="H22965" s="12"/>
      <c r="I22965" s="12"/>
      <c r="J22965" s="12"/>
      <c r="K22965" s="12"/>
      <c r="L22965" s="12"/>
      <c r="M22965" s="11"/>
      <c r="N22965" s="11"/>
      <c r="O22965" s="11"/>
      <c r="P22965" s="11"/>
    </row>
    <row r="22966" spans="8:16" x14ac:dyDescent="0.25">
      <c r="H22966" s="12"/>
      <c r="I22966" s="12"/>
      <c r="J22966" s="12"/>
      <c r="K22966" s="12"/>
      <c r="L22966" s="12"/>
      <c r="M22966" s="11"/>
      <c r="N22966" s="11"/>
      <c r="O22966" s="11"/>
      <c r="P22966" s="11"/>
    </row>
    <row r="22967" spans="8:16" x14ac:dyDescent="0.25">
      <c r="H22967" s="12"/>
      <c r="I22967" s="12"/>
      <c r="J22967" s="12"/>
      <c r="K22967" s="12"/>
      <c r="L22967" s="12"/>
      <c r="M22967" s="11"/>
      <c r="N22967" s="11"/>
      <c r="O22967" s="11"/>
      <c r="P22967" s="11"/>
    </row>
    <row r="22968" spans="8:16" x14ac:dyDescent="0.25">
      <c r="H22968" s="12"/>
      <c r="I22968" s="12"/>
      <c r="J22968" s="12"/>
      <c r="K22968" s="12"/>
      <c r="L22968" s="12"/>
      <c r="M22968" s="11"/>
      <c r="N22968" s="11"/>
      <c r="O22968" s="11"/>
      <c r="P22968" s="11"/>
    </row>
    <row r="22969" spans="8:16" x14ac:dyDescent="0.25">
      <c r="H22969" s="12"/>
      <c r="I22969" s="12"/>
      <c r="J22969" s="12"/>
      <c r="K22969" s="12"/>
      <c r="L22969" s="12"/>
      <c r="M22969" s="11"/>
      <c r="N22969" s="11"/>
      <c r="O22969" s="11"/>
      <c r="P22969" s="11"/>
    </row>
    <row r="22970" spans="8:16" x14ac:dyDescent="0.25">
      <c r="H22970" s="12"/>
      <c r="I22970" s="12"/>
      <c r="J22970" s="12"/>
      <c r="K22970" s="12"/>
      <c r="L22970" s="12"/>
      <c r="M22970" s="11"/>
      <c r="N22970" s="11"/>
      <c r="O22970" s="11"/>
      <c r="P22970" s="11"/>
    </row>
    <row r="22971" spans="8:16" x14ac:dyDescent="0.25">
      <c r="H22971" s="12"/>
      <c r="I22971" s="12"/>
      <c r="J22971" s="12"/>
      <c r="K22971" s="12"/>
      <c r="L22971" s="12"/>
      <c r="M22971" s="11"/>
      <c r="N22971" s="11"/>
      <c r="O22971" s="11"/>
      <c r="P22971" s="11"/>
    </row>
    <row r="22972" spans="8:16" x14ac:dyDescent="0.25">
      <c r="H22972" s="12"/>
      <c r="I22972" s="12"/>
      <c r="J22972" s="12"/>
      <c r="K22972" s="12"/>
      <c r="L22972" s="12"/>
      <c r="M22972" s="11"/>
      <c r="N22972" s="11"/>
      <c r="O22972" s="11"/>
      <c r="P22972" s="11"/>
    </row>
    <row r="22973" spans="8:16" x14ac:dyDescent="0.25">
      <c r="H22973" s="12"/>
      <c r="I22973" s="12"/>
      <c r="J22973" s="12"/>
      <c r="K22973" s="12"/>
      <c r="L22973" s="12"/>
      <c r="M22973" s="11"/>
      <c r="N22973" s="11"/>
      <c r="O22973" s="11"/>
      <c r="P22973" s="11"/>
    </row>
    <row r="22974" spans="8:16" x14ac:dyDescent="0.25">
      <c r="H22974" s="12"/>
      <c r="I22974" s="12"/>
      <c r="J22974" s="12"/>
      <c r="K22974" s="12"/>
      <c r="L22974" s="12"/>
      <c r="M22974" s="11"/>
      <c r="N22974" s="11"/>
      <c r="O22974" s="11"/>
      <c r="P22974" s="11"/>
    </row>
    <row r="22975" spans="8:16" x14ac:dyDescent="0.25">
      <c r="H22975" s="12"/>
      <c r="I22975" s="12"/>
      <c r="J22975" s="12"/>
      <c r="K22975" s="12"/>
      <c r="L22975" s="12"/>
      <c r="M22975" s="11"/>
      <c r="N22975" s="11"/>
      <c r="O22975" s="11"/>
      <c r="P22975" s="11"/>
    </row>
    <row r="22976" spans="8:16" x14ac:dyDescent="0.25">
      <c r="H22976" s="12"/>
      <c r="I22976" s="12"/>
      <c r="J22976" s="12"/>
      <c r="K22976" s="12"/>
      <c r="L22976" s="12"/>
      <c r="M22976" s="11"/>
      <c r="N22976" s="11"/>
      <c r="O22976" s="11"/>
      <c r="P22976" s="11"/>
    </row>
    <row r="22977" spans="8:16" x14ac:dyDescent="0.25">
      <c r="H22977" s="12"/>
      <c r="I22977" s="12"/>
      <c r="J22977" s="12"/>
      <c r="K22977" s="12"/>
      <c r="L22977" s="12"/>
      <c r="M22977" s="11"/>
      <c r="N22977" s="11"/>
      <c r="O22977" s="11"/>
      <c r="P22977" s="11"/>
    </row>
    <row r="22978" spans="8:16" x14ac:dyDescent="0.25">
      <c r="H22978" s="12"/>
      <c r="I22978" s="12"/>
      <c r="J22978" s="12"/>
      <c r="K22978" s="12"/>
      <c r="L22978" s="12"/>
      <c r="M22978" s="11"/>
      <c r="N22978" s="11"/>
      <c r="O22978" s="11"/>
      <c r="P22978" s="11"/>
    </row>
    <row r="22979" spans="8:16" x14ac:dyDescent="0.25">
      <c r="H22979" s="12"/>
      <c r="I22979" s="12"/>
      <c r="J22979" s="12"/>
      <c r="K22979" s="12"/>
      <c r="L22979" s="12"/>
      <c r="M22979" s="11"/>
      <c r="N22979" s="11"/>
      <c r="O22979" s="11"/>
      <c r="P22979" s="11"/>
    </row>
    <row r="22980" spans="8:16" x14ac:dyDescent="0.25">
      <c r="H22980" s="12"/>
      <c r="I22980" s="12"/>
      <c r="J22980" s="12"/>
      <c r="K22980" s="12"/>
      <c r="L22980" s="12"/>
      <c r="M22980" s="11"/>
      <c r="N22980" s="11"/>
      <c r="O22980" s="11"/>
      <c r="P22980" s="11"/>
    </row>
    <row r="22981" spans="8:16" x14ac:dyDescent="0.25">
      <c r="H22981" s="12"/>
      <c r="I22981" s="12"/>
      <c r="J22981" s="12"/>
      <c r="K22981" s="12"/>
      <c r="L22981" s="12"/>
      <c r="M22981" s="11"/>
      <c r="N22981" s="11"/>
      <c r="O22981" s="11"/>
      <c r="P22981" s="11"/>
    </row>
    <row r="22982" spans="8:16" x14ac:dyDescent="0.25">
      <c r="H22982" s="12"/>
      <c r="I22982" s="12"/>
      <c r="J22982" s="12"/>
      <c r="K22982" s="12"/>
      <c r="L22982" s="12"/>
      <c r="M22982" s="11"/>
      <c r="N22982" s="11"/>
      <c r="O22982" s="11"/>
      <c r="P22982" s="11"/>
    </row>
    <row r="22983" spans="8:16" x14ac:dyDescent="0.25">
      <c r="H22983" s="12"/>
      <c r="I22983" s="12"/>
      <c r="J22983" s="12"/>
      <c r="K22983" s="12"/>
      <c r="L22983" s="12"/>
      <c r="M22983" s="11"/>
      <c r="N22983" s="11"/>
      <c r="O22983" s="11"/>
      <c r="P22983" s="11"/>
    </row>
    <row r="22984" spans="8:16" x14ac:dyDescent="0.25">
      <c r="H22984" s="12"/>
      <c r="I22984" s="12"/>
      <c r="J22984" s="12"/>
      <c r="K22984" s="12"/>
      <c r="L22984" s="12"/>
      <c r="M22984" s="11"/>
      <c r="N22984" s="11"/>
      <c r="O22984" s="11"/>
      <c r="P22984" s="11"/>
    </row>
    <row r="22985" spans="8:16" x14ac:dyDescent="0.25">
      <c r="H22985" s="12"/>
      <c r="I22985" s="12"/>
      <c r="J22985" s="12"/>
      <c r="K22985" s="12"/>
      <c r="L22985" s="12"/>
      <c r="M22985" s="11"/>
      <c r="N22985" s="11"/>
      <c r="O22985" s="11"/>
      <c r="P22985" s="11"/>
    </row>
    <row r="22986" spans="8:16" x14ac:dyDescent="0.25">
      <c r="H22986" s="12"/>
      <c r="I22986" s="12"/>
      <c r="J22986" s="12"/>
      <c r="K22986" s="12"/>
      <c r="L22986" s="12"/>
      <c r="M22986" s="11"/>
      <c r="N22986" s="11"/>
      <c r="O22986" s="11"/>
      <c r="P22986" s="11"/>
    </row>
    <row r="22987" spans="8:16" x14ac:dyDescent="0.25">
      <c r="H22987" s="12"/>
      <c r="I22987" s="12"/>
      <c r="J22987" s="12"/>
      <c r="K22987" s="12"/>
      <c r="L22987" s="12"/>
      <c r="M22987" s="11"/>
      <c r="N22987" s="11"/>
      <c r="O22987" s="11"/>
      <c r="P22987" s="11"/>
    </row>
    <row r="22988" spans="8:16" x14ac:dyDescent="0.25">
      <c r="H22988" s="12"/>
      <c r="I22988" s="12"/>
      <c r="J22988" s="12"/>
      <c r="K22988" s="12"/>
      <c r="L22988" s="12"/>
      <c r="M22988" s="11"/>
      <c r="N22988" s="11"/>
      <c r="O22988" s="11"/>
      <c r="P22988" s="11"/>
    </row>
    <row r="22989" spans="8:16" x14ac:dyDescent="0.25">
      <c r="H22989" s="12"/>
      <c r="I22989" s="12"/>
      <c r="J22989" s="12"/>
      <c r="K22989" s="12"/>
      <c r="L22989" s="12"/>
      <c r="M22989" s="11"/>
      <c r="N22989" s="11"/>
      <c r="O22989" s="11"/>
      <c r="P22989" s="11"/>
    </row>
    <row r="22990" spans="8:16" x14ac:dyDescent="0.25">
      <c r="H22990" s="12"/>
      <c r="I22990" s="12"/>
      <c r="J22990" s="12"/>
      <c r="K22990" s="12"/>
      <c r="L22990" s="12"/>
      <c r="M22990" s="11"/>
      <c r="N22990" s="11"/>
      <c r="O22990" s="11"/>
      <c r="P22990" s="11"/>
    </row>
    <row r="22991" spans="8:16" x14ac:dyDescent="0.25">
      <c r="H22991" s="12"/>
      <c r="I22991" s="12"/>
      <c r="J22991" s="12"/>
      <c r="K22991" s="12"/>
      <c r="L22991" s="12"/>
      <c r="M22991" s="11"/>
      <c r="N22991" s="11"/>
      <c r="O22991" s="11"/>
      <c r="P22991" s="11"/>
    </row>
    <row r="22992" spans="8:16" x14ac:dyDescent="0.25">
      <c r="H22992" s="12"/>
      <c r="I22992" s="12"/>
      <c r="J22992" s="12"/>
      <c r="K22992" s="12"/>
      <c r="L22992" s="12"/>
      <c r="M22992" s="11"/>
      <c r="N22992" s="11"/>
      <c r="O22992" s="11"/>
      <c r="P22992" s="11"/>
    </row>
    <row r="22993" spans="8:16" x14ac:dyDescent="0.25">
      <c r="H22993" s="12"/>
      <c r="I22993" s="12"/>
      <c r="J22993" s="12"/>
      <c r="K22993" s="12"/>
      <c r="L22993" s="12"/>
      <c r="M22993" s="11"/>
      <c r="N22993" s="11"/>
      <c r="O22993" s="11"/>
      <c r="P22993" s="11"/>
    </row>
    <row r="22994" spans="8:16" x14ac:dyDescent="0.25">
      <c r="H22994" s="12"/>
      <c r="I22994" s="12"/>
      <c r="J22994" s="12"/>
      <c r="K22994" s="12"/>
      <c r="L22994" s="12"/>
      <c r="M22994" s="11"/>
      <c r="N22994" s="11"/>
      <c r="O22994" s="11"/>
      <c r="P22994" s="11"/>
    </row>
    <row r="22995" spans="8:16" x14ac:dyDescent="0.25">
      <c r="H22995" s="12"/>
      <c r="I22995" s="12"/>
      <c r="J22995" s="12"/>
      <c r="K22995" s="12"/>
      <c r="L22995" s="12"/>
      <c r="M22995" s="11"/>
      <c r="N22995" s="11"/>
      <c r="O22995" s="11"/>
      <c r="P22995" s="11"/>
    </row>
    <row r="22996" spans="8:16" x14ac:dyDescent="0.25">
      <c r="H22996" s="12"/>
      <c r="I22996" s="12"/>
      <c r="J22996" s="12"/>
      <c r="K22996" s="12"/>
      <c r="L22996" s="12"/>
      <c r="M22996" s="11"/>
      <c r="N22996" s="11"/>
      <c r="O22996" s="11"/>
      <c r="P22996" s="11"/>
    </row>
    <row r="22997" spans="8:16" x14ac:dyDescent="0.25">
      <c r="H22997" s="12"/>
      <c r="I22997" s="12"/>
      <c r="J22997" s="12"/>
      <c r="K22997" s="12"/>
      <c r="L22997" s="12"/>
      <c r="M22997" s="11"/>
      <c r="N22997" s="11"/>
      <c r="O22997" s="11"/>
      <c r="P22997" s="11"/>
    </row>
    <row r="22998" spans="8:16" x14ac:dyDescent="0.25">
      <c r="H22998" s="12"/>
      <c r="I22998" s="12"/>
      <c r="J22998" s="12"/>
      <c r="K22998" s="12"/>
      <c r="L22998" s="12"/>
      <c r="M22998" s="11"/>
      <c r="N22998" s="11"/>
      <c r="O22998" s="11"/>
      <c r="P22998" s="11"/>
    </row>
    <row r="22999" spans="8:16" x14ac:dyDescent="0.25">
      <c r="H22999" s="12"/>
      <c r="I22999" s="12"/>
      <c r="J22999" s="12"/>
      <c r="K22999" s="12"/>
      <c r="L22999" s="12"/>
      <c r="M22999" s="11"/>
      <c r="N22999" s="11"/>
      <c r="O22999" s="11"/>
      <c r="P22999" s="11"/>
    </row>
    <row r="23000" spans="8:16" x14ac:dyDescent="0.25">
      <c r="H23000" s="12"/>
      <c r="I23000" s="12"/>
      <c r="J23000" s="12"/>
      <c r="K23000" s="12"/>
      <c r="L23000" s="12"/>
      <c r="M23000" s="11"/>
      <c r="N23000" s="11"/>
      <c r="O23000" s="11"/>
      <c r="P23000" s="11"/>
    </row>
    <row r="23001" spans="8:16" x14ac:dyDescent="0.25">
      <c r="H23001" s="12"/>
      <c r="I23001" s="12"/>
      <c r="J23001" s="12"/>
      <c r="K23001" s="12"/>
      <c r="L23001" s="12"/>
      <c r="M23001" s="11"/>
      <c r="N23001" s="11"/>
      <c r="O23001" s="11"/>
      <c r="P23001" s="11"/>
    </row>
    <row r="23002" spans="8:16" x14ac:dyDescent="0.25">
      <c r="H23002" s="12"/>
      <c r="I23002" s="12"/>
      <c r="J23002" s="12"/>
      <c r="K23002" s="12"/>
      <c r="L23002" s="12"/>
      <c r="M23002" s="11"/>
      <c r="N23002" s="11"/>
      <c r="O23002" s="11"/>
      <c r="P23002" s="11"/>
    </row>
    <row r="23003" spans="8:16" x14ac:dyDescent="0.25">
      <c r="H23003" s="12"/>
      <c r="I23003" s="12"/>
      <c r="J23003" s="12"/>
      <c r="K23003" s="12"/>
      <c r="L23003" s="12"/>
      <c r="M23003" s="11"/>
      <c r="N23003" s="11"/>
      <c r="O23003" s="11"/>
      <c r="P23003" s="11"/>
    </row>
    <row r="23004" spans="8:16" x14ac:dyDescent="0.25">
      <c r="H23004" s="12"/>
      <c r="I23004" s="12"/>
      <c r="J23004" s="12"/>
      <c r="K23004" s="12"/>
      <c r="L23004" s="12"/>
      <c r="M23004" s="11"/>
      <c r="N23004" s="11"/>
      <c r="O23004" s="11"/>
      <c r="P23004" s="11"/>
    </row>
    <row r="23005" spans="8:16" x14ac:dyDescent="0.25">
      <c r="H23005" s="12"/>
      <c r="I23005" s="12"/>
      <c r="J23005" s="12"/>
      <c r="K23005" s="12"/>
      <c r="L23005" s="12"/>
      <c r="M23005" s="11"/>
      <c r="N23005" s="11"/>
      <c r="O23005" s="11"/>
      <c r="P23005" s="11"/>
    </row>
    <row r="23006" spans="8:16" x14ac:dyDescent="0.25">
      <c r="H23006" s="12"/>
      <c r="I23006" s="12"/>
      <c r="J23006" s="12"/>
      <c r="K23006" s="12"/>
      <c r="L23006" s="12"/>
      <c r="M23006" s="11"/>
      <c r="N23006" s="11"/>
      <c r="O23006" s="11"/>
      <c r="P23006" s="11"/>
    </row>
    <row r="23007" spans="8:16" x14ac:dyDescent="0.25">
      <c r="H23007" s="12"/>
      <c r="I23007" s="12"/>
      <c r="J23007" s="12"/>
      <c r="K23007" s="12"/>
      <c r="L23007" s="12"/>
      <c r="M23007" s="11"/>
      <c r="N23007" s="11"/>
      <c r="O23007" s="11"/>
      <c r="P23007" s="11"/>
    </row>
    <row r="23008" spans="8:16" x14ac:dyDescent="0.25">
      <c r="H23008" s="12"/>
      <c r="I23008" s="12"/>
      <c r="J23008" s="12"/>
      <c r="K23008" s="12"/>
      <c r="L23008" s="12"/>
      <c r="M23008" s="11"/>
      <c r="N23008" s="11"/>
      <c r="O23008" s="11"/>
      <c r="P23008" s="11"/>
    </row>
    <row r="23009" spans="8:16" x14ac:dyDescent="0.25">
      <c r="H23009" s="12"/>
      <c r="I23009" s="12"/>
      <c r="J23009" s="12"/>
      <c r="K23009" s="12"/>
      <c r="L23009" s="12"/>
      <c r="M23009" s="11"/>
      <c r="N23009" s="11"/>
      <c r="O23009" s="11"/>
      <c r="P23009" s="11"/>
    </row>
    <row r="23010" spans="8:16" x14ac:dyDescent="0.25">
      <c r="H23010" s="12"/>
      <c r="I23010" s="12"/>
      <c r="J23010" s="12"/>
      <c r="K23010" s="12"/>
      <c r="L23010" s="12"/>
      <c r="M23010" s="11"/>
      <c r="N23010" s="11"/>
      <c r="O23010" s="11"/>
      <c r="P23010" s="11"/>
    </row>
    <row r="23011" spans="8:16" x14ac:dyDescent="0.25">
      <c r="H23011" s="12"/>
      <c r="I23011" s="12"/>
      <c r="J23011" s="12"/>
      <c r="K23011" s="12"/>
      <c r="L23011" s="12"/>
      <c r="M23011" s="11"/>
      <c r="N23011" s="11"/>
      <c r="O23011" s="11"/>
      <c r="P23011" s="11"/>
    </row>
    <row r="23012" spans="8:16" x14ac:dyDescent="0.25">
      <c r="H23012" s="12"/>
      <c r="I23012" s="12"/>
      <c r="J23012" s="12"/>
      <c r="K23012" s="12"/>
      <c r="L23012" s="12"/>
      <c r="M23012" s="11"/>
      <c r="N23012" s="11"/>
      <c r="O23012" s="11"/>
      <c r="P23012" s="11"/>
    </row>
    <row r="23013" spans="8:16" x14ac:dyDescent="0.25">
      <c r="H23013" s="12"/>
      <c r="I23013" s="12"/>
      <c r="J23013" s="12"/>
      <c r="K23013" s="12"/>
      <c r="L23013" s="12"/>
      <c r="M23013" s="11"/>
      <c r="N23013" s="11"/>
      <c r="O23013" s="11"/>
      <c r="P23013" s="11"/>
    </row>
    <row r="23014" spans="8:16" x14ac:dyDescent="0.25">
      <c r="H23014" s="12"/>
      <c r="I23014" s="12"/>
      <c r="J23014" s="12"/>
      <c r="K23014" s="12"/>
      <c r="L23014" s="12"/>
      <c r="M23014" s="11"/>
      <c r="N23014" s="11"/>
      <c r="O23014" s="11"/>
      <c r="P23014" s="11"/>
    </row>
    <row r="23015" spans="8:16" x14ac:dyDescent="0.25">
      <c r="H23015" s="12"/>
      <c r="I23015" s="12"/>
      <c r="J23015" s="12"/>
      <c r="K23015" s="12"/>
      <c r="L23015" s="12"/>
      <c r="M23015" s="11"/>
      <c r="N23015" s="11"/>
      <c r="O23015" s="11"/>
      <c r="P23015" s="11"/>
    </row>
    <row r="23016" spans="8:16" x14ac:dyDescent="0.25">
      <c r="H23016" s="12"/>
      <c r="I23016" s="12"/>
      <c r="J23016" s="12"/>
      <c r="K23016" s="12"/>
      <c r="L23016" s="12"/>
      <c r="M23016" s="11"/>
      <c r="N23016" s="11"/>
      <c r="O23016" s="11"/>
      <c r="P23016" s="11"/>
    </row>
    <row r="23017" spans="8:16" x14ac:dyDescent="0.25">
      <c r="H23017" s="12"/>
      <c r="I23017" s="12"/>
      <c r="J23017" s="12"/>
      <c r="K23017" s="12"/>
      <c r="L23017" s="12"/>
      <c r="M23017" s="11"/>
      <c r="N23017" s="11"/>
      <c r="O23017" s="11"/>
      <c r="P23017" s="11"/>
    </row>
    <row r="23018" spans="8:16" x14ac:dyDescent="0.25">
      <c r="H23018" s="12"/>
      <c r="I23018" s="12"/>
      <c r="J23018" s="12"/>
      <c r="K23018" s="12"/>
      <c r="L23018" s="12"/>
      <c r="M23018" s="11"/>
      <c r="N23018" s="11"/>
      <c r="O23018" s="11"/>
      <c r="P23018" s="11"/>
    </row>
    <row r="23019" spans="8:16" x14ac:dyDescent="0.25">
      <c r="H23019" s="12"/>
      <c r="I23019" s="12"/>
      <c r="J23019" s="12"/>
      <c r="K23019" s="12"/>
      <c r="L23019" s="12"/>
      <c r="M23019" s="11"/>
      <c r="N23019" s="11"/>
      <c r="O23019" s="11"/>
      <c r="P23019" s="11"/>
    </row>
    <row r="23020" spans="8:16" x14ac:dyDescent="0.25">
      <c r="H23020" s="12"/>
      <c r="I23020" s="12"/>
      <c r="J23020" s="12"/>
      <c r="K23020" s="12"/>
      <c r="L23020" s="12"/>
      <c r="M23020" s="11"/>
      <c r="N23020" s="11"/>
      <c r="O23020" s="11"/>
      <c r="P23020" s="11"/>
    </row>
    <row r="23021" spans="8:16" x14ac:dyDescent="0.25">
      <c r="H23021" s="12"/>
      <c r="I23021" s="12"/>
      <c r="J23021" s="12"/>
      <c r="K23021" s="12"/>
      <c r="L23021" s="12"/>
      <c r="M23021" s="11"/>
      <c r="N23021" s="11"/>
      <c r="O23021" s="11"/>
      <c r="P23021" s="11"/>
    </row>
    <row r="23022" spans="8:16" x14ac:dyDescent="0.25">
      <c r="H23022" s="12"/>
      <c r="I23022" s="12"/>
      <c r="J23022" s="12"/>
      <c r="K23022" s="12"/>
      <c r="L23022" s="12"/>
      <c r="M23022" s="11"/>
      <c r="N23022" s="11"/>
      <c r="O23022" s="11"/>
      <c r="P23022" s="11"/>
    </row>
    <row r="23023" spans="8:16" x14ac:dyDescent="0.25">
      <c r="H23023" s="12"/>
      <c r="I23023" s="12"/>
      <c r="J23023" s="12"/>
      <c r="K23023" s="12"/>
      <c r="L23023" s="12"/>
      <c r="M23023" s="11"/>
      <c r="N23023" s="11"/>
      <c r="O23023" s="11"/>
      <c r="P23023" s="11"/>
    </row>
    <row r="23024" spans="8:16" x14ac:dyDescent="0.25">
      <c r="H23024" s="12"/>
      <c r="I23024" s="12"/>
      <c r="J23024" s="12"/>
      <c r="K23024" s="12"/>
      <c r="L23024" s="12"/>
      <c r="M23024" s="11"/>
      <c r="N23024" s="11"/>
      <c r="O23024" s="11"/>
      <c r="P23024" s="11"/>
    </row>
    <row r="23025" spans="8:16" x14ac:dyDescent="0.25">
      <c r="H23025" s="12"/>
      <c r="I23025" s="12"/>
      <c r="J23025" s="12"/>
      <c r="K23025" s="12"/>
      <c r="L23025" s="12"/>
      <c r="M23025" s="11"/>
      <c r="N23025" s="11"/>
      <c r="O23025" s="11"/>
      <c r="P23025" s="11"/>
    </row>
    <row r="23026" spans="8:16" x14ac:dyDescent="0.25">
      <c r="H23026" s="12"/>
      <c r="I23026" s="12"/>
      <c r="J23026" s="12"/>
      <c r="K23026" s="12"/>
      <c r="L23026" s="12"/>
      <c r="M23026" s="11"/>
      <c r="N23026" s="11"/>
      <c r="O23026" s="11"/>
      <c r="P23026" s="11"/>
    </row>
    <row r="23027" spans="8:16" x14ac:dyDescent="0.25">
      <c r="H23027" s="12"/>
      <c r="I23027" s="12"/>
      <c r="J23027" s="12"/>
      <c r="K23027" s="12"/>
      <c r="L23027" s="12"/>
      <c r="M23027" s="11"/>
      <c r="N23027" s="11"/>
      <c r="O23027" s="11"/>
      <c r="P23027" s="11"/>
    </row>
    <row r="23028" spans="8:16" x14ac:dyDescent="0.25">
      <c r="H23028" s="12"/>
      <c r="I23028" s="12"/>
      <c r="J23028" s="12"/>
      <c r="K23028" s="12"/>
      <c r="L23028" s="12"/>
      <c r="M23028" s="11"/>
      <c r="N23028" s="11"/>
      <c r="O23028" s="11"/>
      <c r="P23028" s="11"/>
    </row>
    <row r="23029" spans="8:16" x14ac:dyDescent="0.25">
      <c r="H23029" s="12"/>
      <c r="I23029" s="12"/>
      <c r="J23029" s="12"/>
      <c r="K23029" s="12"/>
      <c r="L23029" s="12"/>
      <c r="M23029" s="11"/>
      <c r="N23029" s="11"/>
      <c r="O23029" s="11"/>
      <c r="P23029" s="11"/>
    </row>
    <row r="23030" spans="8:16" x14ac:dyDescent="0.25">
      <c r="H23030" s="12"/>
      <c r="I23030" s="12"/>
      <c r="J23030" s="12"/>
      <c r="K23030" s="12"/>
      <c r="L23030" s="12"/>
      <c r="M23030" s="11"/>
      <c r="N23030" s="11"/>
      <c r="O23030" s="11"/>
      <c r="P23030" s="11"/>
    </row>
    <row r="23031" spans="8:16" x14ac:dyDescent="0.25">
      <c r="H23031" s="12"/>
      <c r="I23031" s="12"/>
      <c r="J23031" s="12"/>
      <c r="K23031" s="12"/>
      <c r="L23031" s="12"/>
      <c r="M23031" s="11"/>
      <c r="N23031" s="11"/>
      <c r="O23031" s="11"/>
      <c r="P23031" s="11"/>
    </row>
    <row r="23032" spans="8:16" x14ac:dyDescent="0.25">
      <c r="H23032" s="12"/>
      <c r="I23032" s="12"/>
      <c r="J23032" s="12"/>
      <c r="K23032" s="12"/>
      <c r="L23032" s="12"/>
      <c r="M23032" s="11"/>
      <c r="N23032" s="11"/>
      <c r="O23032" s="11"/>
      <c r="P23032" s="11"/>
    </row>
    <row r="23033" spans="8:16" x14ac:dyDescent="0.25">
      <c r="H23033" s="12"/>
      <c r="I23033" s="12"/>
      <c r="J23033" s="12"/>
      <c r="K23033" s="12"/>
      <c r="L23033" s="12"/>
      <c r="M23033" s="11"/>
      <c r="N23033" s="11"/>
      <c r="O23033" s="11"/>
      <c r="P23033" s="11"/>
    </row>
    <row r="23034" spans="8:16" x14ac:dyDescent="0.25">
      <c r="H23034" s="12"/>
      <c r="I23034" s="12"/>
      <c r="J23034" s="12"/>
      <c r="K23034" s="12"/>
      <c r="L23034" s="12"/>
      <c r="M23034" s="11"/>
      <c r="N23034" s="11"/>
      <c r="O23034" s="11"/>
      <c r="P23034" s="11"/>
    </row>
    <row r="23035" spans="8:16" x14ac:dyDescent="0.25">
      <c r="H23035" s="12"/>
      <c r="I23035" s="12"/>
      <c r="J23035" s="12"/>
      <c r="K23035" s="12"/>
      <c r="L23035" s="12"/>
      <c r="M23035" s="11"/>
      <c r="N23035" s="11"/>
      <c r="O23035" s="11"/>
      <c r="P23035" s="11"/>
    </row>
    <row r="23036" spans="8:16" x14ac:dyDescent="0.25">
      <c r="H23036" s="12"/>
      <c r="I23036" s="12"/>
      <c r="J23036" s="12"/>
      <c r="K23036" s="12"/>
      <c r="L23036" s="12"/>
      <c r="M23036" s="11"/>
      <c r="N23036" s="11"/>
      <c r="O23036" s="11"/>
      <c r="P23036" s="11"/>
    </row>
    <row r="23037" spans="8:16" x14ac:dyDescent="0.25">
      <c r="H23037" s="12"/>
      <c r="I23037" s="12"/>
      <c r="J23037" s="12"/>
      <c r="K23037" s="12"/>
      <c r="L23037" s="12"/>
      <c r="M23037" s="11"/>
      <c r="N23037" s="11"/>
      <c r="O23037" s="11"/>
      <c r="P23037" s="11"/>
    </row>
    <row r="23038" spans="8:16" x14ac:dyDescent="0.25">
      <c r="H23038" s="12"/>
      <c r="I23038" s="12"/>
      <c r="J23038" s="12"/>
      <c r="K23038" s="12"/>
      <c r="L23038" s="12"/>
      <c r="M23038" s="11"/>
      <c r="N23038" s="11"/>
      <c r="O23038" s="11"/>
      <c r="P23038" s="11"/>
    </row>
    <row r="23039" spans="8:16" x14ac:dyDescent="0.25">
      <c r="H23039" s="12"/>
      <c r="I23039" s="12"/>
      <c r="J23039" s="12"/>
      <c r="K23039" s="12"/>
      <c r="L23039" s="12"/>
      <c r="M23039" s="11"/>
      <c r="N23039" s="11"/>
      <c r="O23039" s="11"/>
      <c r="P23039" s="11"/>
    </row>
    <row r="23040" spans="8:16" x14ac:dyDescent="0.25">
      <c r="H23040" s="12"/>
      <c r="I23040" s="12"/>
      <c r="J23040" s="12"/>
      <c r="K23040" s="12"/>
      <c r="L23040" s="12"/>
      <c r="M23040" s="11"/>
      <c r="N23040" s="11"/>
      <c r="O23040" s="11"/>
      <c r="P23040" s="11"/>
    </row>
    <row r="23041" spans="8:16" x14ac:dyDescent="0.25">
      <c r="H23041" s="12"/>
      <c r="I23041" s="12"/>
      <c r="J23041" s="12"/>
      <c r="K23041" s="12"/>
      <c r="L23041" s="12"/>
      <c r="M23041" s="11"/>
      <c r="N23041" s="11"/>
      <c r="O23041" s="11"/>
      <c r="P23041" s="11"/>
    </row>
    <row r="23042" spans="8:16" x14ac:dyDescent="0.25">
      <c r="H23042" s="12"/>
      <c r="I23042" s="12"/>
      <c r="J23042" s="12"/>
      <c r="K23042" s="12"/>
      <c r="L23042" s="12"/>
      <c r="M23042" s="11"/>
      <c r="N23042" s="11"/>
      <c r="O23042" s="11"/>
      <c r="P23042" s="11"/>
    </row>
    <row r="23043" spans="8:16" x14ac:dyDescent="0.25">
      <c r="H23043" s="12"/>
      <c r="I23043" s="12"/>
      <c r="J23043" s="12"/>
      <c r="K23043" s="12"/>
      <c r="L23043" s="12"/>
      <c r="M23043" s="11"/>
      <c r="N23043" s="11"/>
      <c r="O23043" s="11"/>
      <c r="P23043" s="11"/>
    </row>
    <row r="23044" spans="8:16" x14ac:dyDescent="0.25">
      <c r="H23044" s="12"/>
      <c r="I23044" s="12"/>
      <c r="J23044" s="12"/>
      <c r="K23044" s="12"/>
      <c r="L23044" s="12"/>
      <c r="M23044" s="11"/>
      <c r="N23044" s="11"/>
      <c r="O23044" s="11"/>
      <c r="P23044" s="11"/>
    </row>
    <row r="23045" spans="8:16" x14ac:dyDescent="0.25">
      <c r="H23045" s="12"/>
      <c r="I23045" s="12"/>
      <c r="J23045" s="12"/>
      <c r="K23045" s="12"/>
      <c r="L23045" s="12"/>
      <c r="M23045" s="11"/>
      <c r="N23045" s="11"/>
      <c r="O23045" s="11"/>
      <c r="P23045" s="11"/>
    </row>
    <row r="23046" spans="8:16" x14ac:dyDescent="0.25">
      <c r="H23046" s="12"/>
      <c r="I23046" s="12"/>
      <c r="J23046" s="12"/>
      <c r="K23046" s="12"/>
      <c r="L23046" s="12"/>
      <c r="M23046" s="11"/>
      <c r="N23046" s="11"/>
      <c r="O23046" s="11"/>
      <c r="P23046" s="11"/>
    </row>
    <row r="23047" spans="8:16" x14ac:dyDescent="0.25">
      <c r="H23047" s="12"/>
      <c r="I23047" s="12"/>
      <c r="J23047" s="12"/>
      <c r="K23047" s="12"/>
      <c r="L23047" s="12"/>
      <c r="M23047" s="11"/>
      <c r="N23047" s="11"/>
      <c r="O23047" s="11"/>
      <c r="P23047" s="11"/>
    </row>
    <row r="23048" spans="8:16" x14ac:dyDescent="0.25">
      <c r="H23048" s="12"/>
      <c r="I23048" s="12"/>
      <c r="J23048" s="12"/>
      <c r="K23048" s="12"/>
      <c r="L23048" s="12"/>
      <c r="M23048" s="11"/>
      <c r="N23048" s="11"/>
      <c r="O23048" s="11"/>
      <c r="P23048" s="11"/>
    </row>
    <row r="23049" spans="8:16" x14ac:dyDescent="0.25">
      <c r="H23049" s="12"/>
      <c r="I23049" s="12"/>
      <c r="J23049" s="12"/>
      <c r="K23049" s="12"/>
      <c r="L23049" s="12"/>
      <c r="M23049" s="11"/>
      <c r="N23049" s="11"/>
      <c r="O23049" s="11"/>
      <c r="P23049" s="11"/>
    </row>
    <row r="23050" spans="8:16" x14ac:dyDescent="0.25">
      <c r="H23050" s="12"/>
      <c r="I23050" s="12"/>
      <c r="J23050" s="12"/>
      <c r="K23050" s="12"/>
      <c r="L23050" s="12"/>
      <c r="M23050" s="11"/>
      <c r="N23050" s="11"/>
      <c r="O23050" s="11"/>
      <c r="P23050" s="11"/>
    </row>
    <row r="23051" spans="8:16" x14ac:dyDescent="0.25">
      <c r="H23051" s="12"/>
      <c r="I23051" s="12"/>
      <c r="J23051" s="12"/>
      <c r="K23051" s="12"/>
      <c r="L23051" s="12"/>
      <c r="M23051" s="11"/>
      <c r="N23051" s="11"/>
      <c r="O23051" s="11"/>
      <c r="P23051" s="11"/>
    </row>
    <row r="23052" spans="8:16" x14ac:dyDescent="0.25">
      <c r="H23052" s="12"/>
      <c r="I23052" s="12"/>
      <c r="J23052" s="12"/>
      <c r="K23052" s="12"/>
      <c r="L23052" s="12"/>
      <c r="M23052" s="11"/>
      <c r="N23052" s="11"/>
      <c r="O23052" s="11"/>
      <c r="P23052" s="11"/>
    </row>
    <row r="23053" spans="8:16" x14ac:dyDescent="0.25">
      <c r="H23053" s="12"/>
      <c r="I23053" s="12"/>
      <c r="J23053" s="12"/>
      <c r="K23053" s="12"/>
      <c r="L23053" s="12"/>
      <c r="M23053" s="11"/>
      <c r="N23053" s="11"/>
      <c r="O23053" s="11"/>
      <c r="P23053" s="11"/>
    </row>
    <row r="23054" spans="8:16" x14ac:dyDescent="0.25">
      <c r="H23054" s="12"/>
      <c r="I23054" s="12"/>
      <c r="J23054" s="12"/>
      <c r="K23054" s="12"/>
      <c r="L23054" s="12"/>
      <c r="M23054" s="11"/>
      <c r="N23054" s="11"/>
      <c r="O23054" s="11"/>
      <c r="P23054" s="11"/>
    </row>
    <row r="23055" spans="8:16" x14ac:dyDescent="0.25">
      <c r="H23055" s="12"/>
      <c r="I23055" s="12"/>
      <c r="J23055" s="12"/>
      <c r="K23055" s="12"/>
      <c r="L23055" s="12"/>
      <c r="M23055" s="11"/>
      <c r="N23055" s="11"/>
      <c r="O23055" s="11"/>
      <c r="P23055" s="11"/>
    </row>
    <row r="23056" spans="8:16" x14ac:dyDescent="0.25">
      <c r="H23056" s="12"/>
      <c r="I23056" s="12"/>
      <c r="J23056" s="12"/>
      <c r="K23056" s="12"/>
      <c r="L23056" s="12"/>
      <c r="M23056" s="11"/>
      <c r="N23056" s="11"/>
      <c r="O23056" s="11"/>
      <c r="P23056" s="11"/>
    </row>
    <row r="23057" spans="8:16" x14ac:dyDescent="0.25">
      <c r="H23057" s="12"/>
      <c r="I23057" s="12"/>
      <c r="J23057" s="12"/>
      <c r="K23057" s="12"/>
      <c r="L23057" s="12"/>
      <c r="M23057" s="11"/>
      <c r="N23057" s="11"/>
      <c r="O23057" s="11"/>
      <c r="P23057" s="11"/>
    </row>
    <row r="23058" spans="8:16" x14ac:dyDescent="0.25">
      <c r="H23058" s="12"/>
      <c r="I23058" s="12"/>
      <c r="J23058" s="12"/>
      <c r="K23058" s="12"/>
      <c r="L23058" s="12"/>
      <c r="M23058" s="11"/>
      <c r="N23058" s="11"/>
      <c r="O23058" s="11"/>
      <c r="P23058" s="11"/>
    </row>
    <row r="23059" spans="8:16" x14ac:dyDescent="0.25">
      <c r="H23059" s="12"/>
      <c r="I23059" s="12"/>
      <c r="J23059" s="12"/>
      <c r="K23059" s="12"/>
      <c r="L23059" s="12"/>
      <c r="M23059" s="11"/>
      <c r="N23059" s="11"/>
      <c r="O23059" s="11"/>
      <c r="P23059" s="11"/>
    </row>
    <row r="23060" spans="8:16" x14ac:dyDescent="0.25">
      <c r="H23060" s="12"/>
      <c r="I23060" s="12"/>
      <c r="J23060" s="12"/>
      <c r="K23060" s="12"/>
      <c r="L23060" s="12"/>
      <c r="M23060" s="11"/>
      <c r="N23060" s="11"/>
      <c r="O23060" s="11"/>
      <c r="P23060" s="11"/>
    </row>
    <row r="23061" spans="8:16" x14ac:dyDescent="0.25">
      <c r="H23061" s="12"/>
      <c r="I23061" s="12"/>
      <c r="J23061" s="12"/>
      <c r="K23061" s="12"/>
      <c r="L23061" s="12"/>
      <c r="M23061" s="11"/>
      <c r="N23061" s="11"/>
      <c r="O23061" s="11"/>
      <c r="P23061" s="11"/>
    </row>
    <row r="23062" spans="8:16" x14ac:dyDescent="0.25">
      <c r="H23062" s="12"/>
      <c r="I23062" s="12"/>
      <c r="J23062" s="12"/>
      <c r="K23062" s="12"/>
      <c r="L23062" s="12"/>
      <c r="M23062" s="11"/>
      <c r="N23062" s="11"/>
      <c r="O23062" s="11"/>
      <c r="P23062" s="11"/>
    </row>
    <row r="23063" spans="8:16" x14ac:dyDescent="0.25">
      <c r="H23063" s="12"/>
      <c r="I23063" s="12"/>
      <c r="J23063" s="12"/>
      <c r="K23063" s="12"/>
      <c r="L23063" s="12"/>
      <c r="M23063" s="11"/>
      <c r="N23063" s="11"/>
      <c r="O23063" s="11"/>
      <c r="P23063" s="11"/>
    </row>
    <row r="23064" spans="8:16" x14ac:dyDescent="0.25">
      <c r="H23064" s="12"/>
      <c r="I23064" s="12"/>
      <c r="J23064" s="12"/>
      <c r="K23064" s="12"/>
      <c r="L23064" s="12"/>
      <c r="M23064" s="11"/>
      <c r="N23064" s="11"/>
      <c r="O23064" s="11"/>
      <c r="P23064" s="11"/>
    </row>
    <row r="23065" spans="8:16" x14ac:dyDescent="0.25">
      <c r="H23065" s="12"/>
      <c r="I23065" s="12"/>
      <c r="J23065" s="12"/>
      <c r="K23065" s="12"/>
      <c r="L23065" s="12"/>
      <c r="M23065" s="11"/>
      <c r="N23065" s="11"/>
      <c r="O23065" s="11"/>
      <c r="P23065" s="11"/>
    </row>
    <row r="23066" spans="8:16" x14ac:dyDescent="0.25">
      <c r="H23066" s="12"/>
      <c r="I23066" s="12"/>
      <c r="J23066" s="12"/>
      <c r="K23066" s="12"/>
      <c r="L23066" s="12"/>
      <c r="M23066" s="11"/>
      <c r="N23066" s="11"/>
      <c r="O23066" s="11"/>
      <c r="P23066" s="11"/>
    </row>
    <row r="23067" spans="8:16" x14ac:dyDescent="0.25">
      <c r="H23067" s="12"/>
      <c r="I23067" s="12"/>
      <c r="J23067" s="12"/>
      <c r="K23067" s="12"/>
      <c r="L23067" s="12"/>
      <c r="M23067" s="11"/>
      <c r="N23067" s="11"/>
      <c r="O23067" s="11"/>
      <c r="P23067" s="11"/>
    </row>
    <row r="23068" spans="8:16" x14ac:dyDescent="0.25">
      <c r="H23068" s="12"/>
      <c r="I23068" s="12"/>
      <c r="J23068" s="12"/>
      <c r="K23068" s="12"/>
      <c r="L23068" s="12"/>
      <c r="M23068" s="11"/>
      <c r="N23068" s="11"/>
      <c r="O23068" s="11"/>
      <c r="P23068" s="11"/>
    </row>
    <row r="23069" spans="8:16" x14ac:dyDescent="0.25">
      <c r="H23069" s="12"/>
      <c r="I23069" s="12"/>
      <c r="J23069" s="12"/>
      <c r="K23069" s="12"/>
      <c r="L23069" s="12"/>
      <c r="M23069" s="11"/>
      <c r="N23069" s="11"/>
      <c r="O23069" s="11"/>
      <c r="P23069" s="11"/>
    </row>
    <row r="23070" spans="8:16" x14ac:dyDescent="0.25">
      <c r="H23070" s="12"/>
      <c r="I23070" s="12"/>
      <c r="J23070" s="12"/>
      <c r="K23070" s="12"/>
      <c r="L23070" s="12"/>
      <c r="M23070" s="11"/>
      <c r="N23070" s="11"/>
      <c r="O23070" s="11"/>
      <c r="P23070" s="11"/>
    </row>
    <row r="23071" spans="8:16" x14ac:dyDescent="0.25">
      <c r="H23071" s="12"/>
      <c r="I23071" s="12"/>
      <c r="J23071" s="12"/>
      <c r="K23071" s="12"/>
      <c r="L23071" s="12"/>
      <c r="M23071" s="11"/>
      <c r="N23071" s="11"/>
      <c r="O23071" s="11"/>
      <c r="P23071" s="11"/>
    </row>
    <row r="23072" spans="8:16" x14ac:dyDescent="0.25">
      <c r="H23072" s="12"/>
      <c r="I23072" s="12"/>
      <c r="J23072" s="12"/>
      <c r="K23072" s="12"/>
      <c r="L23072" s="12"/>
      <c r="M23072" s="11"/>
      <c r="N23072" s="11"/>
      <c r="O23072" s="11"/>
      <c r="P23072" s="11"/>
    </row>
    <row r="23073" spans="8:16" x14ac:dyDescent="0.25">
      <c r="H23073" s="12"/>
      <c r="I23073" s="12"/>
      <c r="J23073" s="12"/>
      <c r="K23073" s="12"/>
      <c r="L23073" s="12"/>
      <c r="M23073" s="11"/>
      <c r="N23073" s="11"/>
      <c r="O23073" s="11"/>
      <c r="P23073" s="11"/>
    </row>
    <row r="23074" spans="8:16" x14ac:dyDescent="0.25">
      <c r="H23074" s="12"/>
      <c r="I23074" s="12"/>
      <c r="J23074" s="12"/>
      <c r="K23074" s="12"/>
      <c r="L23074" s="12"/>
      <c r="M23074" s="11"/>
      <c r="N23074" s="11"/>
      <c r="O23074" s="11"/>
      <c r="P23074" s="11"/>
    </row>
    <row r="23075" spans="8:16" x14ac:dyDescent="0.25">
      <c r="H23075" s="12"/>
      <c r="I23075" s="12"/>
      <c r="J23075" s="12"/>
      <c r="K23075" s="12"/>
      <c r="L23075" s="12"/>
      <c r="M23075" s="11"/>
      <c r="N23075" s="11"/>
      <c r="O23075" s="11"/>
      <c r="P23075" s="11"/>
    </row>
    <row r="23076" spans="8:16" x14ac:dyDescent="0.25">
      <c r="H23076" s="12"/>
      <c r="I23076" s="12"/>
      <c r="J23076" s="12"/>
      <c r="K23076" s="12"/>
      <c r="L23076" s="12"/>
      <c r="M23076" s="11"/>
      <c r="N23076" s="11"/>
      <c r="O23076" s="11"/>
      <c r="P23076" s="11"/>
    </row>
    <row r="23077" spans="8:16" x14ac:dyDescent="0.25">
      <c r="H23077" s="12"/>
      <c r="I23077" s="12"/>
      <c r="J23077" s="12"/>
      <c r="K23077" s="12"/>
      <c r="L23077" s="12"/>
      <c r="M23077" s="11"/>
      <c r="N23077" s="11"/>
      <c r="O23077" s="11"/>
      <c r="P23077" s="11"/>
    </row>
    <row r="23078" spans="8:16" x14ac:dyDescent="0.25">
      <c r="H23078" s="12"/>
      <c r="I23078" s="12"/>
      <c r="J23078" s="12"/>
      <c r="K23078" s="12"/>
      <c r="L23078" s="12"/>
      <c r="M23078" s="11"/>
      <c r="N23078" s="11"/>
      <c r="O23078" s="11"/>
      <c r="P23078" s="11"/>
    </row>
    <row r="23079" spans="8:16" x14ac:dyDescent="0.25">
      <c r="H23079" s="12"/>
      <c r="I23079" s="12"/>
      <c r="J23079" s="12"/>
      <c r="K23079" s="12"/>
      <c r="L23079" s="12"/>
      <c r="M23079" s="11"/>
      <c r="N23079" s="11"/>
      <c r="O23079" s="11"/>
      <c r="P23079" s="11"/>
    </row>
    <row r="23080" spans="8:16" x14ac:dyDescent="0.25">
      <c r="H23080" s="12"/>
      <c r="I23080" s="12"/>
      <c r="J23080" s="12"/>
      <c r="K23080" s="12"/>
      <c r="L23080" s="12"/>
      <c r="M23080" s="11"/>
      <c r="N23080" s="11"/>
      <c r="O23080" s="11"/>
      <c r="P23080" s="11"/>
    </row>
    <row r="23081" spans="8:16" x14ac:dyDescent="0.25">
      <c r="H23081" s="12"/>
      <c r="I23081" s="12"/>
      <c r="J23081" s="12"/>
      <c r="K23081" s="12"/>
      <c r="L23081" s="12"/>
      <c r="M23081" s="11"/>
      <c r="N23081" s="11"/>
      <c r="O23081" s="11"/>
      <c r="P23081" s="11"/>
    </row>
    <row r="23082" spans="8:16" x14ac:dyDescent="0.25">
      <c r="H23082" s="12"/>
      <c r="I23082" s="12"/>
      <c r="J23082" s="12"/>
      <c r="K23082" s="12"/>
      <c r="L23082" s="12"/>
      <c r="M23082" s="11"/>
      <c r="N23082" s="11"/>
      <c r="O23082" s="11"/>
      <c r="P23082" s="11"/>
    </row>
    <row r="23083" spans="8:16" x14ac:dyDescent="0.25">
      <c r="H23083" s="12"/>
      <c r="I23083" s="12"/>
      <c r="J23083" s="12"/>
      <c r="K23083" s="12"/>
      <c r="L23083" s="12"/>
      <c r="M23083" s="11"/>
      <c r="N23083" s="11"/>
      <c r="O23083" s="11"/>
      <c r="P23083" s="11"/>
    </row>
    <row r="23084" spans="8:16" x14ac:dyDescent="0.25">
      <c r="H23084" s="12"/>
      <c r="I23084" s="12"/>
      <c r="J23084" s="12"/>
      <c r="K23084" s="12"/>
      <c r="L23084" s="12"/>
      <c r="M23084" s="11"/>
      <c r="N23084" s="11"/>
      <c r="O23084" s="11"/>
      <c r="P23084" s="11"/>
    </row>
    <row r="23085" spans="8:16" x14ac:dyDescent="0.25">
      <c r="H23085" s="12"/>
      <c r="I23085" s="12"/>
      <c r="J23085" s="12"/>
      <c r="K23085" s="12"/>
      <c r="L23085" s="12"/>
      <c r="M23085" s="11"/>
      <c r="N23085" s="11"/>
      <c r="O23085" s="11"/>
      <c r="P23085" s="11"/>
    </row>
    <row r="23086" spans="8:16" x14ac:dyDescent="0.25">
      <c r="H23086" s="12"/>
      <c r="I23086" s="12"/>
      <c r="J23086" s="12"/>
      <c r="K23086" s="12"/>
      <c r="L23086" s="12"/>
      <c r="M23086" s="11"/>
      <c r="N23086" s="11"/>
      <c r="O23086" s="11"/>
      <c r="P23086" s="11"/>
    </row>
    <row r="23087" spans="8:16" x14ac:dyDescent="0.25">
      <c r="H23087" s="12"/>
      <c r="I23087" s="12"/>
      <c r="J23087" s="12"/>
      <c r="K23087" s="12"/>
      <c r="L23087" s="12"/>
      <c r="M23087" s="11"/>
      <c r="N23087" s="11"/>
      <c r="O23087" s="11"/>
      <c r="P23087" s="11"/>
    </row>
    <row r="23088" spans="8:16" x14ac:dyDescent="0.25">
      <c r="H23088" s="12"/>
      <c r="I23088" s="12"/>
      <c r="J23088" s="12"/>
      <c r="K23088" s="12"/>
      <c r="L23088" s="12"/>
      <c r="M23088" s="11"/>
      <c r="N23088" s="11"/>
      <c r="O23088" s="11"/>
      <c r="P23088" s="11"/>
    </row>
    <row r="23089" spans="8:16" x14ac:dyDescent="0.25">
      <c r="H23089" s="12"/>
      <c r="I23089" s="12"/>
      <c r="J23089" s="12"/>
      <c r="K23089" s="12"/>
      <c r="L23089" s="12"/>
      <c r="M23089" s="11"/>
      <c r="N23089" s="11"/>
      <c r="O23089" s="11"/>
      <c r="P23089" s="11"/>
    </row>
    <row r="23090" spans="8:16" x14ac:dyDescent="0.25">
      <c r="H23090" s="12"/>
      <c r="I23090" s="12"/>
      <c r="J23090" s="12"/>
      <c r="K23090" s="12"/>
      <c r="L23090" s="12"/>
      <c r="M23090" s="11"/>
      <c r="N23090" s="11"/>
      <c r="O23090" s="11"/>
      <c r="P23090" s="11"/>
    </row>
    <row r="23091" spans="8:16" x14ac:dyDescent="0.25">
      <c r="H23091" s="12"/>
      <c r="I23091" s="12"/>
      <c r="J23091" s="12"/>
      <c r="K23091" s="12"/>
      <c r="L23091" s="12"/>
      <c r="M23091" s="11"/>
      <c r="N23091" s="11"/>
      <c r="O23091" s="11"/>
      <c r="P23091" s="11"/>
    </row>
    <row r="23092" spans="8:16" x14ac:dyDescent="0.25">
      <c r="H23092" s="12"/>
      <c r="I23092" s="12"/>
      <c r="J23092" s="12"/>
      <c r="K23092" s="12"/>
      <c r="L23092" s="12"/>
      <c r="M23092" s="11"/>
      <c r="N23092" s="11"/>
      <c r="O23092" s="11"/>
      <c r="P23092" s="11"/>
    </row>
    <row r="23093" spans="8:16" x14ac:dyDescent="0.25">
      <c r="H23093" s="12"/>
      <c r="I23093" s="12"/>
      <c r="J23093" s="12"/>
      <c r="K23093" s="12"/>
      <c r="L23093" s="12"/>
      <c r="M23093" s="11"/>
      <c r="N23093" s="11"/>
      <c r="O23093" s="11"/>
      <c r="P23093" s="11"/>
    </row>
    <row r="23094" spans="8:16" x14ac:dyDescent="0.25">
      <c r="H23094" s="12"/>
      <c r="I23094" s="12"/>
      <c r="J23094" s="12"/>
      <c r="K23094" s="12"/>
      <c r="L23094" s="12"/>
      <c r="M23094" s="11"/>
      <c r="N23094" s="11"/>
      <c r="O23094" s="11"/>
      <c r="P23094" s="11"/>
    </row>
    <row r="23095" spans="8:16" x14ac:dyDescent="0.25">
      <c r="H23095" s="12"/>
      <c r="I23095" s="12"/>
      <c r="J23095" s="12"/>
      <c r="K23095" s="12"/>
      <c r="L23095" s="12"/>
      <c r="M23095" s="11"/>
      <c r="N23095" s="11"/>
      <c r="O23095" s="11"/>
      <c r="P23095" s="11"/>
    </row>
    <row r="23096" spans="8:16" x14ac:dyDescent="0.25">
      <c r="H23096" s="12"/>
      <c r="I23096" s="12"/>
      <c r="J23096" s="12"/>
      <c r="K23096" s="12"/>
      <c r="L23096" s="12"/>
      <c r="M23096" s="11"/>
      <c r="N23096" s="11"/>
      <c r="O23096" s="11"/>
      <c r="P23096" s="11"/>
    </row>
    <row r="23097" spans="8:16" x14ac:dyDescent="0.25">
      <c r="H23097" s="12"/>
      <c r="I23097" s="12"/>
      <c r="J23097" s="12"/>
      <c r="K23097" s="12"/>
      <c r="L23097" s="12"/>
      <c r="M23097" s="11"/>
      <c r="N23097" s="11"/>
      <c r="O23097" s="11"/>
      <c r="P23097" s="11"/>
    </row>
    <row r="23098" spans="8:16" x14ac:dyDescent="0.25">
      <c r="H23098" s="12"/>
      <c r="I23098" s="12"/>
      <c r="J23098" s="12"/>
      <c r="K23098" s="12"/>
      <c r="L23098" s="12"/>
      <c r="M23098" s="11"/>
      <c r="N23098" s="11"/>
      <c r="O23098" s="11"/>
      <c r="P23098" s="11"/>
    </row>
    <row r="23099" spans="8:16" x14ac:dyDescent="0.25">
      <c r="H23099" s="12"/>
      <c r="I23099" s="12"/>
      <c r="J23099" s="12"/>
      <c r="K23099" s="12"/>
      <c r="L23099" s="12"/>
      <c r="M23099" s="11"/>
      <c r="N23099" s="11"/>
      <c r="O23099" s="11"/>
      <c r="P23099" s="11"/>
    </row>
    <row r="23100" spans="8:16" x14ac:dyDescent="0.25">
      <c r="H23100" s="12"/>
      <c r="I23100" s="12"/>
      <c r="J23100" s="12"/>
      <c r="K23100" s="12"/>
      <c r="L23100" s="12"/>
      <c r="M23100" s="11"/>
      <c r="N23100" s="11"/>
      <c r="O23100" s="11"/>
      <c r="P23100" s="11"/>
    </row>
    <row r="23101" spans="8:16" x14ac:dyDescent="0.25">
      <c r="H23101" s="12"/>
      <c r="I23101" s="12"/>
      <c r="J23101" s="12"/>
      <c r="K23101" s="12"/>
      <c r="L23101" s="12"/>
      <c r="M23101" s="11"/>
      <c r="N23101" s="11"/>
      <c r="O23101" s="11"/>
      <c r="P23101" s="11"/>
    </row>
    <row r="23102" spans="8:16" x14ac:dyDescent="0.25">
      <c r="H23102" s="12"/>
      <c r="I23102" s="12"/>
      <c r="J23102" s="12"/>
      <c r="K23102" s="12"/>
      <c r="L23102" s="12"/>
      <c r="M23102" s="11"/>
      <c r="N23102" s="11"/>
      <c r="O23102" s="11"/>
      <c r="P23102" s="11"/>
    </row>
    <row r="23103" spans="8:16" x14ac:dyDescent="0.25">
      <c r="H23103" s="12"/>
      <c r="I23103" s="12"/>
      <c r="J23103" s="12"/>
      <c r="K23103" s="12"/>
      <c r="L23103" s="12"/>
      <c r="M23103" s="11"/>
      <c r="N23103" s="11"/>
      <c r="O23103" s="11"/>
      <c r="P23103" s="11"/>
    </row>
    <row r="23104" spans="8:16" x14ac:dyDescent="0.25">
      <c r="H23104" s="12"/>
      <c r="I23104" s="12"/>
      <c r="J23104" s="12"/>
      <c r="K23104" s="12"/>
      <c r="L23104" s="12"/>
      <c r="M23104" s="11"/>
      <c r="N23104" s="11"/>
      <c r="O23104" s="11"/>
      <c r="P23104" s="11"/>
    </row>
    <row r="23105" spans="8:16" x14ac:dyDescent="0.25">
      <c r="H23105" s="12"/>
      <c r="I23105" s="12"/>
      <c r="J23105" s="12"/>
      <c r="K23105" s="12"/>
      <c r="L23105" s="12"/>
      <c r="M23105" s="11"/>
      <c r="N23105" s="11"/>
      <c r="O23105" s="11"/>
      <c r="P23105" s="11"/>
    </row>
    <row r="23106" spans="8:16" x14ac:dyDescent="0.25">
      <c r="H23106" s="12"/>
      <c r="I23106" s="12"/>
      <c r="J23106" s="12"/>
      <c r="K23106" s="12"/>
      <c r="L23106" s="12"/>
      <c r="M23106" s="11"/>
      <c r="N23106" s="11"/>
      <c r="O23106" s="11"/>
      <c r="P23106" s="11"/>
    </row>
    <row r="23107" spans="8:16" x14ac:dyDescent="0.25">
      <c r="H23107" s="12"/>
      <c r="I23107" s="12"/>
      <c r="J23107" s="12"/>
      <c r="K23107" s="12"/>
      <c r="L23107" s="12"/>
      <c r="M23107" s="11"/>
      <c r="N23107" s="11"/>
      <c r="O23107" s="11"/>
      <c r="P23107" s="11"/>
    </row>
    <row r="23108" spans="8:16" x14ac:dyDescent="0.25">
      <c r="H23108" s="12"/>
      <c r="I23108" s="12"/>
      <c r="J23108" s="12"/>
      <c r="K23108" s="12"/>
      <c r="L23108" s="12"/>
      <c r="M23108" s="11"/>
      <c r="N23108" s="11"/>
      <c r="O23108" s="11"/>
      <c r="P23108" s="11"/>
    </row>
    <row r="23109" spans="8:16" x14ac:dyDescent="0.25">
      <c r="H23109" s="12"/>
      <c r="I23109" s="12"/>
      <c r="J23109" s="12"/>
      <c r="K23109" s="12"/>
      <c r="L23109" s="12"/>
      <c r="M23109" s="11"/>
      <c r="N23109" s="11"/>
      <c r="O23109" s="11"/>
      <c r="P23109" s="11"/>
    </row>
    <row r="23110" spans="8:16" x14ac:dyDescent="0.25">
      <c r="H23110" s="12"/>
      <c r="I23110" s="12"/>
      <c r="J23110" s="12"/>
      <c r="K23110" s="12"/>
      <c r="L23110" s="12"/>
      <c r="M23110" s="11"/>
      <c r="N23110" s="11"/>
      <c r="O23110" s="11"/>
      <c r="P23110" s="11"/>
    </row>
    <row r="23111" spans="8:16" x14ac:dyDescent="0.25">
      <c r="H23111" s="12"/>
      <c r="I23111" s="12"/>
      <c r="J23111" s="12"/>
      <c r="K23111" s="12"/>
      <c r="L23111" s="12"/>
      <c r="M23111" s="11"/>
      <c r="N23111" s="11"/>
      <c r="O23111" s="11"/>
      <c r="P23111" s="11"/>
    </row>
    <row r="23112" spans="8:16" x14ac:dyDescent="0.25">
      <c r="H23112" s="12"/>
      <c r="I23112" s="12"/>
      <c r="J23112" s="12"/>
      <c r="K23112" s="12"/>
      <c r="L23112" s="12"/>
      <c r="M23112" s="11"/>
      <c r="N23112" s="11"/>
      <c r="O23112" s="11"/>
      <c r="P23112" s="11"/>
    </row>
    <row r="23113" spans="8:16" x14ac:dyDescent="0.25">
      <c r="H23113" s="12"/>
      <c r="I23113" s="12"/>
      <c r="J23113" s="12"/>
      <c r="K23113" s="12"/>
      <c r="L23113" s="12"/>
      <c r="M23113" s="11"/>
      <c r="N23113" s="11"/>
      <c r="O23113" s="11"/>
      <c r="P23113" s="11"/>
    </row>
    <row r="23114" spans="8:16" x14ac:dyDescent="0.25">
      <c r="H23114" s="12"/>
      <c r="I23114" s="12"/>
      <c r="J23114" s="12"/>
      <c r="K23114" s="12"/>
      <c r="L23114" s="12"/>
      <c r="M23114" s="11"/>
      <c r="N23114" s="11"/>
      <c r="O23114" s="11"/>
      <c r="P23114" s="11"/>
    </row>
    <row r="23115" spans="8:16" x14ac:dyDescent="0.25">
      <c r="H23115" s="12"/>
      <c r="I23115" s="12"/>
      <c r="J23115" s="12"/>
      <c r="K23115" s="12"/>
      <c r="L23115" s="12"/>
      <c r="M23115" s="11"/>
      <c r="N23115" s="11"/>
      <c r="O23115" s="11"/>
      <c r="P23115" s="11"/>
    </row>
    <row r="23116" spans="8:16" x14ac:dyDescent="0.25">
      <c r="H23116" s="12"/>
      <c r="I23116" s="12"/>
      <c r="J23116" s="12"/>
      <c r="K23116" s="12"/>
      <c r="L23116" s="12"/>
      <c r="M23116" s="11"/>
      <c r="N23116" s="11"/>
      <c r="O23116" s="11"/>
      <c r="P23116" s="11"/>
    </row>
    <row r="23117" spans="8:16" x14ac:dyDescent="0.25">
      <c r="H23117" s="12"/>
      <c r="I23117" s="12"/>
      <c r="J23117" s="12"/>
      <c r="K23117" s="12"/>
      <c r="L23117" s="12"/>
      <c r="M23117" s="11"/>
      <c r="N23117" s="11"/>
      <c r="O23117" s="11"/>
      <c r="P23117" s="11"/>
    </row>
    <row r="23118" spans="8:16" x14ac:dyDescent="0.25">
      <c r="H23118" s="12"/>
      <c r="I23118" s="12"/>
      <c r="J23118" s="12"/>
      <c r="K23118" s="12"/>
      <c r="L23118" s="12"/>
      <c r="M23118" s="11"/>
      <c r="N23118" s="11"/>
      <c r="O23118" s="11"/>
      <c r="P23118" s="11"/>
    </row>
    <row r="23119" spans="8:16" x14ac:dyDescent="0.25">
      <c r="H23119" s="12"/>
      <c r="I23119" s="12"/>
      <c r="J23119" s="12"/>
      <c r="K23119" s="12"/>
      <c r="L23119" s="12"/>
      <c r="M23119" s="11"/>
      <c r="N23119" s="11"/>
      <c r="O23119" s="11"/>
      <c r="P23119" s="11"/>
    </row>
    <row r="23120" spans="8:16" x14ac:dyDescent="0.25">
      <c r="H23120" s="12"/>
      <c r="I23120" s="12"/>
      <c r="J23120" s="12"/>
      <c r="K23120" s="12"/>
      <c r="L23120" s="12"/>
      <c r="M23120" s="11"/>
      <c r="N23120" s="11"/>
      <c r="O23120" s="11"/>
      <c r="P23120" s="11"/>
    </row>
    <row r="23121" spans="8:16" x14ac:dyDescent="0.25">
      <c r="H23121" s="12"/>
      <c r="I23121" s="12"/>
      <c r="J23121" s="12"/>
      <c r="K23121" s="12"/>
      <c r="L23121" s="12"/>
      <c r="M23121" s="11"/>
      <c r="N23121" s="11"/>
      <c r="O23121" s="11"/>
      <c r="P23121" s="11"/>
    </row>
    <row r="23122" spans="8:16" x14ac:dyDescent="0.25">
      <c r="H23122" s="12"/>
      <c r="I23122" s="12"/>
      <c r="J23122" s="12"/>
      <c r="K23122" s="12"/>
      <c r="L23122" s="12"/>
      <c r="M23122" s="11"/>
      <c r="N23122" s="11"/>
      <c r="O23122" s="11"/>
      <c r="P23122" s="11"/>
    </row>
    <row r="23123" spans="8:16" x14ac:dyDescent="0.25">
      <c r="H23123" s="12"/>
      <c r="I23123" s="12"/>
      <c r="J23123" s="12"/>
      <c r="K23123" s="12"/>
      <c r="L23123" s="12"/>
      <c r="M23123" s="11"/>
      <c r="N23123" s="11"/>
      <c r="O23123" s="11"/>
      <c r="P23123" s="11"/>
    </row>
    <row r="23124" spans="8:16" x14ac:dyDescent="0.25">
      <c r="H23124" s="12"/>
      <c r="I23124" s="12"/>
      <c r="J23124" s="12"/>
      <c r="K23124" s="12"/>
      <c r="L23124" s="12"/>
      <c r="M23124" s="11"/>
      <c r="N23124" s="11"/>
      <c r="O23124" s="11"/>
      <c r="P23124" s="11"/>
    </row>
    <row r="23125" spans="8:16" x14ac:dyDescent="0.25">
      <c r="H23125" s="12"/>
      <c r="I23125" s="12"/>
      <c r="J23125" s="12"/>
      <c r="K23125" s="12"/>
      <c r="L23125" s="12"/>
      <c r="M23125" s="11"/>
      <c r="N23125" s="11"/>
      <c r="O23125" s="11"/>
      <c r="P23125" s="11"/>
    </row>
    <row r="23126" spans="8:16" x14ac:dyDescent="0.25">
      <c r="H23126" s="12"/>
      <c r="I23126" s="12"/>
      <c r="J23126" s="12"/>
      <c r="K23126" s="12"/>
      <c r="L23126" s="12"/>
      <c r="M23126" s="11"/>
      <c r="N23126" s="11"/>
      <c r="O23126" s="11"/>
      <c r="P23126" s="11"/>
    </row>
    <row r="23127" spans="8:16" x14ac:dyDescent="0.25">
      <c r="H23127" s="12"/>
      <c r="I23127" s="12"/>
      <c r="J23127" s="12"/>
      <c r="K23127" s="12"/>
      <c r="L23127" s="12"/>
      <c r="M23127" s="11"/>
      <c r="N23127" s="11"/>
      <c r="O23127" s="11"/>
      <c r="P23127" s="11"/>
    </row>
    <row r="23128" spans="8:16" x14ac:dyDescent="0.25">
      <c r="H23128" s="12"/>
      <c r="I23128" s="12"/>
      <c r="J23128" s="12"/>
      <c r="K23128" s="12"/>
      <c r="L23128" s="12"/>
      <c r="M23128" s="11"/>
      <c r="N23128" s="11"/>
      <c r="O23128" s="11"/>
      <c r="P23128" s="11"/>
    </row>
    <row r="23129" spans="8:16" x14ac:dyDescent="0.25">
      <c r="H23129" s="12"/>
      <c r="I23129" s="12"/>
      <c r="J23129" s="12"/>
      <c r="K23129" s="12"/>
      <c r="L23129" s="12"/>
      <c r="M23129" s="11"/>
      <c r="N23129" s="11"/>
      <c r="O23129" s="11"/>
      <c r="P23129" s="11"/>
    </row>
    <row r="23130" spans="8:16" x14ac:dyDescent="0.25">
      <c r="H23130" s="12"/>
      <c r="I23130" s="12"/>
      <c r="J23130" s="12"/>
      <c r="K23130" s="12"/>
      <c r="L23130" s="12"/>
      <c r="M23130" s="11"/>
      <c r="N23130" s="11"/>
      <c r="O23130" s="11"/>
      <c r="P23130" s="11"/>
    </row>
    <row r="23131" spans="8:16" x14ac:dyDescent="0.25">
      <c r="H23131" s="12"/>
      <c r="I23131" s="12"/>
      <c r="J23131" s="12"/>
      <c r="K23131" s="12"/>
      <c r="L23131" s="12"/>
      <c r="M23131" s="11"/>
      <c r="N23131" s="11"/>
      <c r="O23131" s="11"/>
      <c r="P23131" s="11"/>
    </row>
    <row r="23132" spans="8:16" x14ac:dyDescent="0.25">
      <c r="H23132" s="12"/>
      <c r="I23132" s="12"/>
      <c r="J23132" s="12"/>
      <c r="K23132" s="12"/>
      <c r="L23132" s="12"/>
      <c r="M23132" s="11"/>
      <c r="N23132" s="11"/>
      <c r="O23132" s="11"/>
      <c r="P23132" s="11"/>
    </row>
    <row r="23133" spans="8:16" x14ac:dyDescent="0.25">
      <c r="H23133" s="12"/>
      <c r="I23133" s="12"/>
      <c r="J23133" s="12"/>
      <c r="K23133" s="12"/>
      <c r="L23133" s="12"/>
      <c r="M23133" s="11"/>
      <c r="N23133" s="11"/>
      <c r="O23133" s="11"/>
      <c r="P23133" s="11"/>
    </row>
    <row r="23134" spans="8:16" x14ac:dyDescent="0.25">
      <c r="H23134" s="12"/>
      <c r="I23134" s="12"/>
      <c r="J23134" s="12"/>
      <c r="K23134" s="12"/>
      <c r="L23134" s="12"/>
      <c r="M23134" s="11"/>
      <c r="N23134" s="11"/>
      <c r="O23134" s="11"/>
      <c r="P23134" s="11"/>
    </row>
    <row r="23135" spans="8:16" x14ac:dyDescent="0.25">
      <c r="H23135" s="12"/>
      <c r="I23135" s="12"/>
      <c r="J23135" s="12"/>
      <c r="K23135" s="12"/>
      <c r="L23135" s="12"/>
      <c r="M23135" s="11"/>
      <c r="N23135" s="11"/>
      <c r="O23135" s="11"/>
      <c r="P23135" s="11"/>
    </row>
    <row r="23136" spans="8:16" x14ac:dyDescent="0.25">
      <c r="H23136" s="12"/>
      <c r="I23136" s="12"/>
      <c r="J23136" s="12"/>
      <c r="K23136" s="12"/>
      <c r="L23136" s="12"/>
      <c r="M23136" s="11"/>
      <c r="N23136" s="11"/>
      <c r="O23136" s="11"/>
      <c r="P23136" s="11"/>
    </row>
    <row r="23137" spans="8:16" x14ac:dyDescent="0.25">
      <c r="H23137" s="12"/>
      <c r="I23137" s="12"/>
      <c r="J23137" s="12"/>
      <c r="K23137" s="12"/>
      <c r="L23137" s="12"/>
      <c r="M23137" s="11"/>
      <c r="N23137" s="11"/>
      <c r="O23137" s="11"/>
      <c r="P23137" s="11"/>
    </row>
    <row r="23138" spans="8:16" x14ac:dyDescent="0.25">
      <c r="H23138" s="12"/>
      <c r="I23138" s="12"/>
      <c r="J23138" s="12"/>
      <c r="K23138" s="12"/>
      <c r="L23138" s="12"/>
      <c r="M23138" s="11"/>
      <c r="N23138" s="11"/>
      <c r="O23138" s="11"/>
      <c r="P23138" s="11"/>
    </row>
    <row r="23139" spans="8:16" x14ac:dyDescent="0.25">
      <c r="H23139" s="12"/>
      <c r="I23139" s="12"/>
      <c r="J23139" s="12"/>
      <c r="K23139" s="12"/>
      <c r="L23139" s="12"/>
      <c r="M23139" s="11"/>
      <c r="N23139" s="11"/>
      <c r="O23139" s="11"/>
      <c r="P23139" s="11"/>
    </row>
    <row r="23140" spans="8:16" x14ac:dyDescent="0.25">
      <c r="H23140" s="12"/>
      <c r="I23140" s="12"/>
      <c r="J23140" s="12"/>
      <c r="K23140" s="12"/>
      <c r="L23140" s="12"/>
      <c r="M23140" s="11"/>
      <c r="N23140" s="11"/>
      <c r="O23140" s="11"/>
      <c r="P23140" s="11"/>
    </row>
    <row r="23141" spans="8:16" x14ac:dyDescent="0.25">
      <c r="H23141" s="12"/>
      <c r="I23141" s="12"/>
      <c r="J23141" s="12"/>
      <c r="K23141" s="12"/>
      <c r="L23141" s="12"/>
      <c r="M23141" s="11"/>
      <c r="N23141" s="11"/>
      <c r="O23141" s="11"/>
      <c r="P23141" s="11"/>
    </row>
    <row r="23142" spans="8:16" x14ac:dyDescent="0.25">
      <c r="H23142" s="12"/>
      <c r="I23142" s="12"/>
      <c r="J23142" s="12"/>
      <c r="K23142" s="12"/>
      <c r="L23142" s="12"/>
      <c r="M23142" s="11"/>
      <c r="N23142" s="11"/>
      <c r="O23142" s="11"/>
      <c r="P23142" s="11"/>
    </row>
    <row r="23143" spans="8:16" x14ac:dyDescent="0.25">
      <c r="H23143" s="12"/>
      <c r="I23143" s="12"/>
      <c r="J23143" s="12"/>
      <c r="K23143" s="12"/>
      <c r="L23143" s="12"/>
      <c r="M23143" s="11"/>
      <c r="N23143" s="11"/>
      <c r="O23143" s="11"/>
      <c r="P23143" s="11"/>
    </row>
    <row r="23144" spans="8:16" x14ac:dyDescent="0.25">
      <c r="H23144" s="12"/>
      <c r="I23144" s="12"/>
      <c r="J23144" s="12"/>
      <c r="K23144" s="12"/>
      <c r="L23144" s="12"/>
      <c r="M23144" s="11"/>
      <c r="N23144" s="11"/>
      <c r="O23144" s="11"/>
      <c r="P23144" s="11"/>
    </row>
    <row r="23145" spans="8:16" x14ac:dyDescent="0.25">
      <c r="H23145" s="12"/>
      <c r="I23145" s="12"/>
      <c r="J23145" s="12"/>
      <c r="K23145" s="12"/>
      <c r="L23145" s="12"/>
      <c r="M23145" s="11"/>
      <c r="N23145" s="11"/>
      <c r="O23145" s="11"/>
      <c r="P23145" s="11"/>
    </row>
    <row r="23146" spans="8:16" x14ac:dyDescent="0.25">
      <c r="H23146" s="12"/>
      <c r="I23146" s="12"/>
      <c r="J23146" s="12"/>
      <c r="K23146" s="12"/>
      <c r="L23146" s="12"/>
      <c r="M23146" s="11"/>
      <c r="N23146" s="11"/>
      <c r="O23146" s="11"/>
      <c r="P23146" s="11"/>
    </row>
    <row r="23147" spans="8:16" x14ac:dyDescent="0.25">
      <c r="H23147" s="12"/>
      <c r="I23147" s="12"/>
      <c r="J23147" s="12"/>
      <c r="K23147" s="12"/>
      <c r="L23147" s="12"/>
      <c r="M23147" s="11"/>
      <c r="N23147" s="11"/>
      <c r="O23147" s="11"/>
      <c r="P23147" s="11"/>
    </row>
    <row r="23148" spans="8:16" x14ac:dyDescent="0.25">
      <c r="H23148" s="12"/>
      <c r="I23148" s="12"/>
      <c r="J23148" s="12"/>
      <c r="K23148" s="12"/>
      <c r="L23148" s="12"/>
      <c r="M23148" s="11"/>
      <c r="N23148" s="11"/>
      <c r="O23148" s="11"/>
      <c r="P23148" s="11"/>
    </row>
    <row r="23149" spans="8:16" x14ac:dyDescent="0.25">
      <c r="H23149" s="12"/>
      <c r="I23149" s="12"/>
      <c r="J23149" s="12"/>
      <c r="K23149" s="12"/>
      <c r="L23149" s="12"/>
      <c r="M23149" s="11"/>
      <c r="N23149" s="11"/>
      <c r="O23149" s="11"/>
      <c r="P23149" s="11"/>
    </row>
    <row r="23150" spans="8:16" x14ac:dyDescent="0.25">
      <c r="H23150" s="12"/>
      <c r="I23150" s="12"/>
      <c r="J23150" s="12"/>
      <c r="K23150" s="12"/>
      <c r="L23150" s="12"/>
      <c r="M23150" s="11"/>
      <c r="N23150" s="11"/>
      <c r="O23150" s="11"/>
      <c r="P23150" s="11"/>
    </row>
    <row r="23151" spans="8:16" x14ac:dyDescent="0.25">
      <c r="H23151" s="12"/>
      <c r="I23151" s="12"/>
      <c r="J23151" s="12"/>
      <c r="K23151" s="12"/>
      <c r="L23151" s="12"/>
      <c r="M23151" s="11"/>
      <c r="N23151" s="11"/>
      <c r="O23151" s="11"/>
      <c r="P23151" s="11"/>
    </row>
    <row r="23152" spans="8:16" x14ac:dyDescent="0.25">
      <c r="H23152" s="12"/>
      <c r="I23152" s="12"/>
      <c r="J23152" s="12"/>
      <c r="K23152" s="12"/>
      <c r="L23152" s="12"/>
      <c r="M23152" s="11"/>
      <c r="N23152" s="11"/>
      <c r="O23152" s="11"/>
      <c r="P23152" s="11"/>
    </row>
    <row r="23153" spans="8:16" x14ac:dyDescent="0.25">
      <c r="H23153" s="12"/>
      <c r="I23153" s="12"/>
      <c r="J23153" s="12"/>
      <c r="K23153" s="12"/>
      <c r="L23153" s="12"/>
      <c r="M23153" s="11"/>
      <c r="N23153" s="11"/>
      <c r="O23153" s="11"/>
      <c r="P23153" s="11"/>
    </row>
    <row r="23154" spans="8:16" x14ac:dyDescent="0.25">
      <c r="H23154" s="12"/>
      <c r="I23154" s="12"/>
      <c r="J23154" s="12"/>
      <c r="K23154" s="12"/>
      <c r="L23154" s="12"/>
      <c r="M23154" s="11"/>
      <c r="N23154" s="11"/>
      <c r="O23154" s="11"/>
      <c r="P23154" s="11"/>
    </row>
    <row r="23155" spans="8:16" x14ac:dyDescent="0.25">
      <c r="H23155" s="12"/>
      <c r="I23155" s="12"/>
      <c r="J23155" s="12"/>
      <c r="K23155" s="12"/>
      <c r="L23155" s="12"/>
      <c r="M23155" s="11"/>
      <c r="N23155" s="11"/>
      <c r="O23155" s="11"/>
      <c r="P23155" s="11"/>
    </row>
    <row r="23156" spans="8:16" x14ac:dyDescent="0.25">
      <c r="H23156" s="12"/>
      <c r="I23156" s="12"/>
      <c r="J23156" s="12"/>
      <c r="K23156" s="12"/>
      <c r="L23156" s="12"/>
      <c r="M23156" s="11"/>
      <c r="N23156" s="11"/>
      <c r="O23156" s="11"/>
      <c r="P23156" s="11"/>
    </row>
    <row r="23157" spans="8:16" x14ac:dyDescent="0.25">
      <c r="H23157" s="12"/>
      <c r="I23157" s="12"/>
      <c r="J23157" s="12"/>
      <c r="K23157" s="12"/>
      <c r="L23157" s="12"/>
      <c r="M23157" s="11"/>
      <c r="N23157" s="11"/>
      <c r="O23157" s="11"/>
      <c r="P23157" s="11"/>
    </row>
    <row r="23158" spans="8:16" x14ac:dyDescent="0.25">
      <c r="H23158" s="12"/>
      <c r="I23158" s="12"/>
      <c r="J23158" s="12"/>
      <c r="K23158" s="12"/>
      <c r="L23158" s="12"/>
      <c r="M23158" s="11"/>
      <c r="N23158" s="11"/>
      <c r="O23158" s="11"/>
      <c r="P23158" s="11"/>
    </row>
    <row r="23159" spans="8:16" x14ac:dyDescent="0.25">
      <c r="H23159" s="12"/>
      <c r="I23159" s="12"/>
      <c r="J23159" s="12"/>
      <c r="K23159" s="12"/>
      <c r="L23159" s="12"/>
      <c r="M23159" s="11"/>
      <c r="N23159" s="11"/>
      <c r="O23159" s="11"/>
      <c r="P23159" s="11"/>
    </row>
    <row r="23160" spans="8:16" x14ac:dyDescent="0.25">
      <c r="H23160" s="12"/>
      <c r="I23160" s="12"/>
      <c r="J23160" s="12"/>
      <c r="K23160" s="12"/>
      <c r="L23160" s="12"/>
      <c r="M23160" s="11"/>
      <c r="N23160" s="11"/>
      <c r="O23160" s="11"/>
      <c r="P23160" s="11"/>
    </row>
    <row r="23161" spans="8:16" x14ac:dyDescent="0.25">
      <c r="H23161" s="12"/>
      <c r="I23161" s="12"/>
      <c r="J23161" s="12"/>
      <c r="K23161" s="12"/>
      <c r="L23161" s="12"/>
      <c r="M23161" s="11"/>
      <c r="N23161" s="11"/>
      <c r="O23161" s="11"/>
      <c r="P23161" s="11"/>
    </row>
    <row r="23162" spans="8:16" x14ac:dyDescent="0.25">
      <c r="H23162" s="12"/>
      <c r="I23162" s="12"/>
      <c r="J23162" s="12"/>
      <c r="K23162" s="12"/>
      <c r="L23162" s="12"/>
      <c r="M23162" s="11"/>
      <c r="N23162" s="11"/>
      <c r="O23162" s="11"/>
      <c r="P23162" s="11"/>
    </row>
    <row r="23163" spans="8:16" x14ac:dyDescent="0.25">
      <c r="H23163" s="12"/>
      <c r="I23163" s="12"/>
      <c r="J23163" s="12"/>
      <c r="K23163" s="12"/>
      <c r="L23163" s="12"/>
      <c r="M23163" s="11"/>
      <c r="N23163" s="11"/>
      <c r="O23163" s="11"/>
      <c r="P23163" s="11"/>
    </row>
    <row r="23164" spans="8:16" x14ac:dyDescent="0.25">
      <c r="H23164" s="12"/>
      <c r="I23164" s="12"/>
      <c r="J23164" s="12"/>
      <c r="K23164" s="12"/>
      <c r="L23164" s="12"/>
      <c r="M23164" s="11"/>
      <c r="N23164" s="11"/>
      <c r="O23164" s="11"/>
      <c r="P23164" s="11"/>
    </row>
    <row r="23165" spans="8:16" x14ac:dyDescent="0.25">
      <c r="H23165" s="12"/>
      <c r="I23165" s="12"/>
      <c r="J23165" s="12"/>
      <c r="K23165" s="12"/>
      <c r="L23165" s="12"/>
      <c r="M23165" s="11"/>
      <c r="N23165" s="11"/>
      <c r="O23165" s="11"/>
      <c r="P23165" s="11"/>
    </row>
    <row r="23166" spans="8:16" x14ac:dyDescent="0.25">
      <c r="H23166" s="12"/>
      <c r="I23166" s="12"/>
      <c r="J23166" s="12"/>
      <c r="K23166" s="12"/>
      <c r="L23166" s="12"/>
      <c r="M23166" s="11"/>
      <c r="N23166" s="11"/>
      <c r="O23166" s="11"/>
      <c r="P23166" s="11"/>
    </row>
    <row r="23167" spans="8:16" x14ac:dyDescent="0.25">
      <c r="H23167" s="12"/>
      <c r="I23167" s="12"/>
      <c r="J23167" s="12"/>
      <c r="K23167" s="12"/>
      <c r="L23167" s="12"/>
      <c r="M23167" s="11"/>
      <c r="N23167" s="11"/>
      <c r="O23167" s="11"/>
      <c r="P23167" s="11"/>
    </row>
    <row r="23168" spans="8:16" x14ac:dyDescent="0.25">
      <c r="H23168" s="12"/>
      <c r="I23168" s="12"/>
      <c r="J23168" s="12"/>
      <c r="K23168" s="12"/>
      <c r="L23168" s="12"/>
      <c r="M23168" s="11"/>
      <c r="N23168" s="11"/>
      <c r="O23168" s="11"/>
      <c r="P23168" s="11"/>
    </row>
    <row r="23169" spans="8:16" x14ac:dyDescent="0.25">
      <c r="H23169" s="12"/>
      <c r="I23169" s="12"/>
      <c r="J23169" s="12"/>
      <c r="K23169" s="12"/>
      <c r="L23169" s="12"/>
      <c r="M23169" s="11"/>
      <c r="N23169" s="11"/>
      <c r="O23169" s="11"/>
      <c r="P23169" s="11"/>
    </row>
    <row r="23170" spans="8:16" x14ac:dyDescent="0.25">
      <c r="H23170" s="12"/>
      <c r="I23170" s="12"/>
      <c r="J23170" s="12"/>
      <c r="K23170" s="12"/>
      <c r="L23170" s="12"/>
      <c r="M23170" s="11"/>
      <c r="N23170" s="11"/>
      <c r="O23170" s="11"/>
      <c r="P23170" s="11"/>
    </row>
    <row r="23171" spans="8:16" x14ac:dyDescent="0.25">
      <c r="H23171" s="12"/>
      <c r="I23171" s="12"/>
      <c r="J23171" s="12"/>
      <c r="K23171" s="12"/>
      <c r="L23171" s="12"/>
      <c r="M23171" s="11"/>
      <c r="N23171" s="11"/>
      <c r="O23171" s="11"/>
      <c r="P23171" s="11"/>
    </row>
    <row r="23172" spans="8:16" x14ac:dyDescent="0.25">
      <c r="H23172" s="12"/>
      <c r="I23172" s="12"/>
      <c r="J23172" s="12"/>
      <c r="K23172" s="12"/>
      <c r="L23172" s="12"/>
      <c r="M23172" s="11"/>
      <c r="N23172" s="11"/>
      <c r="O23172" s="11"/>
      <c r="P23172" s="11"/>
    </row>
    <row r="23173" spans="8:16" x14ac:dyDescent="0.25">
      <c r="H23173" s="12"/>
      <c r="I23173" s="12"/>
      <c r="J23173" s="12"/>
      <c r="K23173" s="12"/>
      <c r="L23173" s="12"/>
      <c r="M23173" s="11"/>
      <c r="N23173" s="11"/>
      <c r="O23173" s="11"/>
      <c r="P23173" s="11"/>
    </row>
    <row r="23174" spans="8:16" x14ac:dyDescent="0.25">
      <c r="H23174" s="12"/>
      <c r="I23174" s="12"/>
      <c r="J23174" s="12"/>
      <c r="K23174" s="12"/>
      <c r="L23174" s="12"/>
      <c r="M23174" s="11"/>
      <c r="N23174" s="11"/>
      <c r="O23174" s="11"/>
      <c r="P23174" s="11"/>
    </row>
    <row r="23175" spans="8:16" x14ac:dyDescent="0.25">
      <c r="H23175" s="12"/>
      <c r="I23175" s="12"/>
      <c r="J23175" s="12"/>
      <c r="K23175" s="12"/>
      <c r="L23175" s="12"/>
      <c r="M23175" s="11"/>
      <c r="N23175" s="11"/>
      <c r="O23175" s="11"/>
      <c r="P23175" s="11"/>
    </row>
    <row r="23176" spans="8:16" x14ac:dyDescent="0.25">
      <c r="H23176" s="12"/>
      <c r="I23176" s="12"/>
      <c r="J23176" s="12"/>
      <c r="K23176" s="12"/>
      <c r="L23176" s="12"/>
      <c r="M23176" s="11"/>
      <c r="N23176" s="11"/>
      <c r="O23176" s="11"/>
      <c r="P23176" s="11"/>
    </row>
    <row r="23177" spans="8:16" x14ac:dyDescent="0.25">
      <c r="H23177" s="12"/>
      <c r="I23177" s="12"/>
      <c r="J23177" s="12"/>
      <c r="K23177" s="12"/>
      <c r="L23177" s="12"/>
      <c r="M23177" s="11"/>
      <c r="N23177" s="11"/>
      <c r="O23177" s="11"/>
      <c r="P23177" s="11"/>
    </row>
    <row r="23178" spans="8:16" x14ac:dyDescent="0.25">
      <c r="H23178" s="12"/>
      <c r="I23178" s="12"/>
      <c r="J23178" s="12"/>
      <c r="K23178" s="12"/>
      <c r="L23178" s="12"/>
      <c r="M23178" s="11"/>
      <c r="N23178" s="11"/>
      <c r="O23178" s="11"/>
      <c r="P23178" s="11"/>
    </row>
    <row r="23179" spans="8:16" x14ac:dyDescent="0.25">
      <c r="H23179" s="12"/>
      <c r="I23179" s="12"/>
      <c r="J23179" s="12"/>
      <c r="K23179" s="12"/>
      <c r="L23179" s="12"/>
      <c r="M23179" s="11"/>
      <c r="N23179" s="11"/>
      <c r="O23179" s="11"/>
      <c r="P23179" s="11"/>
    </row>
    <row r="23180" spans="8:16" x14ac:dyDescent="0.25">
      <c r="H23180" s="12"/>
      <c r="I23180" s="12"/>
      <c r="J23180" s="12"/>
      <c r="K23180" s="12"/>
      <c r="L23180" s="12"/>
      <c r="M23180" s="11"/>
      <c r="N23180" s="11"/>
      <c r="O23180" s="11"/>
      <c r="P23180" s="11"/>
    </row>
    <row r="23181" spans="8:16" x14ac:dyDescent="0.25">
      <c r="H23181" s="12"/>
      <c r="I23181" s="12"/>
      <c r="J23181" s="12"/>
      <c r="K23181" s="12"/>
      <c r="L23181" s="12"/>
      <c r="M23181" s="11"/>
      <c r="N23181" s="11"/>
      <c r="O23181" s="11"/>
      <c r="P23181" s="11"/>
    </row>
    <row r="23182" spans="8:16" x14ac:dyDescent="0.25">
      <c r="H23182" s="12"/>
      <c r="I23182" s="12"/>
      <c r="J23182" s="12"/>
      <c r="K23182" s="12"/>
      <c r="L23182" s="12"/>
      <c r="M23182" s="11"/>
      <c r="N23182" s="11"/>
      <c r="O23182" s="11"/>
      <c r="P23182" s="11"/>
    </row>
    <row r="23183" spans="8:16" x14ac:dyDescent="0.25">
      <c r="H23183" s="12"/>
      <c r="I23183" s="12"/>
      <c r="J23183" s="12"/>
      <c r="K23183" s="12"/>
      <c r="L23183" s="12"/>
      <c r="M23183" s="11"/>
      <c r="N23183" s="11"/>
      <c r="O23183" s="11"/>
      <c r="P23183" s="11"/>
    </row>
    <row r="23184" spans="8:16" x14ac:dyDescent="0.25">
      <c r="H23184" s="12"/>
      <c r="I23184" s="12"/>
      <c r="J23184" s="12"/>
      <c r="K23184" s="12"/>
      <c r="L23184" s="12"/>
      <c r="M23184" s="11"/>
      <c r="N23184" s="11"/>
      <c r="O23184" s="11"/>
      <c r="P23184" s="11"/>
    </row>
    <row r="23185" spans="8:16" x14ac:dyDescent="0.25">
      <c r="H23185" s="12"/>
      <c r="I23185" s="12"/>
      <c r="J23185" s="12"/>
      <c r="K23185" s="12"/>
      <c r="L23185" s="12"/>
      <c r="M23185" s="11"/>
      <c r="N23185" s="11"/>
      <c r="O23185" s="11"/>
      <c r="P23185" s="11"/>
    </row>
    <row r="23186" spans="8:16" x14ac:dyDescent="0.25">
      <c r="H23186" s="12"/>
      <c r="I23186" s="12"/>
      <c r="J23186" s="12"/>
      <c r="K23186" s="12"/>
      <c r="L23186" s="12"/>
      <c r="M23186" s="11"/>
      <c r="N23186" s="11"/>
      <c r="O23186" s="11"/>
      <c r="P23186" s="11"/>
    </row>
    <row r="23187" spans="8:16" x14ac:dyDescent="0.25">
      <c r="H23187" s="12"/>
      <c r="I23187" s="12"/>
      <c r="J23187" s="12"/>
      <c r="K23187" s="12"/>
      <c r="L23187" s="12"/>
      <c r="M23187" s="11"/>
      <c r="N23187" s="11"/>
      <c r="O23187" s="11"/>
      <c r="P23187" s="11"/>
    </row>
    <row r="23188" spans="8:16" x14ac:dyDescent="0.25">
      <c r="H23188" s="12"/>
      <c r="I23188" s="12"/>
      <c r="J23188" s="12"/>
      <c r="K23188" s="12"/>
      <c r="L23188" s="12"/>
      <c r="M23188" s="11"/>
      <c r="N23188" s="11"/>
      <c r="O23188" s="11"/>
      <c r="P23188" s="11"/>
    </row>
    <row r="23189" spans="8:16" x14ac:dyDescent="0.25">
      <c r="H23189" s="12"/>
      <c r="I23189" s="12"/>
      <c r="J23189" s="12"/>
      <c r="K23189" s="12"/>
      <c r="L23189" s="12"/>
      <c r="M23189" s="11"/>
      <c r="N23189" s="11"/>
      <c r="O23189" s="11"/>
      <c r="P23189" s="11"/>
    </row>
    <row r="23190" spans="8:16" x14ac:dyDescent="0.25">
      <c r="H23190" s="12"/>
      <c r="I23190" s="12"/>
      <c r="J23190" s="12"/>
      <c r="K23190" s="12"/>
      <c r="L23190" s="12"/>
      <c r="M23190" s="11"/>
      <c r="N23190" s="11"/>
      <c r="O23190" s="11"/>
      <c r="P23190" s="11"/>
    </row>
    <row r="23191" spans="8:16" x14ac:dyDescent="0.25">
      <c r="H23191" s="12"/>
      <c r="I23191" s="12"/>
      <c r="J23191" s="12"/>
      <c r="K23191" s="12"/>
      <c r="L23191" s="12"/>
      <c r="M23191" s="11"/>
      <c r="N23191" s="11"/>
      <c r="O23191" s="11"/>
      <c r="P23191" s="11"/>
    </row>
    <row r="23192" spans="8:16" x14ac:dyDescent="0.25">
      <c r="H23192" s="12"/>
      <c r="I23192" s="12"/>
      <c r="J23192" s="12"/>
      <c r="K23192" s="12"/>
      <c r="L23192" s="12"/>
      <c r="M23192" s="11"/>
      <c r="N23192" s="11"/>
      <c r="O23192" s="11"/>
      <c r="P23192" s="11"/>
    </row>
    <row r="23193" spans="8:16" x14ac:dyDescent="0.25">
      <c r="H23193" s="12"/>
      <c r="I23193" s="12"/>
      <c r="J23193" s="12"/>
      <c r="K23193" s="12"/>
      <c r="L23193" s="12"/>
      <c r="M23193" s="11"/>
      <c r="N23193" s="11"/>
      <c r="O23193" s="11"/>
      <c r="P23193" s="11"/>
    </row>
    <row r="23194" spans="8:16" x14ac:dyDescent="0.25">
      <c r="H23194" s="12"/>
      <c r="I23194" s="12"/>
      <c r="J23194" s="12"/>
      <c r="K23194" s="12"/>
      <c r="L23194" s="12"/>
      <c r="M23194" s="11"/>
      <c r="N23194" s="11"/>
      <c r="O23194" s="11"/>
      <c r="P23194" s="11"/>
    </row>
    <row r="23195" spans="8:16" x14ac:dyDescent="0.25">
      <c r="H23195" s="12"/>
      <c r="I23195" s="12"/>
      <c r="J23195" s="12"/>
      <c r="K23195" s="12"/>
      <c r="L23195" s="12"/>
      <c r="M23195" s="11"/>
      <c r="N23195" s="11"/>
      <c r="O23195" s="11"/>
      <c r="P23195" s="11"/>
    </row>
    <row r="23196" spans="8:16" x14ac:dyDescent="0.25">
      <c r="H23196" s="12"/>
      <c r="I23196" s="12"/>
      <c r="J23196" s="12"/>
      <c r="K23196" s="12"/>
      <c r="L23196" s="12"/>
      <c r="M23196" s="11"/>
      <c r="N23196" s="11"/>
      <c r="O23196" s="11"/>
      <c r="P23196" s="11"/>
    </row>
    <row r="23197" spans="8:16" x14ac:dyDescent="0.25">
      <c r="H23197" s="12"/>
      <c r="I23197" s="12"/>
      <c r="J23197" s="12"/>
      <c r="K23197" s="12"/>
      <c r="L23197" s="12"/>
      <c r="M23197" s="11"/>
      <c r="N23197" s="11"/>
      <c r="O23197" s="11"/>
      <c r="P23197" s="11"/>
    </row>
    <row r="23198" spans="8:16" x14ac:dyDescent="0.25">
      <c r="H23198" s="12"/>
      <c r="I23198" s="12"/>
      <c r="J23198" s="12"/>
      <c r="K23198" s="12"/>
      <c r="L23198" s="12"/>
      <c r="M23198" s="11"/>
      <c r="N23198" s="11"/>
      <c r="O23198" s="11"/>
      <c r="P23198" s="11"/>
    </row>
    <row r="23199" spans="8:16" x14ac:dyDescent="0.25">
      <c r="H23199" s="12"/>
      <c r="I23199" s="12"/>
      <c r="J23199" s="12"/>
      <c r="K23199" s="12"/>
      <c r="L23199" s="12"/>
      <c r="M23199" s="11"/>
      <c r="N23199" s="11"/>
      <c r="O23199" s="11"/>
      <c r="P23199" s="11"/>
    </row>
    <row r="23200" spans="8:16" x14ac:dyDescent="0.25">
      <c r="H23200" s="12"/>
      <c r="I23200" s="12"/>
      <c r="J23200" s="12"/>
      <c r="K23200" s="12"/>
      <c r="L23200" s="12"/>
      <c r="M23200" s="11"/>
      <c r="N23200" s="11"/>
      <c r="O23200" s="11"/>
      <c r="P23200" s="11"/>
    </row>
    <row r="23201" spans="8:16" x14ac:dyDescent="0.25">
      <c r="H23201" s="12"/>
      <c r="I23201" s="12"/>
      <c r="J23201" s="12"/>
      <c r="K23201" s="12"/>
      <c r="L23201" s="12"/>
      <c r="M23201" s="11"/>
      <c r="N23201" s="11"/>
      <c r="O23201" s="11"/>
      <c r="P23201" s="11"/>
    </row>
    <row r="23202" spans="8:16" x14ac:dyDescent="0.25">
      <c r="H23202" s="12"/>
      <c r="I23202" s="12"/>
      <c r="J23202" s="12"/>
      <c r="K23202" s="12"/>
      <c r="L23202" s="12"/>
      <c r="M23202" s="11"/>
      <c r="N23202" s="11"/>
      <c r="O23202" s="11"/>
      <c r="P23202" s="11"/>
    </row>
    <row r="23203" spans="8:16" x14ac:dyDescent="0.25">
      <c r="H23203" s="12"/>
      <c r="I23203" s="12"/>
      <c r="J23203" s="12"/>
      <c r="K23203" s="12"/>
      <c r="L23203" s="12"/>
      <c r="M23203" s="11"/>
      <c r="N23203" s="11"/>
      <c r="O23203" s="11"/>
      <c r="P23203" s="11"/>
    </row>
    <row r="23204" spans="8:16" x14ac:dyDescent="0.25">
      <c r="H23204" s="12"/>
      <c r="I23204" s="12"/>
      <c r="J23204" s="12"/>
      <c r="K23204" s="12"/>
      <c r="L23204" s="12"/>
      <c r="M23204" s="11"/>
      <c r="N23204" s="11"/>
      <c r="O23204" s="11"/>
      <c r="P23204" s="11"/>
    </row>
    <row r="23205" spans="8:16" x14ac:dyDescent="0.25">
      <c r="H23205" s="12"/>
      <c r="I23205" s="12"/>
      <c r="J23205" s="12"/>
      <c r="K23205" s="12"/>
      <c r="L23205" s="12"/>
      <c r="M23205" s="11"/>
      <c r="N23205" s="11"/>
      <c r="O23205" s="11"/>
      <c r="P23205" s="11"/>
    </row>
    <row r="23206" spans="8:16" x14ac:dyDescent="0.25">
      <c r="H23206" s="12"/>
      <c r="I23206" s="12"/>
      <c r="J23206" s="12"/>
      <c r="K23206" s="12"/>
      <c r="L23206" s="12"/>
      <c r="M23206" s="11"/>
      <c r="N23206" s="11"/>
      <c r="O23206" s="11"/>
      <c r="P23206" s="11"/>
    </row>
    <row r="23207" spans="8:16" x14ac:dyDescent="0.25">
      <c r="H23207" s="12"/>
      <c r="I23207" s="12"/>
      <c r="J23207" s="12"/>
      <c r="K23207" s="12"/>
      <c r="L23207" s="12"/>
      <c r="M23207" s="11"/>
      <c r="N23207" s="11"/>
      <c r="O23207" s="11"/>
      <c r="P23207" s="11"/>
    </row>
    <row r="23208" spans="8:16" x14ac:dyDescent="0.25">
      <c r="H23208" s="12"/>
      <c r="I23208" s="12"/>
      <c r="J23208" s="12"/>
      <c r="K23208" s="12"/>
      <c r="L23208" s="12"/>
      <c r="M23208" s="11"/>
      <c r="N23208" s="11"/>
      <c r="O23208" s="11"/>
      <c r="P23208" s="11"/>
    </row>
    <row r="23209" spans="8:16" x14ac:dyDescent="0.25">
      <c r="H23209" s="12"/>
      <c r="I23209" s="12"/>
      <c r="J23209" s="12"/>
      <c r="K23209" s="12"/>
      <c r="L23209" s="12"/>
      <c r="M23209" s="11"/>
      <c r="N23209" s="11"/>
      <c r="O23209" s="11"/>
      <c r="P23209" s="11"/>
    </row>
    <row r="23210" spans="8:16" x14ac:dyDescent="0.25">
      <c r="H23210" s="12"/>
      <c r="I23210" s="12"/>
      <c r="J23210" s="12"/>
      <c r="K23210" s="12"/>
      <c r="L23210" s="12"/>
      <c r="M23210" s="11"/>
      <c r="N23210" s="11"/>
      <c r="O23210" s="11"/>
      <c r="P23210" s="11"/>
    </row>
    <row r="23211" spans="8:16" x14ac:dyDescent="0.25">
      <c r="H23211" s="12"/>
      <c r="I23211" s="12"/>
      <c r="J23211" s="12"/>
      <c r="K23211" s="12"/>
      <c r="L23211" s="12"/>
      <c r="M23211" s="11"/>
      <c r="N23211" s="11"/>
      <c r="O23211" s="11"/>
      <c r="P23211" s="11"/>
    </row>
    <row r="23212" spans="8:16" x14ac:dyDescent="0.25">
      <c r="H23212" s="12"/>
      <c r="I23212" s="12"/>
      <c r="J23212" s="12"/>
      <c r="K23212" s="12"/>
      <c r="L23212" s="12"/>
      <c r="M23212" s="11"/>
      <c r="N23212" s="11"/>
      <c r="O23212" s="11"/>
      <c r="P23212" s="11"/>
    </row>
    <row r="23213" spans="8:16" x14ac:dyDescent="0.25">
      <c r="H23213" s="12"/>
      <c r="I23213" s="12"/>
      <c r="J23213" s="12"/>
      <c r="K23213" s="12"/>
      <c r="L23213" s="12"/>
      <c r="M23213" s="11"/>
      <c r="N23213" s="11"/>
      <c r="O23213" s="11"/>
      <c r="P23213" s="11"/>
    </row>
    <row r="23214" spans="8:16" x14ac:dyDescent="0.25">
      <c r="H23214" s="12"/>
      <c r="I23214" s="12"/>
      <c r="J23214" s="12"/>
      <c r="K23214" s="12"/>
      <c r="L23214" s="12"/>
      <c r="M23214" s="11"/>
      <c r="N23214" s="11"/>
      <c r="O23214" s="11"/>
      <c r="P23214" s="11"/>
    </row>
    <row r="23215" spans="8:16" x14ac:dyDescent="0.25">
      <c r="H23215" s="12"/>
      <c r="I23215" s="12"/>
      <c r="J23215" s="12"/>
      <c r="K23215" s="12"/>
      <c r="L23215" s="12"/>
      <c r="M23215" s="11"/>
      <c r="N23215" s="11"/>
      <c r="O23215" s="11"/>
      <c r="P23215" s="11"/>
    </row>
    <row r="23216" spans="8:16" x14ac:dyDescent="0.25">
      <c r="H23216" s="12"/>
      <c r="I23216" s="12"/>
      <c r="J23216" s="12"/>
      <c r="K23216" s="12"/>
      <c r="L23216" s="12"/>
      <c r="M23216" s="11"/>
      <c r="N23216" s="11"/>
      <c r="O23216" s="11"/>
      <c r="P23216" s="11"/>
    </row>
    <row r="23217" spans="8:16" x14ac:dyDescent="0.25">
      <c r="H23217" s="12"/>
      <c r="I23217" s="12"/>
      <c r="J23217" s="12"/>
      <c r="K23217" s="12"/>
      <c r="L23217" s="12"/>
      <c r="M23217" s="11"/>
      <c r="N23217" s="11"/>
      <c r="O23217" s="11"/>
      <c r="P23217" s="11"/>
    </row>
    <row r="23218" spans="8:16" x14ac:dyDescent="0.25">
      <c r="H23218" s="12"/>
      <c r="I23218" s="12"/>
      <c r="J23218" s="12"/>
      <c r="K23218" s="12"/>
      <c r="L23218" s="12"/>
      <c r="M23218" s="11"/>
      <c r="N23218" s="11"/>
      <c r="O23218" s="11"/>
      <c r="P23218" s="11"/>
    </row>
    <row r="23219" spans="8:16" x14ac:dyDescent="0.25">
      <c r="H23219" s="12"/>
      <c r="I23219" s="12"/>
      <c r="J23219" s="12"/>
      <c r="K23219" s="12"/>
      <c r="L23219" s="12"/>
      <c r="M23219" s="11"/>
      <c r="N23219" s="11"/>
      <c r="O23219" s="11"/>
      <c r="P23219" s="11"/>
    </row>
    <row r="23220" spans="8:16" x14ac:dyDescent="0.25">
      <c r="H23220" s="12"/>
      <c r="I23220" s="12"/>
      <c r="J23220" s="12"/>
      <c r="K23220" s="12"/>
      <c r="L23220" s="12"/>
      <c r="M23220" s="11"/>
      <c r="N23220" s="11"/>
      <c r="O23220" s="11"/>
      <c r="P23220" s="11"/>
    </row>
    <row r="23221" spans="8:16" x14ac:dyDescent="0.25">
      <c r="H23221" s="12"/>
      <c r="I23221" s="12"/>
      <c r="J23221" s="12"/>
      <c r="K23221" s="12"/>
      <c r="L23221" s="12"/>
      <c r="M23221" s="11"/>
      <c r="N23221" s="11"/>
      <c r="O23221" s="11"/>
      <c r="P23221" s="11"/>
    </row>
    <row r="23222" spans="8:16" x14ac:dyDescent="0.25">
      <c r="H23222" s="12"/>
      <c r="I23222" s="12"/>
      <c r="J23222" s="12"/>
      <c r="K23222" s="12"/>
      <c r="L23222" s="12"/>
      <c r="M23222" s="11"/>
      <c r="N23222" s="11"/>
      <c r="O23222" s="11"/>
      <c r="P23222" s="11"/>
    </row>
    <row r="23223" spans="8:16" x14ac:dyDescent="0.25">
      <c r="H23223" s="12"/>
      <c r="I23223" s="12"/>
      <c r="J23223" s="12"/>
      <c r="K23223" s="12"/>
      <c r="L23223" s="12"/>
      <c r="M23223" s="11"/>
      <c r="N23223" s="11"/>
      <c r="O23223" s="11"/>
      <c r="P23223" s="11"/>
    </row>
    <row r="23224" spans="8:16" x14ac:dyDescent="0.25">
      <c r="H23224" s="12"/>
      <c r="I23224" s="12"/>
      <c r="J23224" s="12"/>
      <c r="K23224" s="12"/>
      <c r="L23224" s="12"/>
      <c r="M23224" s="11"/>
      <c r="N23224" s="11"/>
      <c r="O23224" s="11"/>
      <c r="P23224" s="11"/>
    </row>
    <row r="23225" spans="8:16" x14ac:dyDescent="0.25">
      <c r="H23225" s="12"/>
      <c r="I23225" s="12"/>
      <c r="J23225" s="12"/>
      <c r="K23225" s="12"/>
      <c r="L23225" s="12"/>
      <c r="M23225" s="11"/>
      <c r="N23225" s="11"/>
      <c r="O23225" s="11"/>
      <c r="P23225" s="11"/>
    </row>
    <row r="23226" spans="8:16" x14ac:dyDescent="0.25">
      <c r="H23226" s="12"/>
      <c r="I23226" s="12"/>
      <c r="J23226" s="12"/>
      <c r="K23226" s="12"/>
      <c r="L23226" s="12"/>
      <c r="M23226" s="11"/>
      <c r="N23226" s="11"/>
      <c r="O23226" s="11"/>
      <c r="P23226" s="11"/>
    </row>
    <row r="23227" spans="8:16" x14ac:dyDescent="0.25">
      <c r="H23227" s="12"/>
      <c r="I23227" s="12"/>
      <c r="J23227" s="12"/>
      <c r="K23227" s="12"/>
      <c r="L23227" s="12"/>
      <c r="M23227" s="11"/>
      <c r="N23227" s="11"/>
      <c r="O23227" s="11"/>
      <c r="P23227" s="11"/>
    </row>
    <row r="23228" spans="8:16" x14ac:dyDescent="0.25">
      <c r="H23228" s="12"/>
      <c r="I23228" s="12"/>
      <c r="J23228" s="12"/>
      <c r="K23228" s="12"/>
      <c r="L23228" s="12"/>
      <c r="M23228" s="11"/>
      <c r="N23228" s="11"/>
      <c r="O23228" s="11"/>
      <c r="P23228" s="11"/>
    </row>
    <row r="23229" spans="8:16" x14ac:dyDescent="0.25">
      <c r="H23229" s="12"/>
      <c r="I23229" s="12"/>
      <c r="J23229" s="12"/>
      <c r="K23229" s="12"/>
      <c r="L23229" s="12"/>
      <c r="M23229" s="11"/>
      <c r="N23229" s="11"/>
      <c r="O23229" s="11"/>
      <c r="P23229" s="11"/>
    </row>
    <row r="23230" spans="8:16" x14ac:dyDescent="0.25">
      <c r="H23230" s="12"/>
      <c r="I23230" s="12"/>
      <c r="J23230" s="12"/>
      <c r="K23230" s="12"/>
      <c r="L23230" s="12"/>
      <c r="M23230" s="11"/>
      <c r="N23230" s="11"/>
      <c r="O23230" s="11"/>
      <c r="P23230" s="11"/>
    </row>
    <row r="23231" spans="8:16" x14ac:dyDescent="0.25">
      <c r="H23231" s="12"/>
      <c r="I23231" s="12"/>
      <c r="J23231" s="12"/>
      <c r="K23231" s="12"/>
      <c r="L23231" s="12"/>
      <c r="M23231" s="11"/>
      <c r="N23231" s="11"/>
      <c r="O23231" s="11"/>
      <c r="P23231" s="11"/>
    </row>
    <row r="23232" spans="8:16" x14ac:dyDescent="0.25">
      <c r="H23232" s="12"/>
      <c r="I23232" s="12"/>
      <c r="J23232" s="12"/>
      <c r="K23232" s="12"/>
      <c r="L23232" s="12"/>
      <c r="M23232" s="11"/>
      <c r="N23232" s="11"/>
      <c r="O23232" s="11"/>
      <c r="P23232" s="11"/>
    </row>
    <row r="23233" spans="8:16" x14ac:dyDescent="0.25">
      <c r="H23233" s="12"/>
      <c r="I23233" s="12"/>
      <c r="J23233" s="12"/>
      <c r="K23233" s="12"/>
      <c r="L23233" s="12"/>
      <c r="M23233" s="11"/>
      <c r="N23233" s="11"/>
      <c r="O23233" s="11"/>
      <c r="P23233" s="11"/>
    </row>
    <row r="23234" spans="8:16" x14ac:dyDescent="0.25">
      <c r="H23234" s="12"/>
      <c r="I23234" s="12"/>
      <c r="J23234" s="12"/>
      <c r="K23234" s="12"/>
      <c r="L23234" s="12"/>
      <c r="M23234" s="11"/>
      <c r="N23234" s="11"/>
      <c r="O23234" s="11"/>
      <c r="P23234" s="11"/>
    </row>
    <row r="23235" spans="8:16" x14ac:dyDescent="0.25">
      <c r="H23235" s="12"/>
      <c r="I23235" s="12"/>
      <c r="J23235" s="12"/>
      <c r="K23235" s="12"/>
      <c r="L23235" s="12"/>
      <c r="M23235" s="11"/>
      <c r="N23235" s="11"/>
      <c r="O23235" s="11"/>
      <c r="P23235" s="11"/>
    </row>
    <row r="23236" spans="8:16" x14ac:dyDescent="0.25">
      <c r="H23236" s="12"/>
      <c r="I23236" s="12"/>
      <c r="J23236" s="12"/>
      <c r="K23236" s="12"/>
      <c r="L23236" s="12"/>
      <c r="M23236" s="11"/>
      <c r="N23236" s="11"/>
      <c r="O23236" s="11"/>
      <c r="P23236" s="11"/>
    </row>
    <row r="23237" spans="8:16" x14ac:dyDescent="0.25">
      <c r="H23237" s="12"/>
      <c r="I23237" s="12"/>
      <c r="J23237" s="12"/>
      <c r="K23237" s="12"/>
      <c r="L23237" s="12"/>
      <c r="M23237" s="11"/>
      <c r="N23237" s="11"/>
      <c r="O23237" s="11"/>
      <c r="P23237" s="11"/>
    </row>
    <row r="23238" spans="8:16" x14ac:dyDescent="0.25">
      <c r="H23238" s="12"/>
      <c r="I23238" s="12"/>
      <c r="J23238" s="12"/>
      <c r="K23238" s="12"/>
      <c r="L23238" s="12"/>
      <c r="M23238" s="11"/>
      <c r="N23238" s="11"/>
      <c r="O23238" s="11"/>
      <c r="P23238" s="11"/>
    </row>
    <row r="23239" spans="8:16" x14ac:dyDescent="0.25">
      <c r="H23239" s="12"/>
      <c r="I23239" s="12"/>
      <c r="J23239" s="12"/>
      <c r="K23239" s="12"/>
      <c r="L23239" s="12"/>
      <c r="M23239" s="11"/>
      <c r="N23239" s="11"/>
      <c r="O23239" s="11"/>
      <c r="P23239" s="11"/>
    </row>
    <row r="23240" spans="8:16" x14ac:dyDescent="0.25">
      <c r="H23240" s="12"/>
      <c r="I23240" s="12"/>
      <c r="J23240" s="12"/>
      <c r="K23240" s="12"/>
      <c r="L23240" s="12"/>
      <c r="M23240" s="11"/>
      <c r="N23240" s="11"/>
      <c r="O23240" s="11"/>
      <c r="P23240" s="11"/>
    </row>
    <row r="23241" spans="8:16" x14ac:dyDescent="0.25">
      <c r="H23241" s="12"/>
      <c r="I23241" s="12"/>
      <c r="J23241" s="12"/>
      <c r="K23241" s="12"/>
      <c r="L23241" s="12"/>
      <c r="M23241" s="11"/>
      <c r="N23241" s="11"/>
      <c r="O23241" s="11"/>
      <c r="P23241" s="11"/>
    </row>
    <row r="23242" spans="8:16" x14ac:dyDescent="0.25">
      <c r="H23242" s="12"/>
      <c r="I23242" s="12"/>
      <c r="J23242" s="12"/>
      <c r="K23242" s="12"/>
      <c r="L23242" s="12"/>
      <c r="M23242" s="11"/>
      <c r="N23242" s="11"/>
      <c r="O23242" s="11"/>
      <c r="P23242" s="11"/>
    </row>
    <row r="23243" spans="8:16" x14ac:dyDescent="0.25">
      <c r="H23243" s="12"/>
      <c r="I23243" s="12"/>
      <c r="J23243" s="12"/>
      <c r="K23243" s="12"/>
      <c r="L23243" s="12"/>
      <c r="M23243" s="11"/>
      <c r="N23243" s="11"/>
      <c r="O23243" s="11"/>
      <c r="P23243" s="11"/>
    </row>
    <row r="23244" spans="8:16" x14ac:dyDescent="0.25">
      <c r="H23244" s="12"/>
      <c r="I23244" s="12"/>
      <c r="J23244" s="12"/>
      <c r="K23244" s="12"/>
      <c r="L23244" s="12"/>
      <c r="M23244" s="11"/>
      <c r="N23244" s="11"/>
      <c r="O23244" s="11"/>
      <c r="P23244" s="11"/>
    </row>
    <row r="23245" spans="8:16" x14ac:dyDescent="0.25">
      <c r="H23245" s="12"/>
      <c r="I23245" s="12"/>
      <c r="J23245" s="12"/>
      <c r="K23245" s="12"/>
      <c r="L23245" s="12"/>
      <c r="M23245" s="11"/>
      <c r="N23245" s="11"/>
      <c r="O23245" s="11"/>
      <c r="P23245" s="11"/>
    </row>
    <row r="23246" spans="8:16" x14ac:dyDescent="0.25">
      <c r="H23246" s="12"/>
      <c r="I23246" s="12"/>
      <c r="J23246" s="12"/>
      <c r="K23246" s="12"/>
      <c r="L23246" s="12"/>
      <c r="M23246" s="11"/>
      <c r="N23246" s="11"/>
      <c r="O23246" s="11"/>
      <c r="P23246" s="11"/>
    </row>
    <row r="23247" spans="8:16" x14ac:dyDescent="0.25">
      <c r="H23247" s="12"/>
      <c r="I23247" s="12"/>
      <c r="J23247" s="12"/>
      <c r="K23247" s="12"/>
      <c r="L23247" s="12"/>
      <c r="M23247" s="11"/>
      <c r="N23247" s="11"/>
      <c r="O23247" s="11"/>
      <c r="P23247" s="11"/>
    </row>
    <row r="23248" spans="8:16" x14ac:dyDescent="0.25">
      <c r="H23248" s="12"/>
      <c r="I23248" s="12"/>
      <c r="J23248" s="12"/>
      <c r="K23248" s="12"/>
      <c r="L23248" s="12"/>
      <c r="M23248" s="11"/>
      <c r="N23248" s="11"/>
      <c r="O23248" s="11"/>
      <c r="P23248" s="11"/>
    </row>
    <row r="23249" spans="8:16" x14ac:dyDescent="0.25">
      <c r="H23249" s="12"/>
      <c r="I23249" s="12"/>
      <c r="J23249" s="12"/>
      <c r="K23249" s="12"/>
      <c r="L23249" s="12"/>
      <c r="M23249" s="11"/>
      <c r="N23249" s="11"/>
      <c r="O23249" s="11"/>
      <c r="P23249" s="11"/>
    </row>
    <row r="23250" spans="8:16" x14ac:dyDescent="0.25">
      <c r="H23250" s="12"/>
      <c r="I23250" s="12"/>
      <c r="J23250" s="12"/>
      <c r="K23250" s="12"/>
      <c r="L23250" s="12"/>
      <c r="M23250" s="11"/>
      <c r="N23250" s="11"/>
      <c r="O23250" s="11"/>
      <c r="P23250" s="11"/>
    </row>
    <row r="23251" spans="8:16" x14ac:dyDescent="0.25">
      <c r="H23251" s="12"/>
      <c r="I23251" s="12"/>
      <c r="J23251" s="12"/>
      <c r="K23251" s="12"/>
      <c r="L23251" s="12"/>
      <c r="M23251" s="11"/>
      <c r="N23251" s="11"/>
      <c r="O23251" s="11"/>
      <c r="P23251" s="11"/>
    </row>
    <row r="23252" spans="8:16" x14ac:dyDescent="0.25">
      <c r="H23252" s="12"/>
      <c r="I23252" s="12"/>
      <c r="J23252" s="12"/>
      <c r="K23252" s="12"/>
      <c r="L23252" s="12"/>
      <c r="M23252" s="11"/>
      <c r="N23252" s="11"/>
      <c r="O23252" s="11"/>
      <c r="P23252" s="11"/>
    </row>
    <row r="23253" spans="8:16" x14ac:dyDescent="0.25">
      <c r="H23253" s="12"/>
      <c r="I23253" s="12"/>
      <c r="J23253" s="12"/>
      <c r="K23253" s="12"/>
      <c r="L23253" s="12"/>
      <c r="M23253" s="11"/>
      <c r="N23253" s="11"/>
      <c r="O23253" s="11"/>
      <c r="P23253" s="11"/>
    </row>
    <row r="23254" spans="8:16" x14ac:dyDescent="0.25">
      <c r="H23254" s="12"/>
      <c r="I23254" s="12"/>
      <c r="J23254" s="12"/>
      <c r="K23254" s="12"/>
      <c r="L23254" s="12"/>
      <c r="M23254" s="11"/>
      <c r="N23254" s="11"/>
      <c r="O23254" s="11"/>
      <c r="P23254" s="11"/>
    </row>
    <row r="23255" spans="8:16" x14ac:dyDescent="0.25">
      <c r="H23255" s="12"/>
      <c r="I23255" s="12"/>
      <c r="J23255" s="12"/>
      <c r="K23255" s="12"/>
      <c r="L23255" s="12"/>
      <c r="M23255" s="11"/>
      <c r="N23255" s="11"/>
      <c r="O23255" s="11"/>
      <c r="P23255" s="11"/>
    </row>
    <row r="23256" spans="8:16" x14ac:dyDescent="0.25">
      <c r="H23256" s="12"/>
      <c r="I23256" s="12"/>
      <c r="J23256" s="12"/>
      <c r="K23256" s="12"/>
      <c r="L23256" s="12"/>
      <c r="M23256" s="11"/>
      <c r="N23256" s="11"/>
      <c r="O23256" s="11"/>
      <c r="P23256" s="11"/>
    </row>
    <row r="23257" spans="8:16" x14ac:dyDescent="0.25">
      <c r="H23257" s="12"/>
      <c r="I23257" s="12"/>
      <c r="J23257" s="12"/>
      <c r="K23257" s="12"/>
      <c r="L23257" s="12"/>
      <c r="M23257" s="11"/>
      <c r="N23257" s="11"/>
      <c r="O23257" s="11"/>
      <c r="P23257" s="11"/>
    </row>
    <row r="23258" spans="8:16" x14ac:dyDescent="0.25">
      <c r="H23258" s="12"/>
      <c r="I23258" s="12"/>
      <c r="J23258" s="12"/>
      <c r="K23258" s="12"/>
      <c r="L23258" s="12"/>
      <c r="M23258" s="11"/>
      <c r="N23258" s="11"/>
      <c r="O23258" s="11"/>
      <c r="P23258" s="11"/>
    </row>
    <row r="23259" spans="8:16" x14ac:dyDescent="0.25">
      <c r="H23259" s="12"/>
      <c r="I23259" s="12"/>
      <c r="J23259" s="12"/>
      <c r="K23259" s="12"/>
      <c r="L23259" s="12"/>
      <c r="M23259" s="11"/>
      <c r="N23259" s="11"/>
      <c r="O23259" s="11"/>
      <c r="P23259" s="11"/>
    </row>
    <row r="23260" spans="8:16" x14ac:dyDescent="0.25">
      <c r="H23260" s="12"/>
      <c r="I23260" s="12"/>
      <c r="J23260" s="12"/>
      <c r="K23260" s="12"/>
      <c r="L23260" s="12"/>
      <c r="M23260" s="11"/>
      <c r="N23260" s="11"/>
      <c r="O23260" s="11"/>
      <c r="P23260" s="11"/>
    </row>
    <row r="23261" spans="8:16" x14ac:dyDescent="0.25">
      <c r="H23261" s="12"/>
      <c r="I23261" s="12"/>
      <c r="J23261" s="12"/>
      <c r="K23261" s="12"/>
      <c r="L23261" s="12"/>
      <c r="M23261" s="11"/>
      <c r="N23261" s="11"/>
      <c r="O23261" s="11"/>
      <c r="P23261" s="11"/>
    </row>
    <row r="23262" spans="8:16" x14ac:dyDescent="0.25">
      <c r="H23262" s="12"/>
      <c r="I23262" s="12"/>
      <c r="J23262" s="12"/>
      <c r="K23262" s="12"/>
      <c r="L23262" s="12"/>
      <c r="M23262" s="11"/>
      <c r="N23262" s="11"/>
      <c r="O23262" s="11"/>
      <c r="P23262" s="11"/>
    </row>
    <row r="23263" spans="8:16" x14ac:dyDescent="0.25">
      <c r="H23263" s="12"/>
      <c r="I23263" s="12"/>
      <c r="J23263" s="12"/>
      <c r="K23263" s="12"/>
      <c r="L23263" s="12"/>
      <c r="M23263" s="11"/>
      <c r="N23263" s="11"/>
      <c r="O23263" s="11"/>
      <c r="P23263" s="11"/>
    </row>
    <row r="23264" spans="8:16" x14ac:dyDescent="0.25">
      <c r="H23264" s="12"/>
      <c r="I23264" s="12"/>
      <c r="J23264" s="12"/>
      <c r="K23264" s="12"/>
      <c r="L23264" s="12"/>
      <c r="M23264" s="11"/>
      <c r="N23264" s="11"/>
      <c r="O23264" s="11"/>
      <c r="P23264" s="11"/>
    </row>
    <row r="23265" spans="8:16" x14ac:dyDescent="0.25">
      <c r="H23265" s="12"/>
      <c r="I23265" s="12"/>
      <c r="J23265" s="12"/>
      <c r="K23265" s="12"/>
      <c r="L23265" s="12"/>
      <c r="M23265" s="11"/>
      <c r="N23265" s="11"/>
      <c r="O23265" s="11"/>
      <c r="P23265" s="11"/>
    </row>
    <row r="23266" spans="8:16" x14ac:dyDescent="0.25">
      <c r="H23266" s="12"/>
      <c r="I23266" s="12"/>
      <c r="J23266" s="12"/>
      <c r="K23266" s="12"/>
      <c r="L23266" s="12"/>
      <c r="M23266" s="11"/>
      <c r="N23266" s="11"/>
      <c r="O23266" s="11"/>
      <c r="P23266" s="11"/>
    </row>
    <row r="23267" spans="8:16" x14ac:dyDescent="0.25">
      <c r="H23267" s="12"/>
      <c r="I23267" s="12"/>
      <c r="J23267" s="12"/>
      <c r="K23267" s="12"/>
      <c r="L23267" s="12"/>
      <c r="M23267" s="11"/>
      <c r="N23267" s="11"/>
      <c r="O23267" s="11"/>
      <c r="P23267" s="11"/>
    </row>
    <row r="23268" spans="8:16" x14ac:dyDescent="0.25">
      <c r="H23268" s="12"/>
      <c r="I23268" s="12"/>
      <c r="J23268" s="12"/>
      <c r="K23268" s="12"/>
      <c r="L23268" s="12"/>
      <c r="M23268" s="11"/>
      <c r="N23268" s="11"/>
      <c r="O23268" s="11"/>
      <c r="P23268" s="11"/>
    </row>
    <row r="23269" spans="8:16" x14ac:dyDescent="0.25">
      <c r="H23269" s="12"/>
      <c r="I23269" s="12"/>
      <c r="J23269" s="12"/>
      <c r="K23269" s="12"/>
      <c r="L23269" s="12"/>
      <c r="M23269" s="11"/>
      <c r="N23269" s="11"/>
      <c r="O23269" s="11"/>
      <c r="P23269" s="11"/>
    </row>
    <row r="23270" spans="8:16" x14ac:dyDescent="0.25">
      <c r="H23270" s="12"/>
      <c r="I23270" s="12"/>
      <c r="J23270" s="12"/>
      <c r="K23270" s="12"/>
      <c r="L23270" s="12"/>
      <c r="M23270" s="11"/>
      <c r="N23270" s="11"/>
      <c r="O23270" s="11"/>
      <c r="P23270" s="11"/>
    </row>
    <row r="23271" spans="8:16" x14ac:dyDescent="0.25">
      <c r="H23271" s="12"/>
      <c r="I23271" s="12"/>
      <c r="J23271" s="12"/>
      <c r="K23271" s="12"/>
      <c r="L23271" s="12"/>
      <c r="M23271" s="11"/>
      <c r="N23271" s="11"/>
      <c r="O23271" s="11"/>
      <c r="P23271" s="11"/>
    </row>
    <row r="23272" spans="8:16" x14ac:dyDescent="0.25">
      <c r="H23272" s="12"/>
      <c r="I23272" s="12"/>
      <c r="J23272" s="12"/>
      <c r="K23272" s="12"/>
      <c r="L23272" s="12"/>
      <c r="M23272" s="11"/>
      <c r="N23272" s="11"/>
      <c r="O23272" s="11"/>
      <c r="P23272" s="11"/>
    </row>
    <row r="23273" spans="8:16" x14ac:dyDescent="0.25">
      <c r="H23273" s="12"/>
      <c r="I23273" s="12"/>
      <c r="J23273" s="12"/>
      <c r="K23273" s="12"/>
      <c r="L23273" s="12"/>
      <c r="M23273" s="11"/>
      <c r="N23273" s="11"/>
      <c r="O23273" s="11"/>
      <c r="P23273" s="11"/>
    </row>
    <row r="23274" spans="8:16" x14ac:dyDescent="0.25">
      <c r="H23274" s="12"/>
      <c r="I23274" s="12"/>
      <c r="J23274" s="12"/>
      <c r="K23274" s="12"/>
      <c r="L23274" s="12"/>
      <c r="M23274" s="11"/>
      <c r="N23274" s="11"/>
      <c r="O23274" s="11"/>
      <c r="P23274" s="11"/>
    </row>
    <row r="23275" spans="8:16" x14ac:dyDescent="0.25">
      <c r="H23275" s="12"/>
      <c r="I23275" s="12"/>
      <c r="J23275" s="12"/>
      <c r="K23275" s="12"/>
      <c r="L23275" s="12"/>
      <c r="M23275" s="11"/>
      <c r="N23275" s="11"/>
      <c r="O23275" s="11"/>
      <c r="P23275" s="11"/>
    </row>
    <row r="23276" spans="8:16" x14ac:dyDescent="0.25">
      <c r="H23276" s="12"/>
      <c r="I23276" s="12"/>
      <c r="J23276" s="12"/>
      <c r="K23276" s="12"/>
      <c r="L23276" s="12"/>
      <c r="M23276" s="11"/>
      <c r="N23276" s="11"/>
      <c r="O23276" s="11"/>
      <c r="P23276" s="11"/>
    </row>
    <row r="23277" spans="8:16" x14ac:dyDescent="0.25">
      <c r="H23277" s="12"/>
      <c r="I23277" s="12"/>
      <c r="J23277" s="12"/>
      <c r="K23277" s="12"/>
      <c r="L23277" s="12"/>
      <c r="M23277" s="11"/>
      <c r="N23277" s="11"/>
      <c r="O23277" s="11"/>
      <c r="P23277" s="11"/>
    </row>
    <row r="23278" spans="8:16" x14ac:dyDescent="0.25">
      <c r="H23278" s="12"/>
      <c r="I23278" s="12"/>
      <c r="J23278" s="12"/>
      <c r="K23278" s="12"/>
      <c r="L23278" s="12"/>
      <c r="M23278" s="11"/>
      <c r="N23278" s="11"/>
      <c r="O23278" s="11"/>
      <c r="P23278" s="11"/>
    </row>
    <row r="23279" spans="8:16" x14ac:dyDescent="0.25">
      <c r="H23279" s="12"/>
      <c r="I23279" s="12"/>
      <c r="J23279" s="12"/>
      <c r="K23279" s="12"/>
      <c r="L23279" s="12"/>
      <c r="M23279" s="11"/>
      <c r="N23279" s="11"/>
      <c r="O23279" s="11"/>
      <c r="P23279" s="11"/>
    </row>
    <row r="23280" spans="8:16" x14ac:dyDescent="0.25">
      <c r="H23280" s="12"/>
      <c r="I23280" s="12"/>
      <c r="J23280" s="12"/>
      <c r="K23280" s="12"/>
      <c r="L23280" s="12"/>
      <c r="M23280" s="11"/>
      <c r="N23280" s="11"/>
      <c r="O23280" s="11"/>
      <c r="P23280" s="11"/>
    </row>
    <row r="23281" spans="8:16" x14ac:dyDescent="0.25">
      <c r="H23281" s="12"/>
      <c r="I23281" s="12"/>
      <c r="J23281" s="12"/>
      <c r="K23281" s="12"/>
      <c r="L23281" s="12"/>
      <c r="M23281" s="11"/>
      <c r="N23281" s="11"/>
      <c r="O23281" s="11"/>
      <c r="P23281" s="11"/>
    </row>
    <row r="23282" spans="8:16" x14ac:dyDescent="0.25">
      <c r="H23282" s="12"/>
      <c r="I23282" s="12"/>
      <c r="J23282" s="12"/>
      <c r="K23282" s="12"/>
      <c r="L23282" s="12"/>
      <c r="M23282" s="11"/>
      <c r="N23282" s="11"/>
      <c r="O23282" s="11"/>
      <c r="P23282" s="11"/>
    </row>
    <row r="23283" spans="8:16" x14ac:dyDescent="0.25">
      <c r="H23283" s="12"/>
      <c r="I23283" s="12"/>
      <c r="J23283" s="12"/>
      <c r="K23283" s="12"/>
      <c r="L23283" s="12"/>
      <c r="M23283" s="11"/>
      <c r="N23283" s="11"/>
      <c r="O23283" s="11"/>
      <c r="P23283" s="11"/>
    </row>
    <row r="23284" spans="8:16" x14ac:dyDescent="0.25">
      <c r="H23284" s="12"/>
      <c r="I23284" s="12"/>
      <c r="J23284" s="12"/>
      <c r="K23284" s="12"/>
      <c r="L23284" s="12"/>
      <c r="M23284" s="11"/>
      <c r="N23284" s="11"/>
      <c r="O23284" s="11"/>
      <c r="P23284" s="11"/>
    </row>
    <row r="23285" spans="8:16" x14ac:dyDescent="0.25">
      <c r="H23285" s="12"/>
      <c r="I23285" s="12"/>
      <c r="J23285" s="12"/>
      <c r="K23285" s="12"/>
      <c r="L23285" s="12"/>
      <c r="M23285" s="11"/>
      <c r="N23285" s="11"/>
      <c r="O23285" s="11"/>
      <c r="P23285" s="11"/>
    </row>
    <row r="23286" spans="8:16" x14ac:dyDescent="0.25">
      <c r="H23286" s="12"/>
      <c r="I23286" s="12"/>
      <c r="J23286" s="12"/>
      <c r="K23286" s="12"/>
      <c r="L23286" s="12"/>
      <c r="M23286" s="11"/>
      <c r="N23286" s="11"/>
      <c r="O23286" s="11"/>
      <c r="P23286" s="11"/>
    </row>
    <row r="23287" spans="8:16" x14ac:dyDescent="0.25">
      <c r="H23287" s="12"/>
      <c r="I23287" s="12"/>
      <c r="J23287" s="12"/>
      <c r="K23287" s="12"/>
      <c r="L23287" s="12"/>
      <c r="M23287" s="11"/>
      <c r="N23287" s="11"/>
      <c r="O23287" s="11"/>
      <c r="P23287" s="11"/>
    </row>
    <row r="23288" spans="8:16" x14ac:dyDescent="0.25">
      <c r="H23288" s="12"/>
      <c r="I23288" s="12"/>
      <c r="J23288" s="12"/>
      <c r="K23288" s="12"/>
      <c r="L23288" s="12"/>
      <c r="M23288" s="11"/>
      <c r="N23288" s="11"/>
      <c r="O23288" s="11"/>
      <c r="P23288" s="11"/>
    </row>
    <row r="23289" spans="8:16" x14ac:dyDescent="0.25">
      <c r="H23289" s="12"/>
      <c r="I23289" s="12"/>
      <c r="J23289" s="12"/>
      <c r="K23289" s="12"/>
      <c r="L23289" s="12"/>
      <c r="M23289" s="11"/>
      <c r="N23289" s="11"/>
      <c r="O23289" s="11"/>
      <c r="P23289" s="11"/>
    </row>
    <row r="23290" spans="8:16" x14ac:dyDescent="0.25">
      <c r="H23290" s="12"/>
      <c r="I23290" s="12"/>
      <c r="J23290" s="12"/>
      <c r="K23290" s="12"/>
      <c r="L23290" s="12"/>
      <c r="M23290" s="11"/>
      <c r="N23290" s="11"/>
      <c r="O23290" s="11"/>
      <c r="P23290" s="11"/>
    </row>
    <row r="23291" spans="8:16" x14ac:dyDescent="0.25">
      <c r="H23291" s="12"/>
      <c r="I23291" s="12"/>
      <c r="J23291" s="12"/>
      <c r="K23291" s="12"/>
      <c r="L23291" s="12"/>
      <c r="M23291" s="11"/>
      <c r="N23291" s="11"/>
      <c r="O23291" s="11"/>
      <c r="P23291" s="11"/>
    </row>
    <row r="23292" spans="8:16" x14ac:dyDescent="0.25">
      <c r="H23292" s="12"/>
      <c r="I23292" s="12"/>
      <c r="J23292" s="12"/>
      <c r="K23292" s="12"/>
      <c r="L23292" s="12"/>
      <c r="M23292" s="11"/>
      <c r="N23292" s="11"/>
      <c r="O23292" s="11"/>
      <c r="P23292" s="11"/>
    </row>
    <row r="23293" spans="8:16" x14ac:dyDescent="0.25">
      <c r="H23293" s="12"/>
      <c r="I23293" s="12"/>
      <c r="J23293" s="12"/>
      <c r="K23293" s="12"/>
      <c r="L23293" s="12"/>
      <c r="M23293" s="11"/>
      <c r="N23293" s="11"/>
      <c r="O23293" s="11"/>
      <c r="P23293" s="11"/>
    </row>
    <row r="23294" spans="8:16" x14ac:dyDescent="0.25">
      <c r="H23294" s="12"/>
      <c r="I23294" s="12"/>
      <c r="J23294" s="12"/>
      <c r="K23294" s="12"/>
      <c r="L23294" s="12"/>
      <c r="M23294" s="11"/>
      <c r="N23294" s="11"/>
      <c r="O23294" s="11"/>
      <c r="P23294" s="11"/>
    </row>
    <row r="23295" spans="8:16" x14ac:dyDescent="0.25">
      <c r="H23295" s="12"/>
      <c r="I23295" s="12"/>
      <c r="J23295" s="12"/>
      <c r="K23295" s="12"/>
      <c r="L23295" s="12"/>
      <c r="M23295" s="11"/>
      <c r="N23295" s="11"/>
      <c r="O23295" s="11"/>
      <c r="P23295" s="11"/>
    </row>
    <row r="23296" spans="8:16" x14ac:dyDescent="0.25">
      <c r="H23296" s="12"/>
      <c r="I23296" s="12"/>
      <c r="J23296" s="12"/>
      <c r="K23296" s="12"/>
      <c r="L23296" s="12"/>
      <c r="M23296" s="11"/>
      <c r="N23296" s="11"/>
      <c r="O23296" s="11"/>
      <c r="P23296" s="11"/>
    </row>
    <row r="23297" spans="8:16" x14ac:dyDescent="0.25">
      <c r="H23297" s="12"/>
      <c r="I23297" s="12"/>
      <c r="J23297" s="12"/>
      <c r="K23297" s="12"/>
      <c r="L23297" s="12"/>
      <c r="M23297" s="11"/>
      <c r="N23297" s="11"/>
      <c r="O23297" s="11"/>
      <c r="P23297" s="11"/>
    </row>
    <row r="23298" spans="8:16" x14ac:dyDescent="0.25">
      <c r="H23298" s="12"/>
      <c r="I23298" s="12"/>
      <c r="J23298" s="12"/>
      <c r="K23298" s="12"/>
      <c r="L23298" s="12"/>
      <c r="M23298" s="11"/>
      <c r="N23298" s="11"/>
      <c r="O23298" s="11"/>
      <c r="P23298" s="11"/>
    </row>
    <row r="23299" spans="8:16" x14ac:dyDescent="0.25">
      <c r="H23299" s="12"/>
      <c r="I23299" s="12"/>
      <c r="J23299" s="12"/>
      <c r="K23299" s="12"/>
      <c r="L23299" s="12"/>
      <c r="M23299" s="11"/>
      <c r="N23299" s="11"/>
      <c r="O23299" s="11"/>
      <c r="P23299" s="11"/>
    </row>
    <row r="23300" spans="8:16" x14ac:dyDescent="0.25">
      <c r="H23300" s="12"/>
      <c r="I23300" s="12"/>
      <c r="J23300" s="12"/>
      <c r="K23300" s="12"/>
      <c r="L23300" s="12"/>
      <c r="M23300" s="11"/>
      <c r="N23300" s="11"/>
      <c r="O23300" s="11"/>
      <c r="P23300" s="11"/>
    </row>
    <row r="23301" spans="8:16" x14ac:dyDescent="0.25">
      <c r="H23301" s="12"/>
      <c r="I23301" s="12"/>
      <c r="J23301" s="12"/>
      <c r="K23301" s="12"/>
      <c r="L23301" s="12"/>
      <c r="M23301" s="11"/>
      <c r="N23301" s="11"/>
      <c r="O23301" s="11"/>
      <c r="P23301" s="11"/>
    </row>
    <row r="23302" spans="8:16" x14ac:dyDescent="0.25">
      <c r="H23302" s="12"/>
      <c r="I23302" s="12"/>
      <c r="J23302" s="12"/>
      <c r="K23302" s="12"/>
      <c r="L23302" s="12"/>
      <c r="M23302" s="11"/>
      <c r="N23302" s="11"/>
      <c r="O23302" s="11"/>
      <c r="P23302" s="11"/>
    </row>
    <row r="23303" spans="8:16" x14ac:dyDescent="0.25">
      <c r="H23303" s="12"/>
      <c r="I23303" s="12"/>
      <c r="J23303" s="12"/>
      <c r="K23303" s="12"/>
      <c r="L23303" s="12"/>
      <c r="M23303" s="11"/>
      <c r="N23303" s="11"/>
      <c r="O23303" s="11"/>
      <c r="P23303" s="11"/>
    </row>
    <row r="23304" spans="8:16" x14ac:dyDescent="0.25">
      <c r="H23304" s="12"/>
      <c r="I23304" s="12"/>
      <c r="J23304" s="12"/>
      <c r="K23304" s="12"/>
      <c r="L23304" s="12"/>
      <c r="M23304" s="11"/>
      <c r="N23304" s="11"/>
      <c r="O23304" s="11"/>
      <c r="P23304" s="11"/>
    </row>
    <row r="23305" spans="8:16" x14ac:dyDescent="0.25">
      <c r="H23305" s="12"/>
      <c r="I23305" s="12"/>
      <c r="J23305" s="12"/>
      <c r="K23305" s="12"/>
      <c r="L23305" s="12"/>
      <c r="M23305" s="11"/>
      <c r="N23305" s="11"/>
      <c r="O23305" s="11"/>
      <c r="P23305" s="11"/>
    </row>
    <row r="23306" spans="8:16" x14ac:dyDescent="0.25">
      <c r="H23306" s="12"/>
      <c r="I23306" s="12"/>
      <c r="J23306" s="12"/>
      <c r="K23306" s="12"/>
      <c r="L23306" s="12"/>
      <c r="M23306" s="11"/>
      <c r="N23306" s="11"/>
      <c r="O23306" s="11"/>
      <c r="P23306" s="11"/>
    </row>
    <row r="23307" spans="8:16" x14ac:dyDescent="0.25">
      <c r="H23307" s="12"/>
      <c r="I23307" s="12"/>
      <c r="J23307" s="12"/>
      <c r="K23307" s="12"/>
      <c r="L23307" s="12"/>
      <c r="M23307" s="11"/>
      <c r="N23307" s="11"/>
      <c r="O23307" s="11"/>
      <c r="P23307" s="11"/>
    </row>
    <row r="23308" spans="8:16" x14ac:dyDescent="0.25">
      <c r="H23308" s="12"/>
      <c r="I23308" s="12"/>
      <c r="J23308" s="12"/>
      <c r="K23308" s="12"/>
      <c r="L23308" s="12"/>
      <c r="M23308" s="11"/>
      <c r="N23308" s="11"/>
      <c r="O23308" s="11"/>
      <c r="P23308" s="11"/>
    </row>
    <row r="23309" spans="8:16" x14ac:dyDescent="0.25">
      <c r="H23309" s="12"/>
      <c r="I23309" s="12"/>
      <c r="J23309" s="12"/>
      <c r="K23309" s="12"/>
      <c r="L23309" s="12"/>
      <c r="M23309" s="11"/>
      <c r="N23309" s="11"/>
      <c r="O23309" s="11"/>
      <c r="P23309" s="11"/>
    </row>
    <row r="23310" spans="8:16" x14ac:dyDescent="0.25">
      <c r="H23310" s="12"/>
      <c r="I23310" s="12"/>
      <c r="J23310" s="12"/>
      <c r="K23310" s="12"/>
      <c r="L23310" s="12"/>
      <c r="M23310" s="11"/>
      <c r="N23310" s="11"/>
      <c r="O23310" s="11"/>
      <c r="P23310" s="11"/>
    </row>
    <row r="23311" spans="8:16" x14ac:dyDescent="0.25">
      <c r="H23311" s="12"/>
      <c r="I23311" s="12"/>
      <c r="J23311" s="12"/>
      <c r="K23311" s="12"/>
      <c r="L23311" s="12"/>
      <c r="M23311" s="11"/>
      <c r="N23311" s="11"/>
      <c r="O23311" s="11"/>
      <c r="P23311" s="11"/>
    </row>
    <row r="23312" spans="8:16" x14ac:dyDescent="0.25">
      <c r="H23312" s="12"/>
      <c r="I23312" s="12"/>
      <c r="J23312" s="12"/>
      <c r="K23312" s="12"/>
      <c r="L23312" s="12"/>
      <c r="M23312" s="11"/>
      <c r="N23312" s="11"/>
      <c r="O23312" s="11"/>
      <c r="P23312" s="11"/>
    </row>
    <row r="23313" spans="8:16" x14ac:dyDescent="0.25">
      <c r="H23313" s="12"/>
      <c r="I23313" s="12"/>
      <c r="J23313" s="12"/>
      <c r="K23313" s="12"/>
      <c r="L23313" s="12"/>
      <c r="M23313" s="11"/>
      <c r="N23313" s="11"/>
      <c r="O23313" s="11"/>
      <c r="P23313" s="11"/>
    </row>
    <row r="23314" spans="8:16" x14ac:dyDescent="0.25">
      <c r="H23314" s="12"/>
      <c r="I23314" s="12"/>
      <c r="J23314" s="12"/>
      <c r="K23314" s="12"/>
      <c r="L23314" s="12"/>
      <c r="M23314" s="11"/>
      <c r="N23314" s="11"/>
      <c r="O23314" s="11"/>
      <c r="P23314" s="11"/>
    </row>
    <row r="23315" spans="8:16" x14ac:dyDescent="0.25">
      <c r="H23315" s="12"/>
      <c r="I23315" s="12"/>
      <c r="J23315" s="12"/>
      <c r="K23315" s="12"/>
      <c r="L23315" s="12"/>
      <c r="M23315" s="11"/>
      <c r="N23315" s="11"/>
      <c r="O23315" s="11"/>
      <c r="P23315" s="11"/>
    </row>
    <row r="23316" spans="8:16" x14ac:dyDescent="0.25">
      <c r="H23316" s="12"/>
      <c r="I23316" s="12"/>
      <c r="J23316" s="12"/>
      <c r="K23316" s="12"/>
      <c r="L23316" s="12"/>
      <c r="M23316" s="11"/>
      <c r="N23316" s="11"/>
      <c r="O23316" s="11"/>
      <c r="P23316" s="11"/>
    </row>
    <row r="23317" spans="8:16" x14ac:dyDescent="0.25">
      <c r="H23317" s="12"/>
      <c r="I23317" s="12"/>
      <c r="J23317" s="12"/>
      <c r="K23317" s="12"/>
      <c r="L23317" s="12"/>
      <c r="M23317" s="11"/>
      <c r="N23317" s="11"/>
      <c r="O23317" s="11"/>
      <c r="P23317" s="11"/>
    </row>
    <row r="23318" spans="8:16" x14ac:dyDescent="0.25">
      <c r="H23318" s="12"/>
      <c r="I23318" s="12"/>
      <c r="J23318" s="12"/>
      <c r="K23318" s="12"/>
      <c r="L23318" s="12"/>
      <c r="M23318" s="11"/>
      <c r="N23318" s="11"/>
      <c r="O23318" s="11"/>
      <c r="P23318" s="11"/>
    </row>
    <row r="23319" spans="8:16" x14ac:dyDescent="0.25">
      <c r="H23319" s="12"/>
      <c r="I23319" s="12"/>
      <c r="J23319" s="12"/>
      <c r="K23319" s="12"/>
      <c r="L23319" s="12"/>
      <c r="M23319" s="11"/>
      <c r="N23319" s="11"/>
      <c r="O23319" s="11"/>
      <c r="P23319" s="11"/>
    </row>
    <row r="23320" spans="8:16" x14ac:dyDescent="0.25">
      <c r="H23320" s="12"/>
      <c r="I23320" s="12"/>
      <c r="J23320" s="12"/>
      <c r="K23320" s="12"/>
      <c r="L23320" s="12"/>
      <c r="M23320" s="11"/>
      <c r="N23320" s="11"/>
      <c r="O23320" s="11"/>
      <c r="P23320" s="11"/>
    </row>
    <row r="23321" spans="8:16" x14ac:dyDescent="0.25">
      <c r="H23321" s="12"/>
      <c r="I23321" s="12"/>
      <c r="J23321" s="12"/>
      <c r="K23321" s="12"/>
      <c r="L23321" s="12"/>
      <c r="M23321" s="11"/>
      <c r="N23321" s="11"/>
      <c r="O23321" s="11"/>
      <c r="P23321" s="11"/>
    </row>
    <row r="23322" spans="8:16" x14ac:dyDescent="0.25">
      <c r="H23322" s="12"/>
      <c r="I23322" s="12"/>
      <c r="J23322" s="12"/>
      <c r="K23322" s="12"/>
      <c r="L23322" s="12"/>
      <c r="M23322" s="11"/>
      <c r="N23322" s="11"/>
      <c r="O23322" s="11"/>
      <c r="P23322" s="11"/>
    </row>
    <row r="23323" spans="8:16" x14ac:dyDescent="0.25">
      <c r="H23323" s="12"/>
      <c r="I23323" s="12"/>
      <c r="J23323" s="12"/>
      <c r="K23323" s="12"/>
      <c r="L23323" s="12"/>
      <c r="M23323" s="11"/>
      <c r="N23323" s="11"/>
      <c r="O23323" s="11"/>
      <c r="P23323" s="11"/>
    </row>
    <row r="23324" spans="8:16" x14ac:dyDescent="0.25">
      <c r="H23324" s="12"/>
      <c r="I23324" s="12"/>
      <c r="J23324" s="12"/>
      <c r="K23324" s="12"/>
      <c r="L23324" s="12"/>
      <c r="M23324" s="11"/>
      <c r="N23324" s="11"/>
      <c r="O23324" s="11"/>
      <c r="P23324" s="11"/>
    </row>
    <row r="23325" spans="8:16" x14ac:dyDescent="0.25">
      <c r="H23325" s="12"/>
      <c r="I23325" s="12"/>
      <c r="J23325" s="12"/>
      <c r="K23325" s="12"/>
      <c r="L23325" s="12"/>
      <c r="M23325" s="11"/>
      <c r="N23325" s="11"/>
      <c r="O23325" s="11"/>
      <c r="P23325" s="11"/>
    </row>
    <row r="23326" spans="8:16" x14ac:dyDescent="0.25">
      <c r="H23326" s="12"/>
      <c r="I23326" s="12"/>
      <c r="J23326" s="12"/>
      <c r="K23326" s="12"/>
      <c r="L23326" s="12"/>
      <c r="M23326" s="11"/>
      <c r="N23326" s="11"/>
      <c r="O23326" s="11"/>
      <c r="P23326" s="11"/>
    </row>
    <row r="23327" spans="8:16" x14ac:dyDescent="0.25">
      <c r="H23327" s="12"/>
      <c r="I23327" s="12"/>
      <c r="J23327" s="12"/>
      <c r="K23327" s="12"/>
      <c r="L23327" s="12"/>
      <c r="M23327" s="11"/>
      <c r="N23327" s="11"/>
      <c r="O23327" s="11"/>
      <c r="P23327" s="11"/>
    </row>
    <row r="23328" spans="8:16" x14ac:dyDescent="0.25">
      <c r="H23328" s="12"/>
      <c r="I23328" s="12"/>
      <c r="J23328" s="12"/>
      <c r="K23328" s="12"/>
      <c r="L23328" s="12"/>
      <c r="M23328" s="11"/>
      <c r="N23328" s="11"/>
      <c r="O23328" s="11"/>
      <c r="P23328" s="11"/>
    </row>
    <row r="23329" spans="8:16" x14ac:dyDescent="0.25">
      <c r="H23329" s="12"/>
      <c r="I23329" s="12"/>
      <c r="J23329" s="12"/>
      <c r="K23329" s="12"/>
      <c r="L23329" s="12"/>
      <c r="M23329" s="11"/>
      <c r="N23329" s="11"/>
      <c r="O23329" s="11"/>
      <c r="P23329" s="11"/>
    </row>
    <row r="23330" spans="8:16" x14ac:dyDescent="0.25">
      <c r="H23330" s="12"/>
      <c r="I23330" s="12"/>
      <c r="J23330" s="12"/>
      <c r="K23330" s="12"/>
      <c r="L23330" s="12"/>
      <c r="M23330" s="11"/>
      <c r="N23330" s="11"/>
      <c r="O23330" s="11"/>
      <c r="P23330" s="11"/>
    </row>
    <row r="23331" spans="8:16" x14ac:dyDescent="0.25">
      <c r="H23331" s="12"/>
      <c r="I23331" s="12"/>
      <c r="J23331" s="12"/>
      <c r="K23331" s="12"/>
      <c r="L23331" s="12"/>
      <c r="M23331" s="11"/>
      <c r="N23331" s="11"/>
      <c r="O23331" s="11"/>
      <c r="P23331" s="11"/>
    </row>
    <row r="23332" spans="8:16" x14ac:dyDescent="0.25">
      <c r="H23332" s="12"/>
      <c r="I23332" s="12"/>
      <c r="J23332" s="12"/>
      <c r="K23332" s="12"/>
      <c r="L23332" s="12"/>
      <c r="M23332" s="11"/>
      <c r="N23332" s="11"/>
      <c r="O23332" s="11"/>
      <c r="P23332" s="11"/>
    </row>
    <row r="23333" spans="8:16" x14ac:dyDescent="0.25">
      <c r="H23333" s="12"/>
      <c r="I23333" s="12"/>
      <c r="J23333" s="12"/>
      <c r="K23333" s="12"/>
      <c r="L23333" s="12"/>
      <c r="M23333" s="11"/>
      <c r="N23333" s="11"/>
      <c r="O23333" s="11"/>
      <c r="P23333" s="11"/>
    </row>
    <row r="23334" spans="8:16" x14ac:dyDescent="0.25">
      <c r="H23334" s="12"/>
      <c r="I23334" s="12"/>
      <c r="J23334" s="12"/>
      <c r="K23334" s="12"/>
      <c r="L23334" s="12"/>
      <c r="M23334" s="11"/>
      <c r="N23334" s="11"/>
      <c r="O23334" s="11"/>
      <c r="P23334" s="11"/>
    </row>
    <row r="23335" spans="8:16" x14ac:dyDescent="0.25">
      <c r="H23335" s="12"/>
      <c r="I23335" s="12"/>
      <c r="J23335" s="12"/>
      <c r="K23335" s="12"/>
      <c r="L23335" s="12"/>
      <c r="M23335" s="11"/>
      <c r="N23335" s="11"/>
      <c r="O23335" s="11"/>
      <c r="P23335" s="11"/>
    </row>
    <row r="23336" spans="8:16" x14ac:dyDescent="0.25">
      <c r="H23336" s="12"/>
      <c r="I23336" s="12"/>
      <c r="J23336" s="12"/>
      <c r="K23336" s="12"/>
      <c r="L23336" s="12"/>
      <c r="M23336" s="11"/>
      <c r="N23336" s="11"/>
      <c r="O23336" s="11"/>
      <c r="P23336" s="11"/>
    </row>
    <row r="23337" spans="8:16" x14ac:dyDescent="0.25">
      <c r="H23337" s="12"/>
      <c r="I23337" s="12"/>
      <c r="J23337" s="12"/>
      <c r="K23337" s="12"/>
      <c r="L23337" s="12"/>
      <c r="M23337" s="11"/>
      <c r="N23337" s="11"/>
      <c r="O23337" s="11"/>
      <c r="P23337" s="11"/>
    </row>
    <row r="23338" spans="8:16" x14ac:dyDescent="0.25">
      <c r="H23338" s="12"/>
      <c r="I23338" s="12"/>
      <c r="J23338" s="12"/>
      <c r="K23338" s="12"/>
      <c r="L23338" s="12"/>
      <c r="M23338" s="11"/>
      <c r="N23338" s="11"/>
      <c r="O23338" s="11"/>
      <c r="P23338" s="11"/>
    </row>
    <row r="23339" spans="8:16" x14ac:dyDescent="0.25">
      <c r="H23339" s="12"/>
      <c r="I23339" s="12"/>
      <c r="J23339" s="12"/>
      <c r="K23339" s="12"/>
      <c r="L23339" s="12"/>
      <c r="M23339" s="11"/>
      <c r="N23339" s="11"/>
      <c r="O23339" s="11"/>
      <c r="P23339" s="11"/>
    </row>
    <row r="23340" spans="8:16" x14ac:dyDescent="0.25">
      <c r="H23340" s="12"/>
      <c r="I23340" s="12"/>
      <c r="J23340" s="12"/>
      <c r="K23340" s="12"/>
      <c r="L23340" s="12"/>
      <c r="M23340" s="11"/>
      <c r="N23340" s="11"/>
      <c r="O23340" s="11"/>
      <c r="P23340" s="11"/>
    </row>
    <row r="23341" spans="8:16" x14ac:dyDescent="0.25">
      <c r="H23341" s="12"/>
      <c r="I23341" s="12"/>
      <c r="J23341" s="12"/>
      <c r="K23341" s="12"/>
      <c r="L23341" s="12"/>
      <c r="M23341" s="11"/>
      <c r="N23341" s="11"/>
      <c r="O23341" s="11"/>
      <c r="P23341" s="11"/>
    </row>
    <row r="23342" spans="8:16" x14ac:dyDescent="0.25">
      <c r="H23342" s="12"/>
      <c r="I23342" s="12"/>
      <c r="J23342" s="12"/>
      <c r="K23342" s="12"/>
      <c r="L23342" s="12"/>
      <c r="M23342" s="11"/>
      <c r="N23342" s="11"/>
      <c r="O23342" s="11"/>
      <c r="P23342" s="11"/>
    </row>
    <row r="23343" spans="8:16" x14ac:dyDescent="0.25">
      <c r="H23343" s="12"/>
      <c r="I23343" s="12"/>
      <c r="J23343" s="12"/>
      <c r="K23343" s="12"/>
      <c r="L23343" s="12"/>
      <c r="M23343" s="11"/>
      <c r="N23343" s="11"/>
      <c r="O23343" s="11"/>
      <c r="P23343" s="11"/>
    </row>
    <row r="23344" spans="8:16" x14ac:dyDescent="0.25">
      <c r="H23344" s="12"/>
      <c r="I23344" s="12"/>
      <c r="J23344" s="12"/>
      <c r="K23344" s="12"/>
      <c r="L23344" s="12"/>
      <c r="M23344" s="11"/>
      <c r="N23344" s="11"/>
      <c r="O23344" s="11"/>
      <c r="P23344" s="11"/>
    </row>
    <row r="23345" spans="8:16" x14ac:dyDescent="0.25">
      <c r="H23345" s="12"/>
      <c r="I23345" s="12"/>
      <c r="J23345" s="12"/>
      <c r="K23345" s="12"/>
      <c r="L23345" s="12"/>
      <c r="M23345" s="11"/>
      <c r="N23345" s="11"/>
      <c r="O23345" s="11"/>
      <c r="P23345" s="11"/>
    </row>
    <row r="23346" spans="8:16" x14ac:dyDescent="0.25">
      <c r="H23346" s="12"/>
      <c r="I23346" s="12"/>
      <c r="J23346" s="12"/>
      <c r="K23346" s="12"/>
      <c r="L23346" s="12"/>
      <c r="M23346" s="11"/>
      <c r="N23346" s="11"/>
      <c r="O23346" s="11"/>
      <c r="P23346" s="11"/>
    </row>
    <row r="23347" spans="8:16" x14ac:dyDescent="0.25">
      <c r="H23347" s="12"/>
      <c r="I23347" s="12"/>
      <c r="J23347" s="12"/>
      <c r="K23347" s="12"/>
      <c r="L23347" s="12"/>
      <c r="M23347" s="11"/>
      <c r="N23347" s="11"/>
      <c r="O23347" s="11"/>
      <c r="P23347" s="11"/>
    </row>
    <row r="23348" spans="8:16" x14ac:dyDescent="0.25">
      <c r="H23348" s="12"/>
      <c r="I23348" s="12"/>
      <c r="J23348" s="12"/>
      <c r="K23348" s="12"/>
      <c r="L23348" s="12"/>
      <c r="M23348" s="11"/>
      <c r="N23348" s="11"/>
      <c r="O23348" s="11"/>
      <c r="P23348" s="11"/>
    </row>
    <row r="23349" spans="8:16" x14ac:dyDescent="0.25">
      <c r="H23349" s="12"/>
      <c r="I23349" s="12"/>
      <c r="J23349" s="12"/>
      <c r="K23349" s="12"/>
      <c r="L23349" s="12"/>
      <c r="M23349" s="11"/>
      <c r="N23349" s="11"/>
      <c r="O23349" s="11"/>
      <c r="P23349" s="11"/>
    </row>
    <row r="23350" spans="8:16" x14ac:dyDescent="0.25">
      <c r="H23350" s="12"/>
      <c r="I23350" s="12"/>
      <c r="J23350" s="12"/>
      <c r="K23350" s="12"/>
      <c r="L23350" s="12"/>
      <c r="M23350" s="11"/>
      <c r="N23350" s="11"/>
      <c r="O23350" s="11"/>
      <c r="P23350" s="11"/>
    </row>
    <row r="23351" spans="8:16" x14ac:dyDescent="0.25">
      <c r="H23351" s="12"/>
      <c r="I23351" s="12"/>
      <c r="J23351" s="12"/>
      <c r="K23351" s="12"/>
      <c r="L23351" s="12"/>
      <c r="M23351" s="11"/>
      <c r="N23351" s="11"/>
      <c r="O23351" s="11"/>
      <c r="P23351" s="11"/>
    </row>
    <row r="23352" spans="8:16" x14ac:dyDescent="0.25">
      <c r="H23352" s="12"/>
      <c r="I23352" s="12"/>
      <c r="J23352" s="12"/>
      <c r="K23352" s="12"/>
      <c r="L23352" s="12"/>
      <c r="M23352" s="11"/>
      <c r="N23352" s="11"/>
      <c r="O23352" s="11"/>
      <c r="P23352" s="11"/>
    </row>
    <row r="23353" spans="8:16" x14ac:dyDescent="0.25">
      <c r="H23353" s="12"/>
      <c r="I23353" s="12"/>
      <c r="J23353" s="12"/>
      <c r="K23353" s="12"/>
      <c r="L23353" s="12"/>
      <c r="M23353" s="11"/>
      <c r="N23353" s="11"/>
      <c r="O23353" s="11"/>
      <c r="P23353" s="11"/>
    </row>
    <row r="23354" spans="8:16" x14ac:dyDescent="0.25">
      <c r="H23354" s="12"/>
      <c r="I23354" s="12"/>
      <c r="J23354" s="12"/>
      <c r="K23354" s="12"/>
      <c r="L23354" s="12"/>
      <c r="M23354" s="11"/>
      <c r="N23354" s="11"/>
      <c r="O23354" s="11"/>
      <c r="P23354" s="11"/>
    </row>
    <row r="23355" spans="8:16" x14ac:dyDescent="0.25">
      <c r="H23355" s="12"/>
      <c r="I23355" s="12"/>
      <c r="J23355" s="12"/>
      <c r="K23355" s="12"/>
      <c r="L23355" s="12"/>
      <c r="M23355" s="11"/>
      <c r="N23355" s="11"/>
      <c r="O23355" s="11"/>
      <c r="P23355" s="11"/>
    </row>
    <row r="23356" spans="8:16" x14ac:dyDescent="0.25">
      <c r="H23356" s="12"/>
      <c r="I23356" s="12"/>
      <c r="J23356" s="12"/>
      <c r="K23356" s="12"/>
      <c r="L23356" s="12"/>
      <c r="M23356" s="11"/>
      <c r="N23356" s="11"/>
      <c r="O23356" s="11"/>
      <c r="P23356" s="11"/>
    </row>
    <row r="23357" spans="8:16" x14ac:dyDescent="0.25">
      <c r="H23357" s="12"/>
      <c r="I23357" s="12"/>
      <c r="J23357" s="12"/>
      <c r="K23357" s="12"/>
      <c r="L23357" s="12"/>
      <c r="M23357" s="11"/>
      <c r="N23357" s="11"/>
      <c r="O23357" s="11"/>
      <c r="P23357" s="11"/>
    </row>
    <row r="23358" spans="8:16" x14ac:dyDescent="0.25">
      <c r="H23358" s="12"/>
      <c r="I23358" s="12"/>
      <c r="J23358" s="12"/>
      <c r="K23358" s="12"/>
      <c r="L23358" s="12"/>
      <c r="M23358" s="11"/>
      <c r="N23358" s="11"/>
      <c r="O23358" s="11"/>
      <c r="P23358" s="11"/>
    </row>
    <row r="23359" spans="8:16" x14ac:dyDescent="0.25">
      <c r="H23359" s="12"/>
      <c r="I23359" s="12"/>
      <c r="J23359" s="12"/>
      <c r="K23359" s="12"/>
      <c r="L23359" s="12"/>
      <c r="M23359" s="11"/>
      <c r="N23359" s="11"/>
      <c r="O23359" s="11"/>
      <c r="P23359" s="11"/>
    </row>
    <row r="23360" spans="8:16" x14ac:dyDescent="0.25">
      <c r="H23360" s="12"/>
      <c r="I23360" s="12"/>
      <c r="J23360" s="12"/>
      <c r="K23360" s="12"/>
      <c r="L23360" s="12"/>
      <c r="M23360" s="11"/>
      <c r="N23360" s="11"/>
      <c r="O23360" s="11"/>
      <c r="P23360" s="11"/>
    </row>
    <row r="23361" spans="8:16" x14ac:dyDescent="0.25">
      <c r="H23361" s="12"/>
      <c r="I23361" s="12"/>
      <c r="J23361" s="12"/>
      <c r="K23361" s="12"/>
      <c r="L23361" s="12"/>
      <c r="M23361" s="11"/>
      <c r="N23361" s="11"/>
      <c r="O23361" s="11"/>
      <c r="P23361" s="11"/>
    </row>
    <row r="23362" spans="8:16" x14ac:dyDescent="0.25">
      <c r="H23362" s="12"/>
      <c r="I23362" s="12"/>
      <c r="J23362" s="12"/>
      <c r="K23362" s="12"/>
      <c r="L23362" s="12"/>
      <c r="M23362" s="11"/>
      <c r="N23362" s="11"/>
      <c r="O23362" s="11"/>
      <c r="P23362" s="11"/>
    </row>
    <row r="23363" spans="8:16" x14ac:dyDescent="0.25">
      <c r="H23363" s="12"/>
      <c r="I23363" s="12"/>
      <c r="J23363" s="12"/>
      <c r="K23363" s="12"/>
      <c r="L23363" s="12"/>
      <c r="M23363" s="11"/>
      <c r="N23363" s="11"/>
      <c r="O23363" s="11"/>
      <c r="P23363" s="11"/>
    </row>
    <row r="23364" spans="8:16" x14ac:dyDescent="0.25">
      <c r="H23364" s="12"/>
      <c r="I23364" s="12"/>
      <c r="J23364" s="12"/>
      <c r="K23364" s="12"/>
      <c r="L23364" s="12"/>
      <c r="M23364" s="11"/>
      <c r="N23364" s="11"/>
      <c r="O23364" s="11"/>
      <c r="P23364" s="11"/>
    </row>
    <row r="23365" spans="8:16" x14ac:dyDescent="0.25">
      <c r="H23365" s="12"/>
      <c r="I23365" s="12"/>
      <c r="J23365" s="12"/>
      <c r="K23365" s="12"/>
      <c r="L23365" s="12"/>
      <c r="M23365" s="11"/>
      <c r="N23365" s="11"/>
      <c r="O23365" s="11"/>
      <c r="P23365" s="11"/>
    </row>
    <row r="23366" spans="8:16" x14ac:dyDescent="0.25">
      <c r="H23366" s="12"/>
      <c r="I23366" s="12"/>
      <c r="J23366" s="12"/>
      <c r="K23366" s="12"/>
      <c r="L23366" s="12"/>
      <c r="M23366" s="11"/>
      <c r="N23366" s="11"/>
      <c r="O23366" s="11"/>
      <c r="P23366" s="11"/>
    </row>
    <row r="23367" spans="8:16" x14ac:dyDescent="0.25">
      <c r="H23367" s="12"/>
      <c r="I23367" s="12"/>
      <c r="J23367" s="12"/>
      <c r="K23367" s="12"/>
      <c r="L23367" s="12"/>
      <c r="M23367" s="11"/>
      <c r="N23367" s="11"/>
      <c r="O23367" s="11"/>
      <c r="P23367" s="11"/>
    </row>
    <row r="23368" spans="8:16" x14ac:dyDescent="0.25">
      <c r="H23368" s="12"/>
      <c r="I23368" s="12"/>
      <c r="J23368" s="12"/>
      <c r="K23368" s="12"/>
      <c r="L23368" s="12"/>
      <c r="M23368" s="11"/>
      <c r="N23368" s="11"/>
      <c r="O23368" s="11"/>
      <c r="P23368" s="11"/>
    </row>
    <row r="23369" spans="8:16" x14ac:dyDescent="0.25">
      <c r="H23369" s="12"/>
      <c r="I23369" s="12"/>
      <c r="J23369" s="12"/>
      <c r="K23369" s="12"/>
      <c r="L23369" s="12"/>
      <c r="M23369" s="11"/>
      <c r="N23369" s="11"/>
      <c r="O23369" s="11"/>
      <c r="P23369" s="11"/>
    </row>
    <row r="23370" spans="8:16" x14ac:dyDescent="0.25">
      <c r="H23370" s="12"/>
      <c r="I23370" s="12"/>
      <c r="J23370" s="12"/>
      <c r="K23370" s="12"/>
      <c r="L23370" s="12"/>
      <c r="M23370" s="11"/>
      <c r="N23370" s="11"/>
      <c r="O23370" s="11"/>
      <c r="P23370" s="11"/>
    </row>
    <row r="23371" spans="8:16" x14ac:dyDescent="0.25">
      <c r="H23371" s="12"/>
      <c r="I23371" s="12"/>
      <c r="J23371" s="12"/>
      <c r="K23371" s="12"/>
      <c r="L23371" s="12"/>
      <c r="M23371" s="11"/>
      <c r="N23371" s="11"/>
      <c r="O23371" s="11"/>
      <c r="P23371" s="11"/>
    </row>
    <row r="23372" spans="8:16" x14ac:dyDescent="0.25">
      <c r="H23372" s="12"/>
      <c r="I23372" s="12"/>
      <c r="J23372" s="12"/>
      <c r="K23372" s="12"/>
      <c r="L23372" s="12"/>
      <c r="M23372" s="11"/>
      <c r="N23372" s="11"/>
      <c r="O23372" s="11"/>
      <c r="P23372" s="11"/>
    </row>
    <row r="23373" spans="8:16" x14ac:dyDescent="0.25">
      <c r="H23373" s="12"/>
      <c r="I23373" s="12"/>
      <c r="J23373" s="12"/>
      <c r="K23373" s="12"/>
      <c r="L23373" s="12"/>
      <c r="M23373" s="11"/>
      <c r="N23373" s="11"/>
      <c r="O23373" s="11"/>
      <c r="P23373" s="11"/>
    </row>
    <row r="23374" spans="8:16" x14ac:dyDescent="0.25">
      <c r="H23374" s="12"/>
      <c r="I23374" s="12"/>
      <c r="J23374" s="12"/>
      <c r="K23374" s="12"/>
      <c r="L23374" s="12"/>
      <c r="M23374" s="11"/>
      <c r="N23374" s="11"/>
      <c r="O23374" s="11"/>
      <c r="P23374" s="11"/>
    </row>
    <row r="23375" spans="8:16" x14ac:dyDescent="0.25">
      <c r="H23375" s="12"/>
      <c r="I23375" s="12"/>
      <c r="J23375" s="12"/>
      <c r="K23375" s="12"/>
      <c r="L23375" s="12"/>
      <c r="M23375" s="11"/>
      <c r="N23375" s="11"/>
      <c r="O23375" s="11"/>
      <c r="P23375" s="11"/>
    </row>
    <row r="23376" spans="8:16" x14ac:dyDescent="0.25">
      <c r="H23376" s="12"/>
      <c r="I23376" s="12"/>
      <c r="J23376" s="12"/>
      <c r="K23376" s="12"/>
      <c r="L23376" s="12"/>
      <c r="M23376" s="11"/>
      <c r="N23376" s="11"/>
      <c r="O23376" s="11"/>
      <c r="P23376" s="11"/>
    </row>
    <row r="23377" spans="8:16" x14ac:dyDescent="0.25">
      <c r="H23377" s="12"/>
      <c r="I23377" s="12"/>
      <c r="J23377" s="12"/>
      <c r="K23377" s="12"/>
      <c r="L23377" s="12"/>
      <c r="M23377" s="11"/>
      <c r="N23377" s="11"/>
      <c r="O23377" s="11"/>
      <c r="P23377" s="11"/>
    </row>
    <row r="23378" spans="8:16" x14ac:dyDescent="0.25">
      <c r="H23378" s="12"/>
      <c r="I23378" s="12"/>
      <c r="J23378" s="12"/>
      <c r="K23378" s="12"/>
      <c r="L23378" s="12"/>
      <c r="M23378" s="11"/>
      <c r="N23378" s="11"/>
      <c r="O23378" s="11"/>
      <c r="P23378" s="11"/>
    </row>
    <row r="23379" spans="8:16" x14ac:dyDescent="0.25">
      <c r="H23379" s="12"/>
      <c r="I23379" s="12"/>
      <c r="J23379" s="12"/>
      <c r="K23379" s="12"/>
      <c r="L23379" s="12"/>
      <c r="M23379" s="11"/>
      <c r="N23379" s="11"/>
      <c r="O23379" s="11"/>
      <c r="P23379" s="11"/>
    </row>
    <row r="23380" spans="8:16" x14ac:dyDescent="0.25">
      <c r="H23380" s="12"/>
      <c r="I23380" s="12"/>
      <c r="J23380" s="12"/>
      <c r="K23380" s="12"/>
      <c r="L23380" s="12"/>
      <c r="M23380" s="11"/>
      <c r="N23380" s="11"/>
      <c r="O23380" s="11"/>
      <c r="P23380" s="11"/>
    </row>
    <row r="23381" spans="8:16" x14ac:dyDescent="0.25">
      <c r="H23381" s="12"/>
      <c r="I23381" s="12"/>
      <c r="J23381" s="12"/>
      <c r="K23381" s="12"/>
      <c r="L23381" s="12"/>
      <c r="M23381" s="11"/>
      <c r="N23381" s="11"/>
      <c r="O23381" s="11"/>
      <c r="P23381" s="11"/>
    </row>
    <row r="23382" spans="8:16" x14ac:dyDescent="0.25">
      <c r="H23382" s="12"/>
      <c r="I23382" s="12"/>
      <c r="J23382" s="12"/>
      <c r="K23382" s="12"/>
      <c r="L23382" s="12"/>
      <c r="M23382" s="11"/>
      <c r="N23382" s="11"/>
      <c r="O23382" s="11"/>
      <c r="P23382" s="11"/>
    </row>
    <row r="23383" spans="8:16" x14ac:dyDescent="0.25">
      <c r="H23383" s="12"/>
      <c r="I23383" s="12"/>
      <c r="J23383" s="12"/>
      <c r="K23383" s="12"/>
      <c r="L23383" s="12"/>
      <c r="M23383" s="11"/>
      <c r="N23383" s="11"/>
      <c r="O23383" s="11"/>
      <c r="P23383" s="11"/>
    </row>
    <row r="23384" spans="8:16" x14ac:dyDescent="0.25">
      <c r="H23384" s="12"/>
      <c r="I23384" s="12"/>
      <c r="J23384" s="12"/>
      <c r="K23384" s="12"/>
      <c r="L23384" s="12"/>
      <c r="M23384" s="11"/>
      <c r="N23384" s="11"/>
      <c r="O23384" s="11"/>
      <c r="P23384" s="11"/>
    </row>
    <row r="23385" spans="8:16" x14ac:dyDescent="0.25">
      <c r="H23385" s="12"/>
      <c r="I23385" s="12"/>
      <c r="J23385" s="12"/>
      <c r="K23385" s="12"/>
      <c r="L23385" s="12"/>
      <c r="M23385" s="11"/>
      <c r="N23385" s="11"/>
      <c r="O23385" s="11"/>
      <c r="P23385" s="11"/>
    </row>
    <row r="23386" spans="8:16" x14ac:dyDescent="0.25">
      <c r="H23386" s="12"/>
      <c r="I23386" s="12"/>
      <c r="J23386" s="12"/>
      <c r="K23386" s="12"/>
      <c r="L23386" s="12"/>
      <c r="M23386" s="11"/>
      <c r="N23386" s="11"/>
      <c r="O23386" s="11"/>
      <c r="P23386" s="11"/>
    </row>
    <row r="23387" spans="8:16" x14ac:dyDescent="0.25">
      <c r="H23387" s="12"/>
      <c r="I23387" s="12"/>
      <c r="J23387" s="12"/>
      <c r="K23387" s="12"/>
      <c r="L23387" s="12"/>
      <c r="M23387" s="11"/>
      <c r="N23387" s="11"/>
      <c r="O23387" s="11"/>
      <c r="P23387" s="11"/>
    </row>
    <row r="23388" spans="8:16" x14ac:dyDescent="0.25">
      <c r="H23388" s="12"/>
      <c r="I23388" s="12"/>
      <c r="J23388" s="12"/>
      <c r="K23388" s="12"/>
      <c r="L23388" s="12"/>
      <c r="M23388" s="11"/>
      <c r="N23388" s="11"/>
      <c r="O23388" s="11"/>
      <c r="P23388" s="11"/>
    </row>
    <row r="23389" spans="8:16" x14ac:dyDescent="0.25">
      <c r="H23389" s="12"/>
      <c r="I23389" s="12"/>
      <c r="J23389" s="12"/>
      <c r="K23389" s="12"/>
      <c r="L23389" s="12"/>
      <c r="M23389" s="11"/>
      <c r="N23389" s="11"/>
      <c r="O23389" s="11"/>
      <c r="P23389" s="11"/>
    </row>
    <row r="23390" spans="8:16" x14ac:dyDescent="0.25">
      <c r="H23390" s="12"/>
      <c r="I23390" s="12"/>
      <c r="J23390" s="12"/>
      <c r="K23390" s="12"/>
      <c r="L23390" s="12"/>
      <c r="M23390" s="11"/>
      <c r="N23390" s="11"/>
      <c r="O23390" s="11"/>
      <c r="P23390" s="11"/>
    </row>
    <row r="23391" spans="8:16" x14ac:dyDescent="0.25">
      <c r="H23391" s="12"/>
      <c r="I23391" s="12"/>
      <c r="J23391" s="12"/>
      <c r="K23391" s="12"/>
      <c r="L23391" s="12"/>
      <c r="M23391" s="11"/>
      <c r="N23391" s="11"/>
      <c r="O23391" s="11"/>
      <c r="P23391" s="11"/>
    </row>
    <row r="23392" spans="8:16" x14ac:dyDescent="0.25">
      <c r="H23392" s="12"/>
      <c r="I23392" s="12"/>
      <c r="J23392" s="12"/>
      <c r="K23392" s="12"/>
      <c r="L23392" s="12"/>
      <c r="M23392" s="11"/>
      <c r="N23392" s="11"/>
      <c r="O23392" s="11"/>
      <c r="P23392" s="11"/>
    </row>
    <row r="23393" spans="8:16" x14ac:dyDescent="0.25">
      <c r="H23393" s="12"/>
      <c r="I23393" s="12"/>
      <c r="J23393" s="12"/>
      <c r="K23393" s="12"/>
      <c r="L23393" s="12"/>
      <c r="M23393" s="11"/>
      <c r="N23393" s="11"/>
      <c r="O23393" s="11"/>
      <c r="P23393" s="11"/>
    </row>
    <row r="23394" spans="8:16" x14ac:dyDescent="0.25">
      <c r="H23394" s="12"/>
      <c r="I23394" s="12"/>
      <c r="J23394" s="12"/>
      <c r="K23394" s="12"/>
      <c r="L23394" s="12"/>
      <c r="M23394" s="11"/>
      <c r="N23394" s="11"/>
      <c r="O23394" s="11"/>
      <c r="P23394" s="11"/>
    </row>
    <row r="23395" spans="8:16" x14ac:dyDescent="0.25">
      <c r="H23395" s="12"/>
      <c r="I23395" s="12"/>
      <c r="J23395" s="12"/>
      <c r="K23395" s="12"/>
      <c r="L23395" s="12"/>
      <c r="M23395" s="11"/>
      <c r="N23395" s="11"/>
      <c r="O23395" s="11"/>
      <c r="P23395" s="11"/>
    </row>
    <row r="23396" spans="8:16" x14ac:dyDescent="0.25">
      <c r="H23396" s="12"/>
      <c r="I23396" s="12"/>
      <c r="J23396" s="12"/>
      <c r="K23396" s="12"/>
      <c r="L23396" s="12"/>
      <c r="M23396" s="11"/>
      <c r="N23396" s="11"/>
      <c r="O23396" s="11"/>
      <c r="P23396" s="11"/>
    </row>
    <row r="23397" spans="8:16" x14ac:dyDescent="0.25">
      <c r="H23397" s="12"/>
      <c r="I23397" s="12"/>
      <c r="J23397" s="12"/>
      <c r="K23397" s="12"/>
      <c r="L23397" s="12"/>
      <c r="M23397" s="11"/>
      <c r="N23397" s="11"/>
      <c r="O23397" s="11"/>
      <c r="P23397" s="11"/>
    </row>
    <row r="23398" spans="8:16" x14ac:dyDescent="0.25">
      <c r="H23398" s="12"/>
      <c r="I23398" s="12"/>
      <c r="J23398" s="12"/>
      <c r="K23398" s="12"/>
      <c r="L23398" s="12"/>
      <c r="M23398" s="11"/>
      <c r="N23398" s="11"/>
      <c r="O23398" s="11"/>
      <c r="P23398" s="11"/>
    </row>
    <row r="23399" spans="8:16" x14ac:dyDescent="0.25">
      <c r="H23399" s="12"/>
      <c r="I23399" s="12"/>
      <c r="J23399" s="12"/>
      <c r="K23399" s="12"/>
      <c r="L23399" s="12"/>
      <c r="M23399" s="11"/>
      <c r="N23399" s="11"/>
      <c r="O23399" s="11"/>
      <c r="P23399" s="11"/>
    </row>
    <row r="23400" spans="8:16" x14ac:dyDescent="0.25">
      <c r="H23400" s="12"/>
      <c r="I23400" s="12"/>
      <c r="J23400" s="12"/>
      <c r="K23400" s="12"/>
      <c r="L23400" s="12"/>
      <c r="M23400" s="11"/>
      <c r="N23400" s="11"/>
      <c r="O23400" s="11"/>
      <c r="P23400" s="11"/>
    </row>
    <row r="23401" spans="8:16" x14ac:dyDescent="0.25">
      <c r="H23401" s="12"/>
      <c r="I23401" s="12"/>
      <c r="J23401" s="12"/>
      <c r="K23401" s="12"/>
      <c r="L23401" s="12"/>
      <c r="M23401" s="11"/>
      <c r="N23401" s="11"/>
      <c r="O23401" s="11"/>
      <c r="P23401" s="11"/>
    </row>
    <row r="23402" spans="8:16" x14ac:dyDescent="0.25">
      <c r="H23402" s="12"/>
      <c r="I23402" s="12"/>
      <c r="J23402" s="12"/>
      <c r="K23402" s="12"/>
      <c r="L23402" s="12"/>
      <c r="M23402" s="11"/>
      <c r="N23402" s="11"/>
      <c r="O23402" s="11"/>
      <c r="P23402" s="11"/>
    </row>
    <row r="23403" spans="8:16" x14ac:dyDescent="0.25">
      <c r="H23403" s="12"/>
      <c r="I23403" s="12"/>
      <c r="J23403" s="12"/>
      <c r="K23403" s="12"/>
      <c r="L23403" s="12"/>
      <c r="M23403" s="11"/>
      <c r="N23403" s="11"/>
      <c r="O23403" s="11"/>
      <c r="P23403" s="11"/>
    </row>
    <row r="23404" spans="8:16" x14ac:dyDescent="0.25">
      <c r="H23404" s="12"/>
      <c r="I23404" s="12"/>
      <c r="J23404" s="12"/>
      <c r="K23404" s="12"/>
      <c r="L23404" s="12"/>
      <c r="M23404" s="11"/>
      <c r="N23404" s="11"/>
      <c r="O23404" s="11"/>
      <c r="P23404" s="11"/>
    </row>
    <row r="23405" spans="8:16" x14ac:dyDescent="0.25">
      <c r="H23405" s="12"/>
      <c r="I23405" s="12"/>
      <c r="J23405" s="12"/>
      <c r="K23405" s="12"/>
      <c r="L23405" s="12"/>
      <c r="M23405" s="11"/>
      <c r="N23405" s="11"/>
      <c r="O23405" s="11"/>
      <c r="P23405" s="11"/>
    </row>
    <row r="23406" spans="8:16" x14ac:dyDescent="0.25">
      <c r="H23406" s="12"/>
      <c r="I23406" s="12"/>
      <c r="J23406" s="12"/>
      <c r="K23406" s="12"/>
      <c r="L23406" s="12"/>
      <c r="M23406" s="11"/>
      <c r="N23406" s="11"/>
      <c r="O23406" s="11"/>
      <c r="P23406" s="11"/>
    </row>
    <row r="23407" spans="8:16" x14ac:dyDescent="0.25">
      <c r="H23407" s="12"/>
      <c r="I23407" s="12"/>
      <c r="J23407" s="12"/>
      <c r="K23407" s="12"/>
      <c r="L23407" s="12"/>
      <c r="M23407" s="11"/>
      <c r="N23407" s="11"/>
      <c r="O23407" s="11"/>
      <c r="P23407" s="11"/>
    </row>
    <row r="23408" spans="8:16" x14ac:dyDescent="0.25">
      <c r="H23408" s="12"/>
      <c r="I23408" s="12"/>
      <c r="J23408" s="12"/>
      <c r="K23408" s="12"/>
      <c r="L23408" s="12"/>
      <c r="M23408" s="11"/>
      <c r="N23408" s="11"/>
      <c r="O23408" s="11"/>
      <c r="P23408" s="11"/>
    </row>
    <row r="23409" spans="8:16" x14ac:dyDescent="0.25">
      <c r="H23409" s="12"/>
      <c r="I23409" s="12"/>
      <c r="J23409" s="12"/>
      <c r="K23409" s="12"/>
      <c r="L23409" s="12"/>
      <c r="M23409" s="11"/>
      <c r="N23409" s="11"/>
      <c r="O23409" s="11"/>
      <c r="P23409" s="11"/>
    </row>
    <row r="23410" spans="8:16" x14ac:dyDescent="0.25">
      <c r="H23410" s="12"/>
      <c r="I23410" s="12"/>
      <c r="J23410" s="12"/>
      <c r="K23410" s="12"/>
      <c r="L23410" s="12"/>
      <c r="M23410" s="11"/>
      <c r="N23410" s="11"/>
      <c r="O23410" s="11"/>
      <c r="P23410" s="11"/>
    </row>
    <row r="23411" spans="8:16" x14ac:dyDescent="0.25">
      <c r="H23411" s="12"/>
      <c r="I23411" s="12"/>
      <c r="J23411" s="12"/>
      <c r="K23411" s="12"/>
      <c r="L23411" s="12"/>
      <c r="M23411" s="11"/>
      <c r="N23411" s="11"/>
      <c r="O23411" s="11"/>
      <c r="P23411" s="11"/>
    </row>
    <row r="23412" spans="8:16" x14ac:dyDescent="0.25">
      <c r="H23412" s="12"/>
      <c r="I23412" s="12"/>
      <c r="J23412" s="12"/>
      <c r="K23412" s="12"/>
      <c r="L23412" s="12"/>
      <c r="M23412" s="11"/>
      <c r="N23412" s="11"/>
      <c r="O23412" s="11"/>
      <c r="P23412" s="11"/>
    </row>
    <row r="23413" spans="8:16" x14ac:dyDescent="0.25">
      <c r="H23413" s="12"/>
      <c r="I23413" s="12"/>
      <c r="J23413" s="12"/>
      <c r="K23413" s="12"/>
      <c r="L23413" s="12"/>
      <c r="M23413" s="11"/>
      <c r="N23413" s="11"/>
      <c r="O23413" s="11"/>
      <c r="P23413" s="11"/>
    </row>
    <row r="23414" spans="8:16" x14ac:dyDescent="0.25">
      <c r="H23414" s="12"/>
      <c r="I23414" s="12"/>
      <c r="J23414" s="12"/>
      <c r="K23414" s="12"/>
      <c r="L23414" s="12"/>
      <c r="M23414" s="11"/>
      <c r="N23414" s="11"/>
      <c r="O23414" s="11"/>
      <c r="P23414" s="11"/>
    </row>
    <row r="23415" spans="8:16" x14ac:dyDescent="0.25">
      <c r="H23415" s="12"/>
      <c r="I23415" s="12"/>
      <c r="J23415" s="12"/>
      <c r="K23415" s="12"/>
      <c r="L23415" s="12"/>
      <c r="M23415" s="11"/>
      <c r="N23415" s="11"/>
      <c r="O23415" s="11"/>
      <c r="P23415" s="11"/>
    </row>
    <row r="23416" spans="8:16" x14ac:dyDescent="0.25">
      <c r="H23416" s="12"/>
      <c r="I23416" s="12"/>
      <c r="J23416" s="12"/>
      <c r="K23416" s="12"/>
      <c r="L23416" s="12"/>
      <c r="M23416" s="11"/>
      <c r="N23416" s="11"/>
      <c r="O23416" s="11"/>
      <c r="P23416" s="11"/>
    </row>
    <row r="23417" spans="8:16" x14ac:dyDescent="0.25">
      <c r="H23417" s="12"/>
      <c r="I23417" s="12"/>
      <c r="J23417" s="12"/>
      <c r="K23417" s="12"/>
      <c r="L23417" s="12"/>
      <c r="M23417" s="11"/>
      <c r="N23417" s="11"/>
      <c r="O23417" s="11"/>
      <c r="P23417" s="11"/>
    </row>
    <row r="23418" spans="8:16" x14ac:dyDescent="0.25">
      <c r="H23418" s="12"/>
      <c r="I23418" s="12"/>
      <c r="J23418" s="12"/>
      <c r="K23418" s="12"/>
      <c r="L23418" s="12"/>
      <c r="M23418" s="11"/>
      <c r="N23418" s="11"/>
      <c r="O23418" s="11"/>
      <c r="P23418" s="11"/>
    </row>
    <row r="23419" spans="8:16" x14ac:dyDescent="0.25">
      <c r="H23419" s="12"/>
      <c r="I23419" s="12"/>
      <c r="J23419" s="12"/>
      <c r="K23419" s="12"/>
      <c r="L23419" s="12"/>
      <c r="M23419" s="11"/>
      <c r="N23419" s="11"/>
      <c r="O23419" s="11"/>
      <c r="P23419" s="11"/>
    </row>
    <row r="23420" spans="8:16" x14ac:dyDescent="0.25">
      <c r="H23420" s="12"/>
      <c r="I23420" s="12"/>
      <c r="J23420" s="12"/>
      <c r="K23420" s="12"/>
      <c r="L23420" s="12"/>
      <c r="M23420" s="11"/>
      <c r="N23420" s="11"/>
      <c r="O23420" s="11"/>
      <c r="P23420" s="11"/>
    </row>
    <row r="23421" spans="8:16" x14ac:dyDescent="0.25">
      <c r="H23421" s="12"/>
      <c r="I23421" s="12"/>
      <c r="J23421" s="12"/>
      <c r="K23421" s="12"/>
      <c r="L23421" s="12"/>
      <c r="M23421" s="11"/>
      <c r="N23421" s="11"/>
      <c r="O23421" s="11"/>
      <c r="P23421" s="11"/>
    </row>
    <row r="23422" spans="8:16" x14ac:dyDescent="0.25">
      <c r="H23422" s="12"/>
      <c r="I23422" s="12"/>
      <c r="J23422" s="12"/>
      <c r="K23422" s="12"/>
      <c r="L23422" s="12"/>
      <c r="M23422" s="11"/>
      <c r="N23422" s="11"/>
      <c r="O23422" s="11"/>
      <c r="P23422" s="11"/>
    </row>
    <row r="23423" spans="8:16" x14ac:dyDescent="0.25">
      <c r="H23423" s="12"/>
      <c r="I23423" s="12"/>
      <c r="J23423" s="12"/>
      <c r="K23423" s="12"/>
      <c r="L23423" s="12"/>
      <c r="M23423" s="11"/>
      <c r="N23423" s="11"/>
      <c r="O23423" s="11"/>
      <c r="P23423" s="11"/>
    </row>
    <row r="23424" spans="8:16" x14ac:dyDescent="0.25">
      <c r="H23424" s="12"/>
      <c r="I23424" s="12"/>
      <c r="J23424" s="12"/>
      <c r="K23424" s="12"/>
      <c r="L23424" s="12"/>
      <c r="M23424" s="11"/>
      <c r="N23424" s="11"/>
      <c r="O23424" s="11"/>
      <c r="P23424" s="11"/>
    </row>
    <row r="23425" spans="8:16" x14ac:dyDescent="0.25">
      <c r="H23425" s="12"/>
      <c r="I23425" s="12"/>
      <c r="J23425" s="12"/>
      <c r="K23425" s="12"/>
      <c r="L23425" s="12"/>
      <c r="M23425" s="11"/>
      <c r="N23425" s="11"/>
      <c r="O23425" s="11"/>
      <c r="P23425" s="11"/>
    </row>
    <row r="23426" spans="8:16" x14ac:dyDescent="0.25">
      <c r="H23426" s="12"/>
      <c r="I23426" s="12"/>
      <c r="J23426" s="12"/>
      <c r="K23426" s="12"/>
      <c r="L23426" s="12"/>
      <c r="M23426" s="11"/>
      <c r="N23426" s="11"/>
      <c r="O23426" s="11"/>
      <c r="P23426" s="11"/>
    </row>
    <row r="23427" spans="8:16" x14ac:dyDescent="0.25">
      <c r="H23427" s="12"/>
      <c r="I23427" s="12"/>
      <c r="J23427" s="12"/>
      <c r="K23427" s="12"/>
      <c r="L23427" s="12"/>
      <c r="M23427" s="11"/>
      <c r="N23427" s="11"/>
      <c r="O23427" s="11"/>
      <c r="P23427" s="11"/>
    </row>
    <row r="23428" spans="8:16" x14ac:dyDescent="0.25">
      <c r="H23428" s="12"/>
      <c r="I23428" s="12"/>
      <c r="J23428" s="12"/>
      <c r="K23428" s="12"/>
      <c r="L23428" s="12"/>
      <c r="M23428" s="11"/>
      <c r="N23428" s="11"/>
      <c r="O23428" s="11"/>
      <c r="P23428" s="11"/>
    </row>
    <row r="23429" spans="8:16" x14ac:dyDescent="0.25">
      <c r="H23429" s="12"/>
      <c r="I23429" s="12"/>
      <c r="J23429" s="12"/>
      <c r="K23429" s="12"/>
      <c r="L23429" s="12"/>
      <c r="M23429" s="11"/>
      <c r="N23429" s="11"/>
      <c r="O23429" s="11"/>
      <c r="P23429" s="11"/>
    </row>
    <row r="23430" spans="8:16" x14ac:dyDescent="0.25">
      <c r="H23430" s="12"/>
      <c r="I23430" s="12"/>
      <c r="J23430" s="12"/>
      <c r="K23430" s="12"/>
      <c r="L23430" s="12"/>
      <c r="M23430" s="11"/>
      <c r="N23430" s="11"/>
      <c r="O23430" s="11"/>
      <c r="P23430" s="11"/>
    </row>
    <row r="23431" spans="8:16" x14ac:dyDescent="0.25">
      <c r="H23431" s="12"/>
      <c r="I23431" s="12"/>
      <c r="J23431" s="12"/>
      <c r="K23431" s="12"/>
      <c r="L23431" s="12"/>
      <c r="M23431" s="11"/>
      <c r="N23431" s="11"/>
      <c r="O23431" s="11"/>
      <c r="P23431" s="11"/>
    </row>
    <row r="23432" spans="8:16" x14ac:dyDescent="0.25">
      <c r="H23432" s="12"/>
      <c r="I23432" s="12"/>
      <c r="J23432" s="12"/>
      <c r="K23432" s="12"/>
      <c r="L23432" s="12"/>
      <c r="M23432" s="11"/>
      <c r="N23432" s="11"/>
      <c r="O23432" s="11"/>
      <c r="P23432" s="11"/>
    </row>
    <row r="23433" spans="8:16" x14ac:dyDescent="0.25">
      <c r="H23433" s="12"/>
      <c r="I23433" s="12"/>
      <c r="J23433" s="12"/>
      <c r="K23433" s="12"/>
      <c r="L23433" s="12"/>
      <c r="M23433" s="11"/>
      <c r="N23433" s="11"/>
      <c r="O23433" s="11"/>
      <c r="P23433" s="11"/>
    </row>
    <row r="23434" spans="8:16" x14ac:dyDescent="0.25">
      <c r="H23434" s="12"/>
      <c r="I23434" s="12"/>
      <c r="J23434" s="12"/>
      <c r="K23434" s="12"/>
      <c r="L23434" s="12"/>
      <c r="M23434" s="11"/>
      <c r="N23434" s="11"/>
      <c r="O23434" s="11"/>
      <c r="P23434" s="11"/>
    </row>
    <row r="23435" spans="8:16" x14ac:dyDescent="0.25">
      <c r="H23435" s="12"/>
      <c r="I23435" s="12"/>
      <c r="J23435" s="12"/>
      <c r="K23435" s="12"/>
      <c r="L23435" s="12"/>
      <c r="M23435" s="11"/>
      <c r="N23435" s="11"/>
      <c r="O23435" s="11"/>
      <c r="P23435" s="11"/>
    </row>
    <row r="23436" spans="8:16" x14ac:dyDescent="0.25">
      <c r="H23436" s="12"/>
      <c r="I23436" s="12"/>
      <c r="J23436" s="12"/>
      <c r="K23436" s="12"/>
      <c r="L23436" s="12"/>
      <c r="M23436" s="11"/>
      <c r="N23436" s="11"/>
      <c r="O23436" s="11"/>
      <c r="P23436" s="11"/>
    </row>
    <row r="23437" spans="8:16" x14ac:dyDescent="0.25">
      <c r="H23437" s="12"/>
      <c r="I23437" s="12"/>
      <c r="J23437" s="12"/>
      <c r="K23437" s="12"/>
      <c r="L23437" s="12"/>
      <c r="M23437" s="11"/>
      <c r="N23437" s="11"/>
      <c r="O23437" s="11"/>
      <c r="P23437" s="11"/>
    </row>
    <row r="23438" spans="8:16" x14ac:dyDescent="0.25">
      <c r="H23438" s="12"/>
      <c r="I23438" s="12"/>
      <c r="J23438" s="12"/>
      <c r="K23438" s="12"/>
      <c r="L23438" s="12"/>
      <c r="M23438" s="11"/>
      <c r="N23438" s="11"/>
      <c r="O23438" s="11"/>
      <c r="P23438" s="11"/>
    </row>
    <row r="23439" spans="8:16" x14ac:dyDescent="0.25">
      <c r="H23439" s="12"/>
      <c r="I23439" s="12"/>
      <c r="J23439" s="12"/>
      <c r="K23439" s="12"/>
      <c r="L23439" s="12"/>
      <c r="M23439" s="11"/>
      <c r="N23439" s="11"/>
      <c r="O23439" s="11"/>
      <c r="P23439" s="11"/>
    </row>
    <row r="23440" spans="8:16" x14ac:dyDescent="0.25">
      <c r="H23440" s="12"/>
      <c r="I23440" s="12"/>
      <c r="J23440" s="12"/>
      <c r="K23440" s="12"/>
      <c r="L23440" s="12"/>
      <c r="M23440" s="11"/>
      <c r="N23440" s="11"/>
      <c r="O23440" s="11"/>
      <c r="P23440" s="11"/>
    </row>
    <row r="23441" spans="8:16" x14ac:dyDescent="0.25">
      <c r="H23441" s="12"/>
      <c r="I23441" s="12"/>
      <c r="J23441" s="12"/>
      <c r="K23441" s="12"/>
      <c r="L23441" s="12"/>
      <c r="M23441" s="11"/>
      <c r="N23441" s="11"/>
      <c r="O23441" s="11"/>
      <c r="P23441" s="11"/>
    </row>
    <row r="23442" spans="8:16" x14ac:dyDescent="0.25">
      <c r="H23442" s="12"/>
      <c r="I23442" s="12"/>
      <c r="J23442" s="12"/>
      <c r="K23442" s="12"/>
      <c r="L23442" s="12"/>
      <c r="M23442" s="11"/>
      <c r="N23442" s="11"/>
      <c r="O23442" s="11"/>
      <c r="P23442" s="11"/>
    </row>
    <row r="23443" spans="8:16" x14ac:dyDescent="0.25">
      <c r="H23443" s="12"/>
      <c r="I23443" s="12"/>
      <c r="J23443" s="12"/>
      <c r="K23443" s="12"/>
      <c r="L23443" s="12"/>
      <c r="M23443" s="11"/>
      <c r="N23443" s="11"/>
      <c r="O23443" s="11"/>
      <c r="P23443" s="11"/>
    </row>
    <row r="23444" spans="8:16" x14ac:dyDescent="0.25">
      <c r="H23444" s="12"/>
      <c r="I23444" s="12"/>
      <c r="J23444" s="12"/>
      <c r="K23444" s="12"/>
      <c r="L23444" s="12"/>
      <c r="M23444" s="11"/>
      <c r="N23444" s="11"/>
      <c r="O23444" s="11"/>
      <c r="P23444" s="11"/>
    </row>
    <row r="23445" spans="8:16" x14ac:dyDescent="0.25">
      <c r="H23445" s="12"/>
      <c r="I23445" s="12"/>
      <c r="J23445" s="12"/>
      <c r="K23445" s="12"/>
      <c r="L23445" s="12"/>
      <c r="M23445" s="11"/>
      <c r="N23445" s="11"/>
      <c r="O23445" s="11"/>
      <c r="P23445" s="11"/>
    </row>
    <row r="23446" spans="8:16" x14ac:dyDescent="0.25">
      <c r="H23446" s="12"/>
      <c r="I23446" s="12"/>
      <c r="J23446" s="12"/>
      <c r="K23446" s="12"/>
      <c r="L23446" s="12"/>
      <c r="M23446" s="11"/>
      <c r="N23446" s="11"/>
      <c r="O23446" s="11"/>
      <c r="P23446" s="11"/>
    </row>
    <row r="23447" spans="8:16" x14ac:dyDescent="0.25">
      <c r="H23447" s="12"/>
      <c r="I23447" s="12"/>
      <c r="J23447" s="12"/>
      <c r="K23447" s="12"/>
      <c r="L23447" s="12"/>
      <c r="M23447" s="11"/>
      <c r="N23447" s="11"/>
      <c r="O23447" s="11"/>
      <c r="P23447" s="11"/>
    </row>
    <row r="23448" spans="8:16" x14ac:dyDescent="0.25">
      <c r="H23448" s="12"/>
      <c r="I23448" s="12"/>
      <c r="J23448" s="12"/>
      <c r="K23448" s="12"/>
      <c r="L23448" s="12"/>
      <c r="M23448" s="11"/>
      <c r="N23448" s="11"/>
      <c r="O23448" s="11"/>
      <c r="P23448" s="11"/>
    </row>
    <row r="23449" spans="8:16" x14ac:dyDescent="0.25">
      <c r="H23449" s="12"/>
      <c r="I23449" s="12"/>
      <c r="J23449" s="12"/>
      <c r="K23449" s="12"/>
      <c r="L23449" s="12"/>
      <c r="M23449" s="11"/>
      <c r="N23449" s="11"/>
      <c r="O23449" s="11"/>
      <c r="P23449" s="11"/>
    </row>
    <row r="23450" spans="8:16" x14ac:dyDescent="0.25">
      <c r="H23450" s="12"/>
      <c r="I23450" s="12"/>
      <c r="J23450" s="12"/>
      <c r="K23450" s="12"/>
      <c r="L23450" s="12"/>
      <c r="M23450" s="11"/>
      <c r="N23450" s="11"/>
      <c r="O23450" s="11"/>
      <c r="P23450" s="11"/>
    </row>
    <row r="23451" spans="8:16" x14ac:dyDescent="0.25">
      <c r="H23451" s="12"/>
      <c r="I23451" s="12"/>
      <c r="J23451" s="12"/>
      <c r="K23451" s="12"/>
      <c r="L23451" s="12"/>
      <c r="M23451" s="11"/>
      <c r="N23451" s="11"/>
      <c r="O23451" s="11"/>
      <c r="P23451" s="11"/>
    </row>
    <row r="23452" spans="8:16" x14ac:dyDescent="0.25">
      <c r="H23452" s="12"/>
      <c r="I23452" s="12"/>
      <c r="J23452" s="12"/>
      <c r="K23452" s="12"/>
      <c r="L23452" s="12"/>
      <c r="M23452" s="11"/>
      <c r="N23452" s="11"/>
      <c r="O23452" s="11"/>
      <c r="P23452" s="11"/>
    </row>
    <row r="23453" spans="8:16" x14ac:dyDescent="0.25">
      <c r="H23453" s="12"/>
      <c r="I23453" s="12"/>
      <c r="J23453" s="12"/>
      <c r="K23453" s="12"/>
      <c r="L23453" s="12"/>
      <c r="M23453" s="11"/>
      <c r="N23453" s="11"/>
      <c r="O23453" s="11"/>
      <c r="P23453" s="11"/>
    </row>
    <row r="23454" spans="8:16" x14ac:dyDescent="0.25">
      <c r="H23454" s="12"/>
      <c r="I23454" s="12"/>
      <c r="J23454" s="12"/>
      <c r="K23454" s="12"/>
      <c r="L23454" s="12"/>
      <c r="M23454" s="11"/>
      <c r="N23454" s="11"/>
      <c r="O23454" s="11"/>
      <c r="P23454" s="11"/>
    </row>
    <row r="23455" spans="8:16" x14ac:dyDescent="0.25">
      <c r="H23455" s="12"/>
      <c r="I23455" s="12"/>
      <c r="J23455" s="12"/>
      <c r="K23455" s="12"/>
      <c r="L23455" s="12"/>
      <c r="M23455" s="11"/>
      <c r="N23455" s="11"/>
      <c r="O23455" s="11"/>
      <c r="P23455" s="11"/>
    </row>
    <row r="23456" spans="8:16" x14ac:dyDescent="0.25">
      <c r="H23456" s="12"/>
      <c r="I23456" s="12"/>
      <c r="J23456" s="12"/>
      <c r="K23456" s="12"/>
      <c r="L23456" s="12"/>
      <c r="M23456" s="11"/>
      <c r="N23456" s="11"/>
      <c r="O23456" s="11"/>
      <c r="P23456" s="11"/>
    </row>
    <row r="23457" spans="8:16" x14ac:dyDescent="0.25">
      <c r="H23457" s="12"/>
      <c r="I23457" s="12"/>
      <c r="J23457" s="12"/>
      <c r="K23457" s="12"/>
      <c r="L23457" s="12"/>
      <c r="M23457" s="11"/>
      <c r="N23457" s="11"/>
      <c r="O23457" s="11"/>
      <c r="P23457" s="11"/>
    </row>
    <row r="23458" spans="8:16" x14ac:dyDescent="0.25">
      <c r="H23458" s="12"/>
      <c r="I23458" s="12"/>
      <c r="J23458" s="12"/>
      <c r="K23458" s="12"/>
      <c r="L23458" s="12"/>
      <c r="M23458" s="11"/>
      <c r="N23458" s="11"/>
      <c r="O23458" s="11"/>
      <c r="P23458" s="11"/>
    </row>
    <row r="23459" spans="8:16" x14ac:dyDescent="0.25">
      <c r="H23459" s="12"/>
      <c r="I23459" s="12"/>
      <c r="J23459" s="12"/>
      <c r="K23459" s="12"/>
      <c r="L23459" s="12"/>
      <c r="M23459" s="11"/>
      <c r="N23459" s="11"/>
      <c r="O23459" s="11"/>
      <c r="P23459" s="11"/>
    </row>
    <row r="23460" spans="8:16" x14ac:dyDescent="0.25">
      <c r="H23460" s="12"/>
      <c r="I23460" s="12"/>
      <c r="J23460" s="12"/>
      <c r="K23460" s="12"/>
      <c r="L23460" s="12"/>
      <c r="M23460" s="11"/>
      <c r="N23460" s="11"/>
      <c r="O23460" s="11"/>
      <c r="P23460" s="11"/>
    </row>
    <row r="23461" spans="8:16" x14ac:dyDescent="0.25">
      <c r="H23461" s="12"/>
      <c r="I23461" s="12"/>
      <c r="J23461" s="12"/>
      <c r="K23461" s="12"/>
      <c r="L23461" s="12"/>
      <c r="M23461" s="11"/>
      <c r="N23461" s="11"/>
      <c r="O23461" s="11"/>
      <c r="P23461" s="11"/>
    </row>
    <row r="23462" spans="8:16" x14ac:dyDescent="0.25">
      <c r="H23462" s="12"/>
      <c r="I23462" s="12"/>
      <c r="J23462" s="12"/>
      <c r="K23462" s="12"/>
      <c r="L23462" s="12"/>
      <c r="M23462" s="11"/>
      <c r="N23462" s="11"/>
      <c r="O23462" s="11"/>
      <c r="P23462" s="11"/>
    </row>
    <row r="23463" spans="8:16" x14ac:dyDescent="0.25">
      <c r="H23463" s="12"/>
      <c r="I23463" s="12"/>
      <c r="J23463" s="12"/>
      <c r="K23463" s="12"/>
      <c r="L23463" s="12"/>
      <c r="M23463" s="11"/>
      <c r="N23463" s="11"/>
      <c r="O23463" s="11"/>
      <c r="P23463" s="11"/>
    </row>
    <row r="23464" spans="8:16" x14ac:dyDescent="0.25">
      <c r="H23464" s="12"/>
      <c r="I23464" s="12"/>
      <c r="J23464" s="12"/>
      <c r="K23464" s="12"/>
      <c r="L23464" s="12"/>
      <c r="M23464" s="11"/>
      <c r="N23464" s="11"/>
      <c r="O23464" s="11"/>
      <c r="P23464" s="11"/>
    </row>
    <row r="23465" spans="8:16" x14ac:dyDescent="0.25">
      <c r="H23465" s="12"/>
      <c r="I23465" s="12"/>
      <c r="J23465" s="12"/>
      <c r="K23465" s="12"/>
      <c r="L23465" s="12"/>
      <c r="M23465" s="11"/>
      <c r="N23465" s="11"/>
      <c r="O23465" s="11"/>
      <c r="P23465" s="11"/>
    </row>
    <row r="23466" spans="8:16" x14ac:dyDescent="0.25">
      <c r="H23466" s="12"/>
      <c r="I23466" s="12"/>
      <c r="J23466" s="12"/>
      <c r="K23466" s="12"/>
      <c r="L23466" s="12"/>
      <c r="M23466" s="11"/>
      <c r="N23466" s="11"/>
      <c r="O23466" s="11"/>
      <c r="P23466" s="11"/>
    </row>
    <row r="23467" spans="8:16" x14ac:dyDescent="0.25">
      <c r="H23467" s="12"/>
      <c r="I23467" s="12"/>
      <c r="J23467" s="12"/>
      <c r="K23467" s="12"/>
      <c r="L23467" s="12"/>
      <c r="M23467" s="11"/>
      <c r="N23467" s="11"/>
      <c r="O23467" s="11"/>
      <c r="P23467" s="11"/>
    </row>
    <row r="23468" spans="8:16" x14ac:dyDescent="0.25">
      <c r="H23468" s="12"/>
      <c r="I23468" s="12"/>
      <c r="J23468" s="12"/>
      <c r="K23468" s="12"/>
      <c r="L23468" s="12"/>
      <c r="M23468" s="11"/>
      <c r="N23468" s="11"/>
      <c r="O23468" s="11"/>
      <c r="P23468" s="11"/>
    </row>
    <row r="23469" spans="8:16" x14ac:dyDescent="0.25">
      <c r="H23469" s="12"/>
      <c r="I23469" s="12"/>
      <c r="J23469" s="12"/>
      <c r="K23469" s="12"/>
      <c r="L23469" s="12"/>
      <c r="M23469" s="11"/>
      <c r="N23469" s="11"/>
      <c r="O23469" s="11"/>
      <c r="P23469" s="11"/>
    </row>
    <row r="23470" spans="8:16" x14ac:dyDescent="0.25">
      <c r="H23470" s="12"/>
      <c r="I23470" s="12"/>
      <c r="J23470" s="12"/>
      <c r="K23470" s="12"/>
      <c r="L23470" s="12"/>
      <c r="M23470" s="11"/>
      <c r="N23470" s="11"/>
      <c r="O23470" s="11"/>
      <c r="P23470" s="11"/>
    </row>
    <row r="23471" spans="8:16" x14ac:dyDescent="0.25">
      <c r="H23471" s="12"/>
      <c r="I23471" s="12"/>
      <c r="J23471" s="12"/>
      <c r="K23471" s="12"/>
      <c r="L23471" s="12"/>
      <c r="M23471" s="11"/>
      <c r="N23471" s="11"/>
      <c r="O23471" s="11"/>
      <c r="P23471" s="11"/>
    </row>
    <row r="23472" spans="8:16" x14ac:dyDescent="0.25">
      <c r="H23472" s="12"/>
      <c r="I23472" s="12"/>
      <c r="J23472" s="12"/>
      <c r="K23472" s="12"/>
      <c r="L23472" s="12"/>
      <c r="M23472" s="11"/>
      <c r="N23472" s="11"/>
      <c r="O23472" s="11"/>
      <c r="P23472" s="11"/>
    </row>
    <row r="23473" spans="8:16" x14ac:dyDescent="0.25">
      <c r="H23473" s="12"/>
      <c r="I23473" s="12"/>
      <c r="J23473" s="12"/>
      <c r="K23473" s="12"/>
      <c r="L23473" s="12"/>
      <c r="M23473" s="11"/>
      <c r="N23473" s="11"/>
      <c r="O23473" s="11"/>
      <c r="P23473" s="11"/>
    </row>
    <row r="23474" spans="8:16" x14ac:dyDescent="0.25">
      <c r="H23474" s="12"/>
      <c r="I23474" s="12"/>
      <c r="J23474" s="12"/>
      <c r="K23474" s="12"/>
      <c r="L23474" s="12"/>
      <c r="M23474" s="11"/>
      <c r="N23474" s="11"/>
      <c r="O23474" s="11"/>
      <c r="P23474" s="11"/>
    </row>
    <row r="23475" spans="8:16" x14ac:dyDescent="0.25">
      <c r="H23475" s="12"/>
      <c r="I23475" s="12"/>
      <c r="J23475" s="12"/>
      <c r="K23475" s="12"/>
      <c r="L23475" s="12"/>
      <c r="M23475" s="11"/>
      <c r="N23475" s="11"/>
      <c r="O23475" s="11"/>
      <c r="P23475" s="11"/>
    </row>
    <row r="23476" spans="8:16" x14ac:dyDescent="0.25">
      <c r="H23476" s="12"/>
      <c r="I23476" s="12"/>
      <c r="J23476" s="12"/>
      <c r="K23476" s="12"/>
      <c r="L23476" s="12"/>
      <c r="M23476" s="11"/>
      <c r="N23476" s="11"/>
      <c r="O23476" s="11"/>
      <c r="P23476" s="11"/>
    </row>
    <row r="23477" spans="8:16" x14ac:dyDescent="0.25">
      <c r="H23477" s="12"/>
      <c r="I23477" s="12"/>
      <c r="J23477" s="12"/>
      <c r="K23477" s="12"/>
      <c r="L23477" s="12"/>
      <c r="M23477" s="11"/>
      <c r="N23477" s="11"/>
      <c r="O23477" s="11"/>
      <c r="P23477" s="11"/>
    </row>
    <row r="23478" spans="8:16" x14ac:dyDescent="0.25">
      <c r="H23478" s="12"/>
      <c r="I23478" s="12"/>
      <c r="J23478" s="12"/>
      <c r="K23478" s="12"/>
      <c r="L23478" s="12"/>
      <c r="M23478" s="11"/>
      <c r="N23478" s="11"/>
      <c r="O23478" s="11"/>
      <c r="P23478" s="11"/>
    </row>
    <row r="23479" spans="8:16" x14ac:dyDescent="0.25">
      <c r="H23479" s="12"/>
      <c r="I23479" s="12"/>
      <c r="J23479" s="12"/>
      <c r="K23479" s="12"/>
      <c r="L23479" s="12"/>
      <c r="M23479" s="11"/>
      <c r="N23479" s="11"/>
      <c r="O23479" s="11"/>
      <c r="P23479" s="11"/>
    </row>
    <row r="23480" spans="8:16" x14ac:dyDescent="0.25">
      <c r="H23480" s="12"/>
      <c r="I23480" s="12"/>
      <c r="J23480" s="12"/>
      <c r="K23480" s="12"/>
      <c r="L23480" s="12"/>
      <c r="M23480" s="11"/>
      <c r="N23480" s="11"/>
      <c r="O23480" s="11"/>
      <c r="P23480" s="11"/>
    </row>
    <row r="23481" spans="8:16" x14ac:dyDescent="0.25">
      <c r="H23481" s="12"/>
      <c r="I23481" s="12"/>
      <c r="J23481" s="12"/>
      <c r="K23481" s="12"/>
      <c r="L23481" s="12"/>
      <c r="M23481" s="11"/>
      <c r="N23481" s="11"/>
      <c r="O23481" s="11"/>
      <c r="P23481" s="11"/>
    </row>
    <row r="23482" spans="8:16" x14ac:dyDescent="0.25">
      <c r="H23482" s="12"/>
      <c r="I23482" s="12"/>
      <c r="J23482" s="12"/>
      <c r="K23482" s="12"/>
      <c r="L23482" s="12"/>
      <c r="M23482" s="11"/>
      <c r="N23482" s="11"/>
      <c r="O23482" s="11"/>
      <c r="P23482" s="11"/>
    </row>
    <row r="23483" spans="8:16" x14ac:dyDescent="0.25">
      <c r="H23483" s="12"/>
      <c r="I23483" s="12"/>
      <c r="J23483" s="12"/>
      <c r="K23483" s="12"/>
      <c r="L23483" s="12"/>
      <c r="M23483" s="11"/>
      <c r="N23483" s="11"/>
      <c r="O23483" s="11"/>
      <c r="P23483" s="11"/>
    </row>
    <row r="23484" spans="8:16" x14ac:dyDescent="0.25">
      <c r="H23484" s="12"/>
      <c r="I23484" s="12"/>
      <c r="J23484" s="12"/>
      <c r="K23484" s="12"/>
      <c r="L23484" s="12"/>
      <c r="M23484" s="11"/>
      <c r="N23484" s="11"/>
      <c r="O23484" s="11"/>
      <c r="P23484" s="11"/>
    </row>
    <row r="23485" spans="8:16" x14ac:dyDescent="0.25">
      <c r="H23485" s="12"/>
      <c r="I23485" s="12"/>
      <c r="J23485" s="12"/>
      <c r="K23485" s="12"/>
      <c r="L23485" s="12"/>
      <c r="M23485" s="11"/>
      <c r="N23485" s="11"/>
      <c r="O23485" s="11"/>
      <c r="P23485" s="11"/>
    </row>
    <row r="23486" spans="8:16" x14ac:dyDescent="0.25">
      <c r="H23486" s="12"/>
      <c r="I23486" s="12"/>
      <c r="J23486" s="12"/>
      <c r="K23486" s="12"/>
      <c r="L23486" s="12"/>
      <c r="M23486" s="11"/>
      <c r="N23486" s="11"/>
      <c r="O23486" s="11"/>
      <c r="P23486" s="11"/>
    </row>
    <row r="23487" spans="8:16" x14ac:dyDescent="0.25">
      <c r="H23487" s="12"/>
      <c r="I23487" s="12"/>
      <c r="J23487" s="12"/>
      <c r="K23487" s="12"/>
      <c r="L23487" s="12"/>
      <c r="M23487" s="11"/>
      <c r="N23487" s="11"/>
      <c r="O23487" s="11"/>
      <c r="P23487" s="11"/>
    </row>
    <row r="23488" spans="8:16" x14ac:dyDescent="0.25">
      <c r="H23488" s="12"/>
      <c r="I23488" s="12"/>
      <c r="J23488" s="12"/>
      <c r="K23488" s="12"/>
      <c r="L23488" s="12"/>
      <c r="M23488" s="11"/>
      <c r="N23488" s="11"/>
      <c r="O23488" s="11"/>
      <c r="P23488" s="11"/>
    </row>
    <row r="23489" spans="8:16" x14ac:dyDescent="0.25">
      <c r="H23489" s="12"/>
      <c r="I23489" s="12"/>
      <c r="J23489" s="12"/>
      <c r="K23489" s="12"/>
      <c r="L23489" s="12"/>
      <c r="M23489" s="11"/>
      <c r="N23489" s="11"/>
      <c r="O23489" s="11"/>
      <c r="P23489" s="11"/>
    </row>
    <row r="23490" spans="8:16" x14ac:dyDescent="0.25">
      <c r="H23490" s="12"/>
      <c r="I23490" s="12"/>
      <c r="J23490" s="12"/>
      <c r="K23490" s="12"/>
      <c r="L23490" s="12"/>
      <c r="M23490" s="11"/>
      <c r="N23490" s="11"/>
      <c r="O23490" s="11"/>
      <c r="P23490" s="11"/>
    </row>
    <row r="23491" spans="8:16" x14ac:dyDescent="0.25">
      <c r="H23491" s="12"/>
      <c r="I23491" s="12"/>
      <c r="J23491" s="12"/>
      <c r="K23491" s="12"/>
      <c r="L23491" s="12"/>
      <c r="M23491" s="11"/>
      <c r="N23491" s="11"/>
      <c r="O23491" s="11"/>
      <c r="P23491" s="11"/>
    </row>
    <row r="23492" spans="8:16" x14ac:dyDescent="0.25">
      <c r="H23492" s="12"/>
      <c r="I23492" s="12"/>
      <c r="J23492" s="12"/>
      <c r="K23492" s="12"/>
      <c r="L23492" s="12"/>
      <c r="M23492" s="11"/>
      <c r="N23492" s="11"/>
      <c r="O23492" s="11"/>
      <c r="P23492" s="11"/>
    </row>
    <row r="23493" spans="8:16" x14ac:dyDescent="0.25">
      <c r="H23493" s="12"/>
      <c r="I23493" s="12"/>
      <c r="J23493" s="12"/>
      <c r="K23493" s="12"/>
      <c r="L23493" s="12"/>
      <c r="M23493" s="11"/>
      <c r="N23493" s="11"/>
      <c r="O23493" s="11"/>
      <c r="P23493" s="11"/>
    </row>
    <row r="23494" spans="8:16" x14ac:dyDescent="0.25">
      <c r="H23494" s="12"/>
      <c r="I23494" s="12"/>
      <c r="J23494" s="12"/>
      <c r="K23494" s="12"/>
      <c r="L23494" s="12"/>
      <c r="M23494" s="11"/>
      <c r="N23494" s="11"/>
      <c r="O23494" s="11"/>
      <c r="P23494" s="11"/>
    </row>
    <row r="23495" spans="8:16" x14ac:dyDescent="0.25">
      <c r="H23495" s="12"/>
      <c r="I23495" s="12"/>
      <c r="J23495" s="12"/>
      <c r="K23495" s="12"/>
      <c r="L23495" s="12"/>
      <c r="M23495" s="11"/>
      <c r="N23495" s="11"/>
      <c r="O23495" s="11"/>
      <c r="P23495" s="11"/>
    </row>
    <row r="23496" spans="8:16" x14ac:dyDescent="0.25">
      <c r="H23496" s="12"/>
      <c r="I23496" s="12"/>
      <c r="J23496" s="12"/>
      <c r="K23496" s="12"/>
      <c r="L23496" s="12"/>
      <c r="M23496" s="11"/>
      <c r="N23496" s="11"/>
      <c r="O23496" s="11"/>
      <c r="P23496" s="11"/>
    </row>
    <row r="23497" spans="8:16" x14ac:dyDescent="0.25">
      <c r="H23497" s="12"/>
      <c r="I23497" s="12"/>
      <c r="J23497" s="12"/>
      <c r="K23497" s="12"/>
      <c r="L23497" s="12"/>
      <c r="M23497" s="11"/>
      <c r="N23497" s="11"/>
      <c r="O23497" s="11"/>
      <c r="P23497" s="11"/>
    </row>
    <row r="23498" spans="8:16" x14ac:dyDescent="0.25">
      <c r="H23498" s="12"/>
      <c r="I23498" s="12"/>
      <c r="J23498" s="12"/>
      <c r="K23498" s="12"/>
      <c r="L23498" s="12"/>
      <c r="M23498" s="11"/>
      <c r="N23498" s="11"/>
      <c r="O23498" s="11"/>
      <c r="P23498" s="11"/>
    </row>
    <row r="23499" spans="8:16" x14ac:dyDescent="0.25">
      <c r="H23499" s="12"/>
      <c r="I23499" s="12"/>
      <c r="J23499" s="12"/>
      <c r="K23499" s="12"/>
      <c r="L23499" s="12"/>
      <c r="M23499" s="11"/>
      <c r="N23499" s="11"/>
      <c r="O23499" s="11"/>
      <c r="P23499" s="11"/>
    </row>
    <row r="23500" spans="8:16" x14ac:dyDescent="0.25">
      <c r="H23500" s="12"/>
      <c r="I23500" s="12"/>
      <c r="J23500" s="12"/>
      <c r="K23500" s="12"/>
      <c r="L23500" s="12"/>
      <c r="M23500" s="11"/>
      <c r="N23500" s="11"/>
      <c r="O23500" s="11"/>
      <c r="P23500" s="11"/>
    </row>
    <row r="23501" spans="8:16" x14ac:dyDescent="0.25">
      <c r="H23501" s="12"/>
      <c r="I23501" s="12"/>
      <c r="J23501" s="12"/>
      <c r="K23501" s="12"/>
      <c r="L23501" s="12"/>
      <c r="M23501" s="11"/>
      <c r="N23501" s="11"/>
      <c r="O23501" s="11"/>
      <c r="P23501" s="11"/>
    </row>
    <row r="23502" spans="8:16" x14ac:dyDescent="0.25">
      <c r="H23502" s="12"/>
      <c r="I23502" s="12"/>
      <c r="J23502" s="12"/>
      <c r="K23502" s="12"/>
      <c r="L23502" s="12"/>
      <c r="M23502" s="11"/>
      <c r="N23502" s="11"/>
      <c r="O23502" s="11"/>
      <c r="P23502" s="11"/>
    </row>
    <row r="23503" spans="8:16" x14ac:dyDescent="0.25">
      <c r="H23503" s="12"/>
      <c r="I23503" s="12"/>
      <c r="J23503" s="12"/>
      <c r="K23503" s="12"/>
      <c r="L23503" s="12"/>
      <c r="M23503" s="11"/>
      <c r="N23503" s="11"/>
      <c r="O23503" s="11"/>
      <c r="P23503" s="11"/>
    </row>
    <row r="23504" spans="8:16" x14ac:dyDescent="0.25">
      <c r="H23504" s="12"/>
      <c r="I23504" s="12"/>
      <c r="J23504" s="12"/>
      <c r="K23504" s="12"/>
      <c r="L23504" s="12"/>
      <c r="M23504" s="11"/>
      <c r="N23504" s="11"/>
      <c r="O23504" s="11"/>
      <c r="P23504" s="11"/>
    </row>
    <row r="23505" spans="8:16" x14ac:dyDescent="0.25">
      <c r="H23505" s="12"/>
      <c r="I23505" s="12"/>
      <c r="J23505" s="12"/>
      <c r="K23505" s="12"/>
      <c r="L23505" s="12"/>
      <c r="M23505" s="11"/>
      <c r="N23505" s="11"/>
      <c r="O23505" s="11"/>
      <c r="P23505" s="11"/>
    </row>
    <row r="23506" spans="8:16" x14ac:dyDescent="0.25">
      <c r="H23506" s="12"/>
      <c r="I23506" s="12"/>
      <c r="J23506" s="12"/>
      <c r="K23506" s="12"/>
      <c r="L23506" s="12"/>
      <c r="M23506" s="11"/>
      <c r="N23506" s="11"/>
      <c r="O23506" s="11"/>
      <c r="P23506" s="11"/>
    </row>
    <row r="23507" spans="8:16" x14ac:dyDescent="0.25">
      <c r="H23507" s="12"/>
      <c r="I23507" s="12"/>
      <c r="J23507" s="12"/>
      <c r="K23507" s="12"/>
      <c r="L23507" s="12"/>
      <c r="M23507" s="11"/>
      <c r="N23507" s="11"/>
      <c r="O23507" s="11"/>
      <c r="P23507" s="11"/>
    </row>
    <row r="23508" spans="8:16" x14ac:dyDescent="0.25">
      <c r="H23508" s="12"/>
      <c r="I23508" s="12"/>
      <c r="J23508" s="12"/>
      <c r="K23508" s="12"/>
      <c r="L23508" s="12"/>
      <c r="M23508" s="11"/>
      <c r="N23508" s="11"/>
      <c r="O23508" s="11"/>
      <c r="P23508" s="11"/>
    </row>
    <row r="23509" spans="8:16" x14ac:dyDescent="0.25">
      <c r="H23509" s="12"/>
      <c r="I23509" s="12"/>
      <c r="J23509" s="12"/>
      <c r="K23509" s="12"/>
      <c r="L23509" s="12"/>
      <c r="M23509" s="11"/>
      <c r="N23509" s="11"/>
      <c r="O23509" s="11"/>
      <c r="P23509" s="11"/>
    </row>
    <row r="23510" spans="8:16" x14ac:dyDescent="0.25">
      <c r="H23510" s="12"/>
      <c r="I23510" s="12"/>
      <c r="J23510" s="12"/>
      <c r="K23510" s="12"/>
      <c r="L23510" s="12"/>
      <c r="M23510" s="11"/>
      <c r="N23510" s="11"/>
      <c r="O23510" s="11"/>
      <c r="P23510" s="11"/>
    </row>
    <row r="23511" spans="8:16" x14ac:dyDescent="0.25">
      <c r="H23511" s="12"/>
      <c r="I23511" s="12"/>
      <c r="J23511" s="12"/>
      <c r="K23511" s="12"/>
      <c r="L23511" s="12"/>
      <c r="M23511" s="11"/>
      <c r="N23511" s="11"/>
      <c r="O23511" s="11"/>
      <c r="P23511" s="11"/>
    </row>
    <row r="23512" spans="8:16" x14ac:dyDescent="0.25">
      <c r="H23512" s="12"/>
      <c r="I23512" s="12"/>
      <c r="J23512" s="12"/>
      <c r="K23512" s="12"/>
      <c r="L23512" s="12"/>
      <c r="M23512" s="11"/>
      <c r="N23512" s="11"/>
      <c r="O23512" s="11"/>
      <c r="P23512" s="11"/>
    </row>
    <row r="23513" spans="8:16" x14ac:dyDescent="0.25">
      <c r="H23513" s="12"/>
      <c r="I23513" s="12"/>
      <c r="J23513" s="12"/>
      <c r="K23513" s="12"/>
      <c r="L23513" s="12"/>
      <c r="M23513" s="11"/>
      <c r="N23513" s="11"/>
      <c r="O23513" s="11"/>
      <c r="P23513" s="11"/>
    </row>
    <row r="23514" spans="8:16" x14ac:dyDescent="0.25">
      <c r="H23514" s="12"/>
      <c r="I23514" s="12"/>
      <c r="J23514" s="12"/>
      <c r="K23514" s="12"/>
      <c r="L23514" s="12"/>
      <c r="M23514" s="11"/>
      <c r="N23514" s="11"/>
      <c r="O23514" s="11"/>
      <c r="P23514" s="11"/>
    </row>
    <row r="23515" spans="8:16" x14ac:dyDescent="0.25">
      <c r="H23515" s="12"/>
      <c r="I23515" s="12"/>
      <c r="J23515" s="12"/>
      <c r="K23515" s="12"/>
      <c r="L23515" s="12"/>
      <c r="M23515" s="11"/>
      <c r="N23515" s="11"/>
      <c r="O23515" s="11"/>
      <c r="P23515" s="11"/>
    </row>
    <row r="23516" spans="8:16" x14ac:dyDescent="0.25">
      <c r="H23516" s="12"/>
      <c r="I23516" s="12"/>
      <c r="J23516" s="12"/>
      <c r="K23516" s="12"/>
      <c r="L23516" s="12"/>
      <c r="M23516" s="11"/>
      <c r="N23516" s="11"/>
      <c r="O23516" s="11"/>
      <c r="P23516" s="11"/>
    </row>
    <row r="23517" spans="8:16" x14ac:dyDescent="0.25">
      <c r="H23517" s="12"/>
      <c r="I23517" s="12"/>
      <c r="J23517" s="12"/>
      <c r="K23517" s="12"/>
      <c r="L23517" s="12"/>
      <c r="M23517" s="11"/>
      <c r="N23517" s="11"/>
      <c r="O23517" s="11"/>
      <c r="P23517" s="11"/>
    </row>
    <row r="23518" spans="8:16" x14ac:dyDescent="0.25">
      <c r="H23518" s="12"/>
      <c r="I23518" s="12"/>
      <c r="J23518" s="12"/>
      <c r="K23518" s="12"/>
      <c r="L23518" s="12"/>
      <c r="M23518" s="11"/>
      <c r="N23518" s="11"/>
      <c r="O23518" s="11"/>
      <c r="P23518" s="11"/>
    </row>
    <row r="23519" spans="8:16" x14ac:dyDescent="0.25">
      <c r="H23519" s="12"/>
      <c r="I23519" s="12"/>
      <c r="J23519" s="12"/>
      <c r="K23519" s="12"/>
      <c r="L23519" s="12"/>
      <c r="M23519" s="11"/>
      <c r="N23519" s="11"/>
      <c r="O23519" s="11"/>
      <c r="P23519" s="11"/>
    </row>
    <row r="23520" spans="8:16" x14ac:dyDescent="0.25">
      <c r="H23520" s="12"/>
      <c r="I23520" s="12"/>
      <c r="J23520" s="12"/>
      <c r="K23520" s="12"/>
      <c r="L23520" s="12"/>
      <c r="M23520" s="11"/>
      <c r="N23520" s="11"/>
      <c r="O23520" s="11"/>
      <c r="P23520" s="11"/>
    </row>
    <row r="23521" spans="8:16" x14ac:dyDescent="0.25">
      <c r="H23521" s="12"/>
      <c r="I23521" s="12"/>
      <c r="J23521" s="12"/>
      <c r="K23521" s="12"/>
      <c r="L23521" s="12"/>
      <c r="M23521" s="11"/>
      <c r="N23521" s="11"/>
      <c r="O23521" s="11"/>
      <c r="P23521" s="11"/>
    </row>
    <row r="23522" spans="8:16" x14ac:dyDescent="0.25">
      <c r="H23522" s="12"/>
      <c r="I23522" s="12"/>
      <c r="J23522" s="12"/>
      <c r="K23522" s="12"/>
      <c r="L23522" s="12"/>
      <c r="M23522" s="11"/>
      <c r="N23522" s="11"/>
      <c r="O23522" s="11"/>
      <c r="P23522" s="11"/>
    </row>
    <row r="23523" spans="8:16" x14ac:dyDescent="0.25">
      <c r="H23523" s="12"/>
      <c r="I23523" s="12"/>
      <c r="J23523" s="12"/>
      <c r="K23523" s="12"/>
      <c r="L23523" s="12"/>
      <c r="M23523" s="11"/>
      <c r="N23523" s="11"/>
      <c r="O23523" s="11"/>
      <c r="P23523" s="11"/>
    </row>
    <row r="23524" spans="8:16" x14ac:dyDescent="0.25">
      <c r="H23524" s="12"/>
      <c r="I23524" s="12"/>
      <c r="J23524" s="12"/>
      <c r="K23524" s="12"/>
      <c r="L23524" s="12"/>
      <c r="M23524" s="11"/>
      <c r="N23524" s="11"/>
      <c r="O23524" s="11"/>
      <c r="P23524" s="11"/>
    </row>
    <row r="23525" spans="8:16" x14ac:dyDescent="0.25">
      <c r="H23525" s="12"/>
      <c r="I23525" s="12"/>
      <c r="J23525" s="12"/>
      <c r="K23525" s="12"/>
      <c r="L23525" s="12"/>
      <c r="M23525" s="11"/>
      <c r="N23525" s="11"/>
      <c r="O23525" s="11"/>
      <c r="P23525" s="11"/>
    </row>
    <row r="23526" spans="8:16" x14ac:dyDescent="0.25">
      <c r="H23526" s="12"/>
      <c r="I23526" s="12"/>
      <c r="J23526" s="12"/>
      <c r="K23526" s="12"/>
      <c r="L23526" s="12"/>
      <c r="M23526" s="11"/>
      <c r="N23526" s="11"/>
      <c r="O23526" s="11"/>
      <c r="P23526" s="11"/>
    </row>
    <row r="23527" spans="8:16" x14ac:dyDescent="0.25">
      <c r="H23527" s="12"/>
      <c r="I23527" s="12"/>
      <c r="J23527" s="12"/>
      <c r="K23527" s="12"/>
      <c r="L23527" s="12"/>
      <c r="M23527" s="11"/>
      <c r="N23527" s="11"/>
      <c r="O23527" s="11"/>
      <c r="P23527" s="11"/>
    </row>
    <row r="23528" spans="8:16" x14ac:dyDescent="0.25">
      <c r="H23528" s="12"/>
      <c r="I23528" s="12"/>
      <c r="J23528" s="12"/>
      <c r="K23528" s="12"/>
      <c r="L23528" s="12"/>
      <c r="M23528" s="11"/>
      <c r="N23528" s="11"/>
      <c r="O23528" s="11"/>
      <c r="P23528" s="11"/>
    </row>
    <row r="23529" spans="8:16" x14ac:dyDescent="0.25">
      <c r="H23529" s="12"/>
      <c r="I23529" s="12"/>
      <c r="J23529" s="12"/>
      <c r="K23529" s="12"/>
      <c r="L23529" s="12"/>
      <c r="M23529" s="11"/>
      <c r="N23529" s="11"/>
      <c r="O23529" s="11"/>
      <c r="P23529" s="11"/>
    </row>
    <row r="23530" spans="8:16" x14ac:dyDescent="0.25">
      <c r="H23530" s="12"/>
      <c r="I23530" s="12"/>
      <c r="J23530" s="12"/>
      <c r="K23530" s="12"/>
      <c r="L23530" s="12"/>
      <c r="M23530" s="11"/>
      <c r="N23530" s="11"/>
      <c r="O23530" s="11"/>
      <c r="P23530" s="11"/>
    </row>
    <row r="23531" spans="8:16" x14ac:dyDescent="0.25">
      <c r="H23531" s="12"/>
      <c r="I23531" s="12"/>
      <c r="J23531" s="12"/>
      <c r="K23531" s="12"/>
      <c r="L23531" s="12"/>
      <c r="M23531" s="11"/>
      <c r="N23531" s="11"/>
      <c r="O23531" s="11"/>
      <c r="P23531" s="11"/>
    </row>
    <row r="23532" spans="8:16" x14ac:dyDescent="0.25">
      <c r="H23532" s="12"/>
      <c r="I23532" s="12"/>
      <c r="J23532" s="12"/>
      <c r="K23532" s="12"/>
      <c r="L23532" s="12"/>
      <c r="M23532" s="11"/>
      <c r="N23532" s="11"/>
      <c r="O23532" s="11"/>
      <c r="P23532" s="11"/>
    </row>
    <row r="23533" spans="8:16" x14ac:dyDescent="0.25">
      <c r="H23533" s="12"/>
      <c r="I23533" s="12"/>
      <c r="J23533" s="12"/>
      <c r="K23533" s="12"/>
      <c r="L23533" s="12"/>
      <c r="M23533" s="11"/>
      <c r="N23533" s="11"/>
      <c r="O23533" s="11"/>
      <c r="P23533" s="11"/>
    </row>
    <row r="23534" spans="8:16" x14ac:dyDescent="0.25">
      <c r="H23534" s="12"/>
      <c r="I23534" s="12"/>
      <c r="J23534" s="12"/>
      <c r="K23534" s="12"/>
      <c r="L23534" s="12"/>
      <c r="M23534" s="11"/>
      <c r="N23534" s="11"/>
      <c r="O23534" s="11"/>
      <c r="P23534" s="11"/>
    </row>
    <row r="23535" spans="8:16" x14ac:dyDescent="0.25">
      <c r="H23535" s="12"/>
      <c r="I23535" s="12"/>
      <c r="J23535" s="12"/>
      <c r="K23535" s="12"/>
      <c r="L23535" s="12"/>
      <c r="M23535" s="11"/>
      <c r="N23535" s="11"/>
      <c r="O23535" s="11"/>
      <c r="P23535" s="11"/>
    </row>
    <row r="23536" spans="8:16" x14ac:dyDescent="0.25">
      <c r="H23536" s="12"/>
      <c r="I23536" s="12"/>
      <c r="J23536" s="12"/>
      <c r="K23536" s="12"/>
      <c r="L23536" s="12"/>
      <c r="M23536" s="11"/>
      <c r="N23536" s="11"/>
      <c r="O23536" s="11"/>
      <c r="P23536" s="11"/>
    </row>
    <row r="23537" spans="8:16" x14ac:dyDescent="0.25">
      <c r="H23537" s="12"/>
      <c r="I23537" s="12"/>
      <c r="J23537" s="12"/>
      <c r="K23537" s="12"/>
      <c r="L23537" s="12"/>
      <c r="M23537" s="11"/>
      <c r="N23537" s="11"/>
      <c r="O23537" s="11"/>
      <c r="P23537" s="11"/>
    </row>
    <row r="23538" spans="8:16" x14ac:dyDescent="0.25">
      <c r="H23538" s="12"/>
      <c r="I23538" s="12"/>
      <c r="J23538" s="12"/>
      <c r="K23538" s="12"/>
      <c r="L23538" s="12"/>
      <c r="M23538" s="11"/>
      <c r="N23538" s="11"/>
      <c r="O23538" s="11"/>
      <c r="P23538" s="11"/>
    </row>
    <row r="23539" spans="8:16" x14ac:dyDescent="0.25">
      <c r="H23539" s="12"/>
      <c r="I23539" s="12"/>
      <c r="J23539" s="12"/>
      <c r="K23539" s="12"/>
      <c r="L23539" s="12"/>
      <c r="M23539" s="11"/>
      <c r="N23539" s="11"/>
      <c r="O23539" s="11"/>
      <c r="P23539" s="11"/>
    </row>
    <row r="23540" spans="8:16" x14ac:dyDescent="0.25">
      <c r="H23540" s="12"/>
      <c r="I23540" s="12"/>
      <c r="J23540" s="12"/>
      <c r="K23540" s="12"/>
      <c r="L23540" s="12"/>
      <c r="M23540" s="11"/>
      <c r="N23540" s="11"/>
      <c r="O23540" s="11"/>
      <c r="P23540" s="11"/>
    </row>
    <row r="23541" spans="8:16" x14ac:dyDescent="0.25">
      <c r="H23541" s="12"/>
      <c r="I23541" s="12"/>
      <c r="J23541" s="12"/>
      <c r="K23541" s="12"/>
      <c r="L23541" s="12"/>
      <c r="M23541" s="11"/>
      <c r="N23541" s="11"/>
      <c r="O23541" s="11"/>
      <c r="P23541" s="11"/>
    </row>
    <row r="23542" spans="8:16" x14ac:dyDescent="0.25">
      <c r="H23542" s="12"/>
      <c r="I23542" s="12"/>
      <c r="J23542" s="12"/>
      <c r="K23542" s="12"/>
      <c r="L23542" s="12"/>
      <c r="M23542" s="11"/>
      <c r="N23542" s="11"/>
      <c r="O23542" s="11"/>
      <c r="P23542" s="11"/>
    </row>
    <row r="23543" spans="8:16" x14ac:dyDescent="0.25">
      <c r="H23543" s="12"/>
      <c r="I23543" s="12"/>
      <c r="J23543" s="12"/>
      <c r="K23543" s="12"/>
      <c r="L23543" s="12"/>
      <c r="M23543" s="11"/>
      <c r="N23543" s="11"/>
      <c r="O23543" s="11"/>
      <c r="P23543" s="11"/>
    </row>
    <row r="23544" spans="8:16" x14ac:dyDescent="0.25">
      <c r="H23544" s="12"/>
      <c r="I23544" s="12"/>
      <c r="J23544" s="12"/>
      <c r="K23544" s="12"/>
      <c r="L23544" s="12"/>
      <c r="M23544" s="11"/>
      <c r="N23544" s="11"/>
      <c r="O23544" s="11"/>
      <c r="P23544" s="11"/>
    </row>
    <row r="23545" spans="8:16" x14ac:dyDescent="0.25">
      <c r="H23545" s="12"/>
      <c r="I23545" s="12"/>
      <c r="J23545" s="12"/>
      <c r="K23545" s="12"/>
      <c r="L23545" s="12"/>
      <c r="M23545" s="11"/>
      <c r="N23545" s="11"/>
      <c r="O23545" s="11"/>
      <c r="P23545" s="11"/>
    </row>
    <row r="23546" spans="8:16" x14ac:dyDescent="0.25">
      <c r="H23546" s="12"/>
      <c r="I23546" s="12"/>
      <c r="J23546" s="12"/>
      <c r="K23546" s="12"/>
      <c r="L23546" s="12"/>
      <c r="M23546" s="11"/>
      <c r="N23546" s="11"/>
      <c r="O23546" s="11"/>
      <c r="P23546" s="11"/>
    </row>
    <row r="23547" spans="8:16" x14ac:dyDescent="0.25">
      <c r="H23547" s="12"/>
      <c r="I23547" s="12"/>
      <c r="J23547" s="12"/>
      <c r="K23547" s="12"/>
      <c r="L23547" s="12"/>
      <c r="M23547" s="11"/>
      <c r="N23547" s="11"/>
      <c r="O23547" s="11"/>
      <c r="P23547" s="11"/>
    </row>
    <row r="23548" spans="8:16" x14ac:dyDescent="0.25">
      <c r="H23548" s="12"/>
      <c r="I23548" s="12"/>
      <c r="J23548" s="12"/>
      <c r="K23548" s="12"/>
      <c r="L23548" s="12"/>
      <c r="M23548" s="11"/>
      <c r="N23548" s="11"/>
      <c r="O23548" s="11"/>
      <c r="P23548" s="11"/>
    </row>
    <row r="23549" spans="8:16" x14ac:dyDescent="0.25">
      <c r="H23549" s="12"/>
      <c r="I23549" s="12"/>
      <c r="J23549" s="12"/>
      <c r="K23549" s="12"/>
      <c r="L23549" s="12"/>
      <c r="M23549" s="11"/>
      <c r="N23549" s="11"/>
      <c r="O23549" s="11"/>
      <c r="P23549" s="11"/>
    </row>
    <row r="23550" spans="8:16" x14ac:dyDescent="0.25">
      <c r="H23550" s="12"/>
      <c r="I23550" s="12"/>
      <c r="J23550" s="12"/>
      <c r="K23550" s="12"/>
      <c r="L23550" s="12"/>
      <c r="M23550" s="11"/>
      <c r="N23550" s="11"/>
      <c r="O23550" s="11"/>
      <c r="P23550" s="11"/>
    </row>
    <row r="23551" spans="8:16" x14ac:dyDescent="0.25">
      <c r="H23551" s="12"/>
      <c r="I23551" s="12"/>
      <c r="J23551" s="12"/>
      <c r="K23551" s="12"/>
      <c r="L23551" s="12"/>
      <c r="M23551" s="11"/>
      <c r="N23551" s="11"/>
      <c r="O23551" s="11"/>
      <c r="P23551" s="11"/>
    </row>
    <row r="23552" spans="8:16" x14ac:dyDescent="0.25">
      <c r="H23552" s="12"/>
      <c r="I23552" s="12"/>
      <c r="J23552" s="12"/>
      <c r="K23552" s="12"/>
      <c r="L23552" s="12"/>
      <c r="M23552" s="11"/>
      <c r="N23552" s="11"/>
      <c r="O23552" s="11"/>
      <c r="P23552" s="11"/>
    </row>
    <row r="23553" spans="8:16" x14ac:dyDescent="0.25">
      <c r="H23553" s="12"/>
      <c r="I23553" s="12"/>
      <c r="J23553" s="12"/>
      <c r="K23553" s="12"/>
      <c r="L23553" s="12"/>
      <c r="M23553" s="11"/>
      <c r="N23553" s="11"/>
      <c r="O23553" s="11"/>
      <c r="P23553" s="11"/>
    </row>
    <row r="23554" spans="8:16" x14ac:dyDescent="0.25">
      <c r="H23554" s="12"/>
      <c r="I23554" s="12"/>
      <c r="J23554" s="12"/>
      <c r="K23554" s="12"/>
      <c r="L23554" s="12"/>
      <c r="M23554" s="11"/>
      <c r="N23554" s="11"/>
      <c r="O23554" s="11"/>
      <c r="P23554" s="11"/>
    </row>
    <row r="23555" spans="8:16" x14ac:dyDescent="0.25">
      <c r="H23555" s="12"/>
      <c r="I23555" s="12"/>
      <c r="J23555" s="12"/>
      <c r="K23555" s="12"/>
      <c r="L23555" s="12"/>
      <c r="M23555" s="11"/>
      <c r="N23555" s="11"/>
      <c r="O23555" s="11"/>
      <c r="P23555" s="11"/>
    </row>
    <row r="23556" spans="8:16" x14ac:dyDescent="0.25">
      <c r="H23556" s="12"/>
      <c r="I23556" s="12"/>
      <c r="J23556" s="12"/>
      <c r="K23556" s="12"/>
      <c r="L23556" s="12"/>
      <c r="M23556" s="11"/>
      <c r="N23556" s="11"/>
      <c r="O23556" s="11"/>
      <c r="P23556" s="11"/>
    </row>
    <row r="23557" spans="8:16" x14ac:dyDescent="0.25">
      <c r="H23557" s="12"/>
      <c r="I23557" s="12"/>
      <c r="J23557" s="12"/>
      <c r="K23557" s="12"/>
      <c r="L23557" s="12"/>
      <c r="M23557" s="11"/>
      <c r="N23557" s="11"/>
      <c r="O23557" s="11"/>
      <c r="P23557" s="11"/>
    </row>
    <row r="23558" spans="8:16" x14ac:dyDescent="0.25">
      <c r="H23558" s="12"/>
      <c r="I23558" s="12"/>
      <c r="J23558" s="12"/>
      <c r="K23558" s="12"/>
      <c r="L23558" s="12"/>
      <c r="M23558" s="11"/>
      <c r="N23558" s="11"/>
      <c r="O23558" s="11"/>
      <c r="P23558" s="11"/>
    </row>
    <row r="23559" spans="8:16" x14ac:dyDescent="0.25">
      <c r="H23559" s="12"/>
      <c r="I23559" s="12"/>
      <c r="J23559" s="12"/>
      <c r="K23559" s="12"/>
      <c r="L23559" s="12"/>
      <c r="M23559" s="11"/>
      <c r="N23559" s="11"/>
      <c r="O23559" s="11"/>
      <c r="P23559" s="11"/>
    </row>
    <row r="23560" spans="8:16" x14ac:dyDescent="0.25">
      <c r="H23560" s="12"/>
      <c r="I23560" s="12"/>
      <c r="J23560" s="12"/>
      <c r="K23560" s="12"/>
      <c r="L23560" s="12"/>
      <c r="M23560" s="11"/>
      <c r="N23560" s="11"/>
      <c r="O23560" s="11"/>
      <c r="P23560" s="11"/>
    </row>
    <row r="23561" spans="8:16" x14ac:dyDescent="0.25">
      <c r="H23561" s="12"/>
      <c r="I23561" s="12"/>
      <c r="J23561" s="12"/>
      <c r="K23561" s="12"/>
      <c r="L23561" s="12"/>
      <c r="M23561" s="11"/>
      <c r="N23561" s="11"/>
      <c r="O23561" s="11"/>
      <c r="P23561" s="11"/>
    </row>
    <row r="23562" spans="8:16" x14ac:dyDescent="0.25">
      <c r="H23562" s="12"/>
      <c r="I23562" s="12"/>
      <c r="J23562" s="12"/>
      <c r="K23562" s="12"/>
      <c r="L23562" s="12"/>
      <c r="M23562" s="11"/>
      <c r="N23562" s="11"/>
      <c r="O23562" s="11"/>
      <c r="P23562" s="11"/>
    </row>
    <row r="23563" spans="8:16" x14ac:dyDescent="0.25">
      <c r="H23563" s="12"/>
      <c r="I23563" s="12"/>
      <c r="J23563" s="12"/>
      <c r="K23563" s="12"/>
      <c r="L23563" s="12"/>
      <c r="M23563" s="11"/>
      <c r="N23563" s="11"/>
      <c r="O23563" s="11"/>
      <c r="P23563" s="11"/>
    </row>
    <row r="23564" spans="8:16" x14ac:dyDescent="0.25">
      <c r="H23564" s="12"/>
      <c r="I23564" s="12"/>
      <c r="J23564" s="12"/>
      <c r="K23564" s="12"/>
      <c r="L23564" s="12"/>
      <c r="M23564" s="11"/>
      <c r="N23564" s="11"/>
      <c r="O23564" s="11"/>
      <c r="P23564" s="11"/>
    </row>
    <row r="23565" spans="8:16" x14ac:dyDescent="0.25">
      <c r="H23565" s="12"/>
      <c r="I23565" s="12"/>
      <c r="J23565" s="12"/>
      <c r="K23565" s="12"/>
      <c r="L23565" s="12"/>
      <c r="M23565" s="11"/>
      <c r="N23565" s="11"/>
      <c r="O23565" s="11"/>
      <c r="P23565" s="11"/>
    </row>
    <row r="23566" spans="8:16" x14ac:dyDescent="0.25">
      <c r="H23566" s="12"/>
      <c r="I23566" s="12"/>
      <c r="J23566" s="12"/>
      <c r="K23566" s="12"/>
      <c r="L23566" s="12"/>
      <c r="M23566" s="11"/>
      <c r="N23566" s="11"/>
      <c r="O23566" s="11"/>
      <c r="P23566" s="11"/>
    </row>
    <row r="23567" spans="8:16" x14ac:dyDescent="0.25">
      <c r="H23567" s="12"/>
      <c r="I23567" s="12"/>
      <c r="J23567" s="12"/>
      <c r="K23567" s="12"/>
      <c r="L23567" s="12"/>
      <c r="M23567" s="11"/>
      <c r="N23567" s="11"/>
      <c r="O23567" s="11"/>
      <c r="P23567" s="11"/>
    </row>
    <row r="23568" spans="8:16" x14ac:dyDescent="0.25">
      <c r="H23568" s="12"/>
      <c r="I23568" s="12"/>
      <c r="J23568" s="12"/>
      <c r="K23568" s="12"/>
      <c r="L23568" s="12"/>
      <c r="M23568" s="11"/>
      <c r="N23568" s="11"/>
      <c r="O23568" s="11"/>
      <c r="P23568" s="11"/>
    </row>
    <row r="23569" spans="8:16" x14ac:dyDescent="0.25">
      <c r="H23569" s="12"/>
      <c r="I23569" s="12"/>
      <c r="J23569" s="12"/>
      <c r="K23569" s="12"/>
      <c r="L23569" s="12"/>
      <c r="M23569" s="11"/>
      <c r="N23569" s="11"/>
      <c r="O23569" s="11"/>
      <c r="P23569" s="11"/>
    </row>
    <row r="23570" spans="8:16" x14ac:dyDescent="0.25">
      <c r="H23570" s="12"/>
      <c r="I23570" s="12"/>
      <c r="J23570" s="12"/>
      <c r="K23570" s="12"/>
      <c r="L23570" s="12"/>
      <c r="M23570" s="11"/>
      <c r="N23570" s="11"/>
      <c r="O23570" s="11"/>
      <c r="P23570" s="11"/>
    </row>
    <row r="23571" spans="8:16" x14ac:dyDescent="0.25">
      <c r="H23571" s="12"/>
      <c r="I23571" s="12"/>
      <c r="J23571" s="12"/>
      <c r="K23571" s="12"/>
      <c r="L23571" s="12"/>
      <c r="M23571" s="11"/>
      <c r="N23571" s="11"/>
      <c r="O23571" s="11"/>
      <c r="P23571" s="11"/>
    </row>
    <row r="23572" spans="8:16" x14ac:dyDescent="0.25">
      <c r="H23572" s="12"/>
      <c r="I23572" s="12"/>
      <c r="J23572" s="12"/>
      <c r="K23572" s="12"/>
      <c r="L23572" s="12"/>
      <c r="M23572" s="11"/>
      <c r="N23572" s="11"/>
      <c r="O23572" s="11"/>
      <c r="P23572" s="11"/>
    </row>
    <row r="23573" spans="8:16" x14ac:dyDescent="0.25">
      <c r="H23573" s="12"/>
      <c r="I23573" s="12"/>
      <c r="J23573" s="12"/>
      <c r="K23573" s="12"/>
      <c r="L23573" s="12"/>
      <c r="M23573" s="11"/>
      <c r="N23573" s="11"/>
      <c r="O23573" s="11"/>
      <c r="P23573" s="11"/>
    </row>
    <row r="23574" spans="8:16" x14ac:dyDescent="0.25">
      <c r="H23574" s="12"/>
      <c r="I23574" s="12"/>
      <c r="J23574" s="12"/>
      <c r="K23574" s="12"/>
      <c r="L23574" s="12"/>
      <c r="M23574" s="11"/>
      <c r="N23574" s="11"/>
      <c r="O23574" s="11"/>
      <c r="P23574" s="11"/>
    </row>
    <row r="23575" spans="8:16" x14ac:dyDescent="0.25">
      <c r="H23575" s="12"/>
      <c r="I23575" s="12"/>
      <c r="J23575" s="12"/>
      <c r="K23575" s="12"/>
      <c r="L23575" s="12"/>
      <c r="M23575" s="11"/>
      <c r="N23575" s="11"/>
      <c r="O23575" s="11"/>
      <c r="P23575" s="11"/>
    </row>
    <row r="23576" spans="8:16" x14ac:dyDescent="0.25">
      <c r="H23576" s="12"/>
      <c r="I23576" s="12"/>
      <c r="J23576" s="12"/>
      <c r="K23576" s="12"/>
      <c r="L23576" s="12"/>
      <c r="M23576" s="11"/>
      <c r="N23576" s="11"/>
      <c r="O23576" s="11"/>
      <c r="P23576" s="11"/>
    </row>
    <row r="23577" spans="8:16" x14ac:dyDescent="0.25">
      <c r="H23577" s="12"/>
      <c r="I23577" s="12"/>
      <c r="J23577" s="12"/>
      <c r="K23577" s="12"/>
      <c r="L23577" s="12"/>
      <c r="M23577" s="11"/>
      <c r="N23577" s="11"/>
      <c r="O23577" s="11"/>
      <c r="P23577" s="11"/>
    </row>
    <row r="23578" spans="8:16" x14ac:dyDescent="0.25">
      <c r="H23578" s="12"/>
      <c r="I23578" s="12"/>
      <c r="J23578" s="12"/>
      <c r="K23578" s="12"/>
      <c r="L23578" s="12"/>
      <c r="M23578" s="11"/>
      <c r="N23578" s="11"/>
      <c r="O23578" s="11"/>
      <c r="P23578" s="11"/>
    </row>
    <row r="23579" spans="8:16" x14ac:dyDescent="0.25">
      <c r="H23579" s="12"/>
      <c r="I23579" s="12"/>
      <c r="J23579" s="12"/>
      <c r="K23579" s="12"/>
      <c r="L23579" s="12"/>
      <c r="M23579" s="11"/>
      <c r="N23579" s="11"/>
      <c r="O23579" s="11"/>
      <c r="P23579" s="11"/>
    </row>
    <row r="23580" spans="8:16" x14ac:dyDescent="0.25">
      <c r="H23580" s="12"/>
      <c r="I23580" s="12"/>
      <c r="J23580" s="12"/>
      <c r="K23580" s="12"/>
      <c r="L23580" s="12"/>
      <c r="M23580" s="11"/>
      <c r="N23580" s="11"/>
      <c r="O23580" s="11"/>
      <c r="P23580" s="11"/>
    </row>
    <row r="23581" spans="8:16" x14ac:dyDescent="0.25">
      <c r="H23581" s="12"/>
      <c r="I23581" s="12"/>
      <c r="J23581" s="12"/>
      <c r="K23581" s="12"/>
      <c r="L23581" s="12"/>
      <c r="M23581" s="11"/>
      <c r="N23581" s="11"/>
      <c r="O23581" s="11"/>
      <c r="P23581" s="11"/>
    </row>
    <row r="23582" spans="8:16" x14ac:dyDescent="0.25">
      <c r="H23582" s="12"/>
      <c r="I23582" s="12"/>
      <c r="J23582" s="12"/>
      <c r="K23582" s="12"/>
      <c r="L23582" s="12"/>
      <c r="M23582" s="11"/>
      <c r="N23582" s="11"/>
      <c r="O23582" s="11"/>
      <c r="P23582" s="11"/>
    </row>
    <row r="23583" spans="8:16" x14ac:dyDescent="0.25">
      <c r="H23583" s="12"/>
      <c r="I23583" s="12"/>
      <c r="J23583" s="12"/>
      <c r="K23583" s="12"/>
      <c r="L23583" s="12"/>
      <c r="M23583" s="11"/>
      <c r="N23583" s="11"/>
      <c r="O23583" s="11"/>
      <c r="P23583" s="11"/>
    </row>
    <row r="23584" spans="8:16" x14ac:dyDescent="0.25">
      <c r="H23584" s="12"/>
      <c r="I23584" s="12"/>
      <c r="J23584" s="12"/>
      <c r="K23584" s="12"/>
      <c r="L23584" s="12"/>
      <c r="M23584" s="11"/>
      <c r="N23584" s="11"/>
      <c r="O23584" s="11"/>
      <c r="P23584" s="11"/>
    </row>
    <row r="23585" spans="8:16" x14ac:dyDescent="0.25">
      <c r="H23585" s="12"/>
      <c r="I23585" s="12"/>
      <c r="J23585" s="12"/>
      <c r="K23585" s="12"/>
      <c r="L23585" s="12"/>
      <c r="M23585" s="11"/>
      <c r="N23585" s="11"/>
      <c r="O23585" s="11"/>
      <c r="P23585" s="11"/>
    </row>
    <row r="23586" spans="8:16" x14ac:dyDescent="0.25">
      <c r="H23586" s="12"/>
      <c r="I23586" s="12"/>
      <c r="J23586" s="12"/>
      <c r="K23586" s="12"/>
      <c r="L23586" s="12"/>
      <c r="M23586" s="11"/>
      <c r="N23586" s="11"/>
      <c r="O23586" s="11"/>
      <c r="P23586" s="11"/>
    </row>
    <row r="23587" spans="8:16" x14ac:dyDescent="0.25">
      <c r="H23587" s="12"/>
      <c r="I23587" s="12"/>
      <c r="J23587" s="12"/>
      <c r="K23587" s="12"/>
      <c r="L23587" s="12"/>
      <c r="M23587" s="11"/>
      <c r="N23587" s="11"/>
      <c r="O23587" s="11"/>
      <c r="P23587" s="11"/>
    </row>
    <row r="23588" spans="8:16" x14ac:dyDescent="0.25">
      <c r="H23588" s="12"/>
      <c r="I23588" s="12"/>
      <c r="J23588" s="12"/>
      <c r="K23588" s="12"/>
      <c r="L23588" s="12"/>
      <c r="M23588" s="11"/>
      <c r="N23588" s="11"/>
      <c r="O23588" s="11"/>
      <c r="P23588" s="11"/>
    </row>
    <row r="23589" spans="8:16" x14ac:dyDescent="0.25">
      <c r="H23589" s="12"/>
      <c r="I23589" s="12"/>
      <c r="J23589" s="12"/>
      <c r="K23589" s="12"/>
      <c r="L23589" s="12"/>
      <c r="M23589" s="11"/>
      <c r="N23589" s="11"/>
      <c r="O23589" s="11"/>
      <c r="P23589" s="11"/>
    </row>
    <row r="23590" spans="8:16" x14ac:dyDescent="0.25">
      <c r="H23590" s="12"/>
      <c r="I23590" s="12"/>
      <c r="J23590" s="12"/>
      <c r="K23590" s="12"/>
      <c r="L23590" s="12"/>
      <c r="M23590" s="11"/>
      <c r="N23590" s="11"/>
      <c r="O23590" s="11"/>
      <c r="P23590" s="11"/>
    </row>
    <row r="23591" spans="8:16" x14ac:dyDescent="0.25">
      <c r="H23591" s="12"/>
      <c r="I23591" s="12"/>
      <c r="J23591" s="12"/>
      <c r="K23591" s="12"/>
      <c r="L23591" s="12"/>
      <c r="M23591" s="11"/>
      <c r="N23591" s="11"/>
      <c r="O23591" s="11"/>
      <c r="P23591" s="11"/>
    </row>
    <row r="23592" spans="8:16" x14ac:dyDescent="0.25">
      <c r="H23592" s="12"/>
      <c r="I23592" s="12"/>
      <c r="J23592" s="12"/>
      <c r="K23592" s="12"/>
      <c r="L23592" s="12"/>
      <c r="M23592" s="11"/>
      <c r="N23592" s="11"/>
      <c r="O23592" s="11"/>
      <c r="P23592" s="11"/>
    </row>
    <row r="23593" spans="8:16" x14ac:dyDescent="0.25">
      <c r="H23593" s="12"/>
      <c r="I23593" s="12"/>
      <c r="J23593" s="12"/>
      <c r="K23593" s="12"/>
      <c r="L23593" s="12"/>
      <c r="M23593" s="11"/>
      <c r="N23593" s="11"/>
      <c r="O23593" s="11"/>
      <c r="P23593" s="11"/>
    </row>
    <row r="23594" spans="8:16" x14ac:dyDescent="0.25">
      <c r="H23594" s="12"/>
      <c r="I23594" s="12"/>
      <c r="J23594" s="12"/>
      <c r="K23594" s="12"/>
      <c r="L23594" s="12"/>
      <c r="M23594" s="11"/>
      <c r="N23594" s="11"/>
      <c r="O23594" s="11"/>
      <c r="P23594" s="11"/>
    </row>
    <row r="23595" spans="8:16" x14ac:dyDescent="0.25">
      <c r="H23595" s="12"/>
      <c r="I23595" s="12"/>
      <c r="J23595" s="12"/>
      <c r="K23595" s="12"/>
      <c r="L23595" s="12"/>
      <c r="M23595" s="11"/>
      <c r="N23595" s="11"/>
      <c r="O23595" s="11"/>
      <c r="P23595" s="11"/>
    </row>
    <row r="23596" spans="8:16" x14ac:dyDescent="0.25">
      <c r="H23596" s="12"/>
      <c r="I23596" s="12"/>
      <c r="J23596" s="12"/>
      <c r="K23596" s="12"/>
      <c r="L23596" s="12"/>
      <c r="M23596" s="11"/>
      <c r="N23596" s="11"/>
      <c r="O23596" s="11"/>
      <c r="P23596" s="11"/>
    </row>
    <row r="23597" spans="8:16" x14ac:dyDescent="0.25">
      <c r="H23597" s="12"/>
      <c r="I23597" s="12"/>
      <c r="J23597" s="12"/>
      <c r="K23597" s="12"/>
      <c r="L23597" s="12"/>
      <c r="M23597" s="11"/>
      <c r="N23597" s="11"/>
      <c r="O23597" s="11"/>
      <c r="P23597" s="11"/>
    </row>
    <row r="23598" spans="8:16" x14ac:dyDescent="0.25">
      <c r="H23598" s="12"/>
      <c r="I23598" s="12"/>
      <c r="J23598" s="12"/>
      <c r="K23598" s="12"/>
      <c r="L23598" s="12"/>
      <c r="M23598" s="11"/>
      <c r="N23598" s="11"/>
      <c r="O23598" s="11"/>
      <c r="P23598" s="11"/>
    </row>
    <row r="23599" spans="8:16" x14ac:dyDescent="0.25">
      <c r="H23599" s="12"/>
      <c r="I23599" s="12"/>
      <c r="J23599" s="12"/>
      <c r="K23599" s="12"/>
      <c r="L23599" s="12"/>
      <c r="M23599" s="11"/>
      <c r="N23599" s="11"/>
      <c r="O23599" s="11"/>
      <c r="P23599" s="11"/>
    </row>
    <row r="23600" spans="8:16" x14ac:dyDescent="0.25">
      <c r="H23600" s="12"/>
      <c r="I23600" s="12"/>
      <c r="J23600" s="12"/>
      <c r="K23600" s="12"/>
      <c r="L23600" s="12"/>
      <c r="M23600" s="11"/>
      <c r="N23600" s="11"/>
      <c r="O23600" s="11"/>
      <c r="P23600" s="11"/>
    </row>
    <row r="23601" spans="8:16" x14ac:dyDescent="0.25">
      <c r="H23601" s="12"/>
      <c r="I23601" s="12"/>
      <c r="J23601" s="12"/>
      <c r="K23601" s="12"/>
      <c r="L23601" s="12"/>
      <c r="M23601" s="11"/>
      <c r="N23601" s="11"/>
      <c r="O23601" s="11"/>
      <c r="P23601" s="11"/>
    </row>
    <row r="23602" spans="8:16" x14ac:dyDescent="0.25">
      <c r="H23602" s="12"/>
      <c r="I23602" s="12"/>
      <c r="J23602" s="12"/>
      <c r="K23602" s="12"/>
      <c r="L23602" s="12"/>
      <c r="M23602" s="11"/>
      <c r="N23602" s="11"/>
      <c r="O23602" s="11"/>
      <c r="P23602" s="11"/>
    </row>
    <row r="23603" spans="8:16" x14ac:dyDescent="0.25">
      <c r="H23603" s="12"/>
      <c r="I23603" s="12"/>
      <c r="J23603" s="12"/>
      <c r="K23603" s="12"/>
      <c r="L23603" s="12"/>
      <c r="M23603" s="11"/>
      <c r="N23603" s="11"/>
      <c r="O23603" s="11"/>
      <c r="P23603" s="11"/>
    </row>
    <row r="23604" spans="8:16" x14ac:dyDescent="0.25">
      <c r="H23604" s="12"/>
      <c r="I23604" s="12"/>
      <c r="J23604" s="12"/>
      <c r="K23604" s="12"/>
      <c r="L23604" s="12"/>
      <c r="M23604" s="11"/>
      <c r="N23604" s="11"/>
      <c r="O23604" s="11"/>
      <c r="P23604" s="11"/>
    </row>
    <row r="23605" spans="8:16" x14ac:dyDescent="0.25">
      <c r="H23605" s="12"/>
      <c r="I23605" s="12"/>
      <c r="J23605" s="12"/>
      <c r="K23605" s="12"/>
      <c r="L23605" s="12"/>
      <c r="M23605" s="11"/>
      <c r="N23605" s="11"/>
      <c r="O23605" s="11"/>
      <c r="P23605" s="11"/>
    </row>
    <row r="23606" spans="8:16" x14ac:dyDescent="0.25">
      <c r="H23606" s="12"/>
      <c r="I23606" s="12"/>
      <c r="J23606" s="12"/>
      <c r="K23606" s="12"/>
      <c r="L23606" s="12"/>
      <c r="M23606" s="11"/>
      <c r="N23606" s="11"/>
      <c r="O23606" s="11"/>
      <c r="P23606" s="11"/>
    </row>
    <row r="23607" spans="8:16" x14ac:dyDescent="0.25">
      <c r="H23607" s="12"/>
      <c r="I23607" s="12"/>
      <c r="J23607" s="12"/>
      <c r="K23607" s="12"/>
      <c r="L23607" s="12"/>
      <c r="M23607" s="11"/>
      <c r="N23607" s="11"/>
      <c r="O23607" s="11"/>
      <c r="P23607" s="11"/>
    </row>
    <row r="23608" spans="8:16" x14ac:dyDescent="0.25">
      <c r="H23608" s="12"/>
      <c r="I23608" s="12"/>
      <c r="J23608" s="12"/>
      <c r="K23608" s="12"/>
      <c r="L23608" s="12"/>
      <c r="M23608" s="11"/>
      <c r="N23608" s="11"/>
      <c r="O23608" s="11"/>
      <c r="P23608" s="11"/>
    </row>
    <row r="23609" spans="8:16" x14ac:dyDescent="0.25">
      <c r="H23609" s="12"/>
      <c r="I23609" s="12"/>
      <c r="J23609" s="12"/>
      <c r="K23609" s="12"/>
      <c r="L23609" s="12"/>
      <c r="M23609" s="11"/>
      <c r="N23609" s="11"/>
      <c r="O23609" s="11"/>
      <c r="P23609" s="11"/>
    </row>
    <row r="23610" spans="8:16" x14ac:dyDescent="0.25">
      <c r="H23610" s="12"/>
      <c r="I23610" s="12"/>
      <c r="J23610" s="12"/>
      <c r="K23610" s="12"/>
      <c r="L23610" s="12"/>
      <c r="M23610" s="11"/>
      <c r="N23610" s="11"/>
      <c r="O23610" s="11"/>
      <c r="P23610" s="11"/>
    </row>
    <row r="23611" spans="8:16" x14ac:dyDescent="0.25">
      <c r="H23611" s="12"/>
      <c r="I23611" s="12"/>
      <c r="J23611" s="12"/>
      <c r="K23611" s="12"/>
      <c r="L23611" s="12"/>
      <c r="M23611" s="11"/>
      <c r="N23611" s="11"/>
      <c r="O23611" s="11"/>
      <c r="P23611" s="11"/>
    </row>
    <row r="23612" spans="8:16" x14ac:dyDescent="0.25">
      <c r="H23612" s="12"/>
      <c r="I23612" s="12"/>
      <c r="J23612" s="12"/>
      <c r="K23612" s="12"/>
      <c r="L23612" s="12"/>
      <c r="M23612" s="11"/>
      <c r="N23612" s="11"/>
      <c r="O23612" s="11"/>
      <c r="P23612" s="11"/>
    </row>
    <row r="23613" spans="8:16" x14ac:dyDescent="0.25">
      <c r="H23613" s="12"/>
      <c r="I23613" s="12"/>
      <c r="J23613" s="12"/>
      <c r="K23613" s="12"/>
      <c r="L23613" s="12"/>
      <c r="M23613" s="11"/>
      <c r="N23613" s="11"/>
      <c r="O23613" s="11"/>
      <c r="P23613" s="11"/>
    </row>
    <row r="23614" spans="8:16" x14ac:dyDescent="0.25">
      <c r="H23614" s="12"/>
      <c r="I23614" s="12"/>
      <c r="J23614" s="12"/>
      <c r="K23614" s="12"/>
      <c r="L23614" s="12"/>
      <c r="M23614" s="11"/>
      <c r="N23614" s="11"/>
      <c r="O23614" s="11"/>
      <c r="P23614" s="11"/>
    </row>
    <row r="23615" spans="8:16" x14ac:dyDescent="0.25">
      <c r="H23615" s="12"/>
      <c r="I23615" s="12"/>
      <c r="J23615" s="12"/>
      <c r="K23615" s="12"/>
      <c r="L23615" s="12"/>
      <c r="M23615" s="11"/>
      <c r="N23615" s="11"/>
      <c r="O23615" s="11"/>
      <c r="P23615" s="11"/>
    </row>
    <row r="23616" spans="8:16" x14ac:dyDescent="0.25">
      <c r="H23616" s="12"/>
      <c r="I23616" s="12"/>
      <c r="J23616" s="12"/>
      <c r="K23616" s="12"/>
      <c r="L23616" s="12"/>
      <c r="M23616" s="11"/>
      <c r="N23616" s="11"/>
      <c r="O23616" s="11"/>
      <c r="P23616" s="11"/>
    </row>
    <row r="23617" spans="8:16" x14ac:dyDescent="0.25">
      <c r="H23617" s="12"/>
      <c r="I23617" s="12"/>
      <c r="J23617" s="12"/>
      <c r="K23617" s="12"/>
      <c r="L23617" s="12"/>
      <c r="M23617" s="11"/>
      <c r="N23617" s="11"/>
      <c r="O23617" s="11"/>
      <c r="P23617" s="11"/>
    </row>
    <row r="23618" spans="8:16" x14ac:dyDescent="0.25">
      <c r="H23618" s="12"/>
      <c r="I23618" s="12"/>
      <c r="J23618" s="12"/>
      <c r="K23618" s="12"/>
      <c r="L23618" s="12"/>
      <c r="M23618" s="11"/>
      <c r="N23618" s="11"/>
      <c r="O23618" s="11"/>
      <c r="P23618" s="11"/>
    </row>
    <row r="23619" spans="8:16" x14ac:dyDescent="0.25">
      <c r="H23619" s="12"/>
      <c r="I23619" s="12"/>
      <c r="J23619" s="12"/>
      <c r="K23619" s="12"/>
      <c r="L23619" s="12"/>
      <c r="M23619" s="11"/>
      <c r="N23619" s="11"/>
      <c r="O23619" s="11"/>
      <c r="P23619" s="11"/>
    </row>
    <row r="23620" spans="8:16" x14ac:dyDescent="0.25">
      <c r="H23620" s="12"/>
      <c r="I23620" s="12"/>
      <c r="J23620" s="12"/>
      <c r="K23620" s="12"/>
      <c r="L23620" s="12"/>
      <c r="M23620" s="11"/>
      <c r="N23620" s="11"/>
      <c r="O23620" s="11"/>
      <c r="P23620" s="11"/>
    </row>
    <row r="23621" spans="8:16" x14ac:dyDescent="0.25">
      <c r="H23621" s="12"/>
      <c r="I23621" s="12"/>
      <c r="J23621" s="12"/>
      <c r="K23621" s="12"/>
      <c r="L23621" s="12"/>
      <c r="M23621" s="11"/>
      <c r="N23621" s="11"/>
      <c r="O23621" s="11"/>
      <c r="P23621" s="11"/>
    </row>
    <row r="23622" spans="8:16" x14ac:dyDescent="0.25">
      <c r="H23622" s="12"/>
      <c r="I23622" s="12"/>
      <c r="J23622" s="12"/>
      <c r="K23622" s="12"/>
      <c r="L23622" s="12"/>
      <c r="M23622" s="11"/>
      <c r="N23622" s="11"/>
      <c r="O23622" s="11"/>
      <c r="P23622" s="11"/>
    </row>
    <row r="23623" spans="8:16" x14ac:dyDescent="0.25">
      <c r="H23623" s="12"/>
      <c r="I23623" s="12"/>
      <c r="J23623" s="12"/>
      <c r="K23623" s="12"/>
      <c r="L23623" s="12"/>
      <c r="M23623" s="11"/>
      <c r="N23623" s="11"/>
      <c r="O23623" s="11"/>
      <c r="P23623" s="11"/>
    </row>
    <row r="23624" spans="8:16" x14ac:dyDescent="0.25">
      <c r="H23624" s="12"/>
      <c r="I23624" s="12"/>
      <c r="J23624" s="12"/>
      <c r="K23624" s="12"/>
      <c r="L23624" s="12"/>
      <c r="M23624" s="11"/>
      <c r="N23624" s="11"/>
      <c r="O23624" s="11"/>
      <c r="P23624" s="11"/>
    </row>
    <row r="23625" spans="8:16" x14ac:dyDescent="0.25">
      <c r="H23625" s="12"/>
      <c r="I23625" s="12"/>
      <c r="J23625" s="12"/>
      <c r="K23625" s="12"/>
      <c r="L23625" s="12"/>
      <c r="M23625" s="11"/>
      <c r="N23625" s="11"/>
      <c r="O23625" s="11"/>
      <c r="P23625" s="11"/>
    </row>
    <row r="23626" spans="8:16" x14ac:dyDescent="0.25">
      <c r="H23626" s="12"/>
      <c r="I23626" s="12"/>
      <c r="J23626" s="12"/>
      <c r="K23626" s="12"/>
      <c r="L23626" s="12"/>
      <c r="M23626" s="11"/>
      <c r="N23626" s="11"/>
      <c r="O23626" s="11"/>
      <c r="P23626" s="11"/>
    </row>
    <row r="23627" spans="8:16" x14ac:dyDescent="0.25">
      <c r="H23627" s="12"/>
      <c r="I23627" s="12"/>
      <c r="J23627" s="12"/>
      <c r="K23627" s="12"/>
      <c r="L23627" s="12"/>
      <c r="M23627" s="11"/>
      <c r="N23627" s="11"/>
      <c r="O23627" s="11"/>
      <c r="P23627" s="11"/>
    </row>
    <row r="23628" spans="8:16" x14ac:dyDescent="0.25">
      <c r="H23628" s="12"/>
      <c r="I23628" s="12"/>
      <c r="J23628" s="12"/>
      <c r="K23628" s="12"/>
      <c r="L23628" s="12"/>
      <c r="M23628" s="11"/>
      <c r="N23628" s="11"/>
      <c r="O23628" s="11"/>
      <c r="P23628" s="11"/>
    </row>
    <row r="23629" spans="8:16" x14ac:dyDescent="0.25">
      <c r="H23629" s="12"/>
      <c r="I23629" s="12"/>
      <c r="J23629" s="12"/>
      <c r="K23629" s="12"/>
      <c r="L23629" s="12"/>
      <c r="M23629" s="11"/>
      <c r="N23629" s="11"/>
      <c r="O23629" s="11"/>
      <c r="P23629" s="11"/>
    </row>
    <row r="23630" spans="8:16" x14ac:dyDescent="0.25">
      <c r="H23630" s="12"/>
      <c r="I23630" s="12"/>
      <c r="J23630" s="12"/>
      <c r="K23630" s="12"/>
      <c r="L23630" s="12"/>
      <c r="M23630" s="11"/>
      <c r="N23630" s="11"/>
      <c r="O23630" s="11"/>
      <c r="P23630" s="11"/>
    </row>
    <row r="23631" spans="8:16" x14ac:dyDescent="0.25">
      <c r="H23631" s="12"/>
      <c r="I23631" s="12"/>
      <c r="J23631" s="12"/>
      <c r="K23631" s="12"/>
      <c r="L23631" s="12"/>
      <c r="M23631" s="11"/>
      <c r="N23631" s="11"/>
      <c r="O23631" s="11"/>
      <c r="P23631" s="11"/>
    </row>
    <row r="23632" spans="8:16" x14ac:dyDescent="0.25">
      <c r="H23632" s="12"/>
      <c r="I23632" s="12"/>
      <c r="J23632" s="12"/>
      <c r="K23632" s="12"/>
      <c r="L23632" s="12"/>
      <c r="M23632" s="11"/>
      <c r="N23632" s="11"/>
      <c r="O23632" s="11"/>
      <c r="P23632" s="11"/>
    </row>
    <row r="23633" spans="8:16" x14ac:dyDescent="0.25">
      <c r="H23633" s="12"/>
      <c r="I23633" s="12"/>
      <c r="J23633" s="12"/>
      <c r="K23633" s="12"/>
      <c r="L23633" s="12"/>
      <c r="M23633" s="11"/>
      <c r="N23633" s="11"/>
      <c r="O23633" s="11"/>
      <c r="P23633" s="11"/>
    </row>
    <row r="23634" spans="8:16" x14ac:dyDescent="0.25">
      <c r="H23634" s="12"/>
      <c r="I23634" s="12"/>
      <c r="J23634" s="12"/>
      <c r="K23634" s="12"/>
      <c r="L23634" s="12"/>
      <c r="M23634" s="11"/>
      <c r="N23634" s="11"/>
      <c r="O23634" s="11"/>
      <c r="P23634" s="11"/>
    </row>
    <row r="23635" spans="8:16" x14ac:dyDescent="0.25">
      <c r="H23635" s="12"/>
      <c r="I23635" s="12"/>
      <c r="J23635" s="12"/>
      <c r="K23635" s="12"/>
      <c r="L23635" s="12"/>
      <c r="M23635" s="11"/>
      <c r="N23635" s="11"/>
      <c r="O23635" s="11"/>
      <c r="P23635" s="11"/>
    </row>
    <row r="23636" spans="8:16" x14ac:dyDescent="0.25">
      <c r="H23636" s="12"/>
      <c r="I23636" s="12"/>
      <c r="J23636" s="12"/>
      <c r="K23636" s="12"/>
      <c r="L23636" s="12"/>
      <c r="M23636" s="11"/>
      <c r="N23636" s="11"/>
      <c r="O23636" s="11"/>
      <c r="P23636" s="11"/>
    </row>
    <row r="23637" spans="8:16" x14ac:dyDescent="0.25">
      <c r="H23637" s="12"/>
      <c r="I23637" s="12"/>
      <c r="J23637" s="12"/>
      <c r="K23637" s="12"/>
      <c r="L23637" s="12"/>
      <c r="M23637" s="11"/>
      <c r="N23637" s="11"/>
      <c r="O23637" s="11"/>
      <c r="P23637" s="11"/>
    </row>
    <row r="23638" spans="8:16" x14ac:dyDescent="0.25">
      <c r="H23638" s="12"/>
      <c r="I23638" s="12"/>
      <c r="J23638" s="12"/>
      <c r="K23638" s="12"/>
      <c r="L23638" s="12"/>
      <c r="M23638" s="11"/>
      <c r="N23638" s="11"/>
      <c r="O23638" s="11"/>
      <c r="P23638" s="11"/>
    </row>
    <row r="23639" spans="8:16" x14ac:dyDescent="0.25">
      <c r="H23639" s="12"/>
      <c r="I23639" s="12"/>
      <c r="J23639" s="12"/>
      <c r="K23639" s="12"/>
      <c r="L23639" s="12"/>
      <c r="M23639" s="11"/>
      <c r="N23639" s="11"/>
      <c r="O23639" s="11"/>
      <c r="P23639" s="11"/>
    </row>
    <row r="23640" spans="8:16" x14ac:dyDescent="0.25">
      <c r="H23640" s="12"/>
      <c r="I23640" s="12"/>
      <c r="J23640" s="12"/>
      <c r="K23640" s="12"/>
      <c r="L23640" s="12"/>
      <c r="M23640" s="11"/>
      <c r="N23640" s="11"/>
      <c r="O23640" s="11"/>
      <c r="P23640" s="11"/>
    </row>
    <row r="23641" spans="8:16" x14ac:dyDescent="0.25">
      <c r="H23641" s="12"/>
      <c r="I23641" s="12"/>
      <c r="J23641" s="12"/>
      <c r="K23641" s="12"/>
      <c r="L23641" s="12"/>
      <c r="M23641" s="11"/>
      <c r="N23641" s="11"/>
      <c r="O23641" s="11"/>
      <c r="P23641" s="11"/>
    </row>
    <row r="23642" spans="8:16" x14ac:dyDescent="0.25">
      <c r="H23642" s="12"/>
      <c r="I23642" s="12"/>
      <c r="J23642" s="12"/>
      <c r="K23642" s="12"/>
      <c r="L23642" s="12"/>
      <c r="M23642" s="11"/>
      <c r="N23642" s="11"/>
      <c r="O23642" s="11"/>
      <c r="P23642" s="11"/>
    </row>
    <row r="23643" spans="8:16" x14ac:dyDescent="0.25">
      <c r="H23643" s="12"/>
      <c r="I23643" s="12"/>
      <c r="J23643" s="12"/>
      <c r="K23643" s="12"/>
      <c r="L23643" s="12"/>
      <c r="M23643" s="11"/>
      <c r="N23643" s="11"/>
      <c r="O23643" s="11"/>
      <c r="P23643" s="11"/>
    </row>
    <row r="23644" spans="8:16" x14ac:dyDescent="0.25">
      <c r="H23644" s="12"/>
      <c r="I23644" s="12"/>
      <c r="J23644" s="12"/>
      <c r="K23644" s="12"/>
      <c r="L23644" s="12"/>
      <c r="M23644" s="11"/>
      <c r="N23644" s="11"/>
      <c r="O23644" s="11"/>
      <c r="P23644" s="11"/>
    </row>
    <row r="23645" spans="8:16" x14ac:dyDescent="0.25">
      <c r="H23645" s="12"/>
      <c r="I23645" s="12"/>
      <c r="J23645" s="12"/>
      <c r="K23645" s="12"/>
      <c r="L23645" s="12"/>
      <c r="M23645" s="11"/>
      <c r="N23645" s="11"/>
      <c r="O23645" s="11"/>
      <c r="P23645" s="11"/>
    </row>
    <row r="23646" spans="8:16" x14ac:dyDescent="0.25">
      <c r="H23646" s="12"/>
      <c r="I23646" s="12"/>
      <c r="J23646" s="12"/>
      <c r="K23646" s="12"/>
      <c r="L23646" s="12"/>
      <c r="M23646" s="11"/>
      <c r="N23646" s="11"/>
      <c r="O23646" s="11"/>
      <c r="P23646" s="11"/>
    </row>
    <row r="23647" spans="8:16" x14ac:dyDescent="0.25">
      <c r="H23647" s="12"/>
      <c r="I23647" s="12"/>
      <c r="J23647" s="12"/>
      <c r="K23647" s="12"/>
      <c r="L23647" s="12"/>
      <c r="M23647" s="11"/>
      <c r="N23647" s="11"/>
      <c r="O23647" s="11"/>
      <c r="P23647" s="11"/>
    </row>
    <row r="23648" spans="8:16" x14ac:dyDescent="0.25">
      <c r="H23648" s="12"/>
      <c r="I23648" s="12"/>
      <c r="J23648" s="12"/>
      <c r="K23648" s="12"/>
      <c r="L23648" s="12"/>
      <c r="M23648" s="11"/>
      <c r="N23648" s="11"/>
      <c r="O23648" s="11"/>
      <c r="P23648" s="11"/>
    </row>
    <row r="23649" spans="8:16" x14ac:dyDescent="0.25">
      <c r="H23649" s="12"/>
      <c r="I23649" s="12"/>
      <c r="J23649" s="12"/>
      <c r="K23649" s="12"/>
      <c r="L23649" s="12"/>
      <c r="M23649" s="11"/>
      <c r="N23649" s="11"/>
      <c r="O23649" s="11"/>
      <c r="P23649" s="11"/>
    </row>
    <row r="23650" spans="8:16" x14ac:dyDescent="0.25">
      <c r="H23650" s="12"/>
      <c r="I23650" s="12"/>
      <c r="J23650" s="12"/>
      <c r="K23650" s="12"/>
      <c r="L23650" s="12"/>
      <c r="M23650" s="11"/>
      <c r="N23650" s="11"/>
      <c r="O23650" s="11"/>
      <c r="P23650" s="11"/>
    </row>
    <row r="23651" spans="8:16" x14ac:dyDescent="0.25">
      <c r="H23651" s="12"/>
      <c r="I23651" s="12"/>
      <c r="J23651" s="12"/>
      <c r="K23651" s="12"/>
      <c r="L23651" s="12"/>
      <c r="M23651" s="11"/>
      <c r="N23651" s="11"/>
      <c r="O23651" s="11"/>
      <c r="P23651" s="11"/>
    </row>
    <row r="23652" spans="8:16" x14ac:dyDescent="0.25">
      <c r="H23652" s="12"/>
      <c r="I23652" s="12"/>
      <c r="J23652" s="12"/>
      <c r="K23652" s="12"/>
      <c r="L23652" s="12"/>
      <c r="M23652" s="11"/>
      <c r="N23652" s="11"/>
      <c r="O23652" s="11"/>
      <c r="P23652" s="11"/>
    </row>
    <row r="23653" spans="8:16" x14ac:dyDescent="0.25">
      <c r="H23653" s="12"/>
      <c r="I23653" s="12"/>
      <c r="J23653" s="12"/>
      <c r="K23653" s="12"/>
      <c r="L23653" s="12"/>
      <c r="M23653" s="11"/>
      <c r="N23653" s="11"/>
      <c r="O23653" s="11"/>
      <c r="P23653" s="11"/>
    </row>
    <row r="23654" spans="8:16" x14ac:dyDescent="0.25">
      <c r="H23654" s="12"/>
      <c r="I23654" s="12"/>
      <c r="J23654" s="12"/>
      <c r="K23654" s="12"/>
      <c r="L23654" s="12"/>
      <c r="M23654" s="11"/>
      <c r="N23654" s="11"/>
      <c r="O23654" s="11"/>
      <c r="P23654" s="11"/>
    </row>
    <row r="23655" spans="8:16" x14ac:dyDescent="0.25">
      <c r="H23655" s="12"/>
      <c r="I23655" s="12"/>
      <c r="J23655" s="12"/>
      <c r="K23655" s="12"/>
      <c r="L23655" s="12"/>
      <c r="M23655" s="11"/>
      <c r="N23655" s="11"/>
      <c r="O23655" s="11"/>
      <c r="P23655" s="11"/>
    </row>
    <row r="23656" spans="8:16" x14ac:dyDescent="0.25">
      <c r="H23656" s="12"/>
      <c r="I23656" s="12"/>
      <c r="J23656" s="12"/>
      <c r="K23656" s="12"/>
      <c r="L23656" s="12"/>
      <c r="M23656" s="11"/>
      <c r="N23656" s="11"/>
      <c r="O23656" s="11"/>
      <c r="P23656" s="11"/>
    </row>
    <row r="23657" spans="8:16" x14ac:dyDescent="0.25">
      <c r="H23657" s="12"/>
      <c r="I23657" s="12"/>
      <c r="J23657" s="12"/>
      <c r="K23657" s="12"/>
      <c r="L23657" s="12"/>
      <c r="M23657" s="11"/>
      <c r="N23657" s="11"/>
      <c r="O23657" s="11"/>
      <c r="P23657" s="11"/>
    </row>
    <row r="23658" spans="8:16" x14ac:dyDescent="0.25">
      <c r="H23658" s="12"/>
      <c r="I23658" s="12"/>
      <c r="J23658" s="12"/>
      <c r="K23658" s="12"/>
      <c r="L23658" s="12"/>
      <c r="M23658" s="11"/>
      <c r="N23658" s="11"/>
      <c r="O23658" s="11"/>
      <c r="P23658" s="11"/>
    </row>
    <row r="23659" spans="8:16" x14ac:dyDescent="0.25">
      <c r="H23659" s="12"/>
      <c r="I23659" s="12"/>
      <c r="J23659" s="12"/>
      <c r="K23659" s="12"/>
      <c r="L23659" s="12"/>
      <c r="M23659" s="11"/>
      <c r="N23659" s="11"/>
      <c r="O23659" s="11"/>
      <c r="P23659" s="11"/>
    </row>
    <row r="23660" spans="8:16" x14ac:dyDescent="0.25">
      <c r="H23660" s="12"/>
      <c r="I23660" s="12"/>
      <c r="J23660" s="12"/>
      <c r="K23660" s="12"/>
      <c r="L23660" s="12"/>
      <c r="M23660" s="11"/>
      <c r="N23660" s="11"/>
      <c r="O23660" s="11"/>
      <c r="P23660" s="11"/>
    </row>
    <row r="23661" spans="8:16" x14ac:dyDescent="0.25">
      <c r="H23661" s="12"/>
      <c r="I23661" s="12"/>
      <c r="J23661" s="12"/>
      <c r="K23661" s="12"/>
      <c r="L23661" s="12"/>
      <c r="M23661" s="11"/>
      <c r="N23661" s="11"/>
      <c r="O23661" s="11"/>
      <c r="P23661" s="11"/>
    </row>
    <row r="23662" spans="8:16" x14ac:dyDescent="0.25">
      <c r="H23662" s="12"/>
      <c r="I23662" s="12"/>
      <c r="J23662" s="12"/>
      <c r="K23662" s="12"/>
      <c r="L23662" s="12"/>
      <c r="M23662" s="11"/>
      <c r="N23662" s="11"/>
      <c r="O23662" s="11"/>
      <c r="P23662" s="11"/>
    </row>
    <row r="23663" spans="8:16" x14ac:dyDescent="0.25">
      <c r="H23663" s="12"/>
      <c r="I23663" s="12"/>
      <c r="J23663" s="12"/>
      <c r="K23663" s="12"/>
      <c r="L23663" s="12"/>
      <c r="M23663" s="11"/>
      <c r="N23663" s="11"/>
      <c r="O23663" s="11"/>
      <c r="P23663" s="11"/>
    </row>
    <row r="23664" spans="8:16" x14ac:dyDescent="0.25">
      <c r="H23664" s="12"/>
      <c r="I23664" s="12"/>
      <c r="J23664" s="12"/>
      <c r="K23664" s="12"/>
      <c r="L23664" s="12"/>
      <c r="M23664" s="11"/>
      <c r="N23664" s="11"/>
      <c r="O23664" s="11"/>
      <c r="P23664" s="11"/>
    </row>
    <row r="23665" spans="8:16" x14ac:dyDescent="0.25">
      <c r="H23665" s="12"/>
      <c r="I23665" s="12"/>
      <c r="J23665" s="12"/>
      <c r="K23665" s="12"/>
      <c r="L23665" s="12"/>
      <c r="M23665" s="11"/>
      <c r="N23665" s="11"/>
      <c r="O23665" s="11"/>
      <c r="P23665" s="11"/>
    </row>
    <row r="23666" spans="8:16" x14ac:dyDescent="0.25">
      <c r="H23666" s="12"/>
      <c r="I23666" s="12"/>
      <c r="J23666" s="12"/>
      <c r="K23666" s="12"/>
      <c r="L23666" s="12"/>
      <c r="M23666" s="11"/>
      <c r="N23666" s="11"/>
      <c r="O23666" s="11"/>
      <c r="P23666" s="11"/>
    </row>
    <row r="23667" spans="8:16" x14ac:dyDescent="0.25">
      <c r="H23667" s="12"/>
      <c r="I23667" s="12"/>
      <c r="J23667" s="12"/>
      <c r="K23667" s="12"/>
      <c r="L23667" s="12"/>
      <c r="M23667" s="11"/>
      <c r="N23667" s="11"/>
      <c r="O23667" s="11"/>
      <c r="P23667" s="11"/>
    </row>
    <row r="23668" spans="8:16" x14ac:dyDescent="0.25">
      <c r="H23668" s="12"/>
      <c r="I23668" s="12"/>
      <c r="J23668" s="12"/>
      <c r="K23668" s="12"/>
      <c r="L23668" s="12"/>
      <c r="M23668" s="11"/>
      <c r="N23668" s="11"/>
      <c r="O23668" s="11"/>
      <c r="P23668" s="11"/>
    </row>
    <row r="23669" spans="8:16" x14ac:dyDescent="0.25">
      <c r="H23669" s="12"/>
      <c r="I23669" s="12"/>
      <c r="J23669" s="12"/>
      <c r="K23669" s="12"/>
      <c r="L23669" s="12"/>
      <c r="M23669" s="11"/>
      <c r="N23669" s="11"/>
      <c r="O23669" s="11"/>
      <c r="P23669" s="11"/>
    </row>
    <row r="23670" spans="8:16" x14ac:dyDescent="0.25">
      <c r="H23670" s="12"/>
      <c r="I23670" s="12"/>
      <c r="J23670" s="12"/>
      <c r="K23670" s="12"/>
      <c r="L23670" s="12"/>
      <c r="M23670" s="11"/>
      <c r="N23670" s="11"/>
      <c r="O23670" s="11"/>
      <c r="P23670" s="11"/>
    </row>
    <row r="23671" spans="8:16" x14ac:dyDescent="0.25">
      <c r="H23671" s="12"/>
      <c r="I23671" s="12"/>
      <c r="J23671" s="12"/>
      <c r="K23671" s="12"/>
      <c r="L23671" s="12"/>
      <c r="M23671" s="11"/>
      <c r="N23671" s="11"/>
      <c r="O23671" s="11"/>
      <c r="P23671" s="11"/>
    </row>
    <row r="23672" spans="8:16" x14ac:dyDescent="0.25">
      <c r="H23672" s="12"/>
      <c r="I23672" s="12"/>
      <c r="J23672" s="12"/>
      <c r="K23672" s="12"/>
      <c r="L23672" s="12"/>
      <c r="M23672" s="11"/>
      <c r="N23672" s="11"/>
      <c r="O23672" s="11"/>
      <c r="P23672" s="11"/>
    </row>
    <row r="23673" spans="8:16" x14ac:dyDescent="0.25">
      <c r="H23673" s="12"/>
      <c r="I23673" s="12"/>
      <c r="J23673" s="12"/>
      <c r="K23673" s="12"/>
      <c r="L23673" s="12"/>
      <c r="M23673" s="11"/>
      <c r="N23673" s="11"/>
      <c r="O23673" s="11"/>
      <c r="P23673" s="11"/>
    </row>
    <row r="23674" spans="8:16" x14ac:dyDescent="0.25">
      <c r="H23674" s="12"/>
      <c r="I23674" s="12"/>
      <c r="J23674" s="12"/>
      <c r="K23674" s="12"/>
      <c r="L23674" s="12"/>
      <c r="M23674" s="11"/>
      <c r="N23674" s="11"/>
      <c r="O23674" s="11"/>
      <c r="P23674" s="11"/>
    </row>
    <row r="23675" spans="8:16" x14ac:dyDescent="0.25">
      <c r="H23675" s="12"/>
      <c r="I23675" s="12"/>
      <c r="J23675" s="12"/>
      <c r="K23675" s="12"/>
      <c r="L23675" s="12"/>
      <c r="M23675" s="11"/>
      <c r="N23675" s="11"/>
      <c r="O23675" s="11"/>
      <c r="P23675" s="11"/>
    </row>
    <row r="23676" spans="8:16" x14ac:dyDescent="0.25">
      <c r="H23676" s="12"/>
      <c r="I23676" s="12"/>
      <c r="J23676" s="12"/>
      <c r="K23676" s="12"/>
      <c r="L23676" s="12"/>
      <c r="M23676" s="11"/>
      <c r="N23676" s="11"/>
      <c r="O23676" s="11"/>
      <c r="P23676" s="11"/>
    </row>
    <row r="23677" spans="8:16" x14ac:dyDescent="0.25">
      <c r="H23677" s="12"/>
      <c r="I23677" s="12"/>
      <c r="J23677" s="12"/>
      <c r="K23677" s="12"/>
      <c r="L23677" s="12"/>
      <c r="M23677" s="11"/>
      <c r="N23677" s="11"/>
      <c r="O23677" s="11"/>
      <c r="P23677" s="11"/>
    </row>
    <row r="23678" spans="8:16" x14ac:dyDescent="0.25">
      <c r="H23678" s="12"/>
      <c r="I23678" s="12"/>
      <c r="J23678" s="12"/>
      <c r="K23678" s="12"/>
      <c r="L23678" s="12"/>
      <c r="M23678" s="11"/>
      <c r="N23678" s="11"/>
      <c r="O23678" s="11"/>
      <c r="P23678" s="11"/>
    </row>
    <row r="23679" spans="8:16" x14ac:dyDescent="0.25">
      <c r="H23679" s="12"/>
      <c r="I23679" s="12"/>
      <c r="J23679" s="12"/>
      <c r="K23679" s="12"/>
      <c r="L23679" s="12"/>
      <c r="M23679" s="11"/>
      <c r="N23679" s="11"/>
      <c r="O23679" s="11"/>
      <c r="P23679" s="11"/>
    </row>
    <row r="23680" spans="8:16" x14ac:dyDescent="0.25">
      <c r="H23680" s="12"/>
      <c r="I23680" s="12"/>
      <c r="J23680" s="12"/>
      <c r="K23680" s="12"/>
      <c r="L23680" s="12"/>
      <c r="M23680" s="11"/>
      <c r="N23680" s="11"/>
      <c r="O23680" s="11"/>
      <c r="P23680" s="11"/>
    </row>
    <row r="23681" spans="8:16" x14ac:dyDescent="0.25">
      <c r="H23681" s="12"/>
      <c r="I23681" s="12"/>
      <c r="J23681" s="12"/>
      <c r="K23681" s="12"/>
      <c r="L23681" s="12"/>
      <c r="M23681" s="11"/>
      <c r="N23681" s="11"/>
      <c r="O23681" s="11"/>
      <c r="P23681" s="11"/>
    </row>
    <row r="23682" spans="8:16" x14ac:dyDescent="0.25">
      <c r="H23682" s="12"/>
      <c r="I23682" s="12"/>
      <c r="J23682" s="12"/>
      <c r="K23682" s="12"/>
      <c r="L23682" s="12"/>
      <c r="M23682" s="11"/>
      <c r="N23682" s="11"/>
      <c r="O23682" s="11"/>
      <c r="P23682" s="11"/>
    </row>
    <row r="23683" spans="8:16" x14ac:dyDescent="0.25">
      <c r="H23683" s="12"/>
      <c r="I23683" s="12"/>
      <c r="J23683" s="12"/>
      <c r="K23683" s="12"/>
      <c r="L23683" s="12"/>
      <c r="M23683" s="11"/>
      <c r="N23683" s="11"/>
      <c r="O23683" s="11"/>
      <c r="P23683" s="11"/>
    </row>
    <row r="23684" spans="8:16" x14ac:dyDescent="0.25">
      <c r="H23684" s="12"/>
      <c r="I23684" s="12"/>
      <c r="J23684" s="12"/>
      <c r="K23684" s="12"/>
      <c r="L23684" s="12"/>
      <c r="M23684" s="11"/>
      <c r="N23684" s="11"/>
      <c r="O23684" s="11"/>
      <c r="P23684" s="11"/>
    </row>
    <row r="23685" spans="8:16" x14ac:dyDescent="0.25">
      <c r="H23685" s="12"/>
      <c r="I23685" s="12"/>
      <c r="J23685" s="12"/>
      <c r="K23685" s="12"/>
      <c r="L23685" s="12"/>
      <c r="M23685" s="11"/>
      <c r="N23685" s="11"/>
      <c r="O23685" s="11"/>
      <c r="P23685" s="11"/>
    </row>
    <row r="23686" spans="8:16" x14ac:dyDescent="0.25">
      <c r="H23686" s="12"/>
      <c r="I23686" s="12"/>
      <c r="J23686" s="12"/>
      <c r="K23686" s="12"/>
      <c r="L23686" s="12"/>
      <c r="M23686" s="11"/>
      <c r="N23686" s="11"/>
      <c r="O23686" s="11"/>
      <c r="P23686" s="11"/>
    </row>
    <row r="23687" spans="8:16" x14ac:dyDescent="0.25">
      <c r="H23687" s="12"/>
      <c r="I23687" s="12"/>
      <c r="J23687" s="12"/>
      <c r="K23687" s="12"/>
      <c r="L23687" s="12"/>
      <c r="M23687" s="11"/>
      <c r="N23687" s="11"/>
      <c r="O23687" s="11"/>
      <c r="P23687" s="11"/>
    </row>
    <row r="23688" spans="8:16" x14ac:dyDescent="0.25">
      <c r="H23688" s="12"/>
      <c r="I23688" s="12"/>
      <c r="J23688" s="12"/>
      <c r="K23688" s="12"/>
      <c r="L23688" s="12"/>
      <c r="M23688" s="11"/>
      <c r="N23688" s="11"/>
      <c r="O23688" s="11"/>
      <c r="P23688" s="11"/>
    </row>
    <row r="23689" spans="8:16" x14ac:dyDescent="0.25">
      <c r="H23689" s="12"/>
      <c r="I23689" s="12"/>
      <c r="J23689" s="12"/>
      <c r="K23689" s="12"/>
      <c r="L23689" s="12"/>
      <c r="M23689" s="11"/>
      <c r="N23689" s="11"/>
      <c r="O23689" s="11"/>
      <c r="P23689" s="11"/>
    </row>
    <row r="23690" spans="8:16" x14ac:dyDescent="0.25">
      <c r="H23690" s="12"/>
      <c r="I23690" s="12"/>
      <c r="J23690" s="12"/>
      <c r="K23690" s="12"/>
      <c r="L23690" s="12"/>
      <c r="M23690" s="11"/>
      <c r="N23690" s="11"/>
      <c r="O23690" s="11"/>
      <c r="P23690" s="11"/>
    </row>
    <row r="23691" spans="8:16" x14ac:dyDescent="0.25">
      <c r="H23691" s="12"/>
      <c r="I23691" s="12"/>
      <c r="J23691" s="12"/>
      <c r="K23691" s="12"/>
      <c r="L23691" s="12"/>
      <c r="M23691" s="11"/>
      <c r="N23691" s="11"/>
      <c r="O23691" s="11"/>
      <c r="P23691" s="11"/>
    </row>
    <row r="23692" spans="8:16" x14ac:dyDescent="0.25">
      <c r="H23692" s="12"/>
      <c r="I23692" s="12"/>
      <c r="J23692" s="12"/>
      <c r="K23692" s="12"/>
      <c r="L23692" s="12"/>
      <c r="M23692" s="11"/>
      <c r="N23692" s="11"/>
      <c r="O23692" s="11"/>
      <c r="P23692" s="11"/>
    </row>
    <row r="23693" spans="8:16" x14ac:dyDescent="0.25">
      <c r="H23693" s="12"/>
      <c r="I23693" s="12"/>
      <c r="J23693" s="12"/>
      <c r="K23693" s="12"/>
      <c r="L23693" s="12"/>
      <c r="M23693" s="11"/>
      <c r="N23693" s="11"/>
      <c r="O23693" s="11"/>
      <c r="P23693" s="11"/>
    </row>
    <row r="23694" spans="8:16" x14ac:dyDescent="0.25">
      <c r="H23694" s="12"/>
      <c r="I23694" s="12"/>
      <c r="J23694" s="12"/>
      <c r="K23694" s="12"/>
      <c r="L23694" s="12"/>
      <c r="M23694" s="11"/>
      <c r="N23694" s="11"/>
      <c r="O23694" s="11"/>
      <c r="P23694" s="11"/>
    </row>
    <row r="23695" spans="8:16" x14ac:dyDescent="0.25">
      <c r="H23695" s="12"/>
      <c r="I23695" s="12"/>
      <c r="J23695" s="12"/>
      <c r="K23695" s="12"/>
      <c r="L23695" s="12"/>
      <c r="M23695" s="11"/>
      <c r="N23695" s="11"/>
      <c r="O23695" s="11"/>
      <c r="P23695" s="11"/>
    </row>
    <row r="23696" spans="8:16" x14ac:dyDescent="0.25">
      <c r="H23696" s="12"/>
      <c r="I23696" s="12"/>
      <c r="J23696" s="12"/>
      <c r="K23696" s="12"/>
      <c r="L23696" s="12"/>
      <c r="M23696" s="11"/>
      <c r="N23696" s="11"/>
      <c r="O23696" s="11"/>
      <c r="P23696" s="11"/>
    </row>
    <row r="23697" spans="8:16" x14ac:dyDescent="0.25">
      <c r="H23697" s="12"/>
      <c r="I23697" s="12"/>
      <c r="J23697" s="12"/>
      <c r="K23697" s="12"/>
      <c r="L23697" s="12"/>
      <c r="M23697" s="11"/>
      <c r="N23697" s="11"/>
      <c r="O23697" s="11"/>
      <c r="P23697" s="11"/>
    </row>
    <row r="23698" spans="8:16" x14ac:dyDescent="0.25">
      <c r="H23698" s="12"/>
      <c r="I23698" s="12"/>
      <c r="J23698" s="12"/>
      <c r="K23698" s="12"/>
      <c r="L23698" s="12"/>
      <c r="M23698" s="11"/>
      <c r="N23698" s="11"/>
      <c r="O23698" s="11"/>
      <c r="P23698" s="11"/>
    </row>
    <row r="23699" spans="8:16" x14ac:dyDescent="0.25">
      <c r="H23699" s="12"/>
      <c r="I23699" s="12"/>
      <c r="J23699" s="12"/>
      <c r="K23699" s="12"/>
      <c r="L23699" s="12"/>
      <c r="M23699" s="11"/>
      <c r="N23699" s="11"/>
      <c r="O23699" s="11"/>
      <c r="P23699" s="11"/>
    </row>
    <row r="23700" spans="8:16" x14ac:dyDescent="0.25">
      <c r="H23700" s="12"/>
      <c r="I23700" s="12"/>
      <c r="J23700" s="12"/>
      <c r="K23700" s="12"/>
      <c r="L23700" s="12"/>
      <c r="M23700" s="11"/>
      <c r="N23700" s="11"/>
      <c r="O23700" s="11"/>
      <c r="P23700" s="11"/>
    </row>
    <row r="23701" spans="8:16" x14ac:dyDescent="0.25">
      <c r="H23701" s="12"/>
      <c r="I23701" s="12"/>
      <c r="J23701" s="12"/>
      <c r="K23701" s="12"/>
      <c r="L23701" s="12"/>
      <c r="M23701" s="11"/>
      <c r="N23701" s="11"/>
      <c r="O23701" s="11"/>
      <c r="P23701" s="11"/>
    </row>
    <row r="23702" spans="8:16" x14ac:dyDescent="0.25">
      <c r="H23702" s="12"/>
      <c r="I23702" s="12"/>
      <c r="J23702" s="12"/>
      <c r="K23702" s="12"/>
      <c r="L23702" s="12"/>
      <c r="M23702" s="11"/>
      <c r="N23702" s="11"/>
      <c r="O23702" s="11"/>
      <c r="P23702" s="11"/>
    </row>
    <row r="23703" spans="8:16" x14ac:dyDescent="0.25">
      <c r="H23703" s="12"/>
      <c r="I23703" s="12"/>
      <c r="J23703" s="12"/>
      <c r="K23703" s="12"/>
      <c r="L23703" s="12"/>
      <c r="M23703" s="11"/>
      <c r="N23703" s="11"/>
      <c r="O23703" s="11"/>
      <c r="P23703" s="11"/>
    </row>
    <row r="23704" spans="8:16" x14ac:dyDescent="0.25">
      <c r="H23704" s="12"/>
      <c r="I23704" s="12"/>
      <c r="J23704" s="12"/>
      <c r="K23704" s="12"/>
      <c r="L23704" s="12"/>
      <c r="M23704" s="11"/>
      <c r="N23704" s="11"/>
      <c r="O23704" s="11"/>
      <c r="P23704" s="11"/>
    </row>
    <row r="23705" spans="8:16" x14ac:dyDescent="0.25">
      <c r="H23705" s="12"/>
      <c r="I23705" s="12"/>
      <c r="J23705" s="12"/>
      <c r="K23705" s="12"/>
      <c r="L23705" s="12"/>
      <c r="M23705" s="11"/>
      <c r="N23705" s="11"/>
      <c r="O23705" s="11"/>
      <c r="P23705" s="11"/>
    </row>
    <row r="23706" spans="8:16" x14ac:dyDescent="0.25">
      <c r="H23706" s="12"/>
      <c r="I23706" s="12"/>
      <c r="J23706" s="12"/>
      <c r="K23706" s="12"/>
      <c r="L23706" s="12"/>
      <c r="M23706" s="11"/>
      <c r="N23706" s="11"/>
      <c r="O23706" s="11"/>
      <c r="P23706" s="11"/>
    </row>
    <row r="23707" spans="8:16" x14ac:dyDescent="0.25">
      <c r="H23707" s="12"/>
      <c r="I23707" s="12"/>
      <c r="J23707" s="12"/>
      <c r="K23707" s="12"/>
      <c r="L23707" s="12"/>
      <c r="M23707" s="11"/>
      <c r="N23707" s="11"/>
      <c r="O23707" s="11"/>
      <c r="P23707" s="11"/>
    </row>
    <row r="23708" spans="8:16" x14ac:dyDescent="0.25">
      <c r="H23708" s="12"/>
      <c r="I23708" s="12"/>
      <c r="J23708" s="12"/>
      <c r="K23708" s="12"/>
      <c r="L23708" s="12"/>
      <c r="M23708" s="11"/>
      <c r="N23708" s="11"/>
      <c r="O23708" s="11"/>
      <c r="P23708" s="11"/>
    </row>
    <row r="23709" spans="8:16" x14ac:dyDescent="0.25">
      <c r="H23709" s="12"/>
      <c r="I23709" s="12"/>
      <c r="J23709" s="12"/>
      <c r="K23709" s="12"/>
      <c r="L23709" s="12"/>
      <c r="M23709" s="11"/>
      <c r="N23709" s="11"/>
      <c r="O23709" s="11"/>
      <c r="P23709" s="11"/>
    </row>
    <row r="23710" spans="8:16" x14ac:dyDescent="0.25">
      <c r="H23710" s="12"/>
      <c r="I23710" s="12"/>
      <c r="J23710" s="12"/>
      <c r="K23710" s="12"/>
      <c r="L23710" s="12"/>
      <c r="M23710" s="11"/>
      <c r="N23710" s="11"/>
      <c r="O23710" s="11"/>
      <c r="P23710" s="11"/>
    </row>
    <row r="23711" spans="8:16" x14ac:dyDescent="0.25">
      <c r="H23711" s="12"/>
      <c r="I23711" s="12"/>
      <c r="J23711" s="12"/>
      <c r="K23711" s="12"/>
      <c r="L23711" s="12"/>
      <c r="M23711" s="11"/>
      <c r="N23711" s="11"/>
      <c r="O23711" s="11"/>
      <c r="P23711" s="11"/>
    </row>
    <row r="23712" spans="8:16" x14ac:dyDescent="0.25">
      <c r="H23712" s="12"/>
      <c r="I23712" s="12"/>
      <c r="J23712" s="12"/>
      <c r="K23712" s="12"/>
      <c r="L23712" s="12"/>
      <c r="M23712" s="11"/>
      <c r="N23712" s="11"/>
      <c r="O23712" s="11"/>
      <c r="P23712" s="11"/>
    </row>
    <row r="23713" spans="8:16" x14ac:dyDescent="0.25">
      <c r="H23713" s="12"/>
      <c r="I23713" s="12"/>
      <c r="J23713" s="12"/>
      <c r="K23713" s="12"/>
      <c r="L23713" s="12"/>
      <c r="M23713" s="11"/>
      <c r="N23713" s="11"/>
      <c r="O23713" s="11"/>
      <c r="P23713" s="11"/>
    </row>
    <row r="23714" spans="8:16" x14ac:dyDescent="0.25">
      <c r="H23714" s="12"/>
      <c r="I23714" s="12"/>
      <c r="J23714" s="12"/>
      <c r="K23714" s="12"/>
      <c r="L23714" s="12"/>
      <c r="M23714" s="11"/>
      <c r="N23714" s="11"/>
      <c r="O23714" s="11"/>
      <c r="P23714" s="11"/>
    </row>
    <row r="23715" spans="8:16" x14ac:dyDescent="0.25">
      <c r="H23715" s="12"/>
      <c r="I23715" s="12"/>
      <c r="J23715" s="12"/>
      <c r="K23715" s="12"/>
      <c r="L23715" s="12"/>
      <c r="M23715" s="11"/>
      <c r="N23715" s="11"/>
      <c r="O23715" s="11"/>
      <c r="P23715" s="11"/>
    </row>
    <row r="23716" spans="8:16" x14ac:dyDescent="0.25">
      <c r="H23716" s="12"/>
      <c r="I23716" s="12"/>
      <c r="J23716" s="12"/>
      <c r="K23716" s="12"/>
      <c r="L23716" s="12"/>
      <c r="M23716" s="11"/>
      <c r="N23716" s="11"/>
      <c r="O23716" s="11"/>
      <c r="P23716" s="11"/>
    </row>
    <row r="23717" spans="8:16" x14ac:dyDescent="0.25">
      <c r="H23717" s="12"/>
      <c r="I23717" s="12"/>
      <c r="J23717" s="12"/>
      <c r="K23717" s="12"/>
      <c r="L23717" s="12"/>
      <c r="M23717" s="11"/>
      <c r="N23717" s="11"/>
      <c r="O23717" s="11"/>
      <c r="P23717" s="11"/>
    </row>
    <row r="23718" spans="8:16" x14ac:dyDescent="0.25">
      <c r="H23718" s="12"/>
      <c r="I23718" s="12"/>
      <c r="J23718" s="12"/>
      <c r="K23718" s="12"/>
      <c r="L23718" s="12"/>
      <c r="M23718" s="11"/>
      <c r="N23718" s="11"/>
      <c r="O23718" s="11"/>
      <c r="P23718" s="11"/>
    </row>
    <row r="23719" spans="8:16" x14ac:dyDescent="0.25">
      <c r="H23719" s="12"/>
      <c r="I23719" s="12"/>
      <c r="J23719" s="12"/>
      <c r="K23719" s="12"/>
      <c r="L23719" s="12"/>
      <c r="M23719" s="11"/>
      <c r="N23719" s="11"/>
      <c r="O23719" s="11"/>
      <c r="P23719" s="11"/>
    </row>
    <row r="23720" spans="8:16" x14ac:dyDescent="0.25">
      <c r="H23720" s="12"/>
      <c r="I23720" s="12"/>
      <c r="J23720" s="12"/>
      <c r="K23720" s="12"/>
      <c r="L23720" s="12"/>
      <c r="M23720" s="11"/>
      <c r="N23720" s="11"/>
      <c r="O23720" s="11"/>
      <c r="P23720" s="11"/>
    </row>
    <row r="23721" spans="8:16" x14ac:dyDescent="0.25">
      <c r="H23721" s="12"/>
      <c r="I23721" s="12"/>
      <c r="J23721" s="12"/>
      <c r="K23721" s="12"/>
      <c r="L23721" s="12"/>
      <c r="M23721" s="11"/>
      <c r="N23721" s="11"/>
      <c r="O23721" s="11"/>
      <c r="P23721" s="11"/>
    </row>
    <row r="23722" spans="8:16" x14ac:dyDescent="0.25">
      <c r="H23722" s="12"/>
      <c r="I23722" s="12"/>
      <c r="J23722" s="12"/>
      <c r="K23722" s="12"/>
      <c r="L23722" s="12"/>
      <c r="M23722" s="11"/>
      <c r="N23722" s="11"/>
      <c r="O23722" s="11"/>
      <c r="P23722" s="11"/>
    </row>
    <row r="23723" spans="8:16" x14ac:dyDescent="0.25">
      <c r="H23723" s="12"/>
      <c r="I23723" s="12"/>
      <c r="J23723" s="12"/>
      <c r="K23723" s="12"/>
      <c r="L23723" s="12"/>
      <c r="M23723" s="11"/>
      <c r="N23723" s="11"/>
      <c r="O23723" s="11"/>
      <c r="P23723" s="11"/>
    </row>
    <row r="23724" spans="8:16" x14ac:dyDescent="0.25">
      <c r="H23724" s="12"/>
      <c r="I23724" s="12"/>
      <c r="J23724" s="12"/>
      <c r="K23724" s="12"/>
      <c r="L23724" s="12"/>
      <c r="M23724" s="11"/>
      <c r="N23724" s="11"/>
      <c r="O23724" s="11"/>
      <c r="P23724" s="11"/>
    </row>
    <row r="23725" spans="8:16" x14ac:dyDescent="0.25">
      <c r="H23725" s="12"/>
      <c r="I23725" s="12"/>
      <c r="J23725" s="12"/>
      <c r="K23725" s="12"/>
      <c r="L23725" s="12"/>
      <c r="M23725" s="11"/>
      <c r="N23725" s="11"/>
      <c r="O23725" s="11"/>
      <c r="P23725" s="11"/>
    </row>
    <row r="23726" spans="8:16" x14ac:dyDescent="0.25">
      <c r="H23726" s="12"/>
      <c r="I23726" s="12"/>
      <c r="J23726" s="12"/>
      <c r="K23726" s="12"/>
      <c r="L23726" s="12"/>
      <c r="M23726" s="11"/>
      <c r="N23726" s="11"/>
      <c r="O23726" s="11"/>
      <c r="P23726" s="11"/>
    </row>
    <row r="23727" spans="8:16" x14ac:dyDescent="0.25">
      <c r="H23727" s="12"/>
      <c r="I23727" s="12"/>
      <c r="J23727" s="12"/>
      <c r="K23727" s="12"/>
      <c r="L23727" s="12"/>
      <c r="M23727" s="11"/>
      <c r="N23727" s="11"/>
      <c r="O23727" s="11"/>
      <c r="P23727" s="11"/>
    </row>
    <row r="23728" spans="8:16" x14ac:dyDescent="0.25">
      <c r="H23728" s="12"/>
      <c r="I23728" s="12"/>
      <c r="J23728" s="12"/>
      <c r="K23728" s="12"/>
      <c r="L23728" s="12"/>
      <c r="M23728" s="11"/>
      <c r="N23728" s="11"/>
      <c r="O23728" s="11"/>
      <c r="P23728" s="11"/>
    </row>
    <row r="23729" spans="8:16" x14ac:dyDescent="0.25">
      <c r="H23729" s="12"/>
      <c r="I23729" s="12"/>
      <c r="J23729" s="12"/>
      <c r="K23729" s="12"/>
      <c r="L23729" s="12"/>
      <c r="M23729" s="11"/>
      <c r="N23729" s="11"/>
      <c r="O23729" s="11"/>
      <c r="P23729" s="11"/>
    </row>
    <row r="23730" spans="8:16" x14ac:dyDescent="0.25">
      <c r="H23730" s="12"/>
      <c r="I23730" s="12"/>
      <c r="J23730" s="12"/>
      <c r="K23730" s="12"/>
      <c r="L23730" s="12"/>
      <c r="M23730" s="11"/>
      <c r="N23730" s="11"/>
      <c r="O23730" s="11"/>
      <c r="P23730" s="11"/>
    </row>
    <row r="23731" spans="8:16" x14ac:dyDescent="0.25">
      <c r="H23731" s="12"/>
      <c r="I23731" s="12"/>
      <c r="J23731" s="12"/>
      <c r="K23731" s="12"/>
      <c r="L23731" s="12"/>
      <c r="M23731" s="11"/>
      <c r="N23731" s="11"/>
      <c r="O23731" s="11"/>
      <c r="P23731" s="11"/>
    </row>
    <row r="23732" spans="8:16" x14ac:dyDescent="0.25">
      <c r="H23732" s="12"/>
      <c r="I23732" s="12"/>
      <c r="J23732" s="12"/>
      <c r="K23732" s="12"/>
      <c r="L23732" s="12"/>
      <c r="M23732" s="11"/>
      <c r="N23732" s="11"/>
      <c r="O23732" s="11"/>
      <c r="P23732" s="11"/>
    </row>
    <row r="23733" spans="8:16" x14ac:dyDescent="0.25">
      <c r="H23733" s="12"/>
      <c r="I23733" s="12"/>
      <c r="J23733" s="12"/>
      <c r="K23733" s="12"/>
      <c r="L23733" s="12"/>
      <c r="M23733" s="11"/>
      <c r="N23733" s="11"/>
      <c r="O23733" s="11"/>
      <c r="P23733" s="11"/>
    </row>
    <row r="23734" spans="8:16" x14ac:dyDescent="0.25">
      <c r="H23734" s="12"/>
      <c r="I23734" s="12"/>
      <c r="J23734" s="12"/>
      <c r="K23734" s="12"/>
      <c r="L23734" s="12"/>
      <c r="M23734" s="11"/>
      <c r="N23734" s="11"/>
      <c r="O23734" s="11"/>
      <c r="P23734" s="11"/>
    </row>
    <row r="23735" spans="8:16" x14ac:dyDescent="0.25">
      <c r="H23735" s="12"/>
      <c r="I23735" s="12"/>
      <c r="J23735" s="12"/>
      <c r="K23735" s="12"/>
      <c r="L23735" s="12"/>
      <c r="M23735" s="11"/>
      <c r="N23735" s="11"/>
      <c r="O23735" s="11"/>
      <c r="P23735" s="11"/>
    </row>
    <row r="23736" spans="8:16" x14ac:dyDescent="0.25">
      <c r="H23736" s="12"/>
      <c r="I23736" s="12"/>
      <c r="J23736" s="12"/>
      <c r="K23736" s="12"/>
      <c r="L23736" s="12"/>
      <c r="M23736" s="11"/>
      <c r="N23736" s="11"/>
      <c r="O23736" s="11"/>
      <c r="P23736" s="11"/>
    </row>
    <row r="23737" spans="8:16" x14ac:dyDescent="0.25">
      <c r="H23737" s="12"/>
      <c r="I23737" s="12"/>
      <c r="J23737" s="12"/>
      <c r="K23737" s="12"/>
      <c r="L23737" s="12"/>
      <c r="M23737" s="11"/>
      <c r="N23737" s="11"/>
      <c r="O23737" s="11"/>
      <c r="P23737" s="11"/>
    </row>
    <row r="23738" spans="8:16" x14ac:dyDescent="0.25">
      <c r="H23738" s="12"/>
      <c r="I23738" s="12"/>
      <c r="J23738" s="12"/>
      <c r="K23738" s="12"/>
      <c r="L23738" s="12"/>
      <c r="M23738" s="11"/>
      <c r="N23738" s="11"/>
      <c r="O23738" s="11"/>
      <c r="P23738" s="11"/>
    </row>
    <row r="23739" spans="8:16" x14ac:dyDescent="0.25">
      <c r="H23739" s="12"/>
      <c r="I23739" s="12"/>
      <c r="J23739" s="12"/>
      <c r="K23739" s="12"/>
      <c r="L23739" s="12"/>
      <c r="M23739" s="11"/>
      <c r="N23739" s="11"/>
      <c r="O23739" s="11"/>
      <c r="P23739" s="11"/>
    </row>
    <row r="23740" spans="8:16" x14ac:dyDescent="0.25">
      <c r="H23740" s="12"/>
      <c r="I23740" s="12"/>
      <c r="J23740" s="12"/>
      <c r="K23740" s="12"/>
      <c r="L23740" s="12"/>
      <c r="M23740" s="11"/>
      <c r="N23740" s="11"/>
      <c r="O23740" s="11"/>
      <c r="P23740" s="11"/>
    </row>
    <row r="23741" spans="8:16" x14ac:dyDescent="0.25">
      <c r="H23741" s="12"/>
      <c r="I23741" s="12"/>
      <c r="J23741" s="12"/>
      <c r="K23741" s="12"/>
      <c r="L23741" s="12"/>
      <c r="M23741" s="11"/>
      <c r="N23741" s="11"/>
      <c r="O23741" s="11"/>
      <c r="P23741" s="11"/>
    </row>
    <row r="23742" spans="8:16" x14ac:dyDescent="0.25">
      <c r="H23742" s="12"/>
      <c r="I23742" s="12"/>
      <c r="J23742" s="12"/>
      <c r="K23742" s="12"/>
      <c r="L23742" s="12"/>
      <c r="M23742" s="11"/>
      <c r="N23742" s="11"/>
      <c r="O23742" s="11"/>
      <c r="P23742" s="11"/>
    </row>
    <row r="23743" spans="8:16" x14ac:dyDescent="0.25">
      <c r="H23743" s="12"/>
      <c r="I23743" s="12"/>
      <c r="J23743" s="12"/>
      <c r="K23743" s="12"/>
      <c r="L23743" s="12"/>
      <c r="M23743" s="11"/>
      <c r="N23743" s="11"/>
      <c r="O23743" s="11"/>
      <c r="P23743" s="11"/>
    </row>
    <row r="23744" spans="8:16" x14ac:dyDescent="0.25">
      <c r="H23744" s="12"/>
      <c r="I23744" s="12"/>
      <c r="J23744" s="12"/>
      <c r="K23744" s="12"/>
      <c r="L23744" s="12"/>
      <c r="M23744" s="11"/>
      <c r="N23744" s="11"/>
      <c r="O23744" s="11"/>
      <c r="P23744" s="11"/>
    </row>
    <row r="23745" spans="8:16" x14ac:dyDescent="0.25">
      <c r="H23745" s="12"/>
      <c r="I23745" s="12"/>
      <c r="J23745" s="12"/>
      <c r="K23745" s="12"/>
      <c r="L23745" s="12"/>
      <c r="M23745" s="11"/>
      <c r="N23745" s="11"/>
      <c r="O23745" s="11"/>
      <c r="P23745" s="11"/>
    </row>
    <row r="23746" spans="8:16" x14ac:dyDescent="0.25">
      <c r="H23746" s="12"/>
      <c r="I23746" s="12"/>
      <c r="J23746" s="12"/>
      <c r="K23746" s="12"/>
      <c r="L23746" s="12"/>
      <c r="M23746" s="11"/>
      <c r="N23746" s="11"/>
      <c r="O23746" s="11"/>
      <c r="P23746" s="11"/>
    </row>
    <row r="23747" spans="8:16" x14ac:dyDescent="0.25">
      <c r="H23747" s="12"/>
      <c r="I23747" s="12"/>
      <c r="J23747" s="12"/>
      <c r="K23747" s="12"/>
      <c r="L23747" s="12"/>
      <c r="M23747" s="11"/>
      <c r="N23747" s="11"/>
      <c r="O23747" s="11"/>
      <c r="P23747" s="11"/>
    </row>
    <row r="23748" spans="8:16" x14ac:dyDescent="0.25">
      <c r="H23748" s="12"/>
      <c r="I23748" s="12"/>
      <c r="J23748" s="12"/>
      <c r="K23748" s="12"/>
      <c r="L23748" s="12"/>
      <c r="M23748" s="11"/>
      <c r="N23748" s="11"/>
      <c r="O23748" s="11"/>
      <c r="P23748" s="11"/>
    </row>
    <row r="23749" spans="8:16" x14ac:dyDescent="0.25">
      <c r="H23749" s="12"/>
      <c r="I23749" s="12"/>
      <c r="J23749" s="12"/>
      <c r="K23749" s="12"/>
      <c r="L23749" s="12"/>
      <c r="M23749" s="11"/>
      <c r="N23749" s="11"/>
      <c r="O23749" s="11"/>
      <c r="P23749" s="11"/>
    </row>
    <row r="23750" spans="8:16" x14ac:dyDescent="0.25">
      <c r="H23750" s="12"/>
      <c r="I23750" s="12"/>
      <c r="J23750" s="12"/>
      <c r="K23750" s="12"/>
      <c r="L23750" s="12"/>
      <c r="M23750" s="11"/>
      <c r="N23750" s="11"/>
      <c r="O23750" s="11"/>
      <c r="P23750" s="11"/>
    </row>
    <row r="23751" spans="8:16" x14ac:dyDescent="0.25">
      <c r="H23751" s="12"/>
      <c r="I23751" s="12"/>
      <c r="J23751" s="12"/>
      <c r="K23751" s="12"/>
      <c r="L23751" s="12"/>
      <c r="M23751" s="11"/>
      <c r="N23751" s="11"/>
      <c r="O23751" s="11"/>
      <c r="P23751" s="11"/>
    </row>
    <row r="23752" spans="8:16" x14ac:dyDescent="0.25">
      <c r="H23752" s="12"/>
      <c r="I23752" s="12"/>
      <c r="J23752" s="12"/>
      <c r="K23752" s="12"/>
      <c r="L23752" s="12"/>
      <c r="M23752" s="11"/>
      <c r="N23752" s="11"/>
      <c r="O23752" s="11"/>
      <c r="P23752" s="11"/>
    </row>
    <row r="23753" spans="8:16" x14ac:dyDescent="0.25">
      <c r="H23753" s="12"/>
      <c r="I23753" s="12"/>
      <c r="J23753" s="12"/>
      <c r="K23753" s="12"/>
      <c r="L23753" s="12"/>
      <c r="M23753" s="11"/>
      <c r="N23753" s="11"/>
      <c r="O23753" s="11"/>
      <c r="P23753" s="11"/>
    </row>
    <row r="23754" spans="8:16" x14ac:dyDescent="0.25">
      <c r="H23754" s="12"/>
      <c r="I23754" s="12"/>
      <c r="J23754" s="12"/>
      <c r="K23754" s="12"/>
      <c r="L23754" s="12"/>
      <c r="M23754" s="11"/>
      <c r="N23754" s="11"/>
      <c r="O23754" s="11"/>
      <c r="P23754" s="11"/>
    </row>
    <row r="23755" spans="8:16" x14ac:dyDescent="0.25">
      <c r="H23755" s="12"/>
      <c r="I23755" s="12"/>
      <c r="J23755" s="12"/>
      <c r="K23755" s="12"/>
      <c r="L23755" s="12"/>
      <c r="M23755" s="11"/>
      <c r="N23755" s="11"/>
      <c r="O23755" s="11"/>
      <c r="P23755" s="11"/>
    </row>
    <row r="23756" spans="8:16" x14ac:dyDescent="0.25">
      <c r="H23756" s="12"/>
      <c r="I23756" s="12"/>
      <c r="J23756" s="12"/>
      <c r="K23756" s="12"/>
      <c r="L23756" s="12"/>
      <c r="M23756" s="11"/>
      <c r="N23756" s="11"/>
      <c r="O23756" s="11"/>
      <c r="P23756" s="11"/>
    </row>
    <row r="23757" spans="8:16" x14ac:dyDescent="0.25">
      <c r="H23757" s="12"/>
      <c r="I23757" s="12"/>
      <c r="J23757" s="12"/>
      <c r="K23757" s="12"/>
      <c r="L23757" s="12"/>
      <c r="M23757" s="11"/>
      <c r="N23757" s="11"/>
      <c r="O23757" s="11"/>
      <c r="P23757" s="11"/>
    </row>
    <row r="23758" spans="8:16" x14ac:dyDescent="0.25">
      <c r="H23758" s="12"/>
      <c r="I23758" s="12"/>
      <c r="J23758" s="12"/>
      <c r="K23758" s="12"/>
      <c r="L23758" s="12"/>
      <c r="M23758" s="11"/>
      <c r="N23758" s="11"/>
      <c r="O23758" s="11"/>
      <c r="P23758" s="11"/>
    </row>
    <row r="23759" spans="8:16" x14ac:dyDescent="0.25">
      <c r="H23759" s="12"/>
      <c r="I23759" s="12"/>
      <c r="J23759" s="12"/>
      <c r="K23759" s="12"/>
      <c r="L23759" s="12"/>
      <c r="M23759" s="11"/>
      <c r="N23759" s="11"/>
      <c r="O23759" s="11"/>
      <c r="P23759" s="11"/>
    </row>
    <row r="23760" spans="8:16" x14ac:dyDescent="0.25">
      <c r="H23760" s="12"/>
      <c r="I23760" s="12"/>
      <c r="J23760" s="12"/>
      <c r="K23760" s="12"/>
      <c r="L23760" s="12"/>
      <c r="M23760" s="11"/>
      <c r="N23760" s="11"/>
      <c r="O23760" s="11"/>
      <c r="P23760" s="11"/>
    </row>
    <row r="23761" spans="8:16" x14ac:dyDescent="0.25">
      <c r="H23761" s="12"/>
      <c r="I23761" s="12"/>
      <c r="J23761" s="12"/>
      <c r="K23761" s="12"/>
      <c r="L23761" s="12"/>
      <c r="M23761" s="11"/>
      <c r="N23761" s="11"/>
      <c r="O23761" s="11"/>
      <c r="P23761" s="11"/>
    </row>
    <row r="23762" spans="8:16" x14ac:dyDescent="0.25">
      <c r="H23762" s="12"/>
      <c r="I23762" s="12"/>
      <c r="J23762" s="12"/>
      <c r="K23762" s="12"/>
      <c r="L23762" s="12"/>
      <c r="M23762" s="11"/>
      <c r="N23762" s="11"/>
      <c r="O23762" s="11"/>
      <c r="P23762" s="11"/>
    </row>
    <row r="23763" spans="8:16" x14ac:dyDescent="0.25">
      <c r="H23763" s="12"/>
      <c r="I23763" s="12"/>
      <c r="J23763" s="12"/>
      <c r="K23763" s="12"/>
      <c r="L23763" s="12"/>
      <c r="M23763" s="11"/>
      <c r="N23763" s="11"/>
      <c r="O23763" s="11"/>
      <c r="P23763" s="11"/>
    </row>
    <row r="23764" spans="8:16" x14ac:dyDescent="0.25">
      <c r="H23764" s="12"/>
      <c r="I23764" s="12"/>
      <c r="J23764" s="12"/>
      <c r="K23764" s="12"/>
      <c r="L23764" s="12"/>
      <c r="M23764" s="11"/>
      <c r="N23764" s="11"/>
      <c r="O23764" s="11"/>
      <c r="P23764" s="11"/>
    </row>
    <row r="23765" spans="8:16" x14ac:dyDescent="0.25">
      <c r="H23765" s="12"/>
      <c r="I23765" s="12"/>
      <c r="J23765" s="12"/>
      <c r="K23765" s="12"/>
      <c r="L23765" s="12"/>
      <c r="M23765" s="11"/>
      <c r="N23765" s="11"/>
      <c r="O23765" s="11"/>
      <c r="P23765" s="11"/>
    </row>
    <row r="23766" spans="8:16" x14ac:dyDescent="0.25">
      <c r="H23766" s="12"/>
      <c r="I23766" s="12"/>
      <c r="J23766" s="12"/>
      <c r="K23766" s="12"/>
      <c r="L23766" s="12"/>
      <c r="M23766" s="11"/>
      <c r="N23766" s="11"/>
      <c r="O23766" s="11"/>
      <c r="P23766" s="11"/>
    </row>
    <row r="23767" spans="8:16" x14ac:dyDescent="0.25">
      <c r="H23767" s="12"/>
      <c r="I23767" s="12"/>
      <c r="J23767" s="12"/>
      <c r="K23767" s="12"/>
      <c r="L23767" s="12"/>
      <c r="M23767" s="11"/>
      <c r="N23767" s="11"/>
      <c r="O23767" s="11"/>
      <c r="P23767" s="11"/>
    </row>
    <row r="23768" spans="8:16" x14ac:dyDescent="0.25">
      <c r="H23768" s="12"/>
      <c r="I23768" s="12"/>
      <c r="J23768" s="12"/>
      <c r="K23768" s="12"/>
      <c r="L23768" s="12"/>
      <c r="M23768" s="11"/>
      <c r="N23768" s="11"/>
      <c r="O23768" s="11"/>
      <c r="P23768" s="11"/>
    </row>
    <row r="23769" spans="8:16" x14ac:dyDescent="0.25">
      <c r="H23769" s="12"/>
      <c r="I23769" s="12"/>
      <c r="J23769" s="12"/>
      <c r="K23769" s="12"/>
      <c r="L23769" s="12"/>
      <c r="M23769" s="11"/>
      <c r="N23769" s="11"/>
      <c r="O23769" s="11"/>
      <c r="P23769" s="11"/>
    </row>
    <row r="23770" spans="8:16" x14ac:dyDescent="0.25">
      <c r="H23770" s="12"/>
      <c r="I23770" s="12"/>
      <c r="J23770" s="12"/>
      <c r="K23770" s="12"/>
      <c r="L23770" s="12"/>
      <c r="M23770" s="11"/>
      <c r="N23770" s="11"/>
      <c r="O23770" s="11"/>
      <c r="P23770" s="11"/>
    </row>
    <row r="23771" spans="8:16" x14ac:dyDescent="0.25">
      <c r="H23771" s="12"/>
      <c r="I23771" s="12"/>
      <c r="J23771" s="12"/>
      <c r="K23771" s="12"/>
      <c r="L23771" s="12"/>
      <c r="M23771" s="11"/>
      <c r="N23771" s="11"/>
      <c r="O23771" s="11"/>
      <c r="P23771" s="11"/>
    </row>
    <row r="23772" spans="8:16" x14ac:dyDescent="0.25">
      <c r="H23772" s="12"/>
      <c r="I23772" s="12"/>
      <c r="J23772" s="12"/>
      <c r="K23772" s="12"/>
      <c r="L23772" s="12"/>
      <c r="M23772" s="11"/>
      <c r="N23772" s="11"/>
      <c r="O23772" s="11"/>
      <c r="P23772" s="11"/>
    </row>
    <row r="23773" spans="8:16" x14ac:dyDescent="0.25">
      <c r="H23773" s="12"/>
      <c r="I23773" s="12"/>
      <c r="J23773" s="12"/>
      <c r="K23773" s="12"/>
      <c r="L23773" s="12"/>
      <c r="M23773" s="11"/>
      <c r="N23773" s="11"/>
      <c r="O23773" s="11"/>
      <c r="P23773" s="11"/>
    </row>
    <row r="23774" spans="8:16" x14ac:dyDescent="0.25">
      <c r="H23774" s="12"/>
      <c r="I23774" s="12"/>
      <c r="J23774" s="12"/>
      <c r="K23774" s="12"/>
      <c r="L23774" s="12"/>
      <c r="M23774" s="11"/>
      <c r="N23774" s="11"/>
      <c r="O23774" s="11"/>
      <c r="P23774" s="11"/>
    </row>
    <row r="23775" spans="8:16" x14ac:dyDescent="0.25">
      <c r="H23775" s="12"/>
      <c r="I23775" s="12"/>
      <c r="J23775" s="12"/>
      <c r="K23775" s="12"/>
      <c r="L23775" s="12"/>
      <c r="M23775" s="11"/>
      <c r="N23775" s="11"/>
      <c r="O23775" s="11"/>
      <c r="P23775" s="11"/>
    </row>
    <row r="23776" spans="8:16" x14ac:dyDescent="0.25">
      <c r="H23776" s="12"/>
      <c r="I23776" s="12"/>
      <c r="J23776" s="12"/>
      <c r="K23776" s="12"/>
      <c r="L23776" s="12"/>
      <c r="M23776" s="11"/>
      <c r="N23776" s="11"/>
      <c r="O23776" s="11"/>
      <c r="P23776" s="11"/>
    </row>
    <row r="23777" spans="8:16" x14ac:dyDescent="0.25">
      <c r="H23777" s="12"/>
      <c r="I23777" s="12"/>
      <c r="J23777" s="12"/>
      <c r="K23777" s="12"/>
      <c r="L23777" s="12"/>
      <c r="M23777" s="11"/>
      <c r="N23777" s="11"/>
      <c r="O23777" s="11"/>
      <c r="P23777" s="11"/>
    </row>
    <row r="23778" spans="8:16" x14ac:dyDescent="0.25">
      <c r="H23778" s="12"/>
      <c r="I23778" s="12"/>
      <c r="J23778" s="12"/>
      <c r="K23778" s="12"/>
      <c r="L23778" s="12"/>
      <c r="M23778" s="11"/>
      <c r="N23778" s="11"/>
      <c r="O23778" s="11"/>
      <c r="P23778" s="11"/>
    </row>
    <row r="23779" spans="8:16" x14ac:dyDescent="0.25">
      <c r="H23779" s="12"/>
      <c r="I23779" s="12"/>
      <c r="J23779" s="12"/>
      <c r="K23779" s="12"/>
      <c r="L23779" s="12"/>
      <c r="M23779" s="11"/>
      <c r="N23779" s="11"/>
      <c r="O23779" s="11"/>
      <c r="P23779" s="11"/>
    </row>
    <row r="23780" spans="8:16" x14ac:dyDescent="0.25">
      <c r="H23780" s="12"/>
      <c r="I23780" s="12"/>
      <c r="J23780" s="12"/>
      <c r="K23780" s="12"/>
      <c r="L23780" s="12"/>
      <c r="M23780" s="11"/>
      <c r="N23780" s="11"/>
      <c r="O23780" s="11"/>
      <c r="P23780" s="11"/>
    </row>
    <row r="23781" spans="8:16" x14ac:dyDescent="0.25">
      <c r="H23781" s="12"/>
      <c r="I23781" s="12"/>
      <c r="J23781" s="12"/>
      <c r="K23781" s="12"/>
      <c r="L23781" s="12"/>
      <c r="M23781" s="11"/>
      <c r="N23781" s="11"/>
      <c r="O23781" s="11"/>
      <c r="P23781" s="11"/>
    </row>
    <row r="23782" spans="8:16" x14ac:dyDescent="0.25">
      <c r="H23782" s="12"/>
      <c r="I23782" s="12"/>
      <c r="J23782" s="12"/>
      <c r="K23782" s="12"/>
      <c r="L23782" s="12"/>
      <c r="M23782" s="11"/>
      <c r="N23782" s="11"/>
      <c r="O23782" s="11"/>
      <c r="P23782" s="11"/>
    </row>
    <row r="23783" spans="8:16" x14ac:dyDescent="0.25">
      <c r="H23783" s="12"/>
      <c r="I23783" s="12"/>
      <c r="J23783" s="12"/>
      <c r="K23783" s="12"/>
      <c r="L23783" s="12"/>
      <c r="M23783" s="11"/>
      <c r="N23783" s="11"/>
      <c r="O23783" s="11"/>
      <c r="P23783" s="11"/>
    </row>
    <row r="23784" spans="8:16" x14ac:dyDescent="0.25">
      <c r="H23784" s="12"/>
      <c r="I23784" s="12"/>
      <c r="J23784" s="12"/>
      <c r="K23784" s="12"/>
      <c r="L23784" s="12"/>
      <c r="M23784" s="11"/>
      <c r="N23784" s="11"/>
      <c r="O23784" s="11"/>
      <c r="P23784" s="11"/>
    </row>
    <row r="23785" spans="8:16" x14ac:dyDescent="0.25">
      <c r="H23785" s="12"/>
      <c r="I23785" s="12"/>
      <c r="J23785" s="12"/>
      <c r="K23785" s="12"/>
      <c r="L23785" s="12"/>
      <c r="M23785" s="11"/>
      <c r="N23785" s="11"/>
      <c r="O23785" s="11"/>
      <c r="P23785" s="11"/>
    </row>
    <row r="23786" spans="8:16" x14ac:dyDescent="0.25">
      <c r="H23786" s="12"/>
      <c r="I23786" s="12"/>
      <c r="J23786" s="12"/>
      <c r="K23786" s="12"/>
      <c r="L23786" s="12"/>
      <c r="M23786" s="11"/>
      <c r="N23786" s="11"/>
      <c r="O23786" s="11"/>
      <c r="P23786" s="11"/>
    </row>
    <row r="23787" spans="8:16" x14ac:dyDescent="0.25">
      <c r="H23787" s="12"/>
      <c r="I23787" s="12"/>
      <c r="J23787" s="12"/>
      <c r="K23787" s="12"/>
      <c r="L23787" s="12"/>
      <c r="M23787" s="11"/>
      <c r="N23787" s="11"/>
      <c r="O23787" s="11"/>
      <c r="P23787" s="11"/>
    </row>
    <row r="23788" spans="8:16" x14ac:dyDescent="0.25">
      <c r="H23788" s="12"/>
      <c r="I23788" s="12"/>
      <c r="J23788" s="12"/>
      <c r="K23788" s="12"/>
      <c r="L23788" s="12"/>
      <c r="M23788" s="11"/>
      <c r="N23788" s="11"/>
      <c r="O23788" s="11"/>
      <c r="P23788" s="11"/>
    </row>
    <row r="23789" spans="8:16" x14ac:dyDescent="0.25">
      <c r="H23789" s="12"/>
      <c r="I23789" s="12"/>
      <c r="J23789" s="12"/>
      <c r="K23789" s="12"/>
      <c r="L23789" s="12"/>
      <c r="M23789" s="11"/>
      <c r="N23789" s="11"/>
      <c r="O23789" s="11"/>
      <c r="P23789" s="11"/>
    </row>
    <row r="23790" spans="8:16" x14ac:dyDescent="0.25">
      <c r="H23790" s="12"/>
      <c r="I23790" s="12"/>
      <c r="J23790" s="12"/>
      <c r="K23790" s="12"/>
      <c r="L23790" s="12"/>
      <c r="M23790" s="11"/>
      <c r="N23790" s="11"/>
      <c r="O23790" s="11"/>
      <c r="P23790" s="11"/>
    </row>
    <row r="23791" spans="8:16" x14ac:dyDescent="0.25">
      <c r="H23791" s="12"/>
      <c r="I23791" s="12"/>
      <c r="J23791" s="12"/>
      <c r="K23791" s="12"/>
      <c r="L23791" s="12"/>
      <c r="M23791" s="11"/>
      <c r="N23791" s="11"/>
      <c r="O23791" s="11"/>
      <c r="P23791" s="11"/>
    </row>
    <row r="23792" spans="8:16" x14ac:dyDescent="0.25">
      <c r="H23792" s="12"/>
      <c r="I23792" s="12"/>
      <c r="J23792" s="12"/>
      <c r="K23792" s="12"/>
      <c r="L23792" s="12"/>
      <c r="M23792" s="11"/>
      <c r="N23792" s="11"/>
      <c r="O23792" s="11"/>
      <c r="P23792" s="11"/>
    </row>
    <row r="23793" spans="8:16" x14ac:dyDescent="0.25">
      <c r="H23793" s="12"/>
      <c r="I23793" s="12"/>
      <c r="J23793" s="12"/>
      <c r="K23793" s="12"/>
      <c r="L23793" s="12"/>
      <c r="M23793" s="11"/>
      <c r="N23793" s="11"/>
      <c r="O23793" s="11"/>
      <c r="P23793" s="11"/>
    </row>
    <row r="23794" spans="8:16" x14ac:dyDescent="0.25">
      <c r="H23794" s="12"/>
      <c r="I23794" s="12"/>
      <c r="J23794" s="12"/>
      <c r="K23794" s="12"/>
      <c r="L23794" s="12"/>
      <c r="M23794" s="11"/>
      <c r="N23794" s="11"/>
      <c r="O23794" s="11"/>
      <c r="P23794" s="11"/>
    </row>
    <row r="23795" spans="8:16" x14ac:dyDescent="0.25">
      <c r="H23795" s="12"/>
      <c r="I23795" s="12"/>
      <c r="J23795" s="12"/>
      <c r="K23795" s="12"/>
      <c r="L23795" s="12"/>
      <c r="M23795" s="11"/>
      <c r="N23795" s="11"/>
      <c r="O23795" s="11"/>
      <c r="P23795" s="11"/>
    </row>
    <row r="23796" spans="8:16" x14ac:dyDescent="0.25">
      <c r="H23796" s="12"/>
      <c r="I23796" s="12"/>
      <c r="J23796" s="12"/>
      <c r="K23796" s="12"/>
      <c r="L23796" s="12"/>
      <c r="M23796" s="11"/>
      <c r="N23796" s="11"/>
      <c r="O23796" s="11"/>
      <c r="P23796" s="11"/>
    </row>
    <row r="23797" spans="8:16" x14ac:dyDescent="0.25">
      <c r="H23797" s="12"/>
      <c r="I23797" s="12"/>
      <c r="J23797" s="12"/>
      <c r="K23797" s="12"/>
      <c r="L23797" s="12"/>
      <c r="M23797" s="11"/>
      <c r="N23797" s="11"/>
      <c r="O23797" s="11"/>
      <c r="P23797" s="11"/>
    </row>
    <row r="23798" spans="8:16" x14ac:dyDescent="0.25">
      <c r="H23798" s="12"/>
      <c r="I23798" s="12"/>
      <c r="J23798" s="12"/>
      <c r="K23798" s="12"/>
      <c r="L23798" s="12"/>
      <c r="M23798" s="11"/>
      <c r="N23798" s="11"/>
      <c r="O23798" s="11"/>
      <c r="P23798" s="11"/>
    </row>
    <row r="23799" spans="8:16" x14ac:dyDescent="0.25">
      <c r="H23799" s="12"/>
      <c r="I23799" s="12"/>
      <c r="J23799" s="12"/>
      <c r="K23799" s="12"/>
      <c r="L23799" s="12"/>
      <c r="M23799" s="11"/>
      <c r="N23799" s="11"/>
      <c r="O23799" s="11"/>
      <c r="P23799" s="11"/>
    </row>
    <row r="23800" spans="8:16" x14ac:dyDescent="0.25">
      <c r="H23800" s="12"/>
      <c r="I23800" s="12"/>
      <c r="J23800" s="12"/>
      <c r="K23800" s="12"/>
      <c r="L23800" s="12"/>
      <c r="M23800" s="11"/>
      <c r="N23800" s="11"/>
      <c r="O23800" s="11"/>
      <c r="P23800" s="11"/>
    </row>
    <row r="23801" spans="8:16" x14ac:dyDescent="0.25">
      <c r="H23801" s="12"/>
      <c r="I23801" s="12"/>
      <c r="J23801" s="12"/>
      <c r="K23801" s="12"/>
      <c r="L23801" s="12"/>
      <c r="M23801" s="11"/>
      <c r="N23801" s="11"/>
      <c r="O23801" s="11"/>
      <c r="P23801" s="11"/>
    </row>
    <row r="23802" spans="8:16" x14ac:dyDescent="0.25">
      <c r="H23802" s="12"/>
      <c r="I23802" s="12"/>
      <c r="J23802" s="12"/>
      <c r="K23802" s="12"/>
      <c r="L23802" s="12"/>
      <c r="M23802" s="11"/>
      <c r="N23802" s="11"/>
      <c r="O23802" s="11"/>
      <c r="P23802" s="11"/>
    </row>
    <row r="23803" spans="8:16" x14ac:dyDescent="0.25">
      <c r="H23803" s="12"/>
      <c r="I23803" s="12"/>
      <c r="J23803" s="12"/>
      <c r="K23803" s="12"/>
      <c r="L23803" s="12"/>
      <c r="M23803" s="11"/>
      <c r="N23803" s="11"/>
      <c r="O23803" s="11"/>
      <c r="P23803" s="11"/>
    </row>
    <row r="23804" spans="8:16" x14ac:dyDescent="0.25">
      <c r="H23804" s="12"/>
      <c r="I23804" s="12"/>
      <c r="J23804" s="12"/>
      <c r="K23804" s="12"/>
      <c r="L23804" s="12"/>
      <c r="M23804" s="11"/>
      <c r="N23804" s="11"/>
      <c r="O23804" s="11"/>
      <c r="P23804" s="11"/>
    </row>
    <row r="23805" spans="8:16" x14ac:dyDescent="0.25">
      <c r="H23805" s="12"/>
      <c r="I23805" s="12"/>
      <c r="J23805" s="12"/>
      <c r="K23805" s="12"/>
      <c r="L23805" s="12"/>
      <c r="M23805" s="11"/>
      <c r="N23805" s="11"/>
      <c r="O23805" s="11"/>
      <c r="P23805" s="11"/>
    </row>
    <row r="23806" spans="8:16" x14ac:dyDescent="0.25">
      <c r="H23806" s="12"/>
      <c r="I23806" s="12"/>
      <c r="J23806" s="12"/>
      <c r="K23806" s="12"/>
      <c r="L23806" s="12"/>
      <c r="M23806" s="11"/>
      <c r="N23806" s="11"/>
      <c r="O23806" s="11"/>
      <c r="P23806" s="11"/>
    </row>
    <row r="23807" spans="8:16" x14ac:dyDescent="0.25">
      <c r="H23807" s="12"/>
      <c r="I23807" s="12"/>
      <c r="J23807" s="12"/>
      <c r="K23807" s="12"/>
      <c r="L23807" s="12"/>
      <c r="M23807" s="11"/>
      <c r="N23807" s="11"/>
      <c r="O23807" s="11"/>
      <c r="P23807" s="11"/>
    </row>
    <row r="23808" spans="8:16" x14ac:dyDescent="0.25">
      <c r="H23808" s="12"/>
      <c r="I23808" s="12"/>
      <c r="J23808" s="12"/>
      <c r="K23808" s="12"/>
      <c r="L23808" s="12"/>
      <c r="M23808" s="11"/>
      <c r="N23808" s="11"/>
      <c r="O23808" s="11"/>
      <c r="P23808" s="11"/>
    </row>
    <row r="23809" spans="8:16" x14ac:dyDescent="0.25">
      <c r="H23809" s="12"/>
      <c r="I23809" s="12"/>
      <c r="J23809" s="12"/>
      <c r="K23809" s="12"/>
      <c r="L23809" s="12"/>
      <c r="M23809" s="11"/>
      <c r="N23809" s="11"/>
      <c r="O23809" s="11"/>
      <c r="P23809" s="11"/>
    </row>
    <row r="23810" spans="8:16" x14ac:dyDescent="0.25">
      <c r="H23810" s="12"/>
      <c r="I23810" s="12"/>
      <c r="J23810" s="12"/>
      <c r="K23810" s="12"/>
      <c r="L23810" s="12"/>
      <c r="M23810" s="11"/>
      <c r="N23810" s="11"/>
      <c r="O23810" s="11"/>
      <c r="P23810" s="11"/>
    </row>
    <row r="23811" spans="8:16" x14ac:dyDescent="0.25">
      <c r="H23811" s="12"/>
      <c r="I23811" s="12"/>
      <c r="J23811" s="12"/>
      <c r="K23811" s="12"/>
      <c r="L23811" s="12"/>
      <c r="M23811" s="11"/>
      <c r="N23811" s="11"/>
      <c r="O23811" s="11"/>
      <c r="P23811" s="11"/>
    </row>
    <row r="23812" spans="8:16" x14ac:dyDescent="0.25">
      <c r="H23812" s="12"/>
      <c r="I23812" s="12"/>
      <c r="J23812" s="12"/>
      <c r="K23812" s="12"/>
      <c r="L23812" s="12"/>
      <c r="M23812" s="11"/>
      <c r="N23812" s="11"/>
      <c r="O23812" s="11"/>
      <c r="P23812" s="11"/>
    </row>
    <row r="23813" spans="8:16" x14ac:dyDescent="0.25">
      <c r="H23813" s="12"/>
      <c r="I23813" s="12"/>
      <c r="J23813" s="12"/>
      <c r="K23813" s="12"/>
      <c r="L23813" s="12"/>
      <c r="M23813" s="11"/>
      <c r="N23813" s="11"/>
      <c r="O23813" s="11"/>
      <c r="P23813" s="11"/>
    </row>
    <row r="23814" spans="8:16" x14ac:dyDescent="0.25">
      <c r="H23814" s="12"/>
      <c r="I23814" s="12"/>
      <c r="J23814" s="12"/>
      <c r="K23814" s="12"/>
      <c r="L23814" s="12"/>
      <c r="M23814" s="11"/>
      <c r="N23814" s="11"/>
      <c r="O23814" s="11"/>
      <c r="P23814" s="11"/>
    </row>
    <row r="23815" spans="8:16" x14ac:dyDescent="0.25">
      <c r="H23815" s="12"/>
      <c r="I23815" s="12"/>
      <c r="J23815" s="12"/>
      <c r="K23815" s="12"/>
      <c r="L23815" s="12"/>
      <c r="M23815" s="11"/>
      <c r="N23815" s="11"/>
      <c r="O23815" s="11"/>
      <c r="P23815" s="11"/>
    </row>
    <row r="23816" spans="8:16" x14ac:dyDescent="0.25">
      <c r="H23816" s="12"/>
      <c r="I23816" s="12"/>
      <c r="J23816" s="12"/>
      <c r="K23816" s="12"/>
      <c r="L23816" s="12"/>
      <c r="M23816" s="11"/>
      <c r="N23816" s="11"/>
      <c r="O23816" s="11"/>
      <c r="P23816" s="11"/>
    </row>
    <row r="23817" spans="8:16" x14ac:dyDescent="0.25">
      <c r="H23817" s="12"/>
      <c r="I23817" s="12"/>
      <c r="J23817" s="12"/>
      <c r="K23817" s="12"/>
      <c r="L23817" s="12"/>
      <c r="M23817" s="11"/>
      <c r="N23817" s="11"/>
      <c r="O23817" s="11"/>
      <c r="P23817" s="11"/>
    </row>
    <row r="23818" spans="8:16" x14ac:dyDescent="0.25">
      <c r="H23818" s="12"/>
      <c r="I23818" s="12"/>
      <c r="J23818" s="12"/>
      <c r="K23818" s="12"/>
      <c r="L23818" s="12"/>
      <c r="M23818" s="11"/>
      <c r="N23818" s="11"/>
      <c r="O23818" s="11"/>
      <c r="P23818" s="11"/>
    </row>
    <row r="23819" spans="8:16" x14ac:dyDescent="0.25">
      <c r="H23819" s="12"/>
      <c r="I23819" s="12"/>
      <c r="J23819" s="12"/>
      <c r="K23819" s="12"/>
      <c r="L23819" s="12"/>
      <c r="M23819" s="11"/>
      <c r="N23819" s="11"/>
      <c r="O23819" s="11"/>
      <c r="P23819" s="11"/>
    </row>
    <row r="23820" spans="8:16" x14ac:dyDescent="0.25">
      <c r="H23820" s="12"/>
      <c r="I23820" s="12"/>
      <c r="J23820" s="12"/>
      <c r="K23820" s="12"/>
      <c r="L23820" s="12"/>
      <c r="M23820" s="11"/>
      <c r="N23820" s="11"/>
      <c r="O23820" s="11"/>
      <c r="P23820" s="11"/>
    </row>
    <row r="23821" spans="8:16" x14ac:dyDescent="0.25">
      <c r="H23821" s="12"/>
      <c r="I23821" s="12"/>
      <c r="J23821" s="12"/>
      <c r="K23821" s="12"/>
      <c r="L23821" s="12"/>
      <c r="M23821" s="11"/>
      <c r="N23821" s="11"/>
      <c r="O23821" s="11"/>
      <c r="P23821" s="11"/>
    </row>
    <row r="23822" spans="8:16" x14ac:dyDescent="0.25">
      <c r="H23822" s="12"/>
      <c r="I23822" s="12"/>
      <c r="J23822" s="12"/>
      <c r="K23822" s="12"/>
      <c r="L23822" s="12"/>
      <c r="M23822" s="11"/>
      <c r="N23822" s="11"/>
      <c r="O23822" s="11"/>
      <c r="P23822" s="11"/>
    </row>
    <row r="23823" spans="8:16" x14ac:dyDescent="0.25">
      <c r="H23823" s="12"/>
      <c r="I23823" s="12"/>
      <c r="J23823" s="12"/>
      <c r="K23823" s="12"/>
      <c r="L23823" s="12"/>
      <c r="M23823" s="11"/>
      <c r="N23823" s="11"/>
      <c r="O23823" s="11"/>
      <c r="P23823" s="11"/>
    </row>
    <row r="23824" spans="8:16" x14ac:dyDescent="0.25">
      <c r="H23824" s="12"/>
      <c r="I23824" s="12"/>
      <c r="J23824" s="12"/>
      <c r="K23824" s="12"/>
      <c r="L23824" s="12"/>
      <c r="M23824" s="11"/>
      <c r="N23824" s="11"/>
      <c r="O23824" s="11"/>
      <c r="P23824" s="11"/>
    </row>
    <row r="23825" spans="8:16" x14ac:dyDescent="0.25">
      <c r="H23825" s="12"/>
      <c r="I23825" s="12"/>
      <c r="J23825" s="12"/>
      <c r="K23825" s="12"/>
      <c r="L23825" s="12"/>
      <c r="M23825" s="11"/>
      <c r="N23825" s="11"/>
      <c r="O23825" s="11"/>
      <c r="P23825" s="11"/>
    </row>
    <row r="23826" spans="8:16" x14ac:dyDescent="0.25">
      <c r="H23826" s="12"/>
      <c r="I23826" s="12"/>
      <c r="J23826" s="12"/>
      <c r="K23826" s="12"/>
      <c r="L23826" s="12"/>
      <c r="M23826" s="11"/>
      <c r="N23826" s="11"/>
      <c r="O23826" s="11"/>
      <c r="P23826" s="11"/>
    </row>
    <row r="23827" spans="8:16" x14ac:dyDescent="0.25">
      <c r="H23827" s="12"/>
      <c r="I23827" s="12"/>
      <c r="J23827" s="12"/>
      <c r="K23827" s="12"/>
      <c r="L23827" s="12"/>
      <c r="M23827" s="11"/>
      <c r="N23827" s="11"/>
      <c r="O23827" s="11"/>
      <c r="P23827" s="11"/>
    </row>
    <row r="23828" spans="8:16" x14ac:dyDescent="0.25">
      <c r="H23828" s="12"/>
      <c r="I23828" s="12"/>
      <c r="J23828" s="12"/>
      <c r="K23828" s="12"/>
      <c r="L23828" s="12"/>
      <c r="M23828" s="11"/>
      <c r="N23828" s="11"/>
      <c r="O23828" s="11"/>
      <c r="P23828" s="11"/>
    </row>
    <row r="23829" spans="8:16" x14ac:dyDescent="0.25">
      <c r="H23829" s="12"/>
      <c r="I23829" s="12"/>
      <c r="J23829" s="12"/>
      <c r="K23829" s="12"/>
      <c r="L23829" s="12"/>
      <c r="M23829" s="11"/>
      <c r="N23829" s="11"/>
      <c r="O23829" s="11"/>
      <c r="P23829" s="11"/>
    </row>
    <row r="23830" spans="8:16" x14ac:dyDescent="0.25">
      <c r="H23830" s="12"/>
      <c r="I23830" s="12"/>
      <c r="J23830" s="12"/>
      <c r="K23830" s="12"/>
      <c r="L23830" s="12"/>
      <c r="M23830" s="11"/>
      <c r="N23830" s="11"/>
      <c r="O23830" s="11"/>
      <c r="P23830" s="11"/>
    </row>
    <row r="23831" spans="8:16" x14ac:dyDescent="0.25">
      <c r="H23831" s="12"/>
      <c r="I23831" s="12"/>
      <c r="J23831" s="12"/>
      <c r="K23831" s="12"/>
      <c r="L23831" s="12"/>
      <c r="M23831" s="11"/>
      <c r="N23831" s="11"/>
      <c r="O23831" s="11"/>
      <c r="P23831" s="11"/>
    </row>
    <row r="23832" spans="8:16" x14ac:dyDescent="0.25">
      <c r="H23832" s="12"/>
      <c r="I23832" s="12"/>
      <c r="J23832" s="12"/>
      <c r="K23832" s="12"/>
      <c r="L23832" s="12"/>
      <c r="M23832" s="11"/>
      <c r="N23832" s="11"/>
      <c r="O23832" s="11"/>
      <c r="P23832" s="11"/>
    </row>
    <row r="23833" spans="8:16" x14ac:dyDescent="0.25">
      <c r="H23833" s="12"/>
      <c r="I23833" s="12"/>
      <c r="J23833" s="12"/>
      <c r="K23833" s="12"/>
      <c r="L23833" s="12"/>
      <c r="M23833" s="11"/>
      <c r="N23833" s="11"/>
      <c r="O23833" s="11"/>
      <c r="P23833" s="11"/>
    </row>
    <row r="23834" spans="8:16" x14ac:dyDescent="0.25">
      <c r="H23834" s="12"/>
      <c r="I23834" s="12"/>
      <c r="J23834" s="12"/>
      <c r="K23834" s="12"/>
      <c r="L23834" s="12"/>
      <c r="M23834" s="11"/>
      <c r="N23834" s="11"/>
      <c r="O23834" s="11"/>
      <c r="P23834" s="11"/>
    </row>
    <row r="23835" spans="8:16" x14ac:dyDescent="0.25">
      <c r="H23835" s="12"/>
      <c r="I23835" s="12"/>
      <c r="J23835" s="12"/>
      <c r="K23835" s="12"/>
      <c r="L23835" s="12"/>
      <c r="M23835" s="11"/>
      <c r="N23835" s="11"/>
      <c r="O23835" s="11"/>
      <c r="P23835" s="11"/>
    </row>
    <row r="23836" spans="8:16" x14ac:dyDescent="0.25">
      <c r="H23836" s="12"/>
      <c r="I23836" s="12"/>
      <c r="J23836" s="12"/>
      <c r="K23836" s="12"/>
      <c r="L23836" s="12"/>
      <c r="M23836" s="11"/>
      <c r="N23836" s="11"/>
      <c r="O23836" s="11"/>
      <c r="P23836" s="11"/>
    </row>
    <row r="23837" spans="8:16" x14ac:dyDescent="0.25">
      <c r="H23837" s="12"/>
      <c r="I23837" s="12"/>
      <c r="J23837" s="12"/>
      <c r="K23837" s="12"/>
      <c r="L23837" s="12"/>
      <c r="M23837" s="11"/>
      <c r="N23837" s="11"/>
      <c r="O23837" s="11"/>
      <c r="P23837" s="11"/>
    </row>
    <row r="23838" spans="8:16" x14ac:dyDescent="0.25">
      <c r="H23838" s="12"/>
      <c r="I23838" s="12"/>
      <c r="J23838" s="12"/>
      <c r="K23838" s="12"/>
      <c r="L23838" s="12"/>
      <c r="M23838" s="11"/>
      <c r="N23838" s="11"/>
      <c r="O23838" s="11"/>
      <c r="P23838" s="11"/>
    </row>
    <row r="23839" spans="8:16" x14ac:dyDescent="0.25">
      <c r="H23839" s="12"/>
      <c r="I23839" s="12"/>
      <c r="J23839" s="12"/>
      <c r="K23839" s="12"/>
      <c r="L23839" s="12"/>
      <c r="M23839" s="11"/>
      <c r="N23839" s="11"/>
      <c r="O23839" s="11"/>
      <c r="P23839" s="11"/>
    </row>
    <row r="23840" spans="8:16" x14ac:dyDescent="0.25">
      <c r="H23840" s="12"/>
      <c r="I23840" s="12"/>
      <c r="J23840" s="12"/>
      <c r="K23840" s="12"/>
      <c r="L23840" s="12"/>
      <c r="M23840" s="11"/>
      <c r="N23840" s="11"/>
      <c r="O23840" s="11"/>
      <c r="P23840" s="11"/>
    </row>
    <row r="23841" spans="8:16" x14ac:dyDescent="0.25">
      <c r="H23841" s="12"/>
      <c r="I23841" s="12"/>
      <c r="J23841" s="12"/>
      <c r="K23841" s="12"/>
      <c r="L23841" s="12"/>
      <c r="M23841" s="11"/>
      <c r="N23841" s="11"/>
      <c r="O23841" s="11"/>
      <c r="P23841" s="11"/>
    </row>
    <row r="23842" spans="8:16" x14ac:dyDescent="0.25">
      <c r="H23842" s="12"/>
      <c r="I23842" s="12"/>
      <c r="J23842" s="12"/>
      <c r="K23842" s="12"/>
      <c r="L23842" s="12"/>
      <c r="M23842" s="11"/>
      <c r="N23842" s="11"/>
      <c r="O23842" s="11"/>
      <c r="P23842" s="11"/>
    </row>
    <row r="23843" spans="8:16" x14ac:dyDescent="0.25">
      <c r="H23843" s="12"/>
      <c r="I23843" s="12"/>
      <c r="J23843" s="12"/>
      <c r="K23843" s="12"/>
      <c r="L23843" s="12"/>
      <c r="M23843" s="11"/>
      <c r="N23843" s="11"/>
      <c r="O23843" s="11"/>
      <c r="P23843" s="11"/>
    </row>
    <row r="23844" spans="8:16" x14ac:dyDescent="0.25">
      <c r="H23844" s="12"/>
      <c r="I23844" s="12"/>
      <c r="J23844" s="12"/>
      <c r="K23844" s="12"/>
      <c r="L23844" s="12"/>
      <c r="M23844" s="11"/>
      <c r="N23844" s="11"/>
      <c r="O23844" s="11"/>
      <c r="P23844" s="11"/>
    </row>
    <row r="23845" spans="8:16" x14ac:dyDescent="0.25">
      <c r="H23845" s="12"/>
      <c r="I23845" s="12"/>
      <c r="J23845" s="12"/>
      <c r="K23845" s="12"/>
      <c r="L23845" s="12"/>
      <c r="M23845" s="11"/>
      <c r="N23845" s="11"/>
      <c r="O23845" s="11"/>
      <c r="P23845" s="11"/>
    </row>
    <row r="23846" spans="8:16" x14ac:dyDescent="0.25">
      <c r="H23846" s="12"/>
      <c r="I23846" s="12"/>
      <c r="J23846" s="12"/>
      <c r="K23846" s="12"/>
      <c r="L23846" s="12"/>
      <c r="M23846" s="11"/>
      <c r="N23846" s="11"/>
      <c r="O23846" s="11"/>
      <c r="P23846" s="11"/>
    </row>
    <row r="23847" spans="8:16" x14ac:dyDescent="0.25">
      <c r="H23847" s="12"/>
      <c r="I23847" s="12"/>
      <c r="J23847" s="12"/>
      <c r="K23847" s="12"/>
      <c r="L23847" s="12"/>
      <c r="M23847" s="11"/>
      <c r="N23847" s="11"/>
      <c r="O23847" s="11"/>
      <c r="P23847" s="11"/>
    </row>
    <row r="23848" spans="8:16" x14ac:dyDescent="0.25">
      <c r="H23848" s="12"/>
      <c r="I23848" s="12"/>
      <c r="J23848" s="12"/>
      <c r="K23848" s="12"/>
      <c r="L23848" s="12"/>
      <c r="M23848" s="11"/>
      <c r="N23848" s="11"/>
      <c r="O23848" s="11"/>
      <c r="P23848" s="11"/>
    </row>
    <row r="23849" spans="8:16" x14ac:dyDescent="0.25">
      <c r="H23849" s="12"/>
      <c r="I23849" s="12"/>
      <c r="J23849" s="12"/>
      <c r="K23849" s="12"/>
      <c r="L23849" s="12"/>
      <c r="M23849" s="11"/>
      <c r="N23849" s="11"/>
      <c r="O23849" s="11"/>
      <c r="P23849" s="11"/>
    </row>
    <row r="23850" spans="8:16" x14ac:dyDescent="0.25">
      <c r="H23850" s="12"/>
      <c r="I23850" s="12"/>
      <c r="J23850" s="12"/>
      <c r="K23850" s="12"/>
      <c r="L23850" s="12"/>
      <c r="M23850" s="11"/>
      <c r="N23850" s="11"/>
      <c r="O23850" s="11"/>
      <c r="P23850" s="11"/>
    </row>
    <row r="23851" spans="8:16" x14ac:dyDescent="0.25">
      <c r="H23851" s="12"/>
      <c r="I23851" s="12"/>
      <c r="J23851" s="12"/>
      <c r="K23851" s="12"/>
      <c r="L23851" s="12"/>
      <c r="M23851" s="11"/>
      <c r="N23851" s="11"/>
      <c r="O23851" s="11"/>
      <c r="P23851" s="11"/>
    </row>
    <row r="23852" spans="8:16" x14ac:dyDescent="0.25">
      <c r="H23852" s="12"/>
      <c r="I23852" s="12"/>
      <c r="J23852" s="12"/>
      <c r="K23852" s="12"/>
      <c r="L23852" s="12"/>
      <c r="M23852" s="11"/>
      <c r="N23852" s="11"/>
      <c r="O23852" s="11"/>
      <c r="P23852" s="11"/>
    </row>
    <row r="23853" spans="8:16" x14ac:dyDescent="0.25">
      <c r="H23853" s="12"/>
      <c r="I23853" s="12"/>
      <c r="J23853" s="12"/>
      <c r="K23853" s="12"/>
      <c r="L23853" s="12"/>
      <c r="M23853" s="11"/>
      <c r="N23853" s="11"/>
      <c r="O23853" s="11"/>
      <c r="P23853" s="11"/>
    </row>
    <row r="23854" spans="8:16" x14ac:dyDescent="0.25">
      <c r="H23854" s="12"/>
      <c r="I23854" s="12"/>
      <c r="J23854" s="12"/>
      <c r="K23854" s="12"/>
      <c r="L23854" s="12"/>
      <c r="M23854" s="11"/>
      <c r="N23854" s="11"/>
      <c r="O23854" s="11"/>
      <c r="P23854" s="11"/>
    </row>
    <row r="23855" spans="8:16" x14ac:dyDescent="0.25">
      <c r="H23855" s="12"/>
      <c r="I23855" s="12"/>
      <c r="J23855" s="12"/>
      <c r="K23855" s="12"/>
      <c r="L23855" s="12"/>
      <c r="M23855" s="11"/>
      <c r="N23855" s="11"/>
      <c r="O23855" s="11"/>
      <c r="P23855" s="11"/>
    </row>
    <row r="23856" spans="8:16" x14ac:dyDescent="0.25">
      <c r="H23856" s="12"/>
      <c r="I23856" s="12"/>
      <c r="J23856" s="12"/>
      <c r="K23856" s="12"/>
      <c r="L23856" s="12"/>
      <c r="M23856" s="11"/>
      <c r="N23856" s="11"/>
      <c r="O23856" s="11"/>
      <c r="P23856" s="11"/>
    </row>
    <row r="23857" spans="8:16" x14ac:dyDescent="0.25">
      <c r="H23857" s="12"/>
      <c r="I23857" s="12"/>
      <c r="J23857" s="12"/>
      <c r="K23857" s="12"/>
      <c r="L23857" s="12"/>
      <c r="M23857" s="11"/>
      <c r="N23857" s="11"/>
      <c r="O23857" s="11"/>
      <c r="P23857" s="11"/>
    </row>
    <row r="23858" spans="8:16" x14ac:dyDescent="0.25">
      <c r="H23858" s="12"/>
      <c r="I23858" s="12"/>
      <c r="J23858" s="12"/>
      <c r="K23858" s="12"/>
      <c r="L23858" s="12"/>
      <c r="M23858" s="11"/>
      <c r="N23858" s="11"/>
      <c r="O23858" s="11"/>
      <c r="P23858" s="11"/>
    </row>
    <row r="23859" spans="8:16" x14ac:dyDescent="0.25">
      <c r="H23859" s="12"/>
      <c r="I23859" s="12"/>
      <c r="J23859" s="12"/>
      <c r="K23859" s="12"/>
      <c r="L23859" s="12"/>
      <c r="M23859" s="11"/>
      <c r="N23859" s="11"/>
      <c r="O23859" s="11"/>
      <c r="P23859" s="11"/>
    </row>
    <row r="23860" spans="8:16" x14ac:dyDescent="0.25">
      <c r="H23860" s="12"/>
      <c r="I23860" s="12"/>
      <c r="J23860" s="12"/>
      <c r="K23860" s="12"/>
      <c r="L23860" s="12"/>
      <c r="M23860" s="11"/>
      <c r="N23860" s="11"/>
      <c r="O23860" s="11"/>
      <c r="P23860" s="11"/>
    </row>
    <row r="23861" spans="8:16" x14ac:dyDescent="0.25">
      <c r="H23861" s="12"/>
      <c r="I23861" s="12"/>
      <c r="J23861" s="12"/>
      <c r="K23861" s="12"/>
      <c r="L23861" s="12"/>
      <c r="M23861" s="11"/>
      <c r="N23861" s="11"/>
      <c r="O23861" s="11"/>
      <c r="P23861" s="11"/>
    </row>
    <row r="23862" spans="8:16" x14ac:dyDescent="0.25">
      <c r="H23862" s="12"/>
      <c r="I23862" s="12"/>
      <c r="J23862" s="12"/>
      <c r="K23862" s="12"/>
      <c r="L23862" s="12"/>
      <c r="M23862" s="11"/>
      <c r="N23862" s="11"/>
      <c r="O23862" s="11"/>
      <c r="P23862" s="11"/>
    </row>
    <row r="23863" spans="8:16" x14ac:dyDescent="0.25">
      <c r="H23863" s="12"/>
      <c r="I23863" s="12"/>
      <c r="J23863" s="12"/>
      <c r="K23863" s="12"/>
      <c r="L23863" s="12"/>
      <c r="M23863" s="11"/>
      <c r="N23863" s="11"/>
      <c r="O23863" s="11"/>
      <c r="P23863" s="11"/>
    </row>
    <row r="23864" spans="8:16" x14ac:dyDescent="0.25">
      <c r="H23864" s="12"/>
      <c r="I23864" s="12"/>
      <c r="J23864" s="12"/>
      <c r="K23864" s="12"/>
      <c r="L23864" s="12"/>
      <c r="M23864" s="11"/>
      <c r="N23864" s="11"/>
      <c r="O23864" s="11"/>
      <c r="P23864" s="11"/>
    </row>
    <row r="23865" spans="8:16" x14ac:dyDescent="0.25">
      <c r="H23865" s="12"/>
      <c r="I23865" s="12"/>
      <c r="J23865" s="12"/>
      <c r="K23865" s="12"/>
      <c r="L23865" s="12"/>
      <c r="M23865" s="11"/>
      <c r="N23865" s="11"/>
      <c r="O23865" s="11"/>
      <c r="P23865" s="11"/>
    </row>
    <row r="23866" spans="8:16" x14ac:dyDescent="0.25">
      <c r="H23866" s="12"/>
      <c r="I23866" s="12"/>
      <c r="J23866" s="12"/>
      <c r="K23866" s="12"/>
      <c r="L23866" s="12"/>
      <c r="M23866" s="11"/>
      <c r="N23866" s="11"/>
      <c r="O23866" s="11"/>
      <c r="P23866" s="11"/>
    </row>
    <row r="23867" spans="8:16" x14ac:dyDescent="0.25">
      <c r="H23867" s="12"/>
      <c r="I23867" s="12"/>
      <c r="J23867" s="12"/>
      <c r="K23867" s="12"/>
      <c r="L23867" s="12"/>
      <c r="M23867" s="11"/>
      <c r="N23867" s="11"/>
      <c r="O23867" s="11"/>
      <c r="P23867" s="11"/>
    </row>
    <row r="23868" spans="8:16" x14ac:dyDescent="0.25">
      <c r="H23868" s="12"/>
      <c r="I23868" s="12"/>
      <c r="J23868" s="12"/>
      <c r="K23868" s="12"/>
      <c r="L23868" s="12"/>
      <c r="M23868" s="11"/>
      <c r="N23868" s="11"/>
      <c r="O23868" s="11"/>
      <c r="P23868" s="11"/>
    </row>
    <row r="23869" spans="8:16" x14ac:dyDescent="0.25">
      <c r="H23869" s="12"/>
      <c r="I23869" s="12"/>
      <c r="J23869" s="12"/>
      <c r="K23869" s="12"/>
      <c r="L23869" s="12"/>
      <c r="M23869" s="11"/>
      <c r="N23869" s="11"/>
      <c r="O23869" s="11"/>
      <c r="P23869" s="11"/>
    </row>
    <row r="23870" spans="8:16" x14ac:dyDescent="0.25">
      <c r="H23870" s="12"/>
      <c r="I23870" s="12"/>
      <c r="J23870" s="12"/>
      <c r="K23870" s="12"/>
      <c r="L23870" s="12"/>
      <c r="M23870" s="11"/>
      <c r="N23870" s="11"/>
      <c r="O23870" s="11"/>
      <c r="P23870" s="11"/>
    </row>
    <row r="23871" spans="8:16" x14ac:dyDescent="0.25">
      <c r="H23871" s="12"/>
      <c r="I23871" s="12"/>
      <c r="J23871" s="12"/>
      <c r="K23871" s="12"/>
      <c r="L23871" s="12"/>
      <c r="M23871" s="11"/>
      <c r="N23871" s="11"/>
      <c r="O23871" s="11"/>
      <c r="P23871" s="11"/>
    </row>
    <row r="23872" spans="8:16" x14ac:dyDescent="0.25">
      <c r="H23872" s="12"/>
      <c r="I23872" s="12"/>
      <c r="J23872" s="12"/>
      <c r="K23872" s="12"/>
      <c r="L23872" s="12"/>
      <c r="M23872" s="11"/>
      <c r="N23872" s="11"/>
      <c r="O23872" s="11"/>
      <c r="P23872" s="11"/>
    </row>
    <row r="23873" spans="8:16" x14ac:dyDescent="0.25">
      <c r="H23873" s="12"/>
      <c r="I23873" s="12"/>
      <c r="J23873" s="12"/>
      <c r="K23873" s="12"/>
      <c r="L23873" s="12"/>
      <c r="M23873" s="11"/>
      <c r="N23873" s="11"/>
      <c r="O23873" s="11"/>
      <c r="P23873" s="11"/>
    </row>
    <row r="23874" spans="8:16" x14ac:dyDescent="0.25">
      <c r="H23874" s="12"/>
      <c r="I23874" s="12"/>
      <c r="J23874" s="12"/>
      <c r="K23874" s="12"/>
      <c r="L23874" s="12"/>
      <c r="M23874" s="11"/>
      <c r="N23874" s="11"/>
      <c r="O23874" s="11"/>
      <c r="P23874" s="11"/>
    </row>
    <row r="23875" spans="8:16" x14ac:dyDescent="0.25">
      <c r="H23875" s="12"/>
      <c r="I23875" s="12"/>
      <c r="J23875" s="12"/>
      <c r="K23875" s="12"/>
      <c r="L23875" s="12"/>
      <c r="M23875" s="11"/>
      <c r="N23875" s="11"/>
      <c r="O23875" s="11"/>
      <c r="P23875" s="11"/>
    </row>
    <row r="23876" spans="8:16" x14ac:dyDescent="0.25">
      <c r="H23876" s="12"/>
      <c r="I23876" s="12"/>
      <c r="J23876" s="12"/>
      <c r="K23876" s="12"/>
      <c r="L23876" s="12"/>
      <c r="M23876" s="11"/>
      <c r="N23876" s="11"/>
      <c r="O23876" s="11"/>
      <c r="P23876" s="11"/>
    </row>
    <row r="23877" spans="8:16" x14ac:dyDescent="0.25">
      <c r="H23877" s="12"/>
      <c r="I23877" s="12"/>
      <c r="J23877" s="12"/>
      <c r="K23877" s="12"/>
      <c r="L23877" s="12"/>
      <c r="M23877" s="11"/>
      <c r="N23877" s="11"/>
      <c r="O23877" s="11"/>
      <c r="P23877" s="11"/>
    </row>
    <row r="23878" spans="8:16" x14ac:dyDescent="0.25">
      <c r="H23878" s="12"/>
      <c r="I23878" s="12"/>
      <c r="J23878" s="12"/>
      <c r="K23878" s="12"/>
      <c r="L23878" s="12"/>
      <c r="M23878" s="11"/>
      <c r="N23878" s="11"/>
      <c r="O23878" s="11"/>
      <c r="P23878" s="11"/>
    </row>
    <row r="23879" spans="8:16" x14ac:dyDescent="0.25">
      <c r="H23879" s="12"/>
      <c r="I23879" s="12"/>
      <c r="J23879" s="12"/>
      <c r="K23879" s="12"/>
      <c r="L23879" s="12"/>
      <c r="M23879" s="11"/>
      <c r="N23879" s="11"/>
      <c r="O23879" s="11"/>
      <c r="P23879" s="11"/>
    </row>
    <row r="23880" spans="8:16" x14ac:dyDescent="0.25">
      <c r="H23880" s="12"/>
      <c r="I23880" s="12"/>
      <c r="J23880" s="12"/>
      <c r="K23880" s="12"/>
      <c r="L23880" s="12"/>
      <c r="M23880" s="11"/>
      <c r="N23880" s="11"/>
      <c r="O23880" s="11"/>
      <c r="P23880" s="11"/>
    </row>
    <row r="23881" spans="8:16" x14ac:dyDescent="0.25">
      <c r="H23881" s="12"/>
      <c r="I23881" s="12"/>
      <c r="J23881" s="12"/>
      <c r="K23881" s="12"/>
      <c r="L23881" s="12"/>
      <c r="M23881" s="11"/>
      <c r="N23881" s="11"/>
      <c r="O23881" s="11"/>
      <c r="P23881" s="11"/>
    </row>
    <row r="23882" spans="8:16" x14ac:dyDescent="0.25">
      <c r="H23882" s="12"/>
      <c r="I23882" s="12"/>
      <c r="J23882" s="12"/>
      <c r="K23882" s="12"/>
      <c r="L23882" s="12"/>
      <c r="M23882" s="11"/>
      <c r="N23882" s="11"/>
      <c r="O23882" s="11"/>
      <c r="P23882" s="11"/>
    </row>
    <row r="23883" spans="8:16" x14ac:dyDescent="0.25">
      <c r="H23883" s="12"/>
      <c r="I23883" s="12"/>
      <c r="J23883" s="12"/>
      <c r="K23883" s="12"/>
      <c r="L23883" s="12"/>
      <c r="M23883" s="11"/>
      <c r="N23883" s="11"/>
      <c r="O23883" s="11"/>
      <c r="P23883" s="11"/>
    </row>
    <row r="23884" spans="8:16" x14ac:dyDescent="0.25">
      <c r="H23884" s="12"/>
      <c r="I23884" s="12"/>
      <c r="J23884" s="12"/>
      <c r="K23884" s="12"/>
      <c r="L23884" s="12"/>
      <c r="M23884" s="11"/>
      <c r="N23884" s="11"/>
      <c r="O23884" s="11"/>
      <c r="P23884" s="11"/>
    </row>
    <row r="23885" spans="8:16" x14ac:dyDescent="0.25">
      <c r="H23885" s="12"/>
      <c r="I23885" s="12"/>
      <c r="J23885" s="12"/>
      <c r="K23885" s="12"/>
      <c r="L23885" s="12"/>
      <c r="M23885" s="11"/>
      <c r="N23885" s="11"/>
      <c r="O23885" s="11"/>
      <c r="P23885" s="11"/>
    </row>
    <row r="23886" spans="8:16" x14ac:dyDescent="0.25">
      <c r="H23886" s="12"/>
      <c r="I23886" s="12"/>
      <c r="J23886" s="12"/>
      <c r="K23886" s="12"/>
      <c r="L23886" s="12"/>
      <c r="M23886" s="11"/>
      <c r="N23886" s="11"/>
      <c r="O23886" s="11"/>
      <c r="P23886" s="11"/>
    </row>
    <row r="23887" spans="8:16" x14ac:dyDescent="0.25">
      <c r="H23887" s="12"/>
      <c r="I23887" s="12"/>
      <c r="J23887" s="12"/>
      <c r="K23887" s="12"/>
      <c r="L23887" s="12"/>
      <c r="M23887" s="11"/>
      <c r="N23887" s="11"/>
      <c r="O23887" s="11"/>
      <c r="P23887" s="11"/>
    </row>
    <row r="23888" spans="8:16" x14ac:dyDescent="0.25">
      <c r="H23888" s="12"/>
      <c r="I23888" s="12"/>
      <c r="J23888" s="12"/>
      <c r="K23888" s="12"/>
      <c r="L23888" s="12"/>
      <c r="M23888" s="11"/>
      <c r="N23888" s="11"/>
      <c r="O23888" s="11"/>
      <c r="P23888" s="11"/>
    </row>
    <row r="23889" spans="8:16" x14ac:dyDescent="0.25">
      <c r="H23889" s="12"/>
      <c r="I23889" s="12"/>
      <c r="J23889" s="12"/>
      <c r="K23889" s="12"/>
      <c r="L23889" s="12"/>
      <c r="M23889" s="11"/>
      <c r="N23889" s="11"/>
      <c r="O23889" s="11"/>
      <c r="P23889" s="11"/>
    </row>
    <row r="23890" spans="8:16" x14ac:dyDescent="0.25">
      <c r="H23890" s="12"/>
      <c r="I23890" s="12"/>
      <c r="J23890" s="12"/>
      <c r="K23890" s="12"/>
      <c r="L23890" s="12"/>
      <c r="M23890" s="11"/>
      <c r="N23890" s="11"/>
      <c r="O23890" s="11"/>
      <c r="P23890" s="11"/>
    </row>
    <row r="23891" spans="8:16" x14ac:dyDescent="0.25">
      <c r="H23891" s="12"/>
      <c r="I23891" s="12"/>
      <c r="J23891" s="12"/>
      <c r="K23891" s="12"/>
      <c r="L23891" s="12"/>
      <c r="M23891" s="11"/>
      <c r="N23891" s="11"/>
      <c r="O23891" s="11"/>
      <c r="P23891" s="11"/>
    </row>
    <row r="23892" spans="8:16" x14ac:dyDescent="0.25">
      <c r="H23892" s="12"/>
      <c r="I23892" s="12"/>
      <c r="J23892" s="12"/>
      <c r="K23892" s="12"/>
      <c r="L23892" s="12"/>
      <c r="M23892" s="11"/>
      <c r="N23892" s="11"/>
      <c r="O23892" s="11"/>
      <c r="P23892" s="11"/>
    </row>
    <row r="23893" spans="8:16" x14ac:dyDescent="0.25">
      <c r="H23893" s="12"/>
      <c r="I23893" s="12"/>
      <c r="J23893" s="12"/>
      <c r="K23893" s="12"/>
      <c r="L23893" s="12"/>
      <c r="M23893" s="11"/>
      <c r="N23893" s="11"/>
      <c r="O23893" s="11"/>
      <c r="P23893" s="11"/>
    </row>
    <row r="23894" spans="8:16" x14ac:dyDescent="0.25">
      <c r="H23894" s="12"/>
      <c r="I23894" s="12"/>
      <c r="J23894" s="12"/>
      <c r="K23894" s="12"/>
      <c r="L23894" s="12"/>
      <c r="M23894" s="11"/>
      <c r="N23894" s="11"/>
      <c r="O23894" s="11"/>
      <c r="P23894" s="11"/>
    </row>
    <row r="23895" spans="8:16" x14ac:dyDescent="0.25">
      <c r="H23895" s="12"/>
      <c r="I23895" s="12"/>
      <c r="J23895" s="12"/>
      <c r="K23895" s="12"/>
      <c r="L23895" s="12"/>
      <c r="M23895" s="11"/>
      <c r="N23895" s="11"/>
      <c r="O23895" s="11"/>
      <c r="P23895" s="11"/>
    </row>
    <row r="23896" spans="8:16" x14ac:dyDescent="0.25">
      <c r="H23896" s="12"/>
      <c r="I23896" s="12"/>
      <c r="J23896" s="12"/>
      <c r="K23896" s="12"/>
      <c r="L23896" s="12"/>
      <c r="M23896" s="11"/>
      <c r="N23896" s="11"/>
      <c r="O23896" s="11"/>
      <c r="P23896" s="11"/>
    </row>
    <row r="23897" spans="8:16" x14ac:dyDescent="0.25">
      <c r="H23897" s="12"/>
      <c r="I23897" s="12"/>
      <c r="J23897" s="12"/>
      <c r="K23897" s="12"/>
      <c r="L23897" s="12"/>
      <c r="M23897" s="11"/>
      <c r="N23897" s="11"/>
      <c r="O23897" s="11"/>
      <c r="P23897" s="11"/>
    </row>
    <row r="23898" spans="8:16" x14ac:dyDescent="0.25">
      <c r="H23898" s="12"/>
      <c r="I23898" s="12"/>
      <c r="J23898" s="12"/>
      <c r="K23898" s="12"/>
      <c r="L23898" s="12"/>
      <c r="M23898" s="11"/>
      <c r="N23898" s="11"/>
      <c r="O23898" s="11"/>
      <c r="P23898" s="11"/>
    </row>
    <row r="23899" spans="8:16" x14ac:dyDescent="0.25">
      <c r="H23899" s="12"/>
      <c r="I23899" s="12"/>
      <c r="J23899" s="12"/>
      <c r="K23899" s="12"/>
      <c r="L23899" s="12"/>
      <c r="M23899" s="11"/>
      <c r="N23899" s="11"/>
      <c r="O23899" s="11"/>
      <c r="P23899" s="11"/>
    </row>
    <row r="23900" spans="8:16" x14ac:dyDescent="0.25">
      <c r="H23900" s="12"/>
      <c r="I23900" s="12"/>
      <c r="J23900" s="12"/>
      <c r="K23900" s="12"/>
      <c r="L23900" s="12"/>
      <c r="M23900" s="11"/>
      <c r="N23900" s="11"/>
      <c r="O23900" s="11"/>
      <c r="P23900" s="11"/>
    </row>
    <row r="23901" spans="8:16" x14ac:dyDescent="0.25">
      <c r="H23901" s="12"/>
      <c r="I23901" s="12"/>
      <c r="J23901" s="12"/>
      <c r="K23901" s="12"/>
      <c r="L23901" s="12"/>
      <c r="M23901" s="11"/>
      <c r="N23901" s="11"/>
      <c r="O23901" s="11"/>
      <c r="P23901" s="11"/>
    </row>
    <row r="23902" spans="8:16" x14ac:dyDescent="0.25">
      <c r="H23902" s="12"/>
      <c r="I23902" s="12"/>
      <c r="J23902" s="12"/>
      <c r="K23902" s="12"/>
      <c r="L23902" s="12"/>
      <c r="M23902" s="11"/>
      <c r="N23902" s="11"/>
      <c r="O23902" s="11"/>
      <c r="P23902" s="11"/>
    </row>
    <row r="23903" spans="8:16" x14ac:dyDescent="0.25">
      <c r="H23903" s="12"/>
      <c r="I23903" s="12"/>
      <c r="J23903" s="12"/>
      <c r="K23903" s="12"/>
      <c r="L23903" s="12"/>
      <c r="M23903" s="11"/>
      <c r="N23903" s="11"/>
      <c r="O23903" s="11"/>
      <c r="P23903" s="11"/>
    </row>
    <row r="23904" spans="8:16" x14ac:dyDescent="0.25">
      <c r="H23904" s="12"/>
      <c r="I23904" s="12"/>
      <c r="J23904" s="12"/>
      <c r="K23904" s="12"/>
      <c r="L23904" s="12"/>
      <c r="M23904" s="11"/>
      <c r="N23904" s="11"/>
      <c r="O23904" s="11"/>
      <c r="P23904" s="11"/>
    </row>
    <row r="23905" spans="8:16" x14ac:dyDescent="0.25">
      <c r="H23905" s="12"/>
      <c r="I23905" s="12"/>
      <c r="J23905" s="12"/>
      <c r="K23905" s="12"/>
      <c r="L23905" s="12"/>
      <c r="M23905" s="11"/>
      <c r="N23905" s="11"/>
      <c r="O23905" s="11"/>
      <c r="P23905" s="11"/>
    </row>
    <row r="23906" spans="8:16" x14ac:dyDescent="0.25">
      <c r="H23906" s="12"/>
      <c r="I23906" s="12"/>
      <c r="J23906" s="12"/>
      <c r="K23906" s="12"/>
      <c r="L23906" s="12"/>
      <c r="M23906" s="11"/>
      <c r="N23906" s="11"/>
      <c r="O23906" s="11"/>
      <c r="P23906" s="11"/>
    </row>
    <row r="23907" spans="8:16" x14ac:dyDescent="0.25">
      <c r="H23907" s="12"/>
      <c r="I23907" s="12"/>
      <c r="J23907" s="12"/>
      <c r="K23907" s="12"/>
      <c r="L23907" s="12"/>
      <c r="M23907" s="11"/>
      <c r="N23907" s="11"/>
      <c r="O23907" s="11"/>
      <c r="P23907" s="11"/>
    </row>
    <row r="23908" spans="8:16" x14ac:dyDescent="0.25">
      <c r="H23908" s="12"/>
      <c r="I23908" s="12"/>
      <c r="J23908" s="12"/>
      <c r="K23908" s="12"/>
      <c r="L23908" s="12"/>
      <c r="M23908" s="11"/>
      <c r="N23908" s="11"/>
      <c r="O23908" s="11"/>
      <c r="P23908" s="11"/>
    </row>
    <row r="23909" spans="8:16" x14ac:dyDescent="0.25">
      <c r="H23909" s="12"/>
      <c r="I23909" s="12"/>
      <c r="J23909" s="12"/>
      <c r="K23909" s="12"/>
      <c r="L23909" s="12"/>
      <c r="M23909" s="11"/>
      <c r="N23909" s="11"/>
      <c r="O23909" s="11"/>
      <c r="P23909" s="11"/>
    </row>
    <row r="23910" spans="8:16" x14ac:dyDescent="0.25">
      <c r="H23910" s="12"/>
      <c r="I23910" s="12"/>
      <c r="J23910" s="12"/>
      <c r="K23910" s="12"/>
      <c r="L23910" s="12"/>
      <c r="M23910" s="11"/>
      <c r="N23910" s="11"/>
      <c r="O23910" s="11"/>
      <c r="P23910" s="11"/>
    </row>
    <row r="23911" spans="8:16" x14ac:dyDescent="0.25">
      <c r="H23911" s="12"/>
      <c r="I23911" s="12"/>
      <c r="J23911" s="12"/>
      <c r="K23911" s="12"/>
      <c r="L23911" s="12"/>
      <c r="M23911" s="11"/>
      <c r="N23911" s="11"/>
      <c r="O23911" s="11"/>
      <c r="P23911" s="11"/>
    </row>
    <row r="23912" spans="8:16" x14ac:dyDescent="0.25">
      <c r="H23912" s="12"/>
      <c r="I23912" s="12"/>
      <c r="J23912" s="12"/>
      <c r="K23912" s="12"/>
      <c r="L23912" s="12"/>
      <c r="M23912" s="11"/>
      <c r="N23912" s="11"/>
      <c r="O23912" s="11"/>
      <c r="P23912" s="11"/>
    </row>
    <row r="23913" spans="8:16" x14ac:dyDescent="0.25">
      <c r="H23913" s="12"/>
      <c r="I23913" s="12"/>
      <c r="J23913" s="12"/>
      <c r="K23913" s="12"/>
      <c r="L23913" s="12"/>
      <c r="M23913" s="11"/>
      <c r="N23913" s="11"/>
      <c r="O23913" s="11"/>
      <c r="P23913" s="11"/>
    </row>
    <row r="23914" spans="8:16" x14ac:dyDescent="0.25">
      <c r="H23914" s="12"/>
      <c r="I23914" s="12"/>
      <c r="J23914" s="12"/>
      <c r="K23914" s="12"/>
      <c r="L23914" s="12"/>
      <c r="M23914" s="11"/>
      <c r="N23914" s="11"/>
      <c r="O23914" s="11"/>
      <c r="P23914" s="11"/>
    </row>
    <row r="23915" spans="8:16" x14ac:dyDescent="0.25">
      <c r="H23915" s="12"/>
      <c r="I23915" s="12"/>
      <c r="J23915" s="12"/>
      <c r="K23915" s="12"/>
      <c r="L23915" s="12"/>
      <c r="M23915" s="11"/>
      <c r="N23915" s="11"/>
      <c r="O23915" s="11"/>
      <c r="P23915" s="11"/>
    </row>
    <row r="23916" spans="8:16" x14ac:dyDescent="0.25">
      <c r="H23916" s="12"/>
      <c r="I23916" s="12"/>
      <c r="J23916" s="12"/>
      <c r="K23916" s="12"/>
      <c r="L23916" s="12"/>
      <c r="M23916" s="11"/>
      <c r="N23916" s="11"/>
      <c r="O23916" s="11"/>
      <c r="P23916" s="11"/>
    </row>
    <row r="23917" spans="8:16" x14ac:dyDescent="0.25">
      <c r="H23917" s="12"/>
      <c r="I23917" s="12"/>
      <c r="J23917" s="12"/>
      <c r="K23917" s="12"/>
      <c r="L23917" s="12"/>
      <c r="M23917" s="11"/>
      <c r="N23917" s="11"/>
      <c r="O23917" s="11"/>
      <c r="P23917" s="11"/>
    </row>
    <row r="23918" spans="8:16" x14ac:dyDescent="0.25">
      <c r="H23918" s="12"/>
      <c r="I23918" s="12"/>
      <c r="J23918" s="12"/>
      <c r="K23918" s="12"/>
      <c r="L23918" s="12"/>
      <c r="M23918" s="11"/>
      <c r="N23918" s="11"/>
      <c r="O23918" s="11"/>
      <c r="P23918" s="11"/>
    </row>
    <row r="23919" spans="8:16" x14ac:dyDescent="0.25">
      <c r="H23919" s="12"/>
      <c r="I23919" s="12"/>
      <c r="J23919" s="12"/>
      <c r="K23919" s="12"/>
      <c r="L23919" s="12"/>
      <c r="M23919" s="11"/>
      <c r="N23919" s="11"/>
      <c r="O23919" s="11"/>
      <c r="P23919" s="11"/>
    </row>
    <row r="23920" spans="8:16" x14ac:dyDescent="0.25">
      <c r="H23920" s="12"/>
      <c r="I23920" s="12"/>
      <c r="J23920" s="12"/>
      <c r="K23920" s="12"/>
      <c r="L23920" s="12"/>
      <c r="M23920" s="11"/>
      <c r="N23920" s="11"/>
      <c r="O23920" s="11"/>
      <c r="P23920" s="11"/>
    </row>
    <row r="23921" spans="8:16" x14ac:dyDescent="0.25">
      <c r="H23921" s="12"/>
      <c r="I23921" s="12"/>
      <c r="J23921" s="12"/>
      <c r="K23921" s="12"/>
      <c r="L23921" s="12"/>
      <c r="M23921" s="11"/>
      <c r="N23921" s="11"/>
      <c r="O23921" s="11"/>
      <c r="P23921" s="11"/>
    </row>
    <row r="23922" spans="8:16" x14ac:dyDescent="0.25">
      <c r="H23922" s="12"/>
      <c r="I23922" s="12"/>
      <c r="J23922" s="12"/>
      <c r="K23922" s="12"/>
      <c r="L23922" s="12"/>
      <c r="M23922" s="11"/>
      <c r="N23922" s="11"/>
      <c r="O23922" s="11"/>
      <c r="P23922" s="11"/>
    </row>
    <row r="23923" spans="8:16" x14ac:dyDescent="0.25">
      <c r="H23923" s="12"/>
      <c r="I23923" s="12"/>
      <c r="J23923" s="12"/>
      <c r="K23923" s="12"/>
      <c r="L23923" s="12"/>
      <c r="M23923" s="11"/>
      <c r="N23923" s="11"/>
      <c r="O23923" s="11"/>
      <c r="P23923" s="11"/>
    </row>
    <row r="23924" spans="8:16" x14ac:dyDescent="0.25">
      <c r="H23924" s="12"/>
      <c r="I23924" s="12"/>
      <c r="J23924" s="12"/>
      <c r="K23924" s="12"/>
      <c r="L23924" s="12"/>
      <c r="M23924" s="11"/>
      <c r="N23924" s="11"/>
      <c r="O23924" s="11"/>
      <c r="P23924" s="11"/>
    </row>
    <row r="23925" spans="8:16" x14ac:dyDescent="0.25">
      <c r="H23925" s="12"/>
      <c r="I23925" s="12"/>
      <c r="J23925" s="12"/>
      <c r="K23925" s="12"/>
      <c r="L23925" s="12"/>
      <c r="M23925" s="11"/>
      <c r="N23925" s="11"/>
      <c r="O23925" s="11"/>
      <c r="P23925" s="11"/>
    </row>
    <row r="23926" spans="8:16" x14ac:dyDescent="0.25">
      <c r="H23926" s="12"/>
      <c r="I23926" s="12"/>
      <c r="J23926" s="12"/>
      <c r="K23926" s="12"/>
      <c r="L23926" s="12"/>
      <c r="M23926" s="11"/>
      <c r="N23926" s="11"/>
      <c r="O23926" s="11"/>
      <c r="P23926" s="11"/>
    </row>
    <row r="23927" spans="8:16" x14ac:dyDescent="0.25">
      <c r="H23927" s="12"/>
      <c r="I23927" s="12"/>
      <c r="J23927" s="12"/>
      <c r="K23927" s="12"/>
      <c r="L23927" s="12"/>
      <c r="M23927" s="11"/>
      <c r="N23927" s="11"/>
      <c r="O23927" s="11"/>
      <c r="P23927" s="11"/>
    </row>
    <row r="23928" spans="8:16" x14ac:dyDescent="0.25">
      <c r="H23928" s="12"/>
      <c r="I23928" s="12"/>
      <c r="J23928" s="12"/>
      <c r="K23928" s="12"/>
      <c r="L23928" s="12"/>
      <c r="M23928" s="11"/>
      <c r="N23928" s="11"/>
      <c r="O23928" s="11"/>
      <c r="P23928" s="11"/>
    </row>
    <row r="23929" spans="8:16" x14ac:dyDescent="0.25">
      <c r="H23929" s="12"/>
      <c r="I23929" s="12"/>
      <c r="J23929" s="12"/>
      <c r="K23929" s="12"/>
      <c r="L23929" s="12"/>
      <c r="M23929" s="11"/>
      <c r="N23929" s="11"/>
      <c r="O23929" s="11"/>
      <c r="P23929" s="11"/>
    </row>
    <row r="23930" spans="8:16" x14ac:dyDescent="0.25">
      <c r="H23930" s="12"/>
      <c r="I23930" s="12"/>
      <c r="J23930" s="12"/>
      <c r="K23930" s="12"/>
      <c r="L23930" s="12"/>
      <c r="M23930" s="11"/>
      <c r="N23930" s="11"/>
      <c r="O23930" s="11"/>
      <c r="P23930" s="11"/>
    </row>
    <row r="23931" spans="8:16" x14ac:dyDescent="0.25">
      <c r="H23931" s="12"/>
      <c r="I23931" s="12"/>
      <c r="J23931" s="12"/>
      <c r="K23931" s="12"/>
      <c r="L23931" s="12"/>
      <c r="M23931" s="11"/>
      <c r="N23931" s="11"/>
      <c r="O23931" s="11"/>
      <c r="P23931" s="11"/>
    </row>
    <row r="23932" spans="8:16" x14ac:dyDescent="0.25">
      <c r="H23932" s="12"/>
      <c r="I23932" s="12"/>
      <c r="J23932" s="12"/>
      <c r="K23932" s="12"/>
      <c r="L23932" s="12"/>
      <c r="M23932" s="11"/>
      <c r="N23932" s="11"/>
      <c r="O23932" s="11"/>
      <c r="P23932" s="11"/>
    </row>
    <row r="23933" spans="8:16" x14ac:dyDescent="0.25">
      <c r="H23933" s="12"/>
      <c r="I23933" s="12"/>
      <c r="J23933" s="12"/>
      <c r="K23933" s="12"/>
      <c r="L23933" s="12"/>
      <c r="M23933" s="11"/>
      <c r="N23933" s="11"/>
      <c r="O23933" s="11"/>
      <c r="P23933" s="11"/>
    </row>
    <row r="23934" spans="8:16" x14ac:dyDescent="0.25">
      <c r="H23934" s="12"/>
      <c r="I23934" s="12"/>
      <c r="J23934" s="12"/>
      <c r="K23934" s="12"/>
      <c r="L23934" s="12"/>
      <c r="M23934" s="11"/>
      <c r="N23934" s="11"/>
      <c r="O23934" s="11"/>
      <c r="P23934" s="11"/>
    </row>
    <row r="23935" spans="8:16" x14ac:dyDescent="0.25">
      <c r="H23935" s="12"/>
      <c r="I23935" s="12"/>
      <c r="J23935" s="12"/>
      <c r="K23935" s="12"/>
      <c r="L23935" s="12"/>
      <c r="M23935" s="11"/>
      <c r="N23935" s="11"/>
      <c r="O23935" s="11"/>
      <c r="P23935" s="11"/>
    </row>
    <row r="23936" spans="8:16" x14ac:dyDescent="0.25">
      <c r="H23936" s="12"/>
      <c r="I23936" s="12"/>
      <c r="J23936" s="12"/>
      <c r="K23936" s="12"/>
      <c r="L23936" s="12"/>
      <c r="M23936" s="11"/>
      <c r="N23936" s="11"/>
      <c r="O23936" s="11"/>
      <c r="P23936" s="11"/>
    </row>
    <row r="23937" spans="8:16" x14ac:dyDescent="0.25">
      <c r="H23937" s="12"/>
      <c r="I23937" s="12"/>
      <c r="J23937" s="12"/>
      <c r="K23937" s="12"/>
      <c r="L23937" s="12"/>
      <c r="M23937" s="11"/>
      <c r="N23937" s="11"/>
      <c r="O23937" s="11"/>
      <c r="P23937" s="11"/>
    </row>
    <row r="23938" spans="8:16" x14ac:dyDescent="0.25">
      <c r="H23938" s="12"/>
      <c r="I23938" s="12"/>
      <c r="J23938" s="12"/>
      <c r="K23938" s="12"/>
      <c r="L23938" s="12"/>
      <c r="M23938" s="11"/>
      <c r="N23938" s="11"/>
      <c r="O23938" s="11"/>
      <c r="P23938" s="11"/>
    </row>
    <row r="23939" spans="8:16" x14ac:dyDescent="0.25">
      <c r="H23939" s="12"/>
      <c r="I23939" s="12"/>
      <c r="J23939" s="12"/>
      <c r="K23939" s="12"/>
      <c r="L23939" s="12"/>
      <c r="M23939" s="11"/>
      <c r="N23939" s="11"/>
      <c r="O23939" s="11"/>
      <c r="P23939" s="11"/>
    </row>
    <row r="23940" spans="8:16" x14ac:dyDescent="0.25">
      <c r="H23940" s="12"/>
      <c r="I23940" s="12"/>
      <c r="J23940" s="12"/>
      <c r="K23940" s="12"/>
      <c r="L23940" s="12"/>
      <c r="M23940" s="11"/>
      <c r="N23940" s="11"/>
      <c r="O23940" s="11"/>
      <c r="P23940" s="11"/>
    </row>
    <row r="23941" spans="8:16" x14ac:dyDescent="0.25">
      <c r="H23941" s="12"/>
      <c r="I23941" s="12"/>
      <c r="J23941" s="12"/>
      <c r="K23941" s="12"/>
      <c r="L23941" s="12"/>
      <c r="M23941" s="11"/>
      <c r="N23941" s="11"/>
      <c r="O23941" s="11"/>
      <c r="P23941" s="11"/>
    </row>
    <row r="23942" spans="8:16" x14ac:dyDescent="0.25">
      <c r="H23942" s="12"/>
      <c r="I23942" s="12"/>
      <c r="J23942" s="12"/>
      <c r="K23942" s="12"/>
      <c r="L23942" s="12"/>
      <c r="M23942" s="11"/>
      <c r="N23942" s="11"/>
      <c r="O23942" s="11"/>
      <c r="P23942" s="11"/>
    </row>
    <row r="23943" spans="8:16" x14ac:dyDescent="0.25">
      <c r="H23943" s="12"/>
      <c r="I23943" s="12"/>
      <c r="J23943" s="12"/>
      <c r="K23943" s="12"/>
      <c r="L23943" s="12"/>
      <c r="M23943" s="11"/>
      <c r="N23943" s="11"/>
      <c r="O23943" s="11"/>
      <c r="P23943" s="11"/>
    </row>
    <row r="23944" spans="8:16" x14ac:dyDescent="0.25">
      <c r="H23944" s="12"/>
      <c r="I23944" s="12"/>
      <c r="J23944" s="12"/>
      <c r="K23944" s="12"/>
      <c r="L23944" s="12"/>
      <c r="M23944" s="11"/>
      <c r="N23944" s="11"/>
      <c r="O23944" s="11"/>
      <c r="P23944" s="11"/>
    </row>
    <row r="23945" spans="8:16" x14ac:dyDescent="0.25">
      <c r="H23945" s="12"/>
      <c r="I23945" s="12"/>
      <c r="J23945" s="12"/>
      <c r="K23945" s="12"/>
      <c r="L23945" s="12"/>
      <c r="M23945" s="11"/>
      <c r="N23945" s="11"/>
      <c r="O23945" s="11"/>
      <c r="P23945" s="11"/>
    </row>
    <row r="23946" spans="8:16" x14ac:dyDescent="0.25">
      <c r="H23946" s="12"/>
      <c r="I23946" s="12"/>
      <c r="J23946" s="12"/>
      <c r="K23946" s="12"/>
      <c r="L23946" s="12"/>
      <c r="M23946" s="11"/>
      <c r="N23946" s="11"/>
      <c r="O23946" s="11"/>
      <c r="P23946" s="11"/>
    </row>
    <row r="23947" spans="8:16" x14ac:dyDescent="0.25">
      <c r="H23947" s="12"/>
      <c r="I23947" s="12"/>
      <c r="J23947" s="12"/>
      <c r="K23947" s="12"/>
      <c r="L23947" s="12"/>
      <c r="M23947" s="11"/>
      <c r="N23947" s="11"/>
      <c r="O23947" s="11"/>
      <c r="P23947" s="11"/>
    </row>
    <row r="23948" spans="8:16" x14ac:dyDescent="0.25">
      <c r="H23948" s="12"/>
      <c r="I23948" s="12"/>
      <c r="J23948" s="12"/>
      <c r="K23948" s="12"/>
      <c r="L23948" s="12"/>
      <c r="M23948" s="11"/>
      <c r="N23948" s="11"/>
      <c r="O23948" s="11"/>
      <c r="P23948" s="11"/>
    </row>
    <row r="23949" spans="8:16" x14ac:dyDescent="0.25">
      <c r="H23949" s="12"/>
      <c r="I23949" s="12"/>
      <c r="J23949" s="12"/>
      <c r="K23949" s="12"/>
      <c r="L23949" s="12"/>
      <c r="M23949" s="11"/>
      <c r="N23949" s="11"/>
      <c r="O23949" s="11"/>
      <c r="P23949" s="11"/>
    </row>
    <row r="23950" spans="8:16" x14ac:dyDescent="0.25">
      <c r="H23950" s="12"/>
      <c r="I23950" s="12"/>
      <c r="J23950" s="12"/>
      <c r="K23950" s="12"/>
      <c r="L23950" s="12"/>
      <c r="M23950" s="11"/>
      <c r="N23950" s="11"/>
      <c r="O23950" s="11"/>
      <c r="P23950" s="11"/>
    </row>
    <row r="23951" spans="8:16" x14ac:dyDescent="0.25">
      <c r="H23951" s="12"/>
      <c r="I23951" s="12"/>
      <c r="J23951" s="12"/>
      <c r="K23951" s="12"/>
      <c r="L23951" s="12"/>
      <c r="M23951" s="11"/>
      <c r="N23951" s="11"/>
      <c r="O23951" s="11"/>
      <c r="P23951" s="11"/>
    </row>
    <row r="23952" spans="8:16" x14ac:dyDescent="0.25">
      <c r="H23952" s="12"/>
      <c r="I23952" s="12"/>
      <c r="J23952" s="12"/>
      <c r="K23952" s="12"/>
      <c r="L23952" s="12"/>
      <c r="M23952" s="11"/>
      <c r="N23952" s="11"/>
      <c r="O23952" s="11"/>
      <c r="P23952" s="11"/>
    </row>
    <row r="23953" spans="8:16" x14ac:dyDescent="0.25">
      <c r="H23953" s="12"/>
      <c r="I23953" s="12"/>
      <c r="J23953" s="12"/>
      <c r="K23953" s="12"/>
      <c r="L23953" s="12"/>
      <c r="M23953" s="11"/>
      <c r="N23953" s="11"/>
      <c r="O23953" s="11"/>
      <c r="P23953" s="11"/>
    </row>
    <row r="23954" spans="8:16" x14ac:dyDescent="0.25">
      <c r="H23954" s="12"/>
      <c r="I23954" s="12"/>
      <c r="J23954" s="12"/>
      <c r="K23954" s="12"/>
      <c r="L23954" s="12"/>
      <c r="M23954" s="11"/>
      <c r="N23954" s="11"/>
      <c r="O23954" s="11"/>
      <c r="P23954" s="11"/>
    </row>
    <row r="23955" spans="8:16" x14ac:dyDescent="0.25">
      <c r="H23955" s="12"/>
      <c r="I23955" s="12"/>
      <c r="J23955" s="12"/>
      <c r="K23955" s="12"/>
      <c r="L23955" s="12"/>
      <c r="M23955" s="11"/>
      <c r="N23955" s="11"/>
      <c r="O23955" s="11"/>
      <c r="P23955" s="11"/>
    </row>
    <row r="23956" spans="8:16" x14ac:dyDescent="0.25">
      <c r="H23956" s="12"/>
      <c r="I23956" s="12"/>
      <c r="J23956" s="12"/>
      <c r="K23956" s="12"/>
      <c r="L23956" s="12"/>
      <c r="M23956" s="11"/>
      <c r="N23956" s="11"/>
      <c r="O23956" s="11"/>
      <c r="P23956" s="11"/>
    </row>
    <row r="23957" spans="8:16" x14ac:dyDescent="0.25">
      <c r="H23957" s="12"/>
      <c r="I23957" s="12"/>
      <c r="J23957" s="12"/>
      <c r="K23957" s="12"/>
      <c r="L23957" s="12"/>
      <c r="M23957" s="11"/>
      <c r="N23957" s="11"/>
      <c r="O23957" s="11"/>
      <c r="P23957" s="11"/>
    </row>
    <row r="23958" spans="8:16" x14ac:dyDescent="0.25">
      <c r="H23958" s="12"/>
      <c r="I23958" s="12"/>
      <c r="J23958" s="12"/>
      <c r="K23958" s="12"/>
      <c r="L23958" s="12"/>
      <c r="M23958" s="11"/>
      <c r="N23958" s="11"/>
      <c r="O23958" s="11"/>
      <c r="P23958" s="11"/>
    </row>
    <row r="23959" spans="8:16" x14ac:dyDescent="0.25">
      <c r="H23959" s="12"/>
      <c r="I23959" s="12"/>
      <c r="J23959" s="12"/>
      <c r="K23959" s="12"/>
      <c r="L23959" s="12"/>
      <c r="M23959" s="11"/>
      <c r="N23959" s="11"/>
      <c r="O23959" s="11"/>
      <c r="P23959" s="11"/>
    </row>
    <row r="23960" spans="8:16" x14ac:dyDescent="0.25">
      <c r="H23960" s="12"/>
      <c r="I23960" s="12"/>
      <c r="J23960" s="12"/>
      <c r="K23960" s="12"/>
      <c r="L23960" s="12"/>
      <c r="M23960" s="11"/>
      <c r="N23960" s="11"/>
      <c r="O23960" s="11"/>
      <c r="P23960" s="11"/>
    </row>
    <row r="23961" spans="8:16" x14ac:dyDescent="0.25">
      <c r="H23961" s="12"/>
      <c r="I23961" s="12"/>
      <c r="J23961" s="12"/>
      <c r="K23961" s="12"/>
      <c r="L23961" s="12"/>
      <c r="M23961" s="11"/>
      <c r="N23961" s="11"/>
      <c r="O23961" s="11"/>
      <c r="P23961" s="11"/>
    </row>
    <row r="23962" spans="8:16" x14ac:dyDescent="0.25">
      <c r="H23962" s="12"/>
      <c r="I23962" s="12"/>
      <c r="J23962" s="12"/>
      <c r="K23962" s="12"/>
      <c r="L23962" s="12"/>
      <c r="M23962" s="11"/>
      <c r="N23962" s="11"/>
      <c r="O23962" s="11"/>
      <c r="P23962" s="11"/>
    </row>
    <row r="23963" spans="8:16" x14ac:dyDescent="0.25">
      <c r="H23963" s="12"/>
      <c r="I23963" s="12"/>
      <c r="J23963" s="12"/>
      <c r="K23963" s="12"/>
      <c r="L23963" s="12"/>
      <c r="M23963" s="11"/>
      <c r="N23963" s="11"/>
      <c r="O23963" s="11"/>
      <c r="P23963" s="11"/>
    </row>
    <row r="23964" spans="8:16" x14ac:dyDescent="0.25">
      <c r="H23964" s="12"/>
      <c r="I23964" s="12"/>
      <c r="J23964" s="12"/>
      <c r="K23964" s="12"/>
      <c r="L23964" s="12"/>
      <c r="M23964" s="11"/>
      <c r="N23964" s="11"/>
      <c r="O23964" s="11"/>
      <c r="P23964" s="11"/>
    </row>
    <row r="23965" spans="8:16" x14ac:dyDescent="0.25">
      <c r="H23965" s="12"/>
      <c r="I23965" s="12"/>
      <c r="J23965" s="12"/>
      <c r="K23965" s="12"/>
      <c r="L23965" s="12"/>
      <c r="M23965" s="11"/>
      <c r="N23965" s="11"/>
      <c r="O23965" s="11"/>
      <c r="P23965" s="11"/>
    </row>
    <row r="23966" spans="8:16" x14ac:dyDescent="0.25">
      <c r="H23966" s="12"/>
      <c r="I23966" s="12"/>
      <c r="J23966" s="12"/>
      <c r="K23966" s="12"/>
      <c r="L23966" s="12"/>
      <c r="M23966" s="11"/>
      <c r="N23966" s="11"/>
      <c r="O23966" s="11"/>
      <c r="P23966" s="11"/>
    </row>
    <row r="23967" spans="8:16" x14ac:dyDescent="0.25">
      <c r="H23967" s="12"/>
      <c r="I23967" s="12"/>
      <c r="J23967" s="12"/>
      <c r="K23967" s="12"/>
      <c r="L23967" s="12"/>
      <c r="M23967" s="11"/>
      <c r="N23967" s="11"/>
      <c r="O23967" s="11"/>
      <c r="P23967" s="11"/>
    </row>
    <row r="23968" spans="8:16" x14ac:dyDescent="0.25">
      <c r="H23968" s="12"/>
      <c r="I23968" s="12"/>
      <c r="J23968" s="12"/>
      <c r="K23968" s="12"/>
      <c r="L23968" s="12"/>
      <c r="M23968" s="11"/>
      <c r="N23968" s="11"/>
      <c r="O23968" s="11"/>
      <c r="P23968" s="11"/>
    </row>
    <row r="23969" spans="8:16" x14ac:dyDescent="0.25">
      <c r="H23969" s="12"/>
      <c r="I23969" s="12"/>
      <c r="J23969" s="12"/>
      <c r="K23969" s="12"/>
      <c r="L23969" s="12"/>
      <c r="M23969" s="11"/>
      <c r="N23969" s="11"/>
      <c r="O23969" s="11"/>
      <c r="P23969" s="11"/>
    </row>
    <row r="23970" spans="8:16" x14ac:dyDescent="0.25">
      <c r="H23970" s="12"/>
      <c r="I23970" s="12"/>
      <c r="J23970" s="12"/>
      <c r="K23970" s="12"/>
      <c r="L23970" s="12"/>
      <c r="M23970" s="11"/>
      <c r="N23970" s="11"/>
      <c r="O23970" s="11"/>
      <c r="P23970" s="11"/>
    </row>
    <row r="23971" spans="8:16" x14ac:dyDescent="0.25">
      <c r="H23971" s="12"/>
      <c r="I23971" s="12"/>
      <c r="J23971" s="12"/>
      <c r="K23971" s="12"/>
      <c r="L23971" s="12"/>
      <c r="M23971" s="11"/>
      <c r="N23971" s="11"/>
      <c r="O23971" s="11"/>
      <c r="P23971" s="11"/>
    </row>
    <row r="23972" spans="8:16" x14ac:dyDescent="0.25">
      <c r="H23972" s="12"/>
      <c r="I23972" s="12"/>
      <c r="J23972" s="12"/>
      <c r="K23972" s="12"/>
      <c r="L23972" s="12"/>
      <c r="M23972" s="11"/>
      <c r="N23972" s="11"/>
      <c r="O23972" s="11"/>
      <c r="P23972" s="11"/>
    </row>
    <row r="23973" spans="8:16" x14ac:dyDescent="0.25">
      <c r="H23973" s="12"/>
      <c r="I23973" s="12"/>
      <c r="J23973" s="12"/>
      <c r="K23973" s="12"/>
      <c r="L23973" s="12"/>
      <c r="M23973" s="11"/>
      <c r="N23973" s="11"/>
      <c r="O23973" s="11"/>
      <c r="P23973" s="11"/>
    </row>
    <row r="23974" spans="8:16" x14ac:dyDescent="0.25">
      <c r="H23974" s="12"/>
      <c r="I23974" s="12"/>
      <c r="J23974" s="12"/>
      <c r="K23974" s="12"/>
      <c r="L23974" s="12"/>
      <c r="M23974" s="11"/>
      <c r="N23974" s="11"/>
      <c r="O23974" s="11"/>
      <c r="P23974" s="11"/>
    </row>
    <row r="23975" spans="8:16" x14ac:dyDescent="0.25">
      <c r="H23975" s="12"/>
      <c r="I23975" s="12"/>
      <c r="J23975" s="12"/>
      <c r="K23975" s="12"/>
      <c r="L23975" s="12"/>
      <c r="M23975" s="11"/>
      <c r="N23975" s="11"/>
      <c r="O23975" s="11"/>
      <c r="P23975" s="11"/>
    </row>
    <row r="23976" spans="8:16" x14ac:dyDescent="0.25">
      <c r="H23976" s="12"/>
      <c r="I23976" s="12"/>
      <c r="J23976" s="12"/>
      <c r="K23976" s="12"/>
      <c r="L23976" s="12"/>
      <c r="M23976" s="11"/>
      <c r="N23976" s="11"/>
      <c r="O23976" s="11"/>
      <c r="P23976" s="11"/>
    </row>
    <row r="23977" spans="8:16" x14ac:dyDescent="0.25">
      <c r="H23977" s="12"/>
      <c r="I23977" s="12"/>
      <c r="J23977" s="12"/>
      <c r="K23977" s="12"/>
      <c r="L23977" s="12"/>
      <c r="M23977" s="11"/>
      <c r="N23977" s="11"/>
      <c r="O23977" s="11"/>
      <c r="P23977" s="11"/>
    </row>
    <row r="23978" spans="8:16" x14ac:dyDescent="0.25">
      <c r="H23978" s="12"/>
      <c r="I23978" s="12"/>
      <c r="J23978" s="12"/>
      <c r="K23978" s="12"/>
      <c r="L23978" s="12"/>
      <c r="M23978" s="11"/>
      <c r="N23978" s="11"/>
      <c r="O23978" s="11"/>
      <c r="P23978" s="11"/>
    </row>
    <row r="23979" spans="8:16" x14ac:dyDescent="0.25">
      <c r="H23979" s="12"/>
      <c r="I23979" s="12"/>
      <c r="J23979" s="12"/>
      <c r="K23979" s="12"/>
      <c r="L23979" s="12"/>
      <c r="M23979" s="11"/>
      <c r="N23979" s="11"/>
      <c r="O23979" s="11"/>
      <c r="P23979" s="11"/>
    </row>
    <row r="23980" spans="8:16" x14ac:dyDescent="0.25">
      <c r="H23980" s="12"/>
      <c r="I23980" s="12"/>
      <c r="J23980" s="12"/>
      <c r="K23980" s="12"/>
      <c r="L23980" s="12"/>
      <c r="M23980" s="11"/>
      <c r="N23980" s="11"/>
      <c r="O23980" s="11"/>
      <c r="P23980" s="11"/>
    </row>
    <row r="23981" spans="8:16" x14ac:dyDescent="0.25">
      <c r="H23981" s="12"/>
      <c r="I23981" s="12"/>
      <c r="J23981" s="12"/>
      <c r="K23981" s="12"/>
      <c r="L23981" s="12"/>
      <c r="M23981" s="11"/>
      <c r="N23981" s="11"/>
      <c r="O23981" s="11"/>
      <c r="P23981" s="11"/>
    </row>
    <row r="23982" spans="8:16" x14ac:dyDescent="0.25">
      <c r="H23982" s="12"/>
      <c r="I23982" s="12"/>
      <c r="J23982" s="12"/>
      <c r="K23982" s="12"/>
      <c r="L23982" s="12"/>
      <c r="M23982" s="11"/>
      <c r="N23982" s="11"/>
      <c r="O23982" s="11"/>
      <c r="P23982" s="11"/>
    </row>
    <row r="23983" spans="8:16" x14ac:dyDescent="0.25">
      <c r="H23983" s="12"/>
      <c r="I23983" s="12"/>
      <c r="J23983" s="12"/>
      <c r="K23983" s="12"/>
      <c r="L23983" s="12"/>
      <c r="M23983" s="11"/>
      <c r="N23983" s="11"/>
      <c r="O23983" s="11"/>
      <c r="P23983" s="11"/>
    </row>
    <row r="23984" spans="8:16" x14ac:dyDescent="0.25">
      <c r="H23984" s="12"/>
      <c r="I23984" s="12"/>
      <c r="J23984" s="12"/>
      <c r="K23984" s="12"/>
      <c r="L23984" s="12"/>
      <c r="M23984" s="11"/>
      <c r="N23984" s="11"/>
      <c r="O23984" s="11"/>
      <c r="P23984" s="11"/>
    </row>
    <row r="23985" spans="8:16" x14ac:dyDescent="0.25">
      <c r="H23985" s="12"/>
      <c r="I23985" s="12"/>
      <c r="J23985" s="12"/>
      <c r="K23985" s="12"/>
      <c r="L23985" s="12"/>
      <c r="M23985" s="11"/>
      <c r="N23985" s="11"/>
      <c r="O23985" s="11"/>
      <c r="P23985" s="11"/>
    </row>
    <row r="23986" spans="8:16" x14ac:dyDescent="0.25">
      <c r="H23986" s="12"/>
      <c r="I23986" s="12"/>
      <c r="J23986" s="12"/>
      <c r="K23986" s="12"/>
      <c r="L23986" s="12"/>
      <c r="M23986" s="11"/>
      <c r="N23986" s="11"/>
      <c r="O23986" s="11"/>
      <c r="P23986" s="11"/>
    </row>
    <row r="23987" spans="8:16" x14ac:dyDescent="0.25">
      <c r="H23987" s="12"/>
      <c r="I23987" s="12"/>
      <c r="J23987" s="12"/>
      <c r="K23987" s="12"/>
      <c r="L23987" s="12"/>
      <c r="M23987" s="11"/>
      <c r="N23987" s="11"/>
      <c r="O23987" s="11"/>
      <c r="P23987" s="11"/>
    </row>
    <row r="23988" spans="8:16" x14ac:dyDescent="0.25">
      <c r="H23988" s="12"/>
      <c r="I23988" s="12"/>
      <c r="J23988" s="12"/>
      <c r="K23988" s="12"/>
      <c r="L23988" s="12"/>
      <c r="M23988" s="11"/>
      <c r="N23988" s="11"/>
      <c r="O23988" s="11"/>
      <c r="P23988" s="11"/>
    </row>
    <row r="23989" spans="8:16" x14ac:dyDescent="0.25">
      <c r="H23989" s="12"/>
      <c r="I23989" s="12"/>
      <c r="J23989" s="12"/>
      <c r="K23989" s="12"/>
      <c r="L23989" s="12"/>
      <c r="M23989" s="11"/>
      <c r="N23989" s="11"/>
      <c r="O23989" s="11"/>
      <c r="P23989" s="11"/>
    </row>
    <row r="23990" spans="8:16" x14ac:dyDescent="0.25">
      <c r="H23990" s="12"/>
      <c r="I23990" s="12"/>
      <c r="J23990" s="12"/>
      <c r="K23990" s="12"/>
      <c r="L23990" s="12"/>
      <c r="M23990" s="11"/>
      <c r="N23990" s="11"/>
      <c r="O23990" s="11"/>
      <c r="P23990" s="11"/>
    </row>
    <row r="23991" spans="8:16" x14ac:dyDescent="0.25">
      <c r="H23991" s="12"/>
      <c r="I23991" s="12"/>
      <c r="J23991" s="12"/>
      <c r="K23991" s="12"/>
      <c r="L23991" s="12"/>
      <c r="M23991" s="11"/>
      <c r="N23991" s="11"/>
      <c r="O23991" s="11"/>
      <c r="P23991" s="11"/>
    </row>
    <row r="23992" spans="8:16" x14ac:dyDescent="0.25">
      <c r="H23992" s="12"/>
      <c r="I23992" s="12"/>
      <c r="J23992" s="12"/>
      <c r="K23992" s="12"/>
      <c r="L23992" s="12"/>
      <c r="M23992" s="11"/>
      <c r="N23992" s="11"/>
      <c r="O23992" s="11"/>
      <c r="P23992" s="11"/>
    </row>
    <row r="23993" spans="8:16" x14ac:dyDescent="0.25">
      <c r="H23993" s="12"/>
      <c r="I23993" s="12"/>
      <c r="J23993" s="12"/>
      <c r="K23993" s="12"/>
      <c r="L23993" s="12"/>
      <c r="M23993" s="11"/>
      <c r="N23993" s="11"/>
      <c r="O23993" s="11"/>
      <c r="P23993" s="11"/>
    </row>
    <row r="23994" spans="8:16" x14ac:dyDescent="0.25">
      <c r="H23994" s="12"/>
      <c r="I23994" s="12"/>
      <c r="J23994" s="12"/>
      <c r="K23994" s="12"/>
      <c r="L23994" s="12"/>
      <c r="M23994" s="11"/>
      <c r="N23994" s="11"/>
      <c r="O23994" s="11"/>
      <c r="P23994" s="11"/>
    </row>
    <row r="23995" spans="8:16" x14ac:dyDescent="0.25">
      <c r="H23995" s="12"/>
      <c r="I23995" s="12"/>
      <c r="J23995" s="12"/>
      <c r="K23995" s="12"/>
      <c r="L23995" s="12"/>
      <c r="M23995" s="11"/>
      <c r="N23995" s="11"/>
      <c r="O23995" s="11"/>
      <c r="P23995" s="11"/>
    </row>
    <row r="23996" spans="8:16" x14ac:dyDescent="0.25">
      <c r="H23996" s="12"/>
      <c r="I23996" s="12"/>
      <c r="J23996" s="12"/>
      <c r="K23996" s="12"/>
      <c r="L23996" s="12"/>
      <c r="M23996" s="11"/>
      <c r="N23996" s="11"/>
      <c r="O23996" s="11"/>
      <c r="P23996" s="11"/>
    </row>
    <row r="23997" spans="8:16" x14ac:dyDescent="0.25">
      <c r="H23997" s="12"/>
      <c r="I23997" s="12"/>
      <c r="J23997" s="12"/>
      <c r="K23997" s="12"/>
      <c r="L23997" s="12"/>
      <c r="M23997" s="11"/>
      <c r="N23997" s="11"/>
      <c r="O23997" s="11"/>
      <c r="P23997" s="11"/>
    </row>
    <row r="23998" spans="8:16" x14ac:dyDescent="0.25">
      <c r="H23998" s="12"/>
      <c r="I23998" s="12"/>
      <c r="J23998" s="12"/>
      <c r="K23998" s="12"/>
      <c r="L23998" s="12"/>
      <c r="M23998" s="11"/>
      <c r="N23998" s="11"/>
      <c r="O23998" s="11"/>
      <c r="P23998" s="11"/>
    </row>
    <row r="23999" spans="8:16" x14ac:dyDescent="0.25">
      <c r="H23999" s="12"/>
      <c r="I23999" s="12"/>
      <c r="J23999" s="12"/>
      <c r="K23999" s="12"/>
      <c r="L23999" s="12"/>
      <c r="M23999" s="11"/>
      <c r="N23999" s="11"/>
      <c r="O23999" s="11"/>
      <c r="P23999" s="11"/>
    </row>
    <row r="24000" spans="8:16" x14ac:dyDescent="0.25">
      <c r="H24000" s="12"/>
      <c r="I24000" s="12"/>
      <c r="J24000" s="12"/>
      <c r="K24000" s="12"/>
      <c r="L24000" s="12"/>
      <c r="M24000" s="11"/>
      <c r="N24000" s="11"/>
      <c r="O24000" s="11"/>
      <c r="P24000" s="11"/>
    </row>
    <row r="24001" spans="8:16" x14ac:dyDescent="0.25">
      <c r="H24001" s="12"/>
      <c r="I24001" s="12"/>
      <c r="J24001" s="12"/>
      <c r="K24001" s="12"/>
      <c r="L24001" s="12"/>
      <c r="M24001" s="11"/>
      <c r="N24001" s="11"/>
      <c r="O24001" s="11"/>
      <c r="P24001" s="11"/>
    </row>
    <row r="24002" spans="8:16" x14ac:dyDescent="0.25">
      <c r="H24002" s="12"/>
      <c r="I24002" s="12"/>
      <c r="J24002" s="12"/>
      <c r="K24002" s="12"/>
      <c r="L24002" s="12"/>
      <c r="M24002" s="11"/>
      <c r="N24002" s="11"/>
      <c r="O24002" s="11"/>
      <c r="P24002" s="11"/>
    </row>
    <row r="24003" spans="8:16" x14ac:dyDescent="0.25">
      <c r="H24003" s="12"/>
      <c r="I24003" s="12"/>
      <c r="J24003" s="12"/>
      <c r="K24003" s="12"/>
      <c r="L24003" s="12"/>
      <c r="M24003" s="11"/>
      <c r="N24003" s="11"/>
      <c r="O24003" s="11"/>
      <c r="P24003" s="11"/>
    </row>
    <row r="24004" spans="8:16" x14ac:dyDescent="0.25">
      <c r="H24004" s="12"/>
      <c r="I24004" s="12"/>
      <c r="J24004" s="12"/>
      <c r="K24004" s="12"/>
      <c r="L24004" s="12"/>
      <c r="M24004" s="11"/>
      <c r="N24004" s="11"/>
      <c r="O24004" s="11"/>
      <c r="P24004" s="11"/>
    </row>
    <row r="24005" spans="8:16" x14ac:dyDescent="0.25">
      <c r="H24005" s="12"/>
      <c r="I24005" s="12"/>
      <c r="J24005" s="12"/>
      <c r="K24005" s="12"/>
      <c r="L24005" s="12"/>
      <c r="M24005" s="11"/>
      <c r="N24005" s="11"/>
      <c r="O24005" s="11"/>
      <c r="P24005" s="11"/>
    </row>
    <row r="24006" spans="8:16" x14ac:dyDescent="0.25">
      <c r="H24006" s="12"/>
      <c r="I24006" s="12"/>
      <c r="J24006" s="12"/>
      <c r="K24006" s="12"/>
      <c r="L24006" s="12"/>
      <c r="M24006" s="11"/>
      <c r="N24006" s="11"/>
      <c r="O24006" s="11"/>
      <c r="P24006" s="11"/>
    </row>
    <row r="24007" spans="8:16" x14ac:dyDescent="0.25">
      <c r="H24007" s="12"/>
      <c r="I24007" s="12"/>
      <c r="J24007" s="12"/>
      <c r="K24007" s="12"/>
      <c r="L24007" s="12"/>
      <c r="M24007" s="11"/>
      <c r="N24007" s="11"/>
      <c r="O24007" s="11"/>
      <c r="P24007" s="11"/>
    </row>
    <row r="24008" spans="8:16" x14ac:dyDescent="0.25">
      <c r="H24008" s="12"/>
      <c r="I24008" s="12"/>
      <c r="J24008" s="12"/>
      <c r="K24008" s="12"/>
      <c r="L24008" s="12"/>
      <c r="M24008" s="11"/>
      <c r="N24008" s="11"/>
      <c r="O24008" s="11"/>
      <c r="P24008" s="11"/>
    </row>
    <row r="24009" spans="8:16" x14ac:dyDescent="0.25">
      <c r="H24009" s="12"/>
      <c r="I24009" s="12"/>
      <c r="J24009" s="12"/>
      <c r="K24009" s="12"/>
      <c r="L24009" s="12"/>
      <c r="M24009" s="11"/>
      <c r="N24009" s="11"/>
      <c r="O24009" s="11"/>
      <c r="P24009" s="11"/>
    </row>
    <row r="24010" spans="8:16" x14ac:dyDescent="0.25">
      <c r="H24010" s="12"/>
      <c r="I24010" s="12"/>
      <c r="J24010" s="12"/>
      <c r="K24010" s="12"/>
      <c r="L24010" s="12"/>
      <c r="M24010" s="11"/>
      <c r="N24010" s="11"/>
      <c r="O24010" s="11"/>
      <c r="P24010" s="11"/>
    </row>
    <row r="24011" spans="8:16" x14ac:dyDescent="0.25">
      <c r="H24011" s="12"/>
      <c r="I24011" s="12"/>
      <c r="J24011" s="12"/>
      <c r="K24011" s="12"/>
      <c r="L24011" s="12"/>
      <c r="M24011" s="11"/>
      <c r="N24011" s="11"/>
      <c r="O24011" s="11"/>
      <c r="P24011" s="11"/>
    </row>
    <row r="24012" spans="8:16" x14ac:dyDescent="0.25">
      <c r="H24012" s="12"/>
      <c r="I24012" s="12"/>
      <c r="J24012" s="12"/>
      <c r="K24012" s="12"/>
      <c r="L24012" s="12"/>
      <c r="M24012" s="11"/>
      <c r="N24012" s="11"/>
      <c r="O24012" s="11"/>
      <c r="P24012" s="11"/>
    </row>
    <row r="24013" spans="8:16" x14ac:dyDescent="0.25">
      <c r="H24013" s="12"/>
      <c r="I24013" s="12"/>
      <c r="J24013" s="12"/>
      <c r="K24013" s="12"/>
      <c r="L24013" s="12"/>
      <c r="M24013" s="11"/>
      <c r="N24013" s="11"/>
      <c r="O24013" s="11"/>
      <c r="P24013" s="11"/>
    </row>
    <row r="24014" spans="8:16" x14ac:dyDescent="0.25">
      <c r="H24014" s="12"/>
      <c r="I24014" s="12"/>
      <c r="J24014" s="12"/>
      <c r="K24014" s="12"/>
      <c r="L24014" s="12"/>
      <c r="M24014" s="11"/>
      <c r="N24014" s="11"/>
      <c r="O24014" s="11"/>
      <c r="P24014" s="11"/>
    </row>
    <row r="24015" spans="8:16" x14ac:dyDescent="0.25">
      <c r="H24015" s="12"/>
      <c r="I24015" s="12"/>
      <c r="J24015" s="12"/>
      <c r="K24015" s="12"/>
      <c r="L24015" s="12"/>
      <c r="M24015" s="11"/>
      <c r="N24015" s="11"/>
      <c r="O24015" s="11"/>
      <c r="P24015" s="11"/>
    </row>
    <row r="24016" spans="8:16" x14ac:dyDescent="0.25">
      <c r="H24016" s="12"/>
      <c r="I24016" s="12"/>
      <c r="J24016" s="12"/>
      <c r="K24016" s="12"/>
      <c r="L24016" s="12"/>
      <c r="M24016" s="11"/>
      <c r="N24016" s="11"/>
      <c r="O24016" s="11"/>
      <c r="P24016" s="11"/>
    </row>
    <row r="24017" spans="8:16" x14ac:dyDescent="0.25">
      <c r="H24017" s="12"/>
      <c r="I24017" s="12"/>
      <c r="J24017" s="12"/>
      <c r="K24017" s="12"/>
      <c r="L24017" s="12"/>
      <c r="M24017" s="11"/>
      <c r="N24017" s="11"/>
      <c r="O24017" s="11"/>
      <c r="P24017" s="11"/>
    </row>
    <row r="24018" spans="8:16" x14ac:dyDescent="0.25">
      <c r="H24018" s="12"/>
      <c r="I24018" s="12"/>
      <c r="J24018" s="12"/>
      <c r="K24018" s="12"/>
      <c r="L24018" s="12"/>
      <c r="M24018" s="11"/>
      <c r="N24018" s="11"/>
      <c r="O24018" s="11"/>
      <c r="P24018" s="11"/>
    </row>
    <row r="24019" spans="8:16" x14ac:dyDescent="0.25">
      <c r="H24019" s="12"/>
      <c r="I24019" s="12"/>
      <c r="J24019" s="12"/>
      <c r="K24019" s="12"/>
      <c r="L24019" s="12"/>
      <c r="M24019" s="11"/>
      <c r="N24019" s="11"/>
      <c r="O24019" s="11"/>
      <c r="P24019" s="11"/>
    </row>
    <row r="24020" spans="8:16" x14ac:dyDescent="0.25">
      <c r="H24020" s="12"/>
      <c r="I24020" s="12"/>
      <c r="J24020" s="12"/>
      <c r="K24020" s="12"/>
      <c r="L24020" s="12"/>
      <c r="M24020" s="11"/>
      <c r="N24020" s="11"/>
      <c r="O24020" s="11"/>
      <c r="P24020" s="11"/>
    </row>
    <row r="24021" spans="8:16" x14ac:dyDescent="0.25">
      <c r="H24021" s="12"/>
      <c r="I24021" s="12"/>
      <c r="J24021" s="12"/>
      <c r="K24021" s="12"/>
      <c r="L24021" s="12"/>
      <c r="M24021" s="11"/>
      <c r="N24021" s="11"/>
      <c r="O24021" s="11"/>
      <c r="P24021" s="11"/>
    </row>
    <row r="24022" spans="8:16" x14ac:dyDescent="0.25">
      <c r="H24022" s="12"/>
      <c r="I24022" s="12"/>
      <c r="J24022" s="12"/>
      <c r="K24022" s="12"/>
      <c r="L24022" s="12"/>
      <c r="M24022" s="11"/>
      <c r="N24022" s="11"/>
      <c r="O24022" s="11"/>
      <c r="P24022" s="11"/>
    </row>
    <row r="24023" spans="8:16" x14ac:dyDescent="0.25">
      <c r="H24023" s="12"/>
      <c r="I24023" s="12"/>
      <c r="J24023" s="12"/>
      <c r="K24023" s="12"/>
      <c r="L24023" s="12"/>
      <c r="M24023" s="11"/>
      <c r="N24023" s="11"/>
      <c r="O24023" s="11"/>
      <c r="P24023" s="11"/>
    </row>
    <row r="24024" spans="8:16" x14ac:dyDescent="0.25">
      <c r="H24024" s="12"/>
      <c r="I24024" s="12"/>
      <c r="J24024" s="12"/>
      <c r="K24024" s="12"/>
      <c r="L24024" s="12"/>
      <c r="M24024" s="11"/>
      <c r="N24024" s="11"/>
      <c r="O24024" s="11"/>
      <c r="P24024" s="11"/>
    </row>
    <row r="24025" spans="8:16" x14ac:dyDescent="0.25">
      <c r="H24025" s="12"/>
      <c r="I24025" s="12"/>
      <c r="J24025" s="12"/>
      <c r="K24025" s="12"/>
      <c r="L24025" s="12"/>
      <c r="M24025" s="11"/>
      <c r="N24025" s="11"/>
      <c r="O24025" s="11"/>
      <c r="P24025" s="11"/>
    </row>
    <row r="24026" spans="8:16" x14ac:dyDescent="0.25">
      <c r="H24026" s="12"/>
      <c r="I24026" s="12"/>
      <c r="J24026" s="12"/>
      <c r="K24026" s="12"/>
      <c r="L24026" s="12"/>
      <c r="M24026" s="11"/>
      <c r="N24026" s="11"/>
      <c r="O24026" s="11"/>
      <c r="P24026" s="11"/>
    </row>
    <row r="24027" spans="8:16" x14ac:dyDescent="0.25">
      <c r="H24027" s="12"/>
      <c r="I24027" s="12"/>
      <c r="J24027" s="12"/>
      <c r="K24027" s="12"/>
      <c r="L24027" s="12"/>
      <c r="M24027" s="11"/>
      <c r="N24027" s="11"/>
      <c r="O24027" s="11"/>
      <c r="P24027" s="11"/>
    </row>
    <row r="24028" spans="8:16" x14ac:dyDescent="0.25">
      <c r="H24028" s="12"/>
      <c r="I24028" s="12"/>
      <c r="J24028" s="12"/>
      <c r="K24028" s="12"/>
      <c r="L24028" s="12"/>
      <c r="M24028" s="11"/>
      <c r="N24028" s="11"/>
      <c r="O24028" s="11"/>
      <c r="P24028" s="11"/>
    </row>
    <row r="24029" spans="8:16" x14ac:dyDescent="0.25">
      <c r="H24029" s="12"/>
      <c r="I24029" s="12"/>
      <c r="J24029" s="12"/>
      <c r="K24029" s="12"/>
      <c r="L24029" s="12"/>
      <c r="M24029" s="11"/>
      <c r="N24029" s="11"/>
      <c r="O24029" s="11"/>
      <c r="P24029" s="11"/>
    </row>
    <row r="24030" spans="8:16" x14ac:dyDescent="0.25">
      <c r="H24030" s="12"/>
      <c r="I24030" s="12"/>
      <c r="J24030" s="12"/>
      <c r="K24030" s="12"/>
      <c r="L24030" s="12"/>
      <c r="M24030" s="11"/>
      <c r="N24030" s="11"/>
      <c r="O24030" s="11"/>
      <c r="P24030" s="11"/>
    </row>
    <row r="24031" spans="8:16" x14ac:dyDescent="0.25">
      <c r="H24031" s="12"/>
      <c r="I24031" s="12"/>
      <c r="J24031" s="12"/>
      <c r="K24031" s="12"/>
      <c r="L24031" s="12"/>
      <c r="M24031" s="11"/>
      <c r="N24031" s="11"/>
      <c r="O24031" s="11"/>
      <c r="P24031" s="11"/>
    </row>
    <row r="24032" spans="8:16" x14ac:dyDescent="0.25">
      <c r="H24032" s="12"/>
      <c r="I24032" s="12"/>
      <c r="J24032" s="12"/>
      <c r="K24032" s="12"/>
      <c r="L24032" s="12"/>
      <c r="M24032" s="11"/>
      <c r="N24032" s="11"/>
      <c r="O24032" s="11"/>
      <c r="P24032" s="11"/>
    </row>
    <row r="24033" spans="8:16" x14ac:dyDescent="0.25">
      <c r="H24033" s="12"/>
      <c r="I24033" s="12"/>
      <c r="J24033" s="12"/>
      <c r="K24033" s="12"/>
      <c r="L24033" s="12"/>
      <c r="M24033" s="11"/>
      <c r="N24033" s="11"/>
      <c r="O24033" s="11"/>
      <c r="P24033" s="11"/>
    </row>
    <row r="24034" spans="8:16" x14ac:dyDescent="0.25">
      <c r="H24034" s="12"/>
      <c r="I24034" s="12"/>
      <c r="J24034" s="12"/>
      <c r="K24034" s="12"/>
      <c r="L24034" s="12"/>
      <c r="M24034" s="11"/>
      <c r="N24034" s="11"/>
      <c r="O24034" s="11"/>
      <c r="P24034" s="11"/>
    </row>
    <row r="24035" spans="8:16" x14ac:dyDescent="0.25">
      <c r="H24035" s="12"/>
      <c r="I24035" s="12"/>
      <c r="J24035" s="12"/>
      <c r="K24035" s="12"/>
      <c r="L24035" s="12"/>
      <c r="M24035" s="11"/>
      <c r="N24035" s="11"/>
      <c r="O24035" s="11"/>
      <c r="P24035" s="11"/>
    </row>
    <row r="24036" spans="8:16" x14ac:dyDescent="0.25">
      <c r="H24036" s="12"/>
      <c r="I24036" s="12"/>
      <c r="J24036" s="12"/>
      <c r="K24036" s="12"/>
      <c r="L24036" s="12"/>
      <c r="M24036" s="11"/>
      <c r="N24036" s="11"/>
      <c r="O24036" s="11"/>
      <c r="P24036" s="11"/>
    </row>
    <row r="24037" spans="8:16" x14ac:dyDescent="0.25">
      <c r="H24037" s="12"/>
      <c r="I24037" s="12"/>
      <c r="J24037" s="12"/>
      <c r="K24037" s="12"/>
      <c r="L24037" s="12"/>
      <c r="M24037" s="11"/>
      <c r="N24037" s="11"/>
      <c r="O24037" s="11"/>
      <c r="P24037" s="11"/>
    </row>
    <row r="24038" spans="8:16" x14ac:dyDescent="0.25">
      <c r="H24038" s="12"/>
      <c r="I24038" s="12"/>
      <c r="J24038" s="12"/>
      <c r="K24038" s="12"/>
      <c r="L24038" s="12"/>
      <c r="M24038" s="11"/>
      <c r="N24038" s="11"/>
      <c r="O24038" s="11"/>
      <c r="P24038" s="11"/>
    </row>
    <row r="24039" spans="8:16" x14ac:dyDescent="0.25">
      <c r="H24039" s="12"/>
      <c r="I24039" s="12"/>
      <c r="J24039" s="12"/>
      <c r="K24039" s="12"/>
      <c r="L24039" s="12"/>
      <c r="M24039" s="11"/>
      <c r="N24039" s="11"/>
      <c r="O24039" s="11"/>
      <c r="P24039" s="11"/>
    </row>
    <row r="24040" spans="8:16" x14ac:dyDescent="0.25">
      <c r="H24040" s="12"/>
      <c r="I24040" s="12"/>
      <c r="J24040" s="12"/>
      <c r="K24040" s="12"/>
      <c r="L24040" s="12"/>
      <c r="M24040" s="11"/>
      <c r="N24040" s="11"/>
      <c r="O24040" s="11"/>
      <c r="P24040" s="11"/>
    </row>
    <row r="24041" spans="8:16" x14ac:dyDescent="0.25">
      <c r="H24041" s="12"/>
      <c r="I24041" s="12"/>
      <c r="J24041" s="12"/>
      <c r="K24041" s="12"/>
      <c r="L24041" s="12"/>
      <c r="M24041" s="11"/>
      <c r="N24041" s="11"/>
      <c r="O24041" s="11"/>
      <c r="P24041" s="11"/>
    </row>
    <row r="24042" spans="8:16" x14ac:dyDescent="0.25">
      <c r="H24042" s="12"/>
      <c r="I24042" s="12"/>
      <c r="J24042" s="12"/>
      <c r="K24042" s="12"/>
      <c r="L24042" s="12"/>
      <c r="M24042" s="11"/>
      <c r="N24042" s="11"/>
      <c r="O24042" s="11"/>
      <c r="P24042" s="11"/>
    </row>
    <row r="24043" spans="8:16" x14ac:dyDescent="0.25">
      <c r="H24043" s="12"/>
      <c r="I24043" s="12"/>
      <c r="J24043" s="12"/>
      <c r="K24043" s="12"/>
      <c r="L24043" s="12"/>
      <c r="M24043" s="11"/>
      <c r="N24043" s="11"/>
      <c r="O24043" s="11"/>
      <c r="P24043" s="11"/>
    </row>
    <row r="24044" spans="8:16" x14ac:dyDescent="0.25">
      <c r="H24044" s="12"/>
      <c r="I24044" s="12"/>
      <c r="J24044" s="12"/>
      <c r="K24044" s="12"/>
      <c r="L24044" s="12"/>
      <c r="M24044" s="11"/>
      <c r="N24044" s="11"/>
      <c r="O24044" s="11"/>
      <c r="P24044" s="11"/>
    </row>
    <row r="24045" spans="8:16" x14ac:dyDescent="0.25">
      <c r="H24045" s="12"/>
      <c r="I24045" s="12"/>
      <c r="J24045" s="12"/>
      <c r="K24045" s="12"/>
      <c r="L24045" s="12"/>
      <c r="M24045" s="11"/>
      <c r="N24045" s="11"/>
      <c r="O24045" s="11"/>
      <c r="P24045" s="11"/>
    </row>
    <row r="24046" spans="8:16" x14ac:dyDescent="0.25">
      <c r="H24046" s="12"/>
      <c r="I24046" s="12"/>
      <c r="J24046" s="12"/>
      <c r="K24046" s="12"/>
      <c r="L24046" s="12"/>
      <c r="M24046" s="11"/>
      <c r="N24046" s="11"/>
      <c r="O24046" s="11"/>
      <c r="P24046" s="11"/>
    </row>
    <row r="24047" spans="8:16" x14ac:dyDescent="0.25">
      <c r="H24047" s="12"/>
      <c r="I24047" s="12"/>
      <c r="J24047" s="12"/>
      <c r="K24047" s="12"/>
      <c r="L24047" s="12"/>
      <c r="M24047" s="11"/>
      <c r="N24047" s="11"/>
      <c r="O24047" s="11"/>
      <c r="P24047" s="11"/>
    </row>
    <row r="24048" spans="8:16" x14ac:dyDescent="0.25">
      <c r="H24048" s="12"/>
      <c r="I24048" s="12"/>
      <c r="J24048" s="12"/>
      <c r="K24048" s="12"/>
      <c r="L24048" s="12"/>
      <c r="M24048" s="11"/>
      <c r="N24048" s="11"/>
      <c r="O24048" s="11"/>
      <c r="P24048" s="11"/>
    </row>
    <row r="24049" spans="8:16" x14ac:dyDescent="0.25">
      <c r="H24049" s="12"/>
      <c r="I24049" s="12"/>
      <c r="J24049" s="12"/>
      <c r="K24049" s="12"/>
      <c r="L24049" s="12"/>
      <c r="M24049" s="11"/>
      <c r="N24049" s="11"/>
      <c r="O24049" s="11"/>
      <c r="P24049" s="11"/>
    </row>
    <row r="24050" spans="8:16" x14ac:dyDescent="0.25">
      <c r="H24050" s="12"/>
      <c r="I24050" s="12"/>
      <c r="J24050" s="12"/>
      <c r="K24050" s="12"/>
      <c r="L24050" s="12"/>
      <c r="M24050" s="11"/>
      <c r="N24050" s="11"/>
      <c r="O24050" s="11"/>
      <c r="P24050" s="11"/>
    </row>
    <row r="24051" spans="8:16" x14ac:dyDescent="0.25">
      <c r="H24051" s="12"/>
      <c r="I24051" s="12"/>
      <c r="J24051" s="12"/>
      <c r="K24051" s="12"/>
      <c r="L24051" s="12"/>
      <c r="M24051" s="11"/>
      <c r="N24051" s="11"/>
      <c r="O24051" s="11"/>
      <c r="P24051" s="11"/>
    </row>
    <row r="24052" spans="8:16" x14ac:dyDescent="0.25">
      <c r="H24052" s="12"/>
      <c r="I24052" s="12"/>
      <c r="J24052" s="12"/>
      <c r="K24052" s="12"/>
      <c r="L24052" s="12"/>
      <c r="M24052" s="11"/>
      <c r="N24052" s="11"/>
      <c r="O24052" s="11"/>
      <c r="P24052" s="11"/>
    </row>
    <row r="24053" spans="8:16" x14ac:dyDescent="0.25">
      <c r="H24053" s="12"/>
      <c r="I24053" s="12"/>
      <c r="J24053" s="12"/>
      <c r="K24053" s="12"/>
      <c r="L24053" s="12"/>
      <c r="M24053" s="11"/>
      <c r="N24053" s="11"/>
      <c r="O24053" s="11"/>
      <c r="P24053" s="11"/>
    </row>
    <row r="24054" spans="8:16" x14ac:dyDescent="0.25">
      <c r="H24054" s="12"/>
      <c r="I24054" s="12"/>
      <c r="J24054" s="12"/>
      <c r="K24054" s="12"/>
      <c r="L24054" s="12"/>
      <c r="M24054" s="11"/>
      <c r="N24054" s="11"/>
      <c r="O24054" s="11"/>
      <c r="P24054" s="11"/>
    </row>
    <row r="24055" spans="8:16" x14ac:dyDescent="0.25">
      <c r="H24055" s="12"/>
      <c r="I24055" s="12"/>
      <c r="J24055" s="12"/>
      <c r="K24055" s="12"/>
      <c r="L24055" s="12"/>
      <c r="M24055" s="11"/>
      <c r="N24055" s="11"/>
      <c r="O24055" s="11"/>
      <c r="P24055" s="11"/>
    </row>
    <row r="24056" spans="8:16" x14ac:dyDescent="0.25">
      <c r="H24056" s="12"/>
      <c r="I24056" s="12"/>
      <c r="J24056" s="12"/>
      <c r="K24056" s="12"/>
      <c r="L24056" s="12"/>
      <c r="M24056" s="11"/>
      <c r="N24056" s="11"/>
      <c r="O24056" s="11"/>
      <c r="P24056" s="11"/>
    </row>
    <row r="24057" spans="8:16" x14ac:dyDescent="0.25">
      <c r="H24057" s="12"/>
      <c r="I24057" s="12"/>
      <c r="J24057" s="12"/>
      <c r="K24057" s="12"/>
      <c r="L24057" s="12"/>
      <c r="M24057" s="11"/>
      <c r="N24057" s="11"/>
      <c r="O24057" s="11"/>
      <c r="P24057" s="11"/>
    </row>
    <row r="24058" spans="8:16" x14ac:dyDescent="0.25">
      <c r="H24058" s="12"/>
      <c r="I24058" s="12"/>
      <c r="J24058" s="12"/>
      <c r="K24058" s="12"/>
      <c r="L24058" s="12"/>
      <c r="M24058" s="11"/>
      <c r="N24058" s="11"/>
      <c r="O24058" s="11"/>
      <c r="P24058" s="11"/>
    </row>
    <row r="24059" spans="8:16" x14ac:dyDescent="0.25">
      <c r="H24059" s="12"/>
      <c r="I24059" s="12"/>
      <c r="J24059" s="12"/>
      <c r="K24059" s="12"/>
      <c r="L24059" s="12"/>
      <c r="M24059" s="11"/>
      <c r="N24059" s="11"/>
      <c r="O24059" s="11"/>
      <c r="P24059" s="11"/>
    </row>
    <row r="24060" spans="8:16" x14ac:dyDescent="0.25">
      <c r="H24060" s="12"/>
      <c r="I24060" s="12"/>
      <c r="J24060" s="12"/>
      <c r="K24060" s="12"/>
      <c r="L24060" s="12"/>
      <c r="M24060" s="11"/>
      <c r="N24060" s="11"/>
      <c r="O24060" s="11"/>
      <c r="P24060" s="11"/>
    </row>
    <row r="24061" spans="8:16" x14ac:dyDescent="0.25">
      <c r="H24061" s="12"/>
      <c r="I24061" s="12"/>
      <c r="J24061" s="12"/>
      <c r="K24061" s="12"/>
      <c r="L24061" s="12"/>
      <c r="M24061" s="11"/>
      <c r="N24061" s="11"/>
      <c r="O24061" s="11"/>
      <c r="P24061" s="11"/>
    </row>
    <row r="24062" spans="8:16" x14ac:dyDescent="0.25">
      <c r="H24062" s="12"/>
      <c r="I24062" s="12"/>
      <c r="J24062" s="12"/>
      <c r="K24062" s="12"/>
      <c r="L24062" s="12"/>
      <c r="M24062" s="11"/>
      <c r="N24062" s="11"/>
      <c r="O24062" s="11"/>
      <c r="P24062" s="11"/>
    </row>
    <row r="24063" spans="8:16" x14ac:dyDescent="0.25">
      <c r="H24063" s="12"/>
      <c r="I24063" s="12"/>
      <c r="J24063" s="12"/>
      <c r="K24063" s="12"/>
      <c r="L24063" s="12"/>
      <c r="M24063" s="11"/>
      <c r="N24063" s="11"/>
      <c r="O24063" s="11"/>
      <c r="P24063" s="11"/>
    </row>
    <row r="24064" spans="8:16" x14ac:dyDescent="0.25">
      <c r="H24064" s="12"/>
      <c r="I24064" s="12"/>
      <c r="J24064" s="12"/>
      <c r="K24064" s="12"/>
      <c r="L24064" s="12"/>
      <c r="M24064" s="11"/>
      <c r="N24064" s="11"/>
      <c r="O24064" s="11"/>
      <c r="P24064" s="11"/>
    </row>
    <row r="24065" spans="8:16" x14ac:dyDescent="0.25">
      <c r="H24065" s="12"/>
      <c r="I24065" s="12"/>
      <c r="J24065" s="12"/>
      <c r="K24065" s="12"/>
      <c r="L24065" s="12"/>
      <c r="M24065" s="11"/>
      <c r="N24065" s="11"/>
      <c r="O24065" s="11"/>
      <c r="P24065" s="11"/>
    </row>
    <row r="24066" spans="8:16" x14ac:dyDescent="0.25">
      <c r="H24066" s="12"/>
      <c r="I24066" s="12"/>
      <c r="J24066" s="12"/>
      <c r="K24066" s="12"/>
      <c r="L24066" s="12"/>
      <c r="M24066" s="11"/>
      <c r="N24066" s="11"/>
      <c r="O24066" s="11"/>
      <c r="P24066" s="11"/>
    </row>
    <row r="24067" spans="8:16" x14ac:dyDescent="0.25">
      <c r="H24067" s="12"/>
      <c r="I24067" s="12"/>
      <c r="J24067" s="12"/>
      <c r="K24067" s="12"/>
      <c r="L24067" s="12"/>
      <c r="M24067" s="11"/>
      <c r="N24067" s="11"/>
      <c r="O24067" s="11"/>
      <c r="P24067" s="11"/>
    </row>
    <row r="24068" spans="8:16" x14ac:dyDescent="0.25">
      <c r="H24068" s="12"/>
      <c r="I24068" s="12"/>
      <c r="J24068" s="12"/>
      <c r="K24068" s="12"/>
      <c r="L24068" s="12"/>
      <c r="M24068" s="11"/>
      <c r="N24068" s="11"/>
      <c r="O24068" s="11"/>
      <c r="P24068" s="11"/>
    </row>
    <row r="24069" spans="8:16" x14ac:dyDescent="0.25">
      <c r="H24069" s="12"/>
      <c r="I24069" s="12"/>
      <c r="J24069" s="12"/>
      <c r="K24069" s="12"/>
      <c r="L24069" s="12"/>
      <c r="M24069" s="11"/>
      <c r="N24069" s="11"/>
      <c r="O24069" s="11"/>
      <c r="P24069" s="11"/>
    </row>
    <row r="24070" spans="8:16" x14ac:dyDescent="0.25">
      <c r="H24070" s="12"/>
      <c r="I24070" s="12"/>
      <c r="J24070" s="12"/>
      <c r="K24070" s="12"/>
      <c r="L24070" s="12"/>
      <c r="M24070" s="11"/>
      <c r="N24070" s="11"/>
      <c r="O24070" s="11"/>
      <c r="P24070" s="11"/>
    </row>
    <row r="24071" spans="8:16" x14ac:dyDescent="0.25">
      <c r="H24071" s="12"/>
      <c r="I24071" s="12"/>
      <c r="J24071" s="12"/>
      <c r="K24071" s="12"/>
      <c r="L24071" s="12"/>
      <c r="M24071" s="11"/>
      <c r="N24071" s="11"/>
      <c r="O24071" s="11"/>
      <c r="P24071" s="11"/>
    </row>
    <row r="24072" spans="8:16" x14ac:dyDescent="0.25">
      <c r="H24072" s="12"/>
      <c r="I24072" s="12"/>
      <c r="J24072" s="12"/>
      <c r="K24072" s="12"/>
      <c r="L24072" s="12"/>
      <c r="M24072" s="11"/>
      <c r="N24072" s="11"/>
      <c r="O24072" s="11"/>
      <c r="P24072" s="11"/>
    </row>
    <row r="24073" spans="8:16" x14ac:dyDescent="0.25">
      <c r="H24073" s="12"/>
      <c r="I24073" s="12"/>
      <c r="J24073" s="12"/>
      <c r="K24073" s="12"/>
      <c r="L24073" s="12"/>
      <c r="M24073" s="11"/>
      <c r="N24073" s="11"/>
      <c r="O24073" s="11"/>
      <c r="P24073" s="11"/>
    </row>
    <row r="24074" spans="8:16" x14ac:dyDescent="0.25">
      <c r="H24074" s="12"/>
      <c r="I24074" s="12"/>
      <c r="J24074" s="12"/>
      <c r="K24074" s="12"/>
      <c r="L24074" s="12"/>
      <c r="M24074" s="11"/>
      <c r="N24074" s="11"/>
      <c r="O24074" s="11"/>
      <c r="P24074" s="11"/>
    </row>
    <row r="24075" spans="8:16" x14ac:dyDescent="0.25">
      <c r="H24075" s="12"/>
      <c r="I24075" s="12"/>
      <c r="J24075" s="12"/>
      <c r="K24075" s="12"/>
      <c r="L24075" s="12"/>
      <c r="M24075" s="11"/>
      <c r="N24075" s="11"/>
      <c r="O24075" s="11"/>
      <c r="P24075" s="11"/>
    </row>
    <row r="24076" spans="8:16" x14ac:dyDescent="0.25">
      <c r="H24076" s="12"/>
      <c r="I24076" s="12"/>
      <c r="J24076" s="12"/>
      <c r="K24076" s="12"/>
      <c r="L24076" s="12"/>
      <c r="M24076" s="11"/>
      <c r="N24076" s="11"/>
      <c r="O24076" s="11"/>
      <c r="P24076" s="11"/>
    </row>
    <row r="24077" spans="8:16" x14ac:dyDescent="0.25">
      <c r="H24077" s="12"/>
      <c r="I24077" s="12"/>
      <c r="J24077" s="12"/>
      <c r="K24077" s="12"/>
      <c r="L24077" s="12"/>
      <c r="M24077" s="11"/>
      <c r="N24077" s="11"/>
      <c r="O24077" s="11"/>
      <c r="P24077" s="11"/>
    </row>
    <row r="24078" spans="8:16" x14ac:dyDescent="0.25">
      <c r="H24078" s="12"/>
      <c r="I24078" s="12"/>
      <c r="J24078" s="12"/>
      <c r="K24078" s="12"/>
      <c r="L24078" s="12"/>
      <c r="M24078" s="11"/>
      <c r="N24078" s="11"/>
      <c r="O24078" s="11"/>
      <c r="P24078" s="11"/>
    </row>
    <row r="24079" spans="8:16" x14ac:dyDescent="0.25">
      <c r="H24079" s="12"/>
      <c r="I24079" s="12"/>
      <c r="J24079" s="12"/>
      <c r="K24079" s="12"/>
      <c r="L24079" s="12"/>
      <c r="M24079" s="11"/>
      <c r="N24079" s="11"/>
      <c r="O24079" s="11"/>
      <c r="P24079" s="11"/>
    </row>
    <row r="24080" spans="8:16" x14ac:dyDescent="0.25">
      <c r="H24080" s="12"/>
      <c r="I24080" s="12"/>
      <c r="J24080" s="12"/>
      <c r="K24080" s="12"/>
      <c r="L24080" s="12"/>
      <c r="M24080" s="11"/>
      <c r="N24080" s="11"/>
      <c r="O24080" s="11"/>
      <c r="P24080" s="11"/>
    </row>
    <row r="24081" spans="8:16" x14ac:dyDescent="0.25">
      <c r="H24081" s="12"/>
      <c r="I24081" s="12"/>
      <c r="J24081" s="12"/>
      <c r="K24081" s="12"/>
      <c r="L24081" s="12"/>
      <c r="M24081" s="11"/>
      <c r="N24081" s="11"/>
      <c r="O24081" s="11"/>
      <c r="P24081" s="11"/>
    </row>
    <row r="24082" spans="8:16" x14ac:dyDescent="0.25">
      <c r="H24082" s="12"/>
      <c r="I24082" s="12"/>
      <c r="J24082" s="12"/>
      <c r="K24082" s="12"/>
      <c r="L24082" s="12"/>
      <c r="M24082" s="11"/>
      <c r="N24082" s="11"/>
      <c r="O24082" s="11"/>
      <c r="P24082" s="11"/>
    </row>
    <row r="24083" spans="8:16" x14ac:dyDescent="0.25">
      <c r="H24083" s="12"/>
      <c r="I24083" s="12"/>
      <c r="J24083" s="12"/>
      <c r="K24083" s="12"/>
      <c r="L24083" s="12"/>
      <c r="M24083" s="11"/>
      <c r="N24083" s="11"/>
      <c r="O24083" s="11"/>
      <c r="P24083" s="11"/>
    </row>
    <row r="24084" spans="8:16" x14ac:dyDescent="0.25">
      <c r="H24084" s="12"/>
      <c r="I24084" s="12"/>
      <c r="J24084" s="12"/>
      <c r="K24084" s="12"/>
      <c r="L24084" s="12"/>
      <c r="M24084" s="11"/>
      <c r="N24084" s="11"/>
      <c r="O24084" s="11"/>
      <c r="P24084" s="11"/>
    </row>
    <row r="24085" spans="8:16" x14ac:dyDescent="0.25">
      <c r="H24085" s="12"/>
      <c r="I24085" s="12"/>
      <c r="J24085" s="12"/>
      <c r="K24085" s="12"/>
      <c r="L24085" s="12"/>
      <c r="M24085" s="11"/>
      <c r="N24085" s="11"/>
      <c r="O24085" s="11"/>
      <c r="P24085" s="11"/>
    </row>
    <row r="24086" spans="8:16" x14ac:dyDescent="0.25">
      <c r="H24086" s="12"/>
      <c r="I24086" s="12"/>
      <c r="J24086" s="12"/>
      <c r="K24086" s="12"/>
      <c r="L24086" s="12"/>
      <c r="M24086" s="11"/>
      <c r="N24086" s="11"/>
      <c r="O24086" s="11"/>
      <c r="P24086" s="11"/>
    </row>
    <row r="24087" spans="8:16" x14ac:dyDescent="0.25">
      <c r="H24087" s="12"/>
      <c r="I24087" s="12"/>
      <c r="J24087" s="12"/>
      <c r="K24087" s="12"/>
      <c r="L24087" s="12"/>
      <c r="M24087" s="11"/>
      <c r="N24087" s="11"/>
      <c r="O24087" s="11"/>
      <c r="P24087" s="11"/>
    </row>
    <row r="24088" spans="8:16" x14ac:dyDescent="0.25">
      <c r="H24088" s="12"/>
      <c r="I24088" s="12"/>
      <c r="J24088" s="12"/>
      <c r="K24088" s="12"/>
      <c r="L24088" s="12"/>
      <c r="M24088" s="11"/>
      <c r="N24088" s="11"/>
      <c r="O24088" s="11"/>
      <c r="P24088" s="11"/>
    </row>
    <row r="24089" spans="8:16" x14ac:dyDescent="0.25">
      <c r="H24089" s="12"/>
      <c r="I24089" s="12"/>
      <c r="J24089" s="12"/>
      <c r="K24089" s="12"/>
      <c r="L24089" s="12"/>
      <c r="M24089" s="11"/>
      <c r="N24089" s="11"/>
      <c r="O24089" s="11"/>
      <c r="P24089" s="11"/>
    </row>
    <row r="24090" spans="8:16" x14ac:dyDescent="0.25">
      <c r="H24090" s="12"/>
      <c r="I24090" s="12"/>
      <c r="J24090" s="12"/>
      <c r="K24090" s="12"/>
      <c r="L24090" s="12"/>
      <c r="M24090" s="11"/>
      <c r="N24090" s="11"/>
      <c r="O24090" s="11"/>
      <c r="P24090" s="11"/>
    </row>
    <row r="24091" spans="8:16" x14ac:dyDescent="0.25">
      <c r="H24091" s="12"/>
      <c r="I24091" s="12"/>
      <c r="J24091" s="12"/>
      <c r="K24091" s="12"/>
      <c r="L24091" s="12"/>
      <c r="M24091" s="11"/>
      <c r="N24091" s="11"/>
      <c r="O24091" s="11"/>
      <c r="P24091" s="11"/>
    </row>
    <row r="24092" spans="8:16" x14ac:dyDescent="0.25">
      <c r="H24092" s="12"/>
      <c r="I24092" s="12"/>
      <c r="J24092" s="12"/>
      <c r="K24092" s="12"/>
      <c r="L24092" s="12"/>
      <c r="M24092" s="11"/>
      <c r="N24092" s="11"/>
      <c r="O24092" s="11"/>
      <c r="P24092" s="11"/>
    </row>
    <row r="24093" spans="8:16" x14ac:dyDescent="0.25">
      <c r="H24093" s="12"/>
      <c r="I24093" s="12"/>
      <c r="J24093" s="12"/>
      <c r="K24093" s="12"/>
      <c r="L24093" s="12"/>
      <c r="M24093" s="11"/>
      <c r="N24093" s="11"/>
      <c r="O24093" s="11"/>
      <c r="P24093" s="11"/>
    </row>
    <row r="24094" spans="8:16" x14ac:dyDescent="0.25">
      <c r="H24094" s="12"/>
      <c r="I24094" s="12"/>
      <c r="J24094" s="12"/>
      <c r="K24094" s="12"/>
      <c r="L24094" s="12"/>
      <c r="M24094" s="11"/>
      <c r="N24094" s="11"/>
      <c r="O24094" s="11"/>
      <c r="P24094" s="11"/>
    </row>
    <row r="24095" spans="8:16" x14ac:dyDescent="0.25">
      <c r="H24095" s="12"/>
      <c r="I24095" s="12"/>
      <c r="J24095" s="12"/>
      <c r="K24095" s="12"/>
      <c r="L24095" s="12"/>
      <c r="M24095" s="11"/>
      <c r="N24095" s="11"/>
      <c r="O24095" s="11"/>
      <c r="P24095" s="11"/>
    </row>
    <row r="24096" spans="8:16" x14ac:dyDescent="0.25">
      <c r="H24096" s="12"/>
      <c r="I24096" s="12"/>
      <c r="J24096" s="12"/>
      <c r="K24096" s="12"/>
      <c r="L24096" s="12"/>
      <c r="M24096" s="11"/>
      <c r="N24096" s="11"/>
      <c r="O24096" s="11"/>
      <c r="P24096" s="11"/>
    </row>
    <row r="24097" spans="8:16" x14ac:dyDescent="0.25">
      <c r="H24097" s="12"/>
      <c r="I24097" s="12"/>
      <c r="J24097" s="12"/>
      <c r="K24097" s="12"/>
      <c r="L24097" s="12"/>
      <c r="M24097" s="11"/>
      <c r="N24097" s="11"/>
      <c r="O24097" s="11"/>
      <c r="P24097" s="11"/>
    </row>
    <row r="24098" spans="8:16" x14ac:dyDescent="0.25">
      <c r="H24098" s="12"/>
      <c r="I24098" s="12"/>
      <c r="J24098" s="12"/>
      <c r="K24098" s="12"/>
      <c r="L24098" s="12"/>
      <c r="M24098" s="11"/>
      <c r="N24098" s="11"/>
      <c r="O24098" s="11"/>
      <c r="P24098" s="11"/>
    </row>
    <row r="24099" spans="8:16" x14ac:dyDescent="0.25">
      <c r="H24099" s="12"/>
      <c r="I24099" s="12"/>
      <c r="J24099" s="12"/>
      <c r="K24099" s="12"/>
      <c r="L24099" s="12"/>
      <c r="M24099" s="11"/>
      <c r="N24099" s="11"/>
      <c r="O24099" s="11"/>
      <c r="P24099" s="11"/>
    </row>
    <row r="24100" spans="8:16" x14ac:dyDescent="0.25">
      <c r="H24100" s="12"/>
      <c r="I24100" s="12"/>
      <c r="J24100" s="12"/>
      <c r="K24100" s="12"/>
      <c r="L24100" s="12"/>
      <c r="M24100" s="11"/>
      <c r="N24100" s="11"/>
      <c r="O24100" s="11"/>
      <c r="P24100" s="11"/>
    </row>
    <row r="24101" spans="8:16" x14ac:dyDescent="0.25">
      <c r="H24101" s="12"/>
      <c r="I24101" s="12"/>
      <c r="J24101" s="12"/>
      <c r="K24101" s="12"/>
      <c r="L24101" s="12"/>
      <c r="M24101" s="11"/>
      <c r="N24101" s="11"/>
      <c r="O24101" s="11"/>
      <c r="P24101" s="11"/>
    </row>
    <row r="24102" spans="8:16" x14ac:dyDescent="0.25">
      <c r="H24102" s="12"/>
      <c r="I24102" s="12"/>
      <c r="J24102" s="12"/>
      <c r="K24102" s="12"/>
      <c r="L24102" s="12"/>
      <c r="M24102" s="11"/>
      <c r="N24102" s="11"/>
      <c r="O24102" s="11"/>
      <c r="P24102" s="11"/>
    </row>
    <row r="24103" spans="8:16" x14ac:dyDescent="0.25">
      <c r="H24103" s="12"/>
      <c r="I24103" s="12"/>
      <c r="J24103" s="12"/>
      <c r="K24103" s="12"/>
      <c r="L24103" s="12"/>
      <c r="M24103" s="11"/>
      <c r="N24103" s="11"/>
      <c r="O24103" s="11"/>
      <c r="P24103" s="11"/>
    </row>
    <row r="24104" spans="8:16" x14ac:dyDescent="0.25">
      <c r="H24104" s="12"/>
      <c r="I24104" s="12"/>
      <c r="J24104" s="12"/>
      <c r="K24104" s="12"/>
      <c r="L24104" s="12"/>
      <c r="M24104" s="11"/>
      <c r="N24104" s="11"/>
      <c r="O24104" s="11"/>
      <c r="P24104" s="11"/>
    </row>
    <row r="24105" spans="8:16" x14ac:dyDescent="0.25">
      <c r="H24105" s="12"/>
      <c r="I24105" s="12"/>
      <c r="J24105" s="12"/>
      <c r="K24105" s="12"/>
      <c r="L24105" s="12"/>
      <c r="M24105" s="11"/>
      <c r="N24105" s="11"/>
      <c r="O24105" s="11"/>
      <c r="P24105" s="11"/>
    </row>
    <row r="24106" spans="8:16" x14ac:dyDescent="0.25">
      <c r="H24106" s="12"/>
      <c r="I24106" s="12"/>
      <c r="J24106" s="12"/>
      <c r="K24106" s="12"/>
      <c r="L24106" s="12"/>
      <c r="M24106" s="11"/>
      <c r="N24106" s="11"/>
      <c r="O24106" s="11"/>
      <c r="P24106" s="11"/>
    </row>
    <row r="24107" spans="8:16" x14ac:dyDescent="0.25">
      <c r="H24107" s="12"/>
      <c r="I24107" s="12"/>
      <c r="J24107" s="12"/>
      <c r="K24107" s="12"/>
      <c r="L24107" s="12"/>
      <c r="M24107" s="11"/>
      <c r="N24107" s="11"/>
      <c r="O24107" s="11"/>
      <c r="P24107" s="11"/>
    </row>
    <row r="24108" spans="8:16" x14ac:dyDescent="0.25">
      <c r="H24108" s="12"/>
      <c r="I24108" s="12"/>
      <c r="J24108" s="12"/>
      <c r="K24108" s="12"/>
      <c r="L24108" s="12"/>
      <c r="M24108" s="11"/>
      <c r="N24108" s="11"/>
      <c r="O24108" s="11"/>
      <c r="P24108" s="11"/>
    </row>
    <row r="24109" spans="8:16" x14ac:dyDescent="0.25">
      <c r="H24109" s="12"/>
      <c r="I24109" s="12"/>
      <c r="J24109" s="12"/>
      <c r="K24109" s="12"/>
      <c r="L24109" s="12"/>
      <c r="M24109" s="11"/>
      <c r="N24109" s="11"/>
      <c r="O24109" s="11"/>
      <c r="P24109" s="11"/>
    </row>
    <row r="24110" spans="8:16" x14ac:dyDescent="0.25">
      <c r="H24110" s="12"/>
      <c r="I24110" s="12"/>
      <c r="J24110" s="12"/>
      <c r="K24110" s="12"/>
      <c r="L24110" s="12"/>
      <c r="M24110" s="11"/>
      <c r="N24110" s="11"/>
      <c r="O24110" s="11"/>
      <c r="P24110" s="11"/>
    </row>
    <row r="24111" spans="8:16" x14ac:dyDescent="0.25">
      <c r="H24111" s="12"/>
      <c r="I24111" s="12"/>
      <c r="J24111" s="12"/>
      <c r="K24111" s="12"/>
      <c r="L24111" s="12"/>
      <c r="M24111" s="11"/>
      <c r="N24111" s="11"/>
      <c r="O24111" s="11"/>
      <c r="P24111" s="11"/>
    </row>
    <row r="24112" spans="8:16" x14ac:dyDescent="0.25">
      <c r="H24112" s="12"/>
      <c r="I24112" s="12"/>
      <c r="J24112" s="12"/>
      <c r="K24112" s="12"/>
      <c r="L24112" s="12"/>
      <c r="M24112" s="11"/>
      <c r="N24112" s="11"/>
      <c r="O24112" s="11"/>
      <c r="P24112" s="11"/>
    </row>
    <row r="24113" spans="8:16" x14ac:dyDescent="0.25">
      <c r="H24113" s="12"/>
      <c r="I24113" s="12"/>
      <c r="J24113" s="12"/>
      <c r="K24113" s="12"/>
      <c r="L24113" s="12"/>
      <c r="M24113" s="11"/>
      <c r="N24113" s="11"/>
      <c r="O24113" s="11"/>
      <c r="P24113" s="11"/>
    </row>
    <row r="24114" spans="8:16" x14ac:dyDescent="0.25">
      <c r="H24114" s="12"/>
      <c r="I24114" s="12"/>
      <c r="J24114" s="12"/>
      <c r="K24114" s="12"/>
      <c r="L24114" s="12"/>
      <c r="M24114" s="11"/>
      <c r="N24114" s="11"/>
      <c r="O24114" s="11"/>
      <c r="P24114" s="11"/>
    </row>
    <row r="24115" spans="8:16" x14ac:dyDescent="0.25">
      <c r="H24115" s="12"/>
      <c r="I24115" s="12"/>
      <c r="J24115" s="12"/>
      <c r="K24115" s="12"/>
      <c r="L24115" s="12"/>
      <c r="M24115" s="11"/>
      <c r="N24115" s="11"/>
      <c r="O24115" s="11"/>
      <c r="P24115" s="11"/>
    </row>
    <row r="24116" spans="8:16" x14ac:dyDescent="0.25">
      <c r="H24116" s="12"/>
      <c r="I24116" s="12"/>
      <c r="J24116" s="12"/>
      <c r="K24116" s="12"/>
      <c r="L24116" s="12"/>
      <c r="M24116" s="11"/>
      <c r="N24116" s="11"/>
      <c r="O24116" s="11"/>
      <c r="P24116" s="11"/>
    </row>
    <row r="24117" spans="8:16" x14ac:dyDescent="0.25">
      <c r="H24117" s="12"/>
      <c r="I24117" s="12"/>
      <c r="J24117" s="12"/>
      <c r="K24117" s="12"/>
      <c r="L24117" s="12"/>
      <c r="M24117" s="11"/>
      <c r="N24117" s="11"/>
      <c r="O24117" s="11"/>
      <c r="P24117" s="11"/>
    </row>
    <row r="24118" spans="8:16" x14ac:dyDescent="0.25">
      <c r="H24118" s="12"/>
      <c r="I24118" s="12"/>
      <c r="J24118" s="12"/>
      <c r="K24118" s="12"/>
      <c r="L24118" s="12"/>
      <c r="M24118" s="11"/>
      <c r="N24118" s="11"/>
      <c r="O24118" s="11"/>
      <c r="P24118" s="11"/>
    </row>
    <row r="24119" spans="8:16" x14ac:dyDescent="0.25">
      <c r="H24119" s="12"/>
      <c r="I24119" s="12"/>
      <c r="J24119" s="12"/>
      <c r="K24119" s="12"/>
      <c r="L24119" s="12"/>
      <c r="M24119" s="11"/>
      <c r="N24119" s="11"/>
      <c r="O24119" s="11"/>
      <c r="P24119" s="11"/>
    </row>
    <row r="24120" spans="8:16" x14ac:dyDescent="0.25">
      <c r="H24120" s="12"/>
      <c r="I24120" s="12"/>
      <c r="J24120" s="12"/>
      <c r="K24120" s="12"/>
      <c r="L24120" s="12"/>
      <c r="M24120" s="11"/>
      <c r="N24120" s="11"/>
      <c r="O24120" s="11"/>
      <c r="P24120" s="11"/>
    </row>
    <row r="24121" spans="8:16" x14ac:dyDescent="0.25">
      <c r="H24121" s="12"/>
      <c r="I24121" s="12"/>
      <c r="J24121" s="12"/>
      <c r="K24121" s="12"/>
      <c r="L24121" s="12"/>
      <c r="M24121" s="11"/>
      <c r="N24121" s="11"/>
      <c r="O24121" s="11"/>
      <c r="P24121" s="11"/>
    </row>
    <row r="24122" spans="8:16" x14ac:dyDescent="0.25">
      <c r="H24122" s="12"/>
      <c r="I24122" s="12"/>
      <c r="J24122" s="12"/>
      <c r="K24122" s="12"/>
      <c r="L24122" s="12"/>
      <c r="M24122" s="11"/>
      <c r="N24122" s="11"/>
      <c r="O24122" s="11"/>
      <c r="P24122" s="11"/>
    </row>
    <row r="24123" spans="8:16" x14ac:dyDescent="0.25">
      <c r="H24123" s="12"/>
      <c r="I24123" s="12"/>
      <c r="J24123" s="12"/>
      <c r="K24123" s="12"/>
      <c r="L24123" s="12"/>
      <c r="M24123" s="11"/>
      <c r="N24123" s="11"/>
      <c r="O24123" s="11"/>
      <c r="P24123" s="11"/>
    </row>
    <row r="24124" spans="8:16" x14ac:dyDescent="0.25">
      <c r="H24124" s="12"/>
      <c r="I24124" s="12"/>
      <c r="J24124" s="12"/>
      <c r="K24124" s="12"/>
      <c r="L24124" s="12"/>
      <c r="M24124" s="11"/>
      <c r="N24124" s="11"/>
      <c r="O24124" s="11"/>
      <c r="P24124" s="11"/>
    </row>
    <row r="24125" spans="8:16" x14ac:dyDescent="0.25">
      <c r="H24125" s="12"/>
      <c r="I24125" s="12"/>
      <c r="J24125" s="12"/>
      <c r="K24125" s="12"/>
      <c r="L24125" s="12"/>
      <c r="M24125" s="11"/>
      <c r="N24125" s="11"/>
      <c r="O24125" s="11"/>
      <c r="P24125" s="11"/>
    </row>
    <row r="24126" spans="8:16" x14ac:dyDescent="0.25">
      <c r="H24126" s="12"/>
      <c r="I24126" s="12"/>
      <c r="J24126" s="12"/>
      <c r="K24126" s="12"/>
      <c r="L24126" s="12"/>
      <c r="M24126" s="11"/>
      <c r="N24126" s="11"/>
      <c r="O24126" s="11"/>
      <c r="P24126" s="11"/>
    </row>
    <row r="24127" spans="8:16" x14ac:dyDescent="0.25">
      <c r="H24127" s="12"/>
      <c r="I24127" s="12"/>
      <c r="J24127" s="12"/>
      <c r="K24127" s="12"/>
      <c r="L24127" s="12"/>
      <c r="M24127" s="11"/>
      <c r="N24127" s="11"/>
      <c r="O24127" s="11"/>
      <c r="P24127" s="11"/>
    </row>
    <row r="24128" spans="8:16" x14ac:dyDescent="0.25">
      <c r="H24128" s="12"/>
      <c r="I24128" s="12"/>
      <c r="J24128" s="12"/>
      <c r="K24128" s="12"/>
      <c r="L24128" s="12"/>
      <c r="M24128" s="11"/>
      <c r="N24128" s="11"/>
      <c r="O24128" s="11"/>
      <c r="P24128" s="11"/>
    </row>
    <row r="24129" spans="8:16" x14ac:dyDescent="0.25">
      <c r="H24129" s="12"/>
      <c r="I24129" s="12"/>
      <c r="J24129" s="12"/>
      <c r="K24129" s="12"/>
      <c r="L24129" s="12"/>
      <c r="M24129" s="11"/>
      <c r="N24129" s="11"/>
      <c r="O24129" s="11"/>
      <c r="P24129" s="11"/>
    </row>
    <row r="24130" spans="8:16" x14ac:dyDescent="0.25">
      <c r="H24130" s="12"/>
      <c r="I24130" s="12"/>
      <c r="J24130" s="12"/>
      <c r="K24130" s="12"/>
      <c r="L24130" s="12"/>
      <c r="M24130" s="11"/>
      <c r="N24130" s="11"/>
      <c r="O24130" s="11"/>
      <c r="P24130" s="11"/>
    </row>
    <row r="24131" spans="8:16" x14ac:dyDescent="0.25">
      <c r="H24131" s="12"/>
      <c r="I24131" s="12"/>
      <c r="J24131" s="12"/>
      <c r="K24131" s="12"/>
      <c r="L24131" s="12"/>
      <c r="M24131" s="11"/>
      <c r="N24131" s="11"/>
      <c r="O24131" s="11"/>
      <c r="P24131" s="11"/>
    </row>
    <row r="24132" spans="8:16" x14ac:dyDescent="0.25">
      <c r="H24132" s="12"/>
      <c r="I24132" s="12"/>
      <c r="J24132" s="12"/>
      <c r="K24132" s="12"/>
      <c r="L24132" s="12"/>
      <c r="M24132" s="11"/>
      <c r="N24132" s="11"/>
      <c r="O24132" s="11"/>
      <c r="P24132" s="11"/>
    </row>
    <row r="24133" spans="8:16" x14ac:dyDescent="0.25">
      <c r="H24133" s="12"/>
      <c r="I24133" s="12"/>
      <c r="J24133" s="12"/>
      <c r="K24133" s="12"/>
      <c r="L24133" s="12"/>
      <c r="M24133" s="11"/>
      <c r="N24133" s="11"/>
      <c r="O24133" s="11"/>
      <c r="P24133" s="11"/>
    </row>
    <row r="24134" spans="8:16" x14ac:dyDescent="0.25">
      <c r="H24134" s="12"/>
      <c r="I24134" s="12"/>
      <c r="J24134" s="12"/>
      <c r="K24134" s="12"/>
      <c r="L24134" s="12"/>
      <c r="M24134" s="11"/>
      <c r="N24134" s="11"/>
      <c r="O24134" s="11"/>
      <c r="P24134" s="11"/>
    </row>
    <row r="24135" spans="8:16" x14ac:dyDescent="0.25">
      <c r="H24135" s="12"/>
      <c r="I24135" s="12"/>
      <c r="J24135" s="12"/>
      <c r="K24135" s="12"/>
      <c r="L24135" s="12"/>
      <c r="M24135" s="11"/>
      <c r="N24135" s="11"/>
      <c r="O24135" s="11"/>
      <c r="P24135" s="11"/>
    </row>
    <row r="24136" spans="8:16" x14ac:dyDescent="0.25">
      <c r="H24136" s="12"/>
      <c r="I24136" s="12"/>
      <c r="J24136" s="12"/>
      <c r="K24136" s="12"/>
      <c r="L24136" s="12"/>
      <c r="M24136" s="11"/>
      <c r="N24136" s="11"/>
      <c r="O24136" s="11"/>
      <c r="P24136" s="11"/>
    </row>
    <row r="24137" spans="8:16" x14ac:dyDescent="0.25">
      <c r="H24137" s="12"/>
      <c r="I24137" s="12"/>
      <c r="J24137" s="12"/>
      <c r="K24137" s="12"/>
      <c r="L24137" s="12"/>
      <c r="M24137" s="11"/>
      <c r="N24137" s="11"/>
      <c r="O24137" s="11"/>
      <c r="P24137" s="11"/>
    </row>
    <row r="24138" spans="8:16" x14ac:dyDescent="0.25">
      <c r="H24138" s="12"/>
      <c r="I24138" s="12"/>
      <c r="J24138" s="12"/>
      <c r="K24138" s="12"/>
      <c r="L24138" s="12"/>
      <c r="M24138" s="11"/>
      <c r="N24138" s="11"/>
      <c r="O24138" s="11"/>
      <c r="P24138" s="11"/>
    </row>
    <row r="24139" spans="8:16" x14ac:dyDescent="0.25">
      <c r="H24139" s="12"/>
      <c r="I24139" s="12"/>
      <c r="J24139" s="12"/>
      <c r="K24139" s="12"/>
      <c r="L24139" s="12"/>
      <c r="M24139" s="11"/>
      <c r="N24139" s="11"/>
      <c r="O24139" s="11"/>
      <c r="P24139" s="11"/>
    </row>
    <row r="24140" spans="8:16" x14ac:dyDescent="0.25">
      <c r="H24140" s="12"/>
      <c r="I24140" s="12"/>
      <c r="J24140" s="12"/>
      <c r="K24140" s="12"/>
      <c r="L24140" s="12"/>
      <c r="M24140" s="11"/>
      <c r="N24140" s="11"/>
      <c r="O24140" s="11"/>
      <c r="P24140" s="11"/>
    </row>
    <row r="24141" spans="8:16" x14ac:dyDescent="0.25">
      <c r="H24141" s="12"/>
      <c r="I24141" s="12"/>
      <c r="J24141" s="12"/>
      <c r="K24141" s="12"/>
      <c r="L24141" s="12"/>
      <c r="M24141" s="11"/>
      <c r="N24141" s="11"/>
      <c r="O24141" s="11"/>
      <c r="P24141" s="11"/>
    </row>
    <row r="24142" spans="8:16" x14ac:dyDescent="0.25">
      <c r="H24142" s="12"/>
      <c r="I24142" s="12"/>
      <c r="J24142" s="12"/>
      <c r="K24142" s="12"/>
      <c r="L24142" s="12"/>
      <c r="M24142" s="11"/>
      <c r="N24142" s="11"/>
      <c r="O24142" s="11"/>
      <c r="P24142" s="11"/>
    </row>
    <row r="24143" spans="8:16" x14ac:dyDescent="0.25">
      <c r="H24143" s="12"/>
      <c r="I24143" s="12"/>
      <c r="J24143" s="12"/>
      <c r="K24143" s="12"/>
      <c r="L24143" s="12"/>
      <c r="M24143" s="11"/>
      <c r="N24143" s="11"/>
      <c r="O24143" s="11"/>
      <c r="P24143" s="11"/>
    </row>
    <row r="24144" spans="8:16" x14ac:dyDescent="0.25">
      <c r="H24144" s="12"/>
      <c r="I24144" s="12"/>
      <c r="J24144" s="12"/>
      <c r="K24144" s="12"/>
      <c r="L24144" s="12"/>
      <c r="M24144" s="11"/>
      <c r="N24144" s="11"/>
      <c r="O24144" s="11"/>
      <c r="P24144" s="11"/>
    </row>
    <row r="24145" spans="8:16" x14ac:dyDescent="0.25">
      <c r="H24145" s="12"/>
      <c r="I24145" s="12"/>
      <c r="J24145" s="12"/>
      <c r="K24145" s="12"/>
      <c r="L24145" s="12"/>
      <c r="M24145" s="11"/>
      <c r="N24145" s="11"/>
      <c r="O24145" s="11"/>
      <c r="P24145" s="11"/>
    </row>
    <row r="24146" spans="8:16" x14ac:dyDescent="0.25">
      <c r="H24146" s="12"/>
      <c r="I24146" s="12"/>
      <c r="J24146" s="12"/>
      <c r="K24146" s="12"/>
      <c r="L24146" s="12"/>
      <c r="M24146" s="11"/>
      <c r="N24146" s="11"/>
      <c r="O24146" s="11"/>
      <c r="P24146" s="11"/>
    </row>
    <row r="24147" spans="8:16" x14ac:dyDescent="0.25">
      <c r="H24147" s="12"/>
      <c r="I24147" s="12"/>
      <c r="J24147" s="12"/>
      <c r="K24147" s="12"/>
      <c r="L24147" s="12"/>
      <c r="M24147" s="11"/>
      <c r="N24147" s="11"/>
      <c r="O24147" s="11"/>
      <c r="P24147" s="11"/>
    </row>
    <row r="24148" spans="8:16" x14ac:dyDescent="0.25">
      <c r="H24148" s="12"/>
      <c r="I24148" s="12"/>
      <c r="J24148" s="12"/>
      <c r="K24148" s="12"/>
      <c r="L24148" s="12"/>
      <c r="M24148" s="11"/>
      <c r="N24148" s="11"/>
      <c r="O24148" s="11"/>
      <c r="P24148" s="11"/>
    </row>
    <row r="24149" spans="8:16" x14ac:dyDescent="0.25">
      <c r="H24149" s="12"/>
      <c r="I24149" s="12"/>
      <c r="J24149" s="12"/>
      <c r="K24149" s="12"/>
      <c r="L24149" s="12"/>
      <c r="M24149" s="11"/>
      <c r="N24149" s="11"/>
      <c r="O24149" s="11"/>
      <c r="P24149" s="11"/>
    </row>
    <row r="24150" spans="8:16" x14ac:dyDescent="0.25">
      <c r="H24150" s="12"/>
      <c r="I24150" s="12"/>
      <c r="J24150" s="12"/>
      <c r="K24150" s="12"/>
      <c r="L24150" s="12"/>
      <c r="M24150" s="11"/>
      <c r="N24150" s="11"/>
      <c r="O24150" s="11"/>
      <c r="P24150" s="11"/>
    </row>
    <row r="24151" spans="8:16" x14ac:dyDescent="0.25">
      <c r="H24151" s="12"/>
      <c r="I24151" s="12"/>
      <c r="J24151" s="12"/>
      <c r="K24151" s="12"/>
      <c r="L24151" s="12"/>
      <c r="M24151" s="11"/>
      <c r="N24151" s="11"/>
      <c r="O24151" s="11"/>
      <c r="P24151" s="11"/>
    </row>
    <row r="24152" spans="8:16" x14ac:dyDescent="0.25">
      <c r="H24152" s="12"/>
      <c r="I24152" s="12"/>
      <c r="J24152" s="12"/>
      <c r="K24152" s="12"/>
      <c r="L24152" s="12"/>
      <c r="M24152" s="11"/>
      <c r="N24152" s="11"/>
      <c r="O24152" s="11"/>
      <c r="P24152" s="11"/>
    </row>
    <row r="24153" spans="8:16" x14ac:dyDescent="0.25">
      <c r="H24153" s="12"/>
      <c r="I24153" s="12"/>
      <c r="J24153" s="12"/>
      <c r="K24153" s="12"/>
      <c r="L24153" s="12"/>
      <c r="M24153" s="11"/>
      <c r="N24153" s="11"/>
      <c r="O24153" s="11"/>
      <c r="P24153" s="11"/>
    </row>
    <row r="24154" spans="8:16" x14ac:dyDescent="0.25">
      <c r="H24154" s="12"/>
      <c r="I24154" s="12"/>
      <c r="J24154" s="12"/>
      <c r="K24154" s="12"/>
      <c r="L24154" s="12"/>
      <c r="M24154" s="11"/>
      <c r="N24154" s="11"/>
      <c r="O24154" s="11"/>
      <c r="P24154" s="11"/>
    </row>
    <row r="24155" spans="8:16" x14ac:dyDescent="0.25">
      <c r="H24155" s="12"/>
      <c r="I24155" s="12"/>
      <c r="J24155" s="12"/>
      <c r="K24155" s="12"/>
      <c r="L24155" s="12"/>
      <c r="M24155" s="11"/>
      <c r="N24155" s="11"/>
      <c r="O24155" s="11"/>
      <c r="P24155" s="11"/>
    </row>
    <row r="24156" spans="8:16" x14ac:dyDescent="0.25">
      <c r="H24156" s="12"/>
      <c r="I24156" s="12"/>
      <c r="J24156" s="12"/>
      <c r="K24156" s="12"/>
      <c r="L24156" s="12"/>
      <c r="M24156" s="11"/>
      <c r="N24156" s="11"/>
      <c r="O24156" s="11"/>
      <c r="P24156" s="11"/>
    </row>
    <row r="24157" spans="8:16" x14ac:dyDescent="0.25">
      <c r="H24157" s="12"/>
      <c r="I24157" s="12"/>
      <c r="J24157" s="12"/>
      <c r="K24157" s="12"/>
      <c r="L24157" s="12"/>
      <c r="M24157" s="11"/>
      <c r="N24157" s="11"/>
      <c r="O24157" s="11"/>
      <c r="P24157" s="11"/>
    </row>
    <row r="24158" spans="8:16" x14ac:dyDescent="0.25">
      <c r="H24158" s="12"/>
      <c r="I24158" s="12"/>
      <c r="J24158" s="12"/>
      <c r="K24158" s="12"/>
      <c r="L24158" s="12"/>
      <c r="M24158" s="11"/>
      <c r="N24158" s="11"/>
      <c r="O24158" s="11"/>
      <c r="P24158" s="11"/>
    </row>
    <row r="24159" spans="8:16" x14ac:dyDescent="0.25">
      <c r="H24159" s="12"/>
      <c r="I24159" s="12"/>
      <c r="J24159" s="12"/>
      <c r="K24159" s="12"/>
      <c r="L24159" s="12"/>
      <c r="M24159" s="11"/>
      <c r="N24159" s="11"/>
      <c r="O24159" s="11"/>
      <c r="P24159" s="11"/>
    </row>
    <row r="24160" spans="8:16" x14ac:dyDescent="0.25">
      <c r="H24160" s="12"/>
      <c r="I24160" s="12"/>
      <c r="J24160" s="12"/>
      <c r="K24160" s="12"/>
      <c r="L24160" s="12"/>
      <c r="M24160" s="11"/>
      <c r="N24160" s="11"/>
      <c r="O24160" s="11"/>
      <c r="P24160" s="11"/>
    </row>
    <row r="24161" spans="8:16" x14ac:dyDescent="0.25">
      <c r="H24161" s="12"/>
      <c r="I24161" s="12"/>
      <c r="J24161" s="12"/>
      <c r="K24161" s="12"/>
      <c r="L24161" s="12"/>
      <c r="M24161" s="11"/>
      <c r="N24161" s="11"/>
      <c r="O24161" s="11"/>
      <c r="P24161" s="11"/>
    </row>
    <row r="24162" spans="8:16" x14ac:dyDescent="0.25">
      <c r="H24162" s="12"/>
      <c r="I24162" s="12"/>
      <c r="J24162" s="12"/>
      <c r="K24162" s="12"/>
      <c r="L24162" s="12"/>
      <c r="M24162" s="11"/>
      <c r="N24162" s="11"/>
      <c r="O24162" s="11"/>
      <c r="P24162" s="11"/>
    </row>
    <row r="24163" spans="8:16" x14ac:dyDescent="0.25">
      <c r="H24163" s="12"/>
      <c r="I24163" s="12"/>
      <c r="J24163" s="12"/>
      <c r="K24163" s="12"/>
      <c r="L24163" s="12"/>
      <c r="M24163" s="11"/>
      <c r="N24163" s="11"/>
      <c r="O24163" s="11"/>
      <c r="P24163" s="11"/>
    </row>
    <row r="24164" spans="8:16" x14ac:dyDescent="0.25">
      <c r="H24164" s="12"/>
      <c r="I24164" s="12"/>
      <c r="J24164" s="12"/>
      <c r="K24164" s="12"/>
      <c r="L24164" s="12"/>
      <c r="M24164" s="11"/>
      <c r="N24164" s="11"/>
      <c r="O24164" s="11"/>
      <c r="P24164" s="11"/>
    </row>
    <row r="24165" spans="8:16" x14ac:dyDescent="0.25">
      <c r="H24165" s="12"/>
      <c r="I24165" s="12"/>
      <c r="J24165" s="12"/>
      <c r="K24165" s="12"/>
      <c r="L24165" s="12"/>
      <c r="M24165" s="11"/>
      <c r="N24165" s="11"/>
      <c r="O24165" s="11"/>
      <c r="P24165" s="11"/>
    </row>
    <row r="24166" spans="8:16" x14ac:dyDescent="0.25">
      <c r="H24166" s="12"/>
      <c r="I24166" s="12"/>
      <c r="J24166" s="12"/>
      <c r="K24166" s="12"/>
      <c r="L24166" s="12"/>
      <c r="M24166" s="11"/>
      <c r="N24166" s="11"/>
      <c r="O24166" s="11"/>
      <c r="P24166" s="11"/>
    </row>
    <row r="24167" spans="8:16" x14ac:dyDescent="0.25">
      <c r="H24167" s="12"/>
      <c r="I24167" s="12"/>
      <c r="J24167" s="12"/>
      <c r="K24167" s="12"/>
      <c r="L24167" s="12"/>
      <c r="M24167" s="11"/>
      <c r="N24167" s="11"/>
      <c r="O24167" s="11"/>
      <c r="P24167" s="11"/>
    </row>
    <row r="24168" spans="8:16" x14ac:dyDescent="0.25">
      <c r="H24168" s="12"/>
      <c r="I24168" s="12"/>
      <c r="J24168" s="12"/>
      <c r="K24168" s="12"/>
      <c r="L24168" s="12"/>
      <c r="M24168" s="11"/>
      <c r="N24168" s="11"/>
      <c r="O24168" s="11"/>
      <c r="P24168" s="11"/>
    </row>
    <row r="24169" spans="8:16" x14ac:dyDescent="0.25">
      <c r="H24169" s="12"/>
      <c r="I24169" s="12"/>
      <c r="J24169" s="12"/>
      <c r="K24169" s="12"/>
      <c r="L24169" s="12"/>
      <c r="M24169" s="11"/>
      <c r="N24169" s="11"/>
      <c r="O24169" s="11"/>
      <c r="P24169" s="11"/>
    </row>
    <row r="24170" spans="8:16" x14ac:dyDescent="0.25">
      <c r="H24170" s="12"/>
      <c r="I24170" s="12"/>
      <c r="J24170" s="12"/>
      <c r="K24170" s="12"/>
      <c r="L24170" s="12"/>
      <c r="M24170" s="11"/>
      <c r="N24170" s="11"/>
      <c r="O24170" s="11"/>
      <c r="P24170" s="11"/>
    </row>
    <row r="24171" spans="8:16" x14ac:dyDescent="0.25">
      <c r="H24171" s="12"/>
      <c r="I24171" s="12"/>
      <c r="J24171" s="12"/>
      <c r="K24171" s="12"/>
      <c r="L24171" s="12"/>
      <c r="M24171" s="11"/>
      <c r="N24171" s="11"/>
      <c r="O24171" s="11"/>
      <c r="P24171" s="11"/>
    </row>
    <row r="24172" spans="8:16" x14ac:dyDescent="0.25">
      <c r="H24172" s="12"/>
      <c r="I24172" s="12"/>
      <c r="J24172" s="12"/>
      <c r="K24172" s="12"/>
      <c r="L24172" s="12"/>
      <c r="M24172" s="11"/>
      <c r="N24172" s="11"/>
      <c r="O24172" s="11"/>
      <c r="P24172" s="11"/>
    </row>
    <row r="24173" spans="8:16" x14ac:dyDescent="0.25">
      <c r="H24173" s="12"/>
      <c r="I24173" s="12"/>
      <c r="J24173" s="12"/>
      <c r="K24173" s="12"/>
      <c r="L24173" s="12"/>
      <c r="M24173" s="11"/>
      <c r="N24173" s="11"/>
      <c r="O24173" s="11"/>
      <c r="P24173" s="11"/>
    </row>
    <row r="24174" spans="8:16" x14ac:dyDescent="0.25">
      <c r="H24174" s="12"/>
      <c r="I24174" s="12"/>
      <c r="J24174" s="12"/>
      <c r="K24174" s="12"/>
      <c r="L24174" s="12"/>
      <c r="M24174" s="11"/>
      <c r="N24174" s="11"/>
      <c r="O24174" s="11"/>
      <c r="P24174" s="11"/>
    </row>
    <row r="24175" spans="8:16" x14ac:dyDescent="0.25">
      <c r="H24175" s="12"/>
      <c r="I24175" s="12"/>
      <c r="J24175" s="12"/>
      <c r="K24175" s="12"/>
      <c r="L24175" s="12"/>
      <c r="M24175" s="11"/>
      <c r="N24175" s="11"/>
      <c r="O24175" s="11"/>
      <c r="P24175" s="11"/>
    </row>
    <row r="24176" spans="8:16" x14ac:dyDescent="0.25">
      <c r="H24176" s="12"/>
      <c r="I24176" s="12"/>
      <c r="J24176" s="12"/>
      <c r="K24176" s="12"/>
      <c r="L24176" s="12"/>
      <c r="M24176" s="11"/>
      <c r="N24176" s="11"/>
      <c r="O24176" s="11"/>
      <c r="P24176" s="11"/>
    </row>
    <row r="24177" spans="8:16" x14ac:dyDescent="0.25">
      <c r="H24177" s="12"/>
      <c r="I24177" s="12"/>
      <c r="J24177" s="12"/>
      <c r="K24177" s="12"/>
      <c r="L24177" s="12"/>
      <c r="M24177" s="11"/>
      <c r="N24177" s="11"/>
      <c r="O24177" s="11"/>
      <c r="P24177" s="11"/>
    </row>
    <row r="24178" spans="8:16" x14ac:dyDescent="0.25">
      <c r="H24178" s="12"/>
      <c r="I24178" s="12"/>
      <c r="J24178" s="12"/>
      <c r="K24178" s="12"/>
      <c r="L24178" s="12"/>
      <c r="M24178" s="11"/>
      <c r="N24178" s="11"/>
      <c r="O24178" s="11"/>
      <c r="P24178" s="11"/>
    </row>
    <row r="24179" spans="8:16" x14ac:dyDescent="0.25">
      <c r="H24179" s="12"/>
      <c r="I24179" s="12"/>
      <c r="J24179" s="12"/>
      <c r="K24179" s="12"/>
      <c r="L24179" s="12"/>
      <c r="M24179" s="11"/>
      <c r="N24179" s="11"/>
      <c r="O24179" s="11"/>
      <c r="P24179" s="11"/>
    </row>
    <row r="24180" spans="8:16" x14ac:dyDescent="0.25">
      <c r="H24180" s="12"/>
      <c r="I24180" s="12"/>
      <c r="J24180" s="12"/>
      <c r="K24180" s="12"/>
      <c r="L24180" s="12"/>
      <c r="M24180" s="11"/>
      <c r="N24180" s="11"/>
      <c r="O24180" s="11"/>
      <c r="P24180" s="11"/>
    </row>
    <row r="24181" spans="8:16" x14ac:dyDescent="0.25">
      <c r="H24181" s="12"/>
      <c r="I24181" s="12"/>
      <c r="J24181" s="12"/>
      <c r="K24181" s="12"/>
      <c r="L24181" s="12"/>
      <c r="M24181" s="11"/>
      <c r="N24181" s="11"/>
      <c r="O24181" s="11"/>
      <c r="P24181" s="11"/>
    </row>
    <row r="24182" spans="8:16" x14ac:dyDescent="0.25">
      <c r="H24182" s="12"/>
      <c r="I24182" s="12"/>
      <c r="J24182" s="12"/>
      <c r="K24182" s="12"/>
      <c r="L24182" s="12"/>
      <c r="M24182" s="11"/>
      <c r="N24182" s="11"/>
      <c r="O24182" s="11"/>
      <c r="P24182" s="11"/>
    </row>
    <row r="24183" spans="8:16" x14ac:dyDescent="0.25">
      <c r="H24183" s="12"/>
      <c r="I24183" s="12"/>
      <c r="J24183" s="12"/>
      <c r="K24183" s="12"/>
      <c r="L24183" s="12"/>
      <c r="M24183" s="11"/>
      <c r="N24183" s="11"/>
      <c r="O24183" s="11"/>
      <c r="P24183" s="11"/>
    </row>
    <row r="24184" spans="8:16" x14ac:dyDescent="0.25">
      <c r="H24184" s="12"/>
      <c r="I24184" s="12"/>
      <c r="J24184" s="12"/>
      <c r="K24184" s="12"/>
      <c r="L24184" s="12"/>
      <c r="M24184" s="11"/>
      <c r="N24184" s="11"/>
      <c r="O24184" s="11"/>
      <c r="P24184" s="11"/>
    </row>
    <row r="24185" spans="8:16" x14ac:dyDescent="0.25">
      <c r="H24185" s="12"/>
      <c r="I24185" s="12"/>
      <c r="J24185" s="12"/>
      <c r="K24185" s="12"/>
      <c r="L24185" s="12"/>
      <c r="M24185" s="11"/>
      <c r="N24185" s="11"/>
      <c r="O24185" s="11"/>
      <c r="P24185" s="11"/>
    </row>
    <row r="24186" spans="8:16" x14ac:dyDescent="0.25">
      <c r="H24186" s="12"/>
      <c r="I24186" s="12"/>
      <c r="J24186" s="12"/>
      <c r="K24186" s="12"/>
      <c r="L24186" s="12"/>
      <c r="M24186" s="11"/>
      <c r="N24186" s="11"/>
      <c r="O24186" s="11"/>
      <c r="P24186" s="11"/>
    </row>
    <row r="24187" spans="8:16" x14ac:dyDescent="0.25">
      <c r="H24187" s="12"/>
      <c r="I24187" s="12"/>
      <c r="J24187" s="12"/>
      <c r="K24187" s="12"/>
      <c r="L24187" s="12"/>
      <c r="M24187" s="11"/>
      <c r="N24187" s="11"/>
      <c r="O24187" s="11"/>
      <c r="P24187" s="11"/>
    </row>
    <row r="24188" spans="8:16" x14ac:dyDescent="0.25">
      <c r="H24188" s="12"/>
      <c r="I24188" s="12"/>
      <c r="J24188" s="12"/>
      <c r="K24188" s="12"/>
      <c r="L24188" s="12"/>
      <c r="M24188" s="11"/>
      <c r="N24188" s="11"/>
      <c r="O24188" s="11"/>
      <c r="P24188" s="11"/>
    </row>
    <row r="24189" spans="8:16" x14ac:dyDescent="0.25">
      <c r="H24189" s="12"/>
      <c r="I24189" s="12"/>
      <c r="J24189" s="12"/>
      <c r="K24189" s="12"/>
      <c r="L24189" s="12"/>
      <c r="M24189" s="11"/>
      <c r="N24189" s="11"/>
      <c r="O24189" s="11"/>
      <c r="P24189" s="11"/>
    </row>
    <row r="24190" spans="8:16" x14ac:dyDescent="0.25">
      <c r="H24190" s="12"/>
      <c r="I24190" s="12"/>
      <c r="J24190" s="12"/>
      <c r="K24190" s="12"/>
      <c r="L24190" s="12"/>
      <c r="M24190" s="11"/>
      <c r="N24190" s="11"/>
      <c r="O24190" s="11"/>
      <c r="P24190" s="11"/>
    </row>
    <row r="24191" spans="8:16" x14ac:dyDescent="0.25">
      <c r="H24191" s="12"/>
      <c r="I24191" s="12"/>
      <c r="J24191" s="12"/>
      <c r="K24191" s="12"/>
      <c r="L24191" s="12"/>
      <c r="M24191" s="11"/>
      <c r="N24191" s="11"/>
      <c r="O24191" s="11"/>
      <c r="P24191" s="11"/>
    </row>
    <row r="24192" spans="8:16" x14ac:dyDescent="0.25">
      <c r="H24192" s="12"/>
      <c r="I24192" s="12"/>
      <c r="J24192" s="12"/>
      <c r="K24192" s="12"/>
      <c r="L24192" s="12"/>
      <c r="M24192" s="11"/>
      <c r="N24192" s="11"/>
      <c r="O24192" s="11"/>
      <c r="P24192" s="11"/>
    </row>
    <row r="24193" spans="8:16" x14ac:dyDescent="0.25">
      <c r="H24193" s="12"/>
      <c r="I24193" s="12"/>
      <c r="J24193" s="12"/>
      <c r="K24193" s="12"/>
      <c r="L24193" s="12"/>
      <c r="M24193" s="11"/>
      <c r="N24193" s="11"/>
      <c r="O24193" s="11"/>
      <c r="P24193" s="11"/>
    </row>
    <row r="24194" spans="8:16" x14ac:dyDescent="0.25">
      <c r="H24194" s="12"/>
      <c r="I24194" s="12"/>
      <c r="J24194" s="12"/>
      <c r="K24194" s="12"/>
      <c r="L24194" s="12"/>
      <c r="M24194" s="11"/>
      <c r="N24194" s="11"/>
      <c r="O24194" s="11"/>
      <c r="P24194" s="11"/>
    </row>
    <row r="24195" spans="8:16" x14ac:dyDescent="0.25">
      <c r="H24195" s="12"/>
      <c r="I24195" s="12"/>
      <c r="J24195" s="12"/>
      <c r="K24195" s="12"/>
      <c r="L24195" s="12"/>
      <c r="M24195" s="11"/>
      <c r="N24195" s="11"/>
      <c r="O24195" s="11"/>
      <c r="P24195" s="11"/>
    </row>
    <row r="24196" spans="8:16" x14ac:dyDescent="0.25">
      <c r="H24196" s="12"/>
      <c r="I24196" s="12"/>
      <c r="J24196" s="12"/>
      <c r="K24196" s="12"/>
      <c r="L24196" s="12"/>
      <c r="M24196" s="11"/>
      <c r="N24196" s="11"/>
      <c r="O24196" s="11"/>
      <c r="P24196" s="11"/>
    </row>
    <row r="24197" spans="8:16" x14ac:dyDescent="0.25">
      <c r="H24197" s="12"/>
      <c r="I24197" s="12"/>
      <c r="J24197" s="12"/>
      <c r="K24197" s="12"/>
      <c r="L24197" s="12"/>
      <c r="M24197" s="11"/>
      <c r="N24197" s="11"/>
      <c r="O24197" s="11"/>
      <c r="P24197" s="11"/>
    </row>
    <row r="24198" spans="8:16" x14ac:dyDescent="0.25">
      <c r="H24198" s="12"/>
      <c r="I24198" s="12"/>
      <c r="J24198" s="12"/>
      <c r="K24198" s="12"/>
      <c r="L24198" s="12"/>
      <c r="M24198" s="11"/>
      <c r="N24198" s="11"/>
      <c r="O24198" s="11"/>
      <c r="P24198" s="11"/>
    </row>
    <row r="24199" spans="8:16" x14ac:dyDescent="0.25">
      <c r="H24199" s="12"/>
      <c r="I24199" s="12"/>
      <c r="J24199" s="12"/>
      <c r="K24199" s="12"/>
      <c r="L24199" s="12"/>
      <c r="M24199" s="11"/>
      <c r="N24199" s="11"/>
      <c r="O24199" s="11"/>
      <c r="P24199" s="11"/>
    </row>
    <row r="24200" spans="8:16" x14ac:dyDescent="0.25">
      <c r="H24200" s="12"/>
      <c r="I24200" s="12"/>
      <c r="J24200" s="12"/>
      <c r="K24200" s="12"/>
      <c r="L24200" s="12"/>
      <c r="M24200" s="11"/>
      <c r="N24200" s="11"/>
      <c r="O24200" s="11"/>
      <c r="P24200" s="11"/>
    </row>
    <row r="24201" spans="8:16" x14ac:dyDescent="0.25">
      <c r="H24201" s="12"/>
      <c r="I24201" s="12"/>
      <c r="J24201" s="12"/>
      <c r="K24201" s="12"/>
      <c r="L24201" s="12"/>
      <c r="M24201" s="11"/>
      <c r="N24201" s="11"/>
      <c r="O24201" s="11"/>
      <c r="P24201" s="11"/>
    </row>
    <row r="24202" spans="8:16" x14ac:dyDescent="0.25">
      <c r="H24202" s="12"/>
      <c r="I24202" s="12"/>
      <c r="J24202" s="12"/>
      <c r="K24202" s="12"/>
      <c r="L24202" s="12"/>
      <c r="M24202" s="11"/>
      <c r="N24202" s="11"/>
      <c r="O24202" s="11"/>
      <c r="P24202" s="11"/>
    </row>
    <row r="24203" spans="8:16" x14ac:dyDescent="0.25">
      <c r="H24203" s="12"/>
      <c r="I24203" s="12"/>
      <c r="J24203" s="12"/>
      <c r="K24203" s="12"/>
      <c r="L24203" s="12"/>
      <c r="M24203" s="11"/>
      <c r="N24203" s="11"/>
      <c r="O24203" s="11"/>
      <c r="P24203" s="11"/>
    </row>
    <row r="24204" spans="8:16" x14ac:dyDescent="0.25">
      <c r="H24204" s="12"/>
      <c r="I24204" s="12"/>
      <c r="J24204" s="12"/>
      <c r="K24204" s="12"/>
      <c r="L24204" s="12"/>
      <c r="M24204" s="11"/>
      <c r="N24204" s="11"/>
      <c r="O24204" s="11"/>
      <c r="P24204" s="11"/>
    </row>
    <row r="24205" spans="8:16" x14ac:dyDescent="0.25">
      <c r="H24205" s="12"/>
      <c r="I24205" s="12"/>
      <c r="J24205" s="12"/>
      <c r="K24205" s="12"/>
      <c r="L24205" s="12"/>
      <c r="M24205" s="11"/>
      <c r="N24205" s="11"/>
      <c r="O24205" s="11"/>
      <c r="P24205" s="11"/>
    </row>
    <row r="24206" spans="8:16" x14ac:dyDescent="0.25">
      <c r="H24206" s="12"/>
      <c r="I24206" s="12"/>
      <c r="J24206" s="12"/>
      <c r="K24206" s="12"/>
      <c r="L24206" s="12"/>
      <c r="M24206" s="11"/>
      <c r="N24206" s="11"/>
      <c r="O24206" s="11"/>
      <c r="P24206" s="11"/>
    </row>
    <row r="24207" spans="8:16" x14ac:dyDescent="0.25">
      <c r="H24207" s="12"/>
      <c r="I24207" s="12"/>
      <c r="J24207" s="12"/>
      <c r="K24207" s="12"/>
      <c r="L24207" s="12"/>
      <c r="M24207" s="11"/>
      <c r="N24207" s="11"/>
      <c r="O24207" s="11"/>
      <c r="P24207" s="11"/>
    </row>
    <row r="24208" spans="8:16" x14ac:dyDescent="0.25">
      <c r="H24208" s="12"/>
      <c r="I24208" s="12"/>
      <c r="J24208" s="12"/>
      <c r="K24208" s="12"/>
      <c r="L24208" s="12"/>
      <c r="M24208" s="11"/>
      <c r="N24208" s="11"/>
      <c r="O24208" s="11"/>
      <c r="P24208" s="11"/>
    </row>
    <row r="24209" spans="8:16" x14ac:dyDescent="0.25">
      <c r="H24209" s="12"/>
      <c r="I24209" s="12"/>
      <c r="J24209" s="12"/>
      <c r="K24209" s="12"/>
      <c r="L24209" s="12"/>
      <c r="M24209" s="11"/>
      <c r="N24209" s="11"/>
      <c r="O24209" s="11"/>
      <c r="P24209" s="11"/>
    </row>
    <row r="24210" spans="8:16" x14ac:dyDescent="0.25">
      <c r="H24210" s="12"/>
      <c r="I24210" s="12"/>
      <c r="J24210" s="12"/>
      <c r="K24210" s="12"/>
      <c r="L24210" s="12"/>
      <c r="M24210" s="11"/>
      <c r="N24210" s="11"/>
      <c r="O24210" s="11"/>
      <c r="P24210" s="11"/>
    </row>
    <row r="24211" spans="8:16" x14ac:dyDescent="0.25">
      <c r="H24211" s="12"/>
      <c r="I24211" s="12"/>
      <c r="J24211" s="12"/>
      <c r="K24211" s="12"/>
      <c r="L24211" s="12"/>
      <c r="M24211" s="11"/>
      <c r="N24211" s="11"/>
      <c r="O24211" s="11"/>
      <c r="P24211" s="11"/>
    </row>
    <row r="24212" spans="8:16" x14ac:dyDescent="0.25">
      <c r="H24212" s="12"/>
      <c r="I24212" s="12"/>
      <c r="J24212" s="12"/>
      <c r="K24212" s="12"/>
      <c r="L24212" s="12"/>
      <c r="M24212" s="11"/>
      <c r="N24212" s="11"/>
      <c r="O24212" s="11"/>
      <c r="P24212" s="11"/>
    </row>
    <row r="24213" spans="8:16" x14ac:dyDescent="0.25">
      <c r="H24213" s="12"/>
      <c r="I24213" s="12"/>
      <c r="J24213" s="12"/>
      <c r="K24213" s="12"/>
      <c r="L24213" s="12"/>
      <c r="M24213" s="11"/>
      <c r="N24213" s="11"/>
      <c r="O24213" s="11"/>
      <c r="P24213" s="11"/>
    </row>
    <row r="24214" spans="8:16" x14ac:dyDescent="0.25">
      <c r="H24214" s="12"/>
      <c r="I24214" s="12"/>
      <c r="J24214" s="12"/>
      <c r="K24214" s="12"/>
      <c r="L24214" s="12"/>
      <c r="M24214" s="11"/>
      <c r="N24214" s="11"/>
      <c r="O24214" s="11"/>
      <c r="P24214" s="11"/>
    </row>
    <row r="24215" spans="8:16" x14ac:dyDescent="0.25">
      <c r="H24215" s="12"/>
      <c r="I24215" s="12"/>
      <c r="J24215" s="12"/>
      <c r="K24215" s="12"/>
      <c r="L24215" s="12"/>
      <c r="M24215" s="11"/>
      <c r="N24215" s="11"/>
      <c r="O24215" s="11"/>
      <c r="P24215" s="11"/>
    </row>
    <row r="24216" spans="8:16" x14ac:dyDescent="0.25">
      <c r="H24216" s="12"/>
      <c r="I24216" s="12"/>
      <c r="J24216" s="12"/>
      <c r="K24216" s="12"/>
      <c r="L24216" s="12"/>
      <c r="M24216" s="11"/>
      <c r="N24216" s="11"/>
      <c r="O24216" s="11"/>
      <c r="P24216" s="11"/>
    </row>
    <row r="24217" spans="8:16" x14ac:dyDescent="0.25">
      <c r="H24217" s="12"/>
      <c r="I24217" s="12"/>
      <c r="J24217" s="12"/>
      <c r="K24217" s="12"/>
      <c r="L24217" s="12"/>
      <c r="M24217" s="11"/>
      <c r="N24217" s="11"/>
      <c r="O24217" s="11"/>
      <c r="P24217" s="11"/>
    </row>
    <row r="24218" spans="8:16" x14ac:dyDescent="0.25">
      <c r="H24218" s="12"/>
      <c r="I24218" s="12"/>
      <c r="J24218" s="12"/>
      <c r="K24218" s="12"/>
      <c r="L24218" s="12"/>
      <c r="M24218" s="11"/>
      <c r="N24218" s="11"/>
      <c r="O24218" s="11"/>
      <c r="P24218" s="11"/>
    </row>
    <row r="24219" spans="8:16" x14ac:dyDescent="0.25">
      <c r="H24219" s="12"/>
      <c r="I24219" s="12"/>
      <c r="J24219" s="12"/>
      <c r="K24219" s="12"/>
      <c r="L24219" s="12"/>
      <c r="M24219" s="11"/>
      <c r="N24219" s="11"/>
      <c r="O24219" s="11"/>
      <c r="P24219" s="11"/>
    </row>
    <row r="24220" spans="8:16" x14ac:dyDescent="0.25">
      <c r="H24220" s="12"/>
      <c r="I24220" s="12"/>
      <c r="J24220" s="12"/>
      <c r="K24220" s="12"/>
      <c r="L24220" s="12"/>
      <c r="M24220" s="11"/>
      <c r="N24220" s="11"/>
      <c r="O24220" s="11"/>
      <c r="P24220" s="11"/>
    </row>
    <row r="24221" spans="8:16" x14ac:dyDescent="0.25">
      <c r="H24221" s="12"/>
      <c r="I24221" s="12"/>
      <c r="J24221" s="12"/>
      <c r="K24221" s="12"/>
      <c r="L24221" s="12"/>
      <c r="M24221" s="11"/>
      <c r="N24221" s="11"/>
      <c r="O24221" s="11"/>
      <c r="P24221" s="11"/>
    </row>
    <row r="24222" spans="8:16" x14ac:dyDescent="0.25">
      <c r="H24222" s="12"/>
      <c r="I24222" s="12"/>
      <c r="J24222" s="12"/>
      <c r="K24222" s="12"/>
      <c r="L24222" s="12"/>
      <c r="M24222" s="11"/>
      <c r="N24222" s="11"/>
      <c r="O24222" s="11"/>
      <c r="P24222" s="11"/>
    </row>
    <row r="24223" spans="8:16" x14ac:dyDescent="0.25">
      <c r="H24223" s="12"/>
      <c r="I24223" s="12"/>
      <c r="J24223" s="12"/>
      <c r="K24223" s="12"/>
      <c r="L24223" s="12"/>
      <c r="M24223" s="11"/>
      <c r="N24223" s="11"/>
      <c r="O24223" s="11"/>
      <c r="P24223" s="11"/>
    </row>
    <row r="24224" spans="8:16" x14ac:dyDescent="0.25">
      <c r="H24224" s="12"/>
      <c r="I24224" s="12"/>
      <c r="J24224" s="12"/>
      <c r="K24224" s="12"/>
      <c r="L24224" s="12"/>
      <c r="M24224" s="11"/>
      <c r="N24224" s="11"/>
      <c r="O24224" s="11"/>
      <c r="P24224" s="11"/>
    </row>
    <row r="24225" spans="8:16" x14ac:dyDescent="0.25">
      <c r="H24225" s="12"/>
      <c r="I24225" s="12"/>
      <c r="J24225" s="12"/>
      <c r="K24225" s="12"/>
      <c r="L24225" s="12"/>
      <c r="M24225" s="11"/>
      <c r="N24225" s="11"/>
      <c r="O24225" s="11"/>
      <c r="P24225" s="11"/>
    </row>
    <row r="24226" spans="8:16" x14ac:dyDescent="0.25">
      <c r="H24226" s="12"/>
      <c r="I24226" s="12"/>
      <c r="J24226" s="12"/>
      <c r="K24226" s="12"/>
      <c r="L24226" s="12"/>
      <c r="M24226" s="11"/>
      <c r="N24226" s="11"/>
      <c r="O24226" s="11"/>
      <c r="P24226" s="11"/>
    </row>
    <row r="24227" spans="8:16" x14ac:dyDescent="0.25">
      <c r="H24227" s="12"/>
      <c r="I24227" s="12"/>
      <c r="J24227" s="12"/>
      <c r="K24227" s="12"/>
      <c r="L24227" s="12"/>
      <c r="M24227" s="11"/>
      <c r="N24227" s="11"/>
      <c r="O24227" s="11"/>
      <c r="P24227" s="11"/>
    </row>
    <row r="24228" spans="8:16" x14ac:dyDescent="0.25">
      <c r="H24228" s="12"/>
      <c r="I24228" s="12"/>
      <c r="J24228" s="12"/>
      <c r="K24228" s="12"/>
      <c r="L24228" s="12"/>
      <c r="M24228" s="11"/>
      <c r="N24228" s="11"/>
      <c r="O24228" s="11"/>
      <c r="P24228" s="11"/>
    </row>
    <row r="24229" spans="8:16" x14ac:dyDescent="0.25">
      <c r="H24229" s="12"/>
      <c r="I24229" s="12"/>
      <c r="J24229" s="12"/>
      <c r="K24229" s="12"/>
      <c r="L24229" s="12"/>
      <c r="M24229" s="11"/>
      <c r="N24229" s="11"/>
      <c r="O24229" s="11"/>
      <c r="P24229" s="11"/>
    </row>
    <row r="24230" spans="8:16" x14ac:dyDescent="0.25">
      <c r="H24230" s="12"/>
      <c r="I24230" s="12"/>
      <c r="J24230" s="12"/>
      <c r="K24230" s="12"/>
      <c r="L24230" s="12"/>
      <c r="M24230" s="11"/>
      <c r="N24230" s="11"/>
      <c r="O24230" s="11"/>
      <c r="P24230" s="11"/>
    </row>
    <row r="24231" spans="8:16" x14ac:dyDescent="0.25">
      <c r="H24231" s="12"/>
      <c r="I24231" s="12"/>
      <c r="J24231" s="12"/>
      <c r="K24231" s="12"/>
      <c r="L24231" s="12"/>
      <c r="M24231" s="11"/>
      <c r="N24231" s="11"/>
      <c r="O24231" s="11"/>
      <c r="P24231" s="11"/>
    </row>
    <row r="24232" spans="8:16" x14ac:dyDescent="0.25">
      <c r="H24232" s="12"/>
      <c r="I24232" s="12"/>
      <c r="J24232" s="12"/>
      <c r="K24232" s="12"/>
      <c r="L24232" s="12"/>
      <c r="M24232" s="11"/>
      <c r="N24232" s="11"/>
      <c r="O24232" s="11"/>
      <c r="P24232" s="11"/>
    </row>
    <row r="24233" spans="8:16" x14ac:dyDescent="0.25">
      <c r="H24233" s="12"/>
      <c r="I24233" s="12"/>
      <c r="J24233" s="12"/>
      <c r="K24233" s="12"/>
      <c r="L24233" s="12"/>
      <c r="M24233" s="11"/>
      <c r="N24233" s="11"/>
      <c r="O24233" s="11"/>
      <c r="P24233" s="11"/>
    </row>
    <row r="24234" spans="8:16" x14ac:dyDescent="0.25">
      <c r="H24234" s="12"/>
      <c r="I24234" s="12"/>
      <c r="J24234" s="12"/>
      <c r="K24234" s="12"/>
      <c r="L24234" s="12"/>
      <c r="M24234" s="11"/>
      <c r="N24234" s="11"/>
      <c r="O24234" s="11"/>
      <c r="P24234" s="11"/>
    </row>
    <row r="24235" spans="8:16" x14ac:dyDescent="0.25">
      <c r="H24235" s="12"/>
      <c r="I24235" s="12"/>
      <c r="J24235" s="12"/>
      <c r="K24235" s="12"/>
      <c r="L24235" s="12"/>
      <c r="M24235" s="11"/>
      <c r="N24235" s="11"/>
      <c r="O24235" s="11"/>
      <c r="P24235" s="11"/>
    </row>
    <row r="24236" spans="8:16" x14ac:dyDescent="0.25">
      <c r="H24236" s="12"/>
      <c r="I24236" s="12"/>
      <c r="J24236" s="12"/>
      <c r="K24236" s="12"/>
      <c r="L24236" s="12"/>
      <c r="M24236" s="11"/>
      <c r="N24236" s="11"/>
      <c r="O24236" s="11"/>
      <c r="P24236" s="11"/>
    </row>
    <row r="24237" spans="8:16" x14ac:dyDescent="0.25">
      <c r="H24237" s="12"/>
      <c r="I24237" s="12"/>
      <c r="J24237" s="12"/>
      <c r="K24237" s="12"/>
      <c r="L24237" s="12"/>
      <c r="M24237" s="11"/>
      <c r="N24237" s="11"/>
      <c r="O24237" s="11"/>
      <c r="P24237" s="11"/>
    </row>
    <row r="24238" spans="8:16" x14ac:dyDescent="0.25">
      <c r="H24238" s="12"/>
      <c r="I24238" s="12"/>
      <c r="J24238" s="12"/>
      <c r="K24238" s="12"/>
      <c r="L24238" s="12"/>
      <c r="M24238" s="11"/>
      <c r="N24238" s="11"/>
      <c r="O24238" s="11"/>
      <c r="P24238" s="11"/>
    </row>
    <row r="24239" spans="8:16" x14ac:dyDescent="0.25">
      <c r="H24239" s="12"/>
      <c r="I24239" s="12"/>
      <c r="J24239" s="12"/>
      <c r="K24239" s="12"/>
      <c r="L24239" s="12"/>
      <c r="M24239" s="11"/>
      <c r="N24239" s="11"/>
      <c r="O24239" s="11"/>
      <c r="P24239" s="11"/>
    </row>
    <row r="24240" spans="8:16" x14ac:dyDescent="0.25">
      <c r="H24240" s="12"/>
      <c r="I24240" s="12"/>
      <c r="J24240" s="12"/>
      <c r="K24240" s="12"/>
      <c r="L24240" s="12"/>
      <c r="M24240" s="11"/>
      <c r="N24240" s="11"/>
      <c r="O24240" s="11"/>
      <c r="P24240" s="11"/>
    </row>
    <row r="24241" spans="8:16" x14ac:dyDescent="0.25">
      <c r="H24241" s="12"/>
      <c r="I24241" s="12"/>
      <c r="J24241" s="12"/>
      <c r="K24241" s="12"/>
      <c r="L24241" s="12"/>
      <c r="M24241" s="11"/>
      <c r="N24241" s="11"/>
      <c r="O24241" s="11"/>
      <c r="P24241" s="11"/>
    </row>
    <row r="24242" spans="8:16" x14ac:dyDescent="0.25">
      <c r="H24242" s="12"/>
      <c r="I24242" s="12"/>
      <c r="J24242" s="12"/>
      <c r="K24242" s="12"/>
      <c r="L24242" s="12"/>
      <c r="M24242" s="11"/>
      <c r="N24242" s="11"/>
      <c r="O24242" s="11"/>
      <c r="P24242" s="11"/>
    </row>
    <row r="24243" spans="8:16" x14ac:dyDescent="0.25">
      <c r="H24243" s="12"/>
      <c r="I24243" s="12"/>
      <c r="J24243" s="12"/>
      <c r="K24243" s="12"/>
      <c r="L24243" s="12"/>
      <c r="M24243" s="11"/>
      <c r="N24243" s="11"/>
      <c r="O24243" s="11"/>
      <c r="P24243" s="11"/>
    </row>
    <row r="24244" spans="8:16" x14ac:dyDescent="0.25">
      <c r="H24244" s="12"/>
      <c r="I24244" s="12"/>
      <c r="J24244" s="12"/>
      <c r="K24244" s="12"/>
      <c r="L24244" s="12"/>
      <c r="M24244" s="11"/>
      <c r="N24244" s="11"/>
      <c r="O24244" s="11"/>
      <c r="P24244" s="11"/>
    </row>
    <row r="24245" spans="8:16" x14ac:dyDescent="0.25">
      <c r="H24245" s="12"/>
      <c r="I24245" s="12"/>
      <c r="J24245" s="12"/>
      <c r="K24245" s="12"/>
      <c r="L24245" s="12"/>
      <c r="M24245" s="11"/>
      <c r="N24245" s="11"/>
      <c r="O24245" s="11"/>
      <c r="P24245" s="11"/>
    </row>
    <row r="24246" spans="8:16" x14ac:dyDescent="0.25">
      <c r="H24246" s="12"/>
      <c r="I24246" s="12"/>
      <c r="J24246" s="12"/>
      <c r="K24246" s="12"/>
      <c r="L24246" s="12"/>
      <c r="M24246" s="11"/>
      <c r="N24246" s="11"/>
      <c r="O24246" s="11"/>
      <c r="P24246" s="11"/>
    </row>
    <row r="24247" spans="8:16" x14ac:dyDescent="0.25">
      <c r="H24247" s="12"/>
      <c r="I24247" s="12"/>
      <c r="J24247" s="12"/>
      <c r="K24247" s="12"/>
      <c r="L24247" s="12"/>
      <c r="M24247" s="11"/>
      <c r="N24247" s="11"/>
      <c r="O24247" s="11"/>
      <c r="P24247" s="11"/>
    </row>
    <row r="24248" spans="8:16" x14ac:dyDescent="0.25">
      <c r="H24248" s="12"/>
      <c r="I24248" s="12"/>
      <c r="J24248" s="12"/>
      <c r="K24248" s="12"/>
      <c r="L24248" s="12"/>
      <c r="M24248" s="11"/>
      <c r="N24248" s="11"/>
      <c r="O24248" s="11"/>
      <c r="P24248" s="11"/>
    </row>
    <row r="24249" spans="8:16" x14ac:dyDescent="0.25">
      <c r="H24249" s="12"/>
      <c r="I24249" s="12"/>
      <c r="J24249" s="12"/>
      <c r="K24249" s="12"/>
      <c r="L24249" s="12"/>
      <c r="M24249" s="11"/>
      <c r="N24249" s="11"/>
      <c r="O24249" s="11"/>
      <c r="P24249" s="11"/>
    </row>
    <row r="24250" spans="8:16" x14ac:dyDescent="0.25">
      <c r="H24250" s="12"/>
      <c r="I24250" s="12"/>
      <c r="J24250" s="12"/>
      <c r="K24250" s="12"/>
      <c r="L24250" s="12"/>
      <c r="M24250" s="11"/>
      <c r="N24250" s="11"/>
      <c r="O24250" s="11"/>
      <c r="P24250" s="11"/>
    </row>
    <row r="24251" spans="8:16" x14ac:dyDescent="0.25">
      <c r="H24251" s="12"/>
      <c r="I24251" s="12"/>
      <c r="J24251" s="12"/>
      <c r="K24251" s="12"/>
      <c r="L24251" s="12"/>
      <c r="M24251" s="11"/>
      <c r="N24251" s="11"/>
      <c r="O24251" s="11"/>
      <c r="P24251" s="11"/>
    </row>
    <row r="24252" spans="8:16" x14ac:dyDescent="0.25">
      <c r="H24252" s="12"/>
      <c r="I24252" s="12"/>
      <c r="J24252" s="12"/>
      <c r="K24252" s="12"/>
      <c r="L24252" s="12"/>
      <c r="M24252" s="11"/>
      <c r="N24252" s="11"/>
      <c r="O24252" s="11"/>
      <c r="P24252" s="11"/>
    </row>
    <row r="24253" spans="8:16" x14ac:dyDescent="0.25">
      <c r="H24253" s="12"/>
      <c r="I24253" s="12"/>
      <c r="J24253" s="12"/>
      <c r="K24253" s="12"/>
      <c r="L24253" s="12"/>
      <c r="M24253" s="11"/>
      <c r="N24253" s="11"/>
      <c r="O24253" s="11"/>
      <c r="P24253" s="11"/>
    </row>
    <row r="24254" spans="8:16" x14ac:dyDescent="0.25">
      <c r="H24254" s="12"/>
      <c r="I24254" s="12"/>
      <c r="J24254" s="12"/>
      <c r="K24254" s="12"/>
      <c r="L24254" s="12"/>
      <c r="M24254" s="11"/>
      <c r="N24254" s="11"/>
      <c r="O24254" s="11"/>
      <c r="P24254" s="11"/>
    </row>
    <row r="24255" spans="8:16" x14ac:dyDescent="0.25">
      <c r="H24255" s="12"/>
      <c r="I24255" s="12"/>
      <c r="J24255" s="12"/>
      <c r="K24255" s="12"/>
      <c r="L24255" s="12"/>
      <c r="M24255" s="11"/>
      <c r="N24255" s="11"/>
      <c r="O24255" s="11"/>
      <c r="P24255" s="11"/>
    </row>
    <row r="24256" spans="8:16" x14ac:dyDescent="0.25">
      <c r="H24256" s="12"/>
      <c r="I24256" s="12"/>
      <c r="J24256" s="12"/>
      <c r="K24256" s="12"/>
      <c r="L24256" s="12"/>
      <c r="M24256" s="11"/>
      <c r="N24256" s="11"/>
      <c r="O24256" s="11"/>
      <c r="P24256" s="11"/>
    </row>
    <row r="24257" spans="8:16" x14ac:dyDescent="0.25">
      <c r="H24257" s="12"/>
      <c r="I24257" s="12"/>
      <c r="J24257" s="12"/>
      <c r="K24257" s="12"/>
      <c r="L24257" s="12"/>
      <c r="M24257" s="11"/>
      <c r="N24257" s="11"/>
      <c r="O24257" s="11"/>
      <c r="P24257" s="11"/>
    </row>
    <row r="24258" spans="8:16" x14ac:dyDescent="0.25">
      <c r="H24258" s="12"/>
      <c r="I24258" s="12"/>
      <c r="J24258" s="12"/>
      <c r="K24258" s="12"/>
      <c r="L24258" s="12"/>
      <c r="M24258" s="11"/>
      <c r="N24258" s="11"/>
      <c r="O24258" s="11"/>
      <c r="P24258" s="11"/>
    </row>
    <row r="24259" spans="8:16" x14ac:dyDescent="0.25">
      <c r="H24259" s="12"/>
      <c r="I24259" s="12"/>
      <c r="J24259" s="12"/>
      <c r="K24259" s="12"/>
      <c r="L24259" s="12"/>
      <c r="M24259" s="11"/>
      <c r="N24259" s="11"/>
      <c r="O24259" s="11"/>
      <c r="P24259" s="11"/>
    </row>
    <row r="24260" spans="8:16" x14ac:dyDescent="0.25">
      <c r="H24260" s="12"/>
      <c r="I24260" s="12"/>
      <c r="J24260" s="12"/>
      <c r="K24260" s="12"/>
      <c r="L24260" s="12"/>
      <c r="M24260" s="11"/>
      <c r="N24260" s="11"/>
      <c r="O24260" s="11"/>
      <c r="P24260" s="11"/>
    </row>
    <row r="24261" spans="8:16" x14ac:dyDescent="0.25">
      <c r="H24261" s="12"/>
      <c r="I24261" s="12"/>
      <c r="J24261" s="12"/>
      <c r="K24261" s="12"/>
      <c r="L24261" s="12"/>
      <c r="M24261" s="11"/>
      <c r="N24261" s="11"/>
      <c r="O24261" s="11"/>
      <c r="P24261" s="11"/>
    </row>
    <row r="24262" spans="8:16" x14ac:dyDescent="0.25">
      <c r="H24262" s="12"/>
      <c r="I24262" s="12"/>
      <c r="J24262" s="12"/>
      <c r="K24262" s="12"/>
      <c r="L24262" s="12"/>
      <c r="M24262" s="11"/>
      <c r="N24262" s="11"/>
      <c r="O24262" s="11"/>
      <c r="P24262" s="11"/>
    </row>
    <row r="24263" spans="8:16" x14ac:dyDescent="0.25">
      <c r="H24263" s="12"/>
      <c r="I24263" s="12"/>
      <c r="J24263" s="12"/>
      <c r="K24263" s="12"/>
      <c r="L24263" s="12"/>
      <c r="M24263" s="11"/>
      <c r="N24263" s="11"/>
      <c r="O24263" s="11"/>
      <c r="P24263" s="11"/>
    </row>
    <row r="24264" spans="8:16" x14ac:dyDescent="0.25">
      <c r="H24264" s="12"/>
      <c r="I24264" s="12"/>
      <c r="J24264" s="12"/>
      <c r="K24264" s="12"/>
      <c r="L24264" s="12"/>
      <c r="M24264" s="11"/>
      <c r="N24264" s="11"/>
      <c r="O24264" s="11"/>
      <c r="P24264" s="11"/>
    </row>
    <row r="24265" spans="8:16" x14ac:dyDescent="0.25">
      <c r="H24265" s="12"/>
      <c r="I24265" s="12"/>
      <c r="J24265" s="12"/>
      <c r="K24265" s="12"/>
      <c r="L24265" s="12"/>
      <c r="M24265" s="11"/>
      <c r="N24265" s="11"/>
      <c r="O24265" s="11"/>
      <c r="P24265" s="11"/>
    </row>
    <row r="24266" spans="8:16" x14ac:dyDescent="0.25">
      <c r="H24266" s="12"/>
      <c r="I24266" s="12"/>
      <c r="J24266" s="12"/>
      <c r="K24266" s="12"/>
      <c r="L24266" s="12"/>
      <c r="M24266" s="11"/>
      <c r="N24266" s="11"/>
      <c r="O24266" s="11"/>
      <c r="P24266" s="11"/>
    </row>
    <row r="24267" spans="8:16" x14ac:dyDescent="0.25">
      <c r="H24267" s="12"/>
      <c r="I24267" s="12"/>
      <c r="J24267" s="12"/>
      <c r="K24267" s="12"/>
      <c r="L24267" s="12"/>
      <c r="M24267" s="11"/>
      <c r="N24267" s="11"/>
      <c r="O24267" s="11"/>
      <c r="P24267" s="11"/>
    </row>
    <row r="24268" spans="8:16" x14ac:dyDescent="0.25">
      <c r="H24268" s="12"/>
      <c r="I24268" s="12"/>
      <c r="J24268" s="12"/>
      <c r="K24268" s="12"/>
      <c r="L24268" s="12"/>
      <c r="M24268" s="11"/>
      <c r="N24268" s="11"/>
      <c r="O24268" s="11"/>
      <c r="P24268" s="11"/>
    </row>
    <row r="24269" spans="8:16" x14ac:dyDescent="0.25">
      <c r="H24269" s="12"/>
      <c r="I24269" s="12"/>
      <c r="J24269" s="12"/>
      <c r="K24269" s="12"/>
      <c r="L24269" s="12"/>
      <c r="M24269" s="11"/>
      <c r="N24269" s="11"/>
      <c r="O24269" s="11"/>
      <c r="P24269" s="11"/>
    </row>
    <row r="24270" spans="8:16" x14ac:dyDescent="0.25">
      <c r="H24270" s="12"/>
      <c r="I24270" s="12"/>
      <c r="J24270" s="12"/>
      <c r="K24270" s="12"/>
      <c r="L24270" s="12"/>
      <c r="M24270" s="11"/>
      <c r="N24270" s="11"/>
      <c r="O24270" s="11"/>
      <c r="P24270" s="11"/>
    </row>
    <row r="24271" spans="8:16" x14ac:dyDescent="0.25">
      <c r="H24271" s="12"/>
      <c r="I24271" s="12"/>
      <c r="J24271" s="12"/>
      <c r="K24271" s="12"/>
      <c r="L24271" s="12"/>
      <c r="M24271" s="11"/>
      <c r="N24271" s="11"/>
      <c r="O24271" s="11"/>
      <c r="P24271" s="11"/>
    </row>
    <row r="24272" spans="8:16" x14ac:dyDescent="0.25">
      <c r="H24272" s="12"/>
      <c r="I24272" s="12"/>
      <c r="J24272" s="12"/>
      <c r="K24272" s="12"/>
      <c r="L24272" s="12"/>
      <c r="M24272" s="11"/>
      <c r="N24272" s="11"/>
      <c r="O24272" s="11"/>
      <c r="P24272" s="11"/>
    </row>
    <row r="24273" spans="8:16" x14ac:dyDescent="0.25">
      <c r="H24273" s="12"/>
      <c r="I24273" s="12"/>
      <c r="J24273" s="12"/>
      <c r="K24273" s="12"/>
      <c r="L24273" s="12"/>
      <c r="M24273" s="11"/>
      <c r="N24273" s="11"/>
      <c r="O24273" s="11"/>
      <c r="P24273" s="11"/>
    </row>
    <row r="24274" spans="8:16" x14ac:dyDescent="0.25">
      <c r="H24274" s="12"/>
      <c r="I24274" s="12"/>
      <c r="J24274" s="12"/>
      <c r="K24274" s="12"/>
      <c r="L24274" s="12"/>
      <c r="M24274" s="11"/>
      <c r="N24274" s="11"/>
      <c r="O24274" s="11"/>
      <c r="P24274" s="11"/>
    </row>
    <row r="24275" spans="8:16" x14ac:dyDescent="0.25">
      <c r="H24275" s="12"/>
      <c r="I24275" s="12"/>
      <c r="J24275" s="12"/>
      <c r="K24275" s="12"/>
      <c r="L24275" s="12"/>
      <c r="M24275" s="11"/>
      <c r="N24275" s="11"/>
      <c r="O24275" s="11"/>
      <c r="P24275" s="11"/>
    </row>
    <row r="24276" spans="8:16" x14ac:dyDescent="0.25">
      <c r="H24276" s="12"/>
      <c r="I24276" s="12"/>
      <c r="J24276" s="12"/>
      <c r="K24276" s="12"/>
      <c r="L24276" s="12"/>
      <c r="M24276" s="11"/>
      <c r="N24276" s="11"/>
      <c r="O24276" s="11"/>
      <c r="P24276" s="11"/>
    </row>
    <row r="24277" spans="8:16" x14ac:dyDescent="0.25">
      <c r="H24277" s="12"/>
      <c r="I24277" s="12"/>
      <c r="J24277" s="12"/>
      <c r="K24277" s="12"/>
      <c r="L24277" s="12"/>
      <c r="M24277" s="11"/>
      <c r="N24277" s="11"/>
      <c r="O24277" s="11"/>
      <c r="P24277" s="11"/>
    </row>
    <row r="24278" spans="8:16" x14ac:dyDescent="0.25">
      <c r="H24278" s="12"/>
      <c r="I24278" s="12"/>
      <c r="J24278" s="12"/>
      <c r="K24278" s="12"/>
      <c r="L24278" s="12"/>
      <c r="M24278" s="11"/>
      <c r="N24278" s="11"/>
      <c r="O24278" s="11"/>
      <c r="P24278" s="11"/>
    </row>
    <row r="24279" spans="8:16" x14ac:dyDescent="0.25">
      <c r="H24279" s="12"/>
      <c r="I24279" s="12"/>
      <c r="J24279" s="12"/>
      <c r="K24279" s="12"/>
      <c r="L24279" s="12"/>
      <c r="M24279" s="11"/>
      <c r="N24279" s="11"/>
      <c r="O24279" s="11"/>
      <c r="P24279" s="11"/>
    </row>
    <row r="24280" spans="8:16" x14ac:dyDescent="0.25">
      <c r="H24280" s="12"/>
      <c r="I24280" s="12"/>
      <c r="J24280" s="12"/>
      <c r="K24280" s="12"/>
      <c r="L24280" s="12"/>
      <c r="M24280" s="11"/>
      <c r="N24280" s="11"/>
      <c r="O24280" s="11"/>
      <c r="P24280" s="11"/>
    </row>
    <row r="24281" spans="8:16" x14ac:dyDescent="0.25">
      <c r="H24281" s="12"/>
      <c r="I24281" s="12"/>
      <c r="J24281" s="12"/>
      <c r="K24281" s="12"/>
      <c r="L24281" s="12"/>
      <c r="M24281" s="11"/>
      <c r="N24281" s="11"/>
      <c r="O24281" s="11"/>
      <c r="P24281" s="11"/>
    </row>
    <row r="24282" spans="8:16" x14ac:dyDescent="0.25">
      <c r="H24282" s="12"/>
      <c r="I24282" s="12"/>
      <c r="J24282" s="12"/>
      <c r="K24282" s="12"/>
      <c r="L24282" s="12"/>
      <c r="M24282" s="11"/>
      <c r="N24282" s="11"/>
      <c r="O24282" s="11"/>
      <c r="P24282" s="11"/>
    </row>
    <row r="24283" spans="8:16" x14ac:dyDescent="0.25">
      <c r="H24283" s="12"/>
      <c r="I24283" s="12"/>
      <c r="J24283" s="12"/>
      <c r="K24283" s="12"/>
      <c r="L24283" s="12"/>
      <c r="M24283" s="11"/>
      <c r="N24283" s="11"/>
      <c r="O24283" s="11"/>
      <c r="P24283" s="11"/>
    </row>
    <row r="24284" spans="8:16" x14ac:dyDescent="0.25">
      <c r="H24284" s="12"/>
      <c r="I24284" s="12"/>
      <c r="J24284" s="12"/>
      <c r="K24284" s="12"/>
      <c r="L24284" s="12"/>
      <c r="M24284" s="11"/>
      <c r="N24284" s="11"/>
      <c r="O24284" s="11"/>
      <c r="P24284" s="11"/>
    </row>
    <row r="24285" spans="8:16" x14ac:dyDescent="0.25">
      <c r="H24285" s="12"/>
      <c r="I24285" s="12"/>
      <c r="J24285" s="12"/>
      <c r="K24285" s="12"/>
      <c r="L24285" s="12"/>
      <c r="M24285" s="11"/>
      <c r="N24285" s="11"/>
      <c r="O24285" s="11"/>
      <c r="P24285" s="11"/>
    </row>
    <row r="24286" spans="8:16" x14ac:dyDescent="0.25">
      <c r="H24286" s="12"/>
      <c r="I24286" s="12"/>
      <c r="J24286" s="12"/>
      <c r="K24286" s="12"/>
      <c r="L24286" s="12"/>
      <c r="M24286" s="11"/>
      <c r="N24286" s="11"/>
      <c r="O24286" s="11"/>
      <c r="P24286" s="11"/>
    </row>
    <row r="24287" spans="8:16" x14ac:dyDescent="0.25">
      <c r="H24287" s="12"/>
      <c r="I24287" s="12"/>
      <c r="J24287" s="12"/>
      <c r="K24287" s="12"/>
      <c r="L24287" s="12"/>
      <c r="M24287" s="11"/>
      <c r="N24287" s="11"/>
      <c r="O24287" s="11"/>
      <c r="P24287" s="11"/>
    </row>
    <row r="24288" spans="8:16" x14ac:dyDescent="0.25">
      <c r="H24288" s="12"/>
      <c r="I24288" s="12"/>
      <c r="J24288" s="12"/>
      <c r="K24288" s="12"/>
      <c r="L24288" s="12"/>
      <c r="M24288" s="11"/>
      <c r="N24288" s="11"/>
      <c r="O24288" s="11"/>
      <c r="P24288" s="11"/>
    </row>
    <row r="24289" spans="8:16" x14ac:dyDescent="0.25">
      <c r="H24289" s="12"/>
      <c r="I24289" s="12"/>
      <c r="J24289" s="12"/>
      <c r="K24289" s="12"/>
      <c r="L24289" s="12"/>
      <c r="M24289" s="11"/>
      <c r="N24289" s="11"/>
      <c r="O24289" s="11"/>
      <c r="P24289" s="11"/>
    </row>
    <row r="24290" spans="8:16" x14ac:dyDescent="0.25">
      <c r="H24290" s="12"/>
      <c r="I24290" s="12"/>
      <c r="J24290" s="12"/>
      <c r="K24290" s="12"/>
      <c r="L24290" s="12"/>
      <c r="M24290" s="11"/>
      <c r="N24290" s="11"/>
      <c r="O24290" s="11"/>
      <c r="P24290" s="11"/>
    </row>
    <row r="24291" spans="8:16" x14ac:dyDescent="0.25">
      <c r="H24291" s="12"/>
      <c r="I24291" s="12"/>
      <c r="J24291" s="12"/>
      <c r="K24291" s="12"/>
      <c r="L24291" s="12"/>
      <c r="M24291" s="11"/>
      <c r="N24291" s="11"/>
      <c r="O24291" s="11"/>
      <c r="P24291" s="11"/>
    </row>
    <row r="24292" spans="8:16" x14ac:dyDescent="0.25">
      <c r="H24292" s="12"/>
      <c r="I24292" s="12"/>
      <c r="J24292" s="12"/>
      <c r="K24292" s="12"/>
      <c r="L24292" s="12"/>
      <c r="M24292" s="11"/>
      <c r="N24292" s="11"/>
      <c r="O24292" s="11"/>
      <c r="P24292" s="11"/>
    </row>
    <row r="24293" spans="8:16" x14ac:dyDescent="0.25">
      <c r="H24293" s="12"/>
      <c r="I24293" s="12"/>
      <c r="J24293" s="12"/>
      <c r="K24293" s="12"/>
      <c r="L24293" s="12"/>
      <c r="M24293" s="11"/>
      <c r="N24293" s="11"/>
      <c r="O24293" s="11"/>
      <c r="P24293" s="11"/>
    </row>
    <row r="24294" spans="8:16" x14ac:dyDescent="0.25">
      <c r="H24294" s="12"/>
      <c r="I24294" s="12"/>
      <c r="J24294" s="12"/>
      <c r="K24294" s="12"/>
      <c r="L24294" s="12"/>
      <c r="M24294" s="11"/>
      <c r="N24294" s="11"/>
      <c r="O24294" s="11"/>
      <c r="P24294" s="11"/>
    </row>
    <row r="24295" spans="8:16" x14ac:dyDescent="0.25">
      <c r="H24295" s="12"/>
      <c r="I24295" s="12"/>
      <c r="J24295" s="12"/>
      <c r="K24295" s="12"/>
      <c r="L24295" s="12"/>
      <c r="M24295" s="11"/>
      <c r="N24295" s="11"/>
      <c r="O24295" s="11"/>
      <c r="P24295" s="11"/>
    </row>
    <row r="24296" spans="8:16" x14ac:dyDescent="0.25">
      <c r="H24296" s="12"/>
      <c r="I24296" s="12"/>
      <c r="J24296" s="12"/>
      <c r="K24296" s="12"/>
      <c r="L24296" s="12"/>
      <c r="M24296" s="11"/>
      <c r="N24296" s="11"/>
      <c r="O24296" s="11"/>
      <c r="P24296" s="11"/>
    </row>
    <row r="24297" spans="8:16" x14ac:dyDescent="0.25">
      <c r="H24297" s="12"/>
      <c r="I24297" s="12"/>
      <c r="J24297" s="12"/>
      <c r="K24297" s="12"/>
      <c r="L24297" s="12"/>
      <c r="M24297" s="11"/>
      <c r="N24297" s="11"/>
      <c r="O24297" s="11"/>
      <c r="P24297" s="11"/>
    </row>
    <row r="24298" spans="8:16" x14ac:dyDescent="0.25">
      <c r="H24298" s="12"/>
      <c r="I24298" s="12"/>
      <c r="J24298" s="12"/>
      <c r="K24298" s="12"/>
      <c r="L24298" s="12"/>
      <c r="M24298" s="11"/>
      <c r="N24298" s="11"/>
      <c r="O24298" s="11"/>
      <c r="P24298" s="11"/>
    </row>
    <row r="24299" spans="8:16" x14ac:dyDescent="0.25">
      <c r="H24299" s="12"/>
      <c r="I24299" s="12"/>
      <c r="J24299" s="12"/>
      <c r="K24299" s="12"/>
      <c r="L24299" s="12"/>
      <c r="M24299" s="11"/>
      <c r="N24299" s="11"/>
      <c r="O24299" s="11"/>
      <c r="P24299" s="11"/>
    </row>
    <row r="24300" spans="8:16" x14ac:dyDescent="0.25">
      <c r="H24300" s="12"/>
      <c r="I24300" s="12"/>
      <c r="J24300" s="12"/>
      <c r="K24300" s="12"/>
      <c r="L24300" s="12"/>
      <c r="M24300" s="11"/>
      <c r="N24300" s="11"/>
      <c r="O24300" s="11"/>
      <c r="P24300" s="11"/>
    </row>
    <row r="24301" spans="8:16" x14ac:dyDescent="0.25">
      <c r="H24301" s="12"/>
      <c r="I24301" s="12"/>
      <c r="J24301" s="12"/>
      <c r="K24301" s="12"/>
      <c r="L24301" s="12"/>
      <c r="M24301" s="11"/>
      <c r="N24301" s="11"/>
      <c r="O24301" s="11"/>
      <c r="P24301" s="11"/>
    </row>
    <row r="24302" spans="8:16" x14ac:dyDescent="0.25">
      <c r="H24302" s="12"/>
      <c r="I24302" s="12"/>
      <c r="J24302" s="12"/>
      <c r="K24302" s="12"/>
      <c r="L24302" s="12"/>
      <c r="M24302" s="11"/>
      <c r="N24302" s="11"/>
      <c r="O24302" s="11"/>
      <c r="P24302" s="11"/>
    </row>
    <row r="24303" spans="8:16" x14ac:dyDescent="0.25">
      <c r="H24303" s="12"/>
      <c r="I24303" s="12"/>
      <c r="J24303" s="12"/>
      <c r="K24303" s="12"/>
      <c r="L24303" s="12"/>
      <c r="M24303" s="11"/>
      <c r="N24303" s="11"/>
      <c r="O24303" s="11"/>
      <c r="P24303" s="11"/>
    </row>
    <row r="24304" spans="8:16" x14ac:dyDescent="0.25">
      <c r="H24304" s="12"/>
      <c r="I24304" s="12"/>
      <c r="J24304" s="12"/>
      <c r="K24304" s="12"/>
      <c r="L24304" s="12"/>
      <c r="M24304" s="11"/>
      <c r="N24304" s="11"/>
      <c r="O24304" s="11"/>
      <c r="P24304" s="11"/>
    </row>
    <row r="24305" spans="8:16" x14ac:dyDescent="0.25">
      <c r="H24305" s="12"/>
      <c r="I24305" s="12"/>
      <c r="J24305" s="12"/>
      <c r="K24305" s="12"/>
      <c r="L24305" s="12"/>
      <c r="M24305" s="11"/>
      <c r="N24305" s="11"/>
      <c r="O24305" s="11"/>
      <c r="P24305" s="11"/>
    </row>
    <row r="24306" spans="8:16" x14ac:dyDescent="0.25">
      <c r="H24306" s="12"/>
      <c r="I24306" s="12"/>
      <c r="J24306" s="12"/>
      <c r="K24306" s="12"/>
      <c r="L24306" s="12"/>
      <c r="M24306" s="11"/>
      <c r="N24306" s="11"/>
      <c r="O24306" s="11"/>
      <c r="P24306" s="11"/>
    </row>
    <row r="24307" spans="8:16" x14ac:dyDescent="0.25">
      <c r="H24307" s="12"/>
      <c r="I24307" s="12"/>
      <c r="J24307" s="12"/>
      <c r="K24307" s="12"/>
      <c r="L24307" s="12"/>
      <c r="M24307" s="11"/>
      <c r="N24307" s="11"/>
      <c r="O24307" s="11"/>
      <c r="P24307" s="11"/>
    </row>
    <row r="24308" spans="8:16" x14ac:dyDescent="0.25">
      <c r="H24308" s="12"/>
      <c r="I24308" s="12"/>
      <c r="J24308" s="12"/>
      <c r="K24308" s="12"/>
      <c r="L24308" s="12"/>
      <c r="M24308" s="11"/>
      <c r="N24308" s="11"/>
      <c r="O24308" s="11"/>
      <c r="P24308" s="11"/>
    </row>
    <row r="24309" spans="8:16" x14ac:dyDescent="0.25">
      <c r="H24309" s="12"/>
      <c r="I24309" s="12"/>
      <c r="J24309" s="12"/>
      <c r="K24309" s="12"/>
      <c r="L24309" s="12"/>
      <c r="M24309" s="11"/>
      <c r="N24309" s="11"/>
      <c r="O24309" s="11"/>
      <c r="P24309" s="11"/>
    </row>
    <row r="24310" spans="8:16" x14ac:dyDescent="0.25">
      <c r="H24310" s="12"/>
      <c r="I24310" s="12"/>
      <c r="J24310" s="12"/>
      <c r="K24310" s="12"/>
      <c r="L24310" s="12"/>
      <c r="M24310" s="11"/>
      <c r="N24310" s="11"/>
      <c r="O24310" s="11"/>
      <c r="P24310" s="11"/>
    </row>
    <row r="24311" spans="8:16" x14ac:dyDescent="0.25">
      <c r="H24311" s="12"/>
      <c r="I24311" s="12"/>
      <c r="J24311" s="12"/>
      <c r="K24311" s="12"/>
      <c r="L24311" s="12"/>
      <c r="M24311" s="11"/>
      <c r="N24311" s="11"/>
      <c r="O24311" s="11"/>
      <c r="P24311" s="11"/>
    </row>
    <row r="24312" spans="8:16" x14ac:dyDescent="0.25">
      <c r="H24312" s="12"/>
      <c r="I24312" s="12"/>
      <c r="J24312" s="12"/>
      <c r="K24312" s="12"/>
      <c r="L24312" s="12"/>
      <c r="M24312" s="11"/>
      <c r="N24312" s="11"/>
      <c r="O24312" s="11"/>
      <c r="P24312" s="11"/>
    </row>
    <row r="24313" spans="8:16" x14ac:dyDescent="0.25">
      <c r="H24313" s="12"/>
      <c r="I24313" s="12"/>
      <c r="J24313" s="12"/>
      <c r="K24313" s="12"/>
      <c r="L24313" s="12"/>
      <c r="M24313" s="11"/>
      <c r="N24313" s="11"/>
      <c r="O24313" s="11"/>
      <c r="P24313" s="11"/>
    </row>
    <row r="24314" spans="8:16" x14ac:dyDescent="0.25">
      <c r="H24314" s="12"/>
      <c r="I24314" s="12"/>
      <c r="J24314" s="12"/>
      <c r="K24314" s="12"/>
      <c r="L24314" s="12"/>
      <c r="M24314" s="11"/>
      <c r="N24314" s="11"/>
      <c r="O24314" s="11"/>
      <c r="P24314" s="11"/>
    </row>
    <row r="24315" spans="8:16" x14ac:dyDescent="0.25">
      <c r="H24315" s="12"/>
      <c r="I24315" s="12"/>
      <c r="J24315" s="12"/>
      <c r="K24315" s="12"/>
      <c r="L24315" s="12"/>
      <c r="M24315" s="11"/>
      <c r="N24315" s="11"/>
      <c r="O24315" s="11"/>
      <c r="P24315" s="11"/>
    </row>
    <row r="24316" spans="8:16" x14ac:dyDescent="0.25">
      <c r="H24316" s="12"/>
      <c r="I24316" s="12"/>
      <c r="J24316" s="12"/>
      <c r="K24316" s="12"/>
      <c r="L24316" s="12"/>
      <c r="M24316" s="11"/>
      <c r="N24316" s="11"/>
      <c r="O24316" s="11"/>
      <c r="P24316" s="11"/>
    </row>
    <row r="24317" spans="8:16" x14ac:dyDescent="0.25">
      <c r="H24317" s="12"/>
      <c r="I24317" s="12"/>
      <c r="J24317" s="12"/>
      <c r="K24317" s="12"/>
      <c r="L24317" s="12"/>
      <c r="M24317" s="11"/>
      <c r="N24317" s="11"/>
      <c r="O24317" s="11"/>
      <c r="P24317" s="11"/>
    </row>
    <row r="24318" spans="8:16" x14ac:dyDescent="0.25">
      <c r="H24318" s="12"/>
      <c r="I24318" s="12"/>
      <c r="J24318" s="12"/>
      <c r="K24318" s="12"/>
      <c r="L24318" s="12"/>
      <c r="M24318" s="11"/>
      <c r="N24318" s="11"/>
      <c r="O24318" s="11"/>
      <c r="P24318" s="11"/>
    </row>
    <row r="24319" spans="8:16" x14ac:dyDescent="0.25">
      <c r="H24319" s="12"/>
      <c r="I24319" s="12"/>
      <c r="J24319" s="12"/>
      <c r="K24319" s="12"/>
      <c r="L24319" s="12"/>
      <c r="M24319" s="11"/>
      <c r="N24319" s="11"/>
      <c r="O24319" s="11"/>
      <c r="P24319" s="11"/>
    </row>
    <row r="24320" spans="8:16" x14ac:dyDescent="0.25">
      <c r="H24320" s="12"/>
      <c r="I24320" s="12"/>
      <c r="J24320" s="12"/>
      <c r="K24320" s="12"/>
      <c r="L24320" s="12"/>
      <c r="M24320" s="11"/>
      <c r="N24320" s="11"/>
      <c r="O24320" s="11"/>
      <c r="P24320" s="11"/>
    </row>
    <row r="24321" spans="8:16" x14ac:dyDescent="0.25">
      <c r="H24321" s="12"/>
      <c r="I24321" s="12"/>
      <c r="J24321" s="12"/>
      <c r="K24321" s="12"/>
      <c r="L24321" s="12"/>
      <c r="M24321" s="11"/>
      <c r="N24321" s="11"/>
      <c r="O24321" s="11"/>
      <c r="P24321" s="11"/>
    </row>
    <row r="24322" spans="8:16" x14ac:dyDescent="0.25">
      <c r="H24322" s="12"/>
      <c r="I24322" s="12"/>
      <c r="J24322" s="12"/>
      <c r="K24322" s="12"/>
      <c r="L24322" s="12"/>
      <c r="M24322" s="11"/>
      <c r="N24322" s="11"/>
      <c r="O24322" s="11"/>
      <c r="P24322" s="11"/>
    </row>
    <row r="24323" spans="8:16" x14ac:dyDescent="0.25">
      <c r="H24323" s="12"/>
      <c r="I24323" s="12"/>
      <c r="J24323" s="12"/>
      <c r="K24323" s="12"/>
      <c r="L24323" s="12"/>
      <c r="M24323" s="11"/>
      <c r="N24323" s="11"/>
      <c r="O24323" s="11"/>
      <c r="P24323" s="11"/>
    </row>
    <row r="24324" spans="8:16" x14ac:dyDescent="0.25">
      <c r="H24324" s="12"/>
      <c r="I24324" s="12"/>
      <c r="J24324" s="12"/>
      <c r="K24324" s="12"/>
      <c r="L24324" s="12"/>
      <c r="M24324" s="11"/>
      <c r="N24324" s="11"/>
      <c r="O24324" s="11"/>
      <c r="P24324" s="11"/>
    </row>
    <row r="24325" spans="8:16" x14ac:dyDescent="0.25">
      <c r="H24325" s="12"/>
      <c r="I24325" s="12"/>
      <c r="J24325" s="12"/>
      <c r="K24325" s="12"/>
      <c r="L24325" s="12"/>
      <c r="M24325" s="11"/>
      <c r="N24325" s="11"/>
      <c r="O24325" s="11"/>
      <c r="P24325" s="11"/>
    </row>
    <row r="24326" spans="8:16" x14ac:dyDescent="0.25">
      <c r="H24326" s="12"/>
      <c r="I24326" s="12"/>
      <c r="J24326" s="12"/>
      <c r="K24326" s="12"/>
      <c r="L24326" s="12"/>
      <c r="M24326" s="11"/>
      <c r="N24326" s="11"/>
      <c r="O24326" s="11"/>
      <c r="P24326" s="11"/>
    </row>
    <row r="24327" spans="8:16" x14ac:dyDescent="0.25">
      <c r="H24327" s="12"/>
      <c r="I24327" s="12"/>
      <c r="J24327" s="12"/>
      <c r="K24327" s="12"/>
      <c r="L24327" s="12"/>
      <c r="M24327" s="11"/>
      <c r="N24327" s="11"/>
      <c r="O24327" s="11"/>
      <c r="P24327" s="11"/>
    </row>
    <row r="24328" spans="8:16" x14ac:dyDescent="0.25">
      <c r="H24328" s="12"/>
      <c r="I24328" s="12"/>
      <c r="J24328" s="12"/>
      <c r="K24328" s="12"/>
      <c r="L24328" s="12"/>
      <c r="M24328" s="11"/>
      <c r="N24328" s="11"/>
      <c r="O24328" s="11"/>
      <c r="P24328" s="11"/>
    </row>
    <row r="24329" spans="8:16" x14ac:dyDescent="0.25">
      <c r="H24329" s="12"/>
      <c r="I24329" s="12"/>
      <c r="J24329" s="12"/>
      <c r="K24329" s="12"/>
      <c r="L24329" s="12"/>
      <c r="M24329" s="11"/>
      <c r="N24329" s="11"/>
      <c r="O24329" s="11"/>
      <c r="P24329" s="11"/>
    </row>
    <row r="24330" spans="8:16" x14ac:dyDescent="0.25">
      <c r="H24330" s="12"/>
      <c r="I24330" s="12"/>
      <c r="J24330" s="12"/>
      <c r="K24330" s="12"/>
      <c r="L24330" s="12"/>
      <c r="M24330" s="11"/>
      <c r="N24330" s="11"/>
      <c r="O24330" s="11"/>
      <c r="P24330" s="11"/>
    </row>
    <row r="24331" spans="8:16" x14ac:dyDescent="0.25">
      <c r="H24331" s="12"/>
      <c r="I24331" s="12"/>
      <c r="J24331" s="12"/>
      <c r="K24331" s="12"/>
      <c r="L24331" s="12"/>
      <c r="M24331" s="11"/>
      <c r="N24331" s="11"/>
      <c r="O24331" s="11"/>
      <c r="P24331" s="11"/>
    </row>
    <row r="24332" spans="8:16" x14ac:dyDescent="0.25">
      <c r="H24332" s="12"/>
      <c r="I24332" s="12"/>
      <c r="J24332" s="12"/>
      <c r="K24332" s="12"/>
      <c r="L24332" s="12"/>
      <c r="M24332" s="11"/>
      <c r="N24332" s="11"/>
      <c r="O24332" s="11"/>
      <c r="P24332" s="11"/>
    </row>
    <row r="24333" spans="8:16" x14ac:dyDescent="0.25">
      <c r="H24333" s="12"/>
      <c r="I24333" s="12"/>
      <c r="J24333" s="12"/>
      <c r="K24333" s="12"/>
      <c r="L24333" s="12"/>
      <c r="M24333" s="11"/>
      <c r="N24333" s="11"/>
      <c r="O24333" s="11"/>
      <c r="P24333" s="11"/>
    </row>
    <row r="24334" spans="8:16" x14ac:dyDescent="0.25">
      <c r="H24334" s="12"/>
      <c r="I24334" s="12"/>
      <c r="J24334" s="12"/>
      <c r="K24334" s="12"/>
      <c r="L24334" s="12"/>
      <c r="M24334" s="11"/>
      <c r="N24334" s="11"/>
      <c r="O24334" s="11"/>
      <c r="P24334" s="11"/>
    </row>
    <row r="24335" spans="8:16" x14ac:dyDescent="0.25">
      <c r="H24335" s="12"/>
      <c r="I24335" s="12"/>
      <c r="J24335" s="12"/>
      <c r="K24335" s="12"/>
      <c r="L24335" s="12"/>
      <c r="M24335" s="11"/>
      <c r="N24335" s="11"/>
      <c r="O24335" s="11"/>
      <c r="P24335" s="11"/>
    </row>
    <row r="24336" spans="8:16" x14ac:dyDescent="0.25">
      <c r="H24336" s="12"/>
      <c r="I24336" s="12"/>
      <c r="J24336" s="12"/>
      <c r="K24336" s="12"/>
      <c r="L24336" s="12"/>
      <c r="M24336" s="11"/>
      <c r="N24336" s="11"/>
      <c r="O24336" s="11"/>
      <c r="P24336" s="11"/>
    </row>
    <row r="24337" spans="8:16" x14ac:dyDescent="0.25">
      <c r="H24337" s="12"/>
      <c r="I24337" s="12"/>
      <c r="J24337" s="12"/>
      <c r="K24337" s="12"/>
      <c r="L24337" s="12"/>
      <c r="M24337" s="11"/>
      <c r="N24337" s="11"/>
      <c r="O24337" s="11"/>
      <c r="P24337" s="11"/>
    </row>
    <row r="24338" spans="8:16" x14ac:dyDescent="0.25">
      <c r="H24338" s="12"/>
      <c r="I24338" s="12"/>
      <c r="J24338" s="12"/>
      <c r="K24338" s="12"/>
      <c r="L24338" s="12"/>
      <c r="M24338" s="11"/>
      <c r="N24338" s="11"/>
      <c r="O24338" s="11"/>
      <c r="P24338" s="11"/>
    </row>
    <row r="24339" spans="8:16" x14ac:dyDescent="0.25">
      <c r="H24339" s="12"/>
      <c r="I24339" s="12"/>
      <c r="J24339" s="12"/>
      <c r="K24339" s="12"/>
      <c r="L24339" s="12"/>
      <c r="M24339" s="11"/>
      <c r="N24339" s="11"/>
      <c r="O24339" s="11"/>
      <c r="P24339" s="11"/>
    </row>
    <row r="24340" spans="8:16" x14ac:dyDescent="0.25">
      <c r="H24340" s="12"/>
      <c r="I24340" s="12"/>
      <c r="J24340" s="12"/>
      <c r="K24340" s="12"/>
      <c r="L24340" s="12"/>
      <c r="M24340" s="11"/>
      <c r="N24340" s="11"/>
      <c r="O24340" s="11"/>
      <c r="P24340" s="11"/>
    </row>
    <row r="24341" spans="8:16" x14ac:dyDescent="0.25">
      <c r="H24341" s="12"/>
      <c r="I24341" s="12"/>
      <c r="J24341" s="12"/>
      <c r="K24341" s="12"/>
      <c r="L24341" s="12"/>
      <c r="M24341" s="11"/>
      <c r="N24341" s="11"/>
      <c r="O24341" s="11"/>
      <c r="P24341" s="11"/>
    </row>
    <row r="24342" spans="8:16" x14ac:dyDescent="0.25">
      <c r="H24342" s="12"/>
      <c r="I24342" s="12"/>
      <c r="J24342" s="12"/>
      <c r="K24342" s="12"/>
      <c r="L24342" s="12"/>
      <c r="M24342" s="11"/>
      <c r="N24342" s="11"/>
      <c r="O24342" s="11"/>
      <c r="P24342" s="11"/>
    </row>
    <row r="24343" spans="8:16" x14ac:dyDescent="0.25">
      <c r="H24343" s="12"/>
      <c r="I24343" s="12"/>
      <c r="J24343" s="12"/>
      <c r="K24343" s="12"/>
      <c r="L24343" s="12"/>
      <c r="M24343" s="11"/>
      <c r="N24343" s="11"/>
      <c r="O24343" s="11"/>
      <c r="P24343" s="11"/>
    </row>
    <row r="24344" spans="8:16" x14ac:dyDescent="0.25">
      <c r="H24344" s="12"/>
      <c r="I24344" s="12"/>
      <c r="J24344" s="12"/>
      <c r="K24344" s="12"/>
      <c r="L24344" s="12"/>
      <c r="M24344" s="11"/>
      <c r="N24344" s="11"/>
      <c r="O24344" s="11"/>
      <c r="P24344" s="11"/>
    </row>
    <row r="24345" spans="8:16" x14ac:dyDescent="0.25">
      <c r="H24345" s="12"/>
      <c r="I24345" s="12"/>
      <c r="J24345" s="12"/>
      <c r="K24345" s="12"/>
      <c r="L24345" s="12"/>
      <c r="M24345" s="11"/>
      <c r="N24345" s="11"/>
      <c r="O24345" s="11"/>
      <c r="P24345" s="11"/>
    </row>
    <row r="24346" spans="8:16" x14ac:dyDescent="0.25">
      <c r="H24346" s="12"/>
      <c r="I24346" s="12"/>
      <c r="J24346" s="12"/>
      <c r="K24346" s="12"/>
      <c r="L24346" s="12"/>
      <c r="M24346" s="11"/>
      <c r="N24346" s="11"/>
      <c r="O24346" s="11"/>
      <c r="P24346" s="11"/>
    </row>
    <row r="24347" spans="8:16" x14ac:dyDescent="0.25">
      <c r="H24347" s="12"/>
      <c r="I24347" s="12"/>
      <c r="J24347" s="12"/>
      <c r="K24347" s="12"/>
      <c r="L24347" s="12"/>
      <c r="M24347" s="11"/>
      <c r="N24347" s="11"/>
      <c r="O24347" s="11"/>
      <c r="P24347" s="11"/>
    </row>
    <row r="24348" spans="8:16" x14ac:dyDescent="0.25">
      <c r="H24348" s="12"/>
      <c r="I24348" s="12"/>
      <c r="J24348" s="12"/>
      <c r="K24348" s="12"/>
      <c r="L24348" s="12"/>
      <c r="M24348" s="11"/>
      <c r="N24348" s="11"/>
      <c r="O24348" s="11"/>
      <c r="P24348" s="11"/>
    </row>
    <row r="24349" spans="8:16" x14ac:dyDescent="0.25">
      <c r="H24349" s="12"/>
      <c r="I24349" s="12"/>
      <c r="J24349" s="12"/>
      <c r="K24349" s="12"/>
      <c r="L24349" s="12"/>
      <c r="M24349" s="11"/>
      <c r="N24349" s="11"/>
      <c r="O24349" s="11"/>
      <c r="P24349" s="11"/>
    </row>
    <row r="24350" spans="8:16" x14ac:dyDescent="0.25">
      <c r="H24350" s="12"/>
      <c r="I24350" s="12"/>
      <c r="J24350" s="12"/>
      <c r="K24350" s="12"/>
      <c r="L24350" s="12"/>
      <c r="M24350" s="11"/>
      <c r="N24350" s="11"/>
      <c r="O24350" s="11"/>
      <c r="P24350" s="11"/>
    </row>
    <row r="24351" spans="8:16" x14ac:dyDescent="0.25">
      <c r="H24351" s="12"/>
      <c r="I24351" s="12"/>
      <c r="J24351" s="12"/>
      <c r="K24351" s="12"/>
      <c r="L24351" s="12"/>
      <c r="M24351" s="11"/>
      <c r="N24351" s="11"/>
      <c r="O24351" s="11"/>
      <c r="P24351" s="11"/>
    </row>
    <row r="24352" spans="8:16" x14ac:dyDescent="0.25">
      <c r="H24352" s="12"/>
      <c r="I24352" s="12"/>
      <c r="J24352" s="12"/>
      <c r="K24352" s="12"/>
      <c r="L24352" s="12"/>
      <c r="M24352" s="11"/>
      <c r="N24352" s="11"/>
      <c r="O24352" s="11"/>
      <c r="P24352" s="11"/>
    </row>
    <row r="24353" spans="8:16" x14ac:dyDescent="0.25">
      <c r="H24353" s="12"/>
      <c r="I24353" s="12"/>
      <c r="J24353" s="12"/>
      <c r="K24353" s="12"/>
      <c r="L24353" s="12"/>
      <c r="M24353" s="11"/>
      <c r="N24353" s="11"/>
      <c r="O24353" s="11"/>
      <c r="P24353" s="11"/>
    </row>
    <row r="24354" spans="8:16" x14ac:dyDescent="0.25">
      <c r="H24354" s="12"/>
      <c r="I24354" s="12"/>
      <c r="J24354" s="12"/>
      <c r="K24354" s="12"/>
      <c r="L24354" s="12"/>
      <c r="M24354" s="11"/>
      <c r="N24354" s="11"/>
      <c r="O24354" s="11"/>
      <c r="P24354" s="11"/>
    </row>
    <row r="24355" spans="8:16" x14ac:dyDescent="0.25">
      <c r="H24355" s="12"/>
      <c r="I24355" s="12"/>
      <c r="J24355" s="12"/>
      <c r="K24355" s="12"/>
      <c r="L24355" s="12"/>
      <c r="M24355" s="11"/>
      <c r="N24355" s="11"/>
      <c r="O24355" s="11"/>
      <c r="P24355" s="11"/>
    </row>
    <row r="24356" spans="8:16" x14ac:dyDescent="0.25">
      <c r="H24356" s="12"/>
      <c r="I24356" s="12"/>
      <c r="J24356" s="12"/>
      <c r="K24356" s="12"/>
      <c r="L24356" s="12"/>
      <c r="M24356" s="11"/>
      <c r="N24356" s="11"/>
      <c r="O24356" s="11"/>
      <c r="P24356" s="11"/>
    </row>
    <row r="24357" spans="8:16" x14ac:dyDescent="0.25">
      <c r="H24357" s="12"/>
      <c r="I24357" s="12"/>
      <c r="J24357" s="12"/>
      <c r="K24357" s="12"/>
      <c r="L24357" s="12"/>
      <c r="M24357" s="11"/>
      <c r="N24357" s="11"/>
      <c r="O24357" s="11"/>
      <c r="P24357" s="11"/>
    </row>
    <row r="24358" spans="8:16" x14ac:dyDescent="0.25">
      <c r="H24358" s="12"/>
      <c r="I24358" s="12"/>
      <c r="J24358" s="12"/>
      <c r="K24358" s="12"/>
      <c r="L24358" s="12"/>
      <c r="M24358" s="11"/>
      <c r="N24358" s="11"/>
      <c r="O24358" s="11"/>
      <c r="P24358" s="11"/>
    </row>
    <row r="24359" spans="8:16" x14ac:dyDescent="0.25">
      <c r="H24359" s="12"/>
      <c r="I24359" s="12"/>
      <c r="J24359" s="12"/>
      <c r="K24359" s="12"/>
      <c r="L24359" s="12"/>
      <c r="M24359" s="11"/>
      <c r="N24359" s="11"/>
      <c r="O24359" s="11"/>
      <c r="P24359" s="11"/>
    </row>
    <row r="24360" spans="8:16" x14ac:dyDescent="0.25">
      <c r="H24360" s="12"/>
      <c r="I24360" s="12"/>
      <c r="J24360" s="12"/>
      <c r="K24360" s="12"/>
      <c r="L24360" s="12"/>
      <c r="M24360" s="11"/>
      <c r="N24360" s="11"/>
      <c r="O24360" s="11"/>
      <c r="P24360" s="11"/>
    </row>
    <row r="24361" spans="8:16" x14ac:dyDescent="0.25">
      <c r="H24361" s="12"/>
      <c r="I24361" s="12"/>
      <c r="J24361" s="12"/>
      <c r="K24361" s="12"/>
      <c r="L24361" s="12"/>
      <c r="M24361" s="11"/>
      <c r="N24361" s="11"/>
      <c r="O24361" s="11"/>
      <c r="P24361" s="11"/>
    </row>
    <row r="24362" spans="8:16" x14ac:dyDescent="0.25">
      <c r="H24362" s="12"/>
      <c r="I24362" s="12"/>
      <c r="J24362" s="12"/>
      <c r="K24362" s="12"/>
      <c r="L24362" s="12"/>
      <c r="M24362" s="11"/>
      <c r="N24362" s="11"/>
      <c r="O24362" s="11"/>
      <c r="P24362" s="11"/>
    </row>
    <row r="24363" spans="8:16" x14ac:dyDescent="0.25">
      <c r="H24363" s="12"/>
      <c r="I24363" s="12"/>
      <c r="J24363" s="12"/>
      <c r="K24363" s="12"/>
      <c r="L24363" s="12"/>
      <c r="M24363" s="11"/>
      <c r="N24363" s="11"/>
      <c r="O24363" s="11"/>
      <c r="P24363" s="11"/>
    </row>
    <row r="24364" spans="8:16" x14ac:dyDescent="0.25">
      <c r="H24364" s="12"/>
      <c r="I24364" s="12"/>
      <c r="J24364" s="12"/>
      <c r="K24364" s="12"/>
      <c r="L24364" s="12"/>
      <c r="M24364" s="11"/>
      <c r="N24364" s="11"/>
      <c r="O24364" s="11"/>
      <c r="P24364" s="11"/>
    </row>
    <row r="24365" spans="8:16" x14ac:dyDescent="0.25">
      <c r="H24365" s="12"/>
      <c r="I24365" s="12"/>
      <c r="J24365" s="12"/>
      <c r="K24365" s="12"/>
      <c r="L24365" s="12"/>
      <c r="M24365" s="11"/>
      <c r="N24365" s="11"/>
      <c r="O24365" s="11"/>
      <c r="P24365" s="11"/>
    </row>
    <row r="24366" spans="8:16" x14ac:dyDescent="0.25">
      <c r="H24366" s="12"/>
      <c r="I24366" s="12"/>
      <c r="J24366" s="12"/>
      <c r="K24366" s="12"/>
      <c r="L24366" s="12"/>
      <c r="M24366" s="11"/>
      <c r="N24366" s="11"/>
      <c r="O24366" s="11"/>
      <c r="P24366" s="11"/>
    </row>
    <row r="24367" spans="8:16" x14ac:dyDescent="0.25">
      <c r="H24367" s="12"/>
      <c r="I24367" s="12"/>
      <c r="J24367" s="12"/>
      <c r="K24367" s="12"/>
      <c r="L24367" s="12"/>
      <c r="M24367" s="11"/>
      <c r="N24367" s="11"/>
      <c r="O24367" s="11"/>
      <c r="P24367" s="11"/>
    </row>
    <row r="24368" spans="8:16" x14ac:dyDescent="0.25">
      <c r="H24368" s="12"/>
      <c r="I24368" s="12"/>
      <c r="J24368" s="12"/>
      <c r="K24368" s="12"/>
      <c r="L24368" s="12"/>
      <c r="M24368" s="11"/>
      <c r="N24368" s="11"/>
      <c r="O24368" s="11"/>
      <c r="P24368" s="11"/>
    </row>
    <row r="24369" spans="8:16" x14ac:dyDescent="0.25">
      <c r="H24369" s="12"/>
      <c r="I24369" s="12"/>
      <c r="J24369" s="12"/>
      <c r="K24369" s="12"/>
      <c r="L24369" s="12"/>
      <c r="M24369" s="11"/>
      <c r="N24369" s="11"/>
      <c r="O24369" s="11"/>
      <c r="P24369" s="11"/>
    </row>
    <row r="24370" spans="8:16" x14ac:dyDescent="0.25">
      <c r="H24370" s="12"/>
      <c r="I24370" s="12"/>
      <c r="J24370" s="12"/>
      <c r="K24370" s="12"/>
      <c r="L24370" s="12"/>
      <c r="M24370" s="11"/>
      <c r="N24370" s="11"/>
      <c r="O24370" s="11"/>
      <c r="P24370" s="11"/>
    </row>
    <row r="24371" spans="8:16" x14ac:dyDescent="0.25">
      <c r="H24371" s="12"/>
      <c r="I24371" s="12"/>
      <c r="J24371" s="12"/>
      <c r="K24371" s="12"/>
      <c r="L24371" s="12"/>
      <c r="M24371" s="11"/>
      <c r="N24371" s="11"/>
      <c r="O24371" s="11"/>
      <c r="P24371" s="11"/>
    </row>
    <row r="24372" spans="8:16" x14ac:dyDescent="0.25">
      <c r="H24372" s="12"/>
      <c r="I24372" s="12"/>
      <c r="J24372" s="12"/>
      <c r="K24372" s="12"/>
      <c r="L24372" s="12"/>
      <c r="M24372" s="11"/>
      <c r="N24372" s="11"/>
      <c r="O24372" s="11"/>
      <c r="P24372" s="11"/>
    </row>
    <row r="24373" spans="8:16" x14ac:dyDescent="0.25">
      <c r="H24373" s="12"/>
      <c r="I24373" s="12"/>
      <c r="J24373" s="12"/>
      <c r="K24373" s="12"/>
      <c r="L24373" s="12"/>
      <c r="M24373" s="11"/>
      <c r="N24373" s="11"/>
      <c r="O24373" s="11"/>
      <c r="P24373" s="11"/>
    </row>
    <row r="24374" spans="8:16" x14ac:dyDescent="0.25">
      <c r="H24374" s="12"/>
      <c r="I24374" s="12"/>
      <c r="J24374" s="12"/>
      <c r="K24374" s="12"/>
      <c r="L24374" s="12"/>
      <c r="M24374" s="11"/>
      <c r="N24374" s="11"/>
      <c r="O24374" s="11"/>
      <c r="P24374" s="11"/>
    </row>
    <row r="24375" spans="8:16" x14ac:dyDescent="0.25">
      <c r="H24375" s="12"/>
      <c r="I24375" s="12"/>
      <c r="J24375" s="12"/>
      <c r="K24375" s="12"/>
      <c r="L24375" s="12"/>
      <c r="M24375" s="11"/>
      <c r="N24375" s="11"/>
      <c r="O24375" s="11"/>
      <c r="P24375" s="11"/>
    </row>
    <row r="24376" spans="8:16" x14ac:dyDescent="0.25">
      <c r="H24376" s="12"/>
      <c r="I24376" s="12"/>
      <c r="J24376" s="12"/>
      <c r="K24376" s="12"/>
      <c r="L24376" s="12"/>
      <c r="M24376" s="11"/>
      <c r="N24376" s="11"/>
      <c r="O24376" s="11"/>
      <c r="P24376" s="11"/>
    </row>
    <row r="24377" spans="8:16" x14ac:dyDescent="0.25">
      <c r="H24377" s="12"/>
      <c r="I24377" s="12"/>
      <c r="J24377" s="12"/>
      <c r="K24377" s="12"/>
      <c r="L24377" s="12"/>
      <c r="M24377" s="11"/>
      <c r="N24377" s="11"/>
      <c r="O24377" s="11"/>
      <c r="P24377" s="11"/>
    </row>
    <row r="24378" spans="8:16" x14ac:dyDescent="0.25">
      <c r="H24378" s="12"/>
      <c r="I24378" s="12"/>
      <c r="J24378" s="12"/>
      <c r="K24378" s="12"/>
      <c r="L24378" s="12"/>
      <c r="M24378" s="11"/>
      <c r="N24378" s="11"/>
      <c r="O24378" s="11"/>
      <c r="P24378" s="11"/>
    </row>
    <row r="24379" spans="8:16" x14ac:dyDescent="0.25">
      <c r="H24379" s="12"/>
      <c r="I24379" s="12"/>
      <c r="J24379" s="12"/>
      <c r="K24379" s="12"/>
      <c r="L24379" s="12"/>
      <c r="M24379" s="11"/>
      <c r="N24379" s="11"/>
      <c r="O24379" s="11"/>
      <c r="P24379" s="11"/>
    </row>
    <row r="24380" spans="8:16" x14ac:dyDescent="0.25">
      <c r="H24380" s="12"/>
      <c r="I24380" s="12"/>
      <c r="J24380" s="12"/>
      <c r="K24380" s="12"/>
      <c r="L24380" s="12"/>
      <c r="M24380" s="11"/>
      <c r="N24380" s="11"/>
      <c r="O24380" s="11"/>
      <c r="P24380" s="11"/>
    </row>
    <row r="24381" spans="8:16" x14ac:dyDescent="0.25">
      <c r="H24381" s="12"/>
      <c r="I24381" s="12"/>
      <c r="J24381" s="12"/>
      <c r="K24381" s="12"/>
      <c r="L24381" s="12"/>
      <c r="M24381" s="11"/>
      <c r="N24381" s="11"/>
      <c r="O24381" s="11"/>
      <c r="P24381" s="11"/>
    </row>
    <row r="24382" spans="8:16" x14ac:dyDescent="0.25">
      <c r="H24382" s="12"/>
      <c r="I24382" s="12"/>
      <c r="J24382" s="12"/>
      <c r="K24382" s="12"/>
      <c r="L24382" s="12"/>
      <c r="M24382" s="11"/>
      <c r="N24382" s="11"/>
      <c r="O24382" s="11"/>
      <c r="P24382" s="11"/>
    </row>
    <row r="24383" spans="8:16" x14ac:dyDescent="0.25">
      <c r="H24383" s="12"/>
      <c r="I24383" s="12"/>
      <c r="J24383" s="12"/>
      <c r="K24383" s="12"/>
      <c r="L24383" s="12"/>
      <c r="M24383" s="11"/>
      <c r="N24383" s="11"/>
      <c r="O24383" s="11"/>
      <c r="P24383" s="11"/>
    </row>
    <row r="24384" spans="8:16" x14ac:dyDescent="0.25">
      <c r="H24384" s="12"/>
      <c r="I24384" s="12"/>
      <c r="J24384" s="12"/>
      <c r="K24384" s="12"/>
      <c r="L24384" s="12"/>
      <c r="M24384" s="11"/>
      <c r="N24384" s="11"/>
      <c r="O24384" s="11"/>
      <c r="P24384" s="11"/>
    </row>
    <row r="24385" spans="8:16" x14ac:dyDescent="0.25">
      <c r="H24385" s="12"/>
      <c r="I24385" s="12"/>
      <c r="J24385" s="12"/>
      <c r="K24385" s="12"/>
      <c r="L24385" s="12"/>
      <c r="M24385" s="11"/>
      <c r="N24385" s="11"/>
      <c r="O24385" s="11"/>
      <c r="P24385" s="11"/>
    </row>
    <row r="24386" spans="8:16" x14ac:dyDescent="0.25">
      <c r="H24386" s="12"/>
      <c r="I24386" s="12"/>
      <c r="J24386" s="12"/>
      <c r="K24386" s="12"/>
      <c r="L24386" s="12"/>
      <c r="M24386" s="11"/>
      <c r="N24386" s="11"/>
      <c r="O24386" s="11"/>
      <c r="P24386" s="11"/>
    </row>
    <row r="24387" spans="8:16" x14ac:dyDescent="0.25">
      <c r="H24387" s="12"/>
      <c r="I24387" s="12"/>
      <c r="J24387" s="12"/>
      <c r="K24387" s="12"/>
      <c r="L24387" s="12"/>
      <c r="M24387" s="11"/>
      <c r="N24387" s="11"/>
      <c r="O24387" s="11"/>
      <c r="P24387" s="11"/>
    </row>
    <row r="24388" spans="8:16" x14ac:dyDescent="0.25">
      <c r="H24388" s="12"/>
      <c r="I24388" s="12"/>
      <c r="J24388" s="12"/>
      <c r="K24388" s="12"/>
      <c r="L24388" s="12"/>
      <c r="M24388" s="11"/>
      <c r="N24388" s="11"/>
      <c r="O24388" s="11"/>
      <c r="P24388" s="11"/>
    </row>
    <row r="24389" spans="8:16" x14ac:dyDescent="0.25">
      <c r="H24389" s="12"/>
      <c r="I24389" s="12"/>
      <c r="J24389" s="12"/>
      <c r="K24389" s="12"/>
      <c r="L24389" s="12"/>
      <c r="M24389" s="11"/>
      <c r="N24389" s="11"/>
      <c r="O24389" s="11"/>
      <c r="P24389" s="11"/>
    </row>
    <row r="24390" spans="8:16" x14ac:dyDescent="0.25">
      <c r="H24390" s="12"/>
      <c r="I24390" s="12"/>
      <c r="J24390" s="12"/>
      <c r="K24390" s="12"/>
      <c r="L24390" s="12"/>
      <c r="M24390" s="11"/>
      <c r="N24390" s="11"/>
      <c r="O24390" s="11"/>
      <c r="P24390" s="11"/>
    </row>
    <row r="24391" spans="8:16" x14ac:dyDescent="0.25">
      <c r="H24391" s="12"/>
      <c r="I24391" s="12"/>
      <c r="J24391" s="12"/>
      <c r="K24391" s="12"/>
      <c r="L24391" s="12"/>
      <c r="M24391" s="11"/>
      <c r="N24391" s="11"/>
      <c r="O24391" s="11"/>
      <c r="P24391" s="11"/>
    </row>
    <row r="24392" spans="8:16" x14ac:dyDescent="0.25">
      <c r="H24392" s="12"/>
      <c r="I24392" s="12"/>
      <c r="J24392" s="12"/>
      <c r="K24392" s="12"/>
      <c r="L24392" s="12"/>
      <c r="M24392" s="11"/>
      <c r="N24392" s="11"/>
      <c r="O24392" s="11"/>
      <c r="P24392" s="11"/>
    </row>
    <row r="24393" spans="8:16" x14ac:dyDescent="0.25">
      <c r="H24393" s="12"/>
      <c r="I24393" s="12"/>
      <c r="J24393" s="12"/>
      <c r="K24393" s="12"/>
      <c r="L24393" s="12"/>
      <c r="M24393" s="11"/>
      <c r="N24393" s="11"/>
      <c r="O24393" s="11"/>
      <c r="P24393" s="11"/>
    </row>
    <row r="24394" spans="8:16" x14ac:dyDescent="0.25">
      <c r="H24394" s="12"/>
      <c r="I24394" s="12"/>
      <c r="J24394" s="12"/>
      <c r="K24394" s="12"/>
      <c r="L24394" s="12"/>
      <c r="M24394" s="11"/>
      <c r="N24394" s="11"/>
      <c r="O24394" s="11"/>
      <c r="P24394" s="11"/>
    </row>
    <row r="24395" spans="8:16" x14ac:dyDescent="0.25">
      <c r="H24395" s="12"/>
      <c r="I24395" s="12"/>
      <c r="J24395" s="12"/>
      <c r="K24395" s="12"/>
      <c r="L24395" s="12"/>
      <c r="M24395" s="11"/>
      <c r="N24395" s="11"/>
      <c r="O24395" s="11"/>
      <c r="P24395" s="11"/>
    </row>
    <row r="24396" spans="8:16" x14ac:dyDescent="0.25">
      <c r="H24396" s="12"/>
      <c r="I24396" s="12"/>
      <c r="J24396" s="12"/>
      <c r="K24396" s="12"/>
      <c r="L24396" s="12"/>
      <c r="M24396" s="11"/>
      <c r="N24396" s="11"/>
      <c r="O24396" s="11"/>
      <c r="P24396" s="11"/>
    </row>
    <row r="24397" spans="8:16" x14ac:dyDescent="0.25">
      <c r="H24397" s="12"/>
      <c r="I24397" s="12"/>
      <c r="J24397" s="12"/>
      <c r="K24397" s="12"/>
      <c r="L24397" s="12"/>
      <c r="M24397" s="11"/>
      <c r="N24397" s="11"/>
      <c r="O24397" s="11"/>
      <c r="P24397" s="11"/>
    </row>
    <row r="24398" spans="8:16" x14ac:dyDescent="0.25">
      <c r="H24398" s="12"/>
      <c r="I24398" s="12"/>
      <c r="J24398" s="12"/>
      <c r="K24398" s="12"/>
      <c r="L24398" s="12"/>
      <c r="M24398" s="11"/>
      <c r="N24398" s="11"/>
      <c r="O24398" s="11"/>
      <c r="P24398" s="11"/>
    </row>
    <row r="24399" spans="8:16" x14ac:dyDescent="0.25">
      <c r="H24399" s="12"/>
      <c r="I24399" s="12"/>
      <c r="J24399" s="12"/>
      <c r="K24399" s="12"/>
      <c r="L24399" s="12"/>
      <c r="M24399" s="11"/>
      <c r="N24399" s="11"/>
      <c r="O24399" s="11"/>
      <c r="P24399" s="11"/>
    </row>
    <row r="24400" spans="8:16" x14ac:dyDescent="0.25">
      <c r="H24400" s="12"/>
      <c r="I24400" s="12"/>
      <c r="J24400" s="12"/>
      <c r="K24400" s="12"/>
      <c r="L24400" s="12"/>
      <c r="M24400" s="11"/>
      <c r="N24400" s="11"/>
      <c r="O24400" s="11"/>
      <c r="P24400" s="11"/>
    </row>
    <row r="24401" spans="8:16" x14ac:dyDescent="0.25">
      <c r="H24401" s="12"/>
      <c r="I24401" s="12"/>
      <c r="J24401" s="12"/>
      <c r="K24401" s="12"/>
      <c r="L24401" s="12"/>
      <c r="M24401" s="11"/>
      <c r="N24401" s="11"/>
      <c r="O24401" s="11"/>
      <c r="P24401" s="11"/>
    </row>
    <row r="24402" spans="8:16" x14ac:dyDescent="0.25">
      <c r="H24402" s="12"/>
      <c r="I24402" s="12"/>
      <c r="J24402" s="12"/>
      <c r="K24402" s="12"/>
      <c r="L24402" s="12"/>
      <c r="M24402" s="11"/>
      <c r="N24402" s="11"/>
      <c r="O24402" s="11"/>
      <c r="P24402" s="11"/>
    </row>
    <row r="24403" spans="8:16" x14ac:dyDescent="0.25">
      <c r="H24403" s="12"/>
      <c r="I24403" s="12"/>
      <c r="J24403" s="12"/>
      <c r="K24403" s="12"/>
      <c r="L24403" s="12"/>
      <c r="M24403" s="11"/>
      <c r="N24403" s="11"/>
      <c r="O24403" s="11"/>
      <c r="P24403" s="11"/>
    </row>
    <row r="24404" spans="8:16" x14ac:dyDescent="0.25">
      <c r="H24404" s="12"/>
      <c r="I24404" s="12"/>
      <c r="J24404" s="12"/>
      <c r="K24404" s="12"/>
      <c r="L24404" s="12"/>
      <c r="M24404" s="11"/>
      <c r="N24404" s="11"/>
      <c r="O24404" s="11"/>
      <c r="P24404" s="11"/>
    </row>
    <row r="24405" spans="8:16" x14ac:dyDescent="0.25">
      <c r="H24405" s="12"/>
      <c r="I24405" s="12"/>
      <c r="J24405" s="12"/>
      <c r="K24405" s="12"/>
      <c r="L24405" s="12"/>
      <c r="M24405" s="11"/>
      <c r="N24405" s="11"/>
      <c r="O24405" s="11"/>
      <c r="P24405" s="11"/>
    </row>
    <row r="24406" spans="8:16" x14ac:dyDescent="0.25">
      <c r="H24406" s="12"/>
      <c r="I24406" s="12"/>
      <c r="J24406" s="12"/>
      <c r="K24406" s="12"/>
      <c r="L24406" s="12"/>
      <c r="M24406" s="11"/>
      <c r="N24406" s="11"/>
      <c r="O24406" s="11"/>
      <c r="P24406" s="11"/>
    </row>
    <row r="24407" spans="8:16" x14ac:dyDescent="0.25">
      <c r="H24407" s="12"/>
      <c r="I24407" s="12"/>
      <c r="J24407" s="12"/>
      <c r="K24407" s="12"/>
      <c r="L24407" s="12"/>
      <c r="M24407" s="11"/>
      <c r="N24407" s="11"/>
      <c r="O24407" s="11"/>
      <c r="P24407" s="11"/>
    </row>
    <row r="24408" spans="8:16" x14ac:dyDescent="0.25">
      <c r="H24408" s="12"/>
      <c r="I24408" s="12"/>
      <c r="J24408" s="12"/>
      <c r="K24408" s="12"/>
      <c r="L24408" s="12"/>
      <c r="M24408" s="11"/>
      <c r="N24408" s="11"/>
      <c r="O24408" s="11"/>
      <c r="P24408" s="11"/>
    </row>
    <row r="24409" spans="8:16" x14ac:dyDescent="0.25">
      <c r="H24409" s="12"/>
      <c r="I24409" s="12"/>
      <c r="J24409" s="12"/>
      <c r="K24409" s="12"/>
      <c r="L24409" s="12"/>
      <c r="M24409" s="11"/>
      <c r="N24409" s="11"/>
      <c r="O24409" s="11"/>
      <c r="P24409" s="11"/>
    </row>
    <row r="24410" spans="8:16" x14ac:dyDescent="0.25">
      <c r="H24410" s="12"/>
      <c r="I24410" s="12"/>
      <c r="J24410" s="12"/>
      <c r="K24410" s="12"/>
      <c r="L24410" s="12"/>
      <c r="M24410" s="11"/>
      <c r="N24410" s="11"/>
      <c r="O24410" s="11"/>
      <c r="P24410" s="11"/>
    </row>
    <row r="24411" spans="8:16" x14ac:dyDescent="0.25">
      <c r="H24411" s="12"/>
      <c r="I24411" s="12"/>
      <c r="J24411" s="12"/>
      <c r="K24411" s="12"/>
      <c r="L24411" s="12"/>
      <c r="M24411" s="11"/>
      <c r="N24411" s="11"/>
      <c r="O24411" s="11"/>
      <c r="P24411" s="11"/>
    </row>
    <row r="24412" spans="8:16" x14ac:dyDescent="0.25">
      <c r="H24412" s="12"/>
      <c r="I24412" s="12"/>
      <c r="J24412" s="12"/>
      <c r="K24412" s="12"/>
      <c r="L24412" s="12"/>
      <c r="M24412" s="11"/>
      <c r="N24412" s="11"/>
      <c r="O24412" s="11"/>
      <c r="P24412" s="11"/>
    </row>
    <row r="24413" spans="8:16" x14ac:dyDescent="0.25">
      <c r="H24413" s="12"/>
      <c r="I24413" s="12"/>
      <c r="J24413" s="12"/>
      <c r="K24413" s="12"/>
      <c r="L24413" s="12"/>
      <c r="M24413" s="11"/>
      <c r="N24413" s="11"/>
      <c r="O24413" s="11"/>
      <c r="P24413" s="11"/>
    </row>
    <row r="24414" spans="8:16" x14ac:dyDescent="0.25">
      <c r="H24414" s="12"/>
      <c r="I24414" s="12"/>
      <c r="J24414" s="12"/>
      <c r="K24414" s="12"/>
      <c r="L24414" s="12"/>
      <c r="M24414" s="11"/>
      <c r="N24414" s="11"/>
      <c r="O24414" s="11"/>
      <c r="P24414" s="11"/>
    </row>
    <row r="24415" spans="8:16" x14ac:dyDescent="0.25">
      <c r="H24415" s="12"/>
      <c r="I24415" s="12"/>
      <c r="J24415" s="12"/>
      <c r="K24415" s="12"/>
      <c r="L24415" s="12"/>
      <c r="M24415" s="11"/>
      <c r="N24415" s="11"/>
      <c r="O24415" s="11"/>
      <c r="P24415" s="11"/>
    </row>
    <row r="24416" spans="8:16" x14ac:dyDescent="0.25">
      <c r="H24416" s="12"/>
      <c r="I24416" s="12"/>
      <c r="J24416" s="12"/>
      <c r="K24416" s="12"/>
      <c r="L24416" s="12"/>
      <c r="M24416" s="11"/>
      <c r="N24416" s="11"/>
      <c r="O24416" s="11"/>
      <c r="P24416" s="11"/>
    </row>
    <row r="24417" spans="8:16" x14ac:dyDescent="0.25">
      <c r="H24417" s="12"/>
      <c r="I24417" s="12"/>
      <c r="J24417" s="12"/>
      <c r="K24417" s="12"/>
      <c r="L24417" s="12"/>
      <c r="M24417" s="11"/>
      <c r="N24417" s="11"/>
      <c r="O24417" s="11"/>
      <c r="P24417" s="11"/>
    </row>
    <row r="24418" spans="8:16" x14ac:dyDescent="0.25">
      <c r="H24418" s="12"/>
      <c r="I24418" s="12"/>
      <c r="J24418" s="12"/>
      <c r="K24418" s="12"/>
      <c r="L24418" s="12"/>
      <c r="M24418" s="11"/>
      <c r="N24418" s="11"/>
      <c r="O24418" s="11"/>
      <c r="P24418" s="11"/>
    </row>
    <row r="24419" spans="8:16" x14ac:dyDescent="0.25">
      <c r="H24419" s="12"/>
      <c r="I24419" s="12"/>
      <c r="J24419" s="12"/>
      <c r="K24419" s="12"/>
      <c r="L24419" s="12"/>
      <c r="M24419" s="11"/>
      <c r="N24419" s="11"/>
      <c r="O24419" s="11"/>
      <c r="P24419" s="11"/>
    </row>
    <row r="24420" spans="8:16" x14ac:dyDescent="0.25">
      <c r="H24420" s="12"/>
      <c r="I24420" s="12"/>
      <c r="J24420" s="12"/>
      <c r="K24420" s="12"/>
      <c r="L24420" s="12"/>
      <c r="M24420" s="11"/>
      <c r="N24420" s="11"/>
      <c r="O24420" s="11"/>
      <c r="P24420" s="11"/>
    </row>
    <row r="24421" spans="8:16" x14ac:dyDescent="0.25">
      <c r="H24421" s="12"/>
      <c r="I24421" s="12"/>
      <c r="J24421" s="12"/>
      <c r="K24421" s="12"/>
      <c r="L24421" s="12"/>
      <c r="M24421" s="11"/>
      <c r="N24421" s="11"/>
      <c r="O24421" s="11"/>
      <c r="P24421" s="11"/>
    </row>
    <row r="24422" spans="8:16" x14ac:dyDescent="0.25">
      <c r="H24422" s="12"/>
      <c r="I24422" s="12"/>
      <c r="J24422" s="12"/>
      <c r="K24422" s="12"/>
      <c r="L24422" s="12"/>
      <c r="M24422" s="11"/>
      <c r="N24422" s="11"/>
      <c r="O24422" s="11"/>
      <c r="P24422" s="11"/>
    </row>
    <row r="24423" spans="8:16" x14ac:dyDescent="0.25">
      <c r="H24423" s="12"/>
      <c r="I24423" s="12"/>
      <c r="J24423" s="12"/>
      <c r="K24423" s="12"/>
      <c r="L24423" s="12"/>
      <c r="M24423" s="11"/>
      <c r="N24423" s="11"/>
      <c r="O24423" s="11"/>
      <c r="P24423" s="11"/>
    </row>
    <row r="24424" spans="8:16" x14ac:dyDescent="0.25">
      <c r="H24424" s="12"/>
      <c r="I24424" s="12"/>
      <c r="J24424" s="12"/>
      <c r="K24424" s="12"/>
      <c r="L24424" s="12"/>
      <c r="M24424" s="11"/>
      <c r="N24424" s="11"/>
      <c r="O24424" s="11"/>
      <c r="P24424" s="11"/>
    </row>
    <row r="24425" spans="8:16" x14ac:dyDescent="0.25">
      <c r="H24425" s="12"/>
      <c r="I24425" s="12"/>
      <c r="J24425" s="12"/>
      <c r="K24425" s="12"/>
      <c r="L24425" s="12"/>
      <c r="M24425" s="11"/>
      <c r="N24425" s="11"/>
      <c r="O24425" s="11"/>
      <c r="P24425" s="11"/>
    </row>
    <row r="24426" spans="8:16" x14ac:dyDescent="0.25">
      <c r="H24426" s="12"/>
      <c r="I24426" s="12"/>
      <c r="J24426" s="12"/>
      <c r="K24426" s="12"/>
      <c r="L24426" s="12"/>
      <c r="M24426" s="11"/>
      <c r="N24426" s="11"/>
      <c r="O24426" s="11"/>
      <c r="P24426" s="11"/>
    </row>
    <row r="24427" spans="8:16" x14ac:dyDescent="0.25">
      <c r="H24427" s="12"/>
      <c r="I24427" s="12"/>
      <c r="J24427" s="12"/>
      <c r="K24427" s="12"/>
      <c r="L24427" s="12"/>
      <c r="M24427" s="11"/>
      <c r="N24427" s="11"/>
      <c r="O24427" s="11"/>
      <c r="P24427" s="11"/>
    </row>
    <row r="24428" spans="8:16" x14ac:dyDescent="0.25">
      <c r="H24428" s="12"/>
      <c r="I24428" s="12"/>
      <c r="J24428" s="12"/>
      <c r="K24428" s="12"/>
      <c r="L24428" s="12"/>
      <c r="M24428" s="11"/>
      <c r="N24428" s="11"/>
      <c r="O24428" s="11"/>
      <c r="P24428" s="11"/>
    </row>
    <row r="24429" spans="8:16" x14ac:dyDescent="0.25">
      <c r="H24429" s="12"/>
      <c r="I24429" s="12"/>
      <c r="J24429" s="12"/>
      <c r="K24429" s="12"/>
      <c r="L24429" s="12"/>
      <c r="M24429" s="11"/>
      <c r="N24429" s="11"/>
      <c r="O24429" s="11"/>
      <c r="P24429" s="11"/>
    </row>
    <row r="24430" spans="8:16" x14ac:dyDescent="0.25">
      <c r="H24430" s="12"/>
      <c r="I24430" s="12"/>
      <c r="J24430" s="12"/>
      <c r="K24430" s="12"/>
      <c r="L24430" s="12"/>
      <c r="M24430" s="11"/>
      <c r="N24430" s="11"/>
      <c r="O24430" s="11"/>
      <c r="P24430" s="11"/>
    </row>
    <row r="24431" spans="8:16" x14ac:dyDescent="0.25">
      <c r="H24431" s="12"/>
      <c r="I24431" s="12"/>
      <c r="J24431" s="12"/>
      <c r="K24431" s="12"/>
      <c r="L24431" s="12"/>
      <c r="M24431" s="11"/>
      <c r="N24431" s="11"/>
      <c r="O24431" s="11"/>
      <c r="P24431" s="11"/>
    </row>
    <row r="24432" spans="8:16" x14ac:dyDescent="0.25">
      <c r="H24432" s="12"/>
      <c r="I24432" s="12"/>
      <c r="J24432" s="12"/>
      <c r="K24432" s="12"/>
      <c r="L24432" s="12"/>
      <c r="M24432" s="11"/>
      <c r="N24432" s="11"/>
      <c r="O24432" s="11"/>
      <c r="P24432" s="11"/>
    </row>
    <row r="24433" spans="8:16" x14ac:dyDescent="0.25">
      <c r="H24433" s="12"/>
      <c r="I24433" s="12"/>
      <c r="J24433" s="12"/>
      <c r="K24433" s="12"/>
      <c r="L24433" s="12"/>
      <c r="M24433" s="11"/>
      <c r="N24433" s="11"/>
      <c r="O24433" s="11"/>
      <c r="P24433" s="11"/>
    </row>
    <row r="24434" spans="8:16" x14ac:dyDescent="0.25">
      <c r="H24434" s="12"/>
      <c r="I24434" s="12"/>
      <c r="J24434" s="12"/>
      <c r="K24434" s="12"/>
      <c r="L24434" s="12"/>
      <c r="M24434" s="11"/>
      <c r="N24434" s="11"/>
      <c r="O24434" s="11"/>
      <c r="P24434" s="11"/>
    </row>
    <row r="24435" spans="8:16" x14ac:dyDescent="0.25">
      <c r="H24435" s="12"/>
      <c r="I24435" s="12"/>
      <c r="J24435" s="12"/>
      <c r="K24435" s="12"/>
      <c r="L24435" s="12"/>
      <c r="M24435" s="11"/>
      <c r="N24435" s="11"/>
      <c r="O24435" s="11"/>
      <c r="P24435" s="11"/>
    </row>
    <row r="24436" spans="8:16" x14ac:dyDescent="0.25">
      <c r="H24436" s="12"/>
      <c r="I24436" s="12"/>
      <c r="J24436" s="12"/>
      <c r="K24436" s="12"/>
      <c r="L24436" s="12"/>
      <c r="M24436" s="11"/>
      <c r="N24436" s="11"/>
      <c r="O24436" s="11"/>
      <c r="P24436" s="11"/>
    </row>
    <row r="24437" spans="8:16" x14ac:dyDescent="0.25">
      <c r="H24437" s="12"/>
      <c r="I24437" s="12"/>
      <c r="J24437" s="12"/>
      <c r="K24437" s="12"/>
      <c r="L24437" s="12"/>
      <c r="M24437" s="11"/>
      <c r="N24437" s="11"/>
      <c r="O24437" s="11"/>
      <c r="P24437" s="11"/>
    </row>
    <row r="24438" spans="8:16" x14ac:dyDescent="0.25">
      <c r="H24438" s="12"/>
      <c r="I24438" s="12"/>
      <c r="J24438" s="12"/>
      <c r="K24438" s="12"/>
      <c r="L24438" s="12"/>
      <c r="M24438" s="11"/>
      <c r="N24438" s="11"/>
      <c r="O24438" s="11"/>
      <c r="P24438" s="11"/>
    </row>
    <row r="24439" spans="8:16" x14ac:dyDescent="0.25">
      <c r="H24439" s="12"/>
      <c r="I24439" s="12"/>
      <c r="J24439" s="12"/>
      <c r="K24439" s="12"/>
      <c r="L24439" s="12"/>
      <c r="M24439" s="11"/>
      <c r="N24439" s="11"/>
      <c r="O24439" s="11"/>
      <c r="P24439" s="11"/>
    </row>
    <row r="24440" spans="8:16" x14ac:dyDescent="0.25">
      <c r="H24440" s="12"/>
      <c r="I24440" s="12"/>
      <c r="J24440" s="12"/>
      <c r="K24440" s="12"/>
      <c r="L24440" s="12"/>
      <c r="M24440" s="11"/>
      <c r="N24440" s="11"/>
      <c r="O24440" s="11"/>
      <c r="P24440" s="11"/>
    </row>
    <row r="24441" spans="8:16" x14ac:dyDescent="0.25">
      <c r="H24441" s="12"/>
      <c r="I24441" s="12"/>
      <c r="J24441" s="12"/>
      <c r="K24441" s="12"/>
      <c r="L24441" s="12"/>
      <c r="M24441" s="11"/>
      <c r="N24441" s="11"/>
      <c r="O24441" s="11"/>
      <c r="P24441" s="11"/>
    </row>
    <row r="24442" spans="8:16" x14ac:dyDescent="0.25">
      <c r="H24442" s="12"/>
      <c r="I24442" s="12"/>
      <c r="J24442" s="12"/>
      <c r="K24442" s="12"/>
      <c r="L24442" s="12"/>
      <c r="M24442" s="11"/>
      <c r="N24442" s="11"/>
      <c r="O24442" s="11"/>
      <c r="P24442" s="11"/>
    </row>
    <row r="24443" spans="8:16" x14ac:dyDescent="0.25">
      <c r="H24443" s="12"/>
      <c r="I24443" s="12"/>
      <c r="J24443" s="12"/>
      <c r="K24443" s="12"/>
      <c r="L24443" s="12"/>
      <c r="M24443" s="11"/>
      <c r="N24443" s="11"/>
      <c r="O24443" s="11"/>
      <c r="P24443" s="11"/>
    </row>
    <row r="24444" spans="8:16" x14ac:dyDescent="0.25">
      <c r="H24444" s="12"/>
      <c r="I24444" s="12"/>
      <c r="J24444" s="12"/>
      <c r="K24444" s="12"/>
      <c r="L24444" s="12"/>
      <c r="M24444" s="11"/>
      <c r="N24444" s="11"/>
      <c r="O24444" s="11"/>
      <c r="P24444" s="11"/>
    </row>
    <row r="24445" spans="8:16" x14ac:dyDescent="0.25">
      <c r="H24445" s="12"/>
      <c r="I24445" s="12"/>
      <c r="J24445" s="12"/>
      <c r="K24445" s="12"/>
      <c r="L24445" s="12"/>
      <c r="M24445" s="11"/>
      <c r="N24445" s="11"/>
      <c r="O24445" s="11"/>
      <c r="P24445" s="11"/>
    </row>
    <row r="24446" spans="8:16" x14ac:dyDescent="0.25">
      <c r="H24446" s="12"/>
      <c r="I24446" s="12"/>
      <c r="J24446" s="12"/>
      <c r="K24446" s="12"/>
      <c r="L24446" s="12"/>
      <c r="M24446" s="11"/>
      <c r="N24446" s="11"/>
      <c r="O24446" s="11"/>
      <c r="P24446" s="11"/>
    </row>
    <row r="24447" spans="8:16" x14ac:dyDescent="0.25">
      <c r="H24447" s="12"/>
      <c r="I24447" s="12"/>
      <c r="J24447" s="12"/>
      <c r="K24447" s="12"/>
      <c r="L24447" s="12"/>
      <c r="M24447" s="11"/>
      <c r="N24447" s="11"/>
      <c r="O24447" s="11"/>
      <c r="P24447" s="11"/>
    </row>
    <row r="24448" spans="8:16" x14ac:dyDescent="0.25">
      <c r="H24448" s="12"/>
      <c r="I24448" s="12"/>
      <c r="J24448" s="12"/>
      <c r="K24448" s="12"/>
      <c r="L24448" s="12"/>
      <c r="M24448" s="11"/>
      <c r="N24448" s="11"/>
      <c r="O24448" s="11"/>
      <c r="P24448" s="11"/>
    </row>
    <row r="24449" spans="8:16" x14ac:dyDescent="0.25">
      <c r="H24449" s="12"/>
      <c r="I24449" s="12"/>
      <c r="J24449" s="12"/>
      <c r="K24449" s="12"/>
      <c r="L24449" s="12"/>
      <c r="M24449" s="11"/>
      <c r="N24449" s="11"/>
      <c r="O24449" s="11"/>
      <c r="P24449" s="11"/>
    </row>
    <row r="24450" spans="8:16" x14ac:dyDescent="0.25">
      <c r="H24450" s="12"/>
      <c r="I24450" s="12"/>
      <c r="J24450" s="12"/>
      <c r="K24450" s="12"/>
      <c r="L24450" s="12"/>
      <c r="M24450" s="11"/>
      <c r="N24450" s="11"/>
      <c r="O24450" s="11"/>
      <c r="P24450" s="11"/>
    </row>
    <row r="24451" spans="8:16" x14ac:dyDescent="0.25">
      <c r="H24451" s="12"/>
      <c r="I24451" s="12"/>
      <c r="J24451" s="12"/>
      <c r="K24451" s="12"/>
      <c r="L24451" s="12"/>
      <c r="M24451" s="11"/>
      <c r="N24451" s="11"/>
      <c r="O24451" s="11"/>
      <c r="P24451" s="11"/>
    </row>
    <row r="24452" spans="8:16" x14ac:dyDescent="0.25">
      <c r="H24452" s="12"/>
      <c r="I24452" s="12"/>
      <c r="J24452" s="12"/>
      <c r="K24452" s="12"/>
      <c r="L24452" s="12"/>
      <c r="M24452" s="11"/>
      <c r="N24452" s="11"/>
      <c r="O24452" s="11"/>
      <c r="P24452" s="11"/>
    </row>
    <row r="24453" spans="8:16" x14ac:dyDescent="0.25">
      <c r="H24453" s="12"/>
      <c r="I24453" s="12"/>
      <c r="J24453" s="12"/>
      <c r="K24453" s="12"/>
      <c r="L24453" s="12"/>
      <c r="M24453" s="11"/>
      <c r="N24453" s="11"/>
      <c r="O24453" s="11"/>
      <c r="P24453" s="11"/>
    </row>
    <row r="24454" spans="8:16" x14ac:dyDescent="0.25">
      <c r="H24454" s="12"/>
      <c r="I24454" s="12"/>
      <c r="J24454" s="12"/>
      <c r="K24454" s="12"/>
      <c r="L24454" s="12"/>
      <c r="M24454" s="11"/>
      <c r="N24454" s="11"/>
      <c r="O24454" s="11"/>
      <c r="P24454" s="11"/>
    </row>
    <row r="24455" spans="8:16" x14ac:dyDescent="0.25">
      <c r="H24455" s="12"/>
      <c r="I24455" s="12"/>
      <c r="J24455" s="12"/>
      <c r="K24455" s="12"/>
      <c r="L24455" s="12"/>
      <c r="M24455" s="11"/>
      <c r="N24455" s="11"/>
      <c r="O24455" s="11"/>
      <c r="P24455" s="11"/>
    </row>
    <row r="24456" spans="8:16" x14ac:dyDescent="0.25">
      <c r="H24456" s="12"/>
      <c r="I24456" s="12"/>
      <c r="J24456" s="12"/>
      <c r="K24456" s="12"/>
      <c r="L24456" s="12"/>
      <c r="M24456" s="11"/>
      <c r="N24456" s="11"/>
      <c r="O24456" s="11"/>
      <c r="P24456" s="11"/>
    </row>
    <row r="24457" spans="8:16" x14ac:dyDescent="0.25">
      <c r="H24457" s="12"/>
      <c r="I24457" s="12"/>
      <c r="J24457" s="12"/>
      <c r="K24457" s="12"/>
      <c r="L24457" s="12"/>
      <c r="M24457" s="11"/>
      <c r="N24457" s="11"/>
      <c r="O24457" s="11"/>
      <c r="P24457" s="11"/>
    </row>
    <row r="24458" spans="8:16" x14ac:dyDescent="0.25">
      <c r="H24458" s="12"/>
      <c r="I24458" s="12"/>
      <c r="J24458" s="12"/>
      <c r="K24458" s="12"/>
      <c r="L24458" s="12"/>
      <c r="M24458" s="11"/>
      <c r="N24458" s="11"/>
      <c r="O24458" s="11"/>
      <c r="P24458" s="11"/>
    </row>
    <row r="24459" spans="8:16" x14ac:dyDescent="0.25">
      <c r="H24459" s="12"/>
      <c r="I24459" s="12"/>
      <c r="J24459" s="12"/>
      <c r="K24459" s="12"/>
      <c r="L24459" s="12"/>
      <c r="M24459" s="11"/>
      <c r="N24459" s="11"/>
      <c r="O24459" s="11"/>
      <c r="P24459" s="11"/>
    </row>
    <row r="24460" spans="8:16" x14ac:dyDescent="0.25">
      <c r="H24460" s="12"/>
      <c r="I24460" s="12"/>
      <c r="J24460" s="12"/>
      <c r="K24460" s="12"/>
      <c r="L24460" s="12"/>
      <c r="M24460" s="11"/>
      <c r="N24460" s="11"/>
      <c r="O24460" s="11"/>
      <c r="P24460" s="11"/>
    </row>
    <row r="24461" spans="8:16" x14ac:dyDescent="0.25">
      <c r="H24461" s="12"/>
      <c r="I24461" s="12"/>
      <c r="J24461" s="12"/>
      <c r="K24461" s="12"/>
      <c r="L24461" s="12"/>
      <c r="M24461" s="11"/>
      <c r="N24461" s="11"/>
      <c r="O24461" s="11"/>
      <c r="P24461" s="11"/>
    </row>
    <row r="24462" spans="8:16" x14ac:dyDescent="0.25">
      <c r="H24462" s="12"/>
      <c r="I24462" s="12"/>
      <c r="J24462" s="12"/>
      <c r="K24462" s="12"/>
      <c r="L24462" s="12"/>
      <c r="M24462" s="11"/>
      <c r="N24462" s="11"/>
      <c r="O24462" s="11"/>
      <c r="P24462" s="11"/>
    </row>
    <row r="24463" spans="8:16" x14ac:dyDescent="0.25">
      <c r="H24463" s="12"/>
      <c r="I24463" s="12"/>
      <c r="J24463" s="12"/>
      <c r="K24463" s="12"/>
      <c r="L24463" s="12"/>
      <c r="M24463" s="11"/>
      <c r="N24463" s="11"/>
      <c r="O24463" s="11"/>
      <c r="P24463" s="11"/>
    </row>
    <row r="24464" spans="8:16" x14ac:dyDescent="0.25">
      <c r="H24464" s="12"/>
      <c r="I24464" s="12"/>
      <c r="J24464" s="12"/>
      <c r="K24464" s="12"/>
      <c r="L24464" s="12"/>
      <c r="M24464" s="11"/>
      <c r="N24464" s="11"/>
      <c r="O24464" s="11"/>
      <c r="P24464" s="11"/>
    </row>
    <row r="24465" spans="8:16" x14ac:dyDescent="0.25">
      <c r="H24465" s="12"/>
      <c r="I24465" s="12"/>
      <c r="J24465" s="12"/>
      <c r="K24465" s="12"/>
      <c r="L24465" s="12"/>
      <c r="M24465" s="11"/>
      <c r="N24465" s="11"/>
      <c r="O24465" s="11"/>
      <c r="P24465" s="11"/>
    </row>
    <row r="24466" spans="8:16" x14ac:dyDescent="0.25">
      <c r="H24466" s="12"/>
      <c r="I24466" s="12"/>
      <c r="J24466" s="12"/>
      <c r="K24466" s="12"/>
      <c r="L24466" s="12"/>
      <c r="M24466" s="11"/>
      <c r="N24466" s="11"/>
      <c r="O24466" s="11"/>
      <c r="P24466" s="11"/>
    </row>
    <row r="24467" spans="8:16" x14ac:dyDescent="0.25">
      <c r="H24467" s="12"/>
      <c r="I24467" s="12"/>
      <c r="J24467" s="12"/>
      <c r="K24467" s="12"/>
      <c r="L24467" s="12"/>
      <c r="M24467" s="11"/>
      <c r="N24467" s="11"/>
      <c r="O24467" s="11"/>
      <c r="P24467" s="11"/>
    </row>
    <row r="24468" spans="8:16" x14ac:dyDescent="0.25">
      <c r="H24468" s="12"/>
      <c r="I24468" s="12"/>
      <c r="J24468" s="12"/>
      <c r="K24468" s="12"/>
      <c r="L24468" s="12"/>
      <c r="M24468" s="11"/>
      <c r="N24468" s="11"/>
      <c r="O24468" s="11"/>
      <c r="P24468" s="11"/>
    </row>
    <row r="24469" spans="8:16" x14ac:dyDescent="0.25">
      <c r="H24469" s="12"/>
      <c r="I24469" s="12"/>
      <c r="J24469" s="12"/>
      <c r="K24469" s="12"/>
      <c r="L24469" s="12"/>
      <c r="M24469" s="11"/>
      <c r="N24469" s="11"/>
      <c r="O24469" s="11"/>
      <c r="P24469" s="11"/>
    </row>
    <row r="24470" spans="8:16" x14ac:dyDescent="0.25">
      <c r="H24470" s="12"/>
      <c r="I24470" s="12"/>
      <c r="J24470" s="12"/>
      <c r="K24470" s="12"/>
      <c r="L24470" s="12"/>
      <c r="M24470" s="11"/>
      <c r="N24470" s="11"/>
      <c r="O24470" s="11"/>
      <c r="P24470" s="11"/>
    </row>
    <row r="24471" spans="8:16" x14ac:dyDescent="0.25">
      <c r="H24471" s="12"/>
      <c r="I24471" s="12"/>
      <c r="J24471" s="12"/>
      <c r="K24471" s="12"/>
      <c r="L24471" s="12"/>
      <c r="M24471" s="11"/>
      <c r="N24471" s="11"/>
      <c r="O24471" s="11"/>
      <c r="P24471" s="11"/>
    </row>
    <row r="24472" spans="8:16" x14ac:dyDescent="0.25">
      <c r="H24472" s="12"/>
      <c r="I24472" s="12"/>
      <c r="J24472" s="12"/>
      <c r="K24472" s="12"/>
      <c r="L24472" s="12"/>
      <c r="M24472" s="11"/>
      <c r="N24472" s="11"/>
      <c r="O24472" s="11"/>
      <c r="P24472" s="11"/>
    </row>
    <row r="24473" spans="8:16" x14ac:dyDescent="0.25">
      <c r="H24473" s="12"/>
      <c r="I24473" s="12"/>
      <c r="J24473" s="12"/>
      <c r="K24473" s="12"/>
      <c r="L24473" s="12"/>
      <c r="M24473" s="11"/>
      <c r="N24473" s="11"/>
      <c r="O24473" s="11"/>
      <c r="P24473" s="11"/>
    </row>
    <row r="24474" spans="8:16" x14ac:dyDescent="0.25">
      <c r="H24474" s="12"/>
      <c r="I24474" s="12"/>
      <c r="J24474" s="12"/>
      <c r="K24474" s="12"/>
      <c r="L24474" s="12"/>
      <c r="M24474" s="11"/>
      <c r="N24474" s="11"/>
      <c r="O24474" s="11"/>
      <c r="P24474" s="11"/>
    </row>
    <row r="24475" spans="8:16" x14ac:dyDescent="0.25">
      <c r="H24475" s="12"/>
      <c r="I24475" s="12"/>
      <c r="J24475" s="12"/>
      <c r="K24475" s="12"/>
      <c r="L24475" s="12"/>
      <c r="M24475" s="11"/>
      <c r="N24475" s="11"/>
      <c r="O24475" s="11"/>
      <c r="P24475" s="11"/>
    </row>
    <row r="24476" spans="8:16" x14ac:dyDescent="0.25">
      <c r="H24476" s="12"/>
      <c r="I24476" s="12"/>
      <c r="J24476" s="12"/>
      <c r="K24476" s="12"/>
      <c r="L24476" s="12"/>
      <c r="M24476" s="11"/>
      <c r="N24476" s="11"/>
      <c r="O24476" s="11"/>
      <c r="P24476" s="11"/>
    </row>
    <row r="24477" spans="8:16" x14ac:dyDescent="0.25">
      <c r="H24477" s="12"/>
      <c r="I24477" s="12"/>
      <c r="J24477" s="12"/>
      <c r="K24477" s="12"/>
      <c r="L24477" s="12"/>
      <c r="M24477" s="11"/>
      <c r="N24477" s="11"/>
      <c r="O24477" s="11"/>
      <c r="P24477" s="11"/>
    </row>
    <row r="24478" spans="8:16" x14ac:dyDescent="0.25">
      <c r="H24478" s="12"/>
      <c r="I24478" s="12"/>
      <c r="J24478" s="12"/>
      <c r="K24478" s="12"/>
      <c r="L24478" s="12"/>
      <c r="M24478" s="11"/>
      <c r="N24478" s="11"/>
      <c r="O24478" s="11"/>
      <c r="P24478" s="11"/>
    </row>
    <row r="24479" spans="8:16" x14ac:dyDescent="0.25">
      <c r="H24479" s="12"/>
      <c r="I24479" s="12"/>
      <c r="J24479" s="12"/>
      <c r="K24479" s="12"/>
      <c r="L24479" s="12"/>
      <c r="M24479" s="11"/>
      <c r="N24479" s="11"/>
      <c r="O24479" s="11"/>
      <c r="P24479" s="11"/>
    </row>
    <row r="24480" spans="8:16" x14ac:dyDescent="0.25">
      <c r="H24480" s="12"/>
      <c r="I24480" s="12"/>
      <c r="J24480" s="12"/>
      <c r="K24480" s="12"/>
      <c r="L24480" s="12"/>
      <c r="M24480" s="11"/>
      <c r="N24480" s="11"/>
      <c r="O24480" s="11"/>
      <c r="P24480" s="11"/>
    </row>
    <row r="24481" spans="8:16" x14ac:dyDescent="0.25">
      <c r="H24481" s="12"/>
      <c r="I24481" s="12"/>
      <c r="J24481" s="12"/>
      <c r="K24481" s="12"/>
      <c r="L24481" s="12"/>
      <c r="M24481" s="11"/>
      <c r="N24481" s="11"/>
      <c r="O24481" s="11"/>
      <c r="P24481" s="11"/>
    </row>
    <row r="24482" spans="8:16" x14ac:dyDescent="0.25">
      <c r="H24482" s="12"/>
      <c r="I24482" s="12"/>
      <c r="J24482" s="12"/>
      <c r="K24482" s="12"/>
      <c r="L24482" s="12"/>
      <c r="M24482" s="11"/>
      <c r="N24482" s="11"/>
      <c r="O24482" s="11"/>
      <c r="P24482" s="11"/>
    </row>
    <row r="24483" spans="8:16" x14ac:dyDescent="0.25">
      <c r="H24483" s="12"/>
      <c r="I24483" s="12"/>
      <c r="J24483" s="12"/>
      <c r="K24483" s="12"/>
      <c r="L24483" s="12"/>
      <c r="M24483" s="11"/>
      <c r="N24483" s="11"/>
      <c r="O24483" s="11"/>
      <c r="P24483" s="11"/>
    </row>
    <row r="24484" spans="8:16" x14ac:dyDescent="0.25">
      <c r="H24484" s="12"/>
      <c r="I24484" s="12"/>
      <c r="J24484" s="12"/>
      <c r="K24484" s="12"/>
      <c r="L24484" s="12"/>
      <c r="M24484" s="11"/>
      <c r="N24484" s="11"/>
      <c r="O24484" s="11"/>
      <c r="P24484" s="11"/>
    </row>
    <row r="24485" spans="8:16" x14ac:dyDescent="0.25">
      <c r="H24485" s="12"/>
      <c r="I24485" s="12"/>
      <c r="J24485" s="12"/>
      <c r="K24485" s="12"/>
      <c r="L24485" s="12"/>
      <c r="M24485" s="11"/>
      <c r="N24485" s="11"/>
      <c r="O24485" s="11"/>
      <c r="P24485" s="11"/>
    </row>
    <row r="24486" spans="8:16" x14ac:dyDescent="0.25">
      <c r="H24486" s="12"/>
      <c r="I24486" s="12"/>
      <c r="J24486" s="12"/>
      <c r="K24486" s="12"/>
      <c r="L24486" s="12"/>
      <c r="M24486" s="11"/>
      <c r="N24486" s="11"/>
      <c r="O24486" s="11"/>
      <c r="P24486" s="11"/>
    </row>
    <row r="24487" spans="8:16" x14ac:dyDescent="0.25">
      <c r="H24487" s="12"/>
      <c r="I24487" s="12"/>
      <c r="J24487" s="12"/>
      <c r="K24487" s="12"/>
      <c r="L24487" s="12"/>
      <c r="M24487" s="11"/>
      <c r="N24487" s="11"/>
      <c r="O24487" s="11"/>
      <c r="P24487" s="11"/>
    </row>
    <row r="24488" spans="8:16" x14ac:dyDescent="0.25">
      <c r="H24488" s="12"/>
      <c r="I24488" s="12"/>
      <c r="J24488" s="12"/>
      <c r="K24488" s="12"/>
      <c r="L24488" s="12"/>
      <c r="M24488" s="11"/>
      <c r="N24488" s="11"/>
      <c r="O24488" s="11"/>
      <c r="P24488" s="11"/>
    </row>
    <row r="24489" spans="8:16" x14ac:dyDescent="0.25">
      <c r="H24489" s="12"/>
      <c r="I24489" s="12"/>
      <c r="J24489" s="12"/>
      <c r="K24489" s="12"/>
      <c r="L24489" s="12"/>
      <c r="M24489" s="11"/>
      <c r="N24489" s="11"/>
      <c r="O24489" s="11"/>
      <c r="P24489" s="11"/>
    </row>
    <row r="24490" spans="8:16" x14ac:dyDescent="0.25">
      <c r="H24490" s="12"/>
      <c r="I24490" s="12"/>
      <c r="J24490" s="12"/>
      <c r="K24490" s="12"/>
      <c r="L24490" s="12"/>
      <c r="M24490" s="11"/>
      <c r="N24490" s="11"/>
      <c r="O24490" s="11"/>
      <c r="P24490" s="11"/>
    </row>
    <row r="24491" spans="8:16" x14ac:dyDescent="0.25">
      <c r="H24491" s="12"/>
      <c r="I24491" s="12"/>
      <c r="J24491" s="12"/>
      <c r="K24491" s="12"/>
      <c r="L24491" s="12"/>
      <c r="M24491" s="11"/>
      <c r="N24491" s="11"/>
      <c r="O24491" s="11"/>
      <c r="P24491" s="11"/>
    </row>
    <row r="24492" spans="8:16" x14ac:dyDescent="0.25">
      <c r="H24492" s="12"/>
      <c r="I24492" s="12"/>
      <c r="J24492" s="12"/>
      <c r="K24492" s="12"/>
      <c r="L24492" s="12"/>
      <c r="M24492" s="11"/>
      <c r="N24492" s="11"/>
      <c r="O24492" s="11"/>
      <c r="P24492" s="11"/>
    </row>
    <row r="24493" spans="8:16" x14ac:dyDescent="0.25">
      <c r="H24493" s="12"/>
      <c r="I24493" s="12"/>
      <c r="J24493" s="12"/>
      <c r="K24493" s="12"/>
      <c r="L24493" s="12"/>
      <c r="M24493" s="11"/>
      <c r="N24493" s="11"/>
      <c r="O24493" s="11"/>
      <c r="P24493" s="11"/>
    </row>
    <row r="24494" spans="8:16" x14ac:dyDescent="0.25">
      <c r="H24494" s="12"/>
      <c r="I24494" s="12"/>
      <c r="J24494" s="12"/>
      <c r="K24494" s="12"/>
      <c r="L24494" s="12"/>
      <c r="M24494" s="11"/>
      <c r="N24494" s="11"/>
      <c r="O24494" s="11"/>
      <c r="P24494" s="11"/>
    </row>
    <row r="24495" spans="8:16" x14ac:dyDescent="0.25">
      <c r="H24495" s="12"/>
      <c r="I24495" s="12"/>
      <c r="J24495" s="12"/>
      <c r="K24495" s="12"/>
      <c r="L24495" s="12"/>
      <c r="M24495" s="11"/>
      <c r="N24495" s="11"/>
      <c r="O24495" s="11"/>
      <c r="P24495" s="11"/>
    </row>
    <row r="24496" spans="8:16" x14ac:dyDescent="0.25">
      <c r="H24496" s="12"/>
      <c r="I24496" s="12"/>
      <c r="J24496" s="12"/>
      <c r="K24496" s="12"/>
      <c r="L24496" s="12"/>
      <c r="M24496" s="11"/>
      <c r="N24496" s="11"/>
      <c r="O24496" s="11"/>
      <c r="P24496" s="11"/>
    </row>
    <row r="24497" spans="8:16" x14ac:dyDescent="0.25">
      <c r="H24497" s="12"/>
      <c r="I24497" s="12"/>
      <c r="J24497" s="12"/>
      <c r="K24497" s="12"/>
      <c r="L24497" s="12"/>
      <c r="M24497" s="11"/>
      <c r="N24497" s="11"/>
      <c r="O24497" s="11"/>
      <c r="P24497" s="11"/>
    </row>
    <row r="24498" spans="8:16" x14ac:dyDescent="0.25">
      <c r="H24498" s="12"/>
      <c r="I24498" s="12"/>
      <c r="J24498" s="12"/>
      <c r="K24498" s="12"/>
      <c r="L24498" s="12"/>
      <c r="M24498" s="11"/>
      <c r="N24498" s="11"/>
      <c r="O24498" s="11"/>
      <c r="P24498" s="11"/>
    </row>
    <row r="24499" spans="8:16" x14ac:dyDescent="0.25">
      <c r="H24499" s="12"/>
      <c r="I24499" s="12"/>
      <c r="J24499" s="12"/>
      <c r="K24499" s="12"/>
      <c r="L24499" s="12"/>
      <c r="M24499" s="11"/>
      <c r="N24499" s="11"/>
      <c r="O24499" s="11"/>
      <c r="P24499" s="11"/>
    </row>
    <row r="24500" spans="8:16" x14ac:dyDescent="0.25">
      <c r="H24500" s="12"/>
      <c r="I24500" s="12"/>
      <c r="J24500" s="12"/>
      <c r="K24500" s="12"/>
      <c r="L24500" s="12"/>
      <c r="M24500" s="11"/>
      <c r="N24500" s="11"/>
      <c r="O24500" s="11"/>
      <c r="P24500" s="11"/>
    </row>
    <row r="24501" spans="8:16" x14ac:dyDescent="0.25">
      <c r="H24501" s="12"/>
      <c r="I24501" s="12"/>
      <c r="J24501" s="12"/>
      <c r="K24501" s="12"/>
      <c r="L24501" s="12"/>
      <c r="M24501" s="11"/>
      <c r="N24501" s="11"/>
      <c r="O24501" s="11"/>
      <c r="P24501" s="11"/>
    </row>
    <row r="24502" spans="8:16" x14ac:dyDescent="0.25">
      <c r="H24502" s="12"/>
      <c r="I24502" s="12"/>
      <c r="J24502" s="12"/>
      <c r="K24502" s="12"/>
      <c r="L24502" s="12"/>
      <c r="M24502" s="11"/>
      <c r="N24502" s="11"/>
      <c r="O24502" s="11"/>
      <c r="P24502" s="11"/>
    </row>
    <row r="24503" spans="8:16" x14ac:dyDescent="0.25">
      <c r="H24503" s="12"/>
      <c r="I24503" s="12"/>
      <c r="J24503" s="12"/>
      <c r="K24503" s="12"/>
      <c r="L24503" s="12"/>
      <c r="M24503" s="11"/>
      <c r="N24503" s="11"/>
      <c r="O24503" s="11"/>
      <c r="P24503" s="11"/>
    </row>
    <row r="24504" spans="8:16" x14ac:dyDescent="0.25">
      <c r="H24504" s="12"/>
      <c r="I24504" s="12"/>
      <c r="J24504" s="12"/>
      <c r="K24504" s="12"/>
      <c r="L24504" s="12"/>
      <c r="M24504" s="11"/>
      <c r="N24504" s="11"/>
      <c r="O24504" s="11"/>
      <c r="P24504" s="11"/>
    </row>
    <row r="24505" spans="8:16" x14ac:dyDescent="0.25">
      <c r="H24505" s="12"/>
      <c r="I24505" s="12"/>
      <c r="J24505" s="12"/>
      <c r="K24505" s="12"/>
      <c r="L24505" s="12"/>
      <c r="M24505" s="11"/>
      <c r="N24505" s="11"/>
      <c r="O24505" s="11"/>
      <c r="P24505" s="11"/>
    </row>
    <row r="24506" spans="8:16" x14ac:dyDescent="0.25">
      <c r="H24506" s="12"/>
      <c r="I24506" s="12"/>
      <c r="J24506" s="12"/>
      <c r="K24506" s="12"/>
      <c r="L24506" s="12"/>
      <c r="M24506" s="11"/>
      <c r="N24506" s="11"/>
      <c r="O24506" s="11"/>
      <c r="P24506" s="11"/>
    </row>
    <row r="24507" spans="8:16" x14ac:dyDescent="0.25">
      <c r="H24507" s="12"/>
      <c r="I24507" s="12"/>
      <c r="J24507" s="12"/>
      <c r="K24507" s="12"/>
      <c r="L24507" s="12"/>
      <c r="M24507" s="11"/>
      <c r="N24507" s="11"/>
      <c r="O24507" s="11"/>
      <c r="P24507" s="11"/>
    </row>
    <row r="24508" spans="8:16" x14ac:dyDescent="0.25">
      <c r="H24508" s="12"/>
      <c r="I24508" s="12"/>
      <c r="J24508" s="12"/>
      <c r="K24508" s="12"/>
      <c r="L24508" s="12"/>
      <c r="M24508" s="11"/>
      <c r="N24508" s="11"/>
      <c r="O24508" s="11"/>
      <c r="P24508" s="11"/>
    </row>
    <row r="24509" spans="8:16" x14ac:dyDescent="0.25">
      <c r="H24509" s="12"/>
      <c r="I24509" s="12"/>
      <c r="J24509" s="12"/>
      <c r="K24509" s="12"/>
      <c r="L24509" s="12"/>
      <c r="M24509" s="11"/>
      <c r="N24509" s="11"/>
      <c r="O24509" s="11"/>
      <c r="P24509" s="11"/>
    </row>
    <row r="24510" spans="8:16" x14ac:dyDescent="0.25">
      <c r="H24510" s="12"/>
      <c r="I24510" s="12"/>
      <c r="J24510" s="12"/>
      <c r="K24510" s="12"/>
      <c r="L24510" s="12"/>
      <c r="M24510" s="11"/>
      <c r="N24510" s="11"/>
      <c r="O24510" s="11"/>
      <c r="P24510" s="11"/>
    </row>
    <row r="24511" spans="8:16" x14ac:dyDescent="0.25">
      <c r="H24511" s="12"/>
      <c r="I24511" s="12"/>
      <c r="J24511" s="12"/>
      <c r="K24511" s="12"/>
      <c r="L24511" s="12"/>
      <c r="M24511" s="11"/>
      <c r="N24511" s="11"/>
      <c r="O24511" s="11"/>
      <c r="P24511" s="11"/>
    </row>
    <row r="24512" spans="8:16" x14ac:dyDescent="0.25">
      <c r="H24512" s="12"/>
      <c r="I24512" s="12"/>
      <c r="J24512" s="12"/>
      <c r="K24512" s="12"/>
      <c r="L24512" s="12"/>
      <c r="M24512" s="11"/>
      <c r="N24512" s="11"/>
      <c r="O24512" s="11"/>
      <c r="P24512" s="11"/>
    </row>
    <row r="24513" spans="8:16" x14ac:dyDescent="0.25">
      <c r="H24513" s="12"/>
      <c r="I24513" s="12"/>
      <c r="J24513" s="12"/>
      <c r="K24513" s="12"/>
      <c r="L24513" s="12"/>
      <c r="M24513" s="11"/>
      <c r="N24513" s="11"/>
      <c r="O24513" s="11"/>
      <c r="P24513" s="11"/>
    </row>
    <row r="24514" spans="8:16" x14ac:dyDescent="0.25">
      <c r="H24514" s="12"/>
      <c r="I24514" s="12"/>
      <c r="J24514" s="12"/>
      <c r="K24514" s="12"/>
      <c r="L24514" s="12"/>
      <c r="M24514" s="11"/>
      <c r="N24514" s="11"/>
      <c r="O24514" s="11"/>
      <c r="P24514" s="11"/>
    </row>
    <row r="24515" spans="8:16" x14ac:dyDescent="0.25">
      <c r="H24515" s="12"/>
      <c r="I24515" s="12"/>
      <c r="J24515" s="12"/>
      <c r="K24515" s="12"/>
      <c r="L24515" s="12"/>
      <c r="M24515" s="11"/>
      <c r="N24515" s="11"/>
      <c r="O24515" s="11"/>
      <c r="P24515" s="11"/>
    </row>
    <row r="24516" spans="8:16" x14ac:dyDescent="0.25">
      <c r="H24516" s="12"/>
      <c r="I24516" s="12"/>
      <c r="J24516" s="12"/>
      <c r="K24516" s="12"/>
      <c r="L24516" s="12"/>
      <c r="M24516" s="11"/>
      <c r="N24516" s="11"/>
      <c r="O24516" s="11"/>
      <c r="P24516" s="11"/>
    </row>
    <row r="24517" spans="8:16" x14ac:dyDescent="0.25">
      <c r="H24517" s="12"/>
      <c r="I24517" s="12"/>
      <c r="J24517" s="12"/>
      <c r="K24517" s="12"/>
      <c r="L24517" s="12"/>
      <c r="M24517" s="11"/>
      <c r="N24517" s="11"/>
      <c r="O24517" s="11"/>
      <c r="P24517" s="11"/>
    </row>
    <row r="24518" spans="8:16" x14ac:dyDescent="0.25">
      <c r="H24518" s="12"/>
      <c r="I24518" s="12"/>
      <c r="J24518" s="12"/>
      <c r="K24518" s="12"/>
      <c r="L24518" s="12"/>
      <c r="M24518" s="11"/>
      <c r="N24518" s="11"/>
      <c r="O24518" s="11"/>
      <c r="P24518" s="11"/>
    </row>
    <row r="24519" spans="8:16" x14ac:dyDescent="0.25">
      <c r="H24519" s="12"/>
      <c r="I24519" s="12"/>
      <c r="J24519" s="12"/>
      <c r="K24519" s="12"/>
      <c r="L24519" s="12"/>
      <c r="M24519" s="11"/>
      <c r="N24519" s="11"/>
      <c r="O24519" s="11"/>
      <c r="P24519" s="11"/>
    </row>
    <row r="24520" spans="8:16" x14ac:dyDescent="0.25">
      <c r="H24520" s="12"/>
      <c r="I24520" s="12"/>
      <c r="J24520" s="12"/>
      <c r="K24520" s="12"/>
      <c r="L24520" s="12"/>
      <c r="M24520" s="11"/>
      <c r="N24520" s="11"/>
      <c r="O24520" s="11"/>
      <c r="P24520" s="11"/>
    </row>
    <row r="24521" spans="8:16" x14ac:dyDescent="0.25">
      <c r="H24521" s="12"/>
      <c r="I24521" s="12"/>
      <c r="J24521" s="12"/>
      <c r="K24521" s="12"/>
      <c r="L24521" s="12"/>
      <c r="M24521" s="11"/>
      <c r="N24521" s="11"/>
      <c r="O24521" s="11"/>
      <c r="P24521" s="11"/>
    </row>
    <row r="24522" spans="8:16" x14ac:dyDescent="0.25">
      <c r="H24522" s="12"/>
      <c r="I24522" s="12"/>
      <c r="J24522" s="12"/>
      <c r="K24522" s="12"/>
      <c r="L24522" s="12"/>
      <c r="M24522" s="11"/>
      <c r="N24522" s="11"/>
      <c r="O24522" s="11"/>
      <c r="P24522" s="11"/>
    </row>
    <row r="24523" spans="8:16" x14ac:dyDescent="0.25">
      <c r="H24523" s="12"/>
      <c r="I24523" s="12"/>
      <c r="J24523" s="12"/>
      <c r="K24523" s="12"/>
      <c r="L24523" s="12"/>
      <c r="M24523" s="11"/>
      <c r="N24523" s="11"/>
      <c r="O24523" s="11"/>
      <c r="P24523" s="11"/>
    </row>
    <row r="24524" spans="8:16" x14ac:dyDescent="0.25">
      <c r="H24524" s="12"/>
      <c r="I24524" s="12"/>
      <c r="J24524" s="12"/>
      <c r="K24524" s="12"/>
      <c r="L24524" s="12"/>
      <c r="M24524" s="11"/>
      <c r="N24524" s="11"/>
      <c r="O24524" s="11"/>
      <c r="P24524" s="11"/>
    </row>
    <row r="24525" spans="8:16" x14ac:dyDescent="0.25">
      <c r="H24525" s="12"/>
      <c r="I24525" s="12"/>
      <c r="J24525" s="12"/>
      <c r="K24525" s="12"/>
      <c r="L24525" s="12"/>
      <c r="M24525" s="11"/>
      <c r="N24525" s="11"/>
      <c r="O24525" s="11"/>
      <c r="P24525" s="11"/>
    </row>
    <row r="24526" spans="8:16" x14ac:dyDescent="0.25">
      <c r="H24526" s="12"/>
      <c r="I24526" s="12"/>
      <c r="J24526" s="12"/>
      <c r="K24526" s="12"/>
      <c r="L24526" s="12"/>
      <c r="M24526" s="11"/>
      <c r="N24526" s="11"/>
      <c r="O24526" s="11"/>
      <c r="P24526" s="11"/>
    </row>
    <row r="24527" spans="8:16" x14ac:dyDescent="0.25">
      <c r="H24527" s="12"/>
      <c r="I24527" s="12"/>
      <c r="J24527" s="12"/>
      <c r="K24527" s="12"/>
      <c r="L24527" s="12"/>
      <c r="M24527" s="11"/>
      <c r="N24527" s="11"/>
      <c r="O24527" s="11"/>
      <c r="P24527" s="11"/>
    </row>
    <row r="24528" spans="8:16" x14ac:dyDescent="0.25">
      <c r="H24528" s="12"/>
      <c r="I24528" s="12"/>
      <c r="J24528" s="12"/>
      <c r="K24528" s="12"/>
      <c r="L24528" s="12"/>
      <c r="M24528" s="11"/>
      <c r="N24528" s="11"/>
      <c r="O24528" s="11"/>
      <c r="P24528" s="11"/>
    </row>
    <row r="24529" spans="8:16" x14ac:dyDescent="0.25">
      <c r="H24529" s="12"/>
      <c r="I24529" s="12"/>
      <c r="J24529" s="12"/>
      <c r="K24529" s="12"/>
      <c r="L24529" s="12"/>
      <c r="M24529" s="11"/>
      <c r="N24529" s="11"/>
      <c r="O24529" s="11"/>
      <c r="P24529" s="11"/>
    </row>
    <row r="24530" spans="8:16" x14ac:dyDescent="0.25">
      <c r="H24530" s="12"/>
      <c r="I24530" s="12"/>
      <c r="J24530" s="12"/>
      <c r="K24530" s="12"/>
      <c r="L24530" s="12"/>
      <c r="M24530" s="11"/>
      <c r="N24530" s="11"/>
      <c r="O24530" s="11"/>
      <c r="P24530" s="11"/>
    </row>
    <row r="24531" spans="8:16" x14ac:dyDescent="0.25">
      <c r="H24531" s="12"/>
      <c r="I24531" s="12"/>
      <c r="J24531" s="12"/>
      <c r="K24531" s="12"/>
      <c r="L24531" s="12"/>
      <c r="M24531" s="11"/>
      <c r="N24531" s="11"/>
      <c r="O24531" s="11"/>
      <c r="P24531" s="11"/>
    </row>
    <row r="24532" spans="8:16" x14ac:dyDescent="0.25">
      <c r="H24532" s="12"/>
      <c r="I24532" s="12"/>
      <c r="J24532" s="12"/>
      <c r="K24532" s="12"/>
      <c r="L24532" s="12"/>
      <c r="M24532" s="11"/>
      <c r="N24532" s="11"/>
      <c r="O24532" s="11"/>
      <c r="P24532" s="11"/>
    </row>
    <row r="24533" spans="8:16" x14ac:dyDescent="0.25">
      <c r="H24533" s="12"/>
      <c r="I24533" s="12"/>
      <c r="J24533" s="12"/>
      <c r="K24533" s="12"/>
      <c r="L24533" s="12"/>
      <c r="M24533" s="11"/>
      <c r="N24533" s="11"/>
      <c r="O24533" s="11"/>
      <c r="P24533" s="11"/>
    </row>
    <row r="24534" spans="8:16" x14ac:dyDescent="0.25">
      <c r="H24534" s="12"/>
      <c r="I24534" s="12"/>
      <c r="J24534" s="12"/>
      <c r="K24534" s="12"/>
      <c r="L24534" s="12"/>
      <c r="M24534" s="11"/>
      <c r="N24534" s="11"/>
      <c r="O24534" s="11"/>
      <c r="P24534" s="11"/>
    </row>
    <row r="24535" spans="8:16" x14ac:dyDescent="0.25">
      <c r="H24535" s="12"/>
      <c r="I24535" s="12"/>
      <c r="J24535" s="12"/>
      <c r="K24535" s="12"/>
      <c r="L24535" s="12"/>
      <c r="M24535" s="11"/>
      <c r="N24535" s="11"/>
      <c r="O24535" s="11"/>
      <c r="P24535" s="11"/>
    </row>
    <row r="24536" spans="8:16" x14ac:dyDescent="0.25">
      <c r="H24536" s="12"/>
      <c r="I24536" s="12"/>
      <c r="J24536" s="12"/>
      <c r="K24536" s="12"/>
      <c r="L24536" s="12"/>
      <c r="M24536" s="11"/>
      <c r="N24536" s="11"/>
      <c r="O24536" s="11"/>
      <c r="P24536" s="11"/>
    </row>
    <row r="24537" spans="8:16" x14ac:dyDescent="0.25">
      <c r="H24537" s="12"/>
      <c r="I24537" s="12"/>
      <c r="J24537" s="12"/>
      <c r="K24537" s="12"/>
      <c r="L24537" s="12"/>
      <c r="M24537" s="11"/>
      <c r="N24537" s="11"/>
      <c r="O24537" s="11"/>
      <c r="P24537" s="11"/>
    </row>
    <row r="24538" spans="8:16" x14ac:dyDescent="0.25">
      <c r="H24538" s="12"/>
      <c r="I24538" s="12"/>
      <c r="J24538" s="12"/>
      <c r="K24538" s="12"/>
      <c r="L24538" s="12"/>
      <c r="M24538" s="11"/>
      <c r="N24538" s="11"/>
      <c r="O24538" s="11"/>
      <c r="P24538" s="11"/>
    </row>
    <row r="24539" spans="8:16" x14ac:dyDescent="0.25">
      <c r="H24539" s="12"/>
      <c r="I24539" s="12"/>
      <c r="J24539" s="12"/>
      <c r="K24539" s="12"/>
      <c r="L24539" s="12"/>
      <c r="M24539" s="11"/>
      <c r="N24539" s="11"/>
      <c r="O24539" s="11"/>
      <c r="P24539" s="11"/>
    </row>
    <row r="24540" spans="8:16" x14ac:dyDescent="0.25">
      <c r="H24540" s="12"/>
      <c r="I24540" s="12"/>
      <c r="J24540" s="12"/>
      <c r="K24540" s="12"/>
      <c r="L24540" s="12"/>
      <c r="M24540" s="11"/>
      <c r="N24540" s="11"/>
      <c r="O24540" s="11"/>
      <c r="P24540" s="11"/>
    </row>
    <row r="24541" spans="8:16" x14ac:dyDescent="0.25">
      <c r="H24541" s="12"/>
      <c r="I24541" s="12"/>
      <c r="J24541" s="12"/>
      <c r="K24541" s="12"/>
      <c r="L24541" s="12"/>
      <c r="M24541" s="11"/>
      <c r="N24541" s="11"/>
      <c r="O24541" s="11"/>
      <c r="P24541" s="11"/>
    </row>
    <row r="24542" spans="8:16" x14ac:dyDescent="0.25">
      <c r="H24542" s="12"/>
      <c r="I24542" s="12"/>
      <c r="J24542" s="12"/>
      <c r="K24542" s="12"/>
      <c r="L24542" s="12"/>
      <c r="M24542" s="11"/>
      <c r="N24542" s="11"/>
      <c r="O24542" s="11"/>
      <c r="P24542" s="11"/>
    </row>
    <row r="24543" spans="8:16" x14ac:dyDescent="0.25">
      <c r="H24543" s="12"/>
      <c r="I24543" s="12"/>
      <c r="J24543" s="12"/>
      <c r="K24543" s="12"/>
      <c r="L24543" s="12"/>
      <c r="M24543" s="11"/>
      <c r="N24543" s="11"/>
      <c r="O24543" s="11"/>
      <c r="P24543" s="11"/>
    </row>
    <row r="24544" spans="8:16" x14ac:dyDescent="0.25">
      <c r="H24544" s="12"/>
      <c r="I24544" s="12"/>
      <c r="J24544" s="12"/>
      <c r="K24544" s="12"/>
      <c r="L24544" s="12"/>
      <c r="M24544" s="11"/>
      <c r="N24544" s="11"/>
      <c r="O24544" s="11"/>
      <c r="P24544" s="11"/>
    </row>
    <row r="24545" spans="8:16" x14ac:dyDescent="0.25">
      <c r="H24545" s="12"/>
      <c r="I24545" s="12"/>
      <c r="J24545" s="12"/>
      <c r="K24545" s="12"/>
      <c r="L24545" s="12"/>
      <c r="M24545" s="11"/>
      <c r="N24545" s="11"/>
      <c r="O24545" s="11"/>
      <c r="P24545" s="11"/>
    </row>
    <row r="24546" spans="8:16" x14ac:dyDescent="0.25">
      <c r="H24546" s="12"/>
      <c r="I24546" s="12"/>
      <c r="J24546" s="12"/>
      <c r="K24546" s="12"/>
      <c r="L24546" s="12"/>
      <c r="M24546" s="11"/>
      <c r="N24546" s="11"/>
      <c r="O24546" s="11"/>
      <c r="P24546" s="11"/>
    </row>
    <row r="24547" spans="8:16" x14ac:dyDescent="0.25">
      <c r="H24547" s="12"/>
      <c r="I24547" s="12"/>
      <c r="J24547" s="12"/>
      <c r="K24547" s="12"/>
      <c r="L24547" s="12"/>
      <c r="M24547" s="11"/>
      <c r="N24547" s="11"/>
      <c r="O24547" s="11"/>
      <c r="P24547" s="11"/>
    </row>
    <row r="24548" spans="8:16" x14ac:dyDescent="0.25">
      <c r="H24548" s="12"/>
      <c r="I24548" s="12"/>
      <c r="J24548" s="12"/>
      <c r="K24548" s="12"/>
      <c r="L24548" s="12"/>
      <c r="M24548" s="11"/>
      <c r="N24548" s="11"/>
      <c r="O24548" s="11"/>
      <c r="P24548" s="11"/>
    </row>
    <row r="24549" spans="8:16" x14ac:dyDescent="0.25">
      <c r="H24549" s="12"/>
      <c r="I24549" s="12"/>
      <c r="J24549" s="12"/>
      <c r="K24549" s="12"/>
      <c r="L24549" s="12"/>
      <c r="M24549" s="11"/>
      <c r="N24549" s="11"/>
      <c r="O24549" s="11"/>
      <c r="P24549" s="11"/>
    </row>
    <row r="24550" spans="8:16" x14ac:dyDescent="0.25">
      <c r="H24550" s="12"/>
      <c r="I24550" s="12"/>
      <c r="J24550" s="12"/>
      <c r="K24550" s="12"/>
      <c r="L24550" s="12"/>
      <c r="M24550" s="11"/>
      <c r="N24550" s="11"/>
      <c r="O24550" s="11"/>
      <c r="P24550" s="11"/>
    </row>
    <row r="24551" spans="8:16" x14ac:dyDescent="0.25">
      <c r="H24551" s="12"/>
      <c r="I24551" s="12"/>
      <c r="J24551" s="12"/>
      <c r="K24551" s="12"/>
      <c r="L24551" s="12"/>
      <c r="M24551" s="11"/>
      <c r="N24551" s="11"/>
      <c r="O24551" s="11"/>
      <c r="P24551" s="11"/>
    </row>
    <row r="24552" spans="8:16" x14ac:dyDescent="0.25">
      <c r="H24552" s="12"/>
      <c r="I24552" s="12"/>
      <c r="J24552" s="12"/>
      <c r="K24552" s="12"/>
      <c r="L24552" s="12"/>
      <c r="M24552" s="11"/>
      <c r="N24552" s="11"/>
      <c r="O24552" s="11"/>
      <c r="P24552" s="11"/>
    </row>
    <row r="24553" spans="8:16" x14ac:dyDescent="0.25">
      <c r="H24553" s="12"/>
      <c r="I24553" s="12"/>
      <c r="J24553" s="12"/>
      <c r="K24553" s="12"/>
      <c r="L24553" s="12"/>
      <c r="M24553" s="11"/>
      <c r="N24553" s="11"/>
      <c r="O24553" s="11"/>
      <c r="P24553" s="11"/>
    </row>
    <row r="24554" spans="8:16" x14ac:dyDescent="0.25">
      <c r="H24554" s="12"/>
      <c r="I24554" s="12"/>
      <c r="J24554" s="12"/>
      <c r="K24554" s="12"/>
      <c r="L24554" s="12"/>
      <c r="M24554" s="11"/>
      <c r="N24554" s="11"/>
      <c r="O24554" s="11"/>
      <c r="P24554" s="11"/>
    </row>
    <row r="24555" spans="8:16" x14ac:dyDescent="0.25">
      <c r="H24555" s="12"/>
      <c r="I24555" s="12"/>
      <c r="J24555" s="12"/>
      <c r="K24555" s="12"/>
      <c r="L24555" s="12"/>
      <c r="M24555" s="11"/>
      <c r="N24555" s="11"/>
      <c r="O24555" s="11"/>
      <c r="P24555" s="11"/>
    </row>
    <row r="24556" spans="8:16" x14ac:dyDescent="0.25">
      <c r="H24556" s="12"/>
      <c r="I24556" s="12"/>
      <c r="J24556" s="12"/>
      <c r="K24556" s="12"/>
      <c r="L24556" s="12"/>
      <c r="M24556" s="11"/>
      <c r="N24556" s="11"/>
      <c r="O24556" s="11"/>
      <c r="P24556" s="11"/>
    </row>
    <row r="24557" spans="8:16" x14ac:dyDescent="0.25">
      <c r="H24557" s="12"/>
      <c r="I24557" s="12"/>
      <c r="J24557" s="12"/>
      <c r="K24557" s="12"/>
      <c r="L24557" s="12"/>
      <c r="M24557" s="11"/>
      <c r="N24557" s="11"/>
      <c r="O24557" s="11"/>
      <c r="P24557" s="11"/>
    </row>
    <row r="24558" spans="8:16" x14ac:dyDescent="0.25">
      <c r="H24558" s="12"/>
      <c r="I24558" s="12"/>
      <c r="J24558" s="12"/>
      <c r="K24558" s="12"/>
      <c r="L24558" s="12"/>
      <c r="M24558" s="11"/>
      <c r="N24558" s="11"/>
      <c r="O24558" s="11"/>
      <c r="P24558" s="11"/>
    </row>
    <row r="24559" spans="8:16" x14ac:dyDescent="0.25">
      <c r="H24559" s="12"/>
      <c r="I24559" s="12"/>
      <c r="J24559" s="12"/>
      <c r="K24559" s="12"/>
      <c r="L24559" s="12"/>
      <c r="M24559" s="11"/>
      <c r="N24559" s="11"/>
      <c r="O24559" s="11"/>
      <c r="P24559" s="11"/>
    </row>
    <row r="24560" spans="8:16" x14ac:dyDescent="0.25">
      <c r="H24560" s="12"/>
      <c r="I24560" s="12"/>
      <c r="J24560" s="12"/>
      <c r="K24560" s="12"/>
      <c r="L24560" s="12"/>
      <c r="M24560" s="11"/>
      <c r="N24560" s="11"/>
      <c r="O24560" s="11"/>
      <c r="P24560" s="11"/>
    </row>
    <row r="24561" spans="8:16" x14ac:dyDescent="0.25">
      <c r="H24561" s="12"/>
      <c r="I24561" s="12"/>
      <c r="J24561" s="12"/>
      <c r="K24561" s="12"/>
      <c r="L24561" s="12"/>
      <c r="M24561" s="11"/>
      <c r="N24561" s="11"/>
      <c r="O24561" s="11"/>
      <c r="P24561" s="11"/>
    </row>
    <row r="24562" spans="8:16" x14ac:dyDescent="0.25">
      <c r="H24562" s="12"/>
      <c r="I24562" s="12"/>
      <c r="J24562" s="12"/>
      <c r="K24562" s="12"/>
      <c r="L24562" s="12"/>
      <c r="M24562" s="11"/>
      <c r="N24562" s="11"/>
      <c r="O24562" s="11"/>
      <c r="P24562" s="11"/>
    </row>
    <row r="24563" spans="8:16" x14ac:dyDescent="0.25">
      <c r="H24563" s="12"/>
      <c r="I24563" s="12"/>
      <c r="J24563" s="12"/>
      <c r="K24563" s="12"/>
      <c r="L24563" s="12"/>
      <c r="M24563" s="11"/>
      <c r="N24563" s="11"/>
      <c r="O24563" s="11"/>
      <c r="P24563" s="11"/>
    </row>
    <row r="24564" spans="8:16" x14ac:dyDescent="0.25">
      <c r="H24564" s="12"/>
      <c r="I24564" s="12"/>
      <c r="J24564" s="12"/>
      <c r="K24564" s="12"/>
      <c r="L24564" s="12"/>
      <c r="M24564" s="11"/>
      <c r="N24564" s="11"/>
      <c r="O24564" s="11"/>
      <c r="P24564" s="11"/>
    </row>
    <row r="24565" spans="8:16" x14ac:dyDescent="0.25">
      <c r="H24565" s="12"/>
      <c r="I24565" s="12"/>
      <c r="J24565" s="12"/>
      <c r="K24565" s="12"/>
      <c r="L24565" s="12"/>
      <c r="M24565" s="11"/>
      <c r="N24565" s="11"/>
      <c r="O24565" s="11"/>
      <c r="P24565" s="11"/>
    </row>
    <row r="24566" spans="8:16" x14ac:dyDescent="0.25">
      <c r="H24566" s="12"/>
      <c r="I24566" s="12"/>
      <c r="J24566" s="12"/>
      <c r="K24566" s="12"/>
      <c r="L24566" s="12"/>
      <c r="M24566" s="11"/>
      <c r="N24566" s="11"/>
      <c r="O24566" s="11"/>
      <c r="P24566" s="11"/>
    </row>
    <row r="24567" spans="8:16" x14ac:dyDescent="0.25">
      <c r="H24567" s="12"/>
      <c r="I24567" s="12"/>
      <c r="J24567" s="12"/>
      <c r="K24567" s="12"/>
      <c r="L24567" s="12"/>
      <c r="M24567" s="11"/>
      <c r="N24567" s="11"/>
      <c r="O24567" s="11"/>
      <c r="P24567" s="11"/>
    </row>
    <row r="24568" spans="8:16" x14ac:dyDescent="0.25">
      <c r="H24568" s="12"/>
      <c r="I24568" s="12"/>
      <c r="J24568" s="12"/>
      <c r="K24568" s="12"/>
      <c r="L24568" s="12"/>
      <c r="M24568" s="11"/>
      <c r="N24568" s="11"/>
      <c r="O24568" s="11"/>
      <c r="P24568" s="11"/>
    </row>
    <row r="24569" spans="8:16" x14ac:dyDescent="0.25">
      <c r="H24569" s="12"/>
      <c r="I24569" s="12"/>
      <c r="J24569" s="12"/>
      <c r="K24569" s="12"/>
      <c r="L24569" s="12"/>
      <c r="M24569" s="11"/>
      <c r="N24569" s="11"/>
      <c r="O24569" s="11"/>
      <c r="P24569" s="11"/>
    </row>
    <row r="24570" spans="8:16" x14ac:dyDescent="0.25">
      <c r="H24570" s="12"/>
      <c r="I24570" s="12"/>
      <c r="J24570" s="12"/>
      <c r="K24570" s="12"/>
      <c r="L24570" s="12"/>
      <c r="M24570" s="11"/>
      <c r="N24570" s="11"/>
      <c r="O24570" s="11"/>
      <c r="P24570" s="11"/>
    </row>
    <row r="24571" spans="8:16" x14ac:dyDescent="0.25">
      <c r="H24571" s="12"/>
      <c r="I24571" s="12"/>
      <c r="J24571" s="12"/>
      <c r="K24571" s="12"/>
      <c r="L24571" s="12"/>
      <c r="M24571" s="11"/>
      <c r="N24571" s="11"/>
      <c r="O24571" s="11"/>
      <c r="P24571" s="11"/>
    </row>
    <row r="24572" spans="8:16" x14ac:dyDescent="0.25">
      <c r="H24572" s="12"/>
      <c r="I24572" s="12"/>
      <c r="J24572" s="12"/>
      <c r="K24572" s="12"/>
      <c r="L24572" s="12"/>
      <c r="M24572" s="11"/>
      <c r="N24572" s="11"/>
      <c r="O24572" s="11"/>
      <c r="P24572" s="11"/>
    </row>
    <row r="24573" spans="8:16" x14ac:dyDescent="0.25">
      <c r="H24573" s="12"/>
      <c r="I24573" s="12"/>
      <c r="J24573" s="12"/>
      <c r="K24573" s="12"/>
      <c r="L24573" s="12"/>
      <c r="M24573" s="11"/>
      <c r="N24573" s="11"/>
      <c r="O24573" s="11"/>
      <c r="P24573" s="11"/>
    </row>
    <row r="24574" spans="8:16" x14ac:dyDescent="0.25">
      <c r="H24574" s="12"/>
      <c r="I24574" s="12"/>
      <c r="J24574" s="12"/>
      <c r="K24574" s="12"/>
      <c r="L24574" s="12"/>
      <c r="M24574" s="11"/>
      <c r="N24574" s="11"/>
      <c r="O24574" s="11"/>
      <c r="P24574" s="11"/>
    </row>
    <row r="24575" spans="8:16" x14ac:dyDescent="0.25">
      <c r="H24575" s="12"/>
      <c r="I24575" s="12"/>
      <c r="J24575" s="12"/>
      <c r="K24575" s="12"/>
      <c r="L24575" s="12"/>
      <c r="M24575" s="11"/>
      <c r="N24575" s="11"/>
      <c r="O24575" s="11"/>
      <c r="P24575" s="11"/>
    </row>
    <row r="24576" spans="8:16" x14ac:dyDescent="0.25">
      <c r="H24576" s="12"/>
      <c r="I24576" s="12"/>
      <c r="J24576" s="12"/>
      <c r="K24576" s="12"/>
      <c r="L24576" s="12"/>
      <c r="M24576" s="11"/>
      <c r="N24576" s="11"/>
      <c r="O24576" s="11"/>
      <c r="P24576" s="11"/>
    </row>
    <row r="24577" spans="8:16" x14ac:dyDescent="0.25">
      <c r="H24577" s="12"/>
      <c r="I24577" s="12"/>
      <c r="J24577" s="12"/>
      <c r="K24577" s="12"/>
      <c r="L24577" s="12"/>
      <c r="M24577" s="11"/>
      <c r="N24577" s="11"/>
      <c r="O24577" s="11"/>
      <c r="P24577" s="11"/>
    </row>
    <row r="24578" spans="8:16" x14ac:dyDescent="0.25">
      <c r="H24578" s="12"/>
      <c r="I24578" s="12"/>
      <c r="J24578" s="12"/>
      <c r="K24578" s="12"/>
      <c r="L24578" s="12"/>
      <c r="M24578" s="11"/>
      <c r="N24578" s="11"/>
      <c r="O24578" s="11"/>
      <c r="P24578" s="11"/>
    </row>
    <row r="24579" spans="8:16" x14ac:dyDescent="0.25">
      <c r="H24579" s="12"/>
      <c r="I24579" s="12"/>
      <c r="J24579" s="12"/>
      <c r="K24579" s="12"/>
      <c r="L24579" s="12"/>
      <c r="M24579" s="11"/>
      <c r="N24579" s="11"/>
      <c r="O24579" s="11"/>
      <c r="P24579" s="11"/>
    </row>
    <row r="24580" spans="8:16" x14ac:dyDescent="0.25">
      <c r="H24580" s="12"/>
      <c r="I24580" s="12"/>
      <c r="J24580" s="12"/>
      <c r="K24580" s="12"/>
      <c r="L24580" s="12"/>
      <c r="M24580" s="11"/>
      <c r="N24580" s="11"/>
      <c r="O24580" s="11"/>
      <c r="P24580" s="11"/>
    </row>
    <row r="24581" spans="8:16" x14ac:dyDescent="0.25">
      <c r="H24581" s="12"/>
      <c r="I24581" s="12"/>
      <c r="J24581" s="12"/>
      <c r="K24581" s="12"/>
      <c r="L24581" s="12"/>
      <c r="M24581" s="11"/>
      <c r="N24581" s="11"/>
      <c r="O24581" s="11"/>
      <c r="P24581" s="11"/>
    </row>
    <row r="24582" spans="8:16" x14ac:dyDescent="0.25">
      <c r="H24582" s="12"/>
      <c r="I24582" s="12"/>
      <c r="J24582" s="12"/>
      <c r="K24582" s="12"/>
      <c r="L24582" s="12"/>
      <c r="M24582" s="11"/>
      <c r="N24582" s="11"/>
      <c r="O24582" s="11"/>
      <c r="P24582" s="11"/>
    </row>
    <row r="24583" spans="8:16" x14ac:dyDescent="0.25">
      <c r="H24583" s="12"/>
      <c r="I24583" s="12"/>
      <c r="J24583" s="12"/>
      <c r="K24583" s="12"/>
      <c r="L24583" s="12"/>
      <c r="M24583" s="11"/>
      <c r="N24583" s="11"/>
      <c r="O24583" s="11"/>
      <c r="P24583" s="11"/>
    </row>
    <row r="24584" spans="8:16" x14ac:dyDescent="0.25">
      <c r="H24584" s="12"/>
      <c r="I24584" s="12"/>
      <c r="J24584" s="12"/>
      <c r="K24584" s="12"/>
      <c r="L24584" s="12"/>
      <c r="M24584" s="11"/>
      <c r="N24584" s="11"/>
      <c r="O24584" s="11"/>
      <c r="P24584" s="11"/>
    </row>
    <row r="24585" spans="8:16" x14ac:dyDescent="0.25">
      <c r="H24585" s="12"/>
      <c r="I24585" s="12"/>
      <c r="J24585" s="12"/>
      <c r="K24585" s="12"/>
      <c r="L24585" s="12"/>
      <c r="M24585" s="11"/>
      <c r="N24585" s="11"/>
      <c r="O24585" s="11"/>
      <c r="P24585" s="11"/>
    </row>
    <row r="24586" spans="8:16" x14ac:dyDescent="0.25">
      <c r="H24586" s="12"/>
      <c r="I24586" s="12"/>
      <c r="J24586" s="12"/>
      <c r="K24586" s="12"/>
      <c r="L24586" s="12"/>
      <c r="M24586" s="11"/>
      <c r="N24586" s="11"/>
      <c r="O24586" s="11"/>
      <c r="P24586" s="11"/>
    </row>
    <row r="24587" spans="8:16" x14ac:dyDescent="0.25">
      <c r="H24587" s="12"/>
      <c r="I24587" s="12"/>
      <c r="J24587" s="12"/>
      <c r="K24587" s="12"/>
      <c r="L24587" s="12"/>
      <c r="M24587" s="11"/>
      <c r="N24587" s="11"/>
      <c r="O24587" s="11"/>
      <c r="P24587" s="11"/>
    </row>
    <row r="24588" spans="8:16" x14ac:dyDescent="0.25">
      <c r="H24588" s="12"/>
      <c r="I24588" s="12"/>
      <c r="J24588" s="12"/>
      <c r="K24588" s="12"/>
      <c r="L24588" s="12"/>
      <c r="M24588" s="11"/>
      <c r="N24588" s="11"/>
      <c r="O24588" s="11"/>
      <c r="P24588" s="11"/>
    </row>
    <row r="24589" spans="8:16" x14ac:dyDescent="0.25">
      <c r="H24589" s="12"/>
      <c r="I24589" s="12"/>
      <c r="J24589" s="12"/>
      <c r="K24589" s="12"/>
      <c r="L24589" s="12"/>
      <c r="M24589" s="11"/>
      <c r="N24589" s="11"/>
      <c r="O24589" s="11"/>
      <c r="P24589" s="11"/>
    </row>
    <row r="24590" spans="8:16" x14ac:dyDescent="0.25">
      <c r="H24590" s="12"/>
      <c r="I24590" s="12"/>
      <c r="J24590" s="12"/>
      <c r="K24590" s="12"/>
      <c r="L24590" s="12"/>
      <c r="M24590" s="11"/>
      <c r="N24590" s="11"/>
      <c r="O24590" s="11"/>
      <c r="P24590" s="11"/>
    </row>
    <row r="24591" spans="8:16" x14ac:dyDescent="0.25">
      <c r="H24591" s="12"/>
      <c r="I24591" s="12"/>
      <c r="J24591" s="12"/>
      <c r="K24591" s="12"/>
      <c r="L24591" s="12"/>
      <c r="M24591" s="11"/>
      <c r="N24591" s="11"/>
      <c r="O24591" s="11"/>
      <c r="P24591" s="11"/>
    </row>
    <row r="24592" spans="8:16" x14ac:dyDescent="0.25">
      <c r="H24592" s="12"/>
      <c r="I24592" s="12"/>
      <c r="J24592" s="12"/>
      <c r="K24592" s="12"/>
      <c r="L24592" s="12"/>
      <c r="M24592" s="11"/>
      <c r="N24592" s="11"/>
      <c r="O24592" s="11"/>
      <c r="P24592" s="11"/>
    </row>
    <row r="24593" spans="8:16" x14ac:dyDescent="0.25">
      <c r="H24593" s="12"/>
      <c r="I24593" s="12"/>
      <c r="J24593" s="12"/>
      <c r="K24593" s="12"/>
      <c r="L24593" s="12"/>
      <c r="M24593" s="11"/>
      <c r="N24593" s="11"/>
      <c r="O24593" s="11"/>
      <c r="P24593" s="11"/>
    </row>
    <row r="24594" spans="8:16" x14ac:dyDescent="0.25">
      <c r="H24594" s="12"/>
      <c r="I24594" s="12"/>
      <c r="J24594" s="12"/>
      <c r="K24594" s="12"/>
      <c r="L24594" s="12"/>
      <c r="M24594" s="11"/>
      <c r="N24594" s="11"/>
      <c r="O24594" s="11"/>
      <c r="P24594" s="11"/>
    </row>
    <row r="24595" spans="8:16" x14ac:dyDescent="0.25">
      <c r="H24595" s="12"/>
      <c r="I24595" s="12"/>
      <c r="J24595" s="12"/>
      <c r="K24595" s="12"/>
      <c r="L24595" s="12"/>
      <c r="M24595" s="11"/>
      <c r="N24595" s="11"/>
      <c r="O24595" s="11"/>
      <c r="P24595" s="11"/>
    </row>
    <row r="24596" spans="8:16" x14ac:dyDescent="0.25">
      <c r="H24596" s="12"/>
      <c r="I24596" s="12"/>
      <c r="J24596" s="12"/>
      <c r="K24596" s="12"/>
      <c r="L24596" s="12"/>
      <c r="M24596" s="11"/>
      <c r="N24596" s="11"/>
      <c r="O24596" s="11"/>
      <c r="P24596" s="11"/>
    </row>
    <row r="24597" spans="8:16" x14ac:dyDescent="0.25">
      <c r="H24597" s="12"/>
      <c r="I24597" s="12"/>
      <c r="J24597" s="12"/>
      <c r="K24597" s="12"/>
      <c r="L24597" s="12"/>
      <c r="M24597" s="11"/>
      <c r="N24597" s="11"/>
      <c r="O24597" s="11"/>
      <c r="P24597" s="11"/>
    </row>
    <row r="24598" spans="8:16" x14ac:dyDescent="0.25">
      <c r="H24598" s="12"/>
      <c r="I24598" s="12"/>
      <c r="J24598" s="12"/>
      <c r="K24598" s="12"/>
      <c r="L24598" s="12"/>
      <c r="M24598" s="11"/>
      <c r="N24598" s="11"/>
      <c r="O24598" s="11"/>
      <c r="P24598" s="11"/>
    </row>
    <row r="24599" spans="8:16" x14ac:dyDescent="0.25">
      <c r="H24599" s="12"/>
      <c r="I24599" s="12"/>
      <c r="J24599" s="12"/>
      <c r="K24599" s="12"/>
      <c r="L24599" s="12"/>
      <c r="M24599" s="11"/>
      <c r="N24599" s="11"/>
      <c r="O24599" s="11"/>
      <c r="P24599" s="11"/>
    </row>
    <row r="24600" spans="8:16" x14ac:dyDescent="0.25">
      <c r="H24600" s="12"/>
      <c r="I24600" s="12"/>
      <c r="J24600" s="12"/>
      <c r="K24600" s="12"/>
      <c r="L24600" s="12"/>
      <c r="M24600" s="11"/>
      <c r="N24600" s="11"/>
      <c r="O24600" s="11"/>
      <c r="P24600" s="11"/>
    </row>
    <row r="24601" spans="8:16" x14ac:dyDescent="0.25">
      <c r="H24601" s="12"/>
      <c r="I24601" s="12"/>
      <c r="J24601" s="12"/>
      <c r="K24601" s="12"/>
      <c r="L24601" s="12"/>
      <c r="M24601" s="11"/>
      <c r="N24601" s="11"/>
      <c r="O24601" s="11"/>
      <c r="P24601" s="11"/>
    </row>
    <row r="24602" spans="8:16" x14ac:dyDescent="0.25">
      <c r="H24602" s="12"/>
      <c r="I24602" s="12"/>
      <c r="J24602" s="12"/>
      <c r="K24602" s="12"/>
      <c r="L24602" s="12"/>
      <c r="M24602" s="11"/>
      <c r="N24602" s="11"/>
      <c r="O24602" s="11"/>
      <c r="P24602" s="11"/>
    </row>
    <row r="24603" spans="8:16" x14ac:dyDescent="0.25">
      <c r="H24603" s="12"/>
      <c r="I24603" s="12"/>
      <c r="J24603" s="12"/>
      <c r="K24603" s="12"/>
      <c r="L24603" s="12"/>
      <c r="M24603" s="11"/>
      <c r="N24603" s="11"/>
      <c r="O24603" s="11"/>
      <c r="P24603" s="11"/>
    </row>
    <row r="24604" spans="8:16" x14ac:dyDescent="0.25">
      <c r="H24604" s="12"/>
      <c r="I24604" s="12"/>
      <c r="J24604" s="12"/>
      <c r="K24604" s="12"/>
      <c r="L24604" s="12"/>
      <c r="M24604" s="11"/>
      <c r="N24604" s="11"/>
      <c r="O24604" s="11"/>
      <c r="P24604" s="11"/>
    </row>
    <row r="24605" spans="8:16" x14ac:dyDescent="0.25">
      <c r="H24605" s="12"/>
      <c r="I24605" s="12"/>
      <c r="J24605" s="12"/>
      <c r="K24605" s="12"/>
      <c r="L24605" s="12"/>
      <c r="M24605" s="11"/>
      <c r="N24605" s="11"/>
      <c r="O24605" s="11"/>
      <c r="P24605" s="11"/>
    </row>
    <row r="24606" spans="8:16" x14ac:dyDescent="0.25">
      <c r="H24606" s="12"/>
      <c r="I24606" s="12"/>
      <c r="J24606" s="12"/>
      <c r="K24606" s="12"/>
      <c r="L24606" s="12"/>
      <c r="M24606" s="11"/>
      <c r="N24606" s="11"/>
      <c r="O24606" s="11"/>
      <c r="P24606" s="11"/>
    </row>
    <row r="24607" spans="8:16" x14ac:dyDescent="0.25">
      <c r="H24607" s="12"/>
      <c r="I24607" s="12"/>
      <c r="J24607" s="12"/>
      <c r="K24607" s="12"/>
      <c r="L24607" s="12"/>
      <c r="M24607" s="11"/>
      <c r="N24607" s="11"/>
      <c r="O24607" s="11"/>
      <c r="P24607" s="11"/>
    </row>
    <row r="24608" spans="8:16" x14ac:dyDescent="0.25">
      <c r="H24608" s="12"/>
      <c r="I24608" s="12"/>
      <c r="J24608" s="12"/>
      <c r="K24608" s="12"/>
      <c r="L24608" s="12"/>
      <c r="M24608" s="11"/>
      <c r="N24608" s="11"/>
      <c r="O24608" s="11"/>
      <c r="P24608" s="11"/>
    </row>
    <row r="24609" spans="8:16" x14ac:dyDescent="0.25">
      <c r="H24609" s="12"/>
      <c r="I24609" s="12"/>
      <c r="J24609" s="12"/>
      <c r="K24609" s="12"/>
      <c r="L24609" s="12"/>
      <c r="M24609" s="11"/>
      <c r="N24609" s="11"/>
      <c r="O24609" s="11"/>
      <c r="P24609" s="11"/>
    </row>
    <row r="24610" spans="8:16" x14ac:dyDescent="0.25">
      <c r="H24610" s="12"/>
      <c r="I24610" s="12"/>
      <c r="J24610" s="12"/>
      <c r="K24610" s="12"/>
      <c r="L24610" s="12"/>
      <c r="M24610" s="11"/>
      <c r="N24610" s="11"/>
      <c r="O24610" s="11"/>
      <c r="P24610" s="11"/>
    </row>
    <row r="24611" spans="8:16" x14ac:dyDescent="0.25">
      <c r="H24611" s="12"/>
      <c r="I24611" s="12"/>
      <c r="J24611" s="12"/>
      <c r="K24611" s="12"/>
      <c r="L24611" s="12"/>
      <c r="M24611" s="11"/>
      <c r="N24611" s="11"/>
      <c r="O24611" s="11"/>
      <c r="P24611" s="11"/>
    </row>
    <row r="24612" spans="8:16" x14ac:dyDescent="0.25">
      <c r="H24612" s="12"/>
      <c r="I24612" s="12"/>
      <c r="J24612" s="12"/>
      <c r="K24612" s="12"/>
      <c r="L24612" s="12"/>
      <c r="M24612" s="11"/>
      <c r="N24612" s="11"/>
      <c r="O24612" s="11"/>
      <c r="P24612" s="11"/>
    </row>
    <row r="24613" spans="8:16" x14ac:dyDescent="0.25">
      <c r="H24613" s="12"/>
      <c r="I24613" s="12"/>
      <c r="J24613" s="12"/>
      <c r="K24613" s="12"/>
      <c r="L24613" s="12"/>
      <c r="M24613" s="11"/>
      <c r="N24613" s="11"/>
      <c r="O24613" s="11"/>
      <c r="P24613" s="11"/>
    </row>
    <row r="24614" spans="8:16" x14ac:dyDescent="0.25">
      <c r="H24614" s="12"/>
      <c r="I24614" s="12"/>
      <c r="J24614" s="12"/>
      <c r="K24614" s="12"/>
      <c r="L24614" s="12"/>
      <c r="M24614" s="11"/>
      <c r="N24614" s="11"/>
      <c r="O24614" s="11"/>
      <c r="P24614" s="11"/>
    </row>
    <row r="24615" spans="8:16" x14ac:dyDescent="0.25">
      <c r="H24615" s="12"/>
      <c r="I24615" s="12"/>
      <c r="J24615" s="12"/>
      <c r="K24615" s="12"/>
      <c r="L24615" s="12"/>
      <c r="M24615" s="11"/>
      <c r="N24615" s="11"/>
      <c r="O24615" s="11"/>
      <c r="P24615" s="11"/>
    </row>
    <row r="24616" spans="8:16" x14ac:dyDescent="0.25">
      <c r="H24616" s="12"/>
      <c r="I24616" s="12"/>
      <c r="J24616" s="12"/>
      <c r="K24616" s="12"/>
      <c r="L24616" s="12"/>
      <c r="M24616" s="11"/>
      <c r="N24616" s="11"/>
      <c r="O24616" s="11"/>
      <c r="P24616" s="11"/>
    </row>
    <row r="24617" spans="8:16" x14ac:dyDescent="0.25">
      <c r="H24617" s="12"/>
      <c r="I24617" s="12"/>
      <c r="J24617" s="12"/>
      <c r="K24617" s="12"/>
      <c r="L24617" s="12"/>
      <c r="M24617" s="11"/>
      <c r="N24617" s="11"/>
      <c r="O24617" s="11"/>
      <c r="P24617" s="11"/>
    </row>
    <row r="24618" spans="8:16" x14ac:dyDescent="0.25">
      <c r="H24618" s="12"/>
      <c r="I24618" s="12"/>
      <c r="J24618" s="12"/>
      <c r="K24618" s="12"/>
      <c r="L24618" s="12"/>
      <c r="M24618" s="11"/>
      <c r="N24618" s="11"/>
      <c r="O24618" s="11"/>
      <c r="P24618" s="11"/>
    </row>
    <row r="24619" spans="8:16" x14ac:dyDescent="0.25">
      <c r="H24619" s="12"/>
      <c r="I24619" s="12"/>
      <c r="J24619" s="12"/>
      <c r="K24619" s="12"/>
      <c r="L24619" s="12"/>
      <c r="M24619" s="11"/>
      <c r="N24619" s="11"/>
      <c r="O24619" s="11"/>
      <c r="P24619" s="11"/>
    </row>
    <row r="24620" spans="8:16" x14ac:dyDescent="0.25">
      <c r="H24620" s="12"/>
      <c r="I24620" s="12"/>
      <c r="J24620" s="12"/>
      <c r="K24620" s="12"/>
      <c r="L24620" s="12"/>
      <c r="M24620" s="11"/>
      <c r="N24620" s="11"/>
      <c r="O24620" s="11"/>
      <c r="P24620" s="11"/>
    </row>
    <row r="24621" spans="8:16" x14ac:dyDescent="0.25">
      <c r="H24621" s="12"/>
      <c r="I24621" s="12"/>
      <c r="J24621" s="12"/>
      <c r="K24621" s="12"/>
      <c r="L24621" s="12"/>
      <c r="M24621" s="11"/>
      <c r="N24621" s="11"/>
      <c r="O24621" s="11"/>
      <c r="P24621" s="11"/>
    </row>
    <row r="24622" spans="8:16" x14ac:dyDescent="0.25">
      <c r="H24622" s="12"/>
      <c r="I24622" s="12"/>
      <c r="J24622" s="12"/>
      <c r="K24622" s="12"/>
      <c r="L24622" s="12"/>
      <c r="M24622" s="11"/>
      <c r="N24622" s="11"/>
      <c r="O24622" s="11"/>
      <c r="P24622" s="11"/>
    </row>
    <row r="24623" spans="8:16" x14ac:dyDescent="0.25">
      <c r="H24623" s="12"/>
      <c r="I24623" s="12"/>
      <c r="J24623" s="12"/>
      <c r="K24623" s="12"/>
      <c r="L24623" s="12"/>
      <c r="M24623" s="11"/>
      <c r="N24623" s="11"/>
      <c r="O24623" s="11"/>
      <c r="P24623" s="11"/>
    </row>
    <row r="24624" spans="8:16" x14ac:dyDescent="0.25">
      <c r="H24624" s="12"/>
      <c r="I24624" s="12"/>
      <c r="J24624" s="12"/>
      <c r="K24624" s="12"/>
      <c r="L24624" s="12"/>
      <c r="M24624" s="11"/>
      <c r="N24624" s="11"/>
      <c r="O24624" s="11"/>
      <c r="P24624" s="11"/>
    </row>
    <row r="24625" spans="8:16" x14ac:dyDescent="0.25">
      <c r="H24625" s="12"/>
      <c r="I24625" s="12"/>
      <c r="J24625" s="12"/>
      <c r="K24625" s="12"/>
      <c r="L24625" s="12"/>
      <c r="M24625" s="11"/>
      <c r="N24625" s="11"/>
      <c r="O24625" s="11"/>
      <c r="P24625" s="11"/>
    </row>
    <row r="24626" spans="8:16" x14ac:dyDescent="0.25">
      <c r="H24626" s="12"/>
      <c r="I24626" s="12"/>
      <c r="J24626" s="12"/>
      <c r="K24626" s="12"/>
      <c r="L24626" s="12"/>
      <c r="M24626" s="11"/>
      <c r="N24626" s="11"/>
      <c r="O24626" s="11"/>
      <c r="P24626" s="11"/>
    </row>
    <row r="24627" spans="8:16" x14ac:dyDescent="0.25">
      <c r="H24627" s="12"/>
      <c r="I24627" s="12"/>
      <c r="J24627" s="12"/>
      <c r="K24627" s="12"/>
      <c r="L24627" s="12"/>
      <c r="M24627" s="11"/>
      <c r="N24627" s="11"/>
      <c r="O24627" s="11"/>
      <c r="P24627" s="11"/>
    </row>
    <row r="24628" spans="8:16" x14ac:dyDescent="0.25">
      <c r="H24628" s="12"/>
      <c r="I24628" s="12"/>
      <c r="J24628" s="12"/>
      <c r="K24628" s="12"/>
      <c r="L24628" s="12"/>
      <c r="M24628" s="11"/>
      <c r="N24628" s="11"/>
      <c r="O24628" s="11"/>
      <c r="P24628" s="11"/>
    </row>
    <row r="24629" spans="8:16" x14ac:dyDescent="0.25">
      <c r="H24629" s="12"/>
      <c r="I24629" s="12"/>
      <c r="J24629" s="12"/>
      <c r="K24629" s="12"/>
      <c r="L24629" s="12"/>
      <c r="M24629" s="11"/>
      <c r="N24629" s="11"/>
      <c r="O24629" s="11"/>
      <c r="P24629" s="11"/>
    </row>
    <row r="24630" spans="8:16" x14ac:dyDescent="0.25">
      <c r="H24630" s="12"/>
      <c r="I24630" s="12"/>
      <c r="J24630" s="12"/>
      <c r="K24630" s="12"/>
      <c r="L24630" s="12"/>
      <c r="M24630" s="11"/>
      <c r="N24630" s="11"/>
      <c r="O24630" s="11"/>
      <c r="P24630" s="11"/>
    </row>
    <row r="24631" spans="8:16" x14ac:dyDescent="0.25">
      <c r="H24631" s="12"/>
      <c r="I24631" s="12"/>
      <c r="J24631" s="12"/>
      <c r="K24631" s="12"/>
      <c r="L24631" s="12"/>
      <c r="M24631" s="11"/>
      <c r="N24631" s="11"/>
      <c r="O24631" s="11"/>
      <c r="P24631" s="11"/>
    </row>
    <row r="24632" spans="8:16" x14ac:dyDescent="0.25">
      <c r="H24632" s="12"/>
      <c r="I24632" s="12"/>
      <c r="J24632" s="12"/>
      <c r="K24632" s="12"/>
      <c r="L24632" s="12"/>
      <c r="M24632" s="11"/>
      <c r="N24632" s="11"/>
      <c r="O24632" s="11"/>
      <c r="P24632" s="11"/>
    </row>
    <row r="24633" spans="8:16" x14ac:dyDescent="0.25">
      <c r="H24633" s="12"/>
      <c r="I24633" s="12"/>
      <c r="J24633" s="12"/>
      <c r="K24633" s="12"/>
      <c r="L24633" s="12"/>
      <c r="M24633" s="11"/>
      <c r="N24633" s="11"/>
      <c r="O24633" s="11"/>
      <c r="P24633" s="11"/>
    </row>
    <row r="24634" spans="8:16" x14ac:dyDescent="0.25">
      <c r="H24634" s="12"/>
      <c r="I24634" s="12"/>
      <c r="J24634" s="12"/>
      <c r="K24634" s="12"/>
      <c r="L24634" s="12"/>
      <c r="M24634" s="11"/>
      <c r="N24634" s="11"/>
      <c r="O24634" s="11"/>
      <c r="P24634" s="11"/>
    </row>
    <row r="24635" spans="8:16" x14ac:dyDescent="0.25">
      <c r="H24635" s="12"/>
      <c r="I24635" s="12"/>
      <c r="J24635" s="12"/>
      <c r="K24635" s="12"/>
      <c r="L24635" s="12"/>
      <c r="M24635" s="11"/>
      <c r="N24635" s="11"/>
      <c r="O24635" s="11"/>
      <c r="P24635" s="11"/>
    </row>
    <row r="24636" spans="8:16" x14ac:dyDescent="0.25">
      <c r="H24636" s="12"/>
      <c r="I24636" s="12"/>
      <c r="J24636" s="12"/>
      <c r="K24636" s="12"/>
      <c r="L24636" s="12"/>
      <c r="M24636" s="11"/>
      <c r="N24636" s="11"/>
      <c r="O24636" s="11"/>
      <c r="P24636" s="11"/>
    </row>
    <row r="24637" spans="8:16" x14ac:dyDescent="0.25">
      <c r="H24637" s="12"/>
      <c r="I24637" s="12"/>
      <c r="J24637" s="12"/>
      <c r="K24637" s="12"/>
      <c r="L24637" s="12"/>
      <c r="M24637" s="11"/>
      <c r="N24637" s="11"/>
      <c r="O24637" s="11"/>
      <c r="P24637" s="11"/>
    </row>
    <row r="24638" spans="8:16" x14ac:dyDescent="0.25">
      <c r="H24638" s="12"/>
      <c r="I24638" s="12"/>
      <c r="J24638" s="12"/>
      <c r="K24638" s="12"/>
      <c r="L24638" s="12"/>
      <c r="M24638" s="11"/>
      <c r="N24638" s="11"/>
      <c r="O24638" s="11"/>
      <c r="P24638" s="11"/>
    </row>
    <row r="24639" spans="8:16" x14ac:dyDescent="0.25">
      <c r="H24639" s="12"/>
      <c r="I24639" s="12"/>
      <c r="J24639" s="12"/>
      <c r="K24639" s="12"/>
      <c r="L24639" s="12"/>
      <c r="M24639" s="11"/>
      <c r="N24639" s="11"/>
      <c r="O24639" s="11"/>
      <c r="P24639" s="11"/>
    </row>
    <row r="24640" spans="8:16" x14ac:dyDescent="0.25">
      <c r="H24640" s="12"/>
      <c r="I24640" s="12"/>
      <c r="J24640" s="12"/>
      <c r="K24640" s="12"/>
      <c r="L24640" s="12"/>
      <c r="M24640" s="11"/>
      <c r="N24640" s="11"/>
      <c r="O24640" s="11"/>
      <c r="P24640" s="11"/>
    </row>
    <row r="24641" spans="8:16" x14ac:dyDescent="0.25">
      <c r="H24641" s="12"/>
      <c r="I24641" s="12"/>
      <c r="J24641" s="12"/>
      <c r="K24641" s="12"/>
      <c r="L24641" s="12"/>
      <c r="M24641" s="11"/>
      <c r="N24641" s="11"/>
      <c r="O24641" s="11"/>
      <c r="P24641" s="11"/>
    </row>
    <row r="24642" spans="8:16" x14ac:dyDescent="0.25">
      <c r="H24642" s="12"/>
      <c r="I24642" s="12"/>
      <c r="J24642" s="12"/>
      <c r="K24642" s="12"/>
      <c r="L24642" s="12"/>
      <c r="M24642" s="11"/>
      <c r="N24642" s="11"/>
      <c r="O24642" s="11"/>
      <c r="P24642" s="11"/>
    </row>
    <row r="24643" spans="8:16" x14ac:dyDescent="0.25">
      <c r="H24643" s="12"/>
      <c r="I24643" s="12"/>
      <c r="J24643" s="12"/>
      <c r="K24643" s="12"/>
      <c r="L24643" s="12"/>
      <c r="M24643" s="11"/>
      <c r="N24643" s="11"/>
      <c r="O24643" s="11"/>
      <c r="P24643" s="11"/>
    </row>
    <row r="24644" spans="8:16" x14ac:dyDescent="0.25">
      <c r="H24644" s="12"/>
      <c r="I24644" s="12"/>
      <c r="J24644" s="12"/>
      <c r="K24644" s="12"/>
      <c r="L24644" s="12"/>
      <c r="M24644" s="11"/>
      <c r="N24644" s="11"/>
      <c r="O24644" s="11"/>
      <c r="P24644" s="11"/>
    </row>
    <row r="24645" spans="8:16" x14ac:dyDescent="0.25">
      <c r="H24645" s="12"/>
      <c r="I24645" s="12"/>
      <c r="J24645" s="12"/>
      <c r="K24645" s="12"/>
      <c r="L24645" s="12"/>
      <c r="M24645" s="11"/>
      <c r="N24645" s="11"/>
      <c r="O24645" s="11"/>
      <c r="P24645" s="11"/>
    </row>
    <row r="24646" spans="8:16" x14ac:dyDescent="0.25">
      <c r="H24646" s="12"/>
      <c r="I24646" s="12"/>
      <c r="J24646" s="12"/>
      <c r="K24646" s="12"/>
      <c r="L24646" s="12"/>
      <c r="M24646" s="11"/>
      <c r="N24646" s="11"/>
      <c r="O24646" s="11"/>
      <c r="P24646" s="11"/>
    </row>
    <row r="24647" spans="8:16" x14ac:dyDescent="0.25">
      <c r="H24647" s="12"/>
      <c r="I24647" s="12"/>
      <c r="J24647" s="12"/>
      <c r="K24647" s="12"/>
      <c r="L24647" s="12"/>
      <c r="M24647" s="11"/>
      <c r="N24647" s="11"/>
      <c r="O24647" s="11"/>
      <c r="P24647" s="11"/>
    </row>
    <row r="24648" spans="8:16" x14ac:dyDescent="0.25">
      <c r="H24648" s="12"/>
      <c r="I24648" s="12"/>
      <c r="J24648" s="12"/>
      <c r="K24648" s="12"/>
      <c r="L24648" s="12"/>
      <c r="M24648" s="11"/>
      <c r="N24648" s="11"/>
      <c r="O24648" s="11"/>
      <c r="P24648" s="11"/>
    </row>
    <row r="24649" spans="8:16" x14ac:dyDescent="0.25">
      <c r="H24649" s="12"/>
      <c r="I24649" s="12"/>
      <c r="J24649" s="12"/>
      <c r="K24649" s="12"/>
      <c r="L24649" s="12"/>
      <c r="M24649" s="11"/>
      <c r="N24649" s="11"/>
      <c r="O24649" s="11"/>
      <c r="P24649" s="11"/>
    </row>
    <row r="24650" spans="8:16" x14ac:dyDescent="0.25">
      <c r="H24650" s="12"/>
      <c r="I24650" s="12"/>
      <c r="J24650" s="12"/>
      <c r="K24650" s="12"/>
      <c r="L24650" s="12"/>
      <c r="M24650" s="11"/>
      <c r="N24650" s="11"/>
      <c r="O24650" s="11"/>
      <c r="P24650" s="11"/>
    </row>
    <row r="24651" spans="8:16" x14ac:dyDescent="0.25">
      <c r="H24651" s="12"/>
      <c r="I24651" s="12"/>
      <c r="J24651" s="12"/>
      <c r="K24651" s="12"/>
      <c r="L24651" s="12"/>
      <c r="M24651" s="11"/>
      <c r="N24651" s="11"/>
      <c r="O24651" s="11"/>
      <c r="P24651" s="11"/>
    </row>
    <row r="24652" spans="8:16" x14ac:dyDescent="0.25">
      <c r="H24652" s="12"/>
      <c r="I24652" s="12"/>
      <c r="J24652" s="12"/>
      <c r="K24652" s="12"/>
      <c r="L24652" s="12"/>
      <c r="M24652" s="11"/>
      <c r="N24652" s="11"/>
      <c r="O24652" s="11"/>
      <c r="P24652" s="11"/>
    </row>
    <row r="24653" spans="8:16" x14ac:dyDescent="0.25">
      <c r="H24653" s="12"/>
      <c r="I24653" s="12"/>
      <c r="J24653" s="12"/>
      <c r="K24653" s="12"/>
      <c r="L24653" s="12"/>
      <c r="M24653" s="11"/>
      <c r="N24653" s="11"/>
      <c r="O24653" s="11"/>
      <c r="P24653" s="11"/>
    </row>
    <row r="24654" spans="8:16" x14ac:dyDescent="0.25">
      <c r="H24654" s="12"/>
      <c r="I24654" s="12"/>
      <c r="J24654" s="12"/>
      <c r="K24654" s="12"/>
      <c r="L24654" s="12"/>
      <c r="M24654" s="11"/>
      <c r="N24654" s="11"/>
      <c r="O24654" s="11"/>
      <c r="P24654" s="11"/>
    </row>
    <row r="24655" spans="8:16" x14ac:dyDescent="0.25">
      <c r="H24655" s="12"/>
      <c r="I24655" s="12"/>
      <c r="J24655" s="12"/>
      <c r="K24655" s="12"/>
      <c r="L24655" s="12"/>
      <c r="M24655" s="11"/>
      <c r="N24655" s="11"/>
      <c r="O24655" s="11"/>
      <c r="P24655" s="11"/>
    </row>
    <row r="24656" spans="8:16" x14ac:dyDescent="0.25">
      <c r="H24656" s="12"/>
      <c r="I24656" s="12"/>
      <c r="J24656" s="12"/>
      <c r="K24656" s="12"/>
      <c r="L24656" s="12"/>
      <c r="M24656" s="11"/>
      <c r="N24656" s="11"/>
      <c r="O24656" s="11"/>
      <c r="P24656" s="11"/>
    </row>
    <row r="24657" spans="8:16" x14ac:dyDescent="0.25">
      <c r="H24657" s="12"/>
      <c r="I24657" s="12"/>
      <c r="J24657" s="12"/>
      <c r="K24657" s="12"/>
      <c r="L24657" s="12"/>
      <c r="M24657" s="11"/>
      <c r="N24657" s="11"/>
      <c r="O24657" s="11"/>
      <c r="P24657" s="11"/>
    </row>
    <row r="24658" spans="8:16" x14ac:dyDescent="0.25">
      <c r="H24658" s="12"/>
      <c r="I24658" s="12"/>
      <c r="J24658" s="12"/>
      <c r="K24658" s="12"/>
      <c r="L24658" s="12"/>
      <c r="M24658" s="11"/>
      <c r="N24658" s="11"/>
      <c r="O24658" s="11"/>
      <c r="P24658" s="11"/>
    </row>
    <row r="24659" spans="8:16" x14ac:dyDescent="0.25">
      <c r="H24659" s="12"/>
      <c r="I24659" s="12"/>
      <c r="J24659" s="12"/>
      <c r="K24659" s="12"/>
      <c r="L24659" s="12"/>
      <c r="M24659" s="11"/>
      <c r="N24659" s="11"/>
      <c r="O24659" s="11"/>
      <c r="P24659" s="11"/>
    </row>
    <row r="24660" spans="8:16" x14ac:dyDescent="0.25">
      <c r="H24660" s="12"/>
      <c r="I24660" s="12"/>
      <c r="J24660" s="12"/>
      <c r="K24660" s="12"/>
      <c r="L24660" s="12"/>
      <c r="M24660" s="11"/>
      <c r="N24660" s="11"/>
      <c r="O24660" s="11"/>
      <c r="P24660" s="11"/>
    </row>
    <row r="24661" spans="8:16" x14ac:dyDescent="0.25">
      <c r="H24661" s="12"/>
      <c r="I24661" s="12"/>
      <c r="J24661" s="12"/>
      <c r="K24661" s="12"/>
      <c r="L24661" s="12"/>
      <c r="M24661" s="11"/>
      <c r="N24661" s="11"/>
      <c r="O24661" s="11"/>
      <c r="P24661" s="11"/>
    </row>
    <row r="24662" spans="8:16" x14ac:dyDescent="0.25">
      <c r="H24662" s="12"/>
      <c r="I24662" s="12"/>
      <c r="J24662" s="12"/>
      <c r="K24662" s="12"/>
      <c r="L24662" s="12"/>
      <c r="M24662" s="11"/>
      <c r="N24662" s="11"/>
      <c r="O24662" s="11"/>
      <c r="P24662" s="11"/>
    </row>
    <row r="24663" spans="8:16" x14ac:dyDescent="0.25">
      <c r="H24663" s="12"/>
      <c r="I24663" s="12"/>
      <c r="J24663" s="12"/>
      <c r="K24663" s="12"/>
      <c r="L24663" s="12"/>
      <c r="M24663" s="11"/>
      <c r="N24663" s="11"/>
      <c r="O24663" s="11"/>
      <c r="P24663" s="11"/>
    </row>
    <row r="24664" spans="8:16" x14ac:dyDescent="0.25">
      <c r="H24664" s="12"/>
      <c r="I24664" s="12"/>
      <c r="J24664" s="12"/>
      <c r="K24664" s="12"/>
      <c r="L24664" s="12"/>
      <c r="M24664" s="11"/>
      <c r="N24664" s="11"/>
      <c r="O24664" s="11"/>
      <c r="P24664" s="11"/>
    </row>
    <row r="24665" spans="8:16" x14ac:dyDescent="0.25">
      <c r="H24665" s="12"/>
      <c r="I24665" s="12"/>
      <c r="J24665" s="12"/>
      <c r="K24665" s="12"/>
      <c r="L24665" s="12"/>
      <c r="M24665" s="11"/>
      <c r="N24665" s="11"/>
      <c r="O24665" s="11"/>
      <c r="P24665" s="11"/>
    </row>
    <row r="24666" spans="8:16" x14ac:dyDescent="0.25">
      <c r="H24666" s="12"/>
      <c r="I24666" s="12"/>
      <c r="J24666" s="12"/>
      <c r="K24666" s="12"/>
      <c r="L24666" s="12"/>
      <c r="M24666" s="11"/>
      <c r="N24666" s="11"/>
      <c r="O24666" s="11"/>
      <c r="P24666" s="11"/>
    </row>
    <row r="24667" spans="8:16" x14ac:dyDescent="0.25">
      <c r="H24667" s="12"/>
      <c r="I24667" s="12"/>
      <c r="J24667" s="12"/>
      <c r="K24667" s="12"/>
      <c r="L24667" s="12"/>
      <c r="M24667" s="11"/>
      <c r="N24667" s="11"/>
      <c r="O24667" s="11"/>
      <c r="P24667" s="11"/>
    </row>
    <row r="24668" spans="8:16" x14ac:dyDescent="0.25">
      <c r="H24668" s="12"/>
      <c r="I24668" s="12"/>
      <c r="J24668" s="12"/>
      <c r="K24668" s="12"/>
      <c r="L24668" s="12"/>
      <c r="M24668" s="11"/>
      <c r="N24668" s="11"/>
      <c r="O24668" s="11"/>
      <c r="P24668" s="11"/>
    </row>
    <row r="24669" spans="8:16" x14ac:dyDescent="0.25">
      <c r="H24669" s="12"/>
      <c r="I24669" s="12"/>
      <c r="J24669" s="12"/>
      <c r="K24669" s="12"/>
      <c r="L24669" s="12"/>
      <c r="M24669" s="11"/>
      <c r="N24669" s="11"/>
      <c r="O24669" s="11"/>
      <c r="P24669" s="11"/>
    </row>
    <row r="24670" spans="8:16" x14ac:dyDescent="0.25">
      <c r="H24670" s="12"/>
      <c r="I24670" s="12"/>
      <c r="J24670" s="12"/>
      <c r="K24670" s="12"/>
      <c r="L24670" s="12"/>
      <c r="M24670" s="11"/>
      <c r="N24670" s="11"/>
      <c r="O24670" s="11"/>
      <c r="P24670" s="11"/>
    </row>
    <row r="24671" spans="8:16" x14ac:dyDescent="0.25">
      <c r="H24671" s="12"/>
      <c r="I24671" s="12"/>
      <c r="J24671" s="12"/>
      <c r="K24671" s="12"/>
      <c r="L24671" s="12"/>
      <c r="M24671" s="11"/>
      <c r="N24671" s="11"/>
      <c r="O24671" s="11"/>
      <c r="P24671" s="11"/>
    </row>
    <row r="24672" spans="8:16" x14ac:dyDescent="0.25">
      <c r="H24672" s="12"/>
      <c r="I24672" s="12"/>
      <c r="J24672" s="12"/>
      <c r="K24672" s="12"/>
      <c r="L24672" s="12"/>
      <c r="M24672" s="11"/>
      <c r="N24672" s="11"/>
      <c r="O24672" s="11"/>
      <c r="P24672" s="11"/>
    </row>
    <row r="24673" spans="8:16" x14ac:dyDescent="0.25">
      <c r="H24673" s="12"/>
      <c r="I24673" s="12"/>
      <c r="J24673" s="12"/>
      <c r="K24673" s="12"/>
      <c r="L24673" s="12"/>
      <c r="M24673" s="11"/>
      <c r="N24673" s="11"/>
      <c r="O24673" s="11"/>
      <c r="P24673" s="11"/>
    </row>
    <row r="24674" spans="8:16" x14ac:dyDescent="0.25">
      <c r="H24674" s="12"/>
      <c r="I24674" s="12"/>
      <c r="J24674" s="12"/>
      <c r="K24674" s="12"/>
      <c r="L24674" s="12"/>
      <c r="M24674" s="11"/>
      <c r="N24674" s="11"/>
      <c r="O24674" s="11"/>
      <c r="P24674" s="11"/>
    </row>
    <row r="24675" spans="8:16" x14ac:dyDescent="0.25">
      <c r="H24675" s="12"/>
      <c r="I24675" s="12"/>
      <c r="J24675" s="12"/>
      <c r="K24675" s="12"/>
      <c r="L24675" s="12"/>
      <c r="M24675" s="11"/>
      <c r="N24675" s="11"/>
      <c r="O24675" s="11"/>
      <c r="P24675" s="11"/>
    </row>
    <row r="24676" spans="8:16" x14ac:dyDescent="0.25">
      <c r="H24676" s="12"/>
      <c r="I24676" s="12"/>
      <c r="J24676" s="12"/>
      <c r="K24676" s="12"/>
      <c r="L24676" s="12"/>
      <c r="M24676" s="11"/>
      <c r="N24676" s="11"/>
      <c r="O24676" s="11"/>
      <c r="P24676" s="11"/>
    </row>
    <row r="24677" spans="8:16" x14ac:dyDescent="0.25">
      <c r="H24677" s="12"/>
      <c r="I24677" s="12"/>
      <c r="J24677" s="12"/>
      <c r="K24677" s="12"/>
      <c r="L24677" s="12"/>
      <c r="M24677" s="11"/>
      <c r="N24677" s="11"/>
      <c r="O24677" s="11"/>
      <c r="P24677" s="11"/>
    </row>
    <row r="24678" spans="8:16" x14ac:dyDescent="0.25">
      <c r="H24678" s="12"/>
      <c r="I24678" s="12"/>
      <c r="J24678" s="12"/>
      <c r="K24678" s="12"/>
      <c r="L24678" s="12"/>
      <c r="M24678" s="11"/>
      <c r="N24678" s="11"/>
      <c r="O24678" s="11"/>
      <c r="P24678" s="11"/>
    </row>
    <row r="24679" spans="8:16" x14ac:dyDescent="0.25">
      <c r="H24679" s="12"/>
      <c r="I24679" s="12"/>
      <c r="J24679" s="12"/>
      <c r="K24679" s="12"/>
      <c r="L24679" s="12"/>
      <c r="M24679" s="11"/>
      <c r="N24679" s="11"/>
      <c r="O24679" s="11"/>
      <c r="P24679" s="11"/>
    </row>
    <row r="24680" spans="8:16" x14ac:dyDescent="0.25">
      <c r="H24680" s="12"/>
      <c r="I24680" s="12"/>
      <c r="J24680" s="12"/>
      <c r="K24680" s="12"/>
      <c r="L24680" s="12"/>
      <c r="M24680" s="11"/>
      <c r="N24680" s="11"/>
      <c r="O24680" s="11"/>
      <c r="P24680" s="11"/>
    </row>
    <row r="24681" spans="8:16" x14ac:dyDescent="0.25">
      <c r="H24681" s="12"/>
      <c r="I24681" s="12"/>
      <c r="J24681" s="12"/>
      <c r="K24681" s="12"/>
      <c r="L24681" s="12"/>
      <c r="M24681" s="11"/>
      <c r="N24681" s="11"/>
      <c r="O24681" s="11"/>
      <c r="P24681" s="11"/>
    </row>
    <row r="24682" spans="8:16" x14ac:dyDescent="0.25">
      <c r="H24682" s="12"/>
      <c r="I24682" s="12"/>
      <c r="J24682" s="12"/>
      <c r="K24682" s="12"/>
      <c r="L24682" s="12"/>
      <c r="M24682" s="11"/>
      <c r="N24682" s="11"/>
      <c r="O24682" s="11"/>
      <c r="P24682" s="11"/>
    </row>
    <row r="24683" spans="8:16" x14ac:dyDescent="0.25">
      <c r="H24683" s="12"/>
      <c r="I24683" s="12"/>
      <c r="J24683" s="12"/>
      <c r="K24683" s="12"/>
      <c r="L24683" s="12"/>
      <c r="M24683" s="11"/>
      <c r="N24683" s="11"/>
      <c r="O24683" s="11"/>
      <c r="P24683" s="11"/>
    </row>
    <row r="24684" spans="8:16" x14ac:dyDescent="0.25">
      <c r="H24684" s="12"/>
      <c r="I24684" s="12"/>
      <c r="J24684" s="12"/>
      <c r="K24684" s="12"/>
      <c r="L24684" s="12"/>
      <c r="M24684" s="11"/>
      <c r="N24684" s="11"/>
      <c r="O24684" s="11"/>
      <c r="P24684" s="11"/>
    </row>
    <row r="24685" spans="8:16" x14ac:dyDescent="0.25">
      <c r="H24685" s="12"/>
      <c r="I24685" s="12"/>
      <c r="J24685" s="12"/>
      <c r="K24685" s="12"/>
      <c r="L24685" s="12"/>
      <c r="M24685" s="11"/>
      <c r="N24685" s="11"/>
      <c r="O24685" s="11"/>
      <c r="P24685" s="11"/>
    </row>
    <row r="24686" spans="8:16" x14ac:dyDescent="0.25">
      <c r="H24686" s="12"/>
      <c r="I24686" s="12"/>
      <c r="J24686" s="12"/>
      <c r="K24686" s="12"/>
      <c r="L24686" s="12"/>
      <c r="M24686" s="11"/>
      <c r="N24686" s="11"/>
      <c r="O24686" s="11"/>
      <c r="P24686" s="11"/>
    </row>
    <row r="24687" spans="8:16" x14ac:dyDescent="0.25">
      <c r="H24687" s="12"/>
      <c r="I24687" s="12"/>
      <c r="J24687" s="12"/>
      <c r="K24687" s="12"/>
      <c r="L24687" s="12"/>
      <c r="M24687" s="11"/>
      <c r="N24687" s="11"/>
      <c r="O24687" s="11"/>
      <c r="P24687" s="11"/>
    </row>
    <row r="24688" spans="8:16" x14ac:dyDescent="0.25">
      <c r="H24688" s="12"/>
      <c r="I24688" s="12"/>
      <c r="J24688" s="12"/>
      <c r="K24688" s="12"/>
      <c r="L24688" s="12"/>
      <c r="M24688" s="11"/>
      <c r="N24688" s="11"/>
      <c r="O24688" s="11"/>
      <c r="P24688" s="11"/>
    </row>
    <row r="24689" spans="8:16" x14ac:dyDescent="0.25">
      <c r="H24689" s="12"/>
      <c r="I24689" s="12"/>
      <c r="J24689" s="12"/>
      <c r="K24689" s="12"/>
      <c r="L24689" s="12"/>
      <c r="M24689" s="11"/>
      <c r="N24689" s="11"/>
      <c r="O24689" s="11"/>
      <c r="P24689" s="11"/>
    </row>
    <row r="24690" spans="8:16" x14ac:dyDescent="0.25">
      <c r="H24690" s="12"/>
      <c r="I24690" s="12"/>
      <c r="J24690" s="12"/>
      <c r="K24690" s="12"/>
      <c r="L24690" s="12"/>
      <c r="M24690" s="11"/>
      <c r="N24690" s="11"/>
      <c r="O24690" s="11"/>
      <c r="P24690" s="11"/>
    </row>
    <row r="24691" spans="8:16" x14ac:dyDescent="0.25">
      <c r="H24691" s="12"/>
      <c r="I24691" s="12"/>
      <c r="J24691" s="12"/>
      <c r="K24691" s="12"/>
      <c r="L24691" s="12"/>
      <c r="M24691" s="11"/>
      <c r="N24691" s="11"/>
      <c r="O24691" s="11"/>
      <c r="P24691" s="11"/>
    </row>
    <row r="24692" spans="8:16" x14ac:dyDescent="0.25">
      <c r="H24692" s="12"/>
      <c r="I24692" s="12"/>
      <c r="J24692" s="12"/>
      <c r="K24692" s="12"/>
      <c r="L24692" s="12"/>
      <c r="M24692" s="11"/>
      <c r="N24692" s="11"/>
      <c r="O24692" s="11"/>
      <c r="P24692" s="11"/>
    </row>
    <row r="24693" spans="8:16" x14ac:dyDescent="0.25">
      <c r="H24693" s="12"/>
      <c r="I24693" s="12"/>
      <c r="J24693" s="12"/>
      <c r="K24693" s="12"/>
      <c r="L24693" s="12"/>
      <c r="M24693" s="11"/>
      <c r="N24693" s="11"/>
      <c r="O24693" s="11"/>
      <c r="P24693" s="11"/>
    </row>
    <row r="24694" spans="8:16" x14ac:dyDescent="0.25">
      <c r="H24694" s="12"/>
      <c r="I24694" s="12"/>
      <c r="J24694" s="12"/>
      <c r="K24694" s="12"/>
      <c r="L24694" s="12"/>
      <c r="M24694" s="11"/>
      <c r="N24694" s="11"/>
      <c r="O24694" s="11"/>
      <c r="P24694" s="11"/>
    </row>
    <row r="24695" spans="8:16" x14ac:dyDescent="0.25">
      <c r="H24695" s="12"/>
      <c r="I24695" s="12"/>
      <c r="J24695" s="12"/>
      <c r="K24695" s="12"/>
      <c r="L24695" s="12"/>
      <c r="M24695" s="11"/>
      <c r="N24695" s="11"/>
      <c r="O24695" s="11"/>
      <c r="P24695" s="11"/>
    </row>
    <row r="24696" spans="8:16" x14ac:dyDescent="0.25">
      <c r="H24696" s="12"/>
      <c r="I24696" s="12"/>
      <c r="J24696" s="12"/>
      <c r="K24696" s="12"/>
      <c r="L24696" s="12"/>
      <c r="M24696" s="11"/>
      <c r="N24696" s="11"/>
      <c r="O24696" s="11"/>
      <c r="P24696" s="11"/>
    </row>
    <row r="24697" spans="8:16" x14ac:dyDescent="0.25">
      <c r="H24697" s="12"/>
      <c r="I24697" s="12"/>
      <c r="J24697" s="12"/>
      <c r="K24697" s="12"/>
      <c r="L24697" s="12"/>
      <c r="M24697" s="11"/>
      <c r="N24697" s="11"/>
      <c r="O24697" s="11"/>
      <c r="P24697" s="11"/>
    </row>
    <row r="24698" spans="8:16" x14ac:dyDescent="0.25">
      <c r="H24698" s="12"/>
      <c r="I24698" s="12"/>
      <c r="J24698" s="12"/>
      <c r="K24698" s="12"/>
      <c r="L24698" s="12"/>
      <c r="M24698" s="11"/>
      <c r="N24698" s="11"/>
      <c r="O24698" s="11"/>
      <c r="P24698" s="11"/>
    </row>
    <row r="24699" spans="8:16" x14ac:dyDescent="0.25">
      <c r="H24699" s="12"/>
      <c r="I24699" s="12"/>
      <c r="J24699" s="12"/>
      <c r="K24699" s="12"/>
      <c r="L24699" s="12"/>
      <c r="M24699" s="11"/>
      <c r="N24699" s="11"/>
      <c r="O24699" s="11"/>
      <c r="P24699" s="11"/>
    </row>
    <row r="24700" spans="8:16" x14ac:dyDescent="0.25">
      <c r="H24700" s="12"/>
      <c r="I24700" s="12"/>
      <c r="J24700" s="12"/>
      <c r="K24700" s="12"/>
      <c r="L24700" s="12"/>
      <c r="M24700" s="11"/>
      <c r="N24700" s="11"/>
      <c r="O24700" s="11"/>
      <c r="P24700" s="11"/>
    </row>
    <row r="24701" spans="8:16" x14ac:dyDescent="0.25">
      <c r="H24701" s="12"/>
      <c r="I24701" s="12"/>
      <c r="J24701" s="12"/>
      <c r="K24701" s="12"/>
      <c r="L24701" s="12"/>
      <c r="M24701" s="11"/>
      <c r="N24701" s="11"/>
      <c r="O24701" s="11"/>
      <c r="P24701" s="11"/>
    </row>
    <row r="24702" spans="8:16" x14ac:dyDescent="0.25">
      <c r="H24702" s="12"/>
      <c r="I24702" s="12"/>
      <c r="J24702" s="12"/>
      <c r="K24702" s="12"/>
      <c r="L24702" s="12"/>
      <c r="M24702" s="11"/>
      <c r="N24702" s="11"/>
      <c r="O24702" s="11"/>
      <c r="P24702" s="11"/>
    </row>
    <row r="24703" spans="8:16" x14ac:dyDescent="0.25">
      <c r="H24703" s="12"/>
      <c r="I24703" s="12"/>
      <c r="J24703" s="12"/>
      <c r="K24703" s="12"/>
      <c r="L24703" s="12"/>
      <c r="M24703" s="11"/>
      <c r="N24703" s="11"/>
      <c r="O24703" s="11"/>
      <c r="P24703" s="11"/>
    </row>
    <row r="24704" spans="8:16" x14ac:dyDescent="0.25">
      <c r="H24704" s="12"/>
      <c r="I24704" s="12"/>
      <c r="J24704" s="12"/>
      <c r="K24704" s="12"/>
      <c r="L24704" s="12"/>
      <c r="M24704" s="11"/>
      <c r="N24704" s="11"/>
      <c r="O24704" s="11"/>
      <c r="P24704" s="11"/>
    </row>
    <row r="24705" spans="8:16" x14ac:dyDescent="0.25">
      <c r="H24705" s="12"/>
      <c r="I24705" s="12"/>
      <c r="J24705" s="12"/>
      <c r="K24705" s="12"/>
      <c r="L24705" s="12"/>
      <c r="M24705" s="11"/>
      <c r="N24705" s="11"/>
      <c r="O24705" s="11"/>
      <c r="P24705" s="11"/>
    </row>
    <row r="24706" spans="8:16" x14ac:dyDescent="0.25">
      <c r="H24706" s="12"/>
      <c r="I24706" s="12"/>
      <c r="J24706" s="12"/>
      <c r="K24706" s="12"/>
      <c r="L24706" s="12"/>
      <c r="M24706" s="11"/>
      <c r="N24706" s="11"/>
      <c r="O24706" s="11"/>
      <c r="P24706" s="11"/>
    </row>
    <row r="24707" spans="8:16" x14ac:dyDescent="0.25">
      <c r="H24707" s="12"/>
      <c r="I24707" s="12"/>
      <c r="J24707" s="12"/>
      <c r="K24707" s="12"/>
      <c r="L24707" s="12"/>
      <c r="M24707" s="11"/>
      <c r="N24707" s="11"/>
      <c r="O24707" s="11"/>
      <c r="P24707" s="11"/>
    </row>
    <row r="24708" spans="8:16" x14ac:dyDescent="0.25">
      <c r="H24708" s="12"/>
      <c r="I24708" s="12"/>
      <c r="J24708" s="12"/>
      <c r="K24708" s="12"/>
      <c r="L24708" s="12"/>
      <c r="M24708" s="11"/>
      <c r="N24708" s="11"/>
      <c r="O24708" s="11"/>
      <c r="P24708" s="11"/>
    </row>
    <row r="24709" spans="8:16" x14ac:dyDescent="0.25">
      <c r="H24709" s="12"/>
      <c r="I24709" s="12"/>
      <c r="J24709" s="12"/>
      <c r="K24709" s="12"/>
      <c r="L24709" s="12"/>
      <c r="M24709" s="11"/>
      <c r="N24709" s="11"/>
      <c r="O24709" s="11"/>
      <c r="P24709" s="11"/>
    </row>
    <row r="24710" spans="8:16" x14ac:dyDescent="0.25">
      <c r="H24710" s="12"/>
      <c r="I24710" s="12"/>
      <c r="J24710" s="12"/>
      <c r="K24710" s="12"/>
      <c r="L24710" s="12"/>
      <c r="M24710" s="11"/>
      <c r="N24710" s="11"/>
      <c r="O24710" s="11"/>
      <c r="P24710" s="11"/>
    </row>
    <row r="24711" spans="8:16" x14ac:dyDescent="0.25">
      <c r="H24711" s="12"/>
      <c r="I24711" s="12"/>
      <c r="J24711" s="12"/>
      <c r="K24711" s="12"/>
      <c r="L24711" s="12"/>
      <c r="M24711" s="11"/>
      <c r="N24711" s="11"/>
      <c r="O24711" s="11"/>
      <c r="P24711" s="11"/>
    </row>
    <row r="24712" spans="8:16" x14ac:dyDescent="0.25">
      <c r="H24712" s="12"/>
      <c r="I24712" s="12"/>
      <c r="J24712" s="12"/>
      <c r="K24712" s="12"/>
      <c r="L24712" s="12"/>
      <c r="M24712" s="11"/>
      <c r="N24712" s="11"/>
      <c r="O24712" s="11"/>
      <c r="P24712" s="11"/>
    </row>
    <row r="24713" spans="8:16" x14ac:dyDescent="0.25">
      <c r="H24713" s="12"/>
      <c r="I24713" s="12"/>
      <c r="J24713" s="12"/>
      <c r="K24713" s="12"/>
      <c r="L24713" s="12"/>
      <c r="M24713" s="11"/>
      <c r="N24713" s="11"/>
      <c r="O24713" s="11"/>
      <c r="P24713" s="11"/>
    </row>
    <row r="24714" spans="8:16" x14ac:dyDescent="0.25">
      <c r="H24714" s="12"/>
      <c r="I24714" s="12"/>
      <c r="J24714" s="12"/>
      <c r="K24714" s="12"/>
      <c r="L24714" s="12"/>
      <c r="M24714" s="11"/>
      <c r="N24714" s="11"/>
      <c r="O24714" s="11"/>
      <c r="P24714" s="11"/>
    </row>
    <row r="24715" spans="8:16" x14ac:dyDescent="0.25">
      <c r="H24715" s="12"/>
      <c r="I24715" s="12"/>
      <c r="J24715" s="12"/>
      <c r="K24715" s="12"/>
      <c r="L24715" s="12"/>
      <c r="M24715" s="11"/>
      <c r="N24715" s="11"/>
      <c r="O24715" s="11"/>
      <c r="P24715" s="11"/>
    </row>
    <row r="24716" spans="8:16" x14ac:dyDescent="0.25">
      <c r="H24716" s="12"/>
      <c r="I24716" s="12"/>
      <c r="J24716" s="12"/>
      <c r="K24716" s="12"/>
      <c r="L24716" s="12"/>
      <c r="M24716" s="11"/>
      <c r="N24716" s="11"/>
      <c r="O24716" s="11"/>
      <c r="P24716" s="11"/>
    </row>
    <row r="24717" spans="8:16" x14ac:dyDescent="0.25">
      <c r="H24717" s="12"/>
      <c r="I24717" s="12"/>
      <c r="J24717" s="12"/>
      <c r="K24717" s="12"/>
      <c r="L24717" s="12"/>
      <c r="M24717" s="11"/>
      <c r="N24717" s="11"/>
      <c r="O24717" s="11"/>
      <c r="P24717" s="11"/>
    </row>
    <row r="24718" spans="8:16" x14ac:dyDescent="0.25">
      <c r="H24718" s="12"/>
      <c r="I24718" s="12"/>
      <c r="J24718" s="12"/>
      <c r="K24718" s="12"/>
      <c r="L24718" s="12"/>
      <c r="M24718" s="11"/>
      <c r="N24718" s="11"/>
      <c r="O24718" s="11"/>
      <c r="P24718" s="11"/>
    </row>
    <row r="24719" spans="8:16" x14ac:dyDescent="0.25">
      <c r="H24719" s="12"/>
      <c r="I24719" s="12"/>
      <c r="J24719" s="12"/>
      <c r="K24719" s="12"/>
      <c r="L24719" s="12"/>
      <c r="M24719" s="11"/>
      <c r="N24719" s="11"/>
      <c r="O24719" s="11"/>
      <c r="P24719" s="11"/>
    </row>
    <row r="24720" spans="8:16" x14ac:dyDescent="0.25">
      <c r="H24720" s="12"/>
      <c r="I24720" s="12"/>
      <c r="J24720" s="12"/>
      <c r="K24720" s="12"/>
      <c r="L24720" s="12"/>
      <c r="M24720" s="11"/>
      <c r="N24720" s="11"/>
      <c r="O24720" s="11"/>
      <c r="P24720" s="11"/>
    </row>
    <row r="24721" spans="8:16" x14ac:dyDescent="0.25">
      <c r="H24721" s="12"/>
      <c r="I24721" s="12"/>
      <c r="J24721" s="12"/>
      <c r="K24721" s="12"/>
      <c r="L24721" s="12"/>
      <c r="M24721" s="11"/>
      <c r="N24721" s="11"/>
      <c r="O24721" s="11"/>
      <c r="P24721" s="11"/>
    </row>
    <row r="24722" spans="8:16" x14ac:dyDescent="0.25">
      <c r="H24722" s="12"/>
      <c r="I24722" s="12"/>
      <c r="J24722" s="12"/>
      <c r="K24722" s="12"/>
      <c r="L24722" s="12"/>
      <c r="M24722" s="11"/>
      <c r="N24722" s="11"/>
      <c r="O24722" s="11"/>
      <c r="P24722" s="11"/>
    </row>
    <row r="24723" spans="8:16" x14ac:dyDescent="0.25">
      <c r="H24723" s="12"/>
      <c r="I24723" s="12"/>
      <c r="J24723" s="12"/>
      <c r="K24723" s="12"/>
      <c r="L24723" s="12"/>
      <c r="M24723" s="11"/>
      <c r="N24723" s="11"/>
      <c r="O24723" s="11"/>
      <c r="P24723" s="11"/>
    </row>
    <row r="24724" spans="8:16" x14ac:dyDescent="0.25">
      <c r="H24724" s="12"/>
      <c r="I24724" s="12"/>
      <c r="J24724" s="12"/>
      <c r="K24724" s="12"/>
      <c r="L24724" s="12"/>
      <c r="M24724" s="11"/>
      <c r="N24724" s="11"/>
      <c r="O24724" s="11"/>
      <c r="P24724" s="11"/>
    </row>
    <row r="24725" spans="8:16" x14ac:dyDescent="0.25">
      <c r="H24725" s="12"/>
      <c r="I24725" s="12"/>
      <c r="J24725" s="12"/>
      <c r="K24725" s="12"/>
      <c r="L24725" s="12"/>
      <c r="M24725" s="11"/>
      <c r="N24725" s="11"/>
      <c r="O24725" s="11"/>
      <c r="P24725" s="11"/>
    </row>
    <row r="24726" spans="8:16" x14ac:dyDescent="0.25">
      <c r="H24726" s="12"/>
      <c r="I24726" s="12"/>
      <c r="J24726" s="12"/>
      <c r="K24726" s="12"/>
      <c r="L24726" s="12"/>
      <c r="M24726" s="11"/>
      <c r="N24726" s="11"/>
      <c r="O24726" s="11"/>
      <c r="P24726" s="11"/>
    </row>
    <row r="24727" spans="8:16" x14ac:dyDescent="0.25">
      <c r="H24727" s="12"/>
      <c r="I24727" s="12"/>
      <c r="J24727" s="12"/>
      <c r="K24727" s="12"/>
      <c r="L24727" s="12"/>
      <c r="M24727" s="11"/>
      <c r="N24727" s="11"/>
      <c r="O24727" s="11"/>
      <c r="P24727" s="11"/>
    </row>
    <row r="24728" spans="8:16" x14ac:dyDescent="0.25">
      <c r="H24728" s="12"/>
      <c r="I24728" s="12"/>
      <c r="J24728" s="12"/>
      <c r="K24728" s="12"/>
      <c r="L24728" s="12"/>
      <c r="M24728" s="11"/>
      <c r="N24728" s="11"/>
      <c r="O24728" s="11"/>
      <c r="P24728" s="11"/>
    </row>
    <row r="24729" spans="8:16" x14ac:dyDescent="0.25">
      <c r="H24729" s="12"/>
      <c r="I24729" s="12"/>
      <c r="J24729" s="12"/>
      <c r="K24729" s="12"/>
      <c r="L24729" s="12"/>
      <c r="M24729" s="11"/>
      <c r="N24729" s="11"/>
      <c r="O24729" s="11"/>
      <c r="P24729" s="11"/>
    </row>
    <row r="24730" spans="8:16" x14ac:dyDescent="0.25">
      <c r="H24730" s="12"/>
      <c r="I24730" s="12"/>
      <c r="J24730" s="12"/>
      <c r="K24730" s="12"/>
      <c r="L24730" s="12"/>
      <c r="M24730" s="11"/>
      <c r="N24730" s="11"/>
      <c r="O24730" s="11"/>
      <c r="P24730" s="11"/>
    </row>
    <row r="24731" spans="8:16" x14ac:dyDescent="0.25">
      <c r="H24731" s="12"/>
      <c r="I24731" s="12"/>
      <c r="J24731" s="12"/>
      <c r="K24731" s="12"/>
      <c r="L24731" s="12"/>
      <c r="M24731" s="11"/>
      <c r="N24731" s="11"/>
      <c r="O24731" s="11"/>
      <c r="P24731" s="11"/>
    </row>
    <row r="24732" spans="8:16" x14ac:dyDescent="0.25">
      <c r="H24732" s="12"/>
      <c r="I24732" s="12"/>
      <c r="J24732" s="12"/>
      <c r="K24732" s="12"/>
      <c r="L24732" s="12"/>
      <c r="M24732" s="11"/>
      <c r="N24732" s="11"/>
      <c r="O24732" s="11"/>
      <c r="P24732" s="11"/>
    </row>
    <row r="24733" spans="8:16" x14ac:dyDescent="0.25">
      <c r="H24733" s="12"/>
      <c r="I24733" s="12"/>
      <c r="J24733" s="12"/>
      <c r="K24733" s="12"/>
      <c r="L24733" s="12"/>
      <c r="M24733" s="11"/>
      <c r="N24733" s="11"/>
      <c r="O24733" s="11"/>
      <c r="P24733" s="11"/>
    </row>
    <row r="24734" spans="8:16" x14ac:dyDescent="0.25">
      <c r="H24734" s="12"/>
      <c r="I24734" s="12"/>
      <c r="J24734" s="12"/>
      <c r="K24734" s="12"/>
      <c r="L24734" s="12"/>
      <c r="M24734" s="11"/>
      <c r="N24734" s="11"/>
      <c r="O24734" s="11"/>
      <c r="P24734" s="11"/>
    </row>
    <row r="24735" spans="8:16" x14ac:dyDescent="0.25">
      <c r="H24735" s="12"/>
      <c r="I24735" s="12"/>
      <c r="J24735" s="12"/>
      <c r="K24735" s="12"/>
      <c r="L24735" s="12"/>
      <c r="M24735" s="11"/>
      <c r="N24735" s="11"/>
      <c r="O24735" s="11"/>
      <c r="P24735" s="11"/>
    </row>
    <row r="24736" spans="8:16" x14ac:dyDescent="0.25">
      <c r="H24736" s="12"/>
      <c r="I24736" s="12"/>
      <c r="J24736" s="12"/>
      <c r="K24736" s="12"/>
      <c r="L24736" s="12"/>
      <c r="M24736" s="11"/>
      <c r="N24736" s="11"/>
      <c r="O24736" s="11"/>
      <c r="P24736" s="11"/>
    </row>
    <row r="24737" spans="8:16" x14ac:dyDescent="0.25">
      <c r="H24737" s="12"/>
      <c r="I24737" s="12"/>
      <c r="J24737" s="12"/>
      <c r="K24737" s="12"/>
      <c r="L24737" s="12"/>
      <c r="M24737" s="11"/>
      <c r="N24737" s="11"/>
      <c r="O24737" s="11"/>
      <c r="P24737" s="11"/>
    </row>
    <row r="24738" spans="8:16" x14ac:dyDescent="0.25">
      <c r="H24738" s="12"/>
      <c r="I24738" s="12"/>
      <c r="J24738" s="12"/>
      <c r="K24738" s="12"/>
      <c r="L24738" s="12"/>
      <c r="M24738" s="11"/>
      <c r="N24738" s="11"/>
      <c r="O24738" s="11"/>
      <c r="P24738" s="11"/>
    </row>
    <row r="24739" spans="8:16" x14ac:dyDescent="0.25">
      <c r="H24739" s="12"/>
      <c r="I24739" s="12"/>
      <c r="J24739" s="12"/>
      <c r="K24739" s="12"/>
      <c r="L24739" s="12"/>
      <c r="M24739" s="11"/>
      <c r="N24739" s="11"/>
      <c r="O24739" s="11"/>
      <c r="P24739" s="11"/>
    </row>
    <row r="24740" spans="8:16" x14ac:dyDescent="0.25">
      <c r="H24740" s="12"/>
      <c r="I24740" s="12"/>
      <c r="J24740" s="12"/>
      <c r="K24740" s="12"/>
      <c r="L24740" s="12"/>
      <c r="M24740" s="11"/>
      <c r="N24740" s="11"/>
      <c r="O24740" s="11"/>
      <c r="P24740" s="11"/>
    </row>
    <row r="24741" spans="8:16" x14ac:dyDescent="0.25">
      <c r="H24741" s="12"/>
      <c r="I24741" s="12"/>
      <c r="J24741" s="12"/>
      <c r="K24741" s="12"/>
      <c r="L24741" s="12"/>
      <c r="M24741" s="11"/>
      <c r="N24741" s="11"/>
      <c r="O24741" s="11"/>
      <c r="P24741" s="11"/>
    </row>
    <row r="24742" spans="8:16" x14ac:dyDescent="0.25">
      <c r="H24742" s="12"/>
      <c r="I24742" s="12"/>
      <c r="J24742" s="12"/>
      <c r="K24742" s="12"/>
      <c r="L24742" s="12"/>
      <c r="M24742" s="11"/>
      <c r="N24742" s="11"/>
      <c r="O24742" s="11"/>
      <c r="P24742" s="11"/>
    </row>
    <row r="24743" spans="8:16" x14ac:dyDescent="0.25">
      <c r="H24743" s="12"/>
      <c r="I24743" s="12"/>
      <c r="J24743" s="12"/>
      <c r="K24743" s="12"/>
      <c r="L24743" s="12"/>
      <c r="M24743" s="11"/>
      <c r="N24743" s="11"/>
      <c r="O24743" s="11"/>
      <c r="P24743" s="11"/>
    </row>
    <row r="24744" spans="8:16" x14ac:dyDescent="0.25">
      <c r="H24744" s="12"/>
      <c r="I24744" s="12"/>
      <c r="J24744" s="12"/>
      <c r="K24744" s="12"/>
      <c r="L24744" s="12"/>
      <c r="M24744" s="11"/>
      <c r="N24744" s="11"/>
      <c r="O24744" s="11"/>
      <c r="P24744" s="11"/>
    </row>
    <row r="24745" spans="8:16" x14ac:dyDescent="0.25">
      <c r="H24745" s="12"/>
      <c r="I24745" s="12"/>
      <c r="J24745" s="12"/>
      <c r="K24745" s="12"/>
      <c r="L24745" s="12"/>
      <c r="M24745" s="11"/>
      <c r="N24745" s="11"/>
      <c r="O24745" s="11"/>
      <c r="P24745" s="11"/>
    </row>
    <row r="24746" spans="8:16" x14ac:dyDescent="0.25">
      <c r="H24746" s="12"/>
      <c r="I24746" s="12"/>
      <c r="J24746" s="12"/>
      <c r="K24746" s="12"/>
      <c r="L24746" s="12"/>
      <c r="M24746" s="11"/>
      <c r="N24746" s="11"/>
      <c r="O24746" s="11"/>
      <c r="P24746" s="11"/>
    </row>
    <row r="24747" spans="8:16" x14ac:dyDescent="0.25">
      <c r="H24747" s="12"/>
      <c r="I24747" s="12"/>
      <c r="J24747" s="12"/>
      <c r="K24747" s="12"/>
      <c r="L24747" s="12"/>
      <c r="M24747" s="11"/>
      <c r="N24747" s="11"/>
      <c r="O24747" s="11"/>
      <c r="P24747" s="11"/>
    </row>
    <row r="24748" spans="8:16" x14ac:dyDescent="0.25">
      <c r="H24748" s="12"/>
      <c r="I24748" s="12"/>
      <c r="J24748" s="12"/>
      <c r="K24748" s="12"/>
      <c r="L24748" s="12"/>
      <c r="M24748" s="11"/>
      <c r="N24748" s="11"/>
      <c r="O24748" s="11"/>
      <c r="P24748" s="11"/>
    </row>
    <row r="24749" spans="8:16" x14ac:dyDescent="0.25">
      <c r="H24749" s="12"/>
      <c r="I24749" s="12"/>
      <c r="J24749" s="12"/>
      <c r="K24749" s="12"/>
      <c r="L24749" s="12"/>
      <c r="M24749" s="11"/>
      <c r="N24749" s="11"/>
      <c r="O24749" s="11"/>
      <c r="P24749" s="11"/>
    </row>
    <row r="24750" spans="8:16" x14ac:dyDescent="0.25">
      <c r="H24750" s="12"/>
      <c r="I24750" s="12"/>
      <c r="J24750" s="12"/>
      <c r="K24750" s="12"/>
      <c r="L24750" s="12"/>
      <c r="M24750" s="11"/>
      <c r="N24750" s="11"/>
      <c r="O24750" s="11"/>
      <c r="P24750" s="11"/>
    </row>
    <row r="24751" spans="8:16" x14ac:dyDescent="0.25">
      <c r="H24751" s="12"/>
      <c r="I24751" s="12"/>
      <c r="J24751" s="12"/>
      <c r="K24751" s="12"/>
      <c r="L24751" s="12"/>
      <c r="M24751" s="11"/>
      <c r="N24751" s="11"/>
      <c r="O24751" s="11"/>
      <c r="P24751" s="11"/>
    </row>
    <row r="24752" spans="8:16" x14ac:dyDescent="0.25">
      <c r="H24752" s="12"/>
      <c r="I24752" s="12"/>
      <c r="J24752" s="12"/>
      <c r="K24752" s="12"/>
      <c r="L24752" s="12"/>
      <c r="M24752" s="11"/>
      <c r="N24752" s="11"/>
      <c r="O24752" s="11"/>
      <c r="P24752" s="11"/>
    </row>
    <row r="24753" spans="8:16" x14ac:dyDescent="0.25">
      <c r="H24753" s="12"/>
      <c r="I24753" s="12"/>
      <c r="J24753" s="12"/>
      <c r="K24753" s="12"/>
      <c r="L24753" s="12"/>
      <c r="M24753" s="11"/>
      <c r="N24753" s="11"/>
      <c r="O24753" s="11"/>
      <c r="P24753" s="11"/>
    </row>
    <row r="24754" spans="8:16" x14ac:dyDescent="0.25">
      <c r="H24754" s="12"/>
      <c r="I24754" s="12"/>
      <c r="J24754" s="12"/>
      <c r="K24754" s="12"/>
      <c r="L24754" s="12"/>
      <c r="M24754" s="11"/>
      <c r="N24754" s="11"/>
      <c r="O24754" s="11"/>
      <c r="P24754" s="11"/>
    </row>
    <row r="24755" spans="8:16" x14ac:dyDescent="0.25">
      <c r="H24755" s="12"/>
      <c r="I24755" s="12"/>
      <c r="J24755" s="12"/>
      <c r="K24755" s="12"/>
      <c r="L24755" s="12"/>
      <c r="M24755" s="11"/>
      <c r="N24755" s="11"/>
      <c r="O24755" s="11"/>
      <c r="P24755" s="11"/>
    </row>
    <row r="24756" spans="8:16" x14ac:dyDescent="0.25">
      <c r="H24756" s="12"/>
      <c r="I24756" s="12"/>
      <c r="J24756" s="12"/>
      <c r="K24756" s="12"/>
      <c r="L24756" s="12"/>
      <c r="M24756" s="11"/>
      <c r="N24756" s="11"/>
      <c r="O24756" s="11"/>
      <c r="P24756" s="11"/>
    </row>
    <row r="24757" spans="8:16" x14ac:dyDescent="0.25">
      <c r="H24757" s="12"/>
      <c r="I24757" s="12"/>
      <c r="J24757" s="12"/>
      <c r="K24757" s="12"/>
      <c r="L24757" s="12"/>
      <c r="M24757" s="11"/>
      <c r="N24757" s="11"/>
      <c r="O24757" s="11"/>
      <c r="P24757" s="11"/>
    </row>
    <row r="24758" spans="8:16" x14ac:dyDescent="0.25">
      <c r="H24758" s="12"/>
      <c r="I24758" s="12"/>
      <c r="J24758" s="12"/>
      <c r="K24758" s="12"/>
      <c r="L24758" s="12"/>
      <c r="M24758" s="11"/>
      <c r="N24758" s="11"/>
      <c r="O24758" s="11"/>
      <c r="P24758" s="11"/>
    </row>
    <row r="24759" spans="8:16" x14ac:dyDescent="0.25">
      <c r="H24759" s="12"/>
      <c r="I24759" s="12"/>
      <c r="J24759" s="12"/>
      <c r="K24759" s="12"/>
      <c r="L24759" s="12"/>
      <c r="M24759" s="11"/>
      <c r="N24759" s="11"/>
      <c r="O24759" s="11"/>
      <c r="P24759" s="11"/>
    </row>
    <row r="24760" spans="8:16" x14ac:dyDescent="0.25">
      <c r="H24760" s="12"/>
      <c r="I24760" s="12"/>
      <c r="J24760" s="12"/>
      <c r="K24760" s="12"/>
      <c r="L24760" s="12"/>
      <c r="M24760" s="11"/>
      <c r="N24760" s="11"/>
      <c r="O24760" s="11"/>
      <c r="P24760" s="11"/>
    </row>
    <row r="24761" spans="8:16" x14ac:dyDescent="0.25">
      <c r="H24761" s="12"/>
      <c r="I24761" s="12"/>
      <c r="J24761" s="12"/>
      <c r="K24761" s="12"/>
      <c r="L24761" s="12"/>
      <c r="M24761" s="11"/>
      <c r="N24761" s="11"/>
      <c r="O24761" s="11"/>
      <c r="P24761" s="11"/>
    </row>
    <row r="24762" spans="8:16" x14ac:dyDescent="0.25">
      <c r="H24762" s="12"/>
      <c r="I24762" s="12"/>
      <c r="J24762" s="12"/>
      <c r="K24762" s="12"/>
      <c r="L24762" s="12"/>
      <c r="M24762" s="11"/>
      <c r="N24762" s="11"/>
      <c r="O24762" s="11"/>
      <c r="P24762" s="11"/>
    </row>
    <row r="24763" spans="8:16" x14ac:dyDescent="0.25">
      <c r="H24763" s="12"/>
      <c r="I24763" s="12"/>
      <c r="J24763" s="12"/>
      <c r="K24763" s="12"/>
      <c r="L24763" s="12"/>
      <c r="M24763" s="11"/>
      <c r="N24763" s="11"/>
      <c r="O24763" s="11"/>
      <c r="P24763" s="11"/>
    </row>
    <row r="24764" spans="8:16" x14ac:dyDescent="0.25">
      <c r="H24764" s="12"/>
      <c r="I24764" s="12"/>
      <c r="J24764" s="12"/>
      <c r="K24764" s="12"/>
      <c r="L24764" s="12"/>
      <c r="M24764" s="11"/>
      <c r="N24764" s="11"/>
      <c r="O24764" s="11"/>
      <c r="P24764" s="11"/>
    </row>
    <row r="24765" spans="8:16" x14ac:dyDescent="0.25">
      <c r="H24765" s="12"/>
      <c r="I24765" s="12"/>
      <c r="J24765" s="12"/>
      <c r="K24765" s="12"/>
      <c r="L24765" s="12"/>
      <c r="M24765" s="11"/>
      <c r="N24765" s="11"/>
      <c r="O24765" s="11"/>
      <c r="P24765" s="11"/>
    </row>
    <row r="24766" spans="8:16" x14ac:dyDescent="0.25">
      <c r="H24766" s="12"/>
      <c r="I24766" s="12"/>
      <c r="J24766" s="12"/>
      <c r="K24766" s="12"/>
      <c r="L24766" s="12"/>
      <c r="M24766" s="11"/>
      <c r="N24766" s="11"/>
      <c r="O24766" s="11"/>
      <c r="P24766" s="11"/>
    </row>
    <row r="24767" spans="8:16" x14ac:dyDescent="0.25">
      <c r="H24767" s="12"/>
      <c r="I24767" s="12"/>
      <c r="J24767" s="12"/>
      <c r="K24767" s="12"/>
      <c r="L24767" s="12"/>
      <c r="M24767" s="11"/>
      <c r="N24767" s="11"/>
      <c r="O24767" s="11"/>
      <c r="P24767" s="11"/>
    </row>
    <row r="24768" spans="8:16" x14ac:dyDescent="0.25">
      <c r="H24768" s="12"/>
      <c r="I24768" s="12"/>
      <c r="J24768" s="12"/>
      <c r="K24768" s="12"/>
      <c r="L24768" s="12"/>
      <c r="M24768" s="11"/>
      <c r="N24768" s="11"/>
      <c r="O24768" s="11"/>
      <c r="P24768" s="11"/>
    </row>
    <row r="24769" spans="8:16" x14ac:dyDescent="0.25">
      <c r="H24769" s="12"/>
      <c r="I24769" s="12"/>
      <c r="J24769" s="12"/>
      <c r="K24769" s="12"/>
      <c r="L24769" s="12"/>
      <c r="M24769" s="11"/>
      <c r="N24769" s="11"/>
      <c r="O24769" s="11"/>
      <c r="P24769" s="11"/>
    </row>
    <row r="24770" spans="8:16" x14ac:dyDescent="0.25">
      <c r="H24770" s="12"/>
      <c r="I24770" s="12"/>
      <c r="J24770" s="12"/>
      <c r="K24770" s="12"/>
      <c r="L24770" s="12"/>
      <c r="M24770" s="11"/>
      <c r="N24770" s="11"/>
      <c r="O24770" s="11"/>
      <c r="P24770" s="11"/>
    </row>
    <row r="24771" spans="8:16" x14ac:dyDescent="0.25">
      <c r="H24771" s="12"/>
      <c r="I24771" s="12"/>
      <c r="J24771" s="12"/>
      <c r="K24771" s="12"/>
      <c r="L24771" s="12"/>
      <c r="M24771" s="11"/>
      <c r="N24771" s="11"/>
      <c r="O24771" s="11"/>
      <c r="P24771" s="11"/>
    </row>
    <row r="24772" spans="8:16" x14ac:dyDescent="0.25">
      <c r="H24772" s="12"/>
      <c r="I24772" s="12"/>
      <c r="J24772" s="12"/>
      <c r="K24772" s="12"/>
      <c r="L24772" s="12"/>
      <c r="M24772" s="11"/>
      <c r="N24772" s="11"/>
      <c r="O24772" s="11"/>
      <c r="P24772" s="11"/>
    </row>
    <row r="24773" spans="8:16" x14ac:dyDescent="0.25">
      <c r="H24773" s="12"/>
      <c r="I24773" s="12"/>
      <c r="J24773" s="12"/>
      <c r="K24773" s="12"/>
      <c r="L24773" s="12"/>
      <c r="M24773" s="11"/>
      <c r="N24773" s="11"/>
      <c r="O24773" s="11"/>
      <c r="P24773" s="11"/>
    </row>
    <row r="24774" spans="8:16" x14ac:dyDescent="0.25">
      <c r="H24774" s="12"/>
      <c r="I24774" s="12"/>
      <c r="J24774" s="12"/>
      <c r="K24774" s="12"/>
      <c r="L24774" s="12"/>
      <c r="M24774" s="11"/>
      <c r="N24774" s="11"/>
      <c r="O24774" s="11"/>
      <c r="P24774" s="11"/>
    </row>
    <row r="24775" spans="8:16" x14ac:dyDescent="0.25">
      <c r="H24775" s="12"/>
      <c r="I24775" s="12"/>
      <c r="J24775" s="12"/>
      <c r="K24775" s="12"/>
      <c r="L24775" s="12"/>
      <c r="M24775" s="11"/>
      <c r="N24775" s="11"/>
      <c r="O24775" s="11"/>
      <c r="P24775" s="11"/>
    </row>
    <row r="24776" spans="8:16" x14ac:dyDescent="0.25">
      <c r="H24776" s="12"/>
      <c r="I24776" s="12"/>
      <c r="J24776" s="12"/>
      <c r="K24776" s="12"/>
      <c r="L24776" s="12"/>
      <c r="M24776" s="11"/>
      <c r="N24776" s="11"/>
      <c r="O24776" s="11"/>
      <c r="P24776" s="11"/>
    </row>
    <row r="24777" spans="8:16" x14ac:dyDescent="0.25">
      <c r="H24777" s="12"/>
      <c r="I24777" s="12"/>
      <c r="J24777" s="12"/>
      <c r="K24777" s="12"/>
      <c r="L24777" s="12"/>
      <c r="M24777" s="11"/>
      <c r="N24777" s="11"/>
      <c r="O24777" s="11"/>
      <c r="P24777" s="11"/>
    </row>
    <row r="24778" spans="8:16" x14ac:dyDescent="0.25">
      <c r="H24778" s="12"/>
      <c r="I24778" s="12"/>
      <c r="J24778" s="12"/>
      <c r="K24778" s="12"/>
      <c r="L24778" s="12"/>
      <c r="M24778" s="11"/>
      <c r="N24778" s="11"/>
      <c r="O24778" s="11"/>
      <c r="P24778" s="11"/>
    </row>
    <row r="24779" spans="8:16" x14ac:dyDescent="0.25">
      <c r="H24779" s="12"/>
      <c r="I24779" s="12"/>
      <c r="J24779" s="12"/>
      <c r="K24779" s="12"/>
      <c r="L24779" s="12"/>
      <c r="M24779" s="11"/>
      <c r="N24779" s="11"/>
      <c r="O24779" s="11"/>
      <c r="P24779" s="11"/>
    </row>
    <row r="24780" spans="8:16" x14ac:dyDescent="0.25">
      <c r="H24780" s="12"/>
      <c r="I24780" s="12"/>
      <c r="J24780" s="12"/>
      <c r="K24780" s="12"/>
      <c r="L24780" s="12"/>
      <c r="M24780" s="11"/>
      <c r="N24780" s="11"/>
      <c r="O24780" s="11"/>
      <c r="P24780" s="11"/>
    </row>
    <row r="24781" spans="8:16" x14ac:dyDescent="0.25">
      <c r="H24781" s="12"/>
      <c r="I24781" s="12"/>
      <c r="J24781" s="12"/>
      <c r="K24781" s="12"/>
      <c r="L24781" s="12"/>
      <c r="M24781" s="11"/>
      <c r="N24781" s="11"/>
      <c r="O24781" s="11"/>
      <c r="P24781" s="11"/>
    </row>
    <row r="24782" spans="8:16" x14ac:dyDescent="0.25">
      <c r="H24782" s="12"/>
      <c r="I24782" s="12"/>
      <c r="J24782" s="12"/>
      <c r="K24782" s="12"/>
      <c r="L24782" s="12"/>
      <c r="M24782" s="11"/>
      <c r="N24782" s="11"/>
      <c r="O24782" s="11"/>
      <c r="P24782" s="11"/>
    </row>
    <row r="24783" spans="8:16" x14ac:dyDescent="0.25">
      <c r="H24783" s="12"/>
      <c r="I24783" s="12"/>
      <c r="J24783" s="12"/>
      <c r="K24783" s="12"/>
      <c r="L24783" s="12"/>
      <c r="M24783" s="11"/>
      <c r="N24783" s="11"/>
      <c r="O24783" s="11"/>
      <c r="P24783" s="11"/>
    </row>
    <row r="24784" spans="8:16" x14ac:dyDescent="0.25">
      <c r="H24784" s="12"/>
      <c r="I24784" s="12"/>
      <c r="J24784" s="12"/>
      <c r="K24784" s="12"/>
      <c r="L24784" s="12"/>
      <c r="M24784" s="11"/>
      <c r="N24784" s="11"/>
      <c r="O24784" s="11"/>
      <c r="P24784" s="11"/>
    </row>
    <row r="24785" spans="8:16" x14ac:dyDescent="0.25">
      <c r="H24785" s="12"/>
      <c r="I24785" s="12"/>
      <c r="J24785" s="12"/>
      <c r="K24785" s="12"/>
      <c r="L24785" s="12"/>
      <c r="M24785" s="11"/>
      <c r="N24785" s="11"/>
      <c r="O24785" s="11"/>
      <c r="P24785" s="11"/>
    </row>
    <row r="24786" spans="8:16" x14ac:dyDescent="0.25">
      <c r="H24786" s="12"/>
      <c r="I24786" s="12"/>
      <c r="J24786" s="12"/>
      <c r="K24786" s="12"/>
      <c r="L24786" s="12"/>
      <c r="M24786" s="11"/>
      <c r="N24786" s="11"/>
      <c r="O24786" s="11"/>
      <c r="P24786" s="11"/>
    </row>
    <row r="24787" spans="8:16" x14ac:dyDescent="0.25">
      <c r="H24787" s="12"/>
      <c r="I24787" s="12"/>
      <c r="J24787" s="12"/>
      <c r="K24787" s="12"/>
      <c r="L24787" s="12"/>
      <c r="M24787" s="11"/>
      <c r="N24787" s="11"/>
      <c r="O24787" s="11"/>
      <c r="P24787" s="11"/>
    </row>
    <row r="24788" spans="8:16" x14ac:dyDescent="0.25">
      <c r="H24788" s="12"/>
      <c r="I24788" s="12"/>
      <c r="J24788" s="12"/>
      <c r="K24788" s="12"/>
      <c r="L24788" s="12"/>
      <c r="M24788" s="11"/>
      <c r="N24788" s="11"/>
      <c r="O24788" s="11"/>
      <c r="P24788" s="11"/>
    </row>
    <row r="24789" spans="8:16" x14ac:dyDescent="0.25">
      <c r="H24789" s="12"/>
      <c r="I24789" s="12"/>
      <c r="J24789" s="12"/>
      <c r="K24789" s="12"/>
      <c r="L24789" s="12"/>
      <c r="M24789" s="11"/>
      <c r="N24789" s="11"/>
      <c r="O24789" s="11"/>
      <c r="P24789" s="11"/>
    </row>
    <row r="24790" spans="8:16" x14ac:dyDescent="0.25">
      <c r="H24790" s="12"/>
      <c r="I24790" s="12"/>
      <c r="J24790" s="12"/>
      <c r="K24790" s="12"/>
      <c r="L24790" s="12"/>
      <c r="M24790" s="11"/>
      <c r="N24790" s="11"/>
      <c r="O24790" s="11"/>
      <c r="P24790" s="11"/>
    </row>
    <row r="24791" spans="8:16" x14ac:dyDescent="0.25">
      <c r="H24791" s="12"/>
      <c r="I24791" s="12"/>
      <c r="J24791" s="12"/>
      <c r="K24791" s="12"/>
      <c r="L24791" s="12"/>
      <c r="M24791" s="11"/>
      <c r="N24791" s="11"/>
      <c r="O24791" s="11"/>
      <c r="P24791" s="11"/>
    </row>
    <row r="24792" spans="8:16" x14ac:dyDescent="0.25">
      <c r="H24792" s="12"/>
      <c r="I24792" s="12"/>
      <c r="J24792" s="12"/>
      <c r="K24792" s="12"/>
      <c r="L24792" s="12"/>
      <c r="M24792" s="11"/>
      <c r="N24792" s="11"/>
      <c r="O24792" s="11"/>
      <c r="P24792" s="11"/>
    </row>
    <row r="24793" spans="8:16" x14ac:dyDescent="0.25">
      <c r="H24793" s="12"/>
      <c r="I24793" s="12"/>
      <c r="J24793" s="12"/>
      <c r="K24793" s="12"/>
      <c r="L24793" s="12"/>
      <c r="M24793" s="11"/>
      <c r="N24793" s="11"/>
      <c r="O24793" s="11"/>
      <c r="P24793" s="11"/>
    </row>
    <row r="24794" spans="8:16" x14ac:dyDescent="0.25">
      <c r="H24794" s="12"/>
      <c r="I24794" s="12"/>
      <c r="J24794" s="12"/>
      <c r="K24794" s="12"/>
      <c r="L24794" s="12"/>
      <c r="M24794" s="11"/>
      <c r="N24794" s="11"/>
      <c r="O24794" s="11"/>
      <c r="P24794" s="11"/>
    </row>
    <row r="24795" spans="8:16" x14ac:dyDescent="0.25">
      <c r="H24795" s="12"/>
      <c r="I24795" s="12"/>
      <c r="J24795" s="12"/>
      <c r="K24795" s="12"/>
      <c r="L24795" s="12"/>
      <c r="M24795" s="11"/>
      <c r="N24795" s="11"/>
      <c r="O24795" s="11"/>
      <c r="P24795" s="11"/>
    </row>
    <row r="24796" spans="8:16" x14ac:dyDescent="0.25">
      <c r="H24796" s="12"/>
      <c r="I24796" s="12"/>
      <c r="J24796" s="12"/>
      <c r="K24796" s="12"/>
      <c r="L24796" s="12"/>
      <c r="M24796" s="11"/>
      <c r="N24796" s="11"/>
      <c r="O24796" s="11"/>
      <c r="P24796" s="11"/>
    </row>
    <row r="24797" spans="8:16" x14ac:dyDescent="0.25">
      <c r="H24797" s="12"/>
      <c r="I24797" s="12"/>
      <c r="J24797" s="12"/>
      <c r="K24797" s="12"/>
      <c r="L24797" s="12"/>
      <c r="M24797" s="11"/>
      <c r="N24797" s="11"/>
      <c r="O24797" s="11"/>
      <c r="P24797" s="11"/>
    </row>
    <row r="24798" spans="8:16" x14ac:dyDescent="0.25">
      <c r="H24798" s="12"/>
      <c r="I24798" s="12"/>
      <c r="J24798" s="12"/>
      <c r="K24798" s="12"/>
      <c r="L24798" s="12"/>
      <c r="M24798" s="11"/>
      <c r="N24798" s="11"/>
      <c r="O24798" s="11"/>
      <c r="P24798" s="11"/>
    </row>
    <row r="24799" spans="8:16" x14ac:dyDescent="0.25">
      <c r="H24799" s="12"/>
      <c r="I24799" s="12"/>
      <c r="J24799" s="12"/>
      <c r="K24799" s="12"/>
      <c r="L24799" s="12"/>
      <c r="M24799" s="11"/>
      <c r="N24799" s="11"/>
      <c r="O24799" s="11"/>
      <c r="P24799" s="11"/>
    </row>
    <row r="24800" spans="8:16" x14ac:dyDescent="0.25">
      <c r="H24800" s="12"/>
      <c r="I24800" s="12"/>
      <c r="J24800" s="12"/>
      <c r="K24800" s="12"/>
      <c r="L24800" s="12"/>
      <c r="M24800" s="11"/>
      <c r="N24800" s="11"/>
      <c r="O24800" s="11"/>
      <c r="P24800" s="11"/>
    </row>
    <row r="24801" spans="8:16" x14ac:dyDescent="0.25">
      <c r="H24801" s="12"/>
      <c r="I24801" s="12"/>
      <c r="J24801" s="12"/>
      <c r="K24801" s="12"/>
      <c r="L24801" s="12"/>
      <c r="M24801" s="11"/>
      <c r="N24801" s="11"/>
      <c r="O24801" s="11"/>
      <c r="P24801" s="11"/>
    </row>
    <row r="24802" spans="8:16" x14ac:dyDescent="0.25">
      <c r="H24802" s="12"/>
      <c r="I24802" s="12"/>
      <c r="J24802" s="12"/>
      <c r="K24802" s="12"/>
      <c r="L24802" s="12"/>
      <c r="M24802" s="11"/>
      <c r="N24802" s="11"/>
      <c r="O24802" s="11"/>
      <c r="P24802" s="11"/>
    </row>
    <row r="24803" spans="8:16" x14ac:dyDescent="0.25">
      <c r="H24803" s="12"/>
      <c r="I24803" s="12"/>
      <c r="J24803" s="12"/>
      <c r="K24803" s="12"/>
      <c r="L24803" s="12"/>
      <c r="M24803" s="11"/>
      <c r="N24803" s="11"/>
      <c r="O24803" s="11"/>
      <c r="P24803" s="11"/>
    </row>
    <row r="24804" spans="8:16" x14ac:dyDescent="0.25">
      <c r="H24804" s="12"/>
      <c r="I24804" s="12"/>
      <c r="J24804" s="12"/>
      <c r="K24804" s="12"/>
      <c r="L24804" s="12"/>
      <c r="M24804" s="11"/>
      <c r="N24804" s="11"/>
      <c r="O24804" s="11"/>
      <c r="P24804" s="11"/>
    </row>
    <row r="24805" spans="8:16" x14ac:dyDescent="0.25">
      <c r="H24805" s="12"/>
      <c r="I24805" s="12"/>
      <c r="J24805" s="12"/>
      <c r="K24805" s="12"/>
      <c r="L24805" s="12"/>
      <c r="M24805" s="11"/>
      <c r="N24805" s="11"/>
      <c r="O24805" s="11"/>
      <c r="P24805" s="11"/>
    </row>
    <row r="24806" spans="8:16" x14ac:dyDescent="0.25">
      <c r="H24806" s="12"/>
      <c r="I24806" s="12"/>
      <c r="J24806" s="12"/>
      <c r="K24806" s="12"/>
      <c r="L24806" s="12"/>
      <c r="M24806" s="11"/>
      <c r="N24806" s="11"/>
      <c r="O24806" s="11"/>
      <c r="P24806" s="11"/>
    </row>
    <row r="24807" spans="8:16" x14ac:dyDescent="0.25">
      <c r="H24807" s="12"/>
      <c r="I24807" s="12"/>
      <c r="J24807" s="12"/>
      <c r="K24807" s="12"/>
      <c r="L24807" s="12"/>
      <c r="M24807" s="11"/>
      <c r="N24807" s="11"/>
      <c r="O24807" s="11"/>
      <c r="P24807" s="11"/>
    </row>
    <row r="24808" spans="8:16" x14ac:dyDescent="0.25">
      <c r="H24808" s="12"/>
      <c r="I24808" s="12"/>
      <c r="J24808" s="12"/>
      <c r="K24808" s="12"/>
      <c r="L24808" s="12"/>
      <c r="M24808" s="11"/>
      <c r="N24808" s="11"/>
      <c r="O24808" s="11"/>
      <c r="P24808" s="11"/>
    </row>
    <row r="24809" spans="8:16" x14ac:dyDescent="0.25">
      <c r="H24809" s="12"/>
      <c r="I24809" s="12"/>
      <c r="J24809" s="12"/>
      <c r="K24809" s="12"/>
      <c r="L24809" s="12"/>
      <c r="M24809" s="11"/>
      <c r="N24809" s="11"/>
      <c r="O24809" s="11"/>
      <c r="P24809" s="11"/>
    </row>
    <row r="24810" spans="8:16" x14ac:dyDescent="0.25">
      <c r="H24810" s="12"/>
      <c r="I24810" s="12"/>
      <c r="J24810" s="12"/>
      <c r="K24810" s="12"/>
      <c r="L24810" s="12"/>
      <c r="M24810" s="11"/>
      <c r="N24810" s="11"/>
      <c r="O24810" s="11"/>
      <c r="P24810" s="11"/>
    </row>
    <row r="24811" spans="8:16" x14ac:dyDescent="0.25">
      <c r="H24811" s="12"/>
      <c r="I24811" s="12"/>
      <c r="J24811" s="12"/>
      <c r="K24811" s="12"/>
      <c r="L24811" s="12"/>
      <c r="M24811" s="11"/>
      <c r="N24811" s="11"/>
      <c r="O24811" s="11"/>
      <c r="P24811" s="11"/>
    </row>
    <row r="24812" spans="8:16" x14ac:dyDescent="0.25">
      <c r="H24812" s="12"/>
      <c r="I24812" s="12"/>
      <c r="J24812" s="12"/>
      <c r="K24812" s="12"/>
      <c r="L24812" s="12"/>
      <c r="M24812" s="11"/>
      <c r="N24812" s="11"/>
      <c r="O24812" s="11"/>
      <c r="P24812" s="11"/>
    </row>
    <row r="24813" spans="8:16" x14ac:dyDescent="0.25">
      <c r="H24813" s="12"/>
      <c r="I24813" s="12"/>
      <c r="J24813" s="12"/>
      <c r="K24813" s="12"/>
      <c r="L24813" s="12"/>
      <c r="M24813" s="11"/>
      <c r="N24813" s="11"/>
      <c r="O24813" s="11"/>
      <c r="P24813" s="11"/>
    </row>
    <row r="24814" spans="8:16" x14ac:dyDescent="0.25">
      <c r="H24814" s="12"/>
      <c r="I24814" s="12"/>
      <c r="J24814" s="12"/>
      <c r="K24814" s="12"/>
      <c r="L24814" s="12"/>
      <c r="M24814" s="11"/>
      <c r="N24814" s="11"/>
      <c r="O24814" s="11"/>
      <c r="P24814" s="11"/>
    </row>
    <row r="24815" spans="8:16" x14ac:dyDescent="0.25">
      <c r="H24815" s="12"/>
      <c r="I24815" s="12"/>
      <c r="J24815" s="12"/>
      <c r="K24815" s="12"/>
      <c r="L24815" s="12"/>
      <c r="M24815" s="11"/>
      <c r="N24815" s="11"/>
      <c r="O24815" s="11"/>
      <c r="P24815" s="11"/>
    </row>
    <row r="24816" spans="8:16" x14ac:dyDescent="0.25">
      <c r="H24816" s="12"/>
      <c r="I24816" s="12"/>
      <c r="J24816" s="12"/>
      <c r="K24816" s="12"/>
      <c r="L24816" s="12"/>
      <c r="M24816" s="11"/>
      <c r="N24816" s="11"/>
      <c r="O24816" s="11"/>
      <c r="P24816" s="11"/>
    </row>
    <row r="24817" spans="8:16" x14ac:dyDescent="0.25">
      <c r="H24817" s="12"/>
      <c r="I24817" s="12"/>
      <c r="J24817" s="12"/>
      <c r="K24817" s="12"/>
      <c r="L24817" s="12"/>
      <c r="M24817" s="11"/>
      <c r="N24817" s="11"/>
      <c r="O24817" s="11"/>
      <c r="P24817" s="11"/>
    </row>
    <row r="24818" spans="8:16" x14ac:dyDescent="0.25">
      <c r="H24818" s="12"/>
      <c r="I24818" s="12"/>
      <c r="J24818" s="12"/>
      <c r="K24818" s="12"/>
      <c r="L24818" s="12"/>
      <c r="M24818" s="11"/>
      <c r="N24818" s="11"/>
      <c r="O24818" s="11"/>
      <c r="P24818" s="11"/>
    </row>
    <row r="24819" spans="8:16" x14ac:dyDescent="0.25">
      <c r="H24819" s="12"/>
      <c r="I24819" s="12"/>
      <c r="J24819" s="12"/>
      <c r="K24819" s="12"/>
      <c r="L24819" s="12"/>
      <c r="M24819" s="11"/>
      <c r="N24819" s="11"/>
      <c r="O24819" s="11"/>
      <c r="P24819" s="11"/>
    </row>
    <row r="24820" spans="8:16" x14ac:dyDescent="0.25">
      <c r="H24820" s="12"/>
      <c r="I24820" s="12"/>
      <c r="J24820" s="12"/>
      <c r="K24820" s="12"/>
      <c r="L24820" s="12"/>
      <c r="M24820" s="11"/>
      <c r="N24820" s="11"/>
      <c r="O24820" s="11"/>
      <c r="P24820" s="11"/>
    </row>
    <row r="24821" spans="8:16" x14ac:dyDescent="0.25">
      <c r="H24821" s="12"/>
      <c r="I24821" s="12"/>
      <c r="J24821" s="12"/>
      <c r="K24821" s="12"/>
      <c r="L24821" s="12"/>
      <c r="M24821" s="11"/>
      <c r="N24821" s="11"/>
      <c r="O24821" s="11"/>
      <c r="P24821" s="11"/>
    </row>
    <row r="24822" spans="8:16" x14ac:dyDescent="0.25">
      <c r="H24822" s="12"/>
      <c r="I24822" s="12"/>
      <c r="J24822" s="12"/>
      <c r="K24822" s="12"/>
      <c r="L24822" s="12"/>
      <c r="M24822" s="11"/>
      <c r="N24822" s="11"/>
      <c r="O24822" s="11"/>
      <c r="P24822" s="11"/>
    </row>
    <row r="24823" spans="8:16" x14ac:dyDescent="0.25">
      <c r="H24823" s="12"/>
      <c r="I24823" s="12"/>
      <c r="J24823" s="12"/>
      <c r="K24823" s="12"/>
      <c r="L24823" s="12"/>
      <c r="M24823" s="11"/>
      <c r="N24823" s="11"/>
      <c r="O24823" s="11"/>
      <c r="P24823" s="11"/>
    </row>
    <row r="24824" spans="8:16" x14ac:dyDescent="0.25">
      <c r="H24824" s="12"/>
      <c r="I24824" s="12"/>
      <c r="J24824" s="12"/>
      <c r="K24824" s="12"/>
      <c r="L24824" s="12"/>
      <c r="M24824" s="11"/>
      <c r="N24824" s="11"/>
      <c r="O24824" s="11"/>
      <c r="P24824" s="11"/>
    </row>
    <row r="24825" spans="8:16" x14ac:dyDescent="0.25">
      <c r="H24825" s="12"/>
      <c r="I24825" s="12"/>
      <c r="J24825" s="12"/>
      <c r="K24825" s="12"/>
      <c r="L24825" s="12"/>
      <c r="M24825" s="11"/>
      <c r="N24825" s="11"/>
      <c r="O24825" s="11"/>
      <c r="P24825" s="11"/>
    </row>
    <row r="24826" spans="8:16" x14ac:dyDescent="0.25">
      <c r="H24826" s="12"/>
      <c r="I24826" s="12"/>
      <c r="J24826" s="12"/>
      <c r="K24826" s="12"/>
      <c r="L24826" s="12"/>
      <c r="M24826" s="11"/>
      <c r="N24826" s="11"/>
      <c r="O24826" s="11"/>
      <c r="P24826" s="11"/>
    </row>
    <row r="24827" spans="8:16" x14ac:dyDescent="0.25">
      <c r="H24827" s="12"/>
      <c r="I24827" s="12"/>
      <c r="J24827" s="12"/>
      <c r="K24827" s="12"/>
      <c r="L24827" s="12"/>
      <c r="M24827" s="11"/>
      <c r="N24827" s="11"/>
      <c r="O24827" s="11"/>
      <c r="P24827" s="11"/>
    </row>
    <row r="24828" spans="8:16" x14ac:dyDescent="0.25">
      <c r="H24828" s="12"/>
      <c r="I24828" s="12"/>
      <c r="J24828" s="12"/>
      <c r="K24828" s="12"/>
      <c r="L24828" s="12"/>
      <c r="M24828" s="11"/>
      <c r="N24828" s="11"/>
      <c r="O24828" s="11"/>
      <c r="P24828" s="11"/>
    </row>
    <row r="24829" spans="8:16" x14ac:dyDescent="0.25">
      <c r="H24829" s="12"/>
      <c r="I24829" s="12"/>
      <c r="J24829" s="12"/>
      <c r="K24829" s="12"/>
      <c r="L24829" s="12"/>
      <c r="M24829" s="11"/>
      <c r="N24829" s="11"/>
      <c r="O24829" s="11"/>
      <c r="P24829" s="11"/>
    </row>
    <row r="24830" spans="8:16" x14ac:dyDescent="0.25">
      <c r="H24830" s="12"/>
      <c r="I24830" s="12"/>
      <c r="J24830" s="12"/>
      <c r="K24830" s="12"/>
      <c r="L24830" s="12"/>
      <c r="M24830" s="11"/>
      <c r="N24830" s="11"/>
      <c r="O24830" s="11"/>
      <c r="P24830" s="11"/>
    </row>
    <row r="24831" spans="8:16" x14ac:dyDescent="0.25">
      <c r="H24831" s="12"/>
      <c r="I24831" s="12"/>
      <c r="J24831" s="12"/>
      <c r="K24831" s="12"/>
      <c r="L24831" s="12"/>
      <c r="M24831" s="11"/>
      <c r="N24831" s="11"/>
      <c r="O24831" s="11"/>
      <c r="P24831" s="11"/>
    </row>
    <row r="24832" spans="8:16" x14ac:dyDescent="0.25">
      <c r="H24832" s="12"/>
      <c r="I24832" s="12"/>
      <c r="J24832" s="12"/>
      <c r="K24832" s="12"/>
      <c r="L24832" s="12"/>
      <c r="M24832" s="11"/>
      <c r="N24832" s="11"/>
      <c r="O24832" s="11"/>
      <c r="P24832" s="11"/>
    </row>
    <row r="24833" spans="8:16" x14ac:dyDescent="0.25">
      <c r="H24833" s="12"/>
      <c r="I24833" s="12"/>
      <c r="J24833" s="12"/>
      <c r="K24833" s="12"/>
      <c r="L24833" s="12"/>
      <c r="M24833" s="11"/>
      <c r="N24833" s="11"/>
      <c r="O24833" s="11"/>
      <c r="P24833" s="11"/>
    </row>
    <row r="24834" spans="8:16" x14ac:dyDescent="0.25">
      <c r="H24834" s="12"/>
      <c r="I24834" s="12"/>
      <c r="J24834" s="12"/>
      <c r="K24834" s="12"/>
      <c r="L24834" s="12"/>
      <c r="M24834" s="11"/>
      <c r="N24834" s="11"/>
      <c r="O24834" s="11"/>
      <c r="P24834" s="11"/>
    </row>
    <row r="24835" spans="8:16" x14ac:dyDescent="0.25">
      <c r="H24835" s="12"/>
      <c r="I24835" s="12"/>
      <c r="J24835" s="12"/>
      <c r="K24835" s="12"/>
      <c r="L24835" s="12"/>
      <c r="M24835" s="11"/>
      <c r="N24835" s="11"/>
      <c r="O24835" s="11"/>
      <c r="P24835" s="11"/>
    </row>
    <row r="24836" spans="8:16" x14ac:dyDescent="0.25">
      <c r="H24836" s="12"/>
      <c r="I24836" s="12"/>
      <c r="J24836" s="12"/>
      <c r="K24836" s="12"/>
      <c r="L24836" s="12"/>
      <c r="M24836" s="11"/>
      <c r="N24836" s="11"/>
      <c r="O24836" s="11"/>
      <c r="P24836" s="11"/>
    </row>
    <row r="24837" spans="8:16" x14ac:dyDescent="0.25">
      <c r="H24837" s="12"/>
      <c r="I24837" s="12"/>
      <c r="J24837" s="12"/>
      <c r="K24837" s="12"/>
      <c r="L24837" s="12"/>
      <c r="M24837" s="11"/>
      <c r="N24837" s="11"/>
      <c r="O24837" s="11"/>
      <c r="P24837" s="11"/>
    </row>
    <row r="24838" spans="8:16" x14ac:dyDescent="0.25">
      <c r="H24838" s="12"/>
      <c r="I24838" s="12"/>
      <c r="J24838" s="12"/>
      <c r="K24838" s="12"/>
      <c r="L24838" s="12"/>
      <c r="M24838" s="11"/>
      <c r="N24838" s="11"/>
      <c r="O24838" s="11"/>
      <c r="P24838" s="11"/>
    </row>
    <row r="24839" spans="8:16" x14ac:dyDescent="0.25">
      <c r="H24839" s="12"/>
      <c r="I24839" s="12"/>
      <c r="J24839" s="12"/>
      <c r="K24839" s="12"/>
      <c r="L24839" s="12"/>
      <c r="M24839" s="11"/>
      <c r="N24839" s="11"/>
      <c r="O24839" s="11"/>
      <c r="P24839" s="11"/>
    </row>
    <row r="24840" spans="8:16" x14ac:dyDescent="0.25">
      <c r="H24840" s="12"/>
      <c r="I24840" s="12"/>
      <c r="J24840" s="12"/>
      <c r="K24840" s="12"/>
      <c r="L24840" s="12"/>
      <c r="M24840" s="11"/>
      <c r="N24840" s="11"/>
      <c r="O24840" s="11"/>
      <c r="P24840" s="11"/>
    </row>
    <row r="24841" spans="8:16" x14ac:dyDescent="0.25">
      <c r="H24841" s="12"/>
      <c r="I24841" s="12"/>
      <c r="J24841" s="12"/>
      <c r="K24841" s="12"/>
      <c r="L24841" s="12"/>
      <c r="M24841" s="11"/>
      <c r="N24841" s="11"/>
      <c r="O24841" s="11"/>
      <c r="P24841" s="11"/>
    </row>
    <row r="24842" spans="8:16" x14ac:dyDescent="0.25">
      <c r="H24842" s="12"/>
      <c r="I24842" s="12"/>
      <c r="J24842" s="12"/>
      <c r="K24842" s="12"/>
      <c r="L24842" s="12"/>
      <c r="M24842" s="11"/>
      <c r="N24842" s="11"/>
      <c r="O24842" s="11"/>
      <c r="P24842" s="11"/>
    </row>
    <row r="24843" spans="8:16" x14ac:dyDescent="0.25">
      <c r="H24843" s="12"/>
      <c r="I24843" s="12"/>
      <c r="J24843" s="12"/>
      <c r="K24843" s="12"/>
      <c r="L24843" s="12"/>
      <c r="M24843" s="11"/>
      <c r="N24843" s="11"/>
      <c r="O24843" s="11"/>
      <c r="P24843" s="11"/>
    </row>
    <row r="24844" spans="8:16" x14ac:dyDescent="0.25">
      <c r="H24844" s="12"/>
      <c r="I24844" s="12"/>
      <c r="J24844" s="12"/>
      <c r="K24844" s="12"/>
      <c r="L24844" s="12"/>
      <c r="M24844" s="11"/>
      <c r="N24844" s="11"/>
      <c r="O24844" s="11"/>
      <c r="P24844" s="11"/>
    </row>
    <row r="24845" spans="8:16" x14ac:dyDescent="0.25">
      <c r="H24845" s="12"/>
      <c r="I24845" s="12"/>
      <c r="J24845" s="12"/>
      <c r="K24845" s="12"/>
      <c r="L24845" s="12"/>
      <c r="M24845" s="11"/>
      <c r="N24845" s="11"/>
      <c r="O24845" s="11"/>
      <c r="P24845" s="11"/>
    </row>
    <row r="24846" spans="8:16" x14ac:dyDescent="0.25">
      <c r="H24846" s="12"/>
      <c r="I24846" s="12"/>
      <c r="J24846" s="12"/>
      <c r="K24846" s="12"/>
      <c r="L24846" s="12"/>
      <c r="M24846" s="11"/>
      <c r="N24846" s="11"/>
      <c r="O24846" s="11"/>
      <c r="P24846" s="11"/>
    </row>
    <row r="24847" spans="8:16" x14ac:dyDescent="0.25">
      <c r="H24847" s="12"/>
      <c r="I24847" s="12"/>
      <c r="J24847" s="12"/>
      <c r="K24847" s="12"/>
      <c r="L24847" s="12"/>
      <c r="M24847" s="11"/>
      <c r="N24847" s="11"/>
      <c r="O24847" s="11"/>
      <c r="P24847" s="11"/>
    </row>
    <row r="24848" spans="8:16" x14ac:dyDescent="0.25">
      <c r="H24848" s="12"/>
      <c r="I24848" s="12"/>
      <c r="J24848" s="12"/>
      <c r="K24848" s="12"/>
      <c r="L24848" s="12"/>
      <c r="M24848" s="11"/>
      <c r="N24848" s="11"/>
      <c r="O24848" s="11"/>
      <c r="P24848" s="11"/>
    </row>
    <row r="24849" spans="8:16" x14ac:dyDescent="0.25">
      <c r="H24849" s="12"/>
      <c r="I24849" s="12"/>
      <c r="J24849" s="12"/>
      <c r="K24849" s="12"/>
      <c r="L24849" s="12"/>
      <c r="M24849" s="11"/>
      <c r="N24849" s="11"/>
      <c r="O24849" s="11"/>
      <c r="P24849" s="11"/>
    </row>
    <row r="24850" spans="8:16" x14ac:dyDescent="0.25">
      <c r="H24850" s="12"/>
      <c r="I24850" s="12"/>
      <c r="J24850" s="12"/>
      <c r="K24850" s="12"/>
      <c r="L24850" s="12"/>
      <c r="M24850" s="11"/>
      <c r="N24850" s="11"/>
      <c r="O24850" s="11"/>
      <c r="P24850" s="11"/>
    </row>
    <row r="24851" spans="8:16" x14ac:dyDescent="0.25">
      <c r="H24851" s="12"/>
      <c r="I24851" s="12"/>
      <c r="J24851" s="12"/>
      <c r="K24851" s="12"/>
      <c r="L24851" s="12"/>
      <c r="M24851" s="11"/>
      <c r="N24851" s="11"/>
      <c r="O24851" s="11"/>
      <c r="P24851" s="11"/>
    </row>
    <row r="24852" spans="8:16" x14ac:dyDescent="0.25">
      <c r="H24852" s="12"/>
      <c r="I24852" s="12"/>
      <c r="J24852" s="12"/>
      <c r="K24852" s="12"/>
      <c r="L24852" s="12"/>
      <c r="M24852" s="11"/>
      <c r="N24852" s="11"/>
      <c r="O24852" s="11"/>
      <c r="P24852" s="11"/>
    </row>
    <row r="24853" spans="8:16" x14ac:dyDescent="0.25">
      <c r="H24853" s="12"/>
      <c r="I24853" s="12"/>
      <c r="J24853" s="12"/>
      <c r="K24853" s="12"/>
      <c r="L24853" s="12"/>
      <c r="M24853" s="11"/>
      <c r="N24853" s="11"/>
      <c r="O24853" s="11"/>
      <c r="P24853" s="11"/>
    </row>
    <row r="24854" spans="8:16" x14ac:dyDescent="0.25">
      <c r="H24854" s="12"/>
      <c r="I24854" s="12"/>
      <c r="J24854" s="12"/>
      <c r="K24854" s="12"/>
      <c r="L24854" s="12"/>
      <c r="M24854" s="11"/>
      <c r="N24854" s="11"/>
      <c r="O24854" s="11"/>
      <c r="P24854" s="11"/>
    </row>
    <row r="24855" spans="8:16" x14ac:dyDescent="0.25">
      <c r="H24855" s="12"/>
      <c r="I24855" s="12"/>
      <c r="J24855" s="12"/>
      <c r="K24855" s="12"/>
      <c r="L24855" s="12"/>
      <c r="M24855" s="11"/>
      <c r="N24855" s="11"/>
      <c r="O24855" s="11"/>
      <c r="P24855" s="11"/>
    </row>
    <row r="24856" spans="8:16" x14ac:dyDescent="0.25">
      <c r="H24856" s="12"/>
      <c r="I24856" s="12"/>
      <c r="J24856" s="12"/>
      <c r="K24856" s="12"/>
      <c r="L24856" s="12"/>
      <c r="M24856" s="11"/>
      <c r="N24856" s="11"/>
      <c r="O24856" s="11"/>
      <c r="P24856" s="11"/>
    </row>
    <row r="24857" spans="8:16" x14ac:dyDescent="0.25">
      <c r="H24857" s="12"/>
      <c r="I24857" s="12"/>
      <c r="J24857" s="12"/>
      <c r="K24857" s="12"/>
      <c r="L24857" s="12"/>
      <c r="M24857" s="11"/>
      <c r="N24857" s="11"/>
      <c r="O24857" s="11"/>
      <c r="P24857" s="11"/>
    </row>
    <row r="24858" spans="8:16" x14ac:dyDescent="0.25">
      <c r="H24858" s="12"/>
      <c r="I24858" s="12"/>
      <c r="J24858" s="12"/>
      <c r="K24858" s="12"/>
      <c r="L24858" s="12"/>
      <c r="M24858" s="11"/>
      <c r="N24858" s="11"/>
      <c r="O24858" s="11"/>
      <c r="P24858" s="11"/>
    </row>
    <row r="24859" spans="8:16" x14ac:dyDescent="0.25">
      <c r="H24859" s="12"/>
      <c r="I24859" s="12"/>
      <c r="J24859" s="12"/>
      <c r="K24859" s="12"/>
      <c r="L24859" s="12"/>
      <c r="M24859" s="11"/>
      <c r="N24859" s="11"/>
      <c r="O24859" s="11"/>
      <c r="P24859" s="11"/>
    </row>
    <row r="24860" spans="8:16" x14ac:dyDescent="0.25">
      <c r="H24860" s="12"/>
      <c r="I24860" s="12"/>
      <c r="J24860" s="12"/>
      <c r="K24860" s="12"/>
      <c r="L24860" s="12"/>
      <c r="M24860" s="11"/>
      <c r="N24860" s="11"/>
      <c r="O24860" s="11"/>
      <c r="P24860" s="11"/>
    </row>
    <row r="24861" spans="8:16" x14ac:dyDescent="0.25">
      <c r="H24861" s="12"/>
      <c r="I24861" s="12"/>
      <c r="J24861" s="12"/>
      <c r="K24861" s="12"/>
      <c r="L24861" s="12"/>
      <c r="M24861" s="11"/>
      <c r="N24861" s="11"/>
      <c r="O24861" s="11"/>
      <c r="P24861" s="11"/>
    </row>
    <row r="24862" spans="8:16" x14ac:dyDescent="0.25">
      <c r="H24862" s="12"/>
      <c r="I24862" s="12"/>
      <c r="J24862" s="12"/>
      <c r="K24862" s="12"/>
      <c r="L24862" s="12"/>
      <c r="M24862" s="11"/>
      <c r="N24862" s="11"/>
      <c r="O24862" s="11"/>
      <c r="P24862" s="11"/>
    </row>
    <row r="24863" spans="8:16" x14ac:dyDescent="0.25">
      <c r="H24863" s="12"/>
      <c r="I24863" s="12"/>
      <c r="J24863" s="12"/>
      <c r="K24863" s="12"/>
      <c r="L24863" s="12"/>
      <c r="M24863" s="11"/>
      <c r="N24863" s="11"/>
      <c r="O24863" s="11"/>
      <c r="P24863" s="11"/>
    </row>
    <row r="24864" spans="8:16" x14ac:dyDescent="0.25">
      <c r="H24864" s="12"/>
      <c r="I24864" s="12"/>
      <c r="J24864" s="12"/>
      <c r="K24864" s="12"/>
      <c r="L24864" s="12"/>
      <c r="M24864" s="11"/>
      <c r="N24864" s="11"/>
      <c r="O24864" s="11"/>
      <c r="P24864" s="11"/>
    </row>
    <row r="24865" spans="8:16" x14ac:dyDescent="0.25">
      <c r="H24865" s="12"/>
      <c r="I24865" s="12"/>
      <c r="J24865" s="12"/>
      <c r="K24865" s="12"/>
      <c r="L24865" s="12"/>
      <c r="M24865" s="11"/>
      <c r="N24865" s="11"/>
      <c r="O24865" s="11"/>
      <c r="P24865" s="11"/>
    </row>
    <row r="24866" spans="8:16" x14ac:dyDescent="0.25">
      <c r="H24866" s="12"/>
      <c r="I24866" s="12"/>
      <c r="J24866" s="12"/>
      <c r="K24866" s="12"/>
      <c r="L24866" s="12"/>
      <c r="M24866" s="11"/>
      <c r="N24866" s="11"/>
      <c r="O24866" s="11"/>
      <c r="P24866" s="11"/>
    </row>
    <row r="24867" spans="8:16" x14ac:dyDescent="0.25">
      <c r="H24867" s="12"/>
      <c r="I24867" s="12"/>
      <c r="J24867" s="12"/>
      <c r="K24867" s="12"/>
      <c r="L24867" s="12"/>
      <c r="M24867" s="11"/>
      <c r="N24867" s="11"/>
      <c r="O24867" s="11"/>
      <c r="P24867" s="11"/>
    </row>
    <row r="24868" spans="8:16" x14ac:dyDescent="0.25">
      <c r="H24868" s="12"/>
      <c r="I24868" s="12"/>
      <c r="J24868" s="12"/>
      <c r="K24868" s="12"/>
      <c r="L24868" s="12"/>
      <c r="M24868" s="11"/>
      <c r="N24868" s="11"/>
      <c r="O24868" s="11"/>
      <c r="P24868" s="11"/>
    </row>
    <row r="24869" spans="8:16" x14ac:dyDescent="0.25">
      <c r="H24869" s="12"/>
      <c r="I24869" s="12"/>
      <c r="J24869" s="12"/>
      <c r="K24869" s="12"/>
      <c r="L24869" s="12"/>
      <c r="M24869" s="11"/>
      <c r="N24869" s="11"/>
      <c r="O24869" s="11"/>
      <c r="P24869" s="11"/>
    </row>
    <row r="24870" spans="8:16" x14ac:dyDescent="0.25">
      <c r="H24870" s="12"/>
      <c r="I24870" s="12"/>
      <c r="J24870" s="12"/>
      <c r="K24870" s="12"/>
      <c r="L24870" s="12"/>
      <c r="M24870" s="11"/>
      <c r="N24870" s="11"/>
      <c r="O24870" s="11"/>
      <c r="P24870" s="11"/>
    </row>
    <row r="24871" spans="8:16" x14ac:dyDescent="0.25">
      <c r="H24871" s="12"/>
      <c r="I24871" s="12"/>
      <c r="J24871" s="12"/>
      <c r="K24871" s="12"/>
      <c r="L24871" s="12"/>
      <c r="M24871" s="11"/>
      <c r="N24871" s="11"/>
      <c r="O24871" s="11"/>
      <c r="P24871" s="11"/>
    </row>
    <row r="24872" spans="8:16" x14ac:dyDescent="0.25">
      <c r="H24872" s="12"/>
      <c r="I24872" s="12"/>
      <c r="J24872" s="12"/>
      <c r="K24872" s="12"/>
      <c r="L24872" s="12"/>
      <c r="M24872" s="11"/>
      <c r="N24872" s="11"/>
      <c r="O24872" s="11"/>
      <c r="P24872" s="11"/>
    </row>
    <row r="24873" spans="8:16" x14ac:dyDescent="0.25">
      <c r="H24873" s="12"/>
      <c r="I24873" s="12"/>
      <c r="J24873" s="12"/>
      <c r="K24873" s="12"/>
      <c r="L24873" s="12"/>
      <c r="M24873" s="11"/>
      <c r="N24873" s="11"/>
      <c r="O24873" s="11"/>
      <c r="P24873" s="11"/>
    </row>
    <row r="24874" spans="8:16" x14ac:dyDescent="0.25">
      <c r="H24874" s="12"/>
      <c r="I24874" s="12"/>
      <c r="J24874" s="12"/>
      <c r="K24874" s="12"/>
      <c r="L24874" s="12"/>
      <c r="M24874" s="11"/>
      <c r="N24874" s="11"/>
      <c r="O24874" s="11"/>
      <c r="P24874" s="11"/>
    </row>
    <row r="24875" spans="8:16" x14ac:dyDescent="0.25">
      <c r="H24875" s="12"/>
      <c r="I24875" s="12"/>
      <c r="J24875" s="12"/>
      <c r="K24875" s="12"/>
      <c r="L24875" s="12"/>
      <c r="M24875" s="11"/>
      <c r="N24875" s="11"/>
      <c r="O24875" s="11"/>
      <c r="P24875" s="11"/>
    </row>
    <row r="24876" spans="8:16" x14ac:dyDescent="0.25">
      <c r="H24876" s="12"/>
      <c r="I24876" s="12"/>
      <c r="J24876" s="12"/>
      <c r="K24876" s="12"/>
      <c r="L24876" s="12"/>
      <c r="M24876" s="11"/>
      <c r="N24876" s="11"/>
      <c r="O24876" s="11"/>
      <c r="P24876" s="11"/>
    </row>
    <row r="24877" spans="8:16" x14ac:dyDescent="0.25">
      <c r="H24877" s="12"/>
      <c r="I24877" s="12"/>
      <c r="J24877" s="12"/>
      <c r="K24877" s="12"/>
      <c r="L24877" s="12"/>
      <c r="M24877" s="11"/>
      <c r="N24877" s="11"/>
      <c r="O24877" s="11"/>
      <c r="P24877" s="11"/>
    </row>
    <row r="24878" spans="8:16" x14ac:dyDescent="0.25">
      <c r="H24878" s="12"/>
      <c r="I24878" s="12"/>
      <c r="J24878" s="12"/>
      <c r="K24878" s="12"/>
      <c r="L24878" s="12"/>
      <c r="M24878" s="11"/>
      <c r="N24878" s="11"/>
      <c r="O24878" s="11"/>
      <c r="P24878" s="11"/>
    </row>
    <row r="24879" spans="8:16" x14ac:dyDescent="0.25">
      <c r="H24879" s="12"/>
      <c r="I24879" s="12"/>
      <c r="J24879" s="12"/>
      <c r="K24879" s="12"/>
      <c r="L24879" s="12"/>
      <c r="M24879" s="11"/>
      <c r="N24879" s="11"/>
      <c r="O24879" s="11"/>
      <c r="P24879" s="11"/>
    </row>
    <row r="24880" spans="8:16" x14ac:dyDescent="0.25">
      <c r="H24880" s="12"/>
      <c r="I24880" s="12"/>
      <c r="J24880" s="12"/>
      <c r="K24880" s="12"/>
      <c r="L24880" s="12"/>
      <c r="M24880" s="11"/>
      <c r="N24880" s="11"/>
      <c r="O24880" s="11"/>
      <c r="P24880" s="11"/>
    </row>
    <row r="24881" spans="8:16" x14ac:dyDescent="0.25">
      <c r="H24881" s="12"/>
      <c r="I24881" s="12"/>
      <c r="J24881" s="12"/>
      <c r="K24881" s="12"/>
      <c r="L24881" s="12"/>
      <c r="M24881" s="11"/>
      <c r="N24881" s="11"/>
      <c r="O24881" s="11"/>
      <c r="P24881" s="11"/>
    </row>
    <row r="24882" spans="8:16" x14ac:dyDescent="0.25">
      <c r="H24882" s="12"/>
      <c r="I24882" s="12"/>
      <c r="J24882" s="12"/>
      <c r="K24882" s="12"/>
      <c r="L24882" s="12"/>
      <c r="M24882" s="11"/>
      <c r="N24882" s="11"/>
      <c r="O24882" s="11"/>
      <c r="P24882" s="11"/>
    </row>
    <row r="24883" spans="8:16" x14ac:dyDescent="0.25">
      <c r="H24883" s="12"/>
      <c r="I24883" s="12"/>
      <c r="J24883" s="12"/>
      <c r="K24883" s="12"/>
      <c r="L24883" s="12"/>
      <c r="M24883" s="11"/>
      <c r="N24883" s="11"/>
      <c r="O24883" s="11"/>
      <c r="P24883" s="11"/>
    </row>
    <row r="24884" spans="8:16" x14ac:dyDescent="0.25">
      <c r="H24884" s="12"/>
      <c r="I24884" s="12"/>
      <c r="J24884" s="12"/>
      <c r="K24884" s="12"/>
      <c r="L24884" s="12"/>
      <c r="M24884" s="11"/>
      <c r="N24884" s="11"/>
      <c r="O24884" s="11"/>
      <c r="P24884" s="11"/>
    </row>
    <row r="24885" spans="8:16" x14ac:dyDescent="0.25">
      <c r="H24885" s="12"/>
      <c r="I24885" s="12"/>
      <c r="J24885" s="12"/>
      <c r="K24885" s="12"/>
      <c r="L24885" s="12"/>
      <c r="M24885" s="11"/>
      <c r="N24885" s="11"/>
      <c r="O24885" s="11"/>
      <c r="P24885" s="11"/>
    </row>
    <row r="24886" spans="8:16" x14ac:dyDescent="0.25">
      <c r="H24886" s="12"/>
      <c r="I24886" s="12"/>
      <c r="J24886" s="12"/>
      <c r="K24886" s="12"/>
      <c r="L24886" s="12"/>
      <c r="M24886" s="11"/>
      <c r="N24886" s="11"/>
      <c r="O24886" s="11"/>
      <c r="P24886" s="11"/>
    </row>
    <row r="24887" spans="8:16" x14ac:dyDescent="0.25">
      <c r="H24887" s="12"/>
      <c r="I24887" s="12"/>
      <c r="J24887" s="12"/>
      <c r="K24887" s="12"/>
      <c r="L24887" s="12"/>
      <c r="M24887" s="11"/>
      <c r="N24887" s="11"/>
      <c r="O24887" s="11"/>
      <c r="P24887" s="11"/>
    </row>
    <row r="24888" spans="8:16" x14ac:dyDescent="0.25">
      <c r="H24888" s="12"/>
      <c r="I24888" s="12"/>
      <c r="J24888" s="12"/>
      <c r="K24888" s="12"/>
      <c r="L24888" s="12"/>
      <c r="M24888" s="11"/>
      <c r="N24888" s="11"/>
      <c r="O24888" s="11"/>
      <c r="P24888" s="11"/>
    </row>
    <row r="24889" spans="8:16" x14ac:dyDescent="0.25">
      <c r="H24889" s="12"/>
      <c r="I24889" s="12"/>
      <c r="J24889" s="12"/>
      <c r="K24889" s="12"/>
      <c r="L24889" s="12"/>
      <c r="M24889" s="11"/>
      <c r="N24889" s="11"/>
      <c r="O24889" s="11"/>
      <c r="P24889" s="11"/>
    </row>
    <row r="24890" spans="8:16" x14ac:dyDescent="0.25">
      <c r="H24890" s="12"/>
      <c r="I24890" s="12"/>
      <c r="J24890" s="12"/>
      <c r="K24890" s="12"/>
      <c r="L24890" s="12"/>
      <c r="M24890" s="11"/>
      <c r="N24890" s="11"/>
      <c r="O24890" s="11"/>
      <c r="P24890" s="11"/>
    </row>
    <row r="24891" spans="8:16" x14ac:dyDescent="0.25">
      <c r="H24891" s="12"/>
      <c r="I24891" s="12"/>
      <c r="J24891" s="12"/>
      <c r="K24891" s="12"/>
      <c r="L24891" s="12"/>
      <c r="M24891" s="11"/>
      <c r="N24891" s="11"/>
      <c r="O24891" s="11"/>
      <c r="P24891" s="11"/>
    </row>
    <row r="24892" spans="8:16" x14ac:dyDescent="0.25">
      <c r="H24892" s="12"/>
      <c r="I24892" s="12"/>
      <c r="J24892" s="12"/>
      <c r="K24892" s="12"/>
      <c r="L24892" s="12"/>
      <c r="M24892" s="11"/>
      <c r="N24892" s="11"/>
      <c r="O24892" s="11"/>
      <c r="P24892" s="11"/>
    </row>
    <row r="24893" spans="8:16" x14ac:dyDescent="0.25">
      <c r="H24893" s="12"/>
      <c r="I24893" s="12"/>
      <c r="J24893" s="12"/>
      <c r="K24893" s="12"/>
      <c r="L24893" s="12"/>
      <c r="M24893" s="11"/>
      <c r="N24893" s="11"/>
      <c r="O24893" s="11"/>
      <c r="P24893" s="11"/>
    </row>
    <row r="24894" spans="8:16" x14ac:dyDescent="0.25">
      <c r="H24894" s="12"/>
      <c r="I24894" s="12"/>
      <c r="J24894" s="12"/>
      <c r="K24894" s="12"/>
      <c r="L24894" s="12"/>
      <c r="M24894" s="11"/>
      <c r="N24894" s="11"/>
      <c r="O24894" s="11"/>
      <c r="P24894" s="11"/>
    </row>
    <row r="24895" spans="8:16" x14ac:dyDescent="0.25">
      <c r="H24895" s="12"/>
      <c r="I24895" s="12"/>
      <c r="J24895" s="12"/>
      <c r="K24895" s="12"/>
      <c r="L24895" s="12"/>
      <c r="M24895" s="11"/>
      <c r="N24895" s="11"/>
      <c r="O24895" s="11"/>
      <c r="P24895" s="11"/>
    </row>
    <row r="24896" spans="8:16" x14ac:dyDescent="0.25">
      <c r="H24896" s="12"/>
      <c r="I24896" s="12"/>
      <c r="J24896" s="12"/>
      <c r="K24896" s="12"/>
      <c r="L24896" s="12"/>
      <c r="M24896" s="11"/>
      <c r="N24896" s="11"/>
      <c r="O24896" s="11"/>
      <c r="P24896" s="11"/>
    </row>
    <row r="24897" spans="8:16" x14ac:dyDescent="0.25">
      <c r="H24897" s="12"/>
      <c r="I24897" s="12"/>
      <c r="J24897" s="12"/>
      <c r="K24897" s="12"/>
      <c r="L24897" s="12"/>
      <c r="M24897" s="11"/>
      <c r="N24897" s="11"/>
      <c r="O24897" s="11"/>
      <c r="P24897" s="11"/>
    </row>
    <row r="24898" spans="8:16" x14ac:dyDescent="0.25">
      <c r="H24898" s="12"/>
      <c r="I24898" s="12"/>
      <c r="J24898" s="12"/>
      <c r="K24898" s="12"/>
      <c r="L24898" s="12"/>
      <c r="M24898" s="11"/>
      <c r="N24898" s="11"/>
      <c r="O24898" s="11"/>
      <c r="P24898" s="11"/>
    </row>
    <row r="24899" spans="8:16" x14ac:dyDescent="0.25">
      <c r="H24899" s="12"/>
      <c r="I24899" s="12"/>
      <c r="J24899" s="12"/>
      <c r="K24899" s="12"/>
      <c r="L24899" s="12"/>
      <c r="M24899" s="11"/>
      <c r="N24899" s="11"/>
      <c r="O24899" s="11"/>
      <c r="P24899" s="11"/>
    </row>
    <row r="24900" spans="8:16" x14ac:dyDescent="0.25">
      <c r="H24900" s="12"/>
      <c r="I24900" s="12"/>
      <c r="J24900" s="12"/>
      <c r="K24900" s="12"/>
      <c r="L24900" s="12"/>
      <c r="M24900" s="11"/>
      <c r="N24900" s="11"/>
      <c r="O24900" s="11"/>
      <c r="P24900" s="11"/>
    </row>
    <row r="24901" spans="8:16" x14ac:dyDescent="0.25">
      <c r="H24901" s="12"/>
      <c r="I24901" s="12"/>
      <c r="J24901" s="12"/>
      <c r="K24901" s="12"/>
      <c r="L24901" s="12"/>
      <c r="M24901" s="11"/>
      <c r="N24901" s="11"/>
      <c r="O24901" s="11"/>
      <c r="P24901" s="11"/>
    </row>
    <row r="24902" spans="8:16" x14ac:dyDescent="0.25">
      <c r="H24902" s="12"/>
      <c r="I24902" s="12"/>
      <c r="J24902" s="12"/>
      <c r="K24902" s="12"/>
      <c r="L24902" s="12"/>
      <c r="M24902" s="11"/>
      <c r="N24902" s="11"/>
      <c r="O24902" s="11"/>
      <c r="P24902" s="11"/>
    </row>
    <row r="24903" spans="8:16" x14ac:dyDescent="0.25">
      <c r="H24903" s="12"/>
      <c r="I24903" s="12"/>
      <c r="J24903" s="12"/>
      <c r="K24903" s="12"/>
      <c r="L24903" s="12"/>
      <c r="M24903" s="11"/>
      <c r="N24903" s="11"/>
      <c r="O24903" s="11"/>
      <c r="P24903" s="11"/>
    </row>
    <row r="24904" spans="8:16" x14ac:dyDescent="0.25">
      <c r="H24904" s="12"/>
      <c r="I24904" s="12"/>
      <c r="J24904" s="12"/>
      <c r="K24904" s="12"/>
      <c r="L24904" s="12"/>
      <c r="M24904" s="11"/>
      <c r="N24904" s="11"/>
      <c r="O24904" s="11"/>
      <c r="P24904" s="11"/>
    </row>
    <row r="24905" spans="8:16" x14ac:dyDescent="0.25">
      <c r="H24905" s="12"/>
      <c r="I24905" s="12"/>
      <c r="J24905" s="12"/>
      <c r="K24905" s="12"/>
      <c r="L24905" s="12"/>
      <c r="M24905" s="11"/>
      <c r="N24905" s="11"/>
      <c r="O24905" s="11"/>
      <c r="P24905" s="11"/>
    </row>
    <row r="24906" spans="8:16" x14ac:dyDescent="0.25">
      <c r="H24906" s="12"/>
      <c r="I24906" s="12"/>
      <c r="J24906" s="12"/>
      <c r="K24906" s="12"/>
      <c r="L24906" s="12"/>
      <c r="M24906" s="11"/>
      <c r="N24906" s="11"/>
      <c r="O24906" s="11"/>
      <c r="P24906" s="11"/>
    </row>
    <row r="24907" spans="8:16" x14ac:dyDescent="0.25">
      <c r="H24907" s="12"/>
      <c r="I24907" s="12"/>
      <c r="J24907" s="12"/>
      <c r="K24907" s="12"/>
      <c r="L24907" s="12"/>
      <c r="M24907" s="11"/>
      <c r="N24907" s="11"/>
      <c r="O24907" s="11"/>
      <c r="P24907" s="11"/>
    </row>
    <row r="24908" spans="8:16" x14ac:dyDescent="0.25">
      <c r="H24908" s="12"/>
      <c r="I24908" s="12"/>
      <c r="J24908" s="12"/>
      <c r="K24908" s="12"/>
      <c r="L24908" s="12"/>
      <c r="M24908" s="11"/>
      <c r="N24908" s="11"/>
      <c r="O24908" s="11"/>
      <c r="P24908" s="11"/>
    </row>
    <row r="24909" spans="8:16" x14ac:dyDescent="0.25">
      <c r="H24909" s="12"/>
      <c r="I24909" s="12"/>
      <c r="J24909" s="12"/>
      <c r="K24909" s="12"/>
      <c r="L24909" s="12"/>
      <c r="M24909" s="11"/>
      <c r="N24909" s="11"/>
      <c r="O24909" s="11"/>
      <c r="P24909" s="11"/>
    </row>
    <row r="24910" spans="8:16" x14ac:dyDescent="0.25">
      <c r="H24910" s="12"/>
      <c r="I24910" s="12"/>
      <c r="J24910" s="12"/>
      <c r="K24910" s="12"/>
      <c r="L24910" s="12"/>
      <c r="M24910" s="11"/>
      <c r="N24910" s="11"/>
      <c r="O24910" s="11"/>
      <c r="P24910" s="11"/>
    </row>
    <row r="24911" spans="8:16" x14ac:dyDescent="0.25">
      <c r="H24911" s="12"/>
      <c r="I24911" s="12"/>
      <c r="J24911" s="12"/>
      <c r="K24911" s="12"/>
      <c r="L24911" s="12"/>
      <c r="M24911" s="11"/>
      <c r="N24911" s="11"/>
      <c r="O24911" s="11"/>
      <c r="P24911" s="11"/>
    </row>
    <row r="24912" spans="8:16" x14ac:dyDescent="0.25">
      <c r="H24912" s="12"/>
      <c r="I24912" s="12"/>
      <c r="J24912" s="12"/>
      <c r="K24912" s="12"/>
      <c r="L24912" s="12"/>
      <c r="M24912" s="11"/>
      <c r="N24912" s="11"/>
      <c r="O24912" s="11"/>
      <c r="P24912" s="11"/>
    </row>
    <row r="24913" spans="8:16" x14ac:dyDescent="0.25">
      <c r="H24913" s="12"/>
      <c r="I24913" s="12"/>
      <c r="J24913" s="12"/>
      <c r="K24913" s="12"/>
      <c r="L24913" s="12"/>
      <c r="M24913" s="11"/>
      <c r="N24913" s="11"/>
      <c r="O24913" s="11"/>
      <c r="P24913" s="11"/>
    </row>
    <row r="24914" spans="8:16" x14ac:dyDescent="0.25">
      <c r="H24914" s="12"/>
      <c r="I24914" s="12"/>
      <c r="J24914" s="12"/>
      <c r="K24914" s="12"/>
      <c r="L24914" s="12"/>
      <c r="M24914" s="11"/>
      <c r="N24914" s="11"/>
      <c r="O24914" s="11"/>
      <c r="P24914" s="11"/>
    </row>
    <row r="24915" spans="8:16" x14ac:dyDescent="0.25">
      <c r="H24915" s="12"/>
      <c r="I24915" s="12"/>
      <c r="J24915" s="12"/>
      <c r="K24915" s="12"/>
      <c r="L24915" s="12"/>
      <c r="M24915" s="11"/>
      <c r="N24915" s="11"/>
      <c r="O24915" s="11"/>
      <c r="P24915" s="11"/>
    </row>
    <row r="24916" spans="8:16" x14ac:dyDescent="0.25">
      <c r="H24916" s="12"/>
      <c r="I24916" s="12"/>
      <c r="J24916" s="12"/>
      <c r="K24916" s="12"/>
      <c r="L24916" s="12"/>
      <c r="M24916" s="11"/>
      <c r="N24916" s="11"/>
      <c r="O24916" s="11"/>
      <c r="P24916" s="11"/>
    </row>
    <row r="24917" spans="8:16" x14ac:dyDescent="0.25">
      <c r="H24917" s="12"/>
      <c r="I24917" s="12"/>
      <c r="J24917" s="12"/>
      <c r="K24917" s="12"/>
      <c r="L24917" s="12"/>
      <c r="M24917" s="11"/>
      <c r="N24917" s="11"/>
      <c r="O24917" s="11"/>
      <c r="P24917" s="11"/>
    </row>
    <row r="24918" spans="8:16" x14ac:dyDescent="0.25">
      <c r="H24918" s="12"/>
      <c r="I24918" s="12"/>
      <c r="J24918" s="12"/>
      <c r="K24918" s="12"/>
      <c r="L24918" s="12"/>
      <c r="M24918" s="11"/>
      <c r="N24918" s="11"/>
      <c r="O24918" s="11"/>
      <c r="P24918" s="11"/>
    </row>
    <row r="24919" spans="8:16" x14ac:dyDescent="0.25">
      <c r="H24919" s="12"/>
      <c r="I24919" s="12"/>
      <c r="J24919" s="12"/>
      <c r="K24919" s="12"/>
      <c r="L24919" s="12"/>
      <c r="M24919" s="11"/>
      <c r="N24919" s="11"/>
      <c r="O24919" s="11"/>
      <c r="P24919" s="11"/>
    </row>
    <row r="24920" spans="8:16" x14ac:dyDescent="0.25">
      <c r="H24920" s="12"/>
      <c r="I24920" s="12"/>
      <c r="J24920" s="12"/>
      <c r="K24920" s="12"/>
      <c r="L24920" s="12"/>
      <c r="M24920" s="11"/>
      <c r="N24920" s="11"/>
      <c r="O24920" s="11"/>
      <c r="P24920" s="11"/>
    </row>
    <row r="24921" spans="8:16" x14ac:dyDescent="0.25">
      <c r="H24921" s="12"/>
      <c r="I24921" s="12"/>
      <c r="J24921" s="12"/>
      <c r="K24921" s="12"/>
      <c r="L24921" s="12"/>
      <c r="M24921" s="11"/>
      <c r="N24921" s="11"/>
      <c r="O24921" s="11"/>
      <c r="P24921" s="11"/>
    </row>
    <row r="24922" spans="8:16" x14ac:dyDescent="0.25">
      <c r="H24922" s="12"/>
      <c r="I24922" s="12"/>
      <c r="J24922" s="12"/>
      <c r="K24922" s="12"/>
      <c r="L24922" s="12"/>
      <c r="M24922" s="11"/>
      <c r="N24922" s="11"/>
      <c r="O24922" s="11"/>
      <c r="P24922" s="11"/>
    </row>
    <row r="24923" spans="8:16" x14ac:dyDescent="0.25">
      <c r="H24923" s="12"/>
      <c r="I24923" s="12"/>
      <c r="J24923" s="12"/>
      <c r="K24923" s="12"/>
      <c r="L24923" s="12"/>
      <c r="M24923" s="11"/>
      <c r="N24923" s="11"/>
      <c r="O24923" s="11"/>
      <c r="P24923" s="11"/>
    </row>
    <row r="24924" spans="8:16" x14ac:dyDescent="0.25">
      <c r="H24924" s="12"/>
      <c r="I24924" s="12"/>
      <c r="J24924" s="12"/>
      <c r="K24924" s="12"/>
      <c r="L24924" s="12"/>
      <c r="M24924" s="11"/>
      <c r="N24924" s="11"/>
      <c r="O24924" s="11"/>
      <c r="P24924" s="11"/>
    </row>
    <row r="24925" spans="8:16" x14ac:dyDescent="0.25">
      <c r="H24925" s="12"/>
      <c r="I24925" s="12"/>
      <c r="J24925" s="12"/>
      <c r="K24925" s="12"/>
      <c r="L24925" s="12"/>
      <c r="M24925" s="11"/>
      <c r="N24925" s="11"/>
      <c r="O24925" s="11"/>
      <c r="P24925" s="11"/>
    </row>
    <row r="24926" spans="8:16" x14ac:dyDescent="0.25">
      <c r="H24926" s="12"/>
      <c r="I24926" s="12"/>
      <c r="J24926" s="12"/>
      <c r="K24926" s="12"/>
      <c r="L24926" s="12"/>
      <c r="M24926" s="11"/>
      <c r="N24926" s="11"/>
      <c r="O24926" s="11"/>
      <c r="P24926" s="11"/>
    </row>
    <row r="24927" spans="8:16" x14ac:dyDescent="0.25">
      <c r="H24927" s="12"/>
      <c r="I24927" s="12"/>
      <c r="J24927" s="12"/>
      <c r="K24927" s="12"/>
      <c r="L24927" s="12"/>
      <c r="M24927" s="11"/>
      <c r="N24927" s="11"/>
      <c r="O24927" s="11"/>
      <c r="P24927" s="11"/>
    </row>
    <row r="24928" spans="8:16" x14ac:dyDescent="0.25">
      <c r="H24928" s="12"/>
      <c r="I24928" s="12"/>
      <c r="J24928" s="12"/>
      <c r="K24928" s="12"/>
      <c r="L24928" s="12"/>
      <c r="M24928" s="11"/>
      <c r="N24928" s="11"/>
      <c r="O24928" s="11"/>
      <c r="P24928" s="11"/>
    </row>
    <row r="24929" spans="8:16" x14ac:dyDescent="0.25">
      <c r="H24929" s="12"/>
      <c r="I24929" s="12"/>
      <c r="J24929" s="12"/>
      <c r="K24929" s="12"/>
      <c r="L24929" s="12"/>
      <c r="M24929" s="11"/>
      <c r="N24929" s="11"/>
      <c r="O24929" s="11"/>
      <c r="P24929" s="11"/>
    </row>
    <row r="24930" spans="8:16" x14ac:dyDescent="0.25">
      <c r="H24930" s="12"/>
      <c r="I24930" s="12"/>
      <c r="J24930" s="12"/>
      <c r="K24930" s="12"/>
      <c r="L24930" s="12"/>
      <c r="M24930" s="11"/>
      <c r="N24930" s="11"/>
      <c r="O24930" s="11"/>
      <c r="P24930" s="11"/>
    </row>
    <row r="24931" spans="8:16" x14ac:dyDescent="0.25">
      <c r="H24931" s="12"/>
      <c r="I24931" s="12"/>
      <c r="J24931" s="12"/>
      <c r="K24931" s="12"/>
      <c r="L24931" s="12"/>
      <c r="M24931" s="11"/>
      <c r="N24931" s="11"/>
      <c r="O24931" s="11"/>
      <c r="P24931" s="11"/>
    </row>
    <row r="24932" spans="8:16" x14ac:dyDescent="0.25">
      <c r="H24932" s="12"/>
      <c r="I24932" s="12"/>
      <c r="J24932" s="12"/>
      <c r="K24932" s="12"/>
      <c r="L24932" s="12"/>
      <c r="M24932" s="11"/>
      <c r="N24932" s="11"/>
      <c r="O24932" s="11"/>
      <c r="P24932" s="11"/>
    </row>
    <row r="24933" spans="8:16" x14ac:dyDescent="0.25">
      <c r="H24933" s="12"/>
      <c r="I24933" s="12"/>
      <c r="J24933" s="12"/>
      <c r="K24933" s="12"/>
      <c r="L24933" s="12"/>
      <c r="M24933" s="11"/>
      <c r="N24933" s="11"/>
      <c r="O24933" s="11"/>
      <c r="P24933" s="11"/>
    </row>
    <row r="24934" spans="8:16" x14ac:dyDescent="0.25">
      <c r="H24934" s="12"/>
      <c r="I24934" s="12"/>
      <c r="J24934" s="12"/>
      <c r="K24934" s="12"/>
      <c r="L24934" s="12"/>
      <c r="M24934" s="11"/>
      <c r="N24934" s="11"/>
      <c r="O24934" s="11"/>
      <c r="P24934" s="11"/>
    </row>
    <row r="24935" spans="8:16" x14ac:dyDescent="0.25">
      <c r="H24935" s="12"/>
      <c r="I24935" s="12"/>
      <c r="J24935" s="12"/>
      <c r="K24935" s="12"/>
      <c r="L24935" s="12"/>
      <c r="M24935" s="11"/>
      <c r="N24935" s="11"/>
      <c r="O24935" s="11"/>
      <c r="P24935" s="11"/>
    </row>
    <row r="24936" spans="8:16" x14ac:dyDescent="0.25">
      <c r="H24936" s="12"/>
      <c r="I24936" s="12"/>
      <c r="J24936" s="12"/>
      <c r="K24936" s="12"/>
      <c r="L24936" s="12"/>
      <c r="M24936" s="11"/>
      <c r="N24936" s="11"/>
      <c r="O24936" s="11"/>
      <c r="P24936" s="11"/>
    </row>
    <row r="24937" spans="8:16" x14ac:dyDescent="0.25">
      <c r="H24937" s="12"/>
      <c r="I24937" s="12"/>
      <c r="J24937" s="12"/>
      <c r="K24937" s="12"/>
      <c r="L24937" s="12"/>
      <c r="M24937" s="11"/>
      <c r="N24937" s="11"/>
      <c r="O24937" s="11"/>
      <c r="P24937" s="11"/>
    </row>
    <row r="24938" spans="8:16" x14ac:dyDescent="0.25">
      <c r="H24938" s="12"/>
      <c r="I24938" s="12"/>
      <c r="J24938" s="12"/>
      <c r="K24938" s="12"/>
      <c r="L24938" s="12"/>
      <c r="M24938" s="11"/>
      <c r="N24938" s="11"/>
      <c r="O24938" s="11"/>
      <c r="P24938" s="11"/>
    </row>
    <row r="24939" spans="8:16" x14ac:dyDescent="0.25">
      <c r="H24939" s="12"/>
      <c r="I24939" s="12"/>
      <c r="J24939" s="12"/>
      <c r="K24939" s="12"/>
      <c r="L24939" s="12"/>
      <c r="M24939" s="11"/>
      <c r="N24939" s="11"/>
      <c r="O24939" s="11"/>
      <c r="P24939" s="11"/>
    </row>
    <row r="24940" spans="8:16" x14ac:dyDescent="0.25">
      <c r="H24940" s="12"/>
      <c r="I24940" s="12"/>
      <c r="J24940" s="12"/>
      <c r="K24940" s="12"/>
      <c r="L24940" s="12"/>
      <c r="M24940" s="11"/>
      <c r="N24940" s="11"/>
      <c r="O24940" s="11"/>
      <c r="P24940" s="11"/>
    </row>
    <row r="24941" spans="8:16" x14ac:dyDescent="0.25">
      <c r="H24941" s="12"/>
      <c r="I24941" s="12"/>
      <c r="J24941" s="12"/>
      <c r="K24941" s="12"/>
      <c r="L24941" s="12"/>
      <c r="M24941" s="11"/>
      <c r="N24941" s="11"/>
      <c r="O24941" s="11"/>
      <c r="P24941" s="11"/>
    </row>
    <row r="24942" spans="8:16" x14ac:dyDescent="0.25">
      <c r="H24942" s="12"/>
      <c r="I24942" s="12"/>
      <c r="J24942" s="12"/>
      <c r="K24942" s="12"/>
      <c r="L24942" s="12"/>
      <c r="M24942" s="11"/>
      <c r="N24942" s="11"/>
      <c r="O24942" s="11"/>
      <c r="P24942" s="11"/>
    </row>
    <row r="24943" spans="8:16" x14ac:dyDescent="0.25">
      <c r="H24943" s="12"/>
      <c r="I24943" s="12"/>
      <c r="J24943" s="12"/>
      <c r="K24943" s="12"/>
      <c r="L24943" s="12"/>
      <c r="M24943" s="11"/>
      <c r="N24943" s="11"/>
      <c r="O24943" s="11"/>
      <c r="P24943" s="11"/>
    </row>
    <row r="24944" spans="8:16" x14ac:dyDescent="0.25">
      <c r="H24944" s="12"/>
      <c r="I24944" s="12"/>
      <c r="J24944" s="12"/>
      <c r="K24944" s="12"/>
      <c r="L24944" s="12"/>
      <c r="M24944" s="11"/>
      <c r="N24944" s="11"/>
      <c r="O24944" s="11"/>
      <c r="P24944" s="11"/>
    </row>
    <row r="24945" spans="8:16" x14ac:dyDescent="0.25">
      <c r="H24945" s="12"/>
      <c r="I24945" s="12"/>
      <c r="J24945" s="12"/>
      <c r="K24945" s="12"/>
      <c r="L24945" s="12"/>
      <c r="M24945" s="11"/>
      <c r="N24945" s="11"/>
      <c r="O24945" s="11"/>
      <c r="P24945" s="11"/>
    </row>
    <row r="24946" spans="8:16" x14ac:dyDescent="0.25">
      <c r="H24946" s="12"/>
      <c r="I24946" s="12"/>
      <c r="J24946" s="12"/>
      <c r="K24946" s="12"/>
      <c r="L24946" s="12"/>
      <c r="M24946" s="11"/>
      <c r="N24946" s="11"/>
      <c r="O24946" s="11"/>
      <c r="P24946" s="11"/>
    </row>
    <row r="24947" spans="8:16" x14ac:dyDescent="0.25">
      <c r="H24947" s="12"/>
      <c r="I24947" s="12"/>
      <c r="J24947" s="12"/>
      <c r="K24947" s="12"/>
      <c r="L24947" s="12"/>
      <c r="M24947" s="11"/>
      <c r="N24947" s="11"/>
      <c r="O24947" s="11"/>
      <c r="P24947" s="11"/>
    </row>
    <row r="24948" spans="8:16" x14ac:dyDescent="0.25">
      <c r="H24948" s="12"/>
      <c r="I24948" s="12"/>
      <c r="J24948" s="12"/>
      <c r="K24948" s="12"/>
      <c r="L24948" s="12"/>
      <c r="M24948" s="11"/>
      <c r="N24948" s="11"/>
      <c r="O24948" s="11"/>
      <c r="P24948" s="11"/>
    </row>
    <row r="24949" spans="8:16" x14ac:dyDescent="0.25">
      <c r="H24949" s="12"/>
      <c r="I24949" s="12"/>
      <c r="J24949" s="12"/>
      <c r="K24949" s="12"/>
      <c r="L24949" s="12"/>
      <c r="M24949" s="11"/>
      <c r="N24949" s="11"/>
      <c r="O24949" s="11"/>
      <c r="P24949" s="11"/>
    </row>
    <row r="24950" spans="8:16" x14ac:dyDescent="0.25">
      <c r="H24950" s="12"/>
      <c r="I24950" s="12"/>
      <c r="J24950" s="12"/>
      <c r="K24950" s="12"/>
      <c r="L24950" s="12"/>
      <c r="M24950" s="11"/>
      <c r="N24950" s="11"/>
      <c r="O24950" s="11"/>
      <c r="P24950" s="11"/>
    </row>
    <row r="24951" spans="8:16" x14ac:dyDescent="0.25">
      <c r="H24951" s="12"/>
      <c r="I24951" s="12"/>
      <c r="J24951" s="12"/>
      <c r="K24951" s="12"/>
      <c r="L24951" s="12"/>
      <c r="M24951" s="11"/>
      <c r="N24951" s="11"/>
      <c r="O24951" s="11"/>
      <c r="P24951" s="11"/>
    </row>
    <row r="24952" spans="8:16" x14ac:dyDescent="0.25">
      <c r="H24952" s="12"/>
      <c r="I24952" s="12"/>
      <c r="J24952" s="12"/>
      <c r="K24952" s="12"/>
      <c r="L24952" s="12"/>
      <c r="M24952" s="11"/>
      <c r="N24952" s="11"/>
      <c r="O24952" s="11"/>
      <c r="P24952" s="11"/>
    </row>
    <row r="24953" spans="8:16" x14ac:dyDescent="0.25">
      <c r="H24953" s="12"/>
      <c r="I24953" s="12"/>
      <c r="J24953" s="12"/>
      <c r="K24953" s="12"/>
      <c r="L24953" s="12"/>
      <c r="M24953" s="11"/>
      <c r="N24953" s="11"/>
      <c r="O24953" s="11"/>
      <c r="P24953" s="11"/>
    </row>
    <row r="24954" spans="8:16" x14ac:dyDescent="0.25">
      <c r="H24954" s="12"/>
      <c r="I24954" s="12"/>
      <c r="J24954" s="12"/>
      <c r="K24954" s="12"/>
      <c r="L24954" s="12"/>
      <c r="M24954" s="11"/>
      <c r="N24954" s="11"/>
      <c r="O24954" s="11"/>
      <c r="P24954" s="11"/>
    </row>
    <row r="24955" spans="8:16" x14ac:dyDescent="0.25">
      <c r="H24955" s="12"/>
      <c r="I24955" s="12"/>
      <c r="J24955" s="12"/>
      <c r="K24955" s="12"/>
      <c r="L24955" s="12"/>
      <c r="M24955" s="11"/>
      <c r="N24955" s="11"/>
      <c r="O24955" s="11"/>
      <c r="P24955" s="11"/>
    </row>
    <row r="24956" spans="8:16" x14ac:dyDescent="0.25">
      <c r="H24956" s="12"/>
      <c r="I24956" s="12"/>
      <c r="J24956" s="12"/>
      <c r="K24956" s="12"/>
      <c r="L24956" s="12"/>
      <c r="M24956" s="11"/>
      <c r="N24956" s="11"/>
      <c r="O24956" s="11"/>
      <c r="P24956" s="11"/>
    </row>
    <row r="24957" spans="8:16" x14ac:dyDescent="0.25">
      <c r="H24957" s="12"/>
      <c r="I24957" s="12"/>
      <c r="J24957" s="12"/>
      <c r="K24957" s="12"/>
      <c r="L24957" s="12"/>
      <c r="M24957" s="11"/>
      <c r="N24957" s="11"/>
      <c r="O24957" s="11"/>
      <c r="P24957" s="11"/>
    </row>
    <row r="24958" spans="8:16" x14ac:dyDescent="0.25">
      <c r="H24958" s="12"/>
      <c r="I24958" s="12"/>
      <c r="J24958" s="12"/>
      <c r="K24958" s="12"/>
      <c r="L24958" s="12"/>
      <c r="M24958" s="11"/>
      <c r="N24958" s="11"/>
      <c r="O24958" s="11"/>
      <c r="P24958" s="11"/>
    </row>
    <row r="24959" spans="8:16" x14ac:dyDescent="0.25">
      <c r="H24959" s="12"/>
      <c r="I24959" s="12"/>
      <c r="J24959" s="12"/>
      <c r="K24959" s="12"/>
      <c r="L24959" s="12"/>
      <c r="M24959" s="11"/>
      <c r="N24959" s="11"/>
      <c r="O24959" s="11"/>
      <c r="P24959" s="11"/>
    </row>
    <row r="24960" spans="8:16" x14ac:dyDescent="0.25">
      <c r="H24960" s="12"/>
      <c r="I24960" s="12"/>
      <c r="J24960" s="12"/>
      <c r="K24960" s="12"/>
      <c r="L24960" s="12"/>
      <c r="M24960" s="11"/>
      <c r="N24960" s="11"/>
      <c r="O24960" s="11"/>
      <c r="P24960" s="11"/>
    </row>
    <row r="24961" spans="8:16" x14ac:dyDescent="0.25">
      <c r="H24961" s="12"/>
      <c r="I24961" s="12"/>
      <c r="J24961" s="12"/>
      <c r="K24961" s="12"/>
      <c r="L24961" s="12"/>
      <c r="M24961" s="11"/>
      <c r="N24961" s="11"/>
      <c r="O24961" s="11"/>
      <c r="P24961" s="11"/>
    </row>
    <row r="24962" spans="8:16" x14ac:dyDescent="0.25">
      <c r="H24962" s="12"/>
      <c r="I24962" s="12"/>
      <c r="J24962" s="12"/>
      <c r="K24962" s="12"/>
      <c r="L24962" s="12"/>
      <c r="M24962" s="11"/>
      <c r="N24962" s="11"/>
      <c r="O24962" s="11"/>
      <c r="P24962" s="11"/>
    </row>
    <row r="24963" spans="8:16" x14ac:dyDescent="0.25">
      <c r="H24963" s="12"/>
      <c r="I24963" s="12"/>
      <c r="J24963" s="12"/>
      <c r="K24963" s="12"/>
      <c r="L24963" s="12"/>
      <c r="M24963" s="11"/>
      <c r="N24963" s="11"/>
      <c r="O24963" s="11"/>
      <c r="P24963" s="11"/>
    </row>
    <row r="24964" spans="8:16" x14ac:dyDescent="0.25">
      <c r="H24964" s="12"/>
      <c r="I24964" s="12"/>
      <c r="J24964" s="12"/>
      <c r="K24964" s="12"/>
      <c r="L24964" s="12"/>
      <c r="M24964" s="11"/>
      <c r="N24964" s="11"/>
      <c r="O24964" s="11"/>
      <c r="P24964" s="11"/>
    </row>
    <row r="24965" spans="8:16" x14ac:dyDescent="0.25">
      <c r="H24965" s="12"/>
      <c r="I24965" s="12"/>
      <c r="J24965" s="12"/>
      <c r="K24965" s="12"/>
      <c r="L24965" s="12"/>
      <c r="M24965" s="11"/>
      <c r="N24965" s="11"/>
      <c r="O24965" s="11"/>
      <c r="P24965" s="11"/>
    </row>
    <row r="24966" spans="8:16" x14ac:dyDescent="0.25">
      <c r="H24966" s="12"/>
      <c r="I24966" s="12"/>
      <c r="J24966" s="12"/>
      <c r="K24966" s="12"/>
      <c r="L24966" s="12"/>
      <c r="M24966" s="11"/>
      <c r="N24966" s="11"/>
      <c r="O24966" s="11"/>
      <c r="P24966" s="11"/>
    </row>
    <row r="24967" spans="8:16" x14ac:dyDescent="0.25">
      <c r="H24967" s="12"/>
      <c r="I24967" s="12"/>
      <c r="J24967" s="12"/>
      <c r="K24967" s="12"/>
      <c r="L24967" s="12"/>
      <c r="M24967" s="11"/>
      <c r="N24967" s="11"/>
      <c r="O24967" s="11"/>
      <c r="P24967" s="11"/>
    </row>
    <row r="24968" spans="8:16" x14ac:dyDescent="0.25">
      <c r="H24968" s="12"/>
      <c r="I24968" s="12"/>
      <c r="J24968" s="12"/>
      <c r="K24968" s="12"/>
      <c r="L24968" s="12"/>
      <c r="M24968" s="11"/>
      <c r="N24968" s="11"/>
      <c r="O24968" s="11"/>
      <c r="P24968" s="11"/>
    </row>
    <row r="24969" spans="8:16" x14ac:dyDescent="0.25">
      <c r="H24969" s="12"/>
      <c r="I24969" s="12"/>
      <c r="J24969" s="12"/>
      <c r="K24969" s="12"/>
      <c r="L24969" s="12"/>
      <c r="M24969" s="11"/>
      <c r="N24969" s="11"/>
      <c r="O24969" s="11"/>
      <c r="P24969" s="11"/>
    </row>
    <row r="24970" spans="8:16" x14ac:dyDescent="0.25">
      <c r="H24970" s="12"/>
      <c r="I24970" s="12"/>
      <c r="J24970" s="12"/>
      <c r="K24970" s="12"/>
      <c r="L24970" s="12"/>
      <c r="M24970" s="11"/>
      <c r="N24970" s="11"/>
      <c r="O24970" s="11"/>
      <c r="P24970" s="11"/>
    </row>
    <row r="24971" spans="8:16" x14ac:dyDescent="0.25">
      <c r="H24971" s="12"/>
      <c r="I24971" s="12"/>
      <c r="J24971" s="12"/>
      <c r="K24971" s="12"/>
      <c r="L24971" s="12"/>
      <c r="M24971" s="11"/>
      <c r="N24971" s="11"/>
      <c r="O24971" s="11"/>
      <c r="P24971" s="11"/>
    </row>
    <row r="24972" spans="8:16" x14ac:dyDescent="0.25">
      <c r="H24972" s="12"/>
      <c r="I24972" s="12"/>
      <c r="J24972" s="12"/>
      <c r="K24972" s="12"/>
      <c r="L24972" s="12"/>
      <c r="M24972" s="11"/>
      <c r="N24972" s="11"/>
      <c r="O24972" s="11"/>
      <c r="P24972" s="11"/>
    </row>
    <row r="24973" spans="8:16" x14ac:dyDescent="0.25">
      <c r="H24973" s="12"/>
      <c r="I24973" s="12"/>
      <c r="J24973" s="12"/>
      <c r="K24973" s="12"/>
      <c r="L24973" s="12"/>
      <c r="M24973" s="11"/>
      <c r="N24973" s="11"/>
      <c r="O24973" s="11"/>
      <c r="P24973" s="11"/>
    </row>
    <row r="24974" spans="8:16" x14ac:dyDescent="0.25">
      <c r="H24974" s="12"/>
      <c r="I24974" s="12"/>
      <c r="J24974" s="12"/>
      <c r="K24974" s="12"/>
      <c r="L24974" s="12"/>
      <c r="M24974" s="11"/>
      <c r="N24974" s="11"/>
      <c r="O24974" s="11"/>
      <c r="P24974" s="11"/>
    </row>
    <row r="24975" spans="8:16" x14ac:dyDescent="0.25">
      <c r="H24975" s="12"/>
      <c r="I24975" s="12"/>
      <c r="J24975" s="12"/>
      <c r="K24975" s="12"/>
      <c r="L24975" s="12"/>
      <c r="M24975" s="11"/>
      <c r="N24975" s="11"/>
      <c r="O24975" s="11"/>
      <c r="P24975" s="11"/>
    </row>
    <row r="24976" spans="8:16" x14ac:dyDescent="0.25">
      <c r="H24976" s="12"/>
      <c r="I24976" s="12"/>
      <c r="J24976" s="12"/>
      <c r="K24976" s="12"/>
      <c r="L24976" s="12"/>
      <c r="M24976" s="11"/>
      <c r="N24976" s="11"/>
      <c r="O24976" s="11"/>
      <c r="P24976" s="11"/>
    </row>
    <row r="24977" spans="8:16" x14ac:dyDescent="0.25">
      <c r="H24977" s="12"/>
      <c r="I24977" s="12"/>
      <c r="J24977" s="12"/>
      <c r="K24977" s="12"/>
      <c r="L24977" s="12"/>
      <c r="M24977" s="11"/>
      <c r="N24977" s="11"/>
      <c r="O24977" s="11"/>
      <c r="P24977" s="11"/>
    </row>
    <row r="24978" spans="8:16" x14ac:dyDescent="0.25">
      <c r="H24978" s="12"/>
      <c r="I24978" s="12"/>
      <c r="J24978" s="12"/>
      <c r="K24978" s="12"/>
      <c r="L24978" s="12"/>
      <c r="M24978" s="11"/>
      <c r="N24978" s="11"/>
      <c r="O24978" s="11"/>
      <c r="P24978" s="11"/>
    </row>
    <row r="24979" spans="8:16" x14ac:dyDescent="0.25">
      <c r="H24979" s="12"/>
      <c r="I24979" s="12"/>
      <c r="J24979" s="12"/>
      <c r="K24979" s="12"/>
      <c r="L24979" s="12"/>
      <c r="M24979" s="11"/>
      <c r="N24979" s="11"/>
      <c r="O24979" s="11"/>
      <c r="P24979" s="11"/>
    </row>
    <row r="24980" spans="8:16" x14ac:dyDescent="0.25">
      <c r="H24980" s="12"/>
      <c r="I24980" s="12"/>
      <c r="J24980" s="12"/>
      <c r="K24980" s="12"/>
      <c r="L24980" s="12"/>
      <c r="M24980" s="11"/>
      <c r="N24980" s="11"/>
      <c r="O24980" s="11"/>
      <c r="P24980" s="11"/>
    </row>
    <row r="24981" spans="8:16" x14ac:dyDescent="0.25">
      <c r="H24981" s="12"/>
      <c r="I24981" s="12"/>
      <c r="J24981" s="12"/>
      <c r="K24981" s="12"/>
      <c r="L24981" s="12"/>
      <c r="M24981" s="11"/>
      <c r="N24981" s="11"/>
      <c r="O24981" s="11"/>
      <c r="P24981" s="11"/>
    </row>
    <row r="24982" spans="8:16" x14ac:dyDescent="0.25">
      <c r="H24982" s="12"/>
      <c r="I24982" s="12"/>
      <c r="J24982" s="12"/>
      <c r="K24982" s="12"/>
      <c r="L24982" s="12"/>
      <c r="M24982" s="11"/>
      <c r="N24982" s="11"/>
      <c r="O24982" s="11"/>
      <c r="P24982" s="11"/>
    </row>
    <row r="24983" spans="8:16" x14ac:dyDescent="0.25">
      <c r="H24983" s="12"/>
      <c r="I24983" s="12"/>
      <c r="J24983" s="12"/>
      <c r="K24983" s="12"/>
      <c r="L24983" s="12"/>
      <c r="M24983" s="11"/>
      <c r="N24983" s="11"/>
      <c r="O24983" s="11"/>
      <c r="P24983" s="11"/>
    </row>
    <row r="24984" spans="8:16" x14ac:dyDescent="0.25">
      <c r="H24984" s="12"/>
      <c r="I24984" s="12"/>
      <c r="J24984" s="12"/>
      <c r="K24984" s="12"/>
      <c r="L24984" s="12"/>
      <c r="M24984" s="11"/>
      <c r="N24984" s="11"/>
      <c r="O24984" s="11"/>
      <c r="P24984" s="11"/>
    </row>
    <row r="24985" spans="8:16" x14ac:dyDescent="0.25">
      <c r="H24985" s="12"/>
      <c r="I24985" s="12"/>
      <c r="J24985" s="12"/>
      <c r="K24985" s="12"/>
      <c r="L24985" s="12"/>
      <c r="M24985" s="11"/>
      <c r="N24985" s="11"/>
      <c r="O24985" s="11"/>
      <c r="P24985" s="11"/>
    </row>
    <row r="24986" spans="8:16" x14ac:dyDescent="0.25">
      <c r="H24986" s="12"/>
      <c r="I24986" s="12"/>
      <c r="J24986" s="12"/>
      <c r="K24986" s="12"/>
      <c r="L24986" s="12"/>
      <c r="M24986" s="11"/>
      <c r="N24986" s="11"/>
      <c r="O24986" s="11"/>
      <c r="P24986" s="11"/>
    </row>
    <row r="24987" spans="8:16" x14ac:dyDescent="0.25">
      <c r="H24987" s="12"/>
      <c r="I24987" s="12"/>
      <c r="J24987" s="12"/>
      <c r="K24987" s="12"/>
      <c r="L24987" s="12"/>
      <c r="M24987" s="11"/>
      <c r="N24987" s="11"/>
      <c r="O24987" s="11"/>
      <c r="P24987" s="11"/>
    </row>
    <row r="24988" spans="8:16" x14ac:dyDescent="0.25">
      <c r="H24988" s="12"/>
      <c r="I24988" s="12"/>
      <c r="J24988" s="12"/>
      <c r="K24988" s="12"/>
      <c r="L24988" s="12"/>
      <c r="M24988" s="11"/>
      <c r="N24988" s="11"/>
      <c r="O24988" s="11"/>
      <c r="P24988" s="11"/>
    </row>
    <row r="24989" spans="8:16" x14ac:dyDescent="0.25">
      <c r="H24989" s="12"/>
      <c r="I24989" s="12"/>
      <c r="J24989" s="12"/>
      <c r="K24989" s="12"/>
      <c r="L24989" s="12"/>
      <c r="M24989" s="11"/>
      <c r="N24989" s="11"/>
      <c r="O24989" s="11"/>
      <c r="P24989" s="11"/>
    </row>
    <row r="24990" spans="8:16" x14ac:dyDescent="0.25">
      <c r="H24990" s="12"/>
      <c r="I24990" s="12"/>
      <c r="J24990" s="12"/>
      <c r="K24990" s="12"/>
      <c r="L24990" s="12"/>
      <c r="M24990" s="11"/>
      <c r="N24990" s="11"/>
      <c r="O24990" s="11"/>
      <c r="P24990" s="11"/>
    </row>
    <row r="24991" spans="8:16" x14ac:dyDescent="0.25">
      <c r="H24991" s="12"/>
      <c r="I24991" s="12"/>
      <c r="J24991" s="12"/>
      <c r="K24991" s="12"/>
      <c r="L24991" s="12"/>
      <c r="M24991" s="11"/>
      <c r="N24991" s="11"/>
      <c r="O24991" s="11"/>
      <c r="P24991" s="11"/>
    </row>
    <row r="24992" spans="8:16" x14ac:dyDescent="0.25">
      <c r="H24992" s="12"/>
      <c r="I24992" s="12"/>
      <c r="J24992" s="12"/>
      <c r="K24992" s="12"/>
      <c r="L24992" s="12"/>
      <c r="M24992" s="11"/>
      <c r="N24992" s="11"/>
      <c r="O24992" s="11"/>
      <c r="P24992" s="11"/>
    </row>
    <row r="24993" spans="8:16" x14ac:dyDescent="0.25">
      <c r="H24993" s="12"/>
      <c r="I24993" s="12"/>
      <c r="J24993" s="12"/>
      <c r="K24993" s="12"/>
      <c r="L24993" s="12"/>
      <c r="M24993" s="11"/>
      <c r="N24993" s="11"/>
      <c r="O24993" s="11"/>
      <c r="P24993" s="11"/>
    </row>
    <row r="24994" spans="8:16" x14ac:dyDescent="0.25">
      <c r="H24994" s="12"/>
      <c r="I24994" s="12"/>
      <c r="J24994" s="12"/>
      <c r="K24994" s="12"/>
      <c r="L24994" s="12"/>
      <c r="M24994" s="11"/>
      <c r="N24994" s="11"/>
      <c r="O24994" s="11"/>
      <c r="P24994" s="11"/>
    </row>
    <row r="24995" spans="8:16" x14ac:dyDescent="0.25">
      <c r="H24995" s="12"/>
      <c r="I24995" s="12"/>
      <c r="J24995" s="12"/>
      <c r="K24995" s="12"/>
      <c r="L24995" s="12"/>
      <c r="M24995" s="11"/>
      <c r="N24995" s="11"/>
      <c r="O24995" s="11"/>
      <c r="P24995" s="11"/>
    </row>
    <row r="24996" spans="8:16" x14ac:dyDescent="0.25">
      <c r="H24996" s="12"/>
      <c r="I24996" s="12"/>
      <c r="J24996" s="12"/>
      <c r="K24996" s="12"/>
      <c r="L24996" s="12"/>
      <c r="M24996" s="11"/>
      <c r="N24996" s="11"/>
      <c r="O24996" s="11"/>
      <c r="P24996" s="11"/>
    </row>
    <row r="24997" spans="8:16" x14ac:dyDescent="0.25">
      <c r="H24997" s="12"/>
      <c r="I24997" s="12"/>
      <c r="J24997" s="12"/>
      <c r="K24997" s="12"/>
      <c r="L24997" s="12"/>
      <c r="M24997" s="11"/>
      <c r="N24997" s="11"/>
      <c r="O24997" s="11"/>
      <c r="P24997" s="11"/>
    </row>
    <row r="24998" spans="8:16" x14ac:dyDescent="0.25">
      <c r="H24998" s="12"/>
      <c r="I24998" s="12"/>
      <c r="J24998" s="12"/>
      <c r="K24998" s="12"/>
      <c r="L24998" s="12"/>
      <c r="M24998" s="11"/>
      <c r="N24998" s="11"/>
      <c r="O24998" s="11"/>
      <c r="P24998" s="11"/>
    </row>
    <row r="24999" spans="8:16" x14ac:dyDescent="0.25">
      <c r="H24999" s="12"/>
      <c r="I24999" s="12"/>
      <c r="J24999" s="12"/>
      <c r="K24999" s="12"/>
      <c r="L24999" s="12"/>
      <c r="M24999" s="11"/>
      <c r="N24999" s="11"/>
      <c r="O24999" s="11"/>
      <c r="P24999" s="11"/>
    </row>
    <row r="25000" spans="8:16" x14ac:dyDescent="0.25">
      <c r="H25000" s="12"/>
      <c r="I25000" s="12"/>
      <c r="J25000" s="12"/>
      <c r="K25000" s="12"/>
      <c r="L25000" s="12"/>
      <c r="M25000" s="11"/>
      <c r="N25000" s="11"/>
      <c r="O25000" s="11"/>
      <c r="P25000" s="11"/>
    </row>
    <row r="25001" spans="8:16" x14ac:dyDescent="0.25">
      <c r="H25001" s="12"/>
      <c r="I25001" s="12"/>
      <c r="J25001" s="12"/>
      <c r="K25001" s="12"/>
      <c r="L25001" s="12"/>
      <c r="M25001" s="11"/>
      <c r="N25001" s="11"/>
      <c r="O25001" s="11"/>
      <c r="P25001" s="11"/>
    </row>
    <row r="25002" spans="8:16" x14ac:dyDescent="0.25">
      <c r="H25002" s="12"/>
      <c r="I25002" s="12"/>
      <c r="J25002" s="12"/>
      <c r="K25002" s="12"/>
      <c r="L25002" s="12"/>
      <c r="M25002" s="11"/>
      <c r="N25002" s="11"/>
      <c r="O25002" s="11"/>
      <c r="P25002" s="11"/>
    </row>
    <row r="25003" spans="8:16" x14ac:dyDescent="0.25">
      <c r="H25003" s="12"/>
      <c r="I25003" s="12"/>
      <c r="J25003" s="12"/>
      <c r="K25003" s="12"/>
      <c r="L25003" s="12"/>
      <c r="M25003" s="11"/>
      <c r="N25003" s="11"/>
      <c r="O25003" s="11"/>
      <c r="P25003" s="11"/>
    </row>
    <row r="25004" spans="8:16" x14ac:dyDescent="0.25">
      <c r="H25004" s="12"/>
      <c r="I25004" s="12"/>
      <c r="J25004" s="12"/>
      <c r="K25004" s="12"/>
      <c r="L25004" s="12"/>
      <c r="M25004" s="11"/>
      <c r="N25004" s="11"/>
      <c r="O25004" s="11"/>
      <c r="P25004" s="11"/>
    </row>
    <row r="25005" spans="8:16" x14ac:dyDescent="0.25">
      <c r="H25005" s="12"/>
      <c r="I25005" s="12"/>
      <c r="J25005" s="12"/>
      <c r="K25005" s="12"/>
      <c r="L25005" s="12"/>
      <c r="M25005" s="11"/>
      <c r="N25005" s="11"/>
      <c r="O25005" s="11"/>
      <c r="P25005" s="11"/>
    </row>
    <row r="25006" spans="8:16" x14ac:dyDescent="0.25">
      <c r="H25006" s="12"/>
      <c r="I25006" s="12"/>
      <c r="J25006" s="12"/>
      <c r="K25006" s="12"/>
      <c r="L25006" s="12"/>
      <c r="M25006" s="11"/>
      <c r="N25006" s="11"/>
      <c r="O25006" s="11"/>
      <c r="P25006" s="11"/>
    </row>
    <row r="25007" spans="8:16" x14ac:dyDescent="0.25">
      <c r="H25007" s="12"/>
      <c r="I25007" s="12"/>
      <c r="J25007" s="12"/>
      <c r="K25007" s="12"/>
      <c r="L25007" s="12"/>
      <c r="M25007" s="11"/>
      <c r="N25007" s="11"/>
      <c r="O25007" s="11"/>
      <c r="P25007" s="11"/>
    </row>
    <row r="25008" spans="8:16" x14ac:dyDescent="0.25">
      <c r="H25008" s="12"/>
      <c r="I25008" s="12"/>
      <c r="J25008" s="12"/>
      <c r="K25008" s="12"/>
      <c r="L25008" s="12"/>
      <c r="M25008" s="11"/>
      <c r="N25008" s="11"/>
      <c r="O25008" s="11"/>
      <c r="P25008" s="11"/>
    </row>
    <row r="25009" spans="8:16" x14ac:dyDescent="0.25">
      <c r="H25009" s="12"/>
      <c r="I25009" s="12"/>
      <c r="J25009" s="12"/>
      <c r="K25009" s="12"/>
      <c r="L25009" s="12"/>
      <c r="M25009" s="11"/>
      <c r="N25009" s="11"/>
      <c r="O25009" s="11"/>
      <c r="P25009" s="11"/>
    </row>
    <row r="25010" spans="8:16" x14ac:dyDescent="0.25">
      <c r="H25010" s="12"/>
      <c r="I25010" s="12"/>
      <c r="J25010" s="12"/>
      <c r="K25010" s="12"/>
      <c r="L25010" s="12"/>
      <c r="M25010" s="11"/>
      <c r="N25010" s="11"/>
      <c r="O25010" s="11"/>
      <c r="P25010" s="11"/>
    </row>
    <row r="25011" spans="8:16" x14ac:dyDescent="0.25">
      <c r="H25011" s="12"/>
      <c r="I25011" s="12"/>
      <c r="J25011" s="12"/>
      <c r="K25011" s="12"/>
      <c r="L25011" s="12"/>
      <c r="M25011" s="11"/>
      <c r="N25011" s="11"/>
      <c r="O25011" s="11"/>
      <c r="P25011" s="11"/>
    </row>
    <row r="25012" spans="8:16" x14ac:dyDescent="0.25">
      <c r="H25012" s="12"/>
      <c r="I25012" s="12"/>
      <c r="J25012" s="12"/>
      <c r="K25012" s="12"/>
      <c r="L25012" s="12"/>
      <c r="M25012" s="11"/>
      <c r="N25012" s="11"/>
      <c r="O25012" s="11"/>
      <c r="P25012" s="11"/>
    </row>
    <row r="25013" spans="8:16" x14ac:dyDescent="0.25">
      <c r="H25013" s="12"/>
      <c r="I25013" s="12"/>
      <c r="J25013" s="12"/>
      <c r="K25013" s="12"/>
      <c r="L25013" s="12"/>
      <c r="M25013" s="11"/>
      <c r="N25013" s="11"/>
      <c r="O25013" s="11"/>
      <c r="P25013" s="11"/>
    </row>
    <row r="25014" spans="8:16" x14ac:dyDescent="0.25">
      <c r="H25014" s="12"/>
      <c r="I25014" s="12"/>
      <c r="J25014" s="12"/>
      <c r="K25014" s="12"/>
      <c r="L25014" s="12"/>
      <c r="M25014" s="11"/>
      <c r="N25014" s="11"/>
      <c r="O25014" s="11"/>
      <c r="P25014" s="11"/>
    </row>
    <row r="25015" spans="8:16" x14ac:dyDescent="0.25">
      <c r="H25015" s="12"/>
      <c r="I25015" s="12"/>
      <c r="J25015" s="12"/>
      <c r="K25015" s="12"/>
      <c r="L25015" s="12"/>
      <c r="M25015" s="11"/>
      <c r="N25015" s="11"/>
      <c r="O25015" s="11"/>
      <c r="P25015" s="11"/>
    </row>
    <row r="25016" spans="8:16" x14ac:dyDescent="0.25">
      <c r="H25016" s="12"/>
      <c r="I25016" s="12"/>
      <c r="J25016" s="12"/>
      <c r="K25016" s="12"/>
      <c r="L25016" s="12"/>
      <c r="M25016" s="11"/>
      <c r="N25016" s="11"/>
      <c r="O25016" s="11"/>
      <c r="P25016" s="11"/>
    </row>
    <row r="25017" spans="8:16" x14ac:dyDescent="0.25">
      <c r="H25017" s="12"/>
      <c r="I25017" s="12"/>
      <c r="J25017" s="12"/>
      <c r="K25017" s="12"/>
      <c r="L25017" s="12"/>
      <c r="M25017" s="11"/>
      <c r="N25017" s="11"/>
      <c r="O25017" s="11"/>
      <c r="P25017" s="11"/>
    </row>
    <row r="25018" spans="8:16" x14ac:dyDescent="0.25">
      <c r="H25018" s="12"/>
      <c r="I25018" s="12"/>
      <c r="J25018" s="12"/>
      <c r="K25018" s="12"/>
      <c r="L25018" s="12"/>
      <c r="M25018" s="11"/>
      <c r="N25018" s="11"/>
      <c r="O25018" s="11"/>
      <c r="P25018" s="11"/>
    </row>
    <row r="25019" spans="8:16" x14ac:dyDescent="0.25">
      <c r="H25019" s="12"/>
      <c r="I25019" s="12"/>
      <c r="J25019" s="12"/>
      <c r="K25019" s="12"/>
      <c r="L25019" s="12"/>
      <c r="M25019" s="11"/>
      <c r="N25019" s="11"/>
      <c r="O25019" s="11"/>
      <c r="P25019" s="11"/>
    </row>
    <row r="25020" spans="8:16" x14ac:dyDescent="0.25">
      <c r="H25020" s="12"/>
      <c r="I25020" s="12"/>
      <c r="J25020" s="12"/>
      <c r="K25020" s="12"/>
      <c r="L25020" s="12"/>
      <c r="M25020" s="11"/>
      <c r="N25020" s="11"/>
      <c r="O25020" s="11"/>
      <c r="P25020" s="11"/>
    </row>
    <row r="25021" spans="8:16" x14ac:dyDescent="0.25">
      <c r="H25021" s="12"/>
      <c r="I25021" s="12"/>
      <c r="J25021" s="12"/>
      <c r="K25021" s="12"/>
      <c r="L25021" s="12"/>
      <c r="M25021" s="11"/>
      <c r="N25021" s="11"/>
      <c r="O25021" s="11"/>
      <c r="P25021" s="11"/>
    </row>
    <row r="25022" spans="8:16" x14ac:dyDescent="0.25">
      <c r="H25022" s="12"/>
      <c r="I25022" s="12"/>
      <c r="J25022" s="12"/>
      <c r="K25022" s="12"/>
      <c r="L25022" s="12"/>
      <c r="M25022" s="11"/>
      <c r="N25022" s="11"/>
      <c r="O25022" s="11"/>
      <c r="P25022" s="11"/>
    </row>
    <row r="25023" spans="8:16" x14ac:dyDescent="0.25">
      <c r="H25023" s="12"/>
      <c r="I25023" s="12"/>
      <c r="J25023" s="12"/>
      <c r="K25023" s="12"/>
      <c r="L25023" s="12"/>
      <c r="M25023" s="11"/>
      <c r="N25023" s="11"/>
      <c r="O25023" s="11"/>
      <c r="P25023" s="11"/>
    </row>
    <row r="25024" spans="8:16" x14ac:dyDescent="0.25">
      <c r="H25024" s="12"/>
      <c r="I25024" s="12"/>
      <c r="J25024" s="12"/>
      <c r="K25024" s="12"/>
      <c r="L25024" s="12"/>
      <c r="M25024" s="11"/>
      <c r="N25024" s="11"/>
      <c r="O25024" s="11"/>
      <c r="P25024" s="11"/>
    </row>
    <row r="25025" spans="8:16" x14ac:dyDescent="0.25">
      <c r="H25025" s="12"/>
      <c r="I25025" s="12"/>
      <c r="J25025" s="12"/>
      <c r="K25025" s="12"/>
      <c r="L25025" s="12"/>
      <c r="M25025" s="11"/>
      <c r="N25025" s="11"/>
      <c r="O25025" s="11"/>
      <c r="P25025" s="11"/>
    </row>
    <row r="25026" spans="8:16" x14ac:dyDescent="0.25">
      <c r="H25026" s="12"/>
      <c r="I25026" s="12"/>
      <c r="J25026" s="12"/>
      <c r="K25026" s="12"/>
      <c r="L25026" s="12"/>
      <c r="M25026" s="11"/>
      <c r="N25026" s="11"/>
      <c r="O25026" s="11"/>
      <c r="P25026" s="11"/>
    </row>
    <row r="25027" spans="8:16" x14ac:dyDescent="0.25">
      <c r="H25027" s="12"/>
      <c r="I25027" s="12"/>
      <c r="J25027" s="12"/>
      <c r="K25027" s="12"/>
      <c r="L25027" s="12"/>
      <c r="M25027" s="11"/>
      <c r="N25027" s="11"/>
      <c r="O25027" s="11"/>
      <c r="P25027" s="11"/>
    </row>
    <row r="25028" spans="8:16" x14ac:dyDescent="0.25">
      <c r="H25028" s="12"/>
      <c r="I25028" s="12"/>
      <c r="J25028" s="12"/>
      <c r="K25028" s="12"/>
      <c r="L25028" s="12"/>
      <c r="M25028" s="11"/>
      <c r="N25028" s="11"/>
      <c r="O25028" s="11"/>
      <c r="P25028" s="11"/>
    </row>
    <row r="25029" spans="8:16" x14ac:dyDescent="0.25">
      <c r="H25029" s="12"/>
      <c r="I25029" s="12"/>
      <c r="J25029" s="12"/>
      <c r="K25029" s="12"/>
      <c r="L25029" s="12"/>
      <c r="M25029" s="11"/>
      <c r="N25029" s="11"/>
      <c r="O25029" s="11"/>
      <c r="P25029" s="11"/>
    </row>
    <row r="25030" spans="8:16" x14ac:dyDescent="0.25">
      <c r="H25030" s="12"/>
      <c r="I25030" s="12"/>
      <c r="J25030" s="12"/>
      <c r="K25030" s="12"/>
      <c r="L25030" s="12"/>
      <c r="M25030" s="11"/>
      <c r="N25030" s="11"/>
      <c r="O25030" s="11"/>
      <c r="P25030" s="11"/>
    </row>
    <row r="25031" spans="8:16" x14ac:dyDescent="0.25">
      <c r="H25031" s="12"/>
      <c r="I25031" s="12"/>
      <c r="J25031" s="12"/>
      <c r="K25031" s="12"/>
      <c r="L25031" s="12"/>
      <c r="M25031" s="11"/>
      <c r="N25031" s="11"/>
      <c r="O25031" s="11"/>
      <c r="P25031" s="11"/>
    </row>
    <row r="25032" spans="8:16" x14ac:dyDescent="0.25">
      <c r="H25032" s="12"/>
      <c r="I25032" s="12"/>
      <c r="J25032" s="12"/>
      <c r="K25032" s="12"/>
      <c r="L25032" s="12"/>
      <c r="M25032" s="11"/>
      <c r="N25032" s="11"/>
      <c r="O25032" s="11"/>
      <c r="P25032" s="11"/>
    </row>
    <row r="25033" spans="8:16" x14ac:dyDescent="0.25">
      <c r="H25033" s="12"/>
      <c r="I25033" s="12"/>
      <c r="J25033" s="12"/>
      <c r="K25033" s="12"/>
      <c r="L25033" s="12"/>
      <c r="M25033" s="11"/>
      <c r="N25033" s="11"/>
      <c r="O25033" s="11"/>
      <c r="P25033" s="11"/>
    </row>
    <row r="25034" spans="8:16" x14ac:dyDescent="0.25">
      <c r="H25034" s="12"/>
      <c r="I25034" s="12"/>
      <c r="J25034" s="12"/>
      <c r="K25034" s="12"/>
      <c r="L25034" s="12"/>
      <c r="M25034" s="11"/>
      <c r="N25034" s="11"/>
      <c r="O25034" s="11"/>
      <c r="P25034" s="11"/>
    </row>
    <row r="25035" spans="8:16" x14ac:dyDescent="0.25">
      <c r="H25035" s="12"/>
      <c r="I25035" s="12"/>
      <c r="J25035" s="12"/>
      <c r="K25035" s="12"/>
      <c r="L25035" s="12"/>
      <c r="M25035" s="11"/>
      <c r="N25035" s="11"/>
      <c r="O25035" s="11"/>
      <c r="P25035" s="11"/>
    </row>
    <row r="25036" spans="8:16" x14ac:dyDescent="0.25">
      <c r="H25036" s="12"/>
      <c r="I25036" s="12"/>
      <c r="J25036" s="12"/>
      <c r="K25036" s="12"/>
      <c r="L25036" s="12"/>
      <c r="M25036" s="11"/>
      <c r="N25036" s="11"/>
      <c r="O25036" s="11"/>
      <c r="P25036" s="11"/>
    </row>
    <row r="25037" spans="8:16" x14ac:dyDescent="0.25">
      <c r="H25037" s="12"/>
      <c r="I25037" s="12"/>
      <c r="J25037" s="12"/>
      <c r="K25037" s="12"/>
      <c r="L25037" s="12"/>
      <c r="M25037" s="11"/>
      <c r="N25037" s="11"/>
      <c r="O25037" s="11"/>
      <c r="P25037" s="11"/>
    </row>
    <row r="25038" spans="8:16" x14ac:dyDescent="0.25">
      <c r="H25038" s="12"/>
      <c r="I25038" s="12"/>
      <c r="J25038" s="12"/>
      <c r="K25038" s="12"/>
      <c r="L25038" s="12"/>
      <c r="M25038" s="11"/>
      <c r="N25038" s="11"/>
      <c r="O25038" s="11"/>
      <c r="P25038" s="11"/>
    </row>
    <row r="25039" spans="8:16" x14ac:dyDescent="0.25">
      <c r="H25039" s="12"/>
      <c r="I25039" s="12"/>
      <c r="J25039" s="12"/>
      <c r="K25039" s="12"/>
      <c r="L25039" s="12"/>
      <c r="M25039" s="11"/>
      <c r="N25039" s="11"/>
      <c r="O25039" s="11"/>
      <c r="P25039" s="11"/>
    </row>
    <row r="25040" spans="8:16" x14ac:dyDescent="0.25">
      <c r="H25040" s="12"/>
      <c r="I25040" s="12"/>
      <c r="J25040" s="12"/>
      <c r="K25040" s="12"/>
      <c r="L25040" s="12"/>
      <c r="M25040" s="11"/>
      <c r="N25040" s="11"/>
      <c r="O25040" s="11"/>
      <c r="P25040" s="11"/>
    </row>
    <row r="25041" spans="8:16" x14ac:dyDescent="0.25">
      <c r="H25041" s="12"/>
      <c r="I25041" s="12"/>
      <c r="J25041" s="12"/>
      <c r="K25041" s="12"/>
      <c r="L25041" s="12"/>
      <c r="M25041" s="11"/>
      <c r="N25041" s="11"/>
      <c r="O25041" s="11"/>
      <c r="P25041" s="11"/>
    </row>
    <row r="25042" spans="8:16" x14ac:dyDescent="0.25">
      <c r="H25042" s="12"/>
      <c r="I25042" s="12"/>
      <c r="J25042" s="12"/>
      <c r="K25042" s="12"/>
      <c r="L25042" s="12"/>
      <c r="M25042" s="11"/>
      <c r="N25042" s="11"/>
      <c r="O25042" s="11"/>
      <c r="P25042" s="11"/>
    </row>
    <row r="25043" spans="8:16" x14ac:dyDescent="0.25">
      <c r="H25043" s="12"/>
      <c r="I25043" s="12"/>
      <c r="J25043" s="12"/>
      <c r="K25043" s="12"/>
      <c r="L25043" s="12"/>
      <c r="M25043" s="11"/>
      <c r="N25043" s="11"/>
      <c r="O25043" s="11"/>
      <c r="P25043" s="11"/>
    </row>
    <row r="25044" spans="8:16" x14ac:dyDescent="0.25">
      <c r="H25044" s="12"/>
      <c r="I25044" s="12"/>
      <c r="J25044" s="12"/>
      <c r="K25044" s="12"/>
      <c r="L25044" s="12"/>
      <c r="M25044" s="11"/>
      <c r="N25044" s="11"/>
      <c r="O25044" s="11"/>
      <c r="P25044" s="11"/>
    </row>
    <row r="25045" spans="8:16" x14ac:dyDescent="0.25">
      <c r="H25045" s="12"/>
      <c r="I25045" s="12"/>
      <c r="J25045" s="12"/>
      <c r="K25045" s="12"/>
      <c r="L25045" s="12"/>
      <c r="M25045" s="11"/>
      <c r="N25045" s="11"/>
      <c r="O25045" s="11"/>
      <c r="P25045" s="11"/>
    </row>
    <row r="25046" spans="8:16" x14ac:dyDescent="0.25">
      <c r="H25046" s="12"/>
      <c r="I25046" s="12"/>
      <c r="J25046" s="12"/>
      <c r="K25046" s="12"/>
      <c r="L25046" s="12"/>
      <c r="M25046" s="11"/>
      <c r="N25046" s="11"/>
      <c r="O25046" s="11"/>
      <c r="P25046" s="11"/>
    </row>
    <row r="25047" spans="8:16" x14ac:dyDescent="0.25">
      <c r="H25047" s="12"/>
      <c r="I25047" s="12"/>
      <c r="J25047" s="12"/>
      <c r="K25047" s="12"/>
      <c r="L25047" s="12"/>
      <c r="M25047" s="11"/>
      <c r="N25047" s="11"/>
      <c r="O25047" s="11"/>
      <c r="P25047" s="11"/>
    </row>
    <row r="25048" spans="8:16" x14ac:dyDescent="0.25">
      <c r="H25048" s="12"/>
      <c r="I25048" s="12"/>
      <c r="J25048" s="12"/>
      <c r="K25048" s="12"/>
      <c r="L25048" s="12"/>
      <c r="M25048" s="11"/>
      <c r="N25048" s="11"/>
      <c r="O25048" s="11"/>
      <c r="P25048" s="11"/>
    </row>
    <row r="25049" spans="8:16" x14ac:dyDescent="0.25">
      <c r="H25049" s="12"/>
      <c r="I25049" s="12"/>
      <c r="J25049" s="12"/>
      <c r="K25049" s="12"/>
      <c r="L25049" s="12"/>
      <c r="M25049" s="11"/>
      <c r="N25049" s="11"/>
      <c r="O25049" s="11"/>
      <c r="P25049" s="11"/>
    </row>
    <row r="25050" spans="8:16" x14ac:dyDescent="0.25">
      <c r="H25050" s="12"/>
      <c r="I25050" s="12"/>
      <c r="J25050" s="12"/>
      <c r="K25050" s="12"/>
      <c r="L25050" s="12"/>
      <c r="M25050" s="11"/>
      <c r="N25050" s="11"/>
      <c r="O25050" s="11"/>
      <c r="P25050" s="11"/>
    </row>
    <row r="25051" spans="8:16" x14ac:dyDescent="0.25">
      <c r="H25051" s="12"/>
      <c r="I25051" s="12"/>
      <c r="J25051" s="12"/>
      <c r="K25051" s="12"/>
      <c r="L25051" s="12"/>
      <c r="M25051" s="11"/>
      <c r="N25051" s="11"/>
      <c r="O25051" s="11"/>
      <c r="P25051" s="11"/>
    </row>
    <row r="25052" spans="8:16" x14ac:dyDescent="0.25">
      <c r="H25052" s="12"/>
      <c r="I25052" s="12"/>
      <c r="J25052" s="12"/>
      <c r="K25052" s="12"/>
      <c r="L25052" s="12"/>
      <c r="M25052" s="11"/>
      <c r="N25052" s="11"/>
      <c r="O25052" s="11"/>
      <c r="P25052" s="11"/>
    </row>
    <row r="25053" spans="8:16" x14ac:dyDescent="0.25">
      <c r="H25053" s="12"/>
      <c r="I25053" s="12"/>
      <c r="J25053" s="12"/>
      <c r="K25053" s="12"/>
      <c r="L25053" s="12"/>
      <c r="M25053" s="11"/>
      <c r="N25053" s="11"/>
      <c r="O25053" s="11"/>
      <c r="P25053" s="11"/>
    </row>
    <row r="25054" spans="8:16" x14ac:dyDescent="0.25">
      <c r="H25054" s="12"/>
      <c r="I25054" s="12"/>
      <c r="J25054" s="12"/>
      <c r="K25054" s="12"/>
      <c r="L25054" s="12"/>
      <c r="M25054" s="11"/>
      <c r="N25054" s="11"/>
      <c r="O25054" s="11"/>
      <c r="P25054" s="11"/>
    </row>
    <row r="25055" spans="8:16" x14ac:dyDescent="0.25">
      <c r="H25055" s="12"/>
      <c r="I25055" s="12"/>
      <c r="J25055" s="12"/>
      <c r="K25055" s="12"/>
      <c r="L25055" s="12"/>
      <c r="M25055" s="11"/>
      <c r="N25055" s="11"/>
      <c r="O25055" s="11"/>
      <c r="P25055" s="11"/>
    </row>
    <row r="25056" spans="8:16" x14ac:dyDescent="0.25">
      <c r="H25056" s="12"/>
      <c r="I25056" s="12"/>
      <c r="J25056" s="12"/>
      <c r="K25056" s="12"/>
      <c r="L25056" s="12"/>
      <c r="M25056" s="11"/>
      <c r="N25056" s="11"/>
      <c r="O25056" s="11"/>
      <c r="P25056" s="11"/>
    </row>
    <row r="25057" spans="8:16" x14ac:dyDescent="0.25">
      <c r="H25057" s="12"/>
      <c r="I25057" s="12"/>
      <c r="J25057" s="12"/>
      <c r="K25057" s="12"/>
      <c r="L25057" s="12"/>
      <c r="M25057" s="11"/>
      <c r="N25057" s="11"/>
      <c r="O25057" s="11"/>
      <c r="P25057" s="11"/>
    </row>
    <row r="25058" spans="8:16" x14ac:dyDescent="0.25">
      <c r="H25058" s="12"/>
      <c r="I25058" s="12"/>
      <c r="J25058" s="12"/>
      <c r="K25058" s="12"/>
      <c r="L25058" s="12"/>
      <c r="M25058" s="11"/>
      <c r="N25058" s="11"/>
      <c r="O25058" s="11"/>
      <c r="P25058" s="11"/>
    </row>
    <row r="25059" spans="8:16" x14ac:dyDescent="0.25">
      <c r="H25059" s="12"/>
      <c r="I25059" s="12"/>
      <c r="J25059" s="12"/>
      <c r="K25059" s="12"/>
      <c r="L25059" s="12"/>
      <c r="M25059" s="11"/>
      <c r="N25059" s="11"/>
      <c r="O25059" s="11"/>
      <c r="P25059" s="11"/>
    </row>
    <row r="25060" spans="8:16" x14ac:dyDescent="0.25">
      <c r="H25060" s="12"/>
      <c r="I25060" s="12"/>
      <c r="J25060" s="12"/>
      <c r="K25060" s="12"/>
      <c r="L25060" s="12"/>
      <c r="M25060" s="11"/>
      <c r="N25060" s="11"/>
      <c r="O25060" s="11"/>
      <c r="P25060" s="11"/>
    </row>
    <row r="25061" spans="8:16" x14ac:dyDescent="0.25">
      <c r="H25061" s="12"/>
      <c r="I25061" s="12"/>
      <c r="J25061" s="12"/>
      <c r="K25061" s="12"/>
      <c r="L25061" s="12"/>
      <c r="M25061" s="11"/>
      <c r="N25061" s="11"/>
      <c r="O25061" s="11"/>
      <c r="P25061" s="11"/>
    </row>
    <row r="25062" spans="8:16" x14ac:dyDescent="0.25">
      <c r="H25062" s="12"/>
      <c r="I25062" s="12"/>
      <c r="J25062" s="12"/>
      <c r="K25062" s="12"/>
      <c r="L25062" s="12"/>
      <c r="M25062" s="11"/>
      <c r="N25062" s="11"/>
      <c r="O25062" s="11"/>
      <c r="P25062" s="11"/>
    </row>
    <row r="25063" spans="8:16" x14ac:dyDescent="0.25">
      <c r="H25063" s="12"/>
      <c r="I25063" s="12"/>
      <c r="J25063" s="12"/>
      <c r="K25063" s="12"/>
      <c r="L25063" s="12"/>
      <c r="M25063" s="11"/>
      <c r="N25063" s="11"/>
      <c r="O25063" s="11"/>
      <c r="P25063" s="11"/>
    </row>
    <row r="25064" spans="8:16" x14ac:dyDescent="0.25">
      <c r="H25064" s="12"/>
      <c r="I25064" s="12"/>
      <c r="J25064" s="12"/>
      <c r="K25064" s="12"/>
      <c r="L25064" s="12"/>
      <c r="M25064" s="11"/>
      <c r="N25064" s="11"/>
      <c r="O25064" s="11"/>
      <c r="P25064" s="11"/>
    </row>
    <row r="25065" spans="8:16" x14ac:dyDescent="0.25">
      <c r="H25065" s="12"/>
      <c r="I25065" s="12"/>
      <c r="J25065" s="12"/>
      <c r="K25065" s="12"/>
      <c r="L25065" s="12"/>
      <c r="M25065" s="11"/>
      <c r="N25065" s="11"/>
      <c r="O25065" s="11"/>
      <c r="P25065" s="11"/>
    </row>
    <row r="25066" spans="8:16" x14ac:dyDescent="0.25">
      <c r="H25066" s="12"/>
      <c r="I25066" s="12"/>
      <c r="J25066" s="12"/>
      <c r="K25066" s="12"/>
      <c r="L25066" s="12"/>
      <c r="M25066" s="11"/>
      <c r="N25066" s="11"/>
      <c r="O25066" s="11"/>
      <c r="P25066" s="11"/>
    </row>
    <row r="25067" spans="8:16" x14ac:dyDescent="0.25">
      <c r="H25067" s="12"/>
      <c r="I25067" s="12"/>
      <c r="J25067" s="12"/>
      <c r="K25067" s="12"/>
      <c r="L25067" s="12"/>
      <c r="M25067" s="11"/>
      <c r="N25067" s="11"/>
      <c r="O25067" s="11"/>
      <c r="P25067" s="11"/>
    </row>
    <row r="25068" spans="8:16" x14ac:dyDescent="0.25">
      <c r="H25068" s="12"/>
      <c r="I25068" s="12"/>
      <c r="J25068" s="12"/>
      <c r="K25068" s="12"/>
      <c r="L25068" s="12"/>
      <c r="M25068" s="11"/>
      <c r="N25068" s="11"/>
      <c r="O25068" s="11"/>
      <c r="P25068" s="11"/>
    </row>
    <row r="25069" spans="8:16" x14ac:dyDescent="0.25">
      <c r="H25069" s="12"/>
      <c r="I25069" s="12"/>
      <c r="J25069" s="12"/>
      <c r="K25069" s="12"/>
      <c r="L25069" s="12"/>
      <c r="M25069" s="11"/>
      <c r="N25069" s="11"/>
      <c r="O25069" s="11"/>
      <c r="P25069" s="11"/>
    </row>
    <row r="25070" spans="8:16" x14ac:dyDescent="0.25">
      <c r="H25070" s="12"/>
      <c r="I25070" s="12"/>
      <c r="J25070" s="12"/>
      <c r="K25070" s="12"/>
      <c r="L25070" s="12"/>
      <c r="M25070" s="11"/>
      <c r="N25070" s="11"/>
      <c r="O25070" s="11"/>
      <c r="P25070" s="11"/>
    </row>
    <row r="25071" spans="8:16" x14ac:dyDescent="0.25">
      <c r="H25071" s="12"/>
      <c r="I25071" s="12"/>
      <c r="J25071" s="12"/>
      <c r="K25071" s="12"/>
      <c r="L25071" s="12"/>
      <c r="M25071" s="11"/>
      <c r="N25071" s="11"/>
      <c r="O25071" s="11"/>
      <c r="P25071" s="11"/>
    </row>
    <row r="25072" spans="8:16" x14ac:dyDescent="0.25">
      <c r="H25072" s="12"/>
      <c r="I25072" s="12"/>
      <c r="J25072" s="12"/>
      <c r="K25072" s="12"/>
      <c r="L25072" s="12"/>
      <c r="M25072" s="11"/>
      <c r="N25072" s="11"/>
      <c r="O25072" s="11"/>
      <c r="P25072" s="11"/>
    </row>
    <row r="25073" spans="8:16" x14ac:dyDescent="0.25">
      <c r="H25073" s="12"/>
      <c r="I25073" s="12"/>
      <c r="J25073" s="12"/>
      <c r="K25073" s="12"/>
      <c r="L25073" s="12"/>
      <c r="M25073" s="11"/>
      <c r="N25073" s="11"/>
      <c r="O25073" s="11"/>
      <c r="P25073" s="11"/>
    </row>
    <row r="25074" spans="8:16" x14ac:dyDescent="0.25">
      <c r="H25074" s="12"/>
      <c r="I25074" s="12"/>
      <c r="J25074" s="12"/>
      <c r="K25074" s="12"/>
      <c r="L25074" s="12"/>
      <c r="M25074" s="11"/>
      <c r="N25074" s="11"/>
      <c r="O25074" s="11"/>
      <c r="P25074" s="11"/>
    </row>
    <row r="25075" spans="8:16" x14ac:dyDescent="0.25">
      <c r="H25075" s="12"/>
      <c r="I25075" s="12"/>
      <c r="J25075" s="12"/>
      <c r="K25075" s="12"/>
      <c r="L25075" s="12"/>
      <c r="M25075" s="11"/>
      <c r="N25075" s="11"/>
      <c r="O25075" s="11"/>
      <c r="P25075" s="11"/>
    </row>
    <row r="25076" spans="8:16" x14ac:dyDescent="0.25">
      <c r="H25076" s="12"/>
      <c r="I25076" s="12"/>
      <c r="J25076" s="12"/>
      <c r="K25076" s="12"/>
      <c r="L25076" s="12"/>
      <c r="M25076" s="11"/>
      <c r="N25076" s="11"/>
      <c r="O25076" s="11"/>
      <c r="P25076" s="11"/>
    </row>
    <row r="25077" spans="8:16" x14ac:dyDescent="0.25">
      <c r="H25077" s="12"/>
      <c r="I25077" s="12"/>
      <c r="J25077" s="12"/>
      <c r="K25077" s="12"/>
      <c r="L25077" s="12"/>
      <c r="M25077" s="11"/>
      <c r="N25077" s="11"/>
      <c r="O25077" s="11"/>
      <c r="P25077" s="11"/>
    </row>
    <row r="25078" spans="8:16" x14ac:dyDescent="0.25">
      <c r="H25078" s="12"/>
      <c r="I25078" s="12"/>
      <c r="J25078" s="12"/>
      <c r="K25078" s="12"/>
      <c r="L25078" s="12"/>
      <c r="M25078" s="11"/>
      <c r="N25078" s="11"/>
      <c r="O25078" s="11"/>
      <c r="P25078" s="11"/>
    </row>
    <row r="25079" spans="8:16" x14ac:dyDescent="0.25">
      <c r="H25079" s="12"/>
      <c r="I25079" s="12"/>
      <c r="J25079" s="12"/>
      <c r="K25079" s="12"/>
      <c r="L25079" s="12"/>
      <c r="M25079" s="11"/>
      <c r="N25079" s="11"/>
      <c r="O25079" s="11"/>
      <c r="P25079" s="11"/>
    </row>
    <row r="25080" spans="8:16" x14ac:dyDescent="0.25">
      <c r="H25080" s="12"/>
      <c r="I25080" s="12"/>
      <c r="J25080" s="12"/>
      <c r="K25080" s="12"/>
      <c r="L25080" s="12"/>
      <c r="M25080" s="11"/>
      <c r="N25080" s="11"/>
      <c r="O25080" s="11"/>
      <c r="P25080" s="11"/>
    </row>
    <row r="25081" spans="8:16" x14ac:dyDescent="0.25">
      <c r="H25081" s="12"/>
      <c r="I25081" s="12"/>
      <c r="J25081" s="12"/>
      <c r="K25081" s="12"/>
      <c r="L25081" s="12"/>
      <c r="M25081" s="11"/>
      <c r="N25081" s="11"/>
      <c r="O25081" s="11"/>
      <c r="P25081" s="11"/>
    </row>
    <row r="25082" spans="8:16" x14ac:dyDescent="0.25">
      <c r="H25082" s="12"/>
      <c r="I25082" s="12"/>
      <c r="J25082" s="12"/>
      <c r="K25082" s="12"/>
      <c r="L25082" s="12"/>
      <c r="M25082" s="11"/>
      <c r="N25082" s="11"/>
      <c r="O25082" s="11"/>
      <c r="P25082" s="11"/>
    </row>
    <row r="25083" spans="8:16" x14ac:dyDescent="0.25">
      <c r="H25083" s="12"/>
      <c r="I25083" s="12"/>
      <c r="J25083" s="12"/>
      <c r="K25083" s="12"/>
      <c r="L25083" s="12"/>
      <c r="M25083" s="11"/>
      <c r="N25083" s="11"/>
      <c r="O25083" s="11"/>
      <c r="P25083" s="11"/>
    </row>
    <row r="25084" spans="8:16" x14ac:dyDescent="0.25">
      <c r="H25084" s="12"/>
      <c r="I25084" s="12"/>
      <c r="J25084" s="12"/>
      <c r="K25084" s="12"/>
      <c r="L25084" s="12"/>
      <c r="M25084" s="11"/>
      <c r="N25084" s="11"/>
      <c r="O25084" s="11"/>
      <c r="P25084" s="11"/>
    </row>
    <row r="25085" spans="8:16" x14ac:dyDescent="0.25">
      <c r="H25085" s="12"/>
      <c r="I25085" s="12"/>
      <c r="J25085" s="12"/>
      <c r="K25085" s="12"/>
      <c r="L25085" s="12"/>
      <c r="M25085" s="11"/>
      <c r="N25085" s="11"/>
      <c r="O25085" s="11"/>
      <c r="P25085" s="11"/>
    </row>
    <row r="25086" spans="8:16" x14ac:dyDescent="0.25">
      <c r="H25086" s="12"/>
      <c r="I25086" s="12"/>
      <c r="J25086" s="12"/>
      <c r="K25086" s="12"/>
      <c r="L25086" s="12"/>
      <c r="M25086" s="11"/>
      <c r="N25086" s="11"/>
      <c r="O25086" s="11"/>
      <c r="P25086" s="11"/>
    </row>
    <row r="25087" spans="8:16" x14ac:dyDescent="0.25">
      <c r="H25087" s="12"/>
      <c r="I25087" s="12"/>
      <c r="J25087" s="12"/>
      <c r="K25087" s="12"/>
      <c r="L25087" s="12"/>
      <c r="M25087" s="11"/>
      <c r="N25087" s="11"/>
      <c r="O25087" s="11"/>
      <c r="P25087" s="11"/>
    </row>
    <row r="25088" spans="8:16" x14ac:dyDescent="0.25">
      <c r="H25088" s="12"/>
      <c r="I25088" s="12"/>
      <c r="J25088" s="12"/>
      <c r="K25088" s="12"/>
      <c r="L25088" s="12"/>
      <c r="M25088" s="11"/>
      <c r="N25088" s="11"/>
      <c r="O25088" s="11"/>
      <c r="P25088" s="11"/>
    </row>
    <row r="25089" spans="8:16" x14ac:dyDescent="0.25">
      <c r="H25089" s="12"/>
      <c r="I25089" s="12"/>
      <c r="J25089" s="12"/>
      <c r="K25089" s="12"/>
      <c r="L25089" s="12"/>
      <c r="M25089" s="11"/>
      <c r="N25089" s="11"/>
      <c r="O25089" s="11"/>
      <c r="P25089" s="11"/>
    </row>
    <row r="25090" spans="8:16" x14ac:dyDescent="0.25">
      <c r="H25090" s="12"/>
      <c r="I25090" s="12"/>
      <c r="J25090" s="12"/>
      <c r="K25090" s="12"/>
      <c r="L25090" s="12"/>
      <c r="M25090" s="11"/>
      <c r="N25090" s="11"/>
      <c r="O25090" s="11"/>
      <c r="P25090" s="11"/>
    </row>
    <row r="25091" spans="8:16" x14ac:dyDescent="0.25">
      <c r="H25091" s="12"/>
      <c r="I25091" s="12"/>
      <c r="J25091" s="12"/>
      <c r="K25091" s="12"/>
      <c r="L25091" s="12"/>
      <c r="M25091" s="11"/>
      <c r="N25091" s="11"/>
      <c r="O25091" s="11"/>
      <c r="P25091" s="11"/>
    </row>
    <row r="25092" spans="8:16" x14ac:dyDescent="0.25">
      <c r="H25092" s="12"/>
      <c r="I25092" s="12"/>
      <c r="J25092" s="12"/>
      <c r="K25092" s="12"/>
      <c r="L25092" s="12"/>
      <c r="M25092" s="11"/>
      <c r="N25092" s="11"/>
      <c r="O25092" s="11"/>
      <c r="P25092" s="11"/>
    </row>
    <row r="25093" spans="8:16" x14ac:dyDescent="0.25">
      <c r="H25093" s="12"/>
      <c r="I25093" s="12"/>
      <c r="J25093" s="12"/>
      <c r="K25093" s="12"/>
      <c r="L25093" s="12"/>
      <c r="M25093" s="11"/>
      <c r="N25093" s="11"/>
      <c r="O25093" s="11"/>
      <c r="P25093" s="11"/>
    </row>
    <row r="25094" spans="8:16" x14ac:dyDescent="0.25">
      <c r="H25094" s="12"/>
      <c r="I25094" s="12"/>
      <c r="J25094" s="12"/>
      <c r="K25094" s="12"/>
      <c r="L25094" s="12"/>
      <c r="M25094" s="11"/>
      <c r="N25094" s="11"/>
      <c r="O25094" s="11"/>
      <c r="P25094" s="11"/>
    </row>
    <row r="25095" spans="8:16" x14ac:dyDescent="0.25">
      <c r="H25095" s="12"/>
      <c r="I25095" s="12"/>
      <c r="J25095" s="12"/>
      <c r="K25095" s="12"/>
      <c r="L25095" s="12"/>
      <c r="M25095" s="11"/>
      <c r="N25095" s="11"/>
      <c r="O25095" s="11"/>
      <c r="P25095" s="11"/>
    </row>
    <row r="25096" spans="8:16" x14ac:dyDescent="0.25">
      <c r="H25096" s="12"/>
      <c r="I25096" s="12"/>
      <c r="J25096" s="12"/>
      <c r="K25096" s="12"/>
      <c r="L25096" s="12"/>
      <c r="M25096" s="11"/>
      <c r="N25096" s="11"/>
      <c r="O25096" s="11"/>
      <c r="P25096" s="11"/>
    </row>
    <row r="25097" spans="8:16" x14ac:dyDescent="0.25">
      <c r="H25097" s="12"/>
      <c r="I25097" s="12"/>
      <c r="J25097" s="12"/>
      <c r="K25097" s="12"/>
      <c r="L25097" s="12"/>
      <c r="M25097" s="11"/>
      <c r="N25097" s="11"/>
      <c r="O25097" s="11"/>
      <c r="P25097" s="11"/>
    </row>
    <row r="25098" spans="8:16" x14ac:dyDescent="0.25">
      <c r="H25098" s="12"/>
      <c r="I25098" s="12"/>
      <c r="J25098" s="12"/>
      <c r="K25098" s="12"/>
      <c r="L25098" s="12"/>
      <c r="M25098" s="11"/>
      <c r="N25098" s="11"/>
      <c r="O25098" s="11"/>
      <c r="P25098" s="11"/>
    </row>
    <row r="25099" spans="8:16" x14ac:dyDescent="0.25">
      <c r="H25099" s="12"/>
      <c r="I25099" s="12"/>
      <c r="J25099" s="12"/>
      <c r="K25099" s="12"/>
      <c r="L25099" s="12"/>
      <c r="M25099" s="11"/>
      <c r="N25099" s="11"/>
      <c r="O25099" s="11"/>
      <c r="P25099" s="11"/>
    </row>
    <row r="25100" spans="8:16" x14ac:dyDescent="0.25">
      <c r="H25100" s="12"/>
      <c r="I25100" s="12"/>
      <c r="J25100" s="12"/>
      <c r="K25100" s="12"/>
      <c r="L25100" s="12"/>
      <c r="M25100" s="11"/>
      <c r="N25100" s="11"/>
      <c r="O25100" s="11"/>
      <c r="P25100" s="11"/>
    </row>
    <row r="25101" spans="8:16" x14ac:dyDescent="0.25">
      <c r="H25101" s="12"/>
      <c r="I25101" s="12"/>
      <c r="J25101" s="12"/>
      <c r="K25101" s="12"/>
      <c r="L25101" s="12"/>
      <c r="M25101" s="11"/>
      <c r="N25101" s="11"/>
      <c r="O25101" s="11"/>
      <c r="P25101" s="11"/>
    </row>
    <row r="25102" spans="8:16" x14ac:dyDescent="0.25">
      <c r="H25102" s="12"/>
      <c r="I25102" s="12"/>
      <c r="J25102" s="12"/>
      <c r="K25102" s="12"/>
      <c r="L25102" s="12"/>
      <c r="M25102" s="11"/>
      <c r="N25102" s="11"/>
      <c r="O25102" s="11"/>
      <c r="P25102" s="11"/>
    </row>
    <row r="25103" spans="8:16" x14ac:dyDescent="0.25">
      <c r="H25103" s="12"/>
      <c r="I25103" s="12"/>
      <c r="J25103" s="12"/>
      <c r="K25103" s="12"/>
      <c r="L25103" s="12"/>
      <c r="M25103" s="11"/>
      <c r="N25103" s="11"/>
      <c r="O25103" s="11"/>
      <c r="P25103" s="11"/>
    </row>
    <row r="25104" spans="8:16" x14ac:dyDescent="0.25">
      <c r="H25104" s="12"/>
      <c r="I25104" s="12"/>
      <c r="J25104" s="12"/>
      <c r="K25104" s="12"/>
      <c r="L25104" s="12"/>
      <c r="M25104" s="11"/>
      <c r="N25104" s="11"/>
      <c r="O25104" s="11"/>
      <c r="P25104" s="11"/>
    </row>
    <row r="25105" spans="8:16" x14ac:dyDescent="0.25">
      <c r="H25105" s="12"/>
      <c r="I25105" s="12"/>
      <c r="J25105" s="12"/>
      <c r="K25105" s="12"/>
      <c r="L25105" s="12"/>
      <c r="M25105" s="11"/>
      <c r="N25105" s="11"/>
      <c r="O25105" s="11"/>
      <c r="P25105" s="11"/>
    </row>
    <row r="25106" spans="8:16" x14ac:dyDescent="0.25">
      <c r="H25106" s="12"/>
      <c r="I25106" s="12"/>
      <c r="J25106" s="12"/>
      <c r="K25106" s="12"/>
      <c r="L25106" s="12"/>
      <c r="M25106" s="11"/>
      <c r="N25106" s="11"/>
      <c r="O25106" s="11"/>
      <c r="P25106" s="11"/>
    </row>
    <row r="25107" spans="8:16" x14ac:dyDescent="0.25">
      <c r="H25107" s="12"/>
      <c r="I25107" s="12"/>
      <c r="J25107" s="12"/>
      <c r="K25107" s="12"/>
      <c r="L25107" s="12"/>
      <c r="M25107" s="11"/>
      <c r="N25107" s="11"/>
      <c r="O25107" s="11"/>
      <c r="P25107" s="11"/>
    </row>
    <row r="25108" spans="8:16" x14ac:dyDescent="0.25">
      <c r="H25108" s="12"/>
      <c r="I25108" s="12"/>
      <c r="J25108" s="12"/>
      <c r="K25108" s="12"/>
      <c r="L25108" s="12"/>
      <c r="M25108" s="11"/>
      <c r="N25108" s="11"/>
      <c r="O25108" s="11"/>
      <c r="P25108" s="11"/>
    </row>
    <row r="25109" spans="8:16" x14ac:dyDescent="0.25">
      <c r="H25109" s="12"/>
      <c r="I25109" s="12"/>
      <c r="J25109" s="12"/>
      <c r="K25109" s="12"/>
      <c r="L25109" s="12"/>
      <c r="M25109" s="11"/>
      <c r="N25109" s="11"/>
      <c r="O25109" s="11"/>
      <c r="P25109" s="11"/>
    </row>
    <row r="25110" spans="8:16" x14ac:dyDescent="0.25">
      <c r="H25110" s="12"/>
      <c r="I25110" s="12"/>
      <c r="J25110" s="12"/>
      <c r="K25110" s="12"/>
      <c r="L25110" s="12"/>
      <c r="M25110" s="11"/>
      <c r="N25110" s="11"/>
      <c r="O25110" s="11"/>
      <c r="P25110" s="11"/>
    </row>
    <row r="25111" spans="8:16" x14ac:dyDescent="0.25">
      <c r="H25111" s="12"/>
      <c r="I25111" s="12"/>
      <c r="J25111" s="12"/>
      <c r="K25111" s="12"/>
      <c r="L25111" s="12"/>
      <c r="M25111" s="11"/>
      <c r="N25111" s="11"/>
      <c r="O25111" s="11"/>
      <c r="P25111" s="11"/>
    </row>
    <row r="25112" spans="8:16" x14ac:dyDescent="0.25">
      <c r="H25112" s="12"/>
      <c r="I25112" s="12"/>
      <c r="J25112" s="12"/>
      <c r="K25112" s="12"/>
      <c r="L25112" s="12"/>
      <c r="M25112" s="11"/>
      <c r="N25112" s="11"/>
      <c r="O25112" s="11"/>
      <c r="P25112" s="11"/>
    </row>
    <row r="25113" spans="8:16" x14ac:dyDescent="0.25">
      <c r="H25113" s="12"/>
      <c r="I25113" s="12"/>
      <c r="J25113" s="12"/>
      <c r="K25113" s="12"/>
      <c r="L25113" s="12"/>
      <c r="M25113" s="11"/>
      <c r="N25113" s="11"/>
      <c r="O25113" s="11"/>
      <c r="P25113" s="11"/>
    </row>
    <row r="25114" spans="8:16" x14ac:dyDescent="0.25">
      <c r="H25114" s="12"/>
      <c r="I25114" s="12"/>
      <c r="J25114" s="12"/>
      <c r="K25114" s="12"/>
      <c r="L25114" s="12"/>
      <c r="M25114" s="11"/>
      <c r="N25114" s="11"/>
      <c r="O25114" s="11"/>
      <c r="P25114" s="11"/>
    </row>
    <row r="25115" spans="8:16" x14ac:dyDescent="0.25">
      <c r="H25115" s="12"/>
      <c r="I25115" s="12"/>
      <c r="J25115" s="12"/>
      <c r="K25115" s="12"/>
      <c r="L25115" s="12"/>
      <c r="M25115" s="11"/>
      <c r="N25115" s="11"/>
      <c r="O25115" s="11"/>
      <c r="P25115" s="11"/>
    </row>
    <row r="25116" spans="8:16" x14ac:dyDescent="0.25">
      <c r="H25116" s="12"/>
      <c r="I25116" s="12"/>
      <c r="J25116" s="12"/>
      <c r="K25116" s="12"/>
      <c r="L25116" s="12"/>
      <c r="M25116" s="11"/>
      <c r="N25116" s="11"/>
      <c r="O25116" s="11"/>
      <c r="P25116" s="11"/>
    </row>
    <row r="25117" spans="8:16" x14ac:dyDescent="0.25">
      <c r="H25117" s="12"/>
      <c r="I25117" s="12"/>
      <c r="J25117" s="12"/>
      <c r="K25117" s="12"/>
      <c r="L25117" s="12"/>
      <c r="M25117" s="11"/>
      <c r="N25117" s="11"/>
      <c r="O25117" s="11"/>
      <c r="P25117" s="11"/>
    </row>
    <row r="25118" spans="8:16" x14ac:dyDescent="0.25">
      <c r="H25118" s="12"/>
      <c r="I25118" s="12"/>
      <c r="J25118" s="12"/>
      <c r="K25118" s="12"/>
      <c r="L25118" s="12"/>
      <c r="M25118" s="11"/>
      <c r="N25118" s="11"/>
      <c r="O25118" s="11"/>
      <c r="P25118" s="11"/>
    </row>
    <row r="25119" spans="8:16" x14ac:dyDescent="0.25">
      <c r="H25119" s="12"/>
      <c r="I25119" s="12"/>
      <c r="J25119" s="12"/>
      <c r="K25119" s="12"/>
      <c r="L25119" s="12"/>
      <c r="M25119" s="11"/>
      <c r="N25119" s="11"/>
      <c r="O25119" s="11"/>
      <c r="P25119" s="11"/>
    </row>
    <row r="25120" spans="8:16" x14ac:dyDescent="0.25">
      <c r="H25120" s="12"/>
      <c r="I25120" s="12"/>
      <c r="J25120" s="12"/>
      <c r="K25120" s="12"/>
      <c r="L25120" s="12"/>
      <c r="M25120" s="11"/>
      <c r="N25120" s="11"/>
      <c r="O25120" s="11"/>
      <c r="P25120" s="11"/>
    </row>
    <row r="25121" spans="8:16" x14ac:dyDescent="0.25">
      <c r="H25121" s="12"/>
      <c r="I25121" s="12"/>
      <c r="J25121" s="12"/>
      <c r="K25121" s="12"/>
      <c r="L25121" s="12"/>
      <c r="M25121" s="11"/>
      <c r="N25121" s="11"/>
      <c r="O25121" s="11"/>
      <c r="P25121" s="11"/>
    </row>
    <row r="25122" spans="8:16" x14ac:dyDescent="0.25">
      <c r="H25122" s="12"/>
      <c r="I25122" s="12"/>
      <c r="J25122" s="12"/>
      <c r="K25122" s="12"/>
      <c r="L25122" s="12"/>
      <c r="M25122" s="11"/>
      <c r="N25122" s="11"/>
      <c r="O25122" s="11"/>
      <c r="P25122" s="11"/>
    </row>
    <row r="25123" spans="8:16" x14ac:dyDescent="0.25">
      <c r="H25123" s="12"/>
      <c r="I25123" s="12"/>
      <c r="J25123" s="12"/>
      <c r="K25123" s="12"/>
      <c r="L25123" s="12"/>
      <c r="M25123" s="11"/>
      <c r="N25123" s="11"/>
      <c r="O25123" s="11"/>
      <c r="P25123" s="11"/>
    </row>
    <row r="25124" spans="8:16" x14ac:dyDescent="0.25">
      <c r="H25124" s="12"/>
      <c r="I25124" s="12"/>
      <c r="J25124" s="12"/>
      <c r="K25124" s="12"/>
      <c r="L25124" s="12"/>
      <c r="M25124" s="11"/>
      <c r="N25124" s="11"/>
      <c r="O25124" s="11"/>
      <c r="P25124" s="11"/>
    </row>
    <row r="25125" spans="8:16" x14ac:dyDescent="0.25">
      <c r="H25125" s="12"/>
      <c r="I25125" s="12"/>
      <c r="J25125" s="12"/>
      <c r="K25125" s="12"/>
      <c r="L25125" s="12"/>
      <c r="M25125" s="11"/>
      <c r="N25125" s="11"/>
      <c r="O25125" s="11"/>
      <c r="P25125" s="11"/>
    </row>
    <row r="25126" spans="8:16" x14ac:dyDescent="0.25">
      <c r="H25126" s="12"/>
      <c r="I25126" s="12"/>
      <c r="J25126" s="12"/>
      <c r="K25126" s="12"/>
      <c r="L25126" s="12"/>
      <c r="M25126" s="11"/>
      <c r="N25126" s="11"/>
      <c r="O25126" s="11"/>
      <c r="P25126" s="11"/>
    </row>
    <row r="25127" spans="8:16" x14ac:dyDescent="0.25">
      <c r="H25127" s="12"/>
      <c r="I25127" s="12"/>
      <c r="J25127" s="12"/>
      <c r="K25127" s="12"/>
      <c r="L25127" s="12"/>
      <c r="M25127" s="11"/>
      <c r="N25127" s="11"/>
      <c r="O25127" s="11"/>
      <c r="P25127" s="11"/>
    </row>
    <row r="25128" spans="8:16" x14ac:dyDescent="0.25">
      <c r="H25128" s="12"/>
      <c r="I25128" s="12"/>
      <c r="J25128" s="12"/>
      <c r="K25128" s="12"/>
      <c r="L25128" s="12"/>
      <c r="M25128" s="11"/>
      <c r="N25128" s="11"/>
      <c r="O25128" s="11"/>
      <c r="P25128" s="11"/>
    </row>
    <row r="25129" spans="8:16" x14ac:dyDescent="0.25">
      <c r="H25129" s="12"/>
      <c r="I25129" s="12"/>
      <c r="J25129" s="12"/>
      <c r="K25129" s="12"/>
      <c r="L25129" s="12"/>
      <c r="M25129" s="11"/>
      <c r="N25129" s="11"/>
      <c r="O25129" s="11"/>
      <c r="P25129" s="11"/>
    </row>
    <row r="25130" spans="8:16" x14ac:dyDescent="0.25">
      <c r="H25130" s="12"/>
      <c r="I25130" s="12"/>
      <c r="J25130" s="12"/>
      <c r="K25130" s="12"/>
      <c r="L25130" s="12"/>
      <c r="M25130" s="11"/>
      <c r="N25130" s="11"/>
      <c r="O25130" s="11"/>
      <c r="P25130" s="11"/>
    </row>
    <row r="25131" spans="8:16" x14ac:dyDescent="0.25">
      <c r="H25131" s="12"/>
      <c r="I25131" s="12"/>
      <c r="J25131" s="12"/>
      <c r="K25131" s="12"/>
      <c r="L25131" s="12"/>
      <c r="M25131" s="11"/>
      <c r="N25131" s="11"/>
      <c r="O25131" s="11"/>
      <c r="P25131" s="11"/>
    </row>
    <row r="25132" spans="8:16" x14ac:dyDescent="0.25">
      <c r="H25132" s="12"/>
      <c r="I25132" s="12"/>
      <c r="J25132" s="12"/>
      <c r="K25132" s="12"/>
      <c r="L25132" s="12"/>
      <c r="M25132" s="11"/>
      <c r="N25132" s="11"/>
      <c r="O25132" s="11"/>
      <c r="P25132" s="11"/>
    </row>
    <row r="25133" spans="8:16" x14ac:dyDescent="0.25">
      <c r="H25133" s="12"/>
      <c r="I25133" s="12"/>
      <c r="J25133" s="12"/>
      <c r="K25133" s="12"/>
      <c r="L25133" s="12"/>
      <c r="M25133" s="11"/>
      <c r="N25133" s="11"/>
      <c r="O25133" s="11"/>
      <c r="P25133" s="11"/>
    </row>
    <row r="25134" spans="8:16" x14ac:dyDescent="0.25">
      <c r="H25134" s="12"/>
      <c r="I25134" s="12"/>
      <c r="J25134" s="12"/>
      <c r="K25134" s="12"/>
      <c r="L25134" s="12"/>
      <c r="M25134" s="11"/>
      <c r="N25134" s="11"/>
      <c r="O25134" s="11"/>
      <c r="P25134" s="11"/>
    </row>
    <row r="25135" spans="8:16" x14ac:dyDescent="0.25">
      <c r="H25135" s="12"/>
      <c r="I25135" s="12"/>
      <c r="J25135" s="12"/>
      <c r="K25135" s="12"/>
      <c r="L25135" s="12"/>
      <c r="M25135" s="11"/>
      <c r="N25135" s="11"/>
      <c r="O25135" s="11"/>
      <c r="P25135" s="11"/>
    </row>
    <row r="25136" spans="8:16" x14ac:dyDescent="0.25">
      <c r="H25136" s="12"/>
      <c r="I25136" s="12"/>
      <c r="J25136" s="12"/>
      <c r="K25136" s="12"/>
      <c r="L25136" s="12"/>
      <c r="M25136" s="11"/>
      <c r="N25136" s="11"/>
      <c r="O25136" s="11"/>
      <c r="P25136" s="11"/>
    </row>
    <row r="25137" spans="8:16" x14ac:dyDescent="0.25">
      <c r="H25137" s="12"/>
      <c r="I25137" s="12"/>
      <c r="J25137" s="12"/>
      <c r="K25137" s="12"/>
      <c r="L25137" s="12"/>
      <c r="M25137" s="11"/>
      <c r="N25137" s="11"/>
      <c r="O25137" s="11"/>
      <c r="P25137" s="11"/>
    </row>
    <row r="25138" spans="8:16" x14ac:dyDescent="0.25">
      <c r="H25138" s="12"/>
      <c r="I25138" s="12"/>
      <c r="J25138" s="12"/>
      <c r="K25138" s="12"/>
      <c r="L25138" s="12"/>
      <c r="M25138" s="11"/>
      <c r="N25138" s="11"/>
      <c r="O25138" s="11"/>
      <c r="P25138" s="11"/>
    </row>
    <row r="25139" spans="8:16" x14ac:dyDescent="0.25">
      <c r="H25139" s="12"/>
      <c r="I25139" s="12"/>
      <c r="J25139" s="12"/>
      <c r="K25139" s="12"/>
      <c r="L25139" s="12"/>
      <c r="M25139" s="11"/>
      <c r="N25139" s="11"/>
      <c r="O25139" s="11"/>
      <c r="P25139" s="11"/>
    </row>
    <row r="25140" spans="8:16" x14ac:dyDescent="0.25">
      <c r="H25140" s="12"/>
      <c r="I25140" s="12"/>
      <c r="J25140" s="12"/>
      <c r="K25140" s="12"/>
      <c r="L25140" s="12"/>
      <c r="M25140" s="11"/>
      <c r="N25140" s="11"/>
      <c r="O25140" s="11"/>
      <c r="P25140" s="11"/>
    </row>
    <row r="25141" spans="8:16" x14ac:dyDescent="0.25">
      <c r="H25141" s="12"/>
      <c r="I25141" s="12"/>
      <c r="J25141" s="12"/>
      <c r="K25141" s="12"/>
      <c r="L25141" s="12"/>
      <c r="M25141" s="11"/>
      <c r="N25141" s="11"/>
      <c r="O25141" s="11"/>
      <c r="P25141" s="11"/>
    </row>
    <row r="25142" spans="8:16" x14ac:dyDescent="0.25">
      <c r="H25142" s="12"/>
      <c r="I25142" s="12"/>
      <c r="J25142" s="12"/>
      <c r="K25142" s="12"/>
      <c r="L25142" s="12"/>
      <c r="M25142" s="11"/>
      <c r="N25142" s="11"/>
      <c r="O25142" s="11"/>
      <c r="P25142" s="11"/>
    </row>
    <row r="25143" spans="8:16" x14ac:dyDescent="0.25">
      <c r="H25143" s="12"/>
      <c r="I25143" s="12"/>
      <c r="J25143" s="12"/>
      <c r="K25143" s="12"/>
      <c r="L25143" s="12"/>
      <c r="M25143" s="11"/>
      <c r="N25143" s="11"/>
      <c r="O25143" s="11"/>
      <c r="P25143" s="11"/>
    </row>
    <row r="25144" spans="8:16" x14ac:dyDescent="0.25">
      <c r="H25144" s="12"/>
      <c r="I25144" s="12"/>
      <c r="J25144" s="12"/>
      <c r="K25144" s="12"/>
      <c r="L25144" s="12"/>
      <c r="M25144" s="11"/>
      <c r="N25144" s="11"/>
      <c r="O25144" s="11"/>
      <c r="P25144" s="11"/>
    </row>
    <row r="25145" spans="8:16" x14ac:dyDescent="0.25">
      <c r="H25145" s="12"/>
      <c r="I25145" s="12"/>
      <c r="J25145" s="12"/>
      <c r="K25145" s="12"/>
      <c r="L25145" s="12"/>
      <c r="M25145" s="11"/>
      <c r="N25145" s="11"/>
      <c r="O25145" s="11"/>
      <c r="P25145" s="11"/>
    </row>
    <row r="25146" spans="8:16" x14ac:dyDescent="0.25">
      <c r="H25146" s="12"/>
      <c r="I25146" s="12"/>
      <c r="J25146" s="12"/>
      <c r="K25146" s="12"/>
      <c r="L25146" s="12"/>
      <c r="M25146" s="11"/>
      <c r="N25146" s="11"/>
      <c r="O25146" s="11"/>
      <c r="P25146" s="11"/>
    </row>
    <row r="25147" spans="8:16" x14ac:dyDescent="0.25">
      <c r="H25147" s="12"/>
      <c r="I25147" s="12"/>
      <c r="J25147" s="12"/>
      <c r="K25147" s="12"/>
      <c r="L25147" s="12"/>
      <c r="M25147" s="11"/>
      <c r="N25147" s="11"/>
      <c r="O25147" s="11"/>
      <c r="P25147" s="11"/>
    </row>
    <row r="25148" spans="8:16" x14ac:dyDescent="0.25">
      <c r="H25148" s="12"/>
      <c r="I25148" s="12"/>
      <c r="J25148" s="12"/>
      <c r="K25148" s="12"/>
      <c r="L25148" s="12"/>
      <c r="M25148" s="11"/>
      <c r="N25148" s="11"/>
      <c r="O25148" s="11"/>
      <c r="P25148" s="11"/>
    </row>
    <row r="25149" spans="8:16" x14ac:dyDescent="0.25">
      <c r="H25149" s="12"/>
      <c r="I25149" s="12"/>
      <c r="J25149" s="12"/>
      <c r="K25149" s="12"/>
      <c r="L25149" s="12"/>
      <c r="M25149" s="11"/>
      <c r="N25149" s="11"/>
      <c r="O25149" s="11"/>
      <c r="P25149" s="11"/>
    </row>
    <row r="25150" spans="8:16" x14ac:dyDescent="0.25">
      <c r="H25150" s="12"/>
      <c r="I25150" s="12"/>
      <c r="J25150" s="12"/>
      <c r="K25150" s="12"/>
      <c r="L25150" s="12"/>
      <c r="M25150" s="11"/>
      <c r="N25150" s="11"/>
      <c r="O25150" s="11"/>
      <c r="P25150" s="11"/>
    </row>
    <row r="25151" spans="8:16" x14ac:dyDescent="0.25">
      <c r="H25151" s="12"/>
      <c r="I25151" s="12"/>
      <c r="J25151" s="12"/>
      <c r="K25151" s="12"/>
      <c r="L25151" s="12"/>
      <c r="M25151" s="11"/>
      <c r="N25151" s="11"/>
      <c r="O25151" s="11"/>
      <c r="P25151" s="11"/>
    </row>
    <row r="25152" spans="8:16" x14ac:dyDescent="0.25">
      <c r="H25152" s="12"/>
      <c r="I25152" s="12"/>
      <c r="J25152" s="12"/>
      <c r="K25152" s="12"/>
      <c r="L25152" s="12"/>
      <c r="M25152" s="11"/>
      <c r="N25152" s="11"/>
      <c r="O25152" s="11"/>
      <c r="P25152" s="11"/>
    </row>
    <row r="25153" spans="8:16" x14ac:dyDescent="0.25">
      <c r="H25153" s="12"/>
      <c r="I25153" s="12"/>
      <c r="J25153" s="12"/>
      <c r="K25153" s="12"/>
      <c r="L25153" s="12"/>
      <c r="M25153" s="11"/>
      <c r="N25153" s="11"/>
      <c r="O25153" s="11"/>
      <c r="P25153" s="11"/>
    </row>
    <row r="25154" spans="8:16" x14ac:dyDescent="0.25">
      <c r="H25154" s="12"/>
      <c r="I25154" s="12"/>
      <c r="J25154" s="12"/>
      <c r="K25154" s="12"/>
      <c r="L25154" s="12"/>
      <c r="M25154" s="11"/>
      <c r="N25154" s="11"/>
      <c r="O25154" s="11"/>
      <c r="P25154" s="11"/>
    </row>
    <row r="25155" spans="8:16" x14ac:dyDescent="0.25">
      <c r="H25155" s="12"/>
      <c r="I25155" s="12"/>
      <c r="J25155" s="12"/>
      <c r="K25155" s="12"/>
      <c r="L25155" s="12"/>
      <c r="M25155" s="11"/>
      <c r="N25155" s="11"/>
      <c r="O25155" s="11"/>
      <c r="P25155" s="11"/>
    </row>
    <row r="25156" spans="8:16" x14ac:dyDescent="0.25">
      <c r="H25156" s="12"/>
      <c r="I25156" s="12"/>
      <c r="J25156" s="12"/>
      <c r="K25156" s="12"/>
      <c r="L25156" s="12"/>
      <c r="M25156" s="11"/>
      <c r="N25156" s="11"/>
      <c r="O25156" s="11"/>
      <c r="P25156" s="11"/>
    </row>
    <row r="25157" spans="8:16" x14ac:dyDescent="0.25">
      <c r="H25157" s="12"/>
      <c r="I25157" s="12"/>
      <c r="J25157" s="12"/>
      <c r="K25157" s="12"/>
      <c r="L25157" s="12"/>
      <c r="M25157" s="11"/>
      <c r="N25157" s="11"/>
      <c r="O25157" s="11"/>
      <c r="P25157" s="11"/>
    </row>
    <row r="25158" spans="8:16" x14ac:dyDescent="0.25">
      <c r="H25158" s="12"/>
      <c r="I25158" s="12"/>
      <c r="J25158" s="12"/>
      <c r="K25158" s="12"/>
      <c r="L25158" s="12"/>
      <c r="M25158" s="11"/>
      <c r="N25158" s="11"/>
      <c r="O25158" s="11"/>
      <c r="P25158" s="11"/>
    </row>
    <row r="25159" spans="8:16" x14ac:dyDescent="0.25">
      <c r="H25159" s="12"/>
      <c r="I25159" s="12"/>
      <c r="J25159" s="12"/>
      <c r="K25159" s="12"/>
      <c r="L25159" s="12"/>
      <c r="M25159" s="11"/>
      <c r="N25159" s="11"/>
      <c r="O25159" s="11"/>
      <c r="P25159" s="11"/>
    </row>
    <row r="25160" spans="8:16" x14ac:dyDescent="0.25">
      <c r="H25160" s="12"/>
      <c r="I25160" s="12"/>
      <c r="J25160" s="12"/>
      <c r="K25160" s="12"/>
      <c r="L25160" s="12"/>
      <c r="M25160" s="11"/>
      <c r="N25160" s="11"/>
      <c r="O25160" s="11"/>
      <c r="P25160" s="11"/>
    </row>
    <row r="25161" spans="8:16" x14ac:dyDescent="0.25">
      <c r="H25161" s="12"/>
      <c r="I25161" s="12"/>
      <c r="J25161" s="12"/>
      <c r="K25161" s="12"/>
      <c r="L25161" s="12"/>
      <c r="M25161" s="11"/>
      <c r="N25161" s="11"/>
      <c r="O25161" s="11"/>
      <c r="P25161" s="11"/>
    </row>
    <row r="25162" spans="8:16" x14ac:dyDescent="0.25">
      <c r="H25162" s="12"/>
      <c r="I25162" s="12"/>
      <c r="J25162" s="12"/>
      <c r="K25162" s="12"/>
      <c r="L25162" s="12"/>
      <c r="M25162" s="11"/>
      <c r="N25162" s="11"/>
      <c r="O25162" s="11"/>
      <c r="P25162" s="11"/>
    </row>
    <row r="25163" spans="8:16" x14ac:dyDescent="0.25">
      <c r="H25163" s="12"/>
      <c r="I25163" s="12"/>
      <c r="J25163" s="12"/>
      <c r="K25163" s="12"/>
      <c r="L25163" s="12"/>
      <c r="M25163" s="11"/>
      <c r="N25163" s="11"/>
      <c r="O25163" s="11"/>
      <c r="P25163" s="11"/>
    </row>
    <row r="25164" spans="8:16" x14ac:dyDescent="0.25">
      <c r="H25164" s="12"/>
      <c r="I25164" s="12"/>
      <c r="J25164" s="12"/>
      <c r="K25164" s="12"/>
      <c r="L25164" s="12"/>
      <c r="M25164" s="11"/>
      <c r="N25164" s="11"/>
      <c r="O25164" s="11"/>
      <c r="P25164" s="11"/>
    </row>
    <row r="25165" spans="8:16" x14ac:dyDescent="0.25">
      <c r="H25165" s="12"/>
      <c r="I25165" s="12"/>
      <c r="J25165" s="12"/>
      <c r="K25165" s="12"/>
      <c r="L25165" s="12"/>
      <c r="M25165" s="11"/>
      <c r="N25165" s="11"/>
      <c r="O25165" s="11"/>
      <c r="P25165" s="11"/>
    </row>
    <row r="25166" spans="8:16" x14ac:dyDescent="0.25">
      <c r="H25166" s="12"/>
      <c r="I25166" s="12"/>
      <c r="J25166" s="12"/>
      <c r="K25166" s="12"/>
      <c r="L25166" s="12"/>
      <c r="M25166" s="11"/>
      <c r="N25166" s="11"/>
      <c r="O25166" s="11"/>
      <c r="P25166" s="11"/>
    </row>
    <row r="25167" spans="8:16" x14ac:dyDescent="0.25">
      <c r="H25167" s="12"/>
      <c r="I25167" s="12"/>
      <c r="J25167" s="12"/>
      <c r="K25167" s="12"/>
      <c r="L25167" s="12"/>
      <c r="M25167" s="11"/>
      <c r="N25167" s="11"/>
      <c r="O25167" s="11"/>
      <c r="P25167" s="11"/>
    </row>
    <row r="25168" spans="8:16" x14ac:dyDescent="0.25">
      <c r="H25168" s="12"/>
      <c r="I25168" s="12"/>
      <c r="J25168" s="12"/>
      <c r="K25168" s="12"/>
      <c r="L25168" s="12"/>
      <c r="M25168" s="11"/>
      <c r="N25168" s="11"/>
      <c r="O25168" s="11"/>
      <c r="P25168" s="11"/>
    </row>
    <row r="25169" spans="8:16" x14ac:dyDescent="0.25">
      <c r="H25169" s="12"/>
      <c r="I25169" s="12"/>
      <c r="J25169" s="12"/>
      <c r="K25169" s="12"/>
      <c r="L25169" s="12"/>
      <c r="M25169" s="11"/>
      <c r="N25169" s="11"/>
      <c r="O25169" s="11"/>
      <c r="P25169" s="11"/>
    </row>
    <row r="25170" spans="8:16" x14ac:dyDescent="0.25">
      <c r="H25170" s="12"/>
      <c r="I25170" s="12"/>
      <c r="J25170" s="12"/>
      <c r="K25170" s="12"/>
      <c r="L25170" s="12"/>
      <c r="M25170" s="11"/>
      <c r="N25170" s="11"/>
      <c r="O25170" s="11"/>
      <c r="P25170" s="11"/>
    </row>
    <row r="25171" spans="8:16" x14ac:dyDescent="0.25">
      <c r="H25171" s="12"/>
      <c r="I25171" s="12"/>
      <c r="J25171" s="12"/>
      <c r="K25171" s="12"/>
      <c r="L25171" s="12"/>
      <c r="M25171" s="11"/>
      <c r="N25171" s="11"/>
      <c r="O25171" s="11"/>
      <c r="P25171" s="11"/>
    </row>
    <row r="25172" spans="8:16" x14ac:dyDescent="0.25">
      <c r="H25172" s="12"/>
      <c r="I25172" s="12"/>
      <c r="J25172" s="12"/>
      <c r="K25172" s="12"/>
      <c r="L25172" s="12"/>
      <c r="M25172" s="11"/>
      <c r="N25172" s="11"/>
      <c r="O25172" s="11"/>
      <c r="P25172" s="11"/>
    </row>
    <row r="25173" spans="8:16" x14ac:dyDescent="0.25">
      <c r="H25173" s="12"/>
      <c r="I25173" s="12"/>
      <c r="J25173" s="12"/>
      <c r="K25173" s="12"/>
      <c r="L25173" s="12"/>
      <c r="M25173" s="11"/>
      <c r="N25173" s="11"/>
      <c r="O25173" s="11"/>
      <c r="P25173" s="11"/>
    </row>
    <row r="25174" spans="8:16" x14ac:dyDescent="0.25">
      <c r="H25174" s="12"/>
      <c r="I25174" s="12"/>
      <c r="J25174" s="12"/>
      <c r="K25174" s="12"/>
      <c r="L25174" s="12"/>
      <c r="M25174" s="11"/>
      <c r="N25174" s="11"/>
      <c r="O25174" s="11"/>
      <c r="P25174" s="11"/>
    </row>
    <row r="25175" spans="8:16" x14ac:dyDescent="0.25">
      <c r="H25175" s="12"/>
      <c r="I25175" s="12"/>
      <c r="J25175" s="12"/>
      <c r="K25175" s="12"/>
      <c r="L25175" s="12"/>
      <c r="M25175" s="11"/>
      <c r="N25175" s="11"/>
      <c r="O25175" s="11"/>
      <c r="P25175" s="11"/>
    </row>
    <row r="25176" spans="8:16" x14ac:dyDescent="0.25">
      <c r="H25176" s="12"/>
      <c r="I25176" s="12"/>
      <c r="J25176" s="12"/>
      <c r="K25176" s="12"/>
      <c r="L25176" s="12"/>
      <c r="M25176" s="11"/>
      <c r="N25176" s="11"/>
      <c r="O25176" s="11"/>
      <c r="P25176" s="11"/>
    </row>
    <row r="25177" spans="8:16" x14ac:dyDescent="0.25">
      <c r="H25177" s="12"/>
      <c r="I25177" s="12"/>
      <c r="J25177" s="12"/>
      <c r="K25177" s="12"/>
      <c r="L25177" s="12"/>
      <c r="M25177" s="11"/>
      <c r="N25177" s="11"/>
      <c r="O25177" s="11"/>
      <c r="P25177" s="11"/>
    </row>
    <row r="25178" spans="8:16" x14ac:dyDescent="0.25">
      <c r="H25178" s="12"/>
      <c r="I25178" s="12"/>
      <c r="J25178" s="12"/>
      <c r="K25178" s="12"/>
      <c r="L25178" s="12"/>
      <c r="M25178" s="11"/>
      <c r="N25178" s="11"/>
      <c r="O25178" s="11"/>
      <c r="P25178" s="11"/>
    </row>
    <row r="25179" spans="8:16" x14ac:dyDescent="0.25">
      <c r="H25179" s="12"/>
      <c r="I25179" s="12"/>
      <c r="J25179" s="12"/>
      <c r="K25179" s="12"/>
      <c r="L25179" s="12"/>
      <c r="M25179" s="11"/>
      <c r="N25179" s="11"/>
      <c r="O25179" s="11"/>
      <c r="P25179" s="11"/>
    </row>
    <row r="25180" spans="8:16" x14ac:dyDescent="0.25">
      <c r="H25180" s="12"/>
      <c r="I25180" s="12"/>
      <c r="J25180" s="12"/>
      <c r="K25180" s="12"/>
      <c r="L25180" s="12"/>
      <c r="M25180" s="11"/>
      <c r="N25180" s="11"/>
      <c r="O25180" s="11"/>
      <c r="P25180" s="11"/>
    </row>
    <row r="25181" spans="8:16" x14ac:dyDescent="0.25">
      <c r="H25181" s="12"/>
      <c r="I25181" s="12"/>
      <c r="J25181" s="12"/>
      <c r="K25181" s="12"/>
      <c r="L25181" s="12"/>
      <c r="M25181" s="11"/>
      <c r="N25181" s="11"/>
      <c r="O25181" s="11"/>
      <c r="P25181" s="11"/>
    </row>
    <row r="25182" spans="8:16" x14ac:dyDescent="0.25">
      <c r="H25182" s="12"/>
      <c r="I25182" s="12"/>
      <c r="J25182" s="12"/>
      <c r="K25182" s="12"/>
      <c r="L25182" s="12"/>
      <c r="M25182" s="11"/>
      <c r="N25182" s="11"/>
      <c r="O25182" s="11"/>
      <c r="P25182" s="11"/>
    </row>
    <row r="25183" spans="8:16" x14ac:dyDescent="0.25">
      <c r="H25183" s="12"/>
      <c r="I25183" s="12"/>
      <c r="J25183" s="12"/>
      <c r="K25183" s="12"/>
      <c r="L25183" s="12"/>
      <c r="M25183" s="11"/>
      <c r="N25183" s="11"/>
      <c r="O25183" s="11"/>
      <c r="P25183" s="11"/>
    </row>
    <row r="25184" spans="8:16" x14ac:dyDescent="0.25">
      <c r="H25184" s="12"/>
      <c r="I25184" s="12"/>
      <c r="J25184" s="12"/>
      <c r="K25184" s="12"/>
      <c r="L25184" s="12"/>
      <c r="M25184" s="11"/>
      <c r="N25184" s="11"/>
      <c r="O25184" s="11"/>
      <c r="P25184" s="11"/>
    </row>
    <row r="25185" spans="8:16" x14ac:dyDescent="0.25">
      <c r="H25185" s="12"/>
      <c r="I25185" s="12"/>
      <c r="J25185" s="12"/>
      <c r="K25185" s="12"/>
      <c r="L25185" s="12"/>
      <c r="M25185" s="11"/>
      <c r="N25185" s="11"/>
      <c r="O25185" s="11"/>
      <c r="P25185" s="11"/>
    </row>
    <row r="25186" spans="8:16" x14ac:dyDescent="0.25">
      <c r="H25186" s="12"/>
      <c r="I25186" s="12"/>
      <c r="J25186" s="12"/>
      <c r="K25186" s="12"/>
      <c r="L25186" s="12"/>
      <c r="M25186" s="11"/>
      <c r="N25186" s="11"/>
      <c r="O25186" s="11"/>
      <c r="P25186" s="11"/>
    </row>
    <row r="25187" spans="8:16" x14ac:dyDescent="0.25">
      <c r="H25187" s="12"/>
      <c r="I25187" s="12"/>
      <c r="J25187" s="12"/>
      <c r="K25187" s="12"/>
      <c r="L25187" s="12"/>
      <c r="M25187" s="11"/>
      <c r="N25187" s="11"/>
      <c r="O25187" s="11"/>
      <c r="P25187" s="11"/>
    </row>
    <row r="25188" spans="8:16" x14ac:dyDescent="0.25">
      <c r="H25188" s="12"/>
      <c r="I25188" s="12"/>
      <c r="J25188" s="12"/>
      <c r="K25188" s="12"/>
      <c r="L25188" s="12"/>
      <c r="M25188" s="11"/>
      <c r="N25188" s="11"/>
      <c r="O25188" s="11"/>
      <c r="P25188" s="11"/>
    </row>
    <row r="25189" spans="8:16" x14ac:dyDescent="0.25">
      <c r="H25189" s="12"/>
      <c r="I25189" s="12"/>
      <c r="J25189" s="12"/>
      <c r="K25189" s="12"/>
      <c r="L25189" s="12"/>
      <c r="M25189" s="11"/>
      <c r="N25189" s="11"/>
      <c r="O25189" s="11"/>
      <c r="P25189" s="11"/>
    </row>
    <row r="25190" spans="8:16" x14ac:dyDescent="0.25">
      <c r="H25190" s="12"/>
      <c r="I25190" s="12"/>
      <c r="J25190" s="12"/>
      <c r="K25190" s="12"/>
      <c r="L25190" s="12"/>
      <c r="M25190" s="11"/>
      <c r="N25190" s="11"/>
      <c r="O25190" s="11"/>
      <c r="P25190" s="11"/>
    </row>
    <row r="25191" spans="8:16" x14ac:dyDescent="0.25">
      <c r="H25191" s="12"/>
      <c r="I25191" s="12"/>
      <c r="J25191" s="12"/>
      <c r="K25191" s="12"/>
      <c r="L25191" s="12"/>
      <c r="M25191" s="11"/>
      <c r="N25191" s="11"/>
      <c r="O25191" s="11"/>
      <c r="P25191" s="11"/>
    </row>
    <row r="25192" spans="8:16" x14ac:dyDescent="0.25">
      <c r="H25192" s="12"/>
      <c r="I25192" s="12"/>
      <c r="J25192" s="12"/>
      <c r="K25192" s="12"/>
      <c r="L25192" s="12"/>
      <c r="M25192" s="11"/>
      <c r="N25192" s="11"/>
      <c r="O25192" s="11"/>
      <c r="P25192" s="11"/>
    </row>
    <row r="25193" spans="8:16" x14ac:dyDescent="0.25">
      <c r="H25193" s="12"/>
      <c r="I25193" s="12"/>
      <c r="J25193" s="12"/>
      <c r="K25193" s="12"/>
      <c r="L25193" s="12"/>
      <c r="M25193" s="11"/>
      <c r="N25193" s="11"/>
      <c r="O25193" s="11"/>
      <c r="P25193" s="11"/>
    </row>
    <row r="25194" spans="8:16" x14ac:dyDescent="0.25">
      <c r="H25194" s="12"/>
      <c r="I25194" s="12"/>
      <c r="J25194" s="12"/>
      <c r="K25194" s="12"/>
      <c r="L25194" s="12"/>
      <c r="M25194" s="11"/>
      <c r="N25194" s="11"/>
      <c r="O25194" s="11"/>
      <c r="P25194" s="11"/>
    </row>
    <row r="25195" spans="8:16" x14ac:dyDescent="0.25">
      <c r="H25195" s="12"/>
      <c r="I25195" s="12"/>
      <c r="J25195" s="12"/>
      <c r="K25195" s="12"/>
      <c r="L25195" s="12"/>
      <c r="M25195" s="11"/>
      <c r="N25195" s="11"/>
      <c r="O25195" s="11"/>
      <c r="P25195" s="11"/>
    </row>
    <row r="25196" spans="8:16" x14ac:dyDescent="0.25">
      <c r="H25196" s="12"/>
      <c r="I25196" s="12"/>
      <c r="J25196" s="12"/>
      <c r="K25196" s="12"/>
      <c r="L25196" s="12"/>
      <c r="M25196" s="11"/>
      <c r="N25196" s="11"/>
      <c r="O25196" s="11"/>
      <c r="P25196" s="11"/>
    </row>
    <row r="25197" spans="8:16" x14ac:dyDescent="0.25">
      <c r="H25197" s="12"/>
      <c r="I25197" s="12"/>
      <c r="J25197" s="12"/>
      <c r="K25197" s="12"/>
      <c r="L25197" s="12"/>
      <c r="M25197" s="11"/>
      <c r="N25197" s="11"/>
      <c r="O25197" s="11"/>
      <c r="P25197" s="11"/>
    </row>
    <row r="25198" spans="8:16" x14ac:dyDescent="0.25">
      <c r="H25198" s="12"/>
      <c r="I25198" s="12"/>
      <c r="J25198" s="12"/>
      <c r="K25198" s="12"/>
      <c r="L25198" s="12"/>
      <c r="M25198" s="11"/>
      <c r="N25198" s="11"/>
      <c r="O25198" s="11"/>
      <c r="P25198" s="11"/>
    </row>
    <row r="25199" spans="8:16" x14ac:dyDescent="0.25">
      <c r="H25199" s="12"/>
      <c r="I25199" s="12"/>
      <c r="J25199" s="12"/>
      <c r="K25199" s="12"/>
      <c r="L25199" s="12"/>
      <c r="M25199" s="11"/>
      <c r="N25199" s="11"/>
      <c r="O25199" s="11"/>
      <c r="P25199" s="11"/>
    </row>
    <row r="25200" spans="8:16" x14ac:dyDescent="0.25">
      <c r="H25200" s="12"/>
      <c r="I25200" s="12"/>
      <c r="J25200" s="12"/>
      <c r="K25200" s="12"/>
      <c r="L25200" s="12"/>
      <c r="M25200" s="11"/>
      <c r="N25200" s="11"/>
      <c r="O25200" s="11"/>
      <c r="P25200" s="11"/>
    </row>
    <row r="25201" spans="8:16" x14ac:dyDescent="0.25">
      <c r="H25201" s="12"/>
      <c r="I25201" s="12"/>
      <c r="J25201" s="12"/>
      <c r="K25201" s="12"/>
      <c r="L25201" s="12"/>
      <c r="M25201" s="11"/>
      <c r="N25201" s="11"/>
      <c r="O25201" s="11"/>
      <c r="P25201" s="11"/>
    </row>
    <row r="25202" spans="8:16" x14ac:dyDescent="0.25">
      <c r="H25202" s="12"/>
      <c r="I25202" s="12"/>
      <c r="J25202" s="12"/>
      <c r="K25202" s="12"/>
      <c r="L25202" s="12"/>
      <c r="M25202" s="11"/>
      <c r="N25202" s="11"/>
      <c r="O25202" s="11"/>
      <c r="P25202" s="11"/>
    </row>
    <row r="25203" spans="8:16" x14ac:dyDescent="0.25">
      <c r="H25203" s="12"/>
      <c r="I25203" s="12"/>
      <c r="J25203" s="12"/>
      <c r="K25203" s="12"/>
      <c r="L25203" s="12"/>
      <c r="M25203" s="11"/>
      <c r="N25203" s="11"/>
      <c r="O25203" s="11"/>
      <c r="P25203" s="11"/>
    </row>
    <row r="25204" spans="8:16" x14ac:dyDescent="0.25">
      <c r="H25204" s="12"/>
      <c r="I25204" s="12"/>
      <c r="J25204" s="12"/>
      <c r="K25204" s="12"/>
      <c r="L25204" s="12"/>
      <c r="M25204" s="11"/>
      <c r="N25204" s="11"/>
      <c r="O25204" s="11"/>
      <c r="P25204" s="11"/>
    </row>
    <row r="25205" spans="8:16" x14ac:dyDescent="0.25">
      <c r="H25205" s="12"/>
      <c r="I25205" s="12"/>
      <c r="J25205" s="12"/>
      <c r="K25205" s="12"/>
      <c r="L25205" s="12"/>
      <c r="M25205" s="11"/>
      <c r="N25205" s="11"/>
      <c r="O25205" s="11"/>
      <c r="P25205" s="11"/>
    </row>
    <row r="25206" spans="8:16" x14ac:dyDescent="0.25">
      <c r="H25206" s="12"/>
      <c r="I25206" s="12"/>
      <c r="J25206" s="12"/>
      <c r="K25206" s="12"/>
      <c r="L25206" s="12"/>
      <c r="M25206" s="11"/>
      <c r="N25206" s="11"/>
      <c r="O25206" s="11"/>
      <c r="P25206" s="11"/>
    </row>
    <row r="25207" spans="8:16" x14ac:dyDescent="0.25">
      <c r="H25207" s="12"/>
      <c r="I25207" s="12"/>
      <c r="J25207" s="12"/>
      <c r="K25207" s="12"/>
      <c r="L25207" s="12"/>
      <c r="M25207" s="11"/>
      <c r="N25207" s="11"/>
      <c r="O25207" s="11"/>
      <c r="P25207" s="11"/>
    </row>
    <row r="25208" spans="8:16" x14ac:dyDescent="0.25">
      <c r="H25208" s="12"/>
      <c r="I25208" s="12"/>
      <c r="J25208" s="12"/>
      <c r="K25208" s="12"/>
      <c r="L25208" s="12"/>
      <c r="M25208" s="11"/>
      <c r="N25208" s="11"/>
      <c r="O25208" s="11"/>
      <c r="P25208" s="11"/>
    </row>
    <row r="25209" spans="8:16" x14ac:dyDescent="0.25">
      <c r="H25209" s="12"/>
      <c r="I25209" s="12"/>
      <c r="J25209" s="12"/>
      <c r="K25209" s="12"/>
      <c r="L25209" s="12"/>
      <c r="M25209" s="11"/>
      <c r="N25209" s="11"/>
      <c r="O25209" s="11"/>
      <c r="P25209" s="11"/>
    </row>
    <row r="25210" spans="8:16" x14ac:dyDescent="0.25">
      <c r="H25210" s="12"/>
      <c r="I25210" s="12"/>
      <c r="J25210" s="12"/>
      <c r="K25210" s="12"/>
      <c r="L25210" s="12"/>
      <c r="M25210" s="11"/>
      <c r="N25210" s="11"/>
      <c r="O25210" s="11"/>
      <c r="P25210" s="11"/>
    </row>
    <row r="25211" spans="8:16" x14ac:dyDescent="0.25">
      <c r="H25211" s="12"/>
      <c r="I25211" s="12"/>
      <c r="J25211" s="12"/>
      <c r="K25211" s="12"/>
      <c r="L25211" s="12"/>
      <c r="M25211" s="11"/>
      <c r="N25211" s="11"/>
      <c r="O25211" s="11"/>
      <c r="P25211" s="11"/>
    </row>
    <row r="25212" spans="8:16" x14ac:dyDescent="0.25">
      <c r="H25212" s="12"/>
      <c r="I25212" s="12"/>
      <c r="J25212" s="12"/>
      <c r="K25212" s="12"/>
      <c r="L25212" s="12"/>
      <c r="M25212" s="11"/>
      <c r="N25212" s="11"/>
      <c r="O25212" s="11"/>
      <c r="P25212" s="11"/>
    </row>
    <row r="25213" spans="8:16" x14ac:dyDescent="0.25">
      <c r="H25213" s="12"/>
      <c r="I25213" s="12"/>
      <c r="J25213" s="12"/>
      <c r="K25213" s="12"/>
      <c r="L25213" s="12"/>
      <c r="M25213" s="11"/>
      <c r="N25213" s="11"/>
      <c r="O25213" s="11"/>
      <c r="P25213" s="11"/>
    </row>
    <row r="25214" spans="8:16" x14ac:dyDescent="0.25">
      <c r="H25214" s="12"/>
      <c r="I25214" s="12"/>
      <c r="J25214" s="12"/>
      <c r="K25214" s="12"/>
      <c r="L25214" s="12"/>
      <c r="M25214" s="11"/>
      <c r="N25214" s="11"/>
      <c r="O25214" s="11"/>
      <c r="P25214" s="11"/>
    </row>
    <row r="25215" spans="8:16" x14ac:dyDescent="0.25">
      <c r="H25215" s="12"/>
      <c r="I25215" s="12"/>
      <c r="J25215" s="12"/>
      <c r="K25215" s="12"/>
      <c r="L25215" s="12"/>
      <c r="M25215" s="11"/>
      <c r="N25215" s="11"/>
      <c r="O25215" s="11"/>
      <c r="P25215" s="11"/>
    </row>
    <row r="25216" spans="8:16" x14ac:dyDescent="0.25">
      <c r="H25216" s="12"/>
      <c r="I25216" s="12"/>
      <c r="J25216" s="12"/>
      <c r="K25216" s="12"/>
      <c r="L25216" s="12"/>
      <c r="M25216" s="11"/>
      <c r="N25216" s="11"/>
      <c r="O25216" s="11"/>
      <c r="P25216" s="11"/>
    </row>
    <row r="25217" spans="8:16" x14ac:dyDescent="0.25">
      <c r="H25217" s="12"/>
      <c r="I25217" s="12"/>
      <c r="J25217" s="12"/>
      <c r="K25217" s="12"/>
      <c r="L25217" s="12"/>
      <c r="M25217" s="11"/>
      <c r="N25217" s="11"/>
      <c r="O25217" s="11"/>
      <c r="P25217" s="11"/>
    </row>
    <row r="25218" spans="8:16" x14ac:dyDescent="0.25">
      <c r="H25218" s="12"/>
      <c r="I25218" s="12"/>
      <c r="J25218" s="12"/>
      <c r="K25218" s="12"/>
      <c r="L25218" s="12"/>
      <c r="M25218" s="11"/>
      <c r="N25218" s="11"/>
      <c r="O25218" s="11"/>
      <c r="P25218" s="11"/>
    </row>
    <row r="25219" spans="8:16" x14ac:dyDescent="0.25">
      <c r="H25219" s="12"/>
      <c r="I25219" s="12"/>
      <c r="J25219" s="12"/>
      <c r="K25219" s="12"/>
      <c r="L25219" s="12"/>
      <c r="M25219" s="11"/>
      <c r="N25219" s="11"/>
      <c r="O25219" s="11"/>
      <c r="P25219" s="11"/>
    </row>
    <row r="25220" spans="8:16" x14ac:dyDescent="0.25">
      <c r="H25220" s="12"/>
      <c r="I25220" s="12"/>
      <c r="J25220" s="12"/>
      <c r="K25220" s="12"/>
      <c r="L25220" s="12"/>
      <c r="M25220" s="11"/>
      <c r="N25220" s="11"/>
      <c r="O25220" s="11"/>
      <c r="P25220" s="11"/>
    </row>
    <row r="25221" spans="8:16" x14ac:dyDescent="0.25">
      <c r="H25221" s="12"/>
      <c r="I25221" s="12"/>
      <c r="J25221" s="12"/>
      <c r="K25221" s="12"/>
      <c r="L25221" s="12"/>
      <c r="M25221" s="11"/>
      <c r="N25221" s="11"/>
      <c r="O25221" s="11"/>
      <c r="P25221" s="11"/>
    </row>
    <row r="25222" spans="8:16" x14ac:dyDescent="0.25">
      <c r="H25222" s="12"/>
      <c r="I25222" s="12"/>
      <c r="J25222" s="12"/>
      <c r="K25222" s="12"/>
      <c r="L25222" s="12"/>
      <c r="M25222" s="11"/>
      <c r="N25222" s="11"/>
      <c r="O25222" s="11"/>
      <c r="P25222" s="11"/>
    </row>
    <row r="25223" spans="8:16" x14ac:dyDescent="0.25">
      <c r="H25223" s="12"/>
      <c r="I25223" s="12"/>
      <c r="J25223" s="12"/>
      <c r="K25223" s="12"/>
      <c r="L25223" s="12"/>
      <c r="M25223" s="11"/>
      <c r="N25223" s="11"/>
      <c r="O25223" s="11"/>
      <c r="P25223" s="11"/>
    </row>
    <row r="25224" spans="8:16" x14ac:dyDescent="0.25">
      <c r="H25224" s="12"/>
      <c r="I25224" s="12"/>
      <c r="J25224" s="12"/>
      <c r="K25224" s="12"/>
      <c r="L25224" s="12"/>
      <c r="M25224" s="11"/>
      <c r="N25224" s="11"/>
      <c r="O25224" s="11"/>
      <c r="P25224" s="11"/>
    </row>
    <row r="25225" spans="8:16" x14ac:dyDescent="0.25">
      <c r="H25225" s="12"/>
      <c r="I25225" s="12"/>
      <c r="J25225" s="12"/>
      <c r="K25225" s="12"/>
      <c r="L25225" s="12"/>
      <c r="M25225" s="11"/>
      <c r="N25225" s="11"/>
      <c r="O25225" s="11"/>
      <c r="P25225" s="11"/>
    </row>
    <row r="25226" spans="8:16" x14ac:dyDescent="0.25">
      <c r="H25226" s="12"/>
      <c r="I25226" s="12"/>
      <c r="J25226" s="12"/>
      <c r="K25226" s="12"/>
      <c r="L25226" s="12"/>
      <c r="M25226" s="11"/>
      <c r="N25226" s="11"/>
      <c r="O25226" s="11"/>
      <c r="P25226" s="11"/>
    </row>
    <row r="25227" spans="8:16" x14ac:dyDescent="0.25">
      <c r="H25227" s="12"/>
      <c r="I25227" s="12"/>
      <c r="J25227" s="12"/>
      <c r="K25227" s="12"/>
      <c r="L25227" s="12"/>
      <c r="M25227" s="11"/>
      <c r="N25227" s="11"/>
      <c r="O25227" s="11"/>
      <c r="P25227" s="11"/>
    </row>
    <row r="25228" spans="8:16" x14ac:dyDescent="0.25">
      <c r="H25228" s="12"/>
      <c r="I25228" s="12"/>
      <c r="J25228" s="12"/>
      <c r="K25228" s="12"/>
      <c r="L25228" s="12"/>
      <c r="M25228" s="11"/>
      <c r="N25228" s="11"/>
      <c r="O25228" s="11"/>
      <c r="P25228" s="11"/>
    </row>
    <row r="25229" spans="8:16" x14ac:dyDescent="0.25">
      <c r="H25229" s="12"/>
      <c r="I25229" s="12"/>
      <c r="J25229" s="12"/>
      <c r="K25229" s="12"/>
      <c r="L25229" s="12"/>
      <c r="M25229" s="11"/>
      <c r="N25229" s="11"/>
      <c r="O25229" s="11"/>
      <c r="P25229" s="11"/>
    </row>
    <row r="25230" spans="8:16" x14ac:dyDescent="0.25">
      <c r="H25230" s="12"/>
      <c r="I25230" s="12"/>
      <c r="J25230" s="12"/>
      <c r="K25230" s="12"/>
      <c r="L25230" s="12"/>
      <c r="M25230" s="11"/>
      <c r="N25230" s="11"/>
      <c r="O25230" s="11"/>
      <c r="P25230" s="11"/>
    </row>
    <row r="25231" spans="8:16" x14ac:dyDescent="0.25">
      <c r="H25231" s="12"/>
      <c r="I25231" s="12"/>
      <c r="J25231" s="12"/>
      <c r="K25231" s="12"/>
      <c r="L25231" s="12"/>
      <c r="M25231" s="11"/>
      <c r="N25231" s="11"/>
      <c r="O25231" s="11"/>
      <c r="P25231" s="11"/>
    </row>
    <row r="25232" spans="8:16" x14ac:dyDescent="0.25">
      <c r="H25232" s="12"/>
      <c r="I25232" s="12"/>
      <c r="J25232" s="12"/>
      <c r="K25232" s="12"/>
      <c r="L25232" s="12"/>
      <c r="M25232" s="11"/>
      <c r="N25232" s="11"/>
      <c r="O25232" s="11"/>
      <c r="P25232" s="11"/>
    </row>
    <row r="25233" spans="8:16" x14ac:dyDescent="0.25">
      <c r="H25233" s="12"/>
      <c r="I25233" s="12"/>
      <c r="J25233" s="12"/>
      <c r="K25233" s="12"/>
      <c r="L25233" s="12"/>
      <c r="M25233" s="11"/>
      <c r="N25233" s="11"/>
      <c r="O25233" s="11"/>
      <c r="P25233" s="11"/>
    </row>
    <row r="25234" spans="8:16" x14ac:dyDescent="0.25">
      <c r="H25234" s="12"/>
      <c r="I25234" s="12"/>
      <c r="J25234" s="12"/>
      <c r="K25234" s="12"/>
      <c r="L25234" s="12"/>
      <c r="M25234" s="11"/>
      <c r="N25234" s="11"/>
      <c r="O25234" s="11"/>
      <c r="P25234" s="11"/>
    </row>
    <row r="25235" spans="8:16" x14ac:dyDescent="0.25">
      <c r="H25235" s="12"/>
      <c r="I25235" s="12"/>
      <c r="J25235" s="12"/>
      <c r="K25235" s="12"/>
      <c r="L25235" s="12"/>
      <c r="M25235" s="11"/>
      <c r="N25235" s="11"/>
      <c r="O25235" s="11"/>
      <c r="P25235" s="11"/>
    </row>
    <row r="25236" spans="8:16" x14ac:dyDescent="0.25">
      <c r="H25236" s="12"/>
      <c r="I25236" s="12"/>
      <c r="J25236" s="12"/>
      <c r="K25236" s="12"/>
      <c r="L25236" s="12"/>
      <c r="M25236" s="11"/>
      <c r="N25236" s="11"/>
      <c r="O25236" s="11"/>
      <c r="P25236" s="11"/>
    </row>
    <row r="25237" spans="8:16" x14ac:dyDescent="0.25">
      <c r="H25237" s="12"/>
      <c r="I25237" s="12"/>
      <c r="J25237" s="12"/>
      <c r="K25237" s="12"/>
      <c r="L25237" s="12"/>
      <c r="M25237" s="11"/>
      <c r="N25237" s="11"/>
      <c r="O25237" s="11"/>
      <c r="P25237" s="11"/>
    </row>
    <row r="25238" spans="8:16" x14ac:dyDescent="0.25">
      <c r="H25238" s="12"/>
      <c r="I25238" s="12"/>
      <c r="J25238" s="12"/>
      <c r="K25238" s="12"/>
      <c r="L25238" s="12"/>
      <c r="M25238" s="11"/>
      <c r="N25238" s="11"/>
      <c r="O25238" s="11"/>
      <c r="P25238" s="11"/>
    </row>
    <row r="25239" spans="8:16" x14ac:dyDescent="0.25">
      <c r="H25239" s="12"/>
      <c r="I25239" s="12"/>
      <c r="J25239" s="12"/>
      <c r="K25239" s="12"/>
      <c r="L25239" s="12"/>
      <c r="M25239" s="11"/>
      <c r="N25239" s="11"/>
      <c r="O25239" s="11"/>
      <c r="P25239" s="11"/>
    </row>
    <row r="25240" spans="8:16" x14ac:dyDescent="0.25">
      <c r="H25240" s="12"/>
      <c r="I25240" s="12"/>
      <c r="J25240" s="12"/>
      <c r="K25240" s="12"/>
      <c r="L25240" s="12"/>
      <c r="M25240" s="11"/>
      <c r="N25240" s="11"/>
      <c r="O25240" s="11"/>
      <c r="P25240" s="11"/>
    </row>
    <row r="25241" spans="8:16" x14ac:dyDescent="0.25">
      <c r="H25241" s="12"/>
      <c r="I25241" s="12"/>
      <c r="J25241" s="12"/>
      <c r="K25241" s="12"/>
      <c r="L25241" s="12"/>
      <c r="M25241" s="11"/>
      <c r="N25241" s="11"/>
      <c r="O25241" s="11"/>
      <c r="P25241" s="11"/>
    </row>
    <row r="25242" spans="8:16" x14ac:dyDescent="0.25">
      <c r="H25242" s="12"/>
      <c r="I25242" s="12"/>
      <c r="J25242" s="12"/>
      <c r="K25242" s="12"/>
      <c r="L25242" s="12"/>
      <c r="M25242" s="11"/>
      <c r="N25242" s="11"/>
      <c r="O25242" s="11"/>
      <c r="P25242" s="11"/>
    </row>
    <row r="25243" spans="8:16" x14ac:dyDescent="0.25">
      <c r="H25243" s="12"/>
      <c r="I25243" s="12"/>
      <c r="J25243" s="12"/>
      <c r="K25243" s="12"/>
      <c r="L25243" s="12"/>
      <c r="M25243" s="11"/>
      <c r="N25243" s="11"/>
      <c r="O25243" s="11"/>
      <c r="P25243" s="11"/>
    </row>
    <row r="25244" spans="8:16" x14ac:dyDescent="0.25">
      <c r="H25244" s="12"/>
      <c r="I25244" s="12"/>
      <c r="J25244" s="12"/>
      <c r="K25244" s="12"/>
      <c r="L25244" s="12"/>
      <c r="M25244" s="11"/>
      <c r="N25244" s="11"/>
      <c r="O25244" s="11"/>
      <c r="P25244" s="11"/>
    </row>
    <row r="25245" spans="8:16" x14ac:dyDescent="0.25">
      <c r="H25245" s="12"/>
      <c r="I25245" s="12"/>
      <c r="J25245" s="12"/>
      <c r="K25245" s="12"/>
      <c r="L25245" s="12"/>
      <c r="M25245" s="11"/>
      <c r="N25245" s="11"/>
      <c r="O25245" s="11"/>
      <c r="P25245" s="11"/>
    </row>
    <row r="25246" spans="8:16" x14ac:dyDescent="0.25">
      <c r="H25246" s="12"/>
      <c r="I25246" s="12"/>
      <c r="J25246" s="12"/>
      <c r="K25246" s="12"/>
      <c r="L25246" s="12"/>
      <c r="M25246" s="11"/>
      <c r="N25246" s="11"/>
      <c r="O25246" s="11"/>
      <c r="P25246" s="11"/>
    </row>
    <row r="25247" spans="8:16" x14ac:dyDescent="0.25">
      <c r="H25247" s="12"/>
      <c r="I25247" s="12"/>
      <c r="J25247" s="12"/>
      <c r="K25247" s="12"/>
      <c r="L25247" s="12"/>
      <c r="M25247" s="11"/>
      <c r="N25247" s="11"/>
      <c r="O25247" s="11"/>
      <c r="P25247" s="11"/>
    </row>
    <row r="25248" spans="8:16" x14ac:dyDescent="0.25">
      <c r="H25248" s="12"/>
      <c r="I25248" s="12"/>
      <c r="J25248" s="12"/>
      <c r="K25248" s="12"/>
      <c r="L25248" s="12"/>
      <c r="M25248" s="11"/>
      <c r="N25248" s="11"/>
      <c r="O25248" s="11"/>
      <c r="P25248" s="11"/>
    </row>
    <row r="25249" spans="8:16" x14ac:dyDescent="0.25">
      <c r="H25249" s="12"/>
      <c r="I25249" s="12"/>
      <c r="J25249" s="12"/>
      <c r="K25249" s="12"/>
      <c r="L25249" s="12"/>
      <c r="M25249" s="11"/>
      <c r="N25249" s="11"/>
      <c r="O25249" s="11"/>
      <c r="P25249" s="11"/>
    </row>
    <row r="25250" spans="8:16" x14ac:dyDescent="0.25">
      <c r="H25250" s="12"/>
      <c r="I25250" s="12"/>
      <c r="J25250" s="12"/>
      <c r="K25250" s="12"/>
      <c r="L25250" s="12"/>
      <c r="M25250" s="11"/>
      <c r="N25250" s="11"/>
      <c r="O25250" s="11"/>
      <c r="P25250" s="11"/>
    </row>
    <row r="25251" spans="8:16" x14ac:dyDescent="0.25">
      <c r="H25251" s="12"/>
      <c r="I25251" s="12"/>
      <c r="J25251" s="12"/>
      <c r="K25251" s="12"/>
      <c r="L25251" s="12"/>
      <c r="M25251" s="11"/>
      <c r="N25251" s="11"/>
      <c r="O25251" s="11"/>
      <c r="P25251" s="11"/>
    </row>
    <row r="25252" spans="8:16" x14ac:dyDescent="0.25">
      <c r="H25252" s="12"/>
      <c r="I25252" s="12"/>
      <c r="J25252" s="12"/>
      <c r="K25252" s="12"/>
      <c r="L25252" s="12"/>
      <c r="M25252" s="11"/>
      <c r="N25252" s="11"/>
      <c r="O25252" s="11"/>
      <c r="P25252" s="11"/>
    </row>
    <row r="25253" spans="8:16" x14ac:dyDescent="0.25">
      <c r="H25253" s="12"/>
      <c r="I25253" s="12"/>
      <c r="J25253" s="12"/>
      <c r="K25253" s="12"/>
      <c r="L25253" s="12"/>
      <c r="M25253" s="11"/>
      <c r="N25253" s="11"/>
      <c r="O25253" s="11"/>
      <c r="P25253" s="11"/>
    </row>
    <row r="25254" spans="8:16" x14ac:dyDescent="0.25">
      <c r="H25254" s="12"/>
      <c r="I25254" s="12"/>
      <c r="J25254" s="12"/>
      <c r="K25254" s="12"/>
      <c r="L25254" s="12"/>
      <c r="M25254" s="11"/>
      <c r="N25254" s="11"/>
      <c r="O25254" s="11"/>
      <c r="P25254" s="11"/>
    </row>
    <row r="25255" spans="8:16" x14ac:dyDescent="0.25">
      <c r="H25255" s="12"/>
      <c r="I25255" s="12"/>
      <c r="J25255" s="12"/>
      <c r="K25255" s="12"/>
      <c r="L25255" s="12"/>
      <c r="M25255" s="11"/>
      <c r="N25255" s="11"/>
      <c r="O25255" s="11"/>
      <c r="P25255" s="11"/>
    </row>
    <row r="25256" spans="8:16" x14ac:dyDescent="0.25">
      <c r="H25256" s="12"/>
      <c r="I25256" s="12"/>
      <c r="J25256" s="12"/>
      <c r="K25256" s="12"/>
      <c r="L25256" s="12"/>
      <c r="M25256" s="11"/>
      <c r="N25256" s="11"/>
      <c r="O25256" s="11"/>
      <c r="P25256" s="11"/>
    </row>
    <row r="25257" spans="8:16" x14ac:dyDescent="0.25">
      <c r="H25257" s="12"/>
      <c r="I25257" s="12"/>
      <c r="J25257" s="12"/>
      <c r="K25257" s="12"/>
      <c r="L25257" s="12"/>
      <c r="M25257" s="11"/>
      <c r="N25257" s="11"/>
      <c r="O25257" s="11"/>
      <c r="P25257" s="11"/>
    </row>
    <row r="25258" spans="8:16" x14ac:dyDescent="0.25">
      <c r="H25258" s="12"/>
      <c r="I25258" s="12"/>
      <c r="J25258" s="12"/>
      <c r="K25258" s="12"/>
      <c r="L25258" s="12"/>
      <c r="M25258" s="11"/>
      <c r="N25258" s="11"/>
      <c r="O25258" s="11"/>
      <c r="P25258" s="11"/>
    </row>
    <row r="25259" spans="8:16" x14ac:dyDescent="0.25">
      <c r="H25259" s="12"/>
      <c r="I25259" s="12"/>
      <c r="J25259" s="12"/>
      <c r="K25259" s="12"/>
      <c r="L25259" s="12"/>
      <c r="M25259" s="11"/>
      <c r="N25259" s="11"/>
      <c r="O25259" s="11"/>
      <c r="P25259" s="11"/>
    </row>
    <row r="25260" spans="8:16" x14ac:dyDescent="0.25">
      <c r="H25260" s="12"/>
      <c r="I25260" s="12"/>
      <c r="J25260" s="12"/>
      <c r="K25260" s="12"/>
      <c r="L25260" s="12"/>
      <c r="M25260" s="11"/>
      <c r="N25260" s="11"/>
      <c r="O25260" s="11"/>
      <c r="P25260" s="11"/>
    </row>
    <row r="25261" spans="8:16" x14ac:dyDescent="0.25">
      <c r="H25261" s="12"/>
      <c r="I25261" s="12"/>
      <c r="J25261" s="12"/>
      <c r="K25261" s="12"/>
      <c r="L25261" s="12"/>
      <c r="M25261" s="11"/>
      <c r="N25261" s="11"/>
      <c r="O25261" s="11"/>
      <c r="P25261" s="11"/>
    </row>
    <row r="25262" spans="8:16" x14ac:dyDescent="0.25">
      <c r="H25262" s="12"/>
      <c r="I25262" s="12"/>
      <c r="J25262" s="12"/>
      <c r="K25262" s="12"/>
      <c r="L25262" s="12"/>
      <c r="M25262" s="11"/>
      <c r="N25262" s="11"/>
      <c r="O25262" s="11"/>
      <c r="P25262" s="11"/>
    </row>
    <row r="25263" spans="8:16" x14ac:dyDescent="0.25">
      <c r="H25263" s="12"/>
      <c r="I25263" s="12"/>
      <c r="J25263" s="12"/>
      <c r="K25263" s="12"/>
      <c r="L25263" s="12"/>
      <c r="M25263" s="11"/>
      <c r="N25263" s="11"/>
      <c r="O25263" s="11"/>
      <c r="P25263" s="11"/>
    </row>
    <row r="25264" spans="8:16" x14ac:dyDescent="0.25">
      <c r="H25264" s="12"/>
      <c r="I25264" s="12"/>
      <c r="J25264" s="12"/>
      <c r="K25264" s="12"/>
      <c r="L25264" s="12"/>
      <c r="M25264" s="11"/>
      <c r="N25264" s="11"/>
      <c r="O25264" s="11"/>
      <c r="P25264" s="11"/>
    </row>
    <row r="25265" spans="8:16" x14ac:dyDescent="0.25">
      <c r="H25265" s="12"/>
      <c r="I25265" s="12"/>
      <c r="J25265" s="12"/>
      <c r="K25265" s="12"/>
      <c r="L25265" s="12"/>
      <c r="M25265" s="11"/>
      <c r="N25265" s="11"/>
      <c r="O25265" s="11"/>
      <c r="P25265" s="11"/>
    </row>
    <row r="25266" spans="8:16" x14ac:dyDescent="0.25">
      <c r="H25266" s="12"/>
      <c r="I25266" s="12"/>
      <c r="J25266" s="12"/>
      <c r="K25266" s="12"/>
      <c r="L25266" s="12"/>
      <c r="M25266" s="11"/>
      <c r="N25266" s="11"/>
      <c r="O25266" s="11"/>
      <c r="P25266" s="11"/>
    </row>
    <row r="25267" spans="8:16" x14ac:dyDescent="0.25">
      <c r="H25267" s="12"/>
      <c r="I25267" s="12"/>
      <c r="J25267" s="12"/>
      <c r="K25267" s="12"/>
      <c r="L25267" s="12"/>
      <c r="M25267" s="11"/>
      <c r="N25267" s="11"/>
      <c r="O25267" s="11"/>
      <c r="P25267" s="11"/>
    </row>
    <row r="25268" spans="8:16" x14ac:dyDescent="0.25">
      <c r="H25268" s="12"/>
      <c r="I25268" s="12"/>
      <c r="J25268" s="12"/>
      <c r="K25268" s="12"/>
      <c r="L25268" s="12"/>
      <c r="M25268" s="11"/>
      <c r="N25268" s="11"/>
      <c r="O25268" s="11"/>
      <c r="P25268" s="11"/>
    </row>
    <row r="25269" spans="8:16" x14ac:dyDescent="0.25">
      <c r="H25269" s="12"/>
      <c r="I25269" s="12"/>
      <c r="J25269" s="12"/>
      <c r="K25269" s="12"/>
      <c r="L25269" s="12"/>
      <c r="M25269" s="11"/>
      <c r="N25269" s="11"/>
      <c r="O25269" s="11"/>
      <c r="P25269" s="11"/>
    </row>
    <row r="25270" spans="8:16" x14ac:dyDescent="0.25">
      <c r="H25270" s="12"/>
      <c r="I25270" s="12"/>
      <c r="J25270" s="12"/>
      <c r="K25270" s="12"/>
      <c r="L25270" s="12"/>
      <c r="M25270" s="11"/>
      <c r="N25270" s="11"/>
      <c r="O25270" s="11"/>
      <c r="P25270" s="11"/>
    </row>
    <row r="25271" spans="8:16" x14ac:dyDescent="0.25">
      <c r="H25271" s="12"/>
      <c r="I25271" s="12"/>
      <c r="J25271" s="12"/>
      <c r="K25271" s="12"/>
      <c r="L25271" s="12"/>
      <c r="M25271" s="11"/>
      <c r="N25271" s="11"/>
      <c r="O25271" s="11"/>
      <c r="P25271" s="11"/>
    </row>
    <row r="25272" spans="8:16" x14ac:dyDescent="0.25">
      <c r="H25272" s="12"/>
      <c r="I25272" s="12"/>
      <c r="J25272" s="12"/>
      <c r="K25272" s="12"/>
      <c r="L25272" s="12"/>
      <c r="M25272" s="11"/>
      <c r="N25272" s="11"/>
      <c r="O25272" s="11"/>
      <c r="P25272" s="11"/>
    </row>
    <row r="25273" spans="8:16" x14ac:dyDescent="0.25">
      <c r="H25273" s="12"/>
      <c r="I25273" s="12"/>
      <c r="J25273" s="12"/>
      <c r="K25273" s="12"/>
      <c r="L25273" s="12"/>
      <c r="M25273" s="11"/>
      <c r="N25273" s="11"/>
      <c r="O25273" s="11"/>
      <c r="P25273" s="11"/>
    </row>
    <row r="25274" spans="8:16" x14ac:dyDescent="0.25">
      <c r="H25274" s="12"/>
      <c r="I25274" s="12"/>
      <c r="J25274" s="12"/>
      <c r="K25274" s="12"/>
      <c r="L25274" s="12"/>
      <c r="M25274" s="11"/>
      <c r="N25274" s="11"/>
      <c r="O25274" s="11"/>
      <c r="P25274" s="11"/>
    </row>
    <row r="25275" spans="8:16" x14ac:dyDescent="0.25">
      <c r="H25275" s="12"/>
      <c r="I25275" s="12"/>
      <c r="J25275" s="12"/>
      <c r="K25275" s="12"/>
      <c r="L25275" s="12"/>
      <c r="M25275" s="11"/>
      <c r="N25275" s="11"/>
      <c r="O25275" s="11"/>
      <c r="P25275" s="11"/>
    </row>
    <row r="25276" spans="8:16" x14ac:dyDescent="0.25">
      <c r="H25276" s="12"/>
      <c r="I25276" s="12"/>
      <c r="J25276" s="12"/>
      <c r="K25276" s="12"/>
      <c r="L25276" s="12"/>
      <c r="M25276" s="11"/>
      <c r="N25276" s="11"/>
      <c r="O25276" s="11"/>
      <c r="P25276" s="11"/>
    </row>
    <row r="25277" spans="8:16" x14ac:dyDescent="0.25">
      <c r="H25277" s="12"/>
      <c r="I25277" s="12"/>
      <c r="J25277" s="12"/>
      <c r="K25277" s="12"/>
      <c r="L25277" s="12"/>
      <c r="M25277" s="11"/>
      <c r="N25277" s="11"/>
      <c r="O25277" s="11"/>
      <c r="P25277" s="11"/>
    </row>
    <row r="25278" spans="8:16" x14ac:dyDescent="0.25">
      <c r="H25278" s="12"/>
      <c r="I25278" s="12"/>
      <c r="J25278" s="12"/>
      <c r="K25278" s="12"/>
      <c r="L25278" s="12"/>
      <c r="M25278" s="11"/>
      <c r="N25278" s="11"/>
      <c r="O25278" s="11"/>
      <c r="P25278" s="11"/>
    </row>
    <row r="25279" spans="8:16" x14ac:dyDescent="0.25">
      <c r="H25279" s="12"/>
      <c r="I25279" s="12"/>
      <c r="J25279" s="12"/>
      <c r="K25279" s="12"/>
      <c r="L25279" s="12"/>
      <c r="M25279" s="11"/>
      <c r="N25279" s="11"/>
      <c r="O25279" s="11"/>
      <c r="P25279" s="11"/>
    </row>
    <row r="25280" spans="8:16" x14ac:dyDescent="0.25">
      <c r="H25280" s="12"/>
      <c r="I25280" s="12"/>
      <c r="J25280" s="12"/>
      <c r="K25280" s="12"/>
      <c r="L25280" s="12"/>
      <c r="M25280" s="11"/>
      <c r="N25280" s="11"/>
      <c r="O25280" s="11"/>
      <c r="P25280" s="11"/>
    </row>
    <row r="25281" spans="8:16" x14ac:dyDescent="0.25">
      <c r="H25281" s="12"/>
      <c r="I25281" s="12"/>
      <c r="J25281" s="12"/>
      <c r="K25281" s="12"/>
      <c r="L25281" s="12"/>
      <c r="M25281" s="11"/>
      <c r="N25281" s="11"/>
      <c r="O25281" s="11"/>
      <c r="P25281" s="11"/>
    </row>
    <row r="25282" spans="8:16" x14ac:dyDescent="0.25">
      <c r="H25282" s="12"/>
      <c r="I25282" s="12"/>
      <c r="J25282" s="12"/>
      <c r="K25282" s="12"/>
      <c r="L25282" s="12"/>
      <c r="M25282" s="11"/>
      <c r="N25282" s="11"/>
      <c r="O25282" s="11"/>
      <c r="P25282" s="11"/>
    </row>
    <row r="25283" spans="8:16" x14ac:dyDescent="0.25">
      <c r="H25283" s="12"/>
      <c r="I25283" s="12"/>
      <c r="J25283" s="12"/>
      <c r="K25283" s="12"/>
      <c r="L25283" s="12"/>
      <c r="M25283" s="11"/>
      <c r="N25283" s="11"/>
      <c r="O25283" s="11"/>
      <c r="P25283" s="11"/>
    </row>
    <row r="25284" spans="8:16" x14ac:dyDescent="0.25">
      <c r="H25284" s="12"/>
      <c r="I25284" s="12"/>
      <c r="J25284" s="12"/>
      <c r="K25284" s="12"/>
      <c r="L25284" s="12"/>
      <c r="M25284" s="11"/>
      <c r="N25284" s="11"/>
      <c r="O25284" s="11"/>
      <c r="P25284" s="11"/>
    </row>
    <row r="25285" spans="8:16" x14ac:dyDescent="0.25">
      <c r="H25285" s="12"/>
      <c r="I25285" s="12"/>
      <c r="J25285" s="12"/>
      <c r="K25285" s="12"/>
      <c r="L25285" s="12"/>
      <c r="M25285" s="11"/>
      <c r="N25285" s="11"/>
      <c r="O25285" s="11"/>
      <c r="P25285" s="11"/>
    </row>
    <row r="25286" spans="8:16" x14ac:dyDescent="0.25">
      <c r="H25286" s="12"/>
      <c r="I25286" s="12"/>
      <c r="J25286" s="12"/>
      <c r="K25286" s="12"/>
      <c r="L25286" s="12"/>
      <c r="M25286" s="11"/>
      <c r="N25286" s="11"/>
      <c r="O25286" s="11"/>
      <c r="P25286" s="11"/>
    </row>
    <row r="25287" spans="8:16" x14ac:dyDescent="0.25">
      <c r="H25287" s="12"/>
      <c r="I25287" s="12"/>
      <c r="J25287" s="12"/>
      <c r="K25287" s="12"/>
      <c r="L25287" s="12"/>
      <c r="M25287" s="11"/>
      <c r="N25287" s="11"/>
      <c r="O25287" s="11"/>
      <c r="P25287" s="11"/>
    </row>
    <row r="25288" spans="8:16" x14ac:dyDescent="0.25">
      <c r="H25288" s="12"/>
      <c r="I25288" s="12"/>
      <c r="J25288" s="12"/>
      <c r="K25288" s="12"/>
      <c r="L25288" s="12"/>
      <c r="M25288" s="11"/>
      <c r="N25288" s="11"/>
      <c r="O25288" s="11"/>
      <c r="P25288" s="11"/>
    </row>
    <row r="25289" spans="8:16" x14ac:dyDescent="0.25">
      <c r="H25289" s="12"/>
      <c r="I25289" s="12"/>
      <c r="J25289" s="12"/>
      <c r="K25289" s="12"/>
      <c r="L25289" s="12"/>
      <c r="M25289" s="11"/>
      <c r="N25289" s="11"/>
      <c r="O25289" s="11"/>
      <c r="P25289" s="11"/>
    </row>
    <row r="25290" spans="8:16" x14ac:dyDescent="0.25">
      <c r="H25290" s="12"/>
      <c r="I25290" s="12"/>
      <c r="J25290" s="12"/>
      <c r="K25290" s="12"/>
      <c r="L25290" s="12"/>
      <c r="M25290" s="11"/>
      <c r="N25290" s="11"/>
      <c r="O25290" s="11"/>
      <c r="P25290" s="11"/>
    </row>
    <row r="25291" spans="8:16" x14ac:dyDescent="0.25">
      <c r="H25291" s="12"/>
      <c r="I25291" s="12"/>
      <c r="J25291" s="12"/>
      <c r="K25291" s="12"/>
      <c r="L25291" s="12"/>
      <c r="M25291" s="11"/>
      <c r="N25291" s="11"/>
      <c r="O25291" s="11"/>
      <c r="P25291" s="11"/>
    </row>
    <row r="25292" spans="8:16" x14ac:dyDescent="0.25">
      <c r="H25292" s="12"/>
      <c r="I25292" s="12"/>
      <c r="J25292" s="12"/>
      <c r="K25292" s="12"/>
      <c r="L25292" s="12"/>
      <c r="M25292" s="11"/>
      <c r="N25292" s="11"/>
      <c r="O25292" s="11"/>
      <c r="P25292" s="11"/>
    </row>
    <row r="25293" spans="8:16" x14ac:dyDescent="0.25">
      <c r="H25293" s="12"/>
      <c r="I25293" s="12"/>
      <c r="J25293" s="12"/>
      <c r="K25293" s="12"/>
      <c r="L25293" s="12"/>
      <c r="M25293" s="11"/>
      <c r="N25293" s="11"/>
      <c r="O25293" s="11"/>
      <c r="P25293" s="11"/>
    </row>
    <row r="25294" spans="8:16" x14ac:dyDescent="0.25">
      <c r="H25294" s="12"/>
      <c r="I25294" s="12"/>
      <c r="J25294" s="12"/>
      <c r="K25294" s="12"/>
      <c r="L25294" s="12"/>
      <c r="M25294" s="11"/>
      <c r="N25294" s="11"/>
      <c r="O25294" s="11"/>
      <c r="P25294" s="11"/>
    </row>
    <row r="25295" spans="8:16" x14ac:dyDescent="0.25">
      <c r="H25295" s="12"/>
      <c r="I25295" s="12"/>
      <c r="J25295" s="12"/>
      <c r="K25295" s="12"/>
      <c r="L25295" s="12"/>
      <c r="M25295" s="11"/>
      <c r="N25295" s="11"/>
      <c r="O25295" s="11"/>
      <c r="P25295" s="11"/>
    </row>
    <row r="25296" spans="8:16" x14ac:dyDescent="0.25">
      <c r="H25296" s="12"/>
      <c r="I25296" s="12"/>
      <c r="J25296" s="12"/>
      <c r="K25296" s="12"/>
      <c r="L25296" s="12"/>
      <c r="M25296" s="11"/>
      <c r="N25296" s="11"/>
      <c r="O25296" s="11"/>
      <c r="P25296" s="11"/>
    </row>
    <row r="25297" spans="8:16" x14ac:dyDescent="0.25">
      <c r="H25297" s="12"/>
      <c r="I25297" s="12"/>
      <c r="J25297" s="12"/>
      <c r="K25297" s="12"/>
      <c r="L25297" s="12"/>
      <c r="M25297" s="11"/>
      <c r="N25297" s="11"/>
      <c r="O25297" s="11"/>
      <c r="P25297" s="11"/>
    </row>
    <row r="25298" spans="8:16" x14ac:dyDescent="0.25">
      <c r="H25298" s="12"/>
      <c r="I25298" s="12"/>
      <c r="J25298" s="12"/>
      <c r="K25298" s="12"/>
      <c r="L25298" s="12"/>
      <c r="M25298" s="11"/>
      <c r="N25298" s="11"/>
      <c r="O25298" s="11"/>
      <c r="P25298" s="11"/>
    </row>
    <row r="25299" spans="8:16" x14ac:dyDescent="0.25">
      <c r="H25299" s="12"/>
      <c r="I25299" s="12"/>
      <c r="J25299" s="12"/>
      <c r="K25299" s="12"/>
      <c r="L25299" s="12"/>
      <c r="M25299" s="11"/>
      <c r="N25299" s="11"/>
      <c r="O25299" s="11"/>
      <c r="P25299" s="11"/>
    </row>
    <row r="25300" spans="8:16" x14ac:dyDescent="0.25">
      <c r="H25300" s="12"/>
      <c r="I25300" s="12"/>
      <c r="J25300" s="12"/>
      <c r="K25300" s="12"/>
      <c r="L25300" s="12"/>
      <c r="M25300" s="11"/>
      <c r="N25300" s="11"/>
      <c r="O25300" s="11"/>
      <c r="P25300" s="11"/>
    </row>
    <row r="25301" spans="8:16" x14ac:dyDescent="0.25">
      <c r="H25301" s="12"/>
      <c r="I25301" s="12"/>
      <c r="J25301" s="12"/>
      <c r="K25301" s="12"/>
      <c r="L25301" s="12"/>
      <c r="M25301" s="11"/>
      <c r="N25301" s="11"/>
      <c r="O25301" s="11"/>
      <c r="P25301" s="11"/>
    </row>
    <row r="25302" spans="8:16" x14ac:dyDescent="0.25">
      <c r="H25302" s="12"/>
      <c r="I25302" s="12"/>
      <c r="J25302" s="12"/>
      <c r="K25302" s="12"/>
      <c r="L25302" s="12"/>
      <c r="M25302" s="11"/>
      <c r="N25302" s="11"/>
      <c r="O25302" s="11"/>
      <c r="P25302" s="11"/>
    </row>
    <row r="25303" spans="8:16" x14ac:dyDescent="0.25">
      <c r="H25303" s="12"/>
      <c r="I25303" s="12"/>
      <c r="J25303" s="12"/>
      <c r="K25303" s="12"/>
      <c r="L25303" s="12"/>
      <c r="M25303" s="11"/>
      <c r="N25303" s="11"/>
      <c r="O25303" s="11"/>
      <c r="P25303" s="11"/>
    </row>
    <row r="25304" spans="8:16" x14ac:dyDescent="0.25">
      <c r="H25304" s="12"/>
      <c r="I25304" s="12"/>
      <c r="J25304" s="12"/>
      <c r="K25304" s="12"/>
      <c r="L25304" s="12"/>
      <c r="M25304" s="11"/>
      <c r="N25304" s="11"/>
      <c r="O25304" s="11"/>
      <c r="P25304" s="11"/>
    </row>
    <row r="25305" spans="8:16" x14ac:dyDescent="0.25">
      <c r="H25305" s="12"/>
      <c r="I25305" s="12"/>
      <c r="J25305" s="12"/>
      <c r="K25305" s="12"/>
      <c r="L25305" s="12"/>
      <c r="M25305" s="11"/>
      <c r="N25305" s="11"/>
      <c r="O25305" s="11"/>
      <c r="P25305" s="11"/>
    </row>
    <row r="25306" spans="8:16" x14ac:dyDescent="0.25">
      <c r="H25306" s="12"/>
      <c r="I25306" s="12"/>
      <c r="J25306" s="12"/>
      <c r="K25306" s="12"/>
      <c r="L25306" s="12"/>
      <c r="M25306" s="11"/>
      <c r="N25306" s="11"/>
      <c r="O25306" s="11"/>
      <c r="P25306" s="11"/>
    </row>
    <row r="25307" spans="8:16" x14ac:dyDescent="0.25">
      <c r="H25307" s="12"/>
      <c r="I25307" s="12"/>
      <c r="J25307" s="12"/>
      <c r="K25307" s="12"/>
      <c r="L25307" s="12"/>
      <c r="M25307" s="11"/>
      <c r="N25307" s="11"/>
      <c r="O25307" s="11"/>
      <c r="P25307" s="11"/>
    </row>
    <row r="25308" spans="8:16" x14ac:dyDescent="0.25">
      <c r="H25308" s="12"/>
      <c r="I25308" s="12"/>
      <c r="J25308" s="12"/>
      <c r="K25308" s="12"/>
      <c r="L25308" s="12"/>
      <c r="M25308" s="11"/>
      <c r="N25308" s="11"/>
      <c r="O25308" s="11"/>
      <c r="P25308" s="11"/>
    </row>
    <row r="25309" spans="8:16" x14ac:dyDescent="0.25">
      <c r="H25309" s="12"/>
      <c r="I25309" s="12"/>
      <c r="J25309" s="12"/>
      <c r="K25309" s="12"/>
      <c r="L25309" s="12"/>
      <c r="M25309" s="11"/>
      <c r="N25309" s="11"/>
      <c r="O25309" s="11"/>
      <c r="P25309" s="11"/>
    </row>
    <row r="25310" spans="8:16" x14ac:dyDescent="0.25">
      <c r="H25310" s="12"/>
      <c r="I25310" s="12"/>
      <c r="J25310" s="12"/>
      <c r="K25310" s="12"/>
      <c r="L25310" s="12"/>
      <c r="M25310" s="11"/>
      <c r="N25310" s="11"/>
      <c r="O25310" s="11"/>
      <c r="P25310" s="11"/>
    </row>
    <row r="25311" spans="8:16" x14ac:dyDescent="0.25">
      <c r="H25311" s="12"/>
      <c r="I25311" s="12"/>
      <c r="J25311" s="12"/>
      <c r="K25311" s="12"/>
      <c r="L25311" s="12"/>
      <c r="M25311" s="11"/>
      <c r="N25311" s="11"/>
      <c r="O25311" s="11"/>
      <c r="P25311" s="11"/>
    </row>
    <row r="25312" spans="8:16" x14ac:dyDescent="0.25">
      <c r="H25312" s="12"/>
      <c r="I25312" s="12"/>
      <c r="J25312" s="12"/>
      <c r="K25312" s="12"/>
      <c r="L25312" s="12"/>
      <c r="M25312" s="11"/>
      <c r="N25312" s="11"/>
      <c r="O25312" s="11"/>
      <c r="P25312" s="11"/>
    </row>
    <row r="25313" spans="8:16" x14ac:dyDescent="0.25">
      <c r="H25313" s="12"/>
      <c r="I25313" s="12"/>
      <c r="J25313" s="12"/>
      <c r="K25313" s="12"/>
      <c r="L25313" s="12"/>
      <c r="M25313" s="11"/>
      <c r="N25313" s="11"/>
      <c r="O25313" s="11"/>
      <c r="P25313" s="11"/>
    </row>
    <row r="25314" spans="8:16" x14ac:dyDescent="0.25">
      <c r="H25314" s="12"/>
      <c r="I25314" s="12"/>
      <c r="J25314" s="12"/>
      <c r="K25314" s="12"/>
      <c r="L25314" s="12"/>
      <c r="M25314" s="11"/>
      <c r="N25314" s="11"/>
      <c r="O25314" s="11"/>
      <c r="P25314" s="11"/>
    </row>
    <row r="25315" spans="8:16" x14ac:dyDescent="0.25">
      <c r="H25315" s="12"/>
      <c r="I25315" s="12"/>
      <c r="J25315" s="12"/>
      <c r="K25315" s="12"/>
      <c r="L25315" s="12"/>
      <c r="M25315" s="11"/>
      <c r="N25315" s="11"/>
      <c r="O25315" s="11"/>
      <c r="P25315" s="11"/>
    </row>
    <row r="25316" spans="8:16" x14ac:dyDescent="0.25">
      <c r="H25316" s="12"/>
      <c r="I25316" s="12"/>
      <c r="J25316" s="12"/>
      <c r="K25316" s="12"/>
      <c r="L25316" s="12"/>
      <c r="M25316" s="11"/>
      <c r="N25316" s="11"/>
      <c r="O25316" s="11"/>
      <c r="P25316" s="11"/>
    </row>
    <row r="25317" spans="8:16" x14ac:dyDescent="0.25">
      <c r="H25317" s="12"/>
      <c r="I25317" s="12"/>
      <c r="J25317" s="12"/>
      <c r="K25317" s="12"/>
      <c r="L25317" s="12"/>
      <c r="M25317" s="11"/>
      <c r="N25317" s="11"/>
      <c r="O25317" s="11"/>
      <c r="P25317" s="11"/>
    </row>
    <row r="25318" spans="8:16" x14ac:dyDescent="0.25">
      <c r="H25318" s="12"/>
      <c r="I25318" s="12"/>
      <c r="J25318" s="12"/>
      <c r="K25318" s="12"/>
      <c r="L25318" s="12"/>
      <c r="M25318" s="11"/>
      <c r="N25318" s="11"/>
      <c r="O25318" s="11"/>
      <c r="P25318" s="11"/>
    </row>
    <row r="25319" spans="8:16" x14ac:dyDescent="0.25">
      <c r="H25319" s="12"/>
      <c r="I25319" s="12"/>
      <c r="J25319" s="12"/>
      <c r="K25319" s="12"/>
      <c r="L25319" s="12"/>
      <c r="M25319" s="11"/>
      <c r="N25319" s="11"/>
      <c r="O25319" s="11"/>
      <c r="P25319" s="11"/>
    </row>
    <row r="25320" spans="8:16" x14ac:dyDescent="0.25">
      <c r="H25320" s="12"/>
      <c r="I25320" s="12"/>
      <c r="J25320" s="12"/>
      <c r="K25320" s="12"/>
      <c r="L25320" s="12"/>
      <c r="M25320" s="11"/>
      <c r="N25320" s="11"/>
      <c r="O25320" s="11"/>
      <c r="P25320" s="11"/>
    </row>
    <row r="25321" spans="8:16" x14ac:dyDescent="0.25">
      <c r="H25321" s="12"/>
      <c r="I25321" s="12"/>
      <c r="J25321" s="12"/>
      <c r="K25321" s="12"/>
      <c r="L25321" s="12"/>
      <c r="M25321" s="11"/>
      <c r="N25321" s="11"/>
      <c r="O25321" s="11"/>
      <c r="P25321" s="11"/>
    </row>
    <row r="25322" spans="8:16" x14ac:dyDescent="0.25">
      <c r="H25322" s="12"/>
      <c r="I25322" s="12"/>
      <c r="J25322" s="12"/>
      <c r="K25322" s="12"/>
      <c r="L25322" s="12"/>
      <c r="M25322" s="11"/>
      <c r="N25322" s="11"/>
      <c r="O25322" s="11"/>
      <c r="P25322" s="11"/>
    </row>
    <row r="25323" spans="8:16" x14ac:dyDescent="0.25">
      <c r="H25323" s="12"/>
      <c r="I25323" s="12"/>
      <c r="J25323" s="12"/>
      <c r="K25323" s="12"/>
      <c r="L25323" s="12"/>
      <c r="M25323" s="11"/>
      <c r="N25323" s="11"/>
      <c r="O25323" s="11"/>
      <c r="P25323" s="11"/>
    </row>
    <row r="25324" spans="8:16" x14ac:dyDescent="0.25">
      <c r="H25324" s="12"/>
      <c r="I25324" s="12"/>
      <c r="J25324" s="12"/>
      <c r="K25324" s="12"/>
      <c r="L25324" s="12"/>
      <c r="M25324" s="11"/>
      <c r="N25324" s="11"/>
      <c r="O25324" s="11"/>
      <c r="P25324" s="11"/>
    </row>
    <row r="25325" spans="8:16" x14ac:dyDescent="0.25">
      <c r="H25325" s="12"/>
      <c r="I25325" s="12"/>
      <c r="J25325" s="12"/>
      <c r="K25325" s="12"/>
      <c r="L25325" s="12"/>
      <c r="M25325" s="11"/>
      <c r="N25325" s="11"/>
      <c r="O25325" s="11"/>
      <c r="P25325" s="11"/>
    </row>
    <row r="25326" spans="8:16" x14ac:dyDescent="0.25">
      <c r="H25326" s="12"/>
      <c r="I25326" s="12"/>
      <c r="J25326" s="12"/>
      <c r="K25326" s="12"/>
      <c r="L25326" s="12"/>
      <c r="M25326" s="11"/>
      <c r="N25326" s="11"/>
      <c r="O25326" s="11"/>
      <c r="P25326" s="11"/>
    </row>
    <row r="25327" spans="8:16" x14ac:dyDescent="0.25">
      <c r="H25327" s="12"/>
      <c r="I25327" s="12"/>
      <c r="J25327" s="12"/>
      <c r="K25327" s="12"/>
      <c r="L25327" s="12"/>
      <c r="M25327" s="11"/>
      <c r="N25327" s="11"/>
      <c r="O25327" s="11"/>
      <c r="P25327" s="11"/>
    </row>
    <row r="25328" spans="8:16" x14ac:dyDescent="0.25">
      <c r="H25328" s="12"/>
      <c r="I25328" s="12"/>
      <c r="J25328" s="12"/>
      <c r="K25328" s="12"/>
      <c r="L25328" s="12"/>
      <c r="M25328" s="11"/>
      <c r="N25328" s="11"/>
      <c r="O25328" s="11"/>
      <c r="P25328" s="11"/>
    </row>
    <row r="25329" spans="8:16" x14ac:dyDescent="0.25">
      <c r="H25329" s="12"/>
      <c r="I25329" s="12"/>
      <c r="J25329" s="12"/>
      <c r="K25329" s="12"/>
      <c r="L25329" s="12"/>
      <c r="M25329" s="11"/>
      <c r="N25329" s="11"/>
      <c r="O25329" s="11"/>
      <c r="P25329" s="11"/>
    </row>
    <row r="25330" spans="8:16" x14ac:dyDescent="0.25">
      <c r="H25330" s="12"/>
      <c r="I25330" s="12"/>
      <c r="J25330" s="12"/>
      <c r="K25330" s="12"/>
      <c r="L25330" s="12"/>
      <c r="M25330" s="11"/>
      <c r="N25330" s="11"/>
      <c r="O25330" s="11"/>
      <c r="P25330" s="11"/>
    </row>
    <row r="25331" spans="8:16" x14ac:dyDescent="0.25">
      <c r="H25331" s="12"/>
      <c r="I25331" s="12"/>
      <c r="J25331" s="12"/>
      <c r="K25331" s="12"/>
      <c r="L25331" s="12"/>
      <c r="M25331" s="11"/>
      <c r="N25331" s="11"/>
      <c r="O25331" s="11"/>
      <c r="P25331" s="11"/>
    </row>
    <row r="25332" spans="8:16" x14ac:dyDescent="0.25">
      <c r="H25332" s="12"/>
      <c r="I25332" s="12"/>
      <c r="J25332" s="12"/>
      <c r="K25332" s="12"/>
      <c r="L25332" s="12"/>
      <c r="M25332" s="11"/>
      <c r="N25332" s="11"/>
      <c r="O25332" s="11"/>
      <c r="P25332" s="11"/>
    </row>
    <row r="25333" spans="8:16" x14ac:dyDescent="0.25">
      <c r="H25333" s="12"/>
      <c r="I25333" s="12"/>
      <c r="J25333" s="12"/>
      <c r="K25333" s="12"/>
      <c r="L25333" s="12"/>
      <c r="M25333" s="11"/>
      <c r="N25333" s="11"/>
      <c r="O25333" s="11"/>
      <c r="P25333" s="11"/>
    </row>
    <row r="25334" spans="8:16" x14ac:dyDescent="0.25">
      <c r="H25334" s="12"/>
      <c r="I25334" s="12"/>
      <c r="J25334" s="12"/>
      <c r="K25334" s="12"/>
      <c r="L25334" s="12"/>
      <c r="M25334" s="11"/>
      <c r="N25334" s="11"/>
      <c r="O25334" s="11"/>
      <c r="P25334" s="11"/>
    </row>
    <row r="25335" spans="8:16" x14ac:dyDescent="0.25">
      <c r="H25335" s="12"/>
      <c r="I25335" s="12"/>
      <c r="J25335" s="12"/>
      <c r="K25335" s="12"/>
      <c r="L25335" s="12"/>
      <c r="M25335" s="11"/>
      <c r="N25335" s="11"/>
      <c r="O25335" s="11"/>
      <c r="P25335" s="11"/>
    </row>
    <row r="25336" spans="8:16" x14ac:dyDescent="0.25">
      <c r="H25336" s="12"/>
      <c r="I25336" s="12"/>
      <c r="J25336" s="12"/>
      <c r="K25336" s="12"/>
      <c r="L25336" s="12"/>
      <c r="M25336" s="11"/>
      <c r="N25336" s="11"/>
      <c r="O25336" s="11"/>
      <c r="P25336" s="11"/>
    </row>
    <row r="25337" spans="8:16" x14ac:dyDescent="0.25">
      <c r="H25337" s="12"/>
      <c r="I25337" s="12"/>
      <c r="J25337" s="12"/>
      <c r="K25337" s="12"/>
      <c r="L25337" s="12"/>
      <c r="M25337" s="11"/>
      <c r="N25337" s="11"/>
      <c r="O25337" s="11"/>
      <c r="P25337" s="11"/>
    </row>
    <row r="25338" spans="8:16" x14ac:dyDescent="0.25">
      <c r="H25338" s="12"/>
      <c r="I25338" s="12"/>
      <c r="J25338" s="12"/>
      <c r="K25338" s="12"/>
      <c r="L25338" s="12"/>
      <c r="M25338" s="11"/>
      <c r="N25338" s="11"/>
      <c r="O25338" s="11"/>
      <c r="P25338" s="11"/>
    </row>
    <row r="25339" spans="8:16" x14ac:dyDescent="0.25">
      <c r="H25339" s="12"/>
      <c r="I25339" s="12"/>
      <c r="J25339" s="12"/>
      <c r="K25339" s="12"/>
      <c r="L25339" s="12"/>
      <c r="M25339" s="11"/>
      <c r="N25339" s="11"/>
      <c r="O25339" s="11"/>
      <c r="P25339" s="11"/>
    </row>
    <row r="25340" spans="8:16" x14ac:dyDescent="0.25">
      <c r="H25340" s="12"/>
      <c r="I25340" s="12"/>
      <c r="J25340" s="12"/>
      <c r="K25340" s="12"/>
      <c r="L25340" s="12"/>
      <c r="M25340" s="11"/>
      <c r="N25340" s="11"/>
      <c r="O25340" s="11"/>
      <c r="P25340" s="11"/>
    </row>
    <row r="25341" spans="8:16" x14ac:dyDescent="0.25">
      <c r="H25341" s="12"/>
      <c r="I25341" s="12"/>
      <c r="J25341" s="12"/>
      <c r="K25341" s="12"/>
      <c r="L25341" s="12"/>
      <c r="M25341" s="11"/>
      <c r="N25341" s="11"/>
      <c r="O25341" s="11"/>
      <c r="P25341" s="11"/>
    </row>
    <row r="25342" spans="8:16" x14ac:dyDescent="0.25">
      <c r="H25342" s="12"/>
      <c r="I25342" s="12"/>
      <c r="J25342" s="12"/>
      <c r="K25342" s="12"/>
      <c r="L25342" s="12"/>
      <c r="M25342" s="11"/>
      <c r="N25342" s="11"/>
      <c r="O25342" s="11"/>
      <c r="P25342" s="11"/>
    </row>
    <row r="25343" spans="8:16" x14ac:dyDescent="0.25">
      <c r="H25343" s="12"/>
      <c r="I25343" s="12"/>
      <c r="J25343" s="12"/>
      <c r="K25343" s="12"/>
      <c r="L25343" s="12"/>
      <c r="M25343" s="11"/>
      <c r="N25343" s="11"/>
      <c r="O25343" s="11"/>
      <c r="P25343" s="11"/>
    </row>
    <row r="25344" spans="8:16" x14ac:dyDescent="0.25">
      <c r="H25344" s="12"/>
      <c r="I25344" s="12"/>
      <c r="J25344" s="12"/>
      <c r="K25344" s="12"/>
      <c r="L25344" s="12"/>
      <c r="M25344" s="11"/>
      <c r="N25344" s="11"/>
      <c r="O25344" s="11"/>
      <c r="P25344" s="11"/>
    </row>
    <row r="25345" spans="8:16" x14ac:dyDescent="0.25">
      <c r="H25345" s="12"/>
      <c r="I25345" s="12"/>
      <c r="J25345" s="12"/>
      <c r="K25345" s="12"/>
      <c r="L25345" s="12"/>
      <c r="M25345" s="11"/>
      <c r="N25345" s="11"/>
      <c r="O25345" s="11"/>
      <c r="P25345" s="11"/>
    </row>
    <row r="25346" spans="8:16" x14ac:dyDescent="0.25">
      <c r="H25346" s="12"/>
      <c r="I25346" s="12"/>
      <c r="J25346" s="12"/>
      <c r="K25346" s="12"/>
      <c r="L25346" s="12"/>
      <c r="M25346" s="11"/>
      <c r="N25346" s="11"/>
      <c r="O25346" s="11"/>
      <c r="P25346" s="11"/>
    </row>
    <row r="25347" spans="8:16" x14ac:dyDescent="0.25">
      <c r="H25347" s="12"/>
      <c r="I25347" s="12"/>
      <c r="J25347" s="12"/>
      <c r="K25347" s="12"/>
      <c r="L25347" s="12"/>
      <c r="M25347" s="11"/>
      <c r="N25347" s="11"/>
      <c r="O25347" s="11"/>
      <c r="P25347" s="11"/>
    </row>
    <row r="25348" spans="8:16" x14ac:dyDescent="0.25">
      <c r="H25348" s="12"/>
      <c r="I25348" s="12"/>
      <c r="J25348" s="12"/>
      <c r="K25348" s="12"/>
      <c r="L25348" s="12"/>
      <c r="M25348" s="11"/>
      <c r="N25348" s="11"/>
      <c r="O25348" s="11"/>
      <c r="P25348" s="11"/>
    </row>
    <row r="25349" spans="8:16" x14ac:dyDescent="0.25">
      <c r="H25349" s="12"/>
      <c r="I25349" s="12"/>
      <c r="J25349" s="12"/>
      <c r="K25349" s="12"/>
      <c r="L25349" s="12"/>
      <c r="M25349" s="11"/>
      <c r="N25349" s="11"/>
      <c r="O25349" s="11"/>
      <c r="P25349" s="11"/>
    </row>
    <row r="25350" spans="8:16" x14ac:dyDescent="0.25">
      <c r="H25350" s="12"/>
      <c r="I25350" s="12"/>
      <c r="J25350" s="12"/>
      <c r="K25350" s="12"/>
      <c r="L25350" s="12"/>
      <c r="M25350" s="11"/>
      <c r="N25350" s="11"/>
      <c r="O25350" s="11"/>
      <c r="P25350" s="11"/>
    </row>
    <row r="25351" spans="8:16" x14ac:dyDescent="0.25">
      <c r="H25351" s="12"/>
      <c r="I25351" s="12"/>
      <c r="J25351" s="12"/>
      <c r="K25351" s="12"/>
      <c r="L25351" s="12"/>
      <c r="M25351" s="11"/>
      <c r="N25351" s="11"/>
      <c r="O25351" s="11"/>
      <c r="P25351" s="11"/>
    </row>
    <row r="25352" spans="8:16" x14ac:dyDescent="0.25">
      <c r="H25352" s="12"/>
      <c r="I25352" s="12"/>
      <c r="J25352" s="12"/>
      <c r="K25352" s="12"/>
      <c r="L25352" s="12"/>
      <c r="M25352" s="11"/>
      <c r="N25352" s="11"/>
      <c r="O25352" s="11"/>
      <c r="P25352" s="11"/>
    </row>
    <row r="25353" spans="8:16" x14ac:dyDescent="0.25">
      <c r="H25353" s="12"/>
      <c r="I25353" s="12"/>
      <c r="J25353" s="12"/>
      <c r="K25353" s="12"/>
      <c r="L25353" s="12"/>
      <c r="M25353" s="11"/>
      <c r="N25353" s="11"/>
      <c r="O25353" s="11"/>
      <c r="P25353" s="11"/>
    </row>
    <row r="25354" spans="8:16" x14ac:dyDescent="0.25">
      <c r="H25354" s="12"/>
      <c r="I25354" s="12"/>
      <c r="J25354" s="12"/>
      <c r="K25354" s="12"/>
      <c r="L25354" s="12"/>
      <c r="M25354" s="11"/>
      <c r="N25354" s="11"/>
      <c r="O25354" s="11"/>
      <c r="P25354" s="11"/>
    </row>
    <row r="25355" spans="8:16" x14ac:dyDescent="0.25">
      <c r="H25355" s="12"/>
      <c r="I25355" s="12"/>
      <c r="J25355" s="12"/>
      <c r="K25355" s="12"/>
      <c r="L25355" s="12"/>
      <c r="M25355" s="11"/>
      <c r="N25355" s="11"/>
      <c r="O25355" s="11"/>
      <c r="P25355" s="11"/>
    </row>
    <row r="25356" spans="8:16" x14ac:dyDescent="0.25">
      <c r="H25356" s="12"/>
      <c r="I25356" s="12"/>
      <c r="J25356" s="12"/>
      <c r="K25356" s="12"/>
      <c r="L25356" s="12"/>
      <c r="M25356" s="11"/>
      <c r="N25356" s="11"/>
      <c r="O25356" s="11"/>
      <c r="P25356" s="11"/>
    </row>
    <row r="25357" spans="8:16" x14ac:dyDescent="0.25">
      <c r="H25357" s="12"/>
      <c r="I25357" s="12"/>
      <c r="J25357" s="12"/>
      <c r="K25357" s="12"/>
      <c r="L25357" s="12"/>
      <c r="M25357" s="11"/>
      <c r="N25357" s="11"/>
      <c r="O25357" s="11"/>
      <c r="P25357" s="11"/>
    </row>
    <row r="25358" spans="8:16" x14ac:dyDescent="0.25">
      <c r="H25358" s="12"/>
      <c r="I25358" s="12"/>
      <c r="J25358" s="12"/>
      <c r="K25358" s="12"/>
      <c r="L25358" s="12"/>
      <c r="M25358" s="11"/>
      <c r="N25358" s="11"/>
      <c r="O25358" s="11"/>
      <c r="P25358" s="11"/>
    </row>
    <row r="25359" spans="8:16" x14ac:dyDescent="0.25">
      <c r="H25359" s="12"/>
      <c r="I25359" s="12"/>
      <c r="J25359" s="12"/>
      <c r="K25359" s="12"/>
      <c r="L25359" s="12"/>
      <c r="M25359" s="11"/>
      <c r="N25359" s="11"/>
      <c r="O25359" s="11"/>
      <c r="P25359" s="11"/>
    </row>
    <row r="25360" spans="8:16" x14ac:dyDescent="0.25">
      <c r="H25360" s="12"/>
      <c r="I25360" s="12"/>
      <c r="J25360" s="12"/>
      <c r="K25360" s="12"/>
      <c r="L25360" s="12"/>
      <c r="M25360" s="11"/>
      <c r="N25360" s="11"/>
      <c r="O25360" s="11"/>
      <c r="P25360" s="11"/>
    </row>
    <row r="25361" spans="8:16" x14ac:dyDescent="0.25">
      <c r="H25361" s="12"/>
      <c r="I25361" s="12"/>
      <c r="J25361" s="12"/>
      <c r="K25361" s="12"/>
      <c r="L25361" s="12"/>
      <c r="M25361" s="11"/>
      <c r="N25361" s="11"/>
      <c r="O25361" s="11"/>
      <c r="P25361" s="11"/>
    </row>
    <row r="25362" spans="8:16" x14ac:dyDescent="0.25">
      <c r="H25362" s="12"/>
      <c r="I25362" s="12"/>
      <c r="J25362" s="12"/>
      <c r="K25362" s="12"/>
      <c r="L25362" s="12"/>
      <c r="M25362" s="11"/>
      <c r="N25362" s="11"/>
      <c r="O25362" s="11"/>
      <c r="P25362" s="11"/>
    </row>
    <row r="25363" spans="8:16" x14ac:dyDescent="0.25">
      <c r="H25363" s="12"/>
      <c r="I25363" s="12"/>
      <c r="J25363" s="12"/>
      <c r="K25363" s="12"/>
      <c r="L25363" s="12"/>
      <c r="M25363" s="11"/>
      <c r="N25363" s="11"/>
      <c r="O25363" s="11"/>
      <c r="P25363" s="11"/>
    </row>
    <row r="25364" spans="8:16" x14ac:dyDescent="0.25">
      <c r="H25364" s="12"/>
      <c r="I25364" s="12"/>
      <c r="J25364" s="12"/>
      <c r="K25364" s="12"/>
      <c r="L25364" s="12"/>
      <c r="M25364" s="11"/>
      <c r="N25364" s="11"/>
      <c r="O25364" s="11"/>
      <c r="P25364" s="11"/>
    </row>
    <row r="25365" spans="8:16" x14ac:dyDescent="0.25">
      <c r="H25365" s="12"/>
      <c r="I25365" s="12"/>
      <c r="J25365" s="12"/>
      <c r="K25365" s="12"/>
      <c r="L25365" s="12"/>
      <c r="M25365" s="11"/>
      <c r="N25365" s="11"/>
      <c r="O25365" s="11"/>
      <c r="P25365" s="11"/>
    </row>
    <row r="25366" spans="8:16" x14ac:dyDescent="0.25">
      <c r="H25366" s="12"/>
      <c r="I25366" s="12"/>
      <c r="J25366" s="12"/>
      <c r="K25366" s="12"/>
      <c r="L25366" s="12"/>
      <c r="M25366" s="11"/>
      <c r="N25366" s="11"/>
      <c r="O25366" s="11"/>
      <c r="P25366" s="11"/>
    </row>
    <row r="25367" spans="8:16" x14ac:dyDescent="0.25">
      <c r="H25367" s="12"/>
      <c r="I25367" s="12"/>
      <c r="J25367" s="12"/>
      <c r="K25367" s="12"/>
      <c r="L25367" s="12"/>
      <c r="M25367" s="11"/>
      <c r="N25367" s="11"/>
      <c r="O25367" s="11"/>
      <c r="P25367" s="11"/>
    </row>
    <row r="25368" spans="8:16" x14ac:dyDescent="0.25">
      <c r="H25368" s="12"/>
      <c r="I25368" s="12"/>
      <c r="J25368" s="12"/>
      <c r="K25368" s="12"/>
      <c r="L25368" s="12"/>
      <c r="M25368" s="11"/>
      <c r="N25368" s="11"/>
      <c r="O25368" s="11"/>
      <c r="P25368" s="11"/>
    </row>
    <row r="25369" spans="8:16" x14ac:dyDescent="0.25">
      <c r="H25369" s="12"/>
      <c r="I25369" s="12"/>
      <c r="J25369" s="12"/>
      <c r="K25369" s="12"/>
      <c r="L25369" s="12"/>
      <c r="M25369" s="11"/>
      <c r="N25369" s="11"/>
      <c r="O25369" s="11"/>
      <c r="P25369" s="11"/>
    </row>
    <row r="25370" spans="8:16" x14ac:dyDescent="0.25">
      <c r="H25370" s="12"/>
      <c r="I25370" s="12"/>
      <c r="J25370" s="12"/>
      <c r="K25370" s="12"/>
      <c r="L25370" s="12"/>
      <c r="M25370" s="11"/>
      <c r="N25370" s="11"/>
      <c r="O25370" s="11"/>
      <c r="P25370" s="11"/>
    </row>
    <row r="25371" spans="8:16" x14ac:dyDescent="0.25">
      <c r="H25371" s="12"/>
      <c r="I25371" s="12"/>
      <c r="J25371" s="12"/>
      <c r="K25371" s="12"/>
      <c r="L25371" s="12"/>
      <c r="M25371" s="11"/>
      <c r="N25371" s="11"/>
      <c r="O25371" s="11"/>
      <c r="P25371" s="11"/>
    </row>
    <row r="25372" spans="8:16" x14ac:dyDescent="0.25">
      <c r="H25372" s="12"/>
      <c r="I25372" s="12"/>
      <c r="J25372" s="12"/>
      <c r="K25372" s="12"/>
      <c r="L25372" s="12"/>
      <c r="M25372" s="11"/>
      <c r="N25372" s="11"/>
      <c r="O25372" s="11"/>
      <c r="P25372" s="11"/>
    </row>
    <row r="25373" spans="8:16" x14ac:dyDescent="0.25">
      <c r="H25373" s="12"/>
      <c r="I25373" s="12"/>
      <c r="J25373" s="12"/>
      <c r="K25373" s="12"/>
      <c r="L25373" s="12"/>
      <c r="M25373" s="11"/>
      <c r="N25373" s="11"/>
      <c r="O25373" s="11"/>
      <c r="P25373" s="11"/>
    </row>
    <row r="25374" spans="8:16" x14ac:dyDescent="0.25">
      <c r="H25374" s="12"/>
      <c r="I25374" s="12"/>
      <c r="J25374" s="12"/>
      <c r="K25374" s="12"/>
      <c r="L25374" s="12"/>
      <c r="M25374" s="11"/>
      <c r="N25374" s="11"/>
      <c r="O25374" s="11"/>
      <c r="P25374" s="11"/>
    </row>
    <row r="25375" spans="8:16" x14ac:dyDescent="0.25">
      <c r="H25375" s="12"/>
      <c r="I25375" s="12"/>
      <c r="J25375" s="12"/>
      <c r="K25375" s="12"/>
      <c r="L25375" s="12"/>
      <c r="M25375" s="11"/>
      <c r="N25375" s="11"/>
      <c r="O25375" s="11"/>
      <c r="P25375" s="11"/>
    </row>
    <row r="25376" spans="8:16" x14ac:dyDescent="0.25">
      <c r="H25376" s="12"/>
      <c r="I25376" s="12"/>
      <c r="J25376" s="12"/>
      <c r="K25376" s="12"/>
      <c r="L25376" s="12"/>
      <c r="M25376" s="11"/>
      <c r="N25376" s="11"/>
      <c r="O25376" s="11"/>
      <c r="P25376" s="11"/>
    </row>
    <row r="25377" spans="8:16" x14ac:dyDescent="0.25">
      <c r="H25377" s="12"/>
      <c r="I25377" s="12"/>
      <c r="J25377" s="12"/>
      <c r="K25377" s="12"/>
      <c r="L25377" s="12"/>
      <c r="M25377" s="11"/>
      <c r="N25377" s="11"/>
      <c r="O25377" s="11"/>
      <c r="P25377" s="11"/>
    </row>
    <row r="25378" spans="8:16" x14ac:dyDescent="0.25">
      <c r="H25378" s="12"/>
      <c r="I25378" s="12"/>
      <c r="J25378" s="12"/>
      <c r="K25378" s="12"/>
      <c r="L25378" s="12"/>
      <c r="M25378" s="11"/>
      <c r="N25378" s="11"/>
      <c r="O25378" s="11"/>
      <c r="P25378" s="11"/>
    </row>
    <row r="25379" spans="8:16" x14ac:dyDescent="0.25">
      <c r="H25379" s="12"/>
      <c r="I25379" s="12"/>
      <c r="J25379" s="12"/>
      <c r="K25379" s="12"/>
      <c r="L25379" s="12"/>
      <c r="M25379" s="11"/>
      <c r="N25379" s="11"/>
      <c r="O25379" s="11"/>
      <c r="P25379" s="11"/>
    </row>
    <row r="25380" spans="8:16" x14ac:dyDescent="0.25">
      <c r="H25380" s="12"/>
      <c r="I25380" s="12"/>
      <c r="J25380" s="12"/>
      <c r="K25380" s="12"/>
      <c r="L25380" s="12"/>
      <c r="M25380" s="11"/>
      <c r="N25380" s="11"/>
      <c r="O25380" s="11"/>
      <c r="P25380" s="11"/>
    </row>
    <row r="25381" spans="8:16" x14ac:dyDescent="0.25">
      <c r="H25381" s="12"/>
      <c r="I25381" s="12"/>
      <c r="J25381" s="12"/>
      <c r="K25381" s="12"/>
      <c r="L25381" s="12"/>
      <c r="M25381" s="11"/>
      <c r="N25381" s="11"/>
      <c r="O25381" s="11"/>
      <c r="P25381" s="11"/>
    </row>
    <row r="25382" spans="8:16" x14ac:dyDescent="0.25">
      <c r="H25382" s="12"/>
      <c r="I25382" s="12"/>
      <c r="J25382" s="12"/>
      <c r="K25382" s="12"/>
      <c r="L25382" s="12"/>
      <c r="M25382" s="11"/>
      <c r="N25382" s="11"/>
      <c r="O25382" s="11"/>
      <c r="P25382" s="11"/>
    </row>
    <row r="25383" spans="8:16" x14ac:dyDescent="0.25">
      <c r="H25383" s="12"/>
      <c r="I25383" s="12"/>
      <c r="J25383" s="12"/>
      <c r="K25383" s="12"/>
      <c r="L25383" s="12"/>
      <c r="M25383" s="11"/>
      <c r="N25383" s="11"/>
      <c r="O25383" s="11"/>
      <c r="P25383" s="11"/>
    </row>
    <row r="25384" spans="8:16" x14ac:dyDescent="0.25">
      <c r="H25384" s="12"/>
      <c r="I25384" s="12"/>
      <c r="J25384" s="12"/>
      <c r="K25384" s="12"/>
      <c r="L25384" s="12"/>
      <c r="M25384" s="11"/>
      <c r="N25384" s="11"/>
      <c r="O25384" s="11"/>
      <c r="P25384" s="11"/>
    </row>
    <row r="25385" spans="8:16" x14ac:dyDescent="0.25">
      <c r="H25385" s="12"/>
      <c r="I25385" s="12"/>
      <c r="J25385" s="12"/>
      <c r="K25385" s="12"/>
      <c r="L25385" s="12"/>
      <c r="M25385" s="11"/>
      <c r="N25385" s="11"/>
      <c r="O25385" s="11"/>
      <c r="P25385" s="11"/>
    </row>
    <row r="25386" spans="8:16" x14ac:dyDescent="0.25">
      <c r="H25386" s="12"/>
      <c r="I25386" s="12"/>
      <c r="J25386" s="12"/>
      <c r="K25386" s="12"/>
      <c r="L25386" s="12"/>
      <c r="M25386" s="11"/>
      <c r="N25386" s="11"/>
      <c r="O25386" s="11"/>
      <c r="P25386" s="11"/>
    </row>
    <row r="25387" spans="8:16" x14ac:dyDescent="0.25">
      <c r="H25387" s="12"/>
      <c r="I25387" s="12"/>
      <c r="J25387" s="12"/>
      <c r="K25387" s="12"/>
      <c r="L25387" s="12"/>
      <c r="M25387" s="11"/>
      <c r="N25387" s="11"/>
      <c r="O25387" s="11"/>
      <c r="P25387" s="11"/>
    </row>
    <row r="25388" spans="8:16" x14ac:dyDescent="0.25">
      <c r="H25388" s="12"/>
      <c r="I25388" s="12"/>
      <c r="J25388" s="12"/>
      <c r="K25388" s="12"/>
      <c r="L25388" s="12"/>
      <c r="M25388" s="11"/>
      <c r="N25388" s="11"/>
      <c r="O25388" s="11"/>
      <c r="P25388" s="11"/>
    </row>
    <row r="25389" spans="8:16" x14ac:dyDescent="0.25">
      <c r="H25389" s="12"/>
      <c r="I25389" s="12"/>
      <c r="J25389" s="12"/>
      <c r="K25389" s="12"/>
      <c r="L25389" s="12"/>
      <c r="M25389" s="11"/>
      <c r="N25389" s="11"/>
      <c r="O25389" s="11"/>
      <c r="P25389" s="11"/>
    </row>
    <row r="25390" spans="8:16" x14ac:dyDescent="0.25">
      <c r="H25390" s="12"/>
      <c r="I25390" s="12"/>
      <c r="J25390" s="12"/>
      <c r="K25390" s="12"/>
      <c r="L25390" s="12"/>
      <c r="M25390" s="11"/>
      <c r="N25390" s="11"/>
      <c r="O25390" s="11"/>
      <c r="P25390" s="11"/>
    </row>
    <row r="25391" spans="8:16" x14ac:dyDescent="0.25">
      <c r="H25391" s="12"/>
      <c r="I25391" s="12"/>
      <c r="J25391" s="12"/>
      <c r="K25391" s="12"/>
      <c r="L25391" s="12"/>
      <c r="M25391" s="11"/>
      <c r="N25391" s="11"/>
      <c r="O25391" s="11"/>
      <c r="P25391" s="11"/>
    </row>
    <row r="25392" spans="8:16" x14ac:dyDescent="0.25">
      <c r="H25392" s="12"/>
      <c r="I25392" s="12"/>
      <c r="J25392" s="12"/>
      <c r="K25392" s="12"/>
      <c r="L25392" s="12"/>
      <c r="M25392" s="11"/>
      <c r="N25392" s="11"/>
      <c r="O25392" s="11"/>
      <c r="P25392" s="11"/>
    </row>
    <row r="25393" spans="8:16" x14ac:dyDescent="0.25">
      <c r="H25393" s="12"/>
      <c r="I25393" s="12"/>
      <c r="J25393" s="12"/>
      <c r="K25393" s="12"/>
      <c r="L25393" s="12"/>
      <c r="M25393" s="11"/>
      <c r="N25393" s="11"/>
      <c r="O25393" s="11"/>
      <c r="P25393" s="11"/>
    </row>
    <row r="25394" spans="8:16" x14ac:dyDescent="0.25">
      <c r="H25394" s="12"/>
      <c r="I25394" s="12"/>
      <c r="J25394" s="12"/>
      <c r="K25394" s="12"/>
      <c r="L25394" s="12"/>
      <c r="M25394" s="11"/>
      <c r="N25394" s="11"/>
      <c r="O25394" s="11"/>
      <c r="P25394" s="11"/>
    </row>
    <row r="25395" spans="8:16" x14ac:dyDescent="0.25">
      <c r="H25395" s="12"/>
      <c r="I25395" s="12"/>
      <c r="J25395" s="12"/>
      <c r="K25395" s="12"/>
      <c r="L25395" s="12"/>
      <c r="M25395" s="11"/>
      <c r="N25395" s="11"/>
      <c r="O25395" s="11"/>
      <c r="P25395" s="11"/>
    </row>
    <row r="25396" spans="8:16" x14ac:dyDescent="0.25">
      <c r="H25396" s="12"/>
      <c r="I25396" s="12"/>
      <c r="J25396" s="12"/>
      <c r="K25396" s="12"/>
      <c r="L25396" s="12"/>
      <c r="M25396" s="11"/>
      <c r="N25396" s="11"/>
      <c r="O25396" s="11"/>
      <c r="P25396" s="11"/>
    </row>
    <row r="25397" spans="8:16" x14ac:dyDescent="0.25">
      <c r="H25397" s="12"/>
      <c r="I25397" s="12"/>
      <c r="J25397" s="12"/>
      <c r="K25397" s="12"/>
      <c r="L25397" s="12"/>
      <c r="M25397" s="11"/>
      <c r="N25397" s="11"/>
      <c r="O25397" s="11"/>
      <c r="P25397" s="11"/>
    </row>
    <row r="25398" spans="8:16" x14ac:dyDescent="0.25">
      <c r="H25398" s="12"/>
      <c r="I25398" s="12"/>
      <c r="J25398" s="12"/>
      <c r="K25398" s="12"/>
      <c r="L25398" s="12"/>
      <c r="M25398" s="11"/>
      <c r="N25398" s="11"/>
      <c r="O25398" s="11"/>
      <c r="P25398" s="11"/>
    </row>
    <row r="25399" spans="8:16" x14ac:dyDescent="0.25">
      <c r="H25399" s="12"/>
      <c r="I25399" s="12"/>
      <c r="J25399" s="12"/>
      <c r="K25399" s="12"/>
      <c r="L25399" s="12"/>
      <c r="M25399" s="11"/>
      <c r="N25399" s="11"/>
      <c r="O25399" s="11"/>
      <c r="P25399" s="11"/>
    </row>
    <row r="25400" spans="8:16" x14ac:dyDescent="0.25">
      <c r="H25400" s="12"/>
      <c r="I25400" s="12"/>
      <c r="J25400" s="12"/>
      <c r="K25400" s="12"/>
      <c r="L25400" s="12"/>
      <c r="M25400" s="11"/>
      <c r="N25400" s="11"/>
      <c r="O25400" s="11"/>
      <c r="P25400" s="11"/>
    </row>
    <row r="25401" spans="8:16" x14ac:dyDescent="0.25">
      <c r="H25401" s="12"/>
      <c r="I25401" s="12"/>
      <c r="J25401" s="12"/>
      <c r="K25401" s="12"/>
      <c r="L25401" s="12"/>
      <c r="M25401" s="11"/>
      <c r="N25401" s="11"/>
      <c r="O25401" s="11"/>
      <c r="P25401" s="11"/>
    </row>
    <row r="25402" spans="8:16" x14ac:dyDescent="0.25">
      <c r="H25402" s="12"/>
      <c r="I25402" s="12"/>
      <c r="J25402" s="12"/>
      <c r="K25402" s="12"/>
      <c r="L25402" s="12"/>
      <c r="M25402" s="11"/>
      <c r="N25402" s="11"/>
      <c r="O25402" s="11"/>
      <c r="P25402" s="11"/>
    </row>
    <row r="25403" spans="8:16" x14ac:dyDescent="0.25">
      <c r="H25403" s="12"/>
      <c r="I25403" s="12"/>
      <c r="J25403" s="12"/>
      <c r="K25403" s="12"/>
      <c r="L25403" s="12"/>
      <c r="M25403" s="11"/>
      <c r="N25403" s="11"/>
      <c r="O25403" s="11"/>
      <c r="P25403" s="11"/>
    </row>
    <row r="25404" spans="8:16" x14ac:dyDescent="0.25">
      <c r="H25404" s="12"/>
      <c r="I25404" s="12"/>
      <c r="J25404" s="12"/>
      <c r="K25404" s="12"/>
      <c r="L25404" s="12"/>
      <c r="M25404" s="11"/>
      <c r="N25404" s="11"/>
      <c r="O25404" s="11"/>
      <c r="P25404" s="11"/>
    </row>
    <row r="25405" spans="8:16" x14ac:dyDescent="0.25">
      <c r="H25405" s="12"/>
      <c r="I25405" s="12"/>
      <c r="J25405" s="12"/>
      <c r="K25405" s="12"/>
      <c r="L25405" s="12"/>
      <c r="M25405" s="11"/>
      <c r="N25405" s="11"/>
      <c r="O25405" s="11"/>
      <c r="P25405" s="11"/>
    </row>
    <row r="25406" spans="8:16" x14ac:dyDescent="0.25">
      <c r="H25406" s="12"/>
      <c r="I25406" s="12"/>
      <c r="J25406" s="12"/>
      <c r="K25406" s="12"/>
      <c r="L25406" s="12"/>
      <c r="M25406" s="11"/>
      <c r="N25406" s="11"/>
      <c r="O25406" s="11"/>
      <c r="P25406" s="11"/>
    </row>
    <row r="25407" spans="8:16" x14ac:dyDescent="0.25">
      <c r="H25407" s="12"/>
      <c r="I25407" s="12"/>
      <c r="J25407" s="12"/>
      <c r="K25407" s="12"/>
      <c r="L25407" s="12"/>
      <c r="M25407" s="11"/>
      <c r="N25407" s="11"/>
      <c r="O25407" s="11"/>
      <c r="P25407" s="11"/>
    </row>
    <row r="25408" spans="8:16" x14ac:dyDescent="0.25">
      <c r="H25408" s="12"/>
      <c r="I25408" s="12"/>
      <c r="J25408" s="12"/>
      <c r="K25408" s="12"/>
      <c r="L25408" s="12"/>
      <c r="M25408" s="11"/>
      <c r="N25408" s="11"/>
      <c r="O25408" s="11"/>
      <c r="P25408" s="11"/>
    </row>
    <row r="25409" spans="8:16" x14ac:dyDescent="0.25">
      <c r="H25409" s="12"/>
      <c r="I25409" s="12"/>
      <c r="J25409" s="12"/>
      <c r="K25409" s="12"/>
      <c r="L25409" s="12"/>
      <c r="M25409" s="11"/>
      <c r="N25409" s="11"/>
      <c r="O25409" s="11"/>
      <c r="P25409" s="11"/>
    </row>
    <row r="25410" spans="8:16" x14ac:dyDescent="0.25">
      <c r="H25410" s="12"/>
      <c r="I25410" s="12"/>
      <c r="J25410" s="12"/>
      <c r="K25410" s="12"/>
      <c r="L25410" s="12"/>
      <c r="M25410" s="11"/>
      <c r="N25410" s="11"/>
      <c r="O25410" s="11"/>
      <c r="P25410" s="11"/>
    </row>
    <row r="25411" spans="8:16" x14ac:dyDescent="0.25">
      <c r="H25411" s="12"/>
      <c r="I25411" s="12"/>
      <c r="J25411" s="12"/>
      <c r="K25411" s="12"/>
      <c r="L25411" s="12"/>
      <c r="M25411" s="11"/>
      <c r="N25411" s="11"/>
      <c r="O25411" s="11"/>
      <c r="P25411" s="11"/>
    </row>
    <row r="25412" spans="8:16" x14ac:dyDescent="0.25">
      <c r="H25412" s="12"/>
      <c r="I25412" s="12"/>
      <c r="J25412" s="12"/>
      <c r="K25412" s="12"/>
      <c r="L25412" s="12"/>
      <c r="M25412" s="11"/>
      <c r="N25412" s="11"/>
      <c r="O25412" s="11"/>
      <c r="P25412" s="11"/>
    </row>
    <row r="25413" spans="8:16" x14ac:dyDescent="0.25">
      <c r="H25413" s="12"/>
      <c r="I25413" s="12"/>
      <c r="J25413" s="12"/>
      <c r="K25413" s="12"/>
      <c r="L25413" s="12"/>
      <c r="M25413" s="11"/>
      <c r="N25413" s="11"/>
      <c r="O25413" s="11"/>
      <c r="P25413" s="11"/>
    </row>
    <row r="25414" spans="8:16" x14ac:dyDescent="0.25">
      <c r="H25414" s="12"/>
      <c r="I25414" s="12"/>
      <c r="J25414" s="12"/>
      <c r="K25414" s="12"/>
      <c r="L25414" s="12"/>
      <c r="M25414" s="11"/>
      <c r="N25414" s="11"/>
      <c r="O25414" s="11"/>
      <c r="P25414" s="11"/>
    </row>
    <row r="25415" spans="8:16" x14ac:dyDescent="0.25">
      <c r="H25415" s="12"/>
      <c r="I25415" s="12"/>
      <c r="J25415" s="12"/>
      <c r="K25415" s="12"/>
      <c r="L25415" s="12"/>
      <c r="M25415" s="11"/>
      <c r="N25415" s="11"/>
      <c r="O25415" s="11"/>
      <c r="P25415" s="11"/>
    </row>
    <row r="25416" spans="8:16" x14ac:dyDescent="0.25">
      <c r="H25416" s="12"/>
      <c r="I25416" s="12"/>
      <c r="J25416" s="12"/>
      <c r="K25416" s="12"/>
      <c r="L25416" s="12"/>
      <c r="M25416" s="11"/>
      <c r="N25416" s="11"/>
      <c r="O25416" s="11"/>
      <c r="P25416" s="11"/>
    </row>
    <row r="25417" spans="8:16" x14ac:dyDescent="0.25">
      <c r="H25417" s="12"/>
      <c r="I25417" s="12"/>
      <c r="J25417" s="12"/>
      <c r="K25417" s="12"/>
      <c r="L25417" s="12"/>
      <c r="M25417" s="11"/>
      <c r="N25417" s="11"/>
      <c r="O25417" s="11"/>
      <c r="P25417" s="11"/>
    </row>
    <row r="25418" spans="8:16" x14ac:dyDescent="0.25">
      <c r="H25418" s="12"/>
      <c r="I25418" s="12"/>
      <c r="J25418" s="12"/>
      <c r="K25418" s="12"/>
      <c r="L25418" s="12"/>
      <c r="M25418" s="11"/>
      <c r="N25418" s="11"/>
      <c r="O25418" s="11"/>
      <c r="P25418" s="11"/>
    </row>
    <row r="25419" spans="8:16" x14ac:dyDescent="0.25">
      <c r="H25419" s="12"/>
      <c r="I25419" s="12"/>
      <c r="J25419" s="12"/>
      <c r="K25419" s="12"/>
      <c r="L25419" s="12"/>
      <c r="M25419" s="11"/>
      <c r="N25419" s="11"/>
      <c r="O25419" s="11"/>
      <c r="P25419" s="11"/>
    </row>
    <row r="25420" spans="8:16" x14ac:dyDescent="0.25">
      <c r="H25420" s="12"/>
      <c r="I25420" s="12"/>
      <c r="J25420" s="12"/>
      <c r="K25420" s="12"/>
      <c r="L25420" s="12"/>
      <c r="M25420" s="11"/>
      <c r="N25420" s="11"/>
      <c r="O25420" s="11"/>
      <c r="P25420" s="11"/>
    </row>
    <row r="25421" spans="8:16" x14ac:dyDescent="0.25">
      <c r="H25421" s="12"/>
      <c r="I25421" s="12"/>
      <c r="J25421" s="12"/>
      <c r="K25421" s="12"/>
      <c r="L25421" s="12"/>
      <c r="M25421" s="11"/>
      <c r="N25421" s="11"/>
      <c r="O25421" s="11"/>
      <c r="P25421" s="11"/>
    </row>
    <row r="25422" spans="8:16" x14ac:dyDescent="0.25">
      <c r="H25422" s="12"/>
      <c r="I25422" s="12"/>
      <c r="J25422" s="12"/>
      <c r="K25422" s="12"/>
      <c r="L25422" s="12"/>
      <c r="M25422" s="11"/>
      <c r="N25422" s="11"/>
      <c r="O25422" s="11"/>
      <c r="P25422" s="11"/>
    </row>
    <row r="25423" spans="8:16" x14ac:dyDescent="0.25">
      <c r="H25423" s="12"/>
      <c r="I25423" s="12"/>
      <c r="J25423" s="12"/>
      <c r="K25423" s="12"/>
      <c r="L25423" s="12"/>
      <c r="M25423" s="11"/>
      <c r="N25423" s="11"/>
      <c r="O25423" s="11"/>
      <c r="P25423" s="11"/>
    </row>
    <row r="25424" spans="8:16" x14ac:dyDescent="0.25">
      <c r="H25424" s="12"/>
      <c r="I25424" s="12"/>
      <c r="J25424" s="12"/>
      <c r="K25424" s="12"/>
      <c r="L25424" s="12"/>
      <c r="M25424" s="11"/>
      <c r="N25424" s="11"/>
      <c r="O25424" s="11"/>
      <c r="P25424" s="11"/>
    </row>
    <row r="25425" spans="8:16" x14ac:dyDescent="0.25">
      <c r="H25425" s="12"/>
      <c r="I25425" s="12"/>
      <c r="J25425" s="12"/>
      <c r="K25425" s="12"/>
      <c r="L25425" s="12"/>
      <c r="M25425" s="11"/>
      <c r="N25425" s="11"/>
      <c r="O25425" s="11"/>
      <c r="P25425" s="11"/>
    </row>
    <row r="25426" spans="8:16" x14ac:dyDescent="0.25">
      <c r="H25426" s="12"/>
      <c r="I25426" s="12"/>
      <c r="J25426" s="12"/>
      <c r="K25426" s="12"/>
      <c r="L25426" s="12"/>
      <c r="M25426" s="11"/>
      <c r="N25426" s="11"/>
      <c r="O25426" s="11"/>
      <c r="P25426" s="11"/>
    </row>
    <row r="25427" spans="8:16" x14ac:dyDescent="0.25">
      <c r="H25427" s="12"/>
      <c r="I25427" s="12"/>
      <c r="J25427" s="12"/>
      <c r="K25427" s="12"/>
      <c r="L25427" s="12"/>
      <c r="M25427" s="11"/>
      <c r="N25427" s="11"/>
      <c r="O25427" s="11"/>
      <c r="P25427" s="11"/>
    </row>
    <row r="25428" spans="8:16" x14ac:dyDescent="0.25">
      <c r="H25428" s="12"/>
      <c r="I25428" s="12"/>
      <c r="J25428" s="12"/>
      <c r="K25428" s="12"/>
      <c r="L25428" s="12"/>
      <c r="M25428" s="11"/>
      <c r="N25428" s="11"/>
      <c r="O25428" s="11"/>
      <c r="P25428" s="11"/>
    </row>
    <row r="25429" spans="8:16" x14ac:dyDescent="0.25">
      <c r="H25429" s="12"/>
      <c r="I25429" s="12"/>
      <c r="J25429" s="12"/>
      <c r="K25429" s="12"/>
      <c r="L25429" s="12"/>
      <c r="M25429" s="11"/>
      <c r="N25429" s="11"/>
      <c r="O25429" s="11"/>
      <c r="P25429" s="11"/>
    </row>
    <row r="25430" spans="8:16" x14ac:dyDescent="0.25">
      <c r="H25430" s="12"/>
      <c r="I25430" s="12"/>
      <c r="J25430" s="12"/>
      <c r="K25430" s="12"/>
      <c r="L25430" s="12"/>
      <c r="M25430" s="11"/>
      <c r="N25430" s="11"/>
      <c r="O25430" s="11"/>
      <c r="P25430" s="11"/>
    </row>
    <row r="25431" spans="8:16" x14ac:dyDescent="0.25">
      <c r="H25431" s="12"/>
      <c r="I25431" s="12"/>
      <c r="J25431" s="12"/>
      <c r="K25431" s="12"/>
      <c r="L25431" s="12"/>
      <c r="M25431" s="11"/>
      <c r="N25431" s="11"/>
      <c r="O25431" s="11"/>
      <c r="P25431" s="11"/>
    </row>
    <row r="25432" spans="8:16" x14ac:dyDescent="0.25">
      <c r="H25432" s="12"/>
      <c r="I25432" s="12"/>
      <c r="J25432" s="12"/>
      <c r="K25432" s="12"/>
      <c r="L25432" s="12"/>
      <c r="M25432" s="11"/>
      <c r="N25432" s="11"/>
      <c r="O25432" s="11"/>
      <c r="P25432" s="11"/>
    </row>
    <row r="25433" spans="8:16" x14ac:dyDescent="0.25">
      <c r="H25433" s="12"/>
      <c r="I25433" s="12"/>
      <c r="J25433" s="12"/>
      <c r="K25433" s="12"/>
      <c r="L25433" s="12"/>
      <c r="M25433" s="11"/>
      <c r="N25433" s="11"/>
      <c r="O25433" s="11"/>
      <c r="P25433" s="11"/>
    </row>
    <row r="25434" spans="8:16" x14ac:dyDescent="0.25">
      <c r="H25434" s="12"/>
      <c r="I25434" s="12"/>
      <c r="J25434" s="12"/>
      <c r="K25434" s="12"/>
      <c r="L25434" s="12"/>
      <c r="M25434" s="11"/>
      <c r="N25434" s="11"/>
      <c r="O25434" s="11"/>
      <c r="P25434" s="11"/>
    </row>
    <row r="25435" spans="8:16" x14ac:dyDescent="0.25">
      <c r="H25435" s="12"/>
      <c r="I25435" s="12"/>
      <c r="J25435" s="12"/>
      <c r="K25435" s="12"/>
      <c r="L25435" s="12"/>
      <c r="M25435" s="11"/>
      <c r="N25435" s="11"/>
      <c r="O25435" s="11"/>
      <c r="P25435" s="11"/>
    </row>
    <row r="25436" spans="8:16" x14ac:dyDescent="0.25">
      <c r="H25436" s="12"/>
      <c r="I25436" s="12"/>
      <c r="J25436" s="12"/>
      <c r="K25436" s="12"/>
      <c r="L25436" s="12"/>
      <c r="M25436" s="11"/>
      <c r="N25436" s="11"/>
      <c r="O25436" s="11"/>
      <c r="P25436" s="11"/>
    </row>
    <row r="25437" spans="8:16" x14ac:dyDescent="0.25">
      <c r="H25437" s="12"/>
      <c r="I25437" s="12"/>
      <c r="J25437" s="12"/>
      <c r="K25437" s="12"/>
      <c r="L25437" s="12"/>
      <c r="M25437" s="11"/>
      <c r="N25437" s="11"/>
      <c r="O25437" s="11"/>
      <c r="P25437" s="11"/>
    </row>
    <row r="25438" spans="8:16" x14ac:dyDescent="0.25">
      <c r="H25438" s="12"/>
      <c r="I25438" s="12"/>
      <c r="J25438" s="12"/>
      <c r="K25438" s="12"/>
      <c r="L25438" s="12"/>
      <c r="M25438" s="11"/>
      <c r="N25438" s="11"/>
      <c r="O25438" s="11"/>
      <c r="P25438" s="11"/>
    </row>
    <row r="25439" spans="8:16" x14ac:dyDescent="0.25">
      <c r="H25439" s="12"/>
      <c r="I25439" s="12"/>
      <c r="J25439" s="12"/>
      <c r="K25439" s="12"/>
      <c r="L25439" s="12"/>
      <c r="M25439" s="11"/>
      <c r="N25439" s="11"/>
      <c r="O25439" s="11"/>
      <c r="P25439" s="11"/>
    </row>
    <row r="25440" spans="8:16" x14ac:dyDescent="0.25">
      <c r="H25440" s="12"/>
      <c r="I25440" s="12"/>
      <c r="J25440" s="12"/>
      <c r="K25440" s="12"/>
      <c r="L25440" s="12"/>
      <c r="M25440" s="11"/>
      <c r="N25440" s="11"/>
      <c r="O25440" s="11"/>
      <c r="P25440" s="11"/>
    </row>
    <row r="25441" spans="8:16" x14ac:dyDescent="0.25">
      <c r="H25441" s="12"/>
      <c r="I25441" s="12"/>
      <c r="J25441" s="12"/>
      <c r="K25441" s="12"/>
      <c r="L25441" s="12"/>
      <c r="M25441" s="11"/>
      <c r="N25441" s="11"/>
      <c r="O25441" s="11"/>
      <c r="P25441" s="11"/>
    </row>
    <row r="25442" spans="8:16" x14ac:dyDescent="0.25">
      <c r="H25442" s="12"/>
      <c r="I25442" s="12"/>
      <c r="J25442" s="12"/>
      <c r="K25442" s="12"/>
      <c r="L25442" s="12"/>
      <c r="M25442" s="11"/>
      <c r="N25442" s="11"/>
      <c r="O25442" s="11"/>
      <c r="P25442" s="11"/>
    </row>
    <row r="25443" spans="8:16" x14ac:dyDescent="0.25">
      <c r="H25443" s="12"/>
      <c r="I25443" s="12"/>
      <c r="J25443" s="12"/>
      <c r="K25443" s="12"/>
      <c r="L25443" s="12"/>
      <c r="M25443" s="11"/>
      <c r="N25443" s="11"/>
      <c r="O25443" s="11"/>
      <c r="P25443" s="11"/>
    </row>
    <row r="25444" spans="8:16" x14ac:dyDescent="0.25">
      <c r="H25444" s="12"/>
      <c r="I25444" s="12"/>
      <c r="J25444" s="12"/>
      <c r="K25444" s="12"/>
      <c r="L25444" s="12"/>
      <c r="M25444" s="11"/>
      <c r="N25444" s="11"/>
      <c r="O25444" s="11"/>
      <c r="P25444" s="11"/>
    </row>
    <row r="25445" spans="8:16" x14ac:dyDescent="0.25">
      <c r="H25445" s="12"/>
      <c r="I25445" s="12"/>
      <c r="J25445" s="12"/>
      <c r="K25445" s="12"/>
      <c r="L25445" s="12"/>
      <c r="M25445" s="11"/>
      <c r="N25445" s="11"/>
      <c r="O25445" s="11"/>
      <c r="P25445" s="11"/>
    </row>
    <row r="25446" spans="8:16" x14ac:dyDescent="0.25">
      <c r="H25446" s="12"/>
      <c r="I25446" s="12"/>
      <c r="J25446" s="12"/>
      <c r="K25446" s="12"/>
      <c r="L25446" s="12"/>
      <c r="M25446" s="11"/>
      <c r="N25446" s="11"/>
      <c r="O25446" s="11"/>
      <c r="P25446" s="11"/>
    </row>
    <row r="25447" spans="8:16" x14ac:dyDescent="0.25">
      <c r="H25447" s="12"/>
      <c r="I25447" s="12"/>
      <c r="J25447" s="12"/>
      <c r="K25447" s="12"/>
      <c r="L25447" s="12"/>
      <c r="M25447" s="11"/>
      <c r="N25447" s="11"/>
      <c r="O25447" s="11"/>
      <c r="P25447" s="11"/>
    </row>
    <row r="25448" spans="8:16" x14ac:dyDescent="0.25">
      <c r="H25448" s="12"/>
      <c r="I25448" s="12"/>
      <c r="J25448" s="12"/>
      <c r="K25448" s="12"/>
      <c r="L25448" s="12"/>
      <c r="M25448" s="11"/>
      <c r="N25448" s="11"/>
      <c r="O25448" s="11"/>
      <c r="P25448" s="11"/>
    </row>
    <row r="25449" spans="8:16" x14ac:dyDescent="0.25">
      <c r="H25449" s="12"/>
      <c r="I25449" s="12"/>
      <c r="J25449" s="12"/>
      <c r="K25449" s="12"/>
      <c r="L25449" s="12"/>
      <c r="M25449" s="11"/>
      <c r="N25449" s="11"/>
      <c r="O25449" s="11"/>
      <c r="P25449" s="11"/>
    </row>
    <row r="25450" spans="8:16" x14ac:dyDescent="0.25">
      <c r="H25450" s="12"/>
      <c r="I25450" s="12"/>
      <c r="J25450" s="12"/>
      <c r="K25450" s="12"/>
      <c r="L25450" s="12"/>
      <c r="M25450" s="11"/>
      <c r="N25450" s="11"/>
      <c r="O25450" s="11"/>
      <c r="P25450" s="11"/>
    </row>
    <row r="25451" spans="8:16" x14ac:dyDescent="0.25">
      <c r="H25451" s="12"/>
      <c r="I25451" s="12"/>
      <c r="J25451" s="12"/>
      <c r="K25451" s="12"/>
      <c r="L25451" s="12"/>
      <c r="M25451" s="11"/>
      <c r="N25451" s="11"/>
      <c r="O25451" s="11"/>
      <c r="P25451" s="11"/>
    </row>
    <row r="25452" spans="8:16" x14ac:dyDescent="0.25">
      <c r="H25452" s="12"/>
      <c r="I25452" s="12"/>
      <c r="J25452" s="12"/>
      <c r="K25452" s="12"/>
      <c r="L25452" s="12"/>
      <c r="M25452" s="11"/>
      <c r="N25452" s="11"/>
      <c r="O25452" s="11"/>
      <c r="P25452" s="11"/>
    </row>
    <row r="25453" spans="8:16" x14ac:dyDescent="0.25">
      <c r="H25453" s="12"/>
      <c r="I25453" s="12"/>
      <c r="J25453" s="12"/>
      <c r="K25453" s="12"/>
      <c r="L25453" s="12"/>
      <c r="M25453" s="11"/>
      <c r="N25453" s="11"/>
      <c r="O25453" s="11"/>
      <c r="P25453" s="11"/>
    </row>
    <row r="25454" spans="8:16" x14ac:dyDescent="0.25">
      <c r="H25454" s="12"/>
      <c r="I25454" s="12"/>
      <c r="J25454" s="12"/>
      <c r="K25454" s="12"/>
      <c r="L25454" s="12"/>
      <c r="M25454" s="11"/>
      <c r="N25454" s="11"/>
      <c r="O25454" s="11"/>
      <c r="P25454" s="11"/>
    </row>
    <row r="25455" spans="8:16" x14ac:dyDescent="0.25">
      <c r="H25455" s="12"/>
      <c r="I25455" s="12"/>
      <c r="J25455" s="12"/>
      <c r="K25455" s="12"/>
      <c r="L25455" s="12"/>
      <c r="M25455" s="11"/>
      <c r="N25455" s="11"/>
      <c r="O25455" s="11"/>
      <c r="P25455" s="11"/>
    </row>
    <row r="25456" spans="8:16" x14ac:dyDescent="0.25">
      <c r="H25456" s="12"/>
      <c r="I25456" s="12"/>
      <c r="J25456" s="12"/>
      <c r="K25456" s="12"/>
      <c r="L25456" s="12"/>
      <c r="M25456" s="11"/>
      <c r="N25456" s="11"/>
      <c r="O25456" s="11"/>
      <c r="P25456" s="11"/>
    </row>
    <row r="25457" spans="8:16" x14ac:dyDescent="0.25">
      <c r="H25457" s="12"/>
      <c r="I25457" s="12"/>
      <c r="J25457" s="12"/>
      <c r="K25457" s="12"/>
      <c r="L25457" s="12"/>
      <c r="M25457" s="11"/>
      <c r="N25457" s="11"/>
      <c r="O25457" s="11"/>
      <c r="P25457" s="11"/>
    </row>
    <row r="25458" spans="8:16" x14ac:dyDescent="0.25">
      <c r="H25458" s="12"/>
      <c r="I25458" s="12"/>
      <c r="J25458" s="12"/>
      <c r="K25458" s="12"/>
      <c r="L25458" s="12"/>
      <c r="M25458" s="11"/>
      <c r="N25458" s="11"/>
      <c r="O25458" s="11"/>
      <c r="P25458" s="11"/>
    </row>
    <row r="25459" spans="8:16" x14ac:dyDescent="0.25">
      <c r="H25459" s="12"/>
      <c r="I25459" s="12"/>
      <c r="J25459" s="12"/>
      <c r="K25459" s="12"/>
      <c r="L25459" s="12"/>
      <c r="M25459" s="11"/>
      <c r="N25459" s="11"/>
      <c r="O25459" s="11"/>
      <c r="P25459" s="11"/>
    </row>
    <row r="25460" spans="8:16" x14ac:dyDescent="0.25">
      <c r="H25460" s="12"/>
      <c r="I25460" s="12"/>
      <c r="J25460" s="12"/>
      <c r="K25460" s="12"/>
      <c r="L25460" s="12"/>
      <c r="M25460" s="11"/>
      <c r="N25460" s="11"/>
      <c r="O25460" s="11"/>
      <c r="P25460" s="11"/>
    </row>
    <row r="25461" spans="8:16" x14ac:dyDescent="0.25">
      <c r="H25461" s="12"/>
      <c r="I25461" s="12"/>
      <c r="J25461" s="12"/>
      <c r="K25461" s="12"/>
      <c r="L25461" s="12"/>
      <c r="M25461" s="11"/>
      <c r="N25461" s="11"/>
      <c r="O25461" s="11"/>
      <c r="P25461" s="11"/>
    </row>
    <row r="25462" spans="8:16" x14ac:dyDescent="0.25">
      <c r="H25462" s="12"/>
      <c r="I25462" s="12"/>
      <c r="J25462" s="12"/>
      <c r="K25462" s="12"/>
      <c r="L25462" s="12"/>
      <c r="M25462" s="11"/>
      <c r="N25462" s="11"/>
      <c r="O25462" s="11"/>
      <c r="P25462" s="11"/>
    </row>
    <row r="25463" spans="8:16" x14ac:dyDescent="0.25">
      <c r="H25463" s="12"/>
      <c r="I25463" s="12"/>
      <c r="J25463" s="12"/>
      <c r="K25463" s="12"/>
      <c r="L25463" s="12"/>
      <c r="M25463" s="11"/>
      <c r="N25463" s="11"/>
      <c r="O25463" s="11"/>
      <c r="P25463" s="11"/>
    </row>
    <row r="25464" spans="8:16" x14ac:dyDescent="0.25">
      <c r="H25464" s="12"/>
      <c r="I25464" s="12"/>
      <c r="J25464" s="12"/>
      <c r="K25464" s="12"/>
      <c r="L25464" s="12"/>
      <c r="M25464" s="11"/>
      <c r="N25464" s="11"/>
      <c r="O25464" s="11"/>
      <c r="P25464" s="11"/>
    </row>
    <row r="25465" spans="8:16" x14ac:dyDescent="0.25">
      <c r="H25465" s="12"/>
      <c r="I25465" s="12"/>
      <c r="J25465" s="12"/>
      <c r="K25465" s="12"/>
      <c r="L25465" s="12"/>
      <c r="M25465" s="11"/>
      <c r="N25465" s="11"/>
      <c r="O25465" s="11"/>
      <c r="P25465" s="11"/>
    </row>
    <row r="25466" spans="8:16" x14ac:dyDescent="0.25">
      <c r="H25466" s="12"/>
      <c r="I25466" s="12"/>
      <c r="J25466" s="12"/>
      <c r="K25466" s="12"/>
      <c r="L25466" s="12"/>
      <c r="M25466" s="11"/>
      <c r="N25466" s="11"/>
      <c r="O25466" s="11"/>
      <c r="P25466" s="11"/>
    </row>
    <row r="25467" spans="8:16" x14ac:dyDescent="0.25">
      <c r="H25467" s="12"/>
      <c r="I25467" s="12"/>
      <c r="J25467" s="12"/>
      <c r="K25467" s="12"/>
      <c r="L25467" s="12"/>
      <c r="M25467" s="11"/>
      <c r="N25467" s="11"/>
      <c r="O25467" s="11"/>
      <c r="P25467" s="11"/>
    </row>
    <row r="25468" spans="8:16" x14ac:dyDescent="0.25">
      <c r="H25468" s="12"/>
      <c r="I25468" s="12"/>
      <c r="J25468" s="12"/>
      <c r="K25468" s="12"/>
      <c r="L25468" s="12"/>
      <c r="M25468" s="11"/>
      <c r="N25468" s="11"/>
      <c r="O25468" s="11"/>
      <c r="P25468" s="11"/>
    </row>
    <row r="25469" spans="8:16" x14ac:dyDescent="0.25">
      <c r="H25469" s="12"/>
      <c r="I25469" s="12"/>
      <c r="J25469" s="12"/>
      <c r="K25469" s="12"/>
      <c r="L25469" s="12"/>
      <c r="M25469" s="11"/>
      <c r="N25469" s="11"/>
      <c r="O25469" s="11"/>
      <c r="P25469" s="11"/>
    </row>
    <row r="25470" spans="8:16" x14ac:dyDescent="0.25">
      <c r="H25470" s="12"/>
      <c r="I25470" s="12"/>
      <c r="J25470" s="12"/>
      <c r="K25470" s="12"/>
      <c r="L25470" s="12"/>
      <c r="M25470" s="11"/>
      <c r="N25470" s="11"/>
      <c r="O25470" s="11"/>
      <c r="P25470" s="11"/>
    </row>
    <row r="25471" spans="8:16" x14ac:dyDescent="0.25">
      <c r="H25471" s="12"/>
      <c r="I25471" s="12"/>
      <c r="J25471" s="12"/>
      <c r="K25471" s="12"/>
      <c r="L25471" s="12"/>
      <c r="M25471" s="11"/>
      <c r="N25471" s="11"/>
      <c r="O25471" s="11"/>
      <c r="P25471" s="11"/>
    </row>
    <row r="25472" spans="8:16" x14ac:dyDescent="0.25">
      <c r="H25472" s="12"/>
      <c r="I25472" s="12"/>
      <c r="J25472" s="12"/>
      <c r="K25472" s="12"/>
      <c r="L25472" s="12"/>
      <c r="M25472" s="11"/>
      <c r="N25472" s="11"/>
      <c r="O25472" s="11"/>
      <c r="P25472" s="11"/>
    </row>
    <row r="25473" spans="8:16" x14ac:dyDescent="0.25">
      <c r="H25473" s="12"/>
      <c r="I25473" s="12"/>
      <c r="J25473" s="12"/>
      <c r="K25473" s="12"/>
      <c r="L25473" s="12"/>
      <c r="M25473" s="11"/>
      <c r="N25473" s="11"/>
      <c r="O25473" s="11"/>
      <c r="P25473" s="11"/>
    </row>
    <row r="25474" spans="8:16" x14ac:dyDescent="0.25">
      <c r="H25474" s="12"/>
      <c r="I25474" s="12"/>
      <c r="J25474" s="12"/>
      <c r="K25474" s="12"/>
      <c r="L25474" s="12"/>
      <c r="M25474" s="11"/>
      <c r="N25474" s="11"/>
      <c r="O25474" s="11"/>
      <c r="P25474" s="11"/>
    </row>
    <row r="25475" spans="8:16" x14ac:dyDescent="0.25">
      <c r="H25475" s="12"/>
      <c r="I25475" s="12"/>
      <c r="J25475" s="12"/>
      <c r="K25475" s="12"/>
      <c r="L25475" s="12"/>
      <c r="M25475" s="11"/>
      <c r="N25475" s="11"/>
      <c r="O25475" s="11"/>
      <c r="P25475" s="11"/>
    </row>
    <row r="25476" spans="8:16" x14ac:dyDescent="0.25">
      <c r="H25476" s="12"/>
      <c r="I25476" s="12"/>
      <c r="J25476" s="12"/>
      <c r="K25476" s="12"/>
      <c r="L25476" s="12"/>
      <c r="M25476" s="11"/>
      <c r="N25476" s="11"/>
      <c r="O25476" s="11"/>
      <c r="P25476" s="11"/>
    </row>
    <row r="25477" spans="8:16" x14ac:dyDescent="0.25">
      <c r="H25477" s="12"/>
      <c r="I25477" s="12"/>
      <c r="J25477" s="12"/>
      <c r="K25477" s="12"/>
      <c r="L25477" s="12"/>
      <c r="M25477" s="11"/>
      <c r="N25477" s="11"/>
      <c r="O25477" s="11"/>
      <c r="P25477" s="11"/>
    </row>
    <row r="25478" spans="8:16" x14ac:dyDescent="0.25">
      <c r="H25478" s="12"/>
      <c r="I25478" s="12"/>
      <c r="J25478" s="12"/>
      <c r="K25478" s="12"/>
      <c r="L25478" s="12"/>
      <c r="M25478" s="11"/>
      <c r="N25478" s="11"/>
      <c r="O25478" s="11"/>
      <c r="P25478" s="11"/>
    </row>
    <row r="25479" spans="8:16" x14ac:dyDescent="0.25">
      <c r="H25479" s="12"/>
      <c r="I25479" s="12"/>
      <c r="J25479" s="12"/>
      <c r="K25479" s="12"/>
      <c r="L25479" s="12"/>
      <c r="M25479" s="11"/>
      <c r="N25479" s="11"/>
      <c r="O25479" s="11"/>
      <c r="P25479" s="11"/>
    </row>
    <row r="25480" spans="8:16" x14ac:dyDescent="0.25">
      <c r="H25480" s="12"/>
      <c r="I25480" s="12"/>
      <c r="J25480" s="12"/>
      <c r="K25480" s="12"/>
      <c r="L25480" s="12"/>
      <c r="M25480" s="11"/>
      <c r="N25480" s="11"/>
      <c r="O25480" s="11"/>
      <c r="P25480" s="11"/>
    </row>
    <row r="25481" spans="8:16" x14ac:dyDescent="0.25">
      <c r="H25481" s="12"/>
      <c r="I25481" s="12"/>
      <c r="J25481" s="12"/>
      <c r="K25481" s="12"/>
      <c r="L25481" s="12"/>
      <c r="M25481" s="11"/>
      <c r="N25481" s="11"/>
      <c r="O25481" s="11"/>
      <c r="P25481" s="11"/>
    </row>
    <row r="25482" spans="8:16" x14ac:dyDescent="0.25">
      <c r="H25482" s="12"/>
      <c r="I25482" s="12"/>
      <c r="J25482" s="12"/>
      <c r="K25482" s="12"/>
      <c r="L25482" s="12"/>
      <c r="M25482" s="11"/>
      <c r="N25482" s="11"/>
      <c r="O25482" s="11"/>
      <c r="P25482" s="11"/>
    </row>
    <row r="25483" spans="8:16" x14ac:dyDescent="0.25">
      <c r="H25483" s="12"/>
      <c r="I25483" s="12"/>
      <c r="J25483" s="12"/>
      <c r="K25483" s="12"/>
      <c r="L25483" s="12"/>
      <c r="M25483" s="11"/>
      <c r="N25483" s="11"/>
      <c r="O25483" s="11"/>
      <c r="P25483" s="11"/>
    </row>
    <row r="25484" spans="8:16" x14ac:dyDescent="0.25">
      <c r="H25484" s="12"/>
      <c r="I25484" s="12"/>
      <c r="J25484" s="12"/>
      <c r="K25484" s="12"/>
      <c r="L25484" s="12"/>
      <c r="M25484" s="11"/>
      <c r="N25484" s="11"/>
      <c r="O25484" s="11"/>
      <c r="P25484" s="11"/>
    </row>
    <row r="25485" spans="8:16" x14ac:dyDescent="0.25">
      <c r="H25485" s="12"/>
      <c r="I25485" s="12"/>
      <c r="J25485" s="12"/>
      <c r="K25485" s="12"/>
      <c r="L25485" s="12"/>
      <c r="M25485" s="11"/>
      <c r="N25485" s="11"/>
      <c r="O25485" s="11"/>
      <c r="P25485" s="11"/>
    </row>
    <row r="25486" spans="8:16" x14ac:dyDescent="0.25">
      <c r="H25486" s="12"/>
      <c r="I25486" s="12"/>
      <c r="J25486" s="12"/>
      <c r="K25486" s="12"/>
      <c r="L25486" s="12"/>
      <c r="M25486" s="11"/>
      <c r="N25486" s="11"/>
      <c r="O25486" s="11"/>
      <c r="P25486" s="11"/>
    </row>
    <row r="25487" spans="8:16" x14ac:dyDescent="0.25">
      <c r="H25487" s="12"/>
      <c r="I25487" s="12"/>
      <c r="J25487" s="12"/>
      <c r="K25487" s="12"/>
      <c r="L25487" s="12"/>
      <c r="M25487" s="11"/>
      <c r="N25487" s="11"/>
      <c r="O25487" s="11"/>
      <c r="P25487" s="11"/>
    </row>
    <row r="25488" spans="8:16" x14ac:dyDescent="0.25">
      <c r="H25488" s="12"/>
      <c r="I25488" s="12"/>
      <c r="J25488" s="12"/>
      <c r="K25488" s="12"/>
      <c r="L25488" s="12"/>
      <c r="M25488" s="11"/>
      <c r="N25488" s="11"/>
      <c r="O25488" s="11"/>
      <c r="P25488" s="11"/>
    </row>
    <row r="25489" spans="8:16" x14ac:dyDescent="0.25">
      <c r="H25489" s="12"/>
      <c r="I25489" s="12"/>
      <c r="J25489" s="12"/>
      <c r="K25489" s="12"/>
      <c r="L25489" s="12"/>
      <c r="M25489" s="11"/>
      <c r="N25489" s="11"/>
      <c r="O25489" s="11"/>
      <c r="P25489" s="11"/>
    </row>
    <row r="25490" spans="8:16" x14ac:dyDescent="0.25">
      <c r="H25490" s="12"/>
      <c r="I25490" s="12"/>
      <c r="J25490" s="12"/>
      <c r="K25490" s="12"/>
      <c r="L25490" s="12"/>
      <c r="M25490" s="11"/>
      <c r="N25490" s="11"/>
      <c r="O25490" s="11"/>
      <c r="P25490" s="11"/>
    </row>
    <row r="25491" spans="8:16" x14ac:dyDescent="0.25">
      <c r="H25491" s="12"/>
      <c r="I25491" s="12"/>
      <c r="J25491" s="12"/>
      <c r="K25491" s="12"/>
      <c r="L25491" s="12"/>
      <c r="M25491" s="11"/>
      <c r="N25491" s="11"/>
      <c r="O25491" s="11"/>
      <c r="P25491" s="11"/>
    </row>
    <row r="25492" spans="8:16" x14ac:dyDescent="0.25">
      <c r="H25492" s="12"/>
      <c r="I25492" s="12"/>
      <c r="J25492" s="12"/>
      <c r="K25492" s="12"/>
      <c r="L25492" s="12"/>
      <c r="M25492" s="11"/>
      <c r="N25492" s="11"/>
      <c r="O25492" s="11"/>
      <c r="P25492" s="11"/>
    </row>
    <row r="25493" spans="8:16" x14ac:dyDescent="0.25">
      <c r="H25493" s="12"/>
      <c r="I25493" s="12"/>
      <c r="J25493" s="12"/>
      <c r="K25493" s="12"/>
      <c r="L25493" s="12"/>
      <c r="M25493" s="11"/>
      <c r="N25493" s="11"/>
      <c r="O25493" s="11"/>
      <c r="P25493" s="11"/>
    </row>
    <row r="25494" spans="8:16" x14ac:dyDescent="0.25">
      <c r="H25494" s="12"/>
      <c r="I25494" s="12"/>
      <c r="J25494" s="12"/>
      <c r="K25494" s="12"/>
      <c r="L25494" s="12"/>
      <c r="M25494" s="11"/>
      <c r="N25494" s="11"/>
      <c r="O25494" s="11"/>
      <c r="P25494" s="11"/>
    </row>
    <row r="25495" spans="8:16" x14ac:dyDescent="0.25">
      <c r="H25495" s="12"/>
      <c r="I25495" s="12"/>
      <c r="J25495" s="12"/>
      <c r="K25495" s="12"/>
      <c r="L25495" s="12"/>
      <c r="M25495" s="11"/>
      <c r="N25495" s="11"/>
      <c r="O25495" s="11"/>
      <c r="P25495" s="11"/>
    </row>
    <row r="25496" spans="8:16" x14ac:dyDescent="0.25">
      <c r="H25496" s="12"/>
      <c r="I25496" s="12"/>
      <c r="J25496" s="12"/>
      <c r="K25496" s="12"/>
      <c r="L25496" s="12"/>
      <c r="M25496" s="11"/>
      <c r="N25496" s="11"/>
      <c r="O25496" s="11"/>
      <c r="P25496" s="11"/>
    </row>
    <row r="25497" spans="8:16" x14ac:dyDescent="0.25">
      <c r="H25497" s="12"/>
      <c r="I25497" s="12"/>
      <c r="J25497" s="12"/>
      <c r="K25497" s="12"/>
      <c r="L25497" s="12"/>
      <c r="M25497" s="11"/>
      <c r="N25497" s="11"/>
      <c r="O25497" s="11"/>
      <c r="P25497" s="11"/>
    </row>
    <row r="25498" spans="8:16" x14ac:dyDescent="0.25">
      <c r="H25498" s="12"/>
      <c r="I25498" s="12"/>
      <c r="J25498" s="12"/>
      <c r="K25498" s="12"/>
      <c r="L25498" s="12"/>
      <c r="M25498" s="11"/>
      <c r="N25498" s="11"/>
      <c r="O25498" s="11"/>
      <c r="P25498" s="11"/>
    </row>
    <row r="25499" spans="8:16" x14ac:dyDescent="0.25">
      <c r="H25499" s="12"/>
      <c r="I25499" s="12"/>
      <c r="J25499" s="12"/>
      <c r="K25499" s="12"/>
      <c r="L25499" s="12"/>
      <c r="M25499" s="11"/>
      <c r="N25499" s="11"/>
      <c r="O25499" s="11"/>
      <c r="P25499" s="11"/>
    </row>
    <row r="25500" spans="8:16" x14ac:dyDescent="0.25">
      <c r="H25500" s="12"/>
      <c r="I25500" s="12"/>
      <c r="J25500" s="12"/>
      <c r="K25500" s="12"/>
      <c r="L25500" s="12"/>
      <c r="M25500" s="11"/>
      <c r="N25500" s="11"/>
      <c r="O25500" s="11"/>
      <c r="P25500" s="11"/>
    </row>
    <row r="25501" spans="8:16" x14ac:dyDescent="0.25">
      <c r="H25501" s="12"/>
      <c r="I25501" s="12"/>
      <c r="J25501" s="12"/>
      <c r="K25501" s="12"/>
      <c r="L25501" s="12"/>
      <c r="M25501" s="11"/>
      <c r="N25501" s="11"/>
      <c r="O25501" s="11"/>
      <c r="P25501" s="11"/>
    </row>
    <row r="25502" spans="8:16" x14ac:dyDescent="0.25">
      <c r="H25502" s="12"/>
      <c r="I25502" s="12"/>
      <c r="J25502" s="12"/>
      <c r="K25502" s="12"/>
      <c r="L25502" s="12"/>
      <c r="M25502" s="11"/>
      <c r="N25502" s="11"/>
      <c r="O25502" s="11"/>
      <c r="P25502" s="11"/>
    </row>
    <row r="25503" spans="8:16" x14ac:dyDescent="0.25">
      <c r="H25503" s="12"/>
      <c r="I25503" s="12"/>
      <c r="J25503" s="12"/>
      <c r="K25503" s="12"/>
      <c r="L25503" s="12"/>
      <c r="M25503" s="11"/>
      <c r="N25503" s="11"/>
      <c r="O25503" s="11"/>
      <c r="P25503" s="11"/>
    </row>
    <row r="25504" spans="8:16" x14ac:dyDescent="0.25">
      <c r="H25504" s="12"/>
      <c r="I25504" s="12"/>
      <c r="J25504" s="12"/>
      <c r="K25504" s="12"/>
      <c r="L25504" s="12"/>
      <c r="M25504" s="11"/>
      <c r="N25504" s="11"/>
      <c r="O25504" s="11"/>
      <c r="P25504" s="11"/>
    </row>
    <row r="25505" spans="8:16" x14ac:dyDescent="0.25">
      <c r="H25505" s="12"/>
      <c r="I25505" s="12"/>
      <c r="J25505" s="12"/>
      <c r="K25505" s="12"/>
      <c r="L25505" s="12"/>
      <c r="M25505" s="11"/>
      <c r="N25505" s="11"/>
      <c r="O25505" s="11"/>
      <c r="P25505" s="11"/>
    </row>
    <row r="25506" spans="8:16" x14ac:dyDescent="0.25">
      <c r="H25506" s="12"/>
      <c r="I25506" s="12"/>
      <c r="J25506" s="12"/>
      <c r="K25506" s="12"/>
      <c r="L25506" s="12"/>
      <c r="M25506" s="11"/>
      <c r="N25506" s="11"/>
      <c r="O25506" s="11"/>
      <c r="P25506" s="11"/>
    </row>
    <row r="25507" spans="8:16" x14ac:dyDescent="0.25">
      <c r="H25507" s="12"/>
      <c r="I25507" s="12"/>
      <c r="J25507" s="12"/>
      <c r="K25507" s="12"/>
      <c r="L25507" s="12"/>
      <c r="M25507" s="11"/>
      <c r="N25507" s="11"/>
      <c r="O25507" s="11"/>
      <c r="P25507" s="11"/>
    </row>
    <row r="25508" spans="8:16" x14ac:dyDescent="0.25">
      <c r="H25508" s="12"/>
      <c r="I25508" s="12"/>
      <c r="J25508" s="12"/>
      <c r="K25508" s="12"/>
      <c r="L25508" s="12"/>
      <c r="M25508" s="11"/>
      <c r="N25508" s="11"/>
      <c r="O25508" s="11"/>
      <c r="P25508" s="11"/>
    </row>
    <row r="25509" spans="8:16" x14ac:dyDescent="0.25">
      <c r="H25509" s="12"/>
      <c r="I25509" s="12"/>
      <c r="J25509" s="12"/>
      <c r="K25509" s="12"/>
      <c r="L25509" s="12"/>
      <c r="M25509" s="11"/>
      <c r="N25509" s="11"/>
      <c r="O25509" s="11"/>
      <c r="P25509" s="11"/>
    </row>
    <row r="25510" spans="8:16" x14ac:dyDescent="0.25">
      <c r="H25510" s="12"/>
      <c r="I25510" s="12"/>
      <c r="J25510" s="12"/>
      <c r="K25510" s="12"/>
      <c r="L25510" s="12"/>
      <c r="M25510" s="11"/>
      <c r="N25510" s="11"/>
      <c r="O25510" s="11"/>
      <c r="P25510" s="11"/>
    </row>
    <row r="25511" spans="8:16" x14ac:dyDescent="0.25">
      <c r="H25511" s="12"/>
      <c r="I25511" s="12"/>
      <c r="J25511" s="12"/>
      <c r="K25511" s="12"/>
      <c r="L25511" s="12"/>
      <c r="M25511" s="11"/>
      <c r="N25511" s="11"/>
      <c r="O25511" s="11"/>
      <c r="P25511" s="11"/>
    </row>
    <row r="25512" spans="8:16" x14ac:dyDescent="0.25">
      <c r="H25512" s="12"/>
      <c r="I25512" s="12"/>
      <c r="J25512" s="12"/>
      <c r="K25512" s="12"/>
      <c r="L25512" s="12"/>
      <c r="M25512" s="11"/>
      <c r="N25512" s="11"/>
      <c r="O25512" s="11"/>
      <c r="P25512" s="11"/>
    </row>
    <row r="25513" spans="8:16" x14ac:dyDescent="0.25">
      <c r="H25513" s="12"/>
      <c r="I25513" s="12"/>
      <c r="J25513" s="12"/>
      <c r="K25513" s="12"/>
      <c r="L25513" s="12"/>
      <c r="M25513" s="11"/>
      <c r="N25513" s="11"/>
      <c r="O25513" s="11"/>
      <c r="P25513" s="11"/>
    </row>
    <row r="25514" spans="8:16" x14ac:dyDescent="0.25">
      <c r="H25514" s="12"/>
      <c r="I25514" s="12"/>
      <c r="J25514" s="12"/>
      <c r="K25514" s="12"/>
      <c r="L25514" s="12"/>
      <c r="M25514" s="11"/>
      <c r="N25514" s="11"/>
      <c r="O25514" s="11"/>
      <c r="P25514" s="11"/>
    </row>
    <row r="25515" spans="8:16" x14ac:dyDescent="0.25">
      <c r="H25515" s="12"/>
      <c r="I25515" s="12"/>
      <c r="J25515" s="12"/>
      <c r="K25515" s="12"/>
      <c r="L25515" s="12"/>
      <c r="M25515" s="11"/>
      <c r="N25515" s="11"/>
      <c r="O25515" s="11"/>
      <c r="P25515" s="11"/>
    </row>
    <row r="25516" spans="8:16" x14ac:dyDescent="0.25">
      <c r="H25516" s="12"/>
      <c r="I25516" s="12"/>
      <c r="J25516" s="12"/>
      <c r="K25516" s="12"/>
      <c r="L25516" s="12"/>
      <c r="M25516" s="11"/>
      <c r="N25516" s="11"/>
      <c r="O25516" s="11"/>
      <c r="P25516" s="11"/>
    </row>
    <row r="25517" spans="8:16" x14ac:dyDescent="0.25">
      <c r="H25517" s="12"/>
      <c r="I25517" s="12"/>
      <c r="J25517" s="12"/>
      <c r="K25517" s="12"/>
      <c r="L25517" s="12"/>
      <c r="M25517" s="11"/>
      <c r="N25517" s="11"/>
      <c r="O25517" s="11"/>
      <c r="P25517" s="11"/>
    </row>
    <row r="25518" spans="8:16" x14ac:dyDescent="0.25">
      <c r="H25518" s="12"/>
      <c r="I25518" s="12"/>
      <c r="J25518" s="12"/>
      <c r="K25518" s="12"/>
      <c r="L25518" s="12"/>
      <c r="M25518" s="11"/>
      <c r="N25518" s="11"/>
      <c r="O25518" s="11"/>
      <c r="P25518" s="11"/>
    </row>
    <row r="25519" spans="8:16" x14ac:dyDescent="0.25">
      <c r="H25519" s="12"/>
      <c r="I25519" s="12"/>
      <c r="J25519" s="12"/>
      <c r="K25519" s="12"/>
      <c r="L25519" s="12"/>
      <c r="M25519" s="11"/>
      <c r="N25519" s="11"/>
      <c r="O25519" s="11"/>
      <c r="P25519" s="11"/>
    </row>
    <row r="25520" spans="8:16" x14ac:dyDescent="0.25">
      <c r="H25520" s="12"/>
      <c r="I25520" s="12"/>
      <c r="J25520" s="12"/>
      <c r="K25520" s="12"/>
      <c r="L25520" s="12"/>
      <c r="M25520" s="11"/>
      <c r="N25520" s="11"/>
      <c r="O25520" s="11"/>
      <c r="P25520" s="11"/>
    </row>
    <row r="25521" spans="8:16" x14ac:dyDescent="0.25">
      <c r="H25521" s="12"/>
      <c r="I25521" s="12"/>
      <c r="J25521" s="12"/>
      <c r="K25521" s="12"/>
      <c r="L25521" s="12"/>
      <c r="M25521" s="11"/>
      <c r="N25521" s="11"/>
      <c r="O25521" s="11"/>
      <c r="P25521" s="11"/>
    </row>
    <row r="25522" spans="8:16" x14ac:dyDescent="0.25">
      <c r="H25522" s="12"/>
      <c r="I25522" s="12"/>
      <c r="J25522" s="12"/>
      <c r="K25522" s="12"/>
      <c r="L25522" s="12"/>
      <c r="M25522" s="11"/>
      <c r="N25522" s="11"/>
      <c r="O25522" s="11"/>
      <c r="P25522" s="11"/>
    </row>
    <row r="25523" spans="8:16" x14ac:dyDescent="0.25">
      <c r="H25523" s="12"/>
      <c r="I25523" s="12"/>
      <c r="J25523" s="12"/>
      <c r="K25523" s="12"/>
      <c r="L25523" s="12"/>
      <c r="M25523" s="11"/>
      <c r="N25523" s="11"/>
      <c r="O25523" s="11"/>
      <c r="P25523" s="11"/>
    </row>
    <row r="25524" spans="8:16" x14ac:dyDescent="0.25">
      <c r="H25524" s="12"/>
      <c r="I25524" s="12"/>
      <c r="J25524" s="12"/>
      <c r="K25524" s="12"/>
      <c r="L25524" s="12"/>
      <c r="M25524" s="11"/>
      <c r="N25524" s="11"/>
      <c r="O25524" s="11"/>
      <c r="P25524" s="11"/>
    </row>
    <row r="25525" spans="8:16" x14ac:dyDescent="0.25">
      <c r="H25525" s="12"/>
      <c r="I25525" s="12"/>
      <c r="J25525" s="12"/>
      <c r="K25525" s="12"/>
      <c r="L25525" s="12"/>
      <c r="M25525" s="11"/>
      <c r="N25525" s="11"/>
      <c r="O25525" s="11"/>
      <c r="P25525" s="11"/>
    </row>
    <row r="25526" spans="8:16" x14ac:dyDescent="0.25">
      <c r="H25526" s="12"/>
      <c r="I25526" s="12"/>
      <c r="J25526" s="12"/>
      <c r="K25526" s="12"/>
      <c r="L25526" s="12"/>
      <c r="M25526" s="11"/>
      <c r="N25526" s="11"/>
      <c r="O25526" s="11"/>
      <c r="P25526" s="11"/>
    </row>
    <row r="25527" spans="8:16" x14ac:dyDescent="0.25">
      <c r="H25527" s="12"/>
      <c r="I25527" s="12"/>
      <c r="J25527" s="12"/>
      <c r="K25527" s="12"/>
      <c r="L25527" s="12"/>
      <c r="M25527" s="11"/>
      <c r="N25527" s="11"/>
      <c r="O25527" s="11"/>
      <c r="P25527" s="11"/>
    </row>
    <row r="25528" spans="8:16" x14ac:dyDescent="0.25">
      <c r="H25528" s="12"/>
      <c r="I25528" s="12"/>
      <c r="J25528" s="12"/>
      <c r="K25528" s="12"/>
      <c r="L25528" s="12"/>
      <c r="M25528" s="11"/>
      <c r="N25528" s="11"/>
      <c r="O25528" s="11"/>
      <c r="P25528" s="11"/>
    </row>
    <row r="25529" spans="8:16" x14ac:dyDescent="0.25">
      <c r="H25529" s="12"/>
      <c r="I25529" s="12"/>
      <c r="J25529" s="12"/>
      <c r="K25529" s="12"/>
      <c r="L25529" s="12"/>
      <c r="M25529" s="11"/>
      <c r="N25529" s="11"/>
      <c r="O25529" s="11"/>
      <c r="P25529" s="11"/>
    </row>
    <row r="25530" spans="8:16" x14ac:dyDescent="0.25">
      <c r="H25530" s="12"/>
      <c r="I25530" s="12"/>
      <c r="J25530" s="12"/>
      <c r="K25530" s="12"/>
      <c r="L25530" s="12"/>
      <c r="M25530" s="11"/>
      <c r="N25530" s="11"/>
      <c r="O25530" s="11"/>
      <c r="P25530" s="11"/>
    </row>
    <row r="25531" spans="8:16" x14ac:dyDescent="0.25">
      <c r="H25531" s="12"/>
      <c r="I25531" s="12"/>
      <c r="J25531" s="12"/>
      <c r="K25531" s="12"/>
      <c r="L25531" s="12"/>
      <c r="M25531" s="11"/>
      <c r="N25531" s="11"/>
      <c r="O25531" s="11"/>
      <c r="P25531" s="11"/>
    </row>
    <row r="25532" spans="8:16" x14ac:dyDescent="0.25">
      <c r="H25532" s="12"/>
      <c r="I25532" s="12"/>
      <c r="J25532" s="12"/>
      <c r="K25532" s="12"/>
      <c r="L25532" s="12"/>
      <c r="M25532" s="11"/>
      <c r="N25532" s="11"/>
      <c r="O25532" s="11"/>
      <c r="P25532" s="11"/>
    </row>
    <row r="25533" spans="8:16" x14ac:dyDescent="0.25">
      <c r="H25533" s="12"/>
      <c r="I25533" s="12"/>
      <c r="J25533" s="12"/>
      <c r="K25533" s="12"/>
      <c r="L25533" s="12"/>
      <c r="M25533" s="11"/>
      <c r="N25533" s="11"/>
      <c r="O25533" s="11"/>
      <c r="P25533" s="11"/>
    </row>
    <row r="25534" spans="8:16" x14ac:dyDescent="0.25">
      <c r="H25534" s="12"/>
      <c r="I25534" s="12"/>
      <c r="J25534" s="12"/>
      <c r="K25534" s="12"/>
      <c r="L25534" s="12"/>
      <c r="M25534" s="11"/>
      <c r="N25534" s="11"/>
      <c r="O25534" s="11"/>
      <c r="P25534" s="11"/>
    </row>
    <row r="25535" spans="8:16" x14ac:dyDescent="0.25">
      <c r="H25535" s="12"/>
      <c r="I25535" s="12"/>
      <c r="J25535" s="12"/>
      <c r="K25535" s="12"/>
      <c r="L25535" s="12"/>
      <c r="M25535" s="11"/>
      <c r="N25535" s="11"/>
      <c r="O25535" s="11"/>
      <c r="P25535" s="11"/>
    </row>
    <row r="25536" spans="8:16" x14ac:dyDescent="0.25">
      <c r="H25536" s="12"/>
      <c r="I25536" s="12"/>
      <c r="J25536" s="12"/>
      <c r="K25536" s="12"/>
      <c r="L25536" s="12"/>
      <c r="M25536" s="11"/>
      <c r="N25536" s="11"/>
      <c r="O25536" s="11"/>
      <c r="P25536" s="11"/>
    </row>
    <row r="25537" spans="8:16" x14ac:dyDescent="0.25">
      <c r="H25537" s="12"/>
      <c r="I25537" s="12"/>
      <c r="J25537" s="12"/>
      <c r="K25537" s="12"/>
      <c r="L25537" s="12"/>
      <c r="M25537" s="11"/>
      <c r="N25537" s="11"/>
      <c r="O25537" s="11"/>
      <c r="P25537" s="11"/>
    </row>
    <row r="25538" spans="8:16" x14ac:dyDescent="0.25">
      <c r="H25538" s="12"/>
      <c r="I25538" s="12"/>
      <c r="J25538" s="12"/>
      <c r="K25538" s="12"/>
      <c r="L25538" s="12"/>
      <c r="M25538" s="11"/>
      <c r="N25538" s="11"/>
      <c r="O25538" s="11"/>
      <c r="P25538" s="11"/>
    </row>
    <row r="25539" spans="8:16" x14ac:dyDescent="0.25">
      <c r="H25539" s="12"/>
      <c r="I25539" s="12"/>
      <c r="J25539" s="12"/>
      <c r="K25539" s="12"/>
      <c r="L25539" s="12"/>
      <c r="M25539" s="11"/>
      <c r="N25539" s="11"/>
      <c r="O25539" s="11"/>
      <c r="P25539" s="11"/>
    </row>
    <row r="25540" spans="8:16" x14ac:dyDescent="0.25">
      <c r="H25540" s="12"/>
      <c r="I25540" s="12"/>
      <c r="J25540" s="12"/>
      <c r="K25540" s="12"/>
      <c r="L25540" s="12"/>
      <c r="M25540" s="11"/>
      <c r="N25540" s="11"/>
      <c r="O25540" s="11"/>
      <c r="P25540" s="11"/>
    </row>
    <row r="25541" spans="8:16" x14ac:dyDescent="0.25">
      <c r="H25541" s="12"/>
      <c r="I25541" s="12"/>
      <c r="J25541" s="12"/>
      <c r="K25541" s="12"/>
      <c r="L25541" s="12"/>
      <c r="M25541" s="11"/>
      <c r="N25541" s="11"/>
      <c r="O25541" s="11"/>
      <c r="P25541" s="11"/>
    </row>
    <row r="25542" spans="8:16" x14ac:dyDescent="0.25">
      <c r="H25542" s="12"/>
      <c r="I25542" s="12"/>
      <c r="J25542" s="12"/>
      <c r="K25542" s="12"/>
      <c r="L25542" s="12"/>
      <c r="M25542" s="11"/>
      <c r="N25542" s="11"/>
      <c r="O25542" s="11"/>
      <c r="P25542" s="11"/>
    </row>
    <row r="25543" spans="8:16" x14ac:dyDescent="0.25">
      <c r="H25543" s="12"/>
      <c r="I25543" s="12"/>
      <c r="J25543" s="12"/>
      <c r="K25543" s="12"/>
      <c r="L25543" s="12"/>
      <c r="M25543" s="11"/>
      <c r="N25543" s="11"/>
      <c r="O25543" s="11"/>
      <c r="P25543" s="11"/>
    </row>
    <row r="25544" spans="8:16" x14ac:dyDescent="0.25">
      <c r="H25544" s="12"/>
      <c r="I25544" s="12"/>
      <c r="J25544" s="12"/>
      <c r="K25544" s="12"/>
      <c r="L25544" s="12"/>
      <c r="M25544" s="11"/>
      <c r="N25544" s="11"/>
      <c r="O25544" s="11"/>
      <c r="P25544" s="11"/>
    </row>
    <row r="25545" spans="8:16" x14ac:dyDescent="0.25">
      <c r="H25545" s="12"/>
      <c r="I25545" s="12"/>
      <c r="J25545" s="12"/>
      <c r="K25545" s="12"/>
      <c r="L25545" s="12"/>
      <c r="M25545" s="11"/>
      <c r="N25545" s="11"/>
      <c r="O25545" s="11"/>
      <c r="P25545" s="11"/>
    </row>
    <row r="25546" spans="8:16" x14ac:dyDescent="0.25">
      <c r="H25546" s="12"/>
      <c r="I25546" s="12"/>
      <c r="J25546" s="12"/>
      <c r="K25546" s="12"/>
      <c r="L25546" s="12"/>
      <c r="M25546" s="11"/>
      <c r="N25546" s="11"/>
      <c r="O25546" s="11"/>
      <c r="P25546" s="11"/>
    </row>
    <row r="25547" spans="8:16" x14ac:dyDescent="0.25">
      <c r="H25547" s="12"/>
      <c r="I25547" s="12"/>
      <c r="J25547" s="12"/>
      <c r="K25547" s="12"/>
      <c r="L25547" s="12"/>
      <c r="M25547" s="11"/>
      <c r="N25547" s="11"/>
      <c r="O25547" s="11"/>
      <c r="P25547" s="11"/>
    </row>
    <row r="25548" spans="8:16" x14ac:dyDescent="0.25">
      <c r="H25548" s="12"/>
      <c r="I25548" s="12"/>
      <c r="J25548" s="12"/>
      <c r="K25548" s="12"/>
      <c r="L25548" s="12"/>
      <c r="M25548" s="11"/>
      <c r="N25548" s="11"/>
      <c r="O25548" s="11"/>
      <c r="P25548" s="11"/>
    </row>
    <row r="25549" spans="8:16" x14ac:dyDescent="0.25">
      <c r="H25549" s="12"/>
      <c r="I25549" s="12"/>
      <c r="J25549" s="12"/>
      <c r="K25549" s="12"/>
      <c r="L25549" s="12"/>
      <c r="M25549" s="11"/>
      <c r="N25549" s="11"/>
      <c r="O25549" s="11"/>
      <c r="P25549" s="11"/>
    </row>
    <row r="25550" spans="8:16" x14ac:dyDescent="0.25">
      <c r="H25550" s="12"/>
      <c r="I25550" s="12"/>
      <c r="J25550" s="12"/>
      <c r="K25550" s="12"/>
      <c r="L25550" s="12"/>
      <c r="M25550" s="11"/>
      <c r="N25550" s="11"/>
      <c r="O25550" s="11"/>
      <c r="P25550" s="11"/>
    </row>
    <row r="25551" spans="8:16" x14ac:dyDescent="0.25">
      <c r="H25551" s="12"/>
      <c r="I25551" s="12"/>
      <c r="J25551" s="12"/>
      <c r="K25551" s="12"/>
      <c r="L25551" s="12"/>
      <c r="M25551" s="11"/>
      <c r="N25551" s="11"/>
      <c r="O25551" s="11"/>
      <c r="P25551" s="11"/>
    </row>
    <row r="25552" spans="8:16" x14ac:dyDescent="0.25">
      <c r="H25552" s="12"/>
      <c r="I25552" s="12"/>
      <c r="J25552" s="12"/>
      <c r="K25552" s="12"/>
      <c r="L25552" s="12"/>
      <c r="M25552" s="11"/>
      <c r="N25552" s="11"/>
      <c r="O25552" s="11"/>
      <c r="P25552" s="11"/>
    </row>
    <row r="25553" spans="8:16" x14ac:dyDescent="0.25">
      <c r="H25553" s="12"/>
      <c r="I25553" s="12"/>
      <c r="J25553" s="12"/>
      <c r="K25553" s="12"/>
      <c r="L25553" s="12"/>
      <c r="M25553" s="11"/>
      <c r="N25553" s="11"/>
      <c r="O25553" s="11"/>
      <c r="P25553" s="11"/>
    </row>
    <row r="25554" spans="8:16" x14ac:dyDescent="0.25">
      <c r="H25554" s="12"/>
      <c r="I25554" s="12"/>
      <c r="J25554" s="12"/>
      <c r="K25554" s="12"/>
      <c r="L25554" s="12"/>
      <c r="M25554" s="11"/>
      <c r="N25554" s="11"/>
      <c r="O25554" s="11"/>
      <c r="P25554" s="11"/>
    </row>
    <row r="25555" spans="8:16" x14ac:dyDescent="0.25">
      <c r="H25555" s="12"/>
      <c r="I25555" s="12"/>
      <c r="J25555" s="12"/>
      <c r="K25555" s="12"/>
      <c r="L25555" s="12"/>
      <c r="M25555" s="11"/>
      <c r="N25555" s="11"/>
      <c r="O25555" s="11"/>
      <c r="P25555" s="11"/>
    </row>
    <row r="25556" spans="8:16" x14ac:dyDescent="0.25">
      <c r="H25556" s="12"/>
      <c r="I25556" s="12"/>
      <c r="J25556" s="12"/>
      <c r="K25556" s="12"/>
      <c r="L25556" s="12"/>
      <c r="M25556" s="11"/>
      <c r="N25556" s="11"/>
      <c r="O25556" s="11"/>
      <c r="P25556" s="11"/>
    </row>
    <row r="25557" spans="8:16" x14ac:dyDescent="0.25">
      <c r="H25557" s="12"/>
      <c r="I25557" s="12"/>
      <c r="J25557" s="12"/>
      <c r="K25557" s="12"/>
      <c r="L25557" s="12"/>
      <c r="M25557" s="11"/>
      <c r="N25557" s="11"/>
      <c r="O25557" s="11"/>
      <c r="P25557" s="11"/>
    </row>
    <row r="25558" spans="8:16" x14ac:dyDescent="0.25">
      <c r="H25558" s="12"/>
      <c r="I25558" s="12"/>
      <c r="J25558" s="12"/>
      <c r="K25558" s="12"/>
      <c r="L25558" s="12"/>
      <c r="M25558" s="11"/>
      <c r="N25558" s="11"/>
      <c r="O25558" s="11"/>
      <c r="P25558" s="11"/>
    </row>
    <row r="25559" spans="8:16" x14ac:dyDescent="0.25">
      <c r="H25559" s="12"/>
      <c r="I25559" s="12"/>
      <c r="J25559" s="12"/>
      <c r="K25559" s="12"/>
      <c r="L25559" s="12"/>
      <c r="M25559" s="11"/>
      <c r="N25559" s="11"/>
      <c r="O25559" s="11"/>
      <c r="P25559" s="11"/>
    </row>
    <row r="25560" spans="8:16" x14ac:dyDescent="0.25">
      <c r="H25560" s="12"/>
      <c r="I25560" s="12"/>
      <c r="J25560" s="12"/>
      <c r="K25560" s="12"/>
      <c r="L25560" s="12"/>
      <c r="M25560" s="11"/>
      <c r="N25560" s="11"/>
      <c r="O25560" s="11"/>
      <c r="P25560" s="11"/>
    </row>
    <row r="25561" spans="8:16" x14ac:dyDescent="0.25">
      <c r="H25561" s="12"/>
      <c r="I25561" s="12"/>
      <c r="J25561" s="12"/>
      <c r="K25561" s="12"/>
      <c r="L25561" s="12"/>
      <c r="M25561" s="11"/>
      <c r="N25561" s="11"/>
      <c r="O25561" s="11"/>
      <c r="P25561" s="11"/>
    </row>
    <row r="25562" spans="8:16" x14ac:dyDescent="0.25">
      <c r="H25562" s="12"/>
      <c r="I25562" s="12"/>
      <c r="J25562" s="12"/>
      <c r="K25562" s="12"/>
      <c r="L25562" s="12"/>
      <c r="M25562" s="11"/>
      <c r="N25562" s="11"/>
      <c r="O25562" s="11"/>
      <c r="P25562" s="11"/>
    </row>
    <row r="25563" spans="8:16" x14ac:dyDescent="0.25">
      <c r="H25563" s="12"/>
      <c r="I25563" s="12"/>
      <c r="J25563" s="12"/>
      <c r="K25563" s="12"/>
      <c r="L25563" s="12"/>
      <c r="M25563" s="11"/>
      <c r="N25563" s="11"/>
      <c r="O25563" s="11"/>
      <c r="P25563" s="11"/>
    </row>
    <row r="25564" spans="8:16" x14ac:dyDescent="0.25">
      <c r="H25564" s="12"/>
      <c r="I25564" s="12"/>
      <c r="J25564" s="12"/>
      <c r="K25564" s="12"/>
      <c r="L25564" s="12"/>
      <c r="M25564" s="11"/>
      <c r="N25564" s="11"/>
      <c r="O25564" s="11"/>
      <c r="P25564" s="11"/>
    </row>
    <row r="25565" spans="8:16" x14ac:dyDescent="0.25">
      <c r="H25565" s="12"/>
      <c r="I25565" s="12"/>
      <c r="J25565" s="12"/>
      <c r="K25565" s="12"/>
      <c r="L25565" s="12"/>
      <c r="M25565" s="11"/>
      <c r="N25565" s="11"/>
      <c r="O25565" s="11"/>
      <c r="P25565" s="11"/>
    </row>
    <row r="25566" spans="8:16" x14ac:dyDescent="0.25">
      <c r="H25566" s="12"/>
      <c r="I25566" s="12"/>
      <c r="J25566" s="12"/>
      <c r="K25566" s="12"/>
      <c r="L25566" s="12"/>
      <c r="M25566" s="11"/>
      <c r="N25566" s="11"/>
      <c r="O25566" s="11"/>
      <c r="P25566" s="11"/>
    </row>
    <row r="25567" spans="8:16" x14ac:dyDescent="0.25">
      <c r="H25567" s="12"/>
      <c r="I25567" s="12"/>
      <c r="J25567" s="12"/>
      <c r="K25567" s="12"/>
      <c r="L25567" s="12"/>
      <c r="M25567" s="11"/>
      <c r="N25567" s="11"/>
      <c r="O25567" s="11"/>
      <c r="P25567" s="11"/>
    </row>
    <row r="25568" spans="8:16" x14ac:dyDescent="0.25">
      <c r="H25568" s="12"/>
      <c r="I25568" s="12"/>
      <c r="J25568" s="12"/>
      <c r="K25568" s="12"/>
      <c r="L25568" s="12"/>
      <c r="M25568" s="11"/>
      <c r="N25568" s="11"/>
      <c r="O25568" s="11"/>
      <c r="P25568" s="11"/>
    </row>
    <row r="25569" spans="8:16" x14ac:dyDescent="0.25">
      <c r="H25569" s="12"/>
      <c r="I25569" s="12"/>
      <c r="J25569" s="12"/>
      <c r="K25569" s="12"/>
      <c r="L25569" s="12"/>
      <c r="M25569" s="11"/>
      <c r="N25569" s="11"/>
      <c r="O25569" s="11"/>
      <c r="P25569" s="11"/>
    </row>
    <row r="25570" spans="8:16" x14ac:dyDescent="0.25">
      <c r="H25570" s="12"/>
      <c r="I25570" s="12"/>
      <c r="J25570" s="12"/>
      <c r="K25570" s="12"/>
      <c r="L25570" s="12"/>
      <c r="M25570" s="11"/>
      <c r="N25570" s="11"/>
      <c r="O25570" s="11"/>
      <c r="P25570" s="11"/>
    </row>
    <row r="25571" spans="8:16" x14ac:dyDescent="0.25">
      <c r="H25571" s="12"/>
      <c r="I25571" s="12"/>
      <c r="J25571" s="12"/>
      <c r="K25571" s="12"/>
      <c r="L25571" s="12"/>
      <c r="M25571" s="11"/>
      <c r="N25571" s="11"/>
      <c r="O25571" s="11"/>
      <c r="P25571" s="11"/>
    </row>
    <row r="25572" spans="8:16" x14ac:dyDescent="0.25">
      <c r="H25572" s="12"/>
      <c r="I25572" s="12"/>
      <c r="J25572" s="12"/>
      <c r="K25572" s="12"/>
      <c r="L25572" s="12"/>
      <c r="M25572" s="11"/>
      <c r="N25572" s="11"/>
      <c r="O25572" s="11"/>
      <c r="P25572" s="11"/>
    </row>
    <row r="25573" spans="8:16" x14ac:dyDescent="0.25">
      <c r="H25573" s="12"/>
      <c r="I25573" s="12"/>
      <c r="J25573" s="12"/>
      <c r="K25573" s="12"/>
      <c r="L25573" s="12"/>
      <c r="M25573" s="11"/>
      <c r="N25573" s="11"/>
      <c r="O25573" s="11"/>
      <c r="P25573" s="11"/>
    </row>
    <row r="25574" spans="8:16" x14ac:dyDescent="0.25">
      <c r="H25574" s="12"/>
      <c r="I25574" s="12"/>
      <c r="J25574" s="12"/>
      <c r="K25574" s="12"/>
      <c r="L25574" s="12"/>
      <c r="M25574" s="11"/>
      <c r="N25574" s="11"/>
      <c r="O25574" s="11"/>
      <c r="P25574" s="11"/>
    </row>
    <row r="25575" spans="8:16" x14ac:dyDescent="0.25">
      <c r="H25575" s="12"/>
      <c r="I25575" s="12"/>
      <c r="J25575" s="12"/>
      <c r="K25575" s="12"/>
      <c r="L25575" s="12"/>
      <c r="M25575" s="11"/>
      <c r="N25575" s="11"/>
      <c r="O25575" s="11"/>
      <c r="P25575" s="11"/>
    </row>
    <row r="25576" spans="8:16" x14ac:dyDescent="0.25">
      <c r="H25576" s="12"/>
      <c r="I25576" s="12"/>
      <c r="J25576" s="12"/>
      <c r="K25576" s="12"/>
      <c r="L25576" s="12"/>
      <c r="M25576" s="11"/>
      <c r="N25576" s="11"/>
      <c r="O25576" s="11"/>
      <c r="P25576" s="11"/>
    </row>
    <row r="25577" spans="8:16" x14ac:dyDescent="0.25">
      <c r="H25577" s="12"/>
      <c r="I25577" s="12"/>
      <c r="J25577" s="12"/>
      <c r="K25577" s="12"/>
      <c r="L25577" s="12"/>
      <c r="M25577" s="11"/>
      <c r="N25577" s="11"/>
      <c r="O25577" s="11"/>
      <c r="P25577" s="11"/>
    </row>
    <row r="25578" spans="8:16" x14ac:dyDescent="0.25">
      <c r="H25578" s="12"/>
      <c r="I25578" s="12"/>
      <c r="J25578" s="12"/>
      <c r="K25578" s="12"/>
      <c r="L25578" s="12"/>
      <c r="M25578" s="11"/>
      <c r="N25578" s="11"/>
      <c r="O25578" s="11"/>
      <c r="P25578" s="11"/>
    </row>
    <row r="25579" spans="8:16" x14ac:dyDescent="0.25">
      <c r="H25579" s="12"/>
      <c r="I25579" s="12"/>
      <c r="J25579" s="12"/>
      <c r="K25579" s="12"/>
      <c r="L25579" s="12"/>
      <c r="M25579" s="11"/>
      <c r="N25579" s="11"/>
      <c r="O25579" s="11"/>
      <c r="P25579" s="11"/>
    </row>
    <row r="25580" spans="8:16" x14ac:dyDescent="0.25">
      <c r="H25580" s="12"/>
      <c r="I25580" s="12"/>
      <c r="J25580" s="12"/>
      <c r="K25580" s="12"/>
      <c r="L25580" s="12"/>
      <c r="M25580" s="11"/>
      <c r="N25580" s="11"/>
      <c r="O25580" s="11"/>
      <c r="P25580" s="11"/>
    </row>
    <row r="25581" spans="8:16" x14ac:dyDescent="0.25">
      <c r="H25581" s="12"/>
      <c r="I25581" s="12"/>
      <c r="J25581" s="12"/>
      <c r="K25581" s="12"/>
      <c r="L25581" s="12"/>
      <c r="M25581" s="11"/>
      <c r="N25581" s="11"/>
      <c r="O25581" s="11"/>
      <c r="P25581" s="11"/>
    </row>
    <row r="25582" spans="8:16" x14ac:dyDescent="0.25">
      <c r="H25582" s="12"/>
      <c r="I25582" s="12"/>
      <c r="J25582" s="12"/>
      <c r="K25582" s="12"/>
      <c r="L25582" s="12"/>
      <c r="M25582" s="11"/>
      <c r="N25582" s="11"/>
      <c r="O25582" s="11"/>
      <c r="P25582" s="11"/>
    </row>
    <row r="25583" spans="8:16" x14ac:dyDescent="0.25">
      <c r="H25583" s="12"/>
      <c r="I25583" s="12"/>
      <c r="J25583" s="12"/>
      <c r="K25583" s="12"/>
      <c r="L25583" s="12"/>
      <c r="M25583" s="11"/>
      <c r="N25583" s="11"/>
      <c r="O25583" s="11"/>
      <c r="P25583" s="11"/>
    </row>
    <row r="25584" spans="8:16" x14ac:dyDescent="0.25">
      <c r="H25584" s="12"/>
      <c r="I25584" s="12"/>
      <c r="J25584" s="12"/>
      <c r="K25584" s="12"/>
      <c r="L25584" s="12"/>
      <c r="M25584" s="11"/>
      <c r="N25584" s="11"/>
      <c r="O25584" s="11"/>
      <c r="P25584" s="11"/>
    </row>
    <row r="25585" spans="8:16" x14ac:dyDescent="0.25">
      <c r="H25585" s="12"/>
      <c r="I25585" s="12"/>
      <c r="J25585" s="12"/>
      <c r="K25585" s="12"/>
      <c r="L25585" s="12"/>
      <c r="M25585" s="11"/>
      <c r="N25585" s="11"/>
      <c r="O25585" s="11"/>
      <c r="P25585" s="11"/>
    </row>
    <row r="25586" spans="8:16" x14ac:dyDescent="0.25">
      <c r="H25586" s="12"/>
      <c r="I25586" s="12"/>
      <c r="J25586" s="12"/>
      <c r="K25586" s="12"/>
      <c r="L25586" s="12"/>
      <c r="M25586" s="11"/>
      <c r="N25586" s="11"/>
      <c r="O25586" s="11"/>
      <c r="P25586" s="11"/>
    </row>
    <row r="25587" spans="8:16" x14ac:dyDescent="0.25">
      <c r="H25587" s="12"/>
      <c r="I25587" s="12"/>
      <c r="J25587" s="12"/>
      <c r="K25587" s="12"/>
      <c r="L25587" s="12"/>
      <c r="M25587" s="11"/>
      <c r="N25587" s="11"/>
      <c r="O25587" s="11"/>
      <c r="P25587" s="11"/>
    </row>
    <row r="25588" spans="8:16" x14ac:dyDescent="0.25">
      <c r="H25588" s="12"/>
      <c r="I25588" s="12"/>
      <c r="J25588" s="12"/>
      <c r="K25588" s="12"/>
      <c r="L25588" s="12"/>
      <c r="M25588" s="11"/>
      <c r="N25588" s="11"/>
      <c r="O25588" s="11"/>
      <c r="P25588" s="11"/>
    </row>
    <row r="25589" spans="8:16" x14ac:dyDescent="0.25">
      <c r="H25589" s="12"/>
      <c r="I25589" s="12"/>
      <c r="J25589" s="12"/>
      <c r="K25589" s="12"/>
      <c r="L25589" s="12"/>
      <c r="M25589" s="11"/>
      <c r="N25589" s="11"/>
      <c r="O25589" s="11"/>
      <c r="P25589" s="11"/>
    </row>
    <row r="25590" spans="8:16" x14ac:dyDescent="0.25">
      <c r="H25590" s="12"/>
      <c r="I25590" s="12"/>
      <c r="J25590" s="12"/>
      <c r="K25590" s="12"/>
      <c r="L25590" s="12"/>
      <c r="M25590" s="11"/>
      <c r="N25590" s="11"/>
      <c r="O25590" s="11"/>
      <c r="P25590" s="11"/>
    </row>
    <row r="25591" spans="8:16" x14ac:dyDescent="0.25">
      <c r="H25591" s="12"/>
      <c r="I25591" s="12"/>
      <c r="J25591" s="12"/>
      <c r="K25591" s="12"/>
      <c r="L25591" s="12"/>
      <c r="M25591" s="11"/>
      <c r="N25591" s="11"/>
      <c r="O25591" s="11"/>
      <c r="P25591" s="11"/>
    </row>
    <row r="25592" spans="8:16" x14ac:dyDescent="0.25">
      <c r="H25592" s="12"/>
      <c r="I25592" s="12"/>
      <c r="J25592" s="12"/>
      <c r="K25592" s="12"/>
      <c r="L25592" s="12"/>
      <c r="M25592" s="11"/>
      <c r="N25592" s="11"/>
      <c r="O25592" s="11"/>
      <c r="P25592" s="11"/>
    </row>
    <row r="25593" spans="8:16" x14ac:dyDescent="0.25">
      <c r="H25593" s="12"/>
      <c r="I25593" s="12"/>
      <c r="J25593" s="12"/>
      <c r="K25593" s="12"/>
      <c r="L25593" s="12"/>
      <c r="M25593" s="11"/>
      <c r="N25593" s="11"/>
      <c r="O25593" s="11"/>
      <c r="P25593" s="11"/>
    </row>
    <row r="25594" spans="8:16" x14ac:dyDescent="0.25">
      <c r="H25594" s="12"/>
      <c r="I25594" s="12"/>
      <c r="J25594" s="12"/>
      <c r="K25594" s="12"/>
      <c r="L25594" s="12"/>
      <c r="M25594" s="11"/>
      <c r="N25594" s="11"/>
      <c r="O25594" s="11"/>
      <c r="P25594" s="11"/>
    </row>
    <row r="25595" spans="8:16" x14ac:dyDescent="0.25">
      <c r="H25595" s="12"/>
      <c r="I25595" s="12"/>
      <c r="J25595" s="12"/>
      <c r="K25595" s="12"/>
      <c r="L25595" s="12"/>
      <c r="M25595" s="11"/>
      <c r="N25595" s="11"/>
      <c r="O25595" s="11"/>
      <c r="P25595" s="11"/>
    </row>
    <row r="25596" spans="8:16" x14ac:dyDescent="0.25">
      <c r="H25596" s="12"/>
      <c r="I25596" s="12"/>
      <c r="J25596" s="12"/>
      <c r="K25596" s="12"/>
      <c r="L25596" s="12"/>
      <c r="M25596" s="11"/>
      <c r="N25596" s="11"/>
      <c r="O25596" s="11"/>
      <c r="P25596" s="11"/>
    </row>
    <row r="25597" spans="8:16" x14ac:dyDescent="0.25">
      <c r="H25597" s="12"/>
      <c r="I25597" s="12"/>
      <c r="J25597" s="12"/>
      <c r="K25597" s="12"/>
      <c r="L25597" s="12"/>
      <c r="M25597" s="11"/>
      <c r="N25597" s="11"/>
      <c r="O25597" s="11"/>
      <c r="P25597" s="11"/>
    </row>
    <row r="25598" spans="8:16" x14ac:dyDescent="0.25">
      <c r="H25598" s="12"/>
      <c r="I25598" s="12"/>
      <c r="J25598" s="12"/>
      <c r="K25598" s="12"/>
      <c r="L25598" s="12"/>
      <c r="M25598" s="11"/>
      <c r="N25598" s="11"/>
      <c r="O25598" s="11"/>
      <c r="P25598" s="11"/>
    </row>
    <row r="25599" spans="8:16" x14ac:dyDescent="0.25">
      <c r="H25599" s="12"/>
      <c r="I25599" s="12"/>
      <c r="J25599" s="12"/>
      <c r="K25599" s="12"/>
      <c r="L25599" s="12"/>
      <c r="M25599" s="11"/>
      <c r="N25599" s="11"/>
      <c r="O25599" s="11"/>
      <c r="P25599" s="11"/>
    </row>
    <row r="25600" spans="8:16" x14ac:dyDescent="0.25">
      <c r="H25600" s="12"/>
      <c r="I25600" s="12"/>
      <c r="J25600" s="12"/>
      <c r="K25600" s="12"/>
      <c r="L25600" s="12"/>
      <c r="M25600" s="11"/>
      <c r="N25600" s="11"/>
      <c r="O25600" s="11"/>
      <c r="P25600" s="11"/>
    </row>
    <row r="25601" spans="8:16" x14ac:dyDescent="0.25">
      <c r="H25601" s="12"/>
      <c r="I25601" s="12"/>
      <c r="J25601" s="12"/>
      <c r="K25601" s="12"/>
      <c r="L25601" s="12"/>
      <c r="M25601" s="11"/>
      <c r="N25601" s="11"/>
      <c r="O25601" s="11"/>
      <c r="P25601" s="11"/>
    </row>
    <row r="25602" spans="8:16" x14ac:dyDescent="0.25">
      <c r="H25602" s="12"/>
      <c r="I25602" s="12"/>
      <c r="J25602" s="12"/>
      <c r="K25602" s="12"/>
      <c r="L25602" s="12"/>
      <c r="M25602" s="11"/>
      <c r="N25602" s="11"/>
      <c r="O25602" s="11"/>
      <c r="P25602" s="11"/>
    </row>
    <row r="25603" spans="8:16" x14ac:dyDescent="0.25">
      <c r="H25603" s="12"/>
      <c r="I25603" s="12"/>
      <c r="J25603" s="12"/>
      <c r="K25603" s="12"/>
      <c r="L25603" s="12"/>
      <c r="M25603" s="11"/>
      <c r="N25603" s="11"/>
      <c r="O25603" s="11"/>
      <c r="P25603" s="11"/>
    </row>
    <row r="25604" spans="8:16" x14ac:dyDescent="0.25">
      <c r="H25604" s="12"/>
      <c r="I25604" s="12"/>
      <c r="J25604" s="12"/>
      <c r="K25604" s="12"/>
      <c r="L25604" s="12"/>
      <c r="M25604" s="11"/>
      <c r="N25604" s="11"/>
      <c r="O25604" s="11"/>
      <c r="P25604" s="11"/>
    </row>
    <row r="25605" spans="8:16" x14ac:dyDescent="0.25">
      <c r="H25605" s="12"/>
      <c r="I25605" s="12"/>
      <c r="J25605" s="12"/>
      <c r="K25605" s="12"/>
      <c r="L25605" s="12"/>
      <c r="M25605" s="11"/>
      <c r="N25605" s="11"/>
      <c r="O25605" s="11"/>
      <c r="P25605" s="11"/>
    </row>
    <row r="25606" spans="8:16" x14ac:dyDescent="0.25">
      <c r="H25606" s="12"/>
      <c r="I25606" s="12"/>
      <c r="J25606" s="12"/>
      <c r="K25606" s="12"/>
      <c r="L25606" s="12"/>
      <c r="M25606" s="11"/>
      <c r="N25606" s="11"/>
      <c r="O25606" s="11"/>
      <c r="P25606" s="11"/>
    </row>
    <row r="25607" spans="8:16" x14ac:dyDescent="0.25">
      <c r="H25607" s="12"/>
      <c r="I25607" s="12"/>
      <c r="J25607" s="12"/>
      <c r="K25607" s="12"/>
      <c r="L25607" s="12"/>
      <c r="M25607" s="11"/>
      <c r="N25607" s="11"/>
      <c r="O25607" s="11"/>
      <c r="P25607" s="11"/>
    </row>
    <row r="25608" spans="8:16" x14ac:dyDescent="0.25">
      <c r="H25608" s="12"/>
      <c r="I25608" s="12"/>
      <c r="J25608" s="12"/>
      <c r="K25608" s="12"/>
      <c r="L25608" s="12"/>
      <c r="M25608" s="11"/>
      <c r="N25608" s="11"/>
      <c r="O25608" s="11"/>
      <c r="P25608" s="11"/>
    </row>
    <row r="25609" spans="8:16" x14ac:dyDescent="0.25">
      <c r="H25609" s="12"/>
      <c r="I25609" s="12"/>
      <c r="J25609" s="12"/>
      <c r="K25609" s="12"/>
      <c r="L25609" s="12"/>
      <c r="M25609" s="11"/>
      <c r="N25609" s="11"/>
      <c r="O25609" s="11"/>
      <c r="P25609" s="11"/>
    </row>
    <row r="25610" spans="8:16" x14ac:dyDescent="0.25">
      <c r="H25610" s="12"/>
      <c r="I25610" s="12"/>
      <c r="J25610" s="12"/>
      <c r="K25610" s="12"/>
      <c r="L25610" s="12"/>
      <c r="M25610" s="11"/>
      <c r="N25610" s="11"/>
      <c r="O25610" s="11"/>
      <c r="P25610" s="11"/>
    </row>
    <row r="25611" spans="8:16" x14ac:dyDescent="0.25">
      <c r="H25611" s="12"/>
      <c r="I25611" s="12"/>
      <c r="J25611" s="12"/>
      <c r="K25611" s="12"/>
      <c r="L25611" s="12"/>
      <c r="M25611" s="11"/>
      <c r="N25611" s="11"/>
      <c r="O25611" s="11"/>
      <c r="P25611" s="11"/>
    </row>
    <row r="25612" spans="8:16" x14ac:dyDescent="0.25">
      <c r="H25612" s="12"/>
      <c r="I25612" s="12"/>
      <c r="J25612" s="12"/>
      <c r="K25612" s="12"/>
      <c r="L25612" s="12"/>
      <c r="M25612" s="11"/>
      <c r="N25612" s="11"/>
      <c r="O25612" s="11"/>
      <c r="P25612" s="11"/>
    </row>
    <row r="25613" spans="8:16" x14ac:dyDescent="0.25">
      <c r="H25613" s="12"/>
      <c r="I25613" s="12"/>
      <c r="J25613" s="12"/>
      <c r="K25613" s="12"/>
      <c r="L25613" s="12"/>
      <c r="M25613" s="11"/>
      <c r="N25613" s="11"/>
      <c r="O25613" s="11"/>
      <c r="P25613" s="11"/>
    </row>
    <row r="25614" spans="8:16" x14ac:dyDescent="0.25">
      <c r="H25614" s="12"/>
      <c r="I25614" s="12"/>
      <c r="J25614" s="12"/>
      <c r="K25614" s="12"/>
      <c r="L25614" s="12"/>
      <c r="M25614" s="11"/>
      <c r="N25614" s="11"/>
      <c r="O25614" s="11"/>
      <c r="P25614" s="11"/>
    </row>
    <row r="25615" spans="8:16" x14ac:dyDescent="0.25">
      <c r="H25615" s="12"/>
      <c r="I25615" s="12"/>
      <c r="J25615" s="12"/>
      <c r="K25615" s="12"/>
      <c r="L25615" s="12"/>
      <c r="M25615" s="11"/>
      <c r="N25615" s="11"/>
      <c r="O25615" s="11"/>
      <c r="P25615" s="11"/>
    </row>
    <row r="25616" spans="8:16" x14ac:dyDescent="0.25">
      <c r="H25616" s="12"/>
      <c r="I25616" s="12"/>
      <c r="J25616" s="12"/>
      <c r="K25616" s="12"/>
      <c r="L25616" s="12"/>
      <c r="M25616" s="11"/>
      <c r="N25616" s="11"/>
      <c r="O25616" s="11"/>
      <c r="P25616" s="11"/>
    </row>
    <row r="25617" spans="8:16" x14ac:dyDescent="0.25">
      <c r="H25617" s="12"/>
      <c r="I25617" s="12"/>
      <c r="J25617" s="12"/>
      <c r="K25617" s="12"/>
      <c r="L25617" s="12"/>
      <c r="M25617" s="11"/>
      <c r="N25617" s="11"/>
      <c r="O25617" s="11"/>
      <c r="P25617" s="11"/>
    </row>
    <row r="25618" spans="8:16" x14ac:dyDescent="0.25">
      <c r="H25618" s="12"/>
      <c r="I25618" s="12"/>
      <c r="J25618" s="12"/>
      <c r="K25618" s="12"/>
      <c r="L25618" s="12"/>
      <c r="M25618" s="11"/>
      <c r="N25618" s="11"/>
      <c r="O25618" s="11"/>
      <c r="P25618" s="11"/>
    </row>
    <row r="25619" spans="8:16" x14ac:dyDescent="0.25">
      <c r="H25619" s="12"/>
      <c r="I25619" s="12"/>
      <c r="J25619" s="12"/>
      <c r="K25619" s="12"/>
      <c r="L25619" s="12"/>
      <c r="M25619" s="11"/>
      <c r="N25619" s="11"/>
      <c r="O25619" s="11"/>
      <c r="P25619" s="11"/>
    </row>
    <row r="25620" spans="8:16" x14ac:dyDescent="0.25">
      <c r="H25620" s="12"/>
      <c r="I25620" s="12"/>
      <c r="J25620" s="12"/>
      <c r="K25620" s="12"/>
      <c r="L25620" s="12"/>
      <c r="M25620" s="11"/>
      <c r="N25620" s="11"/>
      <c r="O25620" s="11"/>
      <c r="P25620" s="11"/>
    </row>
    <row r="25621" spans="8:16" x14ac:dyDescent="0.25">
      <c r="H25621" s="12"/>
      <c r="I25621" s="12"/>
      <c r="J25621" s="12"/>
      <c r="K25621" s="12"/>
      <c r="L25621" s="12"/>
      <c r="M25621" s="11"/>
      <c r="N25621" s="11"/>
      <c r="O25621" s="11"/>
      <c r="P25621" s="11"/>
    </row>
    <row r="25622" spans="8:16" x14ac:dyDescent="0.25">
      <c r="H25622" s="12"/>
      <c r="I25622" s="12"/>
      <c r="J25622" s="12"/>
      <c r="K25622" s="12"/>
      <c r="L25622" s="12"/>
      <c r="M25622" s="11"/>
      <c r="N25622" s="11"/>
      <c r="O25622" s="11"/>
      <c r="P25622" s="11"/>
    </row>
    <row r="25623" spans="8:16" x14ac:dyDescent="0.25">
      <c r="H25623" s="12"/>
      <c r="I25623" s="12"/>
      <c r="J25623" s="12"/>
      <c r="K25623" s="12"/>
      <c r="L25623" s="12"/>
      <c r="M25623" s="11"/>
      <c r="N25623" s="11"/>
      <c r="O25623" s="11"/>
      <c r="P25623" s="11"/>
    </row>
    <row r="25624" spans="8:16" x14ac:dyDescent="0.25">
      <c r="H25624" s="12"/>
      <c r="I25624" s="12"/>
      <c r="J25624" s="12"/>
      <c r="K25624" s="12"/>
      <c r="L25624" s="12"/>
      <c r="M25624" s="11"/>
      <c r="N25624" s="11"/>
      <c r="O25624" s="11"/>
      <c r="P25624" s="11"/>
    </row>
    <row r="25625" spans="8:16" x14ac:dyDescent="0.25">
      <c r="H25625" s="12"/>
      <c r="I25625" s="12"/>
      <c r="J25625" s="12"/>
      <c r="K25625" s="12"/>
      <c r="L25625" s="12"/>
      <c r="M25625" s="11"/>
      <c r="N25625" s="11"/>
      <c r="O25625" s="11"/>
      <c r="P25625" s="11"/>
    </row>
    <row r="25626" spans="8:16" x14ac:dyDescent="0.25">
      <c r="H25626" s="12"/>
      <c r="I25626" s="12"/>
      <c r="J25626" s="12"/>
      <c r="K25626" s="12"/>
      <c r="L25626" s="12"/>
      <c r="M25626" s="11"/>
      <c r="N25626" s="11"/>
      <c r="O25626" s="11"/>
      <c r="P25626" s="11"/>
    </row>
    <row r="25627" spans="8:16" x14ac:dyDescent="0.25">
      <c r="H25627" s="12"/>
      <c r="I25627" s="12"/>
      <c r="J25627" s="12"/>
      <c r="K25627" s="12"/>
      <c r="L25627" s="12"/>
      <c r="M25627" s="11"/>
      <c r="N25627" s="11"/>
      <c r="O25627" s="11"/>
      <c r="P25627" s="11"/>
    </row>
    <row r="25628" spans="8:16" x14ac:dyDescent="0.25">
      <c r="H25628" s="12"/>
      <c r="I25628" s="12"/>
      <c r="J25628" s="12"/>
      <c r="K25628" s="12"/>
      <c r="L25628" s="12"/>
      <c r="M25628" s="11"/>
      <c r="N25628" s="11"/>
      <c r="O25628" s="11"/>
      <c r="P25628" s="11"/>
    </row>
    <row r="25629" spans="8:16" x14ac:dyDescent="0.25">
      <c r="H25629" s="12"/>
      <c r="I25629" s="12"/>
      <c r="J25629" s="12"/>
      <c r="K25629" s="12"/>
      <c r="L25629" s="12"/>
      <c r="M25629" s="11"/>
      <c r="N25629" s="11"/>
      <c r="O25629" s="11"/>
      <c r="P25629" s="11"/>
    </row>
    <row r="25630" spans="8:16" x14ac:dyDescent="0.25">
      <c r="H25630" s="12"/>
      <c r="I25630" s="12"/>
      <c r="J25630" s="12"/>
      <c r="K25630" s="12"/>
      <c r="L25630" s="12"/>
      <c r="M25630" s="11"/>
      <c r="N25630" s="11"/>
      <c r="O25630" s="11"/>
      <c r="P25630" s="11"/>
    </row>
    <row r="25631" spans="8:16" x14ac:dyDescent="0.25">
      <c r="H25631" s="12"/>
      <c r="I25631" s="12"/>
      <c r="J25631" s="12"/>
      <c r="K25631" s="12"/>
      <c r="L25631" s="12"/>
      <c r="M25631" s="11"/>
      <c r="N25631" s="11"/>
      <c r="O25631" s="11"/>
      <c r="P25631" s="11"/>
    </row>
    <row r="25632" spans="8:16" x14ac:dyDescent="0.25">
      <c r="H25632" s="12"/>
      <c r="I25632" s="12"/>
      <c r="J25632" s="12"/>
      <c r="K25632" s="12"/>
      <c r="L25632" s="12"/>
      <c r="M25632" s="11"/>
      <c r="N25632" s="11"/>
      <c r="O25632" s="11"/>
      <c r="P25632" s="11"/>
    </row>
    <row r="25633" spans="8:16" x14ac:dyDescent="0.25">
      <c r="H25633" s="12"/>
      <c r="I25633" s="12"/>
      <c r="J25633" s="12"/>
      <c r="K25633" s="12"/>
      <c r="L25633" s="12"/>
      <c r="M25633" s="11"/>
      <c r="N25633" s="11"/>
      <c r="O25633" s="11"/>
      <c r="P25633" s="11"/>
    </row>
    <row r="25634" spans="8:16" x14ac:dyDescent="0.25">
      <c r="H25634" s="12"/>
      <c r="I25634" s="12"/>
      <c r="J25634" s="12"/>
      <c r="K25634" s="12"/>
      <c r="L25634" s="12"/>
      <c r="M25634" s="11"/>
      <c r="N25634" s="11"/>
      <c r="O25634" s="11"/>
      <c r="P25634" s="11"/>
    </row>
    <row r="25635" spans="8:16" x14ac:dyDescent="0.25">
      <c r="H25635" s="12"/>
      <c r="I25635" s="12"/>
      <c r="J25635" s="12"/>
      <c r="K25635" s="12"/>
      <c r="L25635" s="12"/>
      <c r="M25635" s="11"/>
      <c r="N25635" s="11"/>
      <c r="O25635" s="11"/>
      <c r="P25635" s="11"/>
    </row>
    <row r="25636" spans="8:16" x14ac:dyDescent="0.25">
      <c r="H25636" s="12"/>
      <c r="I25636" s="12"/>
      <c r="J25636" s="12"/>
      <c r="K25636" s="12"/>
      <c r="L25636" s="12"/>
      <c r="M25636" s="11"/>
      <c r="N25636" s="11"/>
      <c r="O25636" s="11"/>
      <c r="P25636" s="11"/>
    </row>
    <row r="25637" spans="8:16" x14ac:dyDescent="0.25">
      <c r="H25637" s="12"/>
      <c r="I25637" s="12"/>
      <c r="J25637" s="12"/>
      <c r="K25637" s="12"/>
      <c r="L25637" s="12"/>
      <c r="M25637" s="11"/>
      <c r="N25637" s="11"/>
      <c r="O25637" s="11"/>
      <c r="P25637" s="11"/>
    </row>
    <row r="25638" spans="8:16" x14ac:dyDescent="0.25">
      <c r="H25638" s="12"/>
      <c r="I25638" s="12"/>
      <c r="J25638" s="12"/>
      <c r="K25638" s="12"/>
      <c r="L25638" s="12"/>
      <c r="M25638" s="11"/>
      <c r="N25638" s="11"/>
      <c r="O25638" s="11"/>
      <c r="P25638" s="11"/>
    </row>
    <row r="25639" spans="8:16" x14ac:dyDescent="0.25">
      <c r="H25639" s="12"/>
      <c r="I25639" s="12"/>
      <c r="J25639" s="12"/>
      <c r="K25639" s="12"/>
      <c r="L25639" s="12"/>
      <c r="M25639" s="11"/>
      <c r="N25639" s="11"/>
      <c r="O25639" s="11"/>
      <c r="P25639" s="11"/>
    </row>
    <row r="25640" spans="8:16" x14ac:dyDescent="0.25">
      <c r="H25640" s="12"/>
      <c r="I25640" s="12"/>
      <c r="J25640" s="12"/>
      <c r="K25640" s="12"/>
      <c r="L25640" s="12"/>
      <c r="M25640" s="11"/>
      <c r="N25640" s="11"/>
      <c r="O25640" s="11"/>
      <c r="P25640" s="11"/>
    </row>
    <row r="25641" spans="8:16" x14ac:dyDescent="0.25">
      <c r="H25641" s="12"/>
      <c r="I25641" s="12"/>
      <c r="J25641" s="12"/>
      <c r="K25641" s="12"/>
      <c r="L25641" s="12"/>
      <c r="M25641" s="11"/>
      <c r="N25641" s="11"/>
      <c r="O25641" s="11"/>
      <c r="P25641" s="11"/>
    </row>
    <row r="25642" spans="8:16" x14ac:dyDescent="0.25">
      <c r="H25642" s="12"/>
      <c r="I25642" s="12"/>
      <c r="J25642" s="12"/>
      <c r="K25642" s="12"/>
      <c r="L25642" s="12"/>
      <c r="M25642" s="11"/>
      <c r="N25642" s="11"/>
      <c r="O25642" s="11"/>
      <c r="P25642" s="11"/>
    </row>
    <row r="25643" spans="8:16" x14ac:dyDescent="0.25">
      <c r="H25643" s="12"/>
      <c r="I25643" s="12"/>
      <c r="J25643" s="12"/>
      <c r="K25643" s="12"/>
      <c r="L25643" s="12"/>
      <c r="M25643" s="11"/>
      <c r="N25643" s="11"/>
      <c r="O25643" s="11"/>
      <c r="P25643" s="11"/>
    </row>
    <row r="25644" spans="8:16" x14ac:dyDescent="0.25">
      <c r="H25644" s="12"/>
      <c r="I25644" s="12"/>
      <c r="J25644" s="12"/>
      <c r="K25644" s="12"/>
      <c r="L25644" s="12"/>
      <c r="M25644" s="11"/>
      <c r="N25644" s="11"/>
      <c r="O25644" s="11"/>
      <c r="P25644" s="11"/>
    </row>
    <row r="25645" spans="8:16" x14ac:dyDescent="0.25">
      <c r="H25645" s="12"/>
      <c r="I25645" s="12"/>
      <c r="J25645" s="12"/>
      <c r="K25645" s="12"/>
      <c r="L25645" s="12"/>
      <c r="M25645" s="11"/>
      <c r="N25645" s="11"/>
      <c r="O25645" s="11"/>
      <c r="P25645" s="11"/>
    </row>
    <row r="25646" spans="8:16" x14ac:dyDescent="0.25">
      <c r="H25646" s="12"/>
      <c r="I25646" s="12"/>
      <c r="J25646" s="12"/>
      <c r="K25646" s="12"/>
      <c r="L25646" s="12"/>
      <c r="M25646" s="11"/>
      <c r="N25646" s="11"/>
      <c r="O25646" s="11"/>
      <c r="P25646" s="11"/>
    </row>
    <row r="25647" spans="8:16" x14ac:dyDescent="0.25">
      <c r="H25647" s="12"/>
      <c r="I25647" s="12"/>
      <c r="J25647" s="12"/>
      <c r="K25647" s="12"/>
      <c r="L25647" s="12"/>
      <c r="M25647" s="11"/>
      <c r="N25647" s="11"/>
      <c r="O25647" s="11"/>
      <c r="P25647" s="11"/>
    </row>
    <row r="25648" spans="8:16" x14ac:dyDescent="0.25">
      <c r="H25648" s="12"/>
      <c r="I25648" s="12"/>
      <c r="J25648" s="12"/>
      <c r="K25648" s="12"/>
      <c r="L25648" s="12"/>
      <c r="M25648" s="11"/>
      <c r="N25648" s="11"/>
      <c r="O25648" s="11"/>
      <c r="P25648" s="11"/>
    </row>
    <row r="25649" spans="8:16" x14ac:dyDescent="0.25">
      <c r="H25649" s="12"/>
      <c r="I25649" s="12"/>
      <c r="J25649" s="12"/>
      <c r="K25649" s="12"/>
      <c r="L25649" s="12"/>
      <c r="M25649" s="11"/>
      <c r="N25649" s="11"/>
      <c r="O25649" s="11"/>
      <c r="P25649" s="11"/>
    </row>
    <row r="25650" spans="8:16" x14ac:dyDescent="0.25">
      <c r="H25650" s="12"/>
      <c r="I25650" s="12"/>
      <c r="J25650" s="12"/>
      <c r="K25650" s="12"/>
      <c r="L25650" s="12"/>
      <c r="M25650" s="11"/>
      <c r="N25650" s="11"/>
      <c r="O25650" s="11"/>
      <c r="P25650" s="11"/>
    </row>
    <row r="25651" spans="8:16" x14ac:dyDescent="0.25">
      <c r="H25651" s="12"/>
      <c r="I25651" s="12"/>
      <c r="J25651" s="12"/>
      <c r="K25651" s="12"/>
      <c r="L25651" s="12"/>
      <c r="M25651" s="11"/>
      <c r="N25651" s="11"/>
      <c r="O25651" s="11"/>
      <c r="P25651" s="11"/>
    </row>
    <row r="25652" spans="8:16" x14ac:dyDescent="0.25">
      <c r="H25652" s="12"/>
      <c r="I25652" s="12"/>
      <c r="J25652" s="12"/>
      <c r="K25652" s="12"/>
      <c r="L25652" s="12"/>
      <c r="M25652" s="11"/>
      <c r="N25652" s="11"/>
      <c r="O25652" s="11"/>
      <c r="P25652" s="11"/>
    </row>
    <row r="25653" spans="8:16" x14ac:dyDescent="0.25">
      <c r="H25653" s="12"/>
      <c r="I25653" s="12"/>
      <c r="J25653" s="12"/>
      <c r="K25653" s="12"/>
      <c r="L25653" s="12"/>
      <c r="M25653" s="11"/>
      <c r="N25653" s="11"/>
      <c r="O25653" s="11"/>
      <c r="P25653" s="11"/>
    </row>
    <row r="25654" spans="8:16" x14ac:dyDescent="0.25">
      <c r="H25654" s="12"/>
      <c r="I25654" s="12"/>
      <c r="J25654" s="12"/>
      <c r="K25654" s="12"/>
      <c r="L25654" s="12"/>
      <c r="M25654" s="11"/>
      <c r="N25654" s="11"/>
      <c r="O25654" s="11"/>
      <c r="P25654" s="11"/>
    </row>
    <row r="25655" spans="8:16" x14ac:dyDescent="0.25">
      <c r="H25655" s="12"/>
      <c r="I25655" s="12"/>
      <c r="J25655" s="12"/>
      <c r="K25655" s="12"/>
      <c r="L25655" s="12"/>
      <c r="M25655" s="11"/>
      <c r="N25655" s="11"/>
      <c r="O25655" s="11"/>
      <c r="P25655" s="11"/>
    </row>
    <row r="25656" spans="8:16" x14ac:dyDescent="0.25">
      <c r="H25656" s="12"/>
      <c r="I25656" s="12"/>
      <c r="J25656" s="12"/>
      <c r="K25656" s="12"/>
      <c r="L25656" s="12"/>
      <c r="M25656" s="11"/>
      <c r="N25656" s="11"/>
      <c r="O25656" s="11"/>
      <c r="P25656" s="11"/>
    </row>
    <row r="25657" spans="8:16" x14ac:dyDescent="0.25">
      <c r="H25657" s="12"/>
      <c r="I25657" s="12"/>
      <c r="J25657" s="12"/>
      <c r="K25657" s="12"/>
      <c r="L25657" s="12"/>
      <c r="M25657" s="11"/>
      <c r="N25657" s="11"/>
      <c r="O25657" s="11"/>
      <c r="P25657" s="11"/>
    </row>
    <row r="25658" spans="8:16" x14ac:dyDescent="0.25">
      <c r="H25658" s="12"/>
      <c r="I25658" s="12"/>
      <c r="J25658" s="12"/>
      <c r="K25658" s="12"/>
      <c r="L25658" s="12"/>
      <c r="M25658" s="11"/>
      <c r="N25658" s="11"/>
      <c r="O25658" s="11"/>
      <c r="P25658" s="11"/>
    </row>
    <row r="25659" spans="8:16" x14ac:dyDescent="0.25">
      <c r="H25659" s="12"/>
      <c r="I25659" s="12"/>
      <c r="J25659" s="12"/>
      <c r="K25659" s="12"/>
      <c r="L25659" s="12"/>
      <c r="M25659" s="11"/>
      <c r="N25659" s="11"/>
      <c r="O25659" s="11"/>
      <c r="P25659" s="11"/>
    </row>
    <row r="25660" spans="8:16" x14ac:dyDescent="0.25">
      <c r="H25660" s="12"/>
      <c r="I25660" s="12"/>
      <c r="J25660" s="12"/>
      <c r="K25660" s="12"/>
      <c r="L25660" s="12"/>
      <c r="M25660" s="11"/>
      <c r="N25660" s="11"/>
      <c r="O25660" s="11"/>
      <c r="P25660" s="11"/>
    </row>
    <row r="25661" spans="8:16" x14ac:dyDescent="0.25">
      <c r="H25661" s="12"/>
      <c r="I25661" s="12"/>
      <c r="J25661" s="12"/>
      <c r="K25661" s="12"/>
      <c r="L25661" s="12"/>
      <c r="M25661" s="11"/>
      <c r="N25661" s="11"/>
      <c r="O25661" s="11"/>
      <c r="P25661" s="11"/>
    </row>
    <row r="25662" spans="8:16" x14ac:dyDescent="0.25">
      <c r="H25662" s="12"/>
      <c r="I25662" s="12"/>
      <c r="J25662" s="12"/>
      <c r="K25662" s="12"/>
      <c r="L25662" s="12"/>
      <c r="M25662" s="11"/>
      <c r="N25662" s="11"/>
      <c r="O25662" s="11"/>
      <c r="P25662" s="11"/>
    </row>
    <row r="25663" spans="8:16" x14ac:dyDescent="0.25">
      <c r="H25663" s="12"/>
      <c r="I25663" s="12"/>
      <c r="J25663" s="12"/>
      <c r="K25663" s="12"/>
      <c r="L25663" s="12"/>
      <c r="M25663" s="11"/>
      <c r="N25663" s="11"/>
      <c r="O25663" s="11"/>
      <c r="P25663" s="11"/>
    </row>
    <row r="25664" spans="8:16" x14ac:dyDescent="0.25">
      <c r="H25664" s="12"/>
      <c r="I25664" s="12"/>
      <c r="J25664" s="12"/>
      <c r="K25664" s="12"/>
      <c r="L25664" s="12"/>
      <c r="M25664" s="11"/>
      <c r="N25664" s="11"/>
      <c r="O25664" s="11"/>
      <c r="P25664" s="11"/>
    </row>
    <row r="25665" spans="8:16" x14ac:dyDescent="0.25">
      <c r="H25665" s="12"/>
      <c r="I25665" s="12"/>
      <c r="J25665" s="12"/>
      <c r="K25665" s="12"/>
      <c r="L25665" s="12"/>
      <c r="M25665" s="11"/>
      <c r="N25665" s="11"/>
      <c r="O25665" s="11"/>
      <c r="P25665" s="11"/>
    </row>
    <row r="25666" spans="8:16" x14ac:dyDescent="0.25">
      <c r="H25666" s="12"/>
      <c r="I25666" s="12"/>
      <c r="J25666" s="12"/>
      <c r="K25666" s="12"/>
      <c r="L25666" s="12"/>
      <c r="M25666" s="11"/>
      <c r="N25666" s="11"/>
      <c r="O25666" s="11"/>
      <c r="P25666" s="11"/>
    </row>
    <row r="25667" spans="8:16" x14ac:dyDescent="0.25">
      <c r="H25667" s="12"/>
      <c r="I25667" s="12"/>
      <c r="J25667" s="12"/>
      <c r="K25667" s="12"/>
      <c r="L25667" s="12"/>
      <c r="M25667" s="11"/>
      <c r="N25667" s="11"/>
      <c r="O25667" s="11"/>
      <c r="P25667" s="11"/>
    </row>
    <row r="25668" spans="8:16" x14ac:dyDescent="0.25">
      <c r="H25668" s="12"/>
      <c r="I25668" s="12"/>
      <c r="J25668" s="12"/>
      <c r="K25668" s="12"/>
      <c r="L25668" s="12"/>
      <c r="M25668" s="11"/>
      <c r="N25668" s="11"/>
      <c r="O25668" s="11"/>
      <c r="P25668" s="11"/>
    </row>
    <row r="25669" spans="8:16" x14ac:dyDescent="0.25">
      <c r="H25669" s="12"/>
      <c r="I25669" s="12"/>
      <c r="J25669" s="12"/>
      <c r="K25669" s="12"/>
      <c r="L25669" s="12"/>
      <c r="M25669" s="11"/>
      <c r="N25669" s="11"/>
      <c r="O25669" s="11"/>
      <c r="P25669" s="11"/>
    </row>
    <row r="25670" spans="8:16" x14ac:dyDescent="0.25">
      <c r="H25670" s="12"/>
      <c r="I25670" s="12"/>
      <c r="J25670" s="12"/>
      <c r="K25670" s="12"/>
      <c r="L25670" s="12"/>
      <c r="M25670" s="11"/>
      <c r="N25670" s="11"/>
      <c r="O25670" s="11"/>
      <c r="P25670" s="11"/>
    </row>
    <row r="25671" spans="8:16" x14ac:dyDescent="0.25">
      <c r="H25671" s="12"/>
      <c r="I25671" s="12"/>
      <c r="J25671" s="12"/>
      <c r="K25671" s="12"/>
      <c r="L25671" s="12"/>
      <c r="M25671" s="11"/>
      <c r="N25671" s="11"/>
      <c r="O25671" s="11"/>
      <c r="P25671" s="11"/>
    </row>
    <row r="25672" spans="8:16" x14ac:dyDescent="0.25">
      <c r="H25672" s="12"/>
      <c r="I25672" s="12"/>
      <c r="J25672" s="12"/>
      <c r="K25672" s="12"/>
      <c r="L25672" s="12"/>
      <c r="M25672" s="11"/>
      <c r="N25672" s="11"/>
      <c r="O25672" s="11"/>
      <c r="P25672" s="11"/>
    </row>
    <row r="25673" spans="8:16" x14ac:dyDescent="0.25">
      <c r="H25673" s="12"/>
      <c r="I25673" s="12"/>
      <c r="J25673" s="12"/>
      <c r="K25673" s="12"/>
      <c r="L25673" s="12"/>
      <c r="M25673" s="11"/>
      <c r="N25673" s="11"/>
      <c r="O25673" s="11"/>
      <c r="P25673" s="11"/>
    </row>
    <row r="25674" spans="8:16" x14ac:dyDescent="0.25">
      <c r="H25674" s="12"/>
      <c r="I25674" s="12"/>
      <c r="J25674" s="12"/>
      <c r="K25674" s="12"/>
      <c r="L25674" s="12"/>
      <c r="M25674" s="11"/>
      <c r="N25674" s="11"/>
      <c r="O25674" s="11"/>
      <c r="P25674" s="11"/>
    </row>
    <row r="25675" spans="8:16" x14ac:dyDescent="0.25">
      <c r="H25675" s="12"/>
      <c r="I25675" s="12"/>
      <c r="J25675" s="12"/>
      <c r="K25675" s="12"/>
      <c r="L25675" s="12"/>
      <c r="M25675" s="11"/>
      <c r="N25675" s="11"/>
      <c r="O25675" s="11"/>
      <c r="P25675" s="11"/>
    </row>
    <row r="25676" spans="8:16" x14ac:dyDescent="0.25">
      <c r="H25676" s="12"/>
      <c r="I25676" s="12"/>
      <c r="J25676" s="12"/>
      <c r="K25676" s="12"/>
      <c r="L25676" s="12"/>
      <c r="M25676" s="11"/>
      <c r="N25676" s="11"/>
      <c r="O25676" s="11"/>
      <c r="P25676" s="11"/>
    </row>
    <row r="25677" spans="8:16" x14ac:dyDescent="0.25">
      <c r="H25677" s="12"/>
      <c r="I25677" s="12"/>
      <c r="J25677" s="12"/>
      <c r="K25677" s="12"/>
      <c r="L25677" s="12"/>
      <c r="M25677" s="11"/>
      <c r="N25677" s="11"/>
      <c r="O25677" s="11"/>
      <c r="P25677" s="11"/>
    </row>
    <row r="25678" spans="8:16" x14ac:dyDescent="0.25">
      <c r="H25678" s="12"/>
      <c r="I25678" s="12"/>
      <c r="J25678" s="12"/>
      <c r="K25678" s="12"/>
      <c r="L25678" s="12"/>
      <c r="M25678" s="11"/>
      <c r="N25678" s="11"/>
      <c r="O25678" s="11"/>
      <c r="P25678" s="11"/>
    </row>
    <row r="25679" spans="8:16" x14ac:dyDescent="0.25">
      <c r="H25679" s="12"/>
      <c r="I25679" s="12"/>
      <c r="J25679" s="12"/>
      <c r="K25679" s="12"/>
      <c r="L25679" s="12"/>
      <c r="M25679" s="11"/>
      <c r="N25679" s="11"/>
      <c r="O25679" s="11"/>
      <c r="P25679" s="11"/>
    </row>
    <row r="25680" spans="8:16" x14ac:dyDescent="0.25">
      <c r="H25680" s="12"/>
      <c r="I25680" s="12"/>
      <c r="J25680" s="12"/>
      <c r="K25680" s="12"/>
      <c r="L25680" s="12"/>
      <c r="M25680" s="11"/>
      <c r="N25680" s="11"/>
      <c r="O25680" s="11"/>
      <c r="P25680" s="11"/>
    </row>
    <row r="25681" spans="8:16" x14ac:dyDescent="0.25">
      <c r="H25681" s="12"/>
      <c r="I25681" s="12"/>
      <c r="J25681" s="12"/>
      <c r="K25681" s="12"/>
      <c r="L25681" s="12"/>
      <c r="M25681" s="11"/>
      <c r="N25681" s="11"/>
      <c r="O25681" s="11"/>
      <c r="P25681" s="11"/>
    </row>
    <row r="25682" spans="8:16" x14ac:dyDescent="0.25">
      <c r="H25682" s="12"/>
      <c r="I25682" s="12"/>
      <c r="J25682" s="12"/>
      <c r="K25682" s="12"/>
      <c r="L25682" s="12"/>
      <c r="M25682" s="11"/>
      <c r="N25682" s="11"/>
      <c r="O25682" s="11"/>
      <c r="P25682" s="11"/>
    </row>
    <row r="25683" spans="8:16" x14ac:dyDescent="0.25">
      <c r="H25683" s="12"/>
      <c r="I25683" s="12"/>
      <c r="J25683" s="12"/>
      <c r="K25683" s="12"/>
      <c r="L25683" s="12"/>
      <c r="M25683" s="11"/>
      <c r="N25683" s="11"/>
      <c r="O25683" s="11"/>
      <c r="P25683" s="11"/>
    </row>
    <row r="25684" spans="8:16" x14ac:dyDescent="0.25">
      <c r="H25684" s="12"/>
      <c r="I25684" s="12"/>
      <c r="J25684" s="12"/>
      <c r="K25684" s="12"/>
      <c r="L25684" s="12"/>
      <c r="M25684" s="11"/>
      <c r="N25684" s="11"/>
      <c r="O25684" s="11"/>
      <c r="P25684" s="11"/>
    </row>
    <row r="25685" spans="8:16" x14ac:dyDescent="0.25">
      <c r="H25685" s="12"/>
      <c r="I25685" s="12"/>
      <c r="J25685" s="12"/>
      <c r="K25685" s="12"/>
      <c r="L25685" s="12"/>
      <c r="M25685" s="11"/>
      <c r="N25685" s="11"/>
      <c r="O25685" s="11"/>
      <c r="P25685" s="11"/>
    </row>
    <row r="25686" spans="8:16" x14ac:dyDescent="0.25">
      <c r="H25686" s="12"/>
      <c r="I25686" s="12"/>
      <c r="J25686" s="12"/>
      <c r="K25686" s="12"/>
      <c r="L25686" s="12"/>
      <c r="M25686" s="11"/>
      <c r="N25686" s="11"/>
      <c r="O25686" s="11"/>
      <c r="P25686" s="11"/>
    </row>
    <row r="25687" spans="8:16" x14ac:dyDescent="0.25">
      <c r="H25687" s="12"/>
      <c r="I25687" s="12"/>
      <c r="J25687" s="12"/>
      <c r="K25687" s="12"/>
      <c r="L25687" s="12"/>
      <c r="M25687" s="11"/>
      <c r="N25687" s="11"/>
      <c r="O25687" s="11"/>
      <c r="P25687" s="11"/>
    </row>
    <row r="25688" spans="8:16" x14ac:dyDescent="0.25">
      <c r="H25688" s="12"/>
      <c r="I25688" s="12"/>
      <c r="J25688" s="12"/>
      <c r="K25688" s="12"/>
      <c r="L25688" s="12"/>
      <c r="M25688" s="11"/>
      <c r="N25688" s="11"/>
      <c r="O25688" s="11"/>
      <c r="P25688" s="11"/>
    </row>
    <row r="25689" spans="8:16" x14ac:dyDescent="0.25">
      <c r="H25689" s="12"/>
      <c r="I25689" s="12"/>
      <c r="J25689" s="12"/>
      <c r="K25689" s="12"/>
      <c r="L25689" s="12"/>
      <c r="M25689" s="11"/>
      <c r="N25689" s="11"/>
      <c r="O25689" s="11"/>
      <c r="P25689" s="11"/>
    </row>
    <row r="25690" spans="8:16" x14ac:dyDescent="0.25">
      <c r="H25690" s="12"/>
      <c r="I25690" s="12"/>
      <c r="J25690" s="12"/>
      <c r="K25690" s="12"/>
      <c r="L25690" s="12"/>
      <c r="M25690" s="11"/>
      <c r="N25690" s="11"/>
      <c r="O25690" s="11"/>
      <c r="P25690" s="11"/>
    </row>
    <row r="25691" spans="8:16" x14ac:dyDescent="0.25">
      <c r="H25691" s="12"/>
      <c r="I25691" s="12"/>
      <c r="J25691" s="12"/>
      <c r="K25691" s="12"/>
      <c r="L25691" s="12"/>
      <c r="M25691" s="11"/>
      <c r="N25691" s="11"/>
      <c r="O25691" s="11"/>
      <c r="P25691" s="11"/>
    </row>
    <row r="25692" spans="8:16" x14ac:dyDescent="0.25">
      <c r="H25692" s="12"/>
      <c r="I25692" s="12"/>
      <c r="J25692" s="12"/>
      <c r="K25692" s="12"/>
      <c r="L25692" s="12"/>
      <c r="M25692" s="11"/>
      <c r="N25692" s="11"/>
      <c r="O25692" s="11"/>
      <c r="P25692" s="11"/>
    </row>
    <row r="25693" spans="8:16" x14ac:dyDescent="0.25">
      <c r="H25693" s="12"/>
      <c r="I25693" s="12"/>
      <c r="J25693" s="12"/>
      <c r="K25693" s="12"/>
      <c r="L25693" s="12"/>
      <c r="M25693" s="11"/>
      <c r="N25693" s="11"/>
      <c r="O25693" s="11"/>
      <c r="P25693" s="11"/>
    </row>
    <row r="25694" spans="8:16" x14ac:dyDescent="0.25">
      <c r="H25694" s="12"/>
      <c r="I25694" s="12"/>
      <c r="J25694" s="12"/>
      <c r="K25694" s="12"/>
      <c r="L25694" s="12"/>
      <c r="M25694" s="11"/>
      <c r="N25694" s="11"/>
      <c r="O25694" s="11"/>
      <c r="P25694" s="11"/>
    </row>
    <row r="25695" spans="8:16" x14ac:dyDescent="0.25">
      <c r="H25695" s="12"/>
      <c r="I25695" s="12"/>
      <c r="J25695" s="12"/>
      <c r="K25695" s="12"/>
      <c r="L25695" s="12"/>
      <c r="M25695" s="11"/>
      <c r="N25695" s="11"/>
      <c r="O25695" s="11"/>
      <c r="P25695" s="11"/>
    </row>
    <row r="25696" spans="8:16" x14ac:dyDescent="0.25">
      <c r="H25696" s="12"/>
      <c r="I25696" s="12"/>
      <c r="J25696" s="12"/>
      <c r="K25696" s="12"/>
      <c r="L25696" s="12"/>
      <c r="M25696" s="11"/>
      <c r="N25696" s="11"/>
      <c r="O25696" s="11"/>
      <c r="P25696" s="11"/>
    </row>
    <row r="25697" spans="8:16" x14ac:dyDescent="0.25">
      <c r="H25697" s="12"/>
      <c r="I25697" s="12"/>
      <c r="J25697" s="12"/>
      <c r="K25697" s="12"/>
      <c r="L25697" s="12"/>
      <c r="M25697" s="11"/>
      <c r="N25697" s="11"/>
      <c r="O25697" s="11"/>
      <c r="P25697" s="11"/>
    </row>
    <row r="25698" spans="8:16" x14ac:dyDescent="0.25">
      <c r="H25698" s="12"/>
      <c r="I25698" s="12"/>
      <c r="J25698" s="12"/>
      <c r="K25698" s="12"/>
      <c r="L25698" s="12"/>
      <c r="M25698" s="11"/>
      <c r="N25698" s="11"/>
      <c r="O25698" s="11"/>
      <c r="P25698" s="11"/>
    </row>
    <row r="25699" spans="8:16" x14ac:dyDescent="0.25">
      <c r="H25699" s="12"/>
      <c r="I25699" s="12"/>
      <c r="J25699" s="12"/>
      <c r="K25699" s="12"/>
      <c r="L25699" s="12"/>
      <c r="M25699" s="11"/>
      <c r="N25699" s="11"/>
      <c r="O25699" s="11"/>
      <c r="P25699" s="11"/>
    </row>
    <row r="25700" spans="8:16" x14ac:dyDescent="0.25">
      <c r="H25700" s="12"/>
      <c r="I25700" s="12"/>
      <c r="J25700" s="12"/>
      <c r="K25700" s="12"/>
      <c r="L25700" s="12"/>
      <c r="M25700" s="11"/>
      <c r="N25700" s="11"/>
      <c r="O25700" s="11"/>
      <c r="P25700" s="11"/>
    </row>
    <row r="25701" spans="8:16" x14ac:dyDescent="0.25">
      <c r="H25701" s="12"/>
      <c r="I25701" s="12"/>
      <c r="J25701" s="12"/>
      <c r="K25701" s="12"/>
      <c r="L25701" s="12"/>
      <c r="M25701" s="11"/>
      <c r="N25701" s="11"/>
      <c r="O25701" s="11"/>
      <c r="P25701" s="11"/>
    </row>
    <row r="25702" spans="8:16" x14ac:dyDescent="0.25">
      <c r="H25702" s="12"/>
      <c r="I25702" s="12"/>
      <c r="J25702" s="12"/>
      <c r="K25702" s="12"/>
      <c r="L25702" s="12"/>
      <c r="M25702" s="11"/>
      <c r="N25702" s="11"/>
      <c r="O25702" s="11"/>
      <c r="P25702" s="11"/>
    </row>
    <row r="25703" spans="8:16" x14ac:dyDescent="0.25">
      <c r="H25703" s="12"/>
      <c r="I25703" s="12"/>
      <c r="J25703" s="12"/>
      <c r="K25703" s="12"/>
      <c r="L25703" s="12"/>
      <c r="M25703" s="11"/>
      <c r="N25703" s="11"/>
      <c r="O25703" s="11"/>
      <c r="P25703" s="11"/>
    </row>
    <row r="25704" spans="8:16" x14ac:dyDescent="0.25">
      <c r="H25704" s="12"/>
      <c r="I25704" s="12"/>
      <c r="J25704" s="12"/>
      <c r="K25704" s="12"/>
      <c r="L25704" s="12"/>
      <c r="M25704" s="11"/>
      <c r="N25704" s="11"/>
      <c r="O25704" s="11"/>
      <c r="P25704" s="11"/>
    </row>
    <row r="25705" spans="8:16" x14ac:dyDescent="0.25">
      <c r="H25705" s="12"/>
      <c r="I25705" s="12"/>
      <c r="J25705" s="12"/>
      <c r="K25705" s="12"/>
      <c r="L25705" s="12"/>
      <c r="M25705" s="11"/>
      <c r="N25705" s="11"/>
      <c r="O25705" s="11"/>
      <c r="P25705" s="11"/>
    </row>
    <row r="25706" spans="8:16" x14ac:dyDescent="0.25">
      <c r="H25706" s="12"/>
      <c r="I25706" s="12"/>
      <c r="J25706" s="12"/>
      <c r="K25706" s="12"/>
      <c r="L25706" s="12"/>
      <c r="M25706" s="11"/>
      <c r="N25706" s="11"/>
      <c r="O25706" s="11"/>
      <c r="P25706" s="11"/>
    </row>
    <row r="25707" spans="8:16" x14ac:dyDescent="0.25">
      <c r="H25707" s="12"/>
      <c r="I25707" s="12"/>
      <c r="J25707" s="12"/>
      <c r="K25707" s="12"/>
      <c r="L25707" s="12"/>
      <c r="M25707" s="11"/>
      <c r="N25707" s="11"/>
      <c r="O25707" s="11"/>
      <c r="P25707" s="11"/>
    </row>
    <row r="25708" spans="8:16" x14ac:dyDescent="0.25">
      <c r="H25708" s="12"/>
      <c r="I25708" s="12"/>
      <c r="J25708" s="12"/>
      <c r="K25708" s="12"/>
      <c r="L25708" s="12"/>
      <c r="M25708" s="11"/>
      <c r="N25708" s="11"/>
      <c r="O25708" s="11"/>
      <c r="P25708" s="11"/>
    </row>
    <row r="25709" spans="8:16" x14ac:dyDescent="0.25">
      <c r="H25709" s="12"/>
      <c r="I25709" s="12"/>
      <c r="J25709" s="12"/>
      <c r="K25709" s="12"/>
      <c r="L25709" s="12"/>
      <c r="M25709" s="11"/>
      <c r="N25709" s="11"/>
      <c r="O25709" s="11"/>
      <c r="P25709" s="11"/>
    </row>
    <row r="25710" spans="8:16" x14ac:dyDescent="0.25">
      <c r="H25710" s="12"/>
      <c r="I25710" s="12"/>
      <c r="J25710" s="12"/>
      <c r="K25710" s="12"/>
      <c r="L25710" s="12"/>
      <c r="M25710" s="11"/>
      <c r="N25710" s="11"/>
      <c r="O25710" s="11"/>
      <c r="P25710" s="11"/>
    </row>
    <row r="25711" spans="8:16" x14ac:dyDescent="0.25">
      <c r="H25711" s="12"/>
      <c r="I25711" s="12"/>
      <c r="J25711" s="12"/>
      <c r="K25711" s="12"/>
      <c r="L25711" s="12"/>
      <c r="M25711" s="11"/>
      <c r="N25711" s="11"/>
      <c r="O25711" s="11"/>
      <c r="P25711" s="11"/>
    </row>
    <row r="25712" spans="8:16" x14ac:dyDescent="0.25">
      <c r="H25712" s="12"/>
      <c r="I25712" s="12"/>
      <c r="J25712" s="12"/>
      <c r="K25712" s="12"/>
      <c r="L25712" s="12"/>
      <c r="M25712" s="11"/>
      <c r="N25712" s="11"/>
      <c r="O25712" s="11"/>
      <c r="P25712" s="11"/>
    </row>
    <row r="25713" spans="8:16" x14ac:dyDescent="0.25">
      <c r="H25713" s="12"/>
      <c r="I25713" s="12"/>
      <c r="J25713" s="12"/>
      <c r="K25713" s="12"/>
      <c r="L25713" s="12"/>
      <c r="M25713" s="11"/>
      <c r="N25713" s="11"/>
      <c r="O25713" s="11"/>
      <c r="P25713" s="11"/>
    </row>
    <row r="25714" spans="8:16" x14ac:dyDescent="0.25">
      <c r="H25714" s="12"/>
      <c r="I25714" s="12"/>
      <c r="J25714" s="12"/>
      <c r="K25714" s="12"/>
      <c r="L25714" s="12"/>
      <c r="M25714" s="11"/>
      <c r="N25714" s="11"/>
      <c r="O25714" s="11"/>
      <c r="P25714" s="11"/>
    </row>
    <row r="25715" spans="8:16" x14ac:dyDescent="0.25">
      <c r="H25715" s="12"/>
      <c r="I25715" s="12"/>
      <c r="J25715" s="12"/>
      <c r="K25715" s="12"/>
      <c r="L25715" s="12"/>
      <c r="M25715" s="11"/>
      <c r="N25715" s="11"/>
      <c r="O25715" s="11"/>
      <c r="P25715" s="11"/>
    </row>
    <row r="25716" spans="8:16" x14ac:dyDescent="0.25">
      <c r="H25716" s="12"/>
      <c r="I25716" s="12"/>
      <c r="J25716" s="12"/>
      <c r="K25716" s="12"/>
      <c r="L25716" s="12"/>
      <c r="M25716" s="11"/>
      <c r="N25716" s="11"/>
      <c r="O25716" s="11"/>
      <c r="P25716" s="11"/>
    </row>
    <row r="25717" spans="8:16" x14ac:dyDescent="0.25">
      <c r="H25717" s="12"/>
      <c r="I25717" s="12"/>
      <c r="J25717" s="12"/>
      <c r="K25717" s="12"/>
      <c r="L25717" s="12"/>
      <c r="M25717" s="11"/>
      <c r="N25717" s="11"/>
      <c r="O25717" s="11"/>
      <c r="P25717" s="11"/>
    </row>
    <row r="25718" spans="8:16" x14ac:dyDescent="0.25">
      <c r="H25718" s="12"/>
      <c r="I25718" s="12"/>
      <c r="J25718" s="12"/>
      <c r="K25718" s="12"/>
      <c r="L25718" s="12"/>
      <c r="M25718" s="11"/>
      <c r="N25718" s="11"/>
      <c r="O25718" s="11"/>
      <c r="P25718" s="11"/>
    </row>
    <row r="25719" spans="8:16" x14ac:dyDescent="0.25">
      <c r="H25719" s="12"/>
      <c r="I25719" s="12"/>
      <c r="J25719" s="12"/>
      <c r="K25719" s="12"/>
      <c r="L25719" s="12"/>
      <c r="M25719" s="11"/>
      <c r="N25719" s="11"/>
      <c r="O25719" s="11"/>
      <c r="P25719" s="11"/>
    </row>
    <row r="25720" spans="8:16" x14ac:dyDescent="0.25">
      <c r="H25720" s="12"/>
      <c r="I25720" s="12"/>
      <c r="J25720" s="12"/>
      <c r="K25720" s="12"/>
      <c r="L25720" s="12"/>
      <c r="M25720" s="11"/>
      <c r="N25720" s="11"/>
      <c r="O25720" s="11"/>
      <c r="P25720" s="11"/>
    </row>
    <row r="25721" spans="8:16" x14ac:dyDescent="0.25">
      <c r="H25721" s="12"/>
      <c r="I25721" s="12"/>
      <c r="J25721" s="12"/>
      <c r="K25721" s="12"/>
      <c r="L25721" s="12"/>
      <c r="M25721" s="11"/>
      <c r="N25721" s="11"/>
      <c r="O25721" s="11"/>
      <c r="P25721" s="11"/>
    </row>
    <row r="25722" spans="8:16" x14ac:dyDescent="0.25">
      <c r="H25722" s="12"/>
      <c r="I25722" s="12"/>
      <c r="J25722" s="12"/>
      <c r="K25722" s="12"/>
      <c r="L25722" s="12"/>
      <c r="M25722" s="11"/>
      <c r="N25722" s="11"/>
      <c r="O25722" s="11"/>
      <c r="P25722" s="11"/>
    </row>
    <row r="25723" spans="8:16" x14ac:dyDescent="0.25">
      <c r="H25723" s="12"/>
      <c r="I25723" s="12"/>
      <c r="J25723" s="12"/>
      <c r="K25723" s="12"/>
      <c r="L25723" s="12"/>
      <c r="M25723" s="11"/>
      <c r="N25723" s="11"/>
      <c r="O25723" s="11"/>
      <c r="P25723" s="11"/>
    </row>
    <row r="25724" spans="8:16" x14ac:dyDescent="0.25">
      <c r="H25724" s="12"/>
      <c r="I25724" s="12"/>
      <c r="J25724" s="12"/>
      <c r="K25724" s="12"/>
      <c r="L25724" s="12"/>
      <c r="M25724" s="11"/>
      <c r="N25724" s="11"/>
      <c r="O25724" s="11"/>
      <c r="P25724" s="11"/>
    </row>
    <row r="25725" spans="8:16" x14ac:dyDescent="0.25">
      <c r="H25725" s="12"/>
      <c r="I25725" s="12"/>
      <c r="J25725" s="12"/>
      <c r="K25725" s="12"/>
      <c r="L25725" s="12"/>
      <c r="M25725" s="11"/>
      <c r="N25725" s="11"/>
      <c r="O25725" s="11"/>
      <c r="P25725" s="11"/>
    </row>
    <row r="25726" spans="8:16" x14ac:dyDescent="0.25">
      <c r="H25726" s="12"/>
      <c r="I25726" s="12"/>
      <c r="J25726" s="12"/>
      <c r="K25726" s="12"/>
      <c r="L25726" s="12"/>
      <c r="M25726" s="11"/>
      <c r="N25726" s="11"/>
      <c r="O25726" s="11"/>
      <c r="P25726" s="11"/>
    </row>
    <row r="25727" spans="8:16" x14ac:dyDescent="0.25">
      <c r="H25727" s="12"/>
      <c r="I25727" s="12"/>
      <c r="J25727" s="12"/>
      <c r="K25727" s="12"/>
      <c r="L25727" s="12"/>
      <c r="M25727" s="11"/>
      <c r="N25727" s="11"/>
      <c r="O25727" s="11"/>
      <c r="P25727" s="11"/>
    </row>
    <row r="25728" spans="8:16" x14ac:dyDescent="0.25">
      <c r="H25728" s="12"/>
      <c r="I25728" s="12"/>
      <c r="J25728" s="12"/>
      <c r="K25728" s="12"/>
      <c r="L25728" s="12"/>
      <c r="M25728" s="11"/>
      <c r="N25728" s="11"/>
      <c r="O25728" s="11"/>
      <c r="P25728" s="11"/>
    </row>
    <row r="25729" spans="8:16" x14ac:dyDescent="0.25">
      <c r="H25729" s="12"/>
      <c r="I25729" s="12"/>
      <c r="J25729" s="12"/>
      <c r="K25729" s="12"/>
      <c r="L25729" s="12"/>
      <c r="M25729" s="11"/>
      <c r="N25729" s="11"/>
      <c r="O25729" s="11"/>
      <c r="P25729" s="11"/>
    </row>
    <row r="25730" spans="8:16" x14ac:dyDescent="0.25">
      <c r="H25730" s="12"/>
      <c r="I25730" s="12"/>
      <c r="J25730" s="12"/>
      <c r="K25730" s="12"/>
      <c r="L25730" s="12"/>
      <c r="M25730" s="11"/>
      <c r="N25730" s="11"/>
      <c r="O25730" s="11"/>
      <c r="P25730" s="11"/>
    </row>
    <row r="25731" spans="8:16" x14ac:dyDescent="0.25">
      <c r="H25731" s="12"/>
      <c r="I25731" s="12"/>
      <c r="J25731" s="12"/>
      <c r="K25731" s="12"/>
      <c r="L25731" s="12"/>
      <c r="M25731" s="11"/>
      <c r="N25731" s="11"/>
      <c r="O25731" s="11"/>
      <c r="P25731" s="11"/>
    </row>
    <row r="25732" spans="8:16" x14ac:dyDescent="0.25">
      <c r="H25732" s="12"/>
      <c r="I25732" s="12"/>
      <c r="J25732" s="12"/>
      <c r="K25732" s="12"/>
      <c r="L25732" s="12"/>
      <c r="M25732" s="11"/>
      <c r="N25732" s="11"/>
      <c r="O25732" s="11"/>
      <c r="P25732" s="11"/>
    </row>
    <row r="25733" spans="8:16" x14ac:dyDescent="0.25">
      <c r="H25733" s="12"/>
      <c r="I25733" s="12"/>
      <c r="J25733" s="12"/>
      <c r="K25733" s="12"/>
      <c r="L25733" s="12"/>
      <c r="M25733" s="11"/>
      <c r="N25733" s="11"/>
      <c r="O25733" s="11"/>
      <c r="P25733" s="11"/>
    </row>
    <row r="25734" spans="8:16" x14ac:dyDescent="0.25">
      <c r="H25734" s="12"/>
      <c r="I25734" s="12"/>
      <c r="J25734" s="12"/>
      <c r="K25734" s="12"/>
      <c r="L25734" s="12"/>
      <c r="M25734" s="11"/>
      <c r="N25734" s="11"/>
      <c r="O25734" s="11"/>
      <c r="P25734" s="11"/>
    </row>
    <row r="25735" spans="8:16" x14ac:dyDescent="0.25">
      <c r="H25735" s="12"/>
      <c r="I25735" s="12"/>
      <c r="J25735" s="12"/>
      <c r="K25735" s="12"/>
      <c r="L25735" s="12"/>
      <c r="M25735" s="11"/>
      <c r="N25735" s="11"/>
      <c r="O25735" s="11"/>
      <c r="P25735" s="11"/>
    </row>
    <row r="25736" spans="8:16" x14ac:dyDescent="0.25">
      <c r="H25736" s="12"/>
      <c r="I25736" s="12"/>
      <c r="J25736" s="12"/>
      <c r="K25736" s="12"/>
      <c r="L25736" s="12"/>
      <c r="M25736" s="11"/>
      <c r="N25736" s="11"/>
      <c r="O25736" s="11"/>
      <c r="P25736" s="11"/>
    </row>
    <row r="25737" spans="8:16" x14ac:dyDescent="0.25">
      <c r="H25737" s="12"/>
      <c r="I25737" s="12"/>
      <c r="J25737" s="12"/>
      <c r="K25737" s="12"/>
      <c r="L25737" s="12"/>
      <c r="M25737" s="11"/>
      <c r="N25737" s="11"/>
      <c r="O25737" s="11"/>
      <c r="P25737" s="11"/>
    </row>
    <row r="25738" spans="8:16" x14ac:dyDescent="0.25">
      <c r="H25738" s="12"/>
      <c r="I25738" s="12"/>
      <c r="J25738" s="12"/>
      <c r="K25738" s="12"/>
      <c r="L25738" s="12"/>
      <c r="M25738" s="11"/>
      <c r="N25738" s="11"/>
      <c r="O25738" s="11"/>
      <c r="P25738" s="11"/>
    </row>
    <row r="25739" spans="8:16" x14ac:dyDescent="0.25">
      <c r="H25739" s="12"/>
      <c r="I25739" s="12"/>
      <c r="J25739" s="12"/>
      <c r="K25739" s="12"/>
      <c r="L25739" s="12"/>
      <c r="M25739" s="11"/>
      <c r="N25739" s="11"/>
      <c r="O25739" s="11"/>
      <c r="P25739" s="11"/>
    </row>
    <row r="25740" spans="8:16" x14ac:dyDescent="0.25">
      <c r="H25740" s="12"/>
      <c r="I25740" s="12"/>
      <c r="J25740" s="12"/>
      <c r="K25740" s="12"/>
      <c r="L25740" s="12"/>
      <c r="M25740" s="11"/>
      <c r="N25740" s="11"/>
      <c r="O25740" s="11"/>
      <c r="P25740" s="11"/>
    </row>
    <row r="25741" spans="8:16" x14ac:dyDescent="0.25">
      <c r="H25741" s="12"/>
      <c r="I25741" s="12"/>
      <c r="J25741" s="12"/>
      <c r="K25741" s="12"/>
      <c r="L25741" s="12"/>
      <c r="M25741" s="11"/>
      <c r="N25741" s="11"/>
      <c r="O25741" s="11"/>
      <c r="P25741" s="11"/>
    </row>
    <row r="25742" spans="8:16" x14ac:dyDescent="0.25">
      <c r="H25742" s="12"/>
      <c r="I25742" s="12"/>
      <c r="J25742" s="12"/>
      <c r="K25742" s="12"/>
      <c r="L25742" s="12"/>
      <c r="M25742" s="11"/>
      <c r="N25742" s="11"/>
      <c r="O25742" s="11"/>
      <c r="P25742" s="11"/>
    </row>
    <row r="25743" spans="8:16" x14ac:dyDescent="0.25">
      <c r="H25743" s="12"/>
      <c r="I25743" s="12"/>
      <c r="J25743" s="12"/>
      <c r="K25743" s="12"/>
      <c r="L25743" s="12"/>
      <c r="M25743" s="11"/>
      <c r="N25743" s="11"/>
      <c r="O25743" s="11"/>
      <c r="P25743" s="11"/>
    </row>
    <row r="25744" spans="8:16" x14ac:dyDescent="0.25">
      <c r="H25744" s="12"/>
      <c r="I25744" s="12"/>
      <c r="J25744" s="12"/>
      <c r="K25744" s="12"/>
      <c r="L25744" s="12"/>
      <c r="M25744" s="11"/>
      <c r="N25744" s="11"/>
      <c r="O25744" s="11"/>
      <c r="P25744" s="11"/>
    </row>
    <row r="25745" spans="8:16" x14ac:dyDescent="0.25">
      <c r="H25745" s="12"/>
      <c r="I25745" s="12"/>
      <c r="J25745" s="12"/>
      <c r="K25745" s="12"/>
      <c r="L25745" s="12"/>
      <c r="M25745" s="11"/>
      <c r="N25745" s="11"/>
      <c r="O25745" s="11"/>
      <c r="P25745" s="11"/>
    </row>
    <row r="25746" spans="8:16" x14ac:dyDescent="0.25">
      <c r="H25746" s="12"/>
      <c r="I25746" s="12"/>
      <c r="J25746" s="12"/>
      <c r="K25746" s="12"/>
      <c r="L25746" s="12"/>
      <c r="M25746" s="11"/>
      <c r="N25746" s="11"/>
      <c r="O25746" s="11"/>
      <c r="P25746" s="11"/>
    </row>
    <row r="25747" spans="8:16" x14ac:dyDescent="0.25">
      <c r="H25747" s="12"/>
      <c r="I25747" s="12"/>
      <c r="J25747" s="12"/>
      <c r="K25747" s="12"/>
      <c r="L25747" s="12"/>
      <c r="M25747" s="11"/>
      <c r="N25747" s="11"/>
      <c r="O25747" s="11"/>
      <c r="P25747" s="11"/>
    </row>
    <row r="25748" spans="8:16" x14ac:dyDescent="0.25">
      <c r="H25748" s="12"/>
      <c r="I25748" s="12"/>
      <c r="J25748" s="12"/>
      <c r="K25748" s="12"/>
      <c r="L25748" s="12"/>
      <c r="M25748" s="11"/>
      <c r="N25748" s="11"/>
      <c r="O25748" s="11"/>
      <c r="P25748" s="11"/>
    </row>
    <row r="25749" spans="8:16" x14ac:dyDescent="0.25">
      <c r="H25749" s="12"/>
      <c r="I25749" s="12"/>
      <c r="J25749" s="12"/>
      <c r="K25749" s="12"/>
      <c r="L25749" s="12"/>
      <c r="M25749" s="11"/>
      <c r="N25749" s="11"/>
      <c r="O25749" s="11"/>
      <c r="P25749" s="11"/>
    </row>
    <row r="25750" spans="8:16" x14ac:dyDescent="0.25">
      <c r="H25750" s="12"/>
      <c r="I25750" s="12"/>
      <c r="J25750" s="12"/>
      <c r="K25750" s="12"/>
      <c r="L25750" s="12"/>
      <c r="M25750" s="11"/>
      <c r="N25750" s="11"/>
      <c r="O25750" s="11"/>
      <c r="P25750" s="11"/>
    </row>
    <row r="25751" spans="8:16" x14ac:dyDescent="0.25">
      <c r="H25751" s="12"/>
      <c r="I25751" s="12"/>
      <c r="J25751" s="12"/>
      <c r="K25751" s="12"/>
      <c r="L25751" s="12"/>
      <c r="M25751" s="11"/>
      <c r="N25751" s="11"/>
      <c r="O25751" s="11"/>
      <c r="P25751" s="11"/>
    </row>
    <row r="25752" spans="8:16" x14ac:dyDescent="0.25">
      <c r="H25752" s="12"/>
      <c r="I25752" s="12"/>
      <c r="J25752" s="12"/>
      <c r="K25752" s="12"/>
      <c r="L25752" s="12"/>
      <c r="M25752" s="11"/>
      <c r="N25752" s="11"/>
      <c r="O25752" s="11"/>
      <c r="P25752" s="11"/>
    </row>
    <row r="25753" spans="8:16" x14ac:dyDescent="0.25">
      <c r="H25753" s="12"/>
      <c r="I25753" s="12"/>
      <c r="J25753" s="12"/>
      <c r="K25753" s="12"/>
      <c r="L25753" s="12"/>
      <c r="M25753" s="11"/>
      <c r="N25753" s="11"/>
      <c r="O25753" s="11"/>
      <c r="P25753" s="11"/>
    </row>
    <row r="25754" spans="8:16" x14ac:dyDescent="0.25">
      <c r="H25754" s="12"/>
      <c r="I25754" s="12"/>
      <c r="J25754" s="12"/>
      <c r="K25754" s="12"/>
      <c r="L25754" s="12"/>
      <c r="M25754" s="11"/>
      <c r="N25754" s="11"/>
      <c r="O25754" s="11"/>
      <c r="P25754" s="11"/>
    </row>
    <row r="25755" spans="8:16" x14ac:dyDescent="0.25">
      <c r="H25755" s="12"/>
      <c r="I25755" s="12"/>
      <c r="J25755" s="12"/>
      <c r="K25755" s="12"/>
      <c r="L25755" s="12"/>
      <c r="M25755" s="11"/>
      <c r="N25755" s="11"/>
      <c r="O25755" s="11"/>
      <c r="P25755" s="11"/>
    </row>
    <row r="25756" spans="8:16" x14ac:dyDescent="0.25">
      <c r="H25756" s="12"/>
      <c r="I25756" s="12"/>
      <c r="J25756" s="12"/>
      <c r="K25756" s="12"/>
      <c r="L25756" s="12"/>
      <c r="M25756" s="11"/>
      <c r="N25756" s="11"/>
      <c r="O25756" s="11"/>
      <c r="P25756" s="11"/>
    </row>
    <row r="25757" spans="8:16" x14ac:dyDescent="0.25">
      <c r="H25757" s="12"/>
      <c r="I25757" s="12"/>
      <c r="J25757" s="12"/>
      <c r="K25757" s="12"/>
      <c r="L25757" s="12"/>
      <c r="M25757" s="11"/>
      <c r="N25757" s="11"/>
      <c r="O25757" s="11"/>
      <c r="P25757" s="11"/>
    </row>
    <row r="25758" spans="8:16" x14ac:dyDescent="0.25">
      <c r="H25758" s="12"/>
      <c r="I25758" s="12"/>
      <c r="J25758" s="12"/>
      <c r="K25758" s="12"/>
      <c r="L25758" s="12"/>
      <c r="M25758" s="11"/>
      <c r="N25758" s="11"/>
      <c r="O25758" s="11"/>
      <c r="P25758" s="11"/>
    </row>
    <row r="25759" spans="8:16" x14ac:dyDescent="0.25">
      <c r="H25759" s="12"/>
      <c r="I25759" s="12"/>
      <c r="J25759" s="12"/>
      <c r="K25759" s="12"/>
      <c r="L25759" s="12"/>
      <c r="M25759" s="11"/>
      <c r="N25759" s="11"/>
      <c r="O25759" s="11"/>
      <c r="P25759" s="11"/>
    </row>
    <row r="25760" spans="8:16" x14ac:dyDescent="0.25">
      <c r="H25760" s="12"/>
      <c r="I25760" s="12"/>
      <c r="J25760" s="12"/>
      <c r="K25760" s="12"/>
      <c r="L25760" s="12"/>
      <c r="M25760" s="11"/>
      <c r="N25760" s="11"/>
      <c r="O25760" s="11"/>
      <c r="P25760" s="11"/>
    </row>
    <row r="25761" spans="8:16" x14ac:dyDescent="0.25">
      <c r="H25761" s="12"/>
      <c r="I25761" s="12"/>
      <c r="J25761" s="12"/>
      <c r="K25761" s="12"/>
      <c r="L25761" s="12"/>
      <c r="M25761" s="11"/>
      <c r="N25761" s="11"/>
      <c r="O25761" s="11"/>
      <c r="P25761" s="11"/>
    </row>
    <row r="25762" spans="8:16" x14ac:dyDescent="0.25">
      <c r="H25762" s="12"/>
      <c r="I25762" s="12"/>
      <c r="J25762" s="12"/>
      <c r="K25762" s="12"/>
      <c r="L25762" s="12"/>
      <c r="M25762" s="11"/>
      <c r="N25762" s="11"/>
      <c r="O25762" s="11"/>
      <c r="P25762" s="11"/>
    </row>
    <row r="25763" spans="8:16" x14ac:dyDescent="0.25">
      <c r="H25763" s="12"/>
      <c r="I25763" s="12"/>
      <c r="J25763" s="12"/>
      <c r="K25763" s="12"/>
      <c r="L25763" s="12"/>
      <c r="M25763" s="11"/>
      <c r="N25763" s="11"/>
      <c r="O25763" s="11"/>
      <c r="P25763" s="11"/>
    </row>
    <row r="25764" spans="8:16" x14ac:dyDescent="0.25">
      <c r="H25764" s="12"/>
      <c r="I25764" s="12"/>
      <c r="J25764" s="12"/>
      <c r="K25764" s="12"/>
      <c r="L25764" s="12"/>
      <c r="M25764" s="11"/>
      <c r="N25764" s="11"/>
      <c r="O25764" s="11"/>
      <c r="P25764" s="11"/>
    </row>
    <row r="25765" spans="8:16" x14ac:dyDescent="0.25">
      <c r="H25765" s="12"/>
      <c r="I25765" s="12"/>
      <c r="J25765" s="12"/>
      <c r="K25765" s="12"/>
      <c r="L25765" s="12"/>
      <c r="M25765" s="11"/>
      <c r="N25765" s="11"/>
      <c r="O25765" s="11"/>
      <c r="P25765" s="11"/>
    </row>
    <row r="25766" spans="8:16" x14ac:dyDescent="0.25">
      <c r="H25766" s="12"/>
      <c r="I25766" s="12"/>
      <c r="J25766" s="12"/>
      <c r="K25766" s="12"/>
      <c r="L25766" s="12"/>
      <c r="M25766" s="11"/>
      <c r="N25766" s="11"/>
      <c r="O25766" s="11"/>
      <c r="P25766" s="11"/>
    </row>
    <row r="25767" spans="8:16" x14ac:dyDescent="0.25">
      <c r="H25767" s="12"/>
      <c r="I25767" s="12"/>
      <c r="J25767" s="12"/>
      <c r="K25767" s="12"/>
      <c r="L25767" s="12"/>
      <c r="M25767" s="11"/>
      <c r="N25767" s="11"/>
      <c r="O25767" s="11"/>
      <c r="P25767" s="11"/>
    </row>
    <row r="25768" spans="8:16" x14ac:dyDescent="0.25">
      <c r="H25768" s="12"/>
      <c r="I25768" s="12"/>
      <c r="J25768" s="12"/>
      <c r="K25768" s="12"/>
      <c r="L25768" s="12"/>
      <c r="M25768" s="11"/>
      <c r="N25768" s="11"/>
      <c r="O25768" s="11"/>
      <c r="P25768" s="11"/>
    </row>
    <row r="25769" spans="8:16" x14ac:dyDescent="0.25">
      <c r="H25769" s="12"/>
      <c r="I25769" s="12"/>
      <c r="J25769" s="12"/>
      <c r="K25769" s="12"/>
      <c r="L25769" s="12"/>
      <c r="M25769" s="11"/>
      <c r="N25769" s="11"/>
      <c r="O25769" s="11"/>
      <c r="P25769" s="11"/>
    </row>
    <row r="25770" spans="8:16" x14ac:dyDescent="0.25">
      <c r="H25770" s="12"/>
      <c r="I25770" s="12"/>
      <c r="J25770" s="12"/>
      <c r="K25770" s="12"/>
      <c r="L25770" s="12"/>
      <c r="M25770" s="11"/>
      <c r="N25770" s="11"/>
      <c r="O25770" s="11"/>
      <c r="P25770" s="11"/>
    </row>
    <row r="25771" spans="8:16" x14ac:dyDescent="0.25">
      <c r="H25771" s="12"/>
      <c r="I25771" s="12"/>
      <c r="J25771" s="12"/>
      <c r="K25771" s="12"/>
      <c r="L25771" s="12"/>
      <c r="M25771" s="11"/>
      <c r="N25771" s="11"/>
      <c r="O25771" s="11"/>
      <c r="P25771" s="11"/>
    </row>
    <row r="25772" spans="8:16" x14ac:dyDescent="0.25">
      <c r="H25772" s="12"/>
      <c r="I25772" s="12"/>
      <c r="J25772" s="12"/>
      <c r="K25772" s="12"/>
      <c r="L25772" s="12"/>
      <c r="M25772" s="11"/>
      <c r="N25772" s="11"/>
      <c r="O25772" s="11"/>
      <c r="P25772" s="11"/>
    </row>
    <row r="25773" spans="8:16" x14ac:dyDescent="0.25">
      <c r="H25773" s="12"/>
      <c r="I25773" s="12"/>
      <c r="J25773" s="12"/>
      <c r="K25773" s="12"/>
      <c r="L25773" s="12"/>
      <c r="M25773" s="11"/>
      <c r="N25773" s="11"/>
      <c r="O25773" s="11"/>
      <c r="P25773" s="11"/>
    </row>
    <row r="25774" spans="8:16" x14ac:dyDescent="0.25">
      <c r="H25774" s="12"/>
      <c r="I25774" s="12"/>
      <c r="J25774" s="12"/>
      <c r="K25774" s="12"/>
      <c r="L25774" s="12"/>
      <c r="M25774" s="11"/>
      <c r="N25774" s="11"/>
      <c r="O25774" s="11"/>
      <c r="P25774" s="11"/>
    </row>
    <row r="25775" spans="8:16" x14ac:dyDescent="0.25">
      <c r="H25775" s="12"/>
      <c r="I25775" s="12"/>
      <c r="J25775" s="12"/>
      <c r="K25775" s="12"/>
      <c r="L25775" s="12"/>
      <c r="M25775" s="11"/>
      <c r="N25775" s="11"/>
      <c r="O25775" s="11"/>
      <c r="P25775" s="11"/>
    </row>
    <row r="25776" spans="8:16" x14ac:dyDescent="0.25">
      <c r="H25776" s="12"/>
      <c r="I25776" s="12"/>
      <c r="J25776" s="12"/>
      <c r="K25776" s="12"/>
      <c r="L25776" s="12"/>
      <c r="M25776" s="11"/>
      <c r="N25776" s="11"/>
      <c r="O25776" s="11"/>
      <c r="P25776" s="11"/>
    </row>
    <row r="25777" spans="8:16" x14ac:dyDescent="0.25">
      <c r="H25777" s="12"/>
      <c r="I25777" s="12"/>
      <c r="J25777" s="12"/>
      <c r="K25777" s="12"/>
      <c r="L25777" s="12"/>
      <c r="M25777" s="11"/>
      <c r="N25777" s="11"/>
      <c r="O25777" s="11"/>
      <c r="P25777" s="11"/>
    </row>
    <row r="25778" spans="8:16" x14ac:dyDescent="0.25">
      <c r="H25778" s="12"/>
      <c r="I25778" s="12"/>
      <c r="J25778" s="12"/>
      <c r="K25778" s="12"/>
      <c r="L25778" s="12"/>
      <c r="M25778" s="11"/>
      <c r="N25778" s="11"/>
      <c r="O25778" s="11"/>
      <c r="P25778" s="11"/>
    </row>
    <row r="25779" spans="8:16" x14ac:dyDescent="0.25">
      <c r="H25779" s="12"/>
      <c r="I25779" s="12"/>
      <c r="J25779" s="12"/>
      <c r="K25779" s="12"/>
      <c r="L25779" s="12"/>
      <c r="M25779" s="11"/>
      <c r="N25779" s="11"/>
      <c r="O25779" s="11"/>
      <c r="P25779" s="11"/>
    </row>
    <row r="25780" spans="8:16" x14ac:dyDescent="0.25">
      <c r="H25780" s="12"/>
      <c r="I25780" s="12"/>
      <c r="J25780" s="12"/>
      <c r="K25780" s="12"/>
      <c r="L25780" s="12"/>
      <c r="M25780" s="11"/>
      <c r="N25780" s="11"/>
      <c r="O25780" s="11"/>
      <c r="P25780" s="11"/>
    </row>
    <row r="25781" spans="8:16" x14ac:dyDescent="0.25">
      <c r="H25781" s="12"/>
      <c r="I25781" s="12"/>
      <c r="J25781" s="12"/>
      <c r="K25781" s="12"/>
      <c r="L25781" s="12"/>
      <c r="M25781" s="11"/>
      <c r="N25781" s="11"/>
      <c r="O25781" s="11"/>
      <c r="P25781" s="11"/>
    </row>
    <row r="25782" spans="8:16" x14ac:dyDescent="0.25">
      <c r="H25782" s="12"/>
      <c r="I25782" s="12"/>
      <c r="J25782" s="12"/>
      <c r="K25782" s="12"/>
      <c r="L25782" s="12"/>
      <c r="M25782" s="11"/>
      <c r="N25782" s="11"/>
      <c r="O25782" s="11"/>
      <c r="P25782" s="11"/>
    </row>
    <row r="25783" spans="8:16" x14ac:dyDescent="0.25">
      <c r="H25783" s="12"/>
      <c r="I25783" s="12"/>
      <c r="J25783" s="12"/>
      <c r="K25783" s="12"/>
      <c r="L25783" s="12"/>
      <c r="M25783" s="11"/>
      <c r="N25783" s="11"/>
      <c r="O25783" s="11"/>
      <c r="P25783" s="11"/>
    </row>
    <row r="25784" spans="8:16" x14ac:dyDescent="0.25">
      <c r="H25784" s="12"/>
      <c r="I25784" s="12"/>
      <c r="J25784" s="12"/>
      <c r="K25784" s="12"/>
      <c r="L25784" s="12"/>
      <c r="M25784" s="11"/>
      <c r="N25784" s="11"/>
      <c r="O25784" s="11"/>
      <c r="P25784" s="11"/>
    </row>
    <row r="25785" spans="8:16" x14ac:dyDescent="0.25">
      <c r="H25785" s="12"/>
      <c r="I25785" s="12"/>
      <c r="J25785" s="12"/>
      <c r="K25785" s="12"/>
      <c r="L25785" s="12"/>
      <c r="M25785" s="11"/>
      <c r="N25785" s="11"/>
      <c r="O25785" s="11"/>
      <c r="P25785" s="11"/>
    </row>
    <row r="25786" spans="8:16" x14ac:dyDescent="0.25">
      <c r="H25786" s="12"/>
      <c r="I25786" s="12"/>
      <c r="J25786" s="12"/>
      <c r="K25786" s="12"/>
      <c r="L25786" s="12"/>
      <c r="M25786" s="11"/>
      <c r="N25786" s="11"/>
      <c r="O25786" s="11"/>
      <c r="P25786" s="11"/>
    </row>
    <row r="25787" spans="8:16" x14ac:dyDescent="0.25">
      <c r="H25787" s="12"/>
      <c r="I25787" s="12"/>
      <c r="J25787" s="12"/>
      <c r="K25787" s="12"/>
      <c r="L25787" s="12"/>
      <c r="M25787" s="11"/>
      <c r="N25787" s="11"/>
      <c r="O25787" s="11"/>
      <c r="P25787" s="11"/>
    </row>
    <row r="25788" spans="8:16" x14ac:dyDescent="0.25">
      <c r="H25788" s="12"/>
      <c r="I25788" s="12"/>
      <c r="J25788" s="12"/>
      <c r="K25788" s="12"/>
      <c r="L25788" s="12"/>
      <c r="M25788" s="11"/>
      <c r="N25788" s="11"/>
      <c r="O25788" s="11"/>
      <c r="P25788" s="11"/>
    </row>
    <row r="25789" spans="8:16" x14ac:dyDescent="0.25">
      <c r="H25789" s="12"/>
      <c r="I25789" s="12"/>
      <c r="J25789" s="12"/>
      <c r="K25789" s="12"/>
      <c r="L25789" s="12"/>
      <c r="M25789" s="11"/>
      <c r="N25789" s="11"/>
      <c r="O25789" s="11"/>
      <c r="P25789" s="11"/>
    </row>
    <row r="25790" spans="8:16" x14ac:dyDescent="0.25">
      <c r="H25790" s="12"/>
      <c r="I25790" s="12"/>
      <c r="J25790" s="12"/>
      <c r="K25790" s="12"/>
      <c r="L25790" s="12"/>
      <c r="M25790" s="11"/>
      <c r="N25790" s="11"/>
      <c r="O25790" s="11"/>
      <c r="P25790" s="11"/>
    </row>
    <row r="25791" spans="8:16" x14ac:dyDescent="0.25">
      <c r="H25791" s="12"/>
      <c r="I25791" s="12"/>
      <c r="J25791" s="12"/>
      <c r="K25791" s="12"/>
      <c r="L25791" s="12"/>
      <c r="M25791" s="11"/>
      <c r="N25791" s="11"/>
      <c r="O25791" s="11"/>
      <c r="P25791" s="11"/>
    </row>
    <row r="25792" spans="8:16" x14ac:dyDescent="0.25">
      <c r="H25792" s="12"/>
      <c r="I25792" s="12"/>
      <c r="J25792" s="12"/>
      <c r="K25792" s="12"/>
      <c r="L25792" s="12"/>
      <c r="M25792" s="11"/>
      <c r="N25792" s="11"/>
      <c r="O25792" s="11"/>
      <c r="P25792" s="11"/>
    </row>
    <row r="25793" spans="8:16" x14ac:dyDescent="0.25">
      <c r="H25793" s="12"/>
      <c r="I25793" s="12"/>
      <c r="J25793" s="12"/>
      <c r="K25793" s="12"/>
      <c r="L25793" s="12"/>
      <c r="M25793" s="11"/>
      <c r="N25793" s="11"/>
      <c r="O25793" s="11"/>
      <c r="P25793" s="11"/>
    </row>
    <row r="25794" spans="8:16" x14ac:dyDescent="0.25">
      <c r="H25794" s="12"/>
      <c r="I25794" s="12"/>
      <c r="J25794" s="12"/>
      <c r="K25794" s="12"/>
      <c r="L25794" s="12"/>
      <c r="M25794" s="11"/>
      <c r="N25794" s="11"/>
      <c r="O25794" s="11"/>
      <c r="P25794" s="11"/>
    </row>
    <row r="25795" spans="8:16" x14ac:dyDescent="0.25">
      <c r="H25795" s="12"/>
      <c r="I25795" s="12"/>
      <c r="J25795" s="12"/>
      <c r="K25795" s="12"/>
      <c r="L25795" s="12"/>
      <c r="M25795" s="11"/>
      <c r="N25795" s="11"/>
      <c r="O25795" s="11"/>
      <c r="P25795" s="11"/>
    </row>
    <row r="25796" spans="8:16" x14ac:dyDescent="0.25">
      <c r="H25796" s="12"/>
      <c r="I25796" s="12"/>
      <c r="J25796" s="12"/>
      <c r="K25796" s="12"/>
      <c r="L25796" s="12"/>
      <c r="M25796" s="11"/>
      <c r="N25796" s="11"/>
      <c r="O25796" s="11"/>
      <c r="P25796" s="11"/>
    </row>
    <row r="25797" spans="8:16" x14ac:dyDescent="0.25">
      <c r="H25797" s="12"/>
      <c r="I25797" s="12"/>
      <c r="J25797" s="12"/>
      <c r="K25797" s="12"/>
      <c r="L25797" s="12"/>
      <c r="M25797" s="11"/>
      <c r="N25797" s="11"/>
      <c r="O25797" s="11"/>
      <c r="P25797" s="11"/>
    </row>
    <row r="25798" spans="8:16" x14ac:dyDescent="0.25">
      <c r="H25798" s="12"/>
      <c r="I25798" s="12"/>
      <c r="J25798" s="12"/>
      <c r="K25798" s="12"/>
      <c r="L25798" s="12"/>
      <c r="M25798" s="11"/>
      <c r="N25798" s="11"/>
      <c r="O25798" s="11"/>
      <c r="P25798" s="11"/>
    </row>
    <row r="25799" spans="8:16" x14ac:dyDescent="0.25">
      <c r="H25799" s="12"/>
      <c r="I25799" s="12"/>
      <c r="J25799" s="12"/>
      <c r="K25799" s="12"/>
      <c r="L25799" s="12"/>
      <c r="M25799" s="11"/>
      <c r="N25799" s="11"/>
      <c r="O25799" s="11"/>
      <c r="P25799" s="11"/>
    </row>
    <row r="25800" spans="8:16" x14ac:dyDescent="0.25">
      <c r="H25800" s="12"/>
      <c r="I25800" s="12"/>
      <c r="J25800" s="12"/>
      <c r="K25800" s="12"/>
      <c r="L25800" s="12"/>
      <c r="M25800" s="11"/>
      <c r="N25800" s="11"/>
      <c r="O25800" s="11"/>
      <c r="P25800" s="11"/>
    </row>
    <row r="25801" spans="8:16" x14ac:dyDescent="0.25">
      <c r="H25801" s="12"/>
      <c r="I25801" s="12"/>
      <c r="J25801" s="12"/>
      <c r="K25801" s="12"/>
      <c r="L25801" s="12"/>
      <c r="M25801" s="11"/>
      <c r="N25801" s="11"/>
      <c r="O25801" s="11"/>
      <c r="P25801" s="11"/>
    </row>
    <row r="25802" spans="8:16" x14ac:dyDescent="0.25">
      <c r="H25802" s="12"/>
      <c r="I25802" s="12"/>
      <c r="J25802" s="12"/>
      <c r="K25802" s="12"/>
      <c r="L25802" s="12"/>
      <c r="M25802" s="11"/>
      <c r="N25802" s="11"/>
      <c r="O25802" s="11"/>
      <c r="P25802" s="11"/>
    </row>
    <row r="25803" spans="8:16" x14ac:dyDescent="0.25">
      <c r="H25803" s="12"/>
      <c r="I25803" s="12"/>
      <c r="J25803" s="12"/>
      <c r="K25803" s="12"/>
      <c r="L25803" s="12"/>
      <c r="M25803" s="11"/>
      <c r="N25803" s="11"/>
      <c r="O25803" s="11"/>
      <c r="P25803" s="11"/>
    </row>
    <row r="25804" spans="8:16" x14ac:dyDescent="0.25">
      <c r="H25804" s="12"/>
      <c r="I25804" s="12"/>
      <c r="J25804" s="12"/>
      <c r="K25804" s="12"/>
      <c r="L25804" s="12"/>
      <c r="M25804" s="11"/>
      <c r="N25804" s="11"/>
      <c r="O25804" s="11"/>
      <c r="P25804" s="11"/>
    </row>
    <row r="25805" spans="8:16" x14ac:dyDescent="0.25">
      <c r="H25805" s="12"/>
      <c r="I25805" s="12"/>
      <c r="J25805" s="12"/>
      <c r="K25805" s="12"/>
      <c r="L25805" s="12"/>
      <c r="M25805" s="11"/>
      <c r="N25805" s="11"/>
      <c r="O25805" s="11"/>
      <c r="P25805" s="11"/>
    </row>
    <row r="25806" spans="8:16" x14ac:dyDescent="0.25">
      <c r="H25806" s="12"/>
      <c r="I25806" s="12"/>
      <c r="J25806" s="12"/>
      <c r="K25806" s="12"/>
      <c r="L25806" s="12"/>
      <c r="M25806" s="11"/>
      <c r="N25806" s="11"/>
      <c r="O25806" s="11"/>
      <c r="P25806" s="11"/>
    </row>
    <row r="25807" spans="8:16" x14ac:dyDescent="0.25">
      <c r="H25807" s="12"/>
      <c r="I25807" s="12"/>
      <c r="J25807" s="12"/>
      <c r="K25807" s="12"/>
      <c r="L25807" s="12"/>
      <c r="M25807" s="11"/>
      <c r="N25807" s="11"/>
      <c r="O25807" s="11"/>
      <c r="P25807" s="11"/>
    </row>
    <row r="25808" spans="8:16" x14ac:dyDescent="0.25">
      <c r="H25808" s="12"/>
      <c r="I25808" s="12"/>
      <c r="J25808" s="12"/>
      <c r="K25808" s="12"/>
      <c r="L25808" s="12"/>
      <c r="M25808" s="11"/>
      <c r="N25808" s="11"/>
      <c r="O25808" s="11"/>
      <c r="P25808" s="11"/>
    </row>
    <row r="25809" spans="8:16" x14ac:dyDescent="0.25">
      <c r="H25809" s="12"/>
      <c r="I25809" s="12"/>
      <c r="J25809" s="12"/>
      <c r="K25809" s="12"/>
      <c r="L25809" s="12"/>
      <c r="M25809" s="11"/>
      <c r="N25809" s="11"/>
      <c r="O25809" s="11"/>
      <c r="P25809" s="11"/>
    </row>
    <row r="25810" spans="8:16" x14ac:dyDescent="0.25">
      <c r="H25810" s="12"/>
      <c r="I25810" s="12"/>
      <c r="J25810" s="12"/>
      <c r="K25810" s="12"/>
      <c r="L25810" s="12"/>
      <c r="M25810" s="11"/>
      <c r="N25810" s="11"/>
      <c r="O25810" s="11"/>
      <c r="P25810" s="11"/>
    </row>
    <row r="25811" spans="8:16" x14ac:dyDescent="0.25">
      <c r="H25811" s="12"/>
      <c r="I25811" s="12"/>
      <c r="J25811" s="12"/>
      <c r="K25811" s="12"/>
      <c r="L25811" s="12"/>
      <c r="M25811" s="11"/>
      <c r="N25811" s="11"/>
      <c r="O25811" s="11"/>
      <c r="P25811" s="11"/>
    </row>
    <row r="25812" spans="8:16" x14ac:dyDescent="0.25">
      <c r="H25812" s="12"/>
      <c r="I25812" s="12"/>
      <c r="J25812" s="12"/>
      <c r="K25812" s="12"/>
      <c r="L25812" s="12"/>
      <c r="M25812" s="11"/>
      <c r="N25812" s="11"/>
      <c r="O25812" s="11"/>
      <c r="P25812" s="11"/>
    </row>
    <row r="25813" spans="8:16" x14ac:dyDescent="0.25">
      <c r="H25813" s="12"/>
      <c r="I25813" s="12"/>
      <c r="J25813" s="12"/>
      <c r="K25813" s="12"/>
      <c r="L25813" s="12"/>
      <c r="M25813" s="11"/>
      <c r="N25813" s="11"/>
      <c r="O25813" s="11"/>
      <c r="P25813" s="11"/>
    </row>
    <row r="25814" spans="8:16" x14ac:dyDescent="0.25">
      <c r="H25814" s="12"/>
      <c r="I25814" s="12"/>
      <c r="J25814" s="12"/>
      <c r="K25814" s="12"/>
      <c r="L25814" s="12"/>
      <c r="M25814" s="11"/>
      <c r="N25814" s="11"/>
      <c r="O25814" s="11"/>
      <c r="P25814" s="11"/>
    </row>
    <row r="25815" spans="8:16" x14ac:dyDescent="0.25">
      <c r="H25815" s="12"/>
      <c r="I25815" s="12"/>
      <c r="J25815" s="12"/>
      <c r="K25815" s="12"/>
      <c r="L25815" s="12"/>
      <c r="M25815" s="11"/>
      <c r="N25815" s="11"/>
      <c r="O25815" s="11"/>
      <c r="P25815" s="11"/>
    </row>
    <row r="25816" spans="8:16" x14ac:dyDescent="0.25">
      <c r="H25816" s="12"/>
      <c r="I25816" s="12"/>
      <c r="J25816" s="12"/>
      <c r="K25816" s="12"/>
      <c r="L25816" s="12"/>
      <c r="M25816" s="11"/>
      <c r="N25816" s="11"/>
      <c r="O25816" s="11"/>
      <c r="P25816" s="11"/>
    </row>
    <row r="25817" spans="8:16" x14ac:dyDescent="0.25">
      <c r="H25817" s="12"/>
      <c r="I25817" s="12"/>
      <c r="J25817" s="12"/>
      <c r="K25817" s="12"/>
      <c r="L25817" s="12"/>
      <c r="M25817" s="11"/>
      <c r="N25817" s="11"/>
      <c r="O25817" s="11"/>
      <c r="P25817" s="11"/>
    </row>
    <row r="25818" spans="8:16" x14ac:dyDescent="0.25">
      <c r="H25818" s="12"/>
      <c r="I25818" s="12"/>
      <c r="J25818" s="12"/>
      <c r="K25818" s="12"/>
      <c r="L25818" s="12"/>
      <c r="M25818" s="11"/>
      <c r="N25818" s="11"/>
      <c r="O25818" s="11"/>
      <c r="P25818" s="11"/>
    </row>
    <row r="25819" spans="8:16" x14ac:dyDescent="0.25">
      <c r="H25819" s="12"/>
      <c r="I25819" s="12"/>
      <c r="J25819" s="12"/>
      <c r="K25819" s="12"/>
      <c r="L25819" s="12"/>
      <c r="M25819" s="11"/>
      <c r="N25819" s="11"/>
      <c r="O25819" s="11"/>
      <c r="P25819" s="11"/>
    </row>
    <row r="25820" spans="8:16" x14ac:dyDescent="0.25">
      <c r="H25820" s="12"/>
      <c r="I25820" s="12"/>
      <c r="J25820" s="12"/>
      <c r="K25820" s="12"/>
      <c r="L25820" s="12"/>
      <c r="M25820" s="11"/>
      <c r="N25820" s="11"/>
      <c r="O25820" s="11"/>
      <c r="P25820" s="11"/>
    </row>
    <row r="25821" spans="8:16" x14ac:dyDescent="0.25">
      <c r="H25821" s="12"/>
      <c r="I25821" s="12"/>
      <c r="J25821" s="12"/>
      <c r="K25821" s="12"/>
      <c r="L25821" s="12"/>
      <c r="M25821" s="11"/>
      <c r="N25821" s="11"/>
      <c r="O25821" s="11"/>
      <c r="P25821" s="11"/>
    </row>
    <row r="25822" spans="8:16" x14ac:dyDescent="0.25">
      <c r="H25822" s="12"/>
      <c r="I25822" s="12"/>
      <c r="J25822" s="12"/>
      <c r="K25822" s="12"/>
      <c r="L25822" s="12"/>
      <c r="M25822" s="11"/>
      <c r="N25822" s="11"/>
      <c r="O25822" s="11"/>
      <c r="P25822" s="11"/>
    </row>
    <row r="25823" spans="8:16" x14ac:dyDescent="0.25">
      <c r="H25823" s="12"/>
      <c r="I25823" s="12"/>
      <c r="J25823" s="12"/>
      <c r="K25823" s="12"/>
      <c r="L25823" s="12"/>
      <c r="M25823" s="11"/>
      <c r="N25823" s="11"/>
      <c r="O25823" s="11"/>
      <c r="P25823" s="11"/>
    </row>
    <row r="25824" spans="8:16" x14ac:dyDescent="0.25">
      <c r="H25824" s="12"/>
      <c r="I25824" s="12"/>
      <c r="J25824" s="12"/>
      <c r="K25824" s="12"/>
      <c r="L25824" s="12"/>
      <c r="M25824" s="11"/>
      <c r="N25824" s="11"/>
      <c r="O25824" s="11"/>
      <c r="P25824" s="11"/>
    </row>
    <row r="25825" spans="8:16" x14ac:dyDescent="0.25">
      <c r="H25825" s="12"/>
      <c r="I25825" s="12"/>
      <c r="J25825" s="12"/>
      <c r="K25825" s="12"/>
      <c r="L25825" s="12"/>
      <c r="M25825" s="11"/>
      <c r="N25825" s="11"/>
      <c r="O25825" s="11"/>
      <c r="P25825" s="11"/>
    </row>
    <row r="25826" spans="8:16" x14ac:dyDescent="0.25">
      <c r="H25826" s="12"/>
      <c r="I25826" s="12"/>
      <c r="J25826" s="12"/>
      <c r="K25826" s="12"/>
      <c r="L25826" s="12"/>
      <c r="M25826" s="11"/>
      <c r="N25826" s="11"/>
      <c r="O25826" s="11"/>
      <c r="P25826" s="11"/>
    </row>
    <row r="25827" spans="8:16" x14ac:dyDescent="0.25">
      <c r="H25827" s="12"/>
      <c r="I25827" s="12"/>
      <c r="J25827" s="12"/>
      <c r="K25827" s="12"/>
      <c r="L25827" s="12"/>
      <c r="M25827" s="11"/>
      <c r="N25827" s="11"/>
      <c r="O25827" s="11"/>
      <c r="P25827" s="11"/>
    </row>
    <row r="25828" spans="8:16" x14ac:dyDescent="0.25">
      <c r="H25828" s="12"/>
      <c r="I25828" s="12"/>
      <c r="J25828" s="12"/>
      <c r="K25828" s="12"/>
      <c r="L25828" s="12"/>
      <c r="M25828" s="11"/>
      <c r="N25828" s="11"/>
      <c r="O25828" s="11"/>
      <c r="P25828" s="11"/>
    </row>
    <row r="25829" spans="8:16" x14ac:dyDescent="0.25">
      <c r="H25829" s="12"/>
      <c r="I25829" s="12"/>
      <c r="J25829" s="12"/>
      <c r="K25829" s="12"/>
      <c r="L25829" s="12"/>
      <c r="M25829" s="11"/>
      <c r="N25829" s="11"/>
      <c r="O25829" s="11"/>
      <c r="P25829" s="11"/>
    </row>
    <row r="25830" spans="8:16" x14ac:dyDescent="0.25">
      <c r="H25830" s="12"/>
      <c r="I25830" s="12"/>
      <c r="J25830" s="12"/>
      <c r="K25830" s="12"/>
      <c r="L25830" s="12"/>
      <c r="M25830" s="11"/>
      <c r="N25830" s="11"/>
      <c r="O25830" s="11"/>
      <c r="P25830" s="11"/>
    </row>
    <row r="25831" spans="8:16" x14ac:dyDescent="0.25">
      <c r="H25831" s="12"/>
      <c r="I25831" s="12"/>
      <c r="J25831" s="12"/>
      <c r="K25831" s="12"/>
      <c r="L25831" s="12"/>
      <c r="M25831" s="11"/>
      <c r="N25831" s="11"/>
      <c r="O25831" s="11"/>
      <c r="P25831" s="11"/>
    </row>
    <row r="25832" spans="8:16" x14ac:dyDescent="0.25">
      <c r="H25832" s="12"/>
      <c r="I25832" s="12"/>
      <c r="J25832" s="12"/>
      <c r="K25832" s="12"/>
      <c r="L25832" s="12"/>
      <c r="M25832" s="11"/>
      <c r="N25832" s="11"/>
      <c r="O25832" s="11"/>
      <c r="P25832" s="11"/>
    </row>
    <row r="25833" spans="8:16" x14ac:dyDescent="0.25">
      <c r="H25833" s="12"/>
      <c r="I25833" s="12"/>
      <c r="J25833" s="12"/>
      <c r="K25833" s="12"/>
      <c r="L25833" s="12"/>
      <c r="M25833" s="11"/>
      <c r="N25833" s="11"/>
      <c r="O25833" s="11"/>
      <c r="P25833" s="11"/>
    </row>
    <row r="25834" spans="8:16" x14ac:dyDescent="0.25">
      <c r="H25834" s="12"/>
      <c r="I25834" s="12"/>
      <c r="J25834" s="12"/>
      <c r="K25834" s="12"/>
      <c r="L25834" s="12"/>
      <c r="M25834" s="11"/>
      <c r="N25834" s="11"/>
      <c r="O25834" s="11"/>
      <c r="P25834" s="11"/>
    </row>
    <row r="25835" spans="8:16" x14ac:dyDescent="0.25">
      <c r="H25835" s="12"/>
      <c r="I25835" s="12"/>
      <c r="J25835" s="12"/>
      <c r="K25835" s="12"/>
      <c r="L25835" s="12"/>
      <c r="M25835" s="11"/>
      <c r="N25835" s="11"/>
      <c r="O25835" s="11"/>
      <c r="P25835" s="11"/>
    </row>
    <row r="25836" spans="8:16" x14ac:dyDescent="0.25">
      <c r="H25836" s="12"/>
      <c r="I25836" s="12"/>
      <c r="J25836" s="12"/>
      <c r="K25836" s="12"/>
      <c r="L25836" s="12"/>
      <c r="M25836" s="11"/>
      <c r="N25836" s="11"/>
      <c r="O25836" s="11"/>
      <c r="P25836" s="11"/>
    </row>
    <row r="25837" spans="8:16" x14ac:dyDescent="0.25">
      <c r="H25837" s="12"/>
      <c r="I25837" s="12"/>
      <c r="J25837" s="12"/>
      <c r="K25837" s="12"/>
      <c r="L25837" s="12"/>
      <c r="M25837" s="11"/>
      <c r="N25837" s="11"/>
      <c r="O25837" s="11"/>
      <c r="P25837" s="11"/>
    </row>
    <row r="25838" spans="8:16" x14ac:dyDescent="0.25">
      <c r="H25838" s="12"/>
      <c r="I25838" s="12"/>
      <c r="J25838" s="12"/>
      <c r="K25838" s="12"/>
      <c r="L25838" s="12"/>
      <c r="M25838" s="11"/>
      <c r="N25838" s="11"/>
      <c r="O25838" s="11"/>
      <c r="P25838" s="11"/>
    </row>
    <row r="25839" spans="8:16" x14ac:dyDescent="0.25">
      <c r="H25839" s="12"/>
      <c r="I25839" s="12"/>
      <c r="J25839" s="12"/>
      <c r="K25839" s="12"/>
      <c r="L25839" s="12"/>
      <c r="M25839" s="11"/>
      <c r="N25839" s="11"/>
      <c r="O25839" s="11"/>
      <c r="P25839" s="11"/>
    </row>
    <row r="25840" spans="8:16" x14ac:dyDescent="0.25">
      <c r="H25840" s="12"/>
      <c r="I25840" s="12"/>
      <c r="J25840" s="12"/>
      <c r="K25840" s="12"/>
      <c r="L25840" s="12"/>
      <c r="M25840" s="11"/>
      <c r="N25840" s="11"/>
      <c r="O25840" s="11"/>
      <c r="P25840" s="11"/>
    </row>
    <row r="25841" spans="8:16" x14ac:dyDescent="0.25">
      <c r="H25841" s="12"/>
      <c r="I25841" s="12"/>
      <c r="J25841" s="12"/>
      <c r="K25841" s="12"/>
      <c r="L25841" s="12"/>
      <c r="M25841" s="11"/>
      <c r="N25841" s="11"/>
      <c r="O25841" s="11"/>
      <c r="P25841" s="11"/>
    </row>
    <row r="25842" spans="8:16" x14ac:dyDescent="0.25">
      <c r="H25842" s="12"/>
      <c r="I25842" s="12"/>
      <c r="J25842" s="12"/>
      <c r="K25842" s="12"/>
      <c r="L25842" s="12"/>
      <c r="M25842" s="11"/>
      <c r="N25842" s="11"/>
      <c r="O25842" s="11"/>
      <c r="P25842" s="11"/>
    </row>
    <row r="25843" spans="8:16" x14ac:dyDescent="0.25">
      <c r="H25843" s="12"/>
      <c r="I25843" s="12"/>
      <c r="J25843" s="12"/>
      <c r="K25843" s="12"/>
      <c r="L25843" s="12"/>
      <c r="M25843" s="11"/>
      <c r="N25843" s="11"/>
      <c r="O25843" s="11"/>
      <c r="P25843" s="11"/>
    </row>
    <row r="25844" spans="8:16" x14ac:dyDescent="0.25">
      <c r="H25844" s="12"/>
      <c r="I25844" s="12"/>
      <c r="J25844" s="12"/>
      <c r="K25844" s="12"/>
      <c r="L25844" s="12"/>
      <c r="M25844" s="11"/>
      <c r="N25844" s="11"/>
      <c r="O25844" s="11"/>
      <c r="P25844" s="11"/>
    </row>
    <row r="25845" spans="8:16" x14ac:dyDescent="0.25">
      <c r="H25845" s="12"/>
      <c r="I25845" s="12"/>
      <c r="J25845" s="12"/>
      <c r="K25845" s="12"/>
      <c r="L25845" s="12"/>
      <c r="M25845" s="11"/>
      <c r="N25845" s="11"/>
      <c r="O25845" s="11"/>
      <c r="P25845" s="11"/>
    </row>
    <row r="25846" spans="8:16" x14ac:dyDescent="0.25">
      <c r="H25846" s="12"/>
      <c r="I25846" s="12"/>
      <c r="J25846" s="12"/>
      <c r="K25846" s="12"/>
      <c r="L25846" s="12"/>
      <c r="M25846" s="11"/>
      <c r="N25846" s="11"/>
      <c r="O25846" s="11"/>
      <c r="P25846" s="11"/>
    </row>
    <row r="25847" spans="8:16" x14ac:dyDescent="0.25">
      <c r="H25847" s="12"/>
      <c r="I25847" s="12"/>
      <c r="J25847" s="12"/>
      <c r="K25847" s="12"/>
      <c r="L25847" s="12"/>
      <c r="M25847" s="11"/>
      <c r="N25847" s="11"/>
      <c r="O25847" s="11"/>
      <c r="P25847" s="11"/>
    </row>
    <row r="25848" spans="8:16" x14ac:dyDescent="0.25">
      <c r="H25848" s="12"/>
      <c r="I25848" s="12"/>
      <c r="J25848" s="12"/>
      <c r="K25848" s="12"/>
      <c r="L25848" s="12"/>
      <c r="M25848" s="11"/>
      <c r="N25848" s="11"/>
      <c r="O25848" s="11"/>
      <c r="P25848" s="11"/>
    </row>
    <row r="25849" spans="8:16" x14ac:dyDescent="0.25">
      <c r="H25849" s="12"/>
      <c r="I25849" s="12"/>
      <c r="J25849" s="12"/>
      <c r="K25849" s="12"/>
      <c r="L25849" s="12"/>
      <c r="M25849" s="11"/>
      <c r="N25849" s="11"/>
      <c r="O25849" s="11"/>
      <c r="P25849" s="11"/>
    </row>
    <row r="25850" spans="8:16" x14ac:dyDescent="0.25">
      <c r="H25850" s="12"/>
      <c r="I25850" s="12"/>
      <c r="J25850" s="12"/>
      <c r="K25850" s="12"/>
      <c r="L25850" s="12"/>
      <c r="M25850" s="11"/>
      <c r="N25850" s="11"/>
      <c r="O25850" s="11"/>
      <c r="P25850" s="11"/>
    </row>
    <row r="25851" spans="8:16" x14ac:dyDescent="0.25">
      <c r="H25851" s="12"/>
      <c r="I25851" s="12"/>
      <c r="J25851" s="12"/>
      <c r="K25851" s="12"/>
      <c r="L25851" s="12"/>
      <c r="M25851" s="11"/>
      <c r="N25851" s="11"/>
      <c r="O25851" s="11"/>
      <c r="P25851" s="11"/>
    </row>
    <row r="25852" spans="8:16" x14ac:dyDescent="0.25">
      <c r="H25852" s="12"/>
      <c r="I25852" s="12"/>
      <c r="J25852" s="12"/>
      <c r="K25852" s="12"/>
      <c r="L25852" s="12"/>
      <c r="M25852" s="11"/>
      <c r="N25852" s="11"/>
      <c r="O25852" s="11"/>
      <c r="P25852" s="11"/>
    </row>
    <row r="25853" spans="8:16" x14ac:dyDescent="0.25">
      <c r="H25853" s="12"/>
      <c r="I25853" s="12"/>
      <c r="J25853" s="12"/>
      <c r="K25853" s="12"/>
      <c r="L25853" s="12"/>
      <c r="M25853" s="11"/>
      <c r="N25853" s="11"/>
      <c r="O25853" s="11"/>
      <c r="P25853" s="11"/>
    </row>
    <row r="25854" spans="8:16" x14ac:dyDescent="0.25">
      <c r="H25854" s="12"/>
      <c r="I25854" s="12"/>
      <c r="J25854" s="12"/>
      <c r="K25854" s="12"/>
      <c r="L25854" s="12"/>
      <c r="M25854" s="11"/>
      <c r="N25854" s="11"/>
      <c r="O25854" s="11"/>
      <c r="P25854" s="11"/>
    </row>
    <row r="25855" spans="8:16" x14ac:dyDescent="0.25">
      <c r="H25855" s="12"/>
      <c r="I25855" s="12"/>
      <c r="J25855" s="12"/>
      <c r="K25855" s="12"/>
      <c r="L25855" s="12"/>
      <c r="M25855" s="11"/>
      <c r="N25855" s="11"/>
      <c r="O25855" s="11"/>
      <c r="P25855" s="11"/>
    </row>
    <row r="25856" spans="8:16" x14ac:dyDescent="0.25">
      <c r="H25856" s="12"/>
      <c r="I25856" s="12"/>
      <c r="J25856" s="12"/>
      <c r="K25856" s="12"/>
      <c r="L25856" s="12"/>
      <c r="M25856" s="11"/>
      <c r="N25856" s="11"/>
      <c r="O25856" s="11"/>
      <c r="P25856" s="11"/>
    </row>
    <row r="25857" spans="8:16" x14ac:dyDescent="0.25">
      <c r="H25857" s="12"/>
      <c r="I25857" s="12"/>
      <c r="J25857" s="12"/>
      <c r="K25857" s="12"/>
      <c r="L25857" s="12"/>
      <c r="M25857" s="11"/>
      <c r="N25857" s="11"/>
      <c r="O25857" s="11"/>
      <c r="P25857" s="11"/>
    </row>
    <row r="25858" spans="8:16" x14ac:dyDescent="0.25">
      <c r="H25858" s="12"/>
      <c r="I25858" s="12"/>
      <c r="J25858" s="12"/>
      <c r="K25858" s="12"/>
      <c r="L25858" s="12"/>
      <c r="M25858" s="11"/>
      <c r="N25858" s="11"/>
      <c r="O25858" s="11"/>
      <c r="P25858" s="11"/>
    </row>
    <row r="25859" spans="8:16" x14ac:dyDescent="0.25">
      <c r="H25859" s="12"/>
      <c r="I25859" s="12"/>
      <c r="J25859" s="12"/>
      <c r="K25859" s="12"/>
      <c r="L25859" s="12"/>
      <c r="M25859" s="11"/>
      <c r="N25859" s="11"/>
      <c r="O25859" s="11"/>
      <c r="P25859" s="11"/>
    </row>
    <row r="25860" spans="8:16" x14ac:dyDescent="0.25">
      <c r="H25860" s="12"/>
      <c r="I25860" s="12"/>
      <c r="J25860" s="12"/>
      <c r="K25860" s="12"/>
      <c r="L25860" s="12"/>
      <c r="M25860" s="11"/>
      <c r="N25860" s="11"/>
      <c r="O25860" s="11"/>
      <c r="P25860" s="11"/>
    </row>
    <row r="25861" spans="8:16" x14ac:dyDescent="0.25">
      <c r="H25861" s="12"/>
      <c r="I25861" s="12"/>
      <c r="J25861" s="12"/>
      <c r="K25861" s="12"/>
      <c r="L25861" s="12"/>
      <c r="M25861" s="11"/>
      <c r="N25861" s="11"/>
      <c r="O25861" s="11"/>
      <c r="P25861" s="11"/>
    </row>
    <row r="25862" spans="8:16" x14ac:dyDescent="0.25">
      <c r="H25862" s="12"/>
      <c r="I25862" s="12"/>
      <c r="J25862" s="12"/>
      <c r="K25862" s="12"/>
      <c r="L25862" s="12"/>
      <c r="M25862" s="11"/>
      <c r="N25862" s="11"/>
      <c r="O25862" s="11"/>
      <c r="P25862" s="11"/>
    </row>
    <row r="25863" spans="8:16" x14ac:dyDescent="0.25">
      <c r="H25863" s="12"/>
      <c r="I25863" s="12"/>
      <c r="J25863" s="12"/>
      <c r="K25863" s="12"/>
      <c r="L25863" s="12"/>
      <c r="M25863" s="11"/>
      <c r="N25863" s="11"/>
      <c r="O25863" s="11"/>
      <c r="P25863" s="11"/>
    </row>
    <row r="25864" spans="8:16" x14ac:dyDescent="0.25">
      <c r="H25864" s="12"/>
      <c r="I25864" s="12"/>
      <c r="J25864" s="12"/>
      <c r="K25864" s="12"/>
      <c r="L25864" s="12"/>
      <c r="M25864" s="11"/>
      <c r="N25864" s="11"/>
      <c r="O25864" s="11"/>
      <c r="P25864" s="11"/>
    </row>
    <row r="25865" spans="8:16" x14ac:dyDescent="0.25">
      <c r="H25865" s="12"/>
      <c r="I25865" s="12"/>
      <c r="J25865" s="12"/>
      <c r="K25865" s="12"/>
      <c r="L25865" s="12"/>
      <c r="M25865" s="11"/>
      <c r="N25865" s="11"/>
      <c r="O25865" s="11"/>
      <c r="P25865" s="11"/>
    </row>
    <row r="25866" spans="8:16" x14ac:dyDescent="0.25">
      <c r="H25866" s="12"/>
      <c r="I25866" s="12"/>
      <c r="J25866" s="12"/>
      <c r="K25866" s="12"/>
      <c r="L25866" s="12"/>
      <c r="M25866" s="11"/>
      <c r="N25866" s="11"/>
      <c r="O25866" s="11"/>
      <c r="P25866" s="11"/>
    </row>
    <row r="25867" spans="8:16" x14ac:dyDescent="0.25">
      <c r="H25867" s="12"/>
      <c r="I25867" s="12"/>
      <c r="J25867" s="12"/>
      <c r="K25867" s="12"/>
      <c r="L25867" s="12"/>
      <c r="M25867" s="11"/>
      <c r="N25867" s="11"/>
      <c r="O25867" s="11"/>
      <c r="P25867" s="11"/>
    </row>
    <row r="25868" spans="8:16" x14ac:dyDescent="0.25">
      <c r="H25868" s="12"/>
      <c r="I25868" s="12"/>
      <c r="J25868" s="12"/>
      <c r="K25868" s="12"/>
      <c r="L25868" s="12"/>
      <c r="M25868" s="11"/>
      <c r="N25868" s="11"/>
      <c r="O25868" s="11"/>
      <c r="P25868" s="11"/>
    </row>
    <row r="25869" spans="8:16" x14ac:dyDescent="0.25">
      <c r="H25869" s="12"/>
      <c r="I25869" s="12"/>
      <c r="J25869" s="12"/>
      <c r="K25869" s="12"/>
      <c r="L25869" s="12"/>
      <c r="M25869" s="11"/>
      <c r="N25869" s="11"/>
      <c r="O25869" s="11"/>
      <c r="P25869" s="11"/>
    </row>
    <row r="25870" spans="8:16" x14ac:dyDescent="0.25">
      <c r="H25870" s="12"/>
      <c r="I25870" s="12"/>
      <c r="J25870" s="12"/>
      <c r="K25870" s="12"/>
      <c r="L25870" s="12"/>
      <c r="M25870" s="11"/>
      <c r="N25870" s="11"/>
      <c r="O25870" s="11"/>
      <c r="P25870" s="11"/>
    </row>
    <row r="25871" spans="8:16" x14ac:dyDescent="0.25">
      <c r="H25871" s="12"/>
      <c r="I25871" s="12"/>
      <c r="J25871" s="12"/>
      <c r="K25871" s="12"/>
      <c r="L25871" s="12"/>
      <c r="M25871" s="11"/>
      <c r="N25871" s="11"/>
      <c r="O25871" s="11"/>
      <c r="P25871" s="11"/>
    </row>
    <row r="25872" spans="8:16" x14ac:dyDescent="0.25">
      <c r="H25872" s="12"/>
      <c r="I25872" s="12"/>
      <c r="J25872" s="12"/>
      <c r="K25872" s="12"/>
      <c r="L25872" s="12"/>
      <c r="M25872" s="11"/>
      <c r="N25872" s="11"/>
      <c r="O25872" s="11"/>
      <c r="P25872" s="11"/>
    </row>
    <row r="25873" spans="8:16" x14ac:dyDescent="0.25">
      <c r="H25873" s="12"/>
      <c r="I25873" s="12"/>
      <c r="J25873" s="12"/>
      <c r="K25873" s="12"/>
      <c r="L25873" s="12"/>
      <c r="M25873" s="11"/>
      <c r="N25873" s="11"/>
      <c r="O25873" s="11"/>
      <c r="P25873" s="11"/>
    </row>
    <row r="25874" spans="8:16" x14ac:dyDescent="0.25">
      <c r="H25874" s="12"/>
      <c r="I25874" s="12"/>
      <c r="J25874" s="12"/>
      <c r="K25874" s="12"/>
      <c r="L25874" s="12"/>
      <c r="M25874" s="11"/>
      <c r="N25874" s="11"/>
      <c r="O25874" s="11"/>
      <c r="P25874" s="11"/>
    </row>
    <row r="25875" spans="8:16" x14ac:dyDescent="0.25">
      <c r="H25875" s="12"/>
      <c r="I25875" s="12"/>
      <c r="J25875" s="12"/>
      <c r="K25875" s="12"/>
      <c r="L25875" s="12"/>
      <c r="M25875" s="11"/>
      <c r="N25875" s="11"/>
      <c r="O25875" s="11"/>
      <c r="P25875" s="11"/>
    </row>
    <row r="25876" spans="8:16" x14ac:dyDescent="0.25">
      <c r="H25876" s="12"/>
      <c r="I25876" s="12"/>
      <c r="J25876" s="12"/>
      <c r="K25876" s="12"/>
      <c r="L25876" s="12"/>
      <c r="M25876" s="11"/>
      <c r="N25876" s="11"/>
      <c r="O25876" s="11"/>
      <c r="P25876" s="11"/>
    </row>
    <row r="25877" spans="8:16" x14ac:dyDescent="0.25">
      <c r="H25877" s="12"/>
      <c r="I25877" s="12"/>
      <c r="J25877" s="12"/>
      <c r="K25877" s="12"/>
      <c r="L25877" s="12"/>
      <c r="M25877" s="11"/>
      <c r="N25877" s="11"/>
      <c r="O25877" s="11"/>
      <c r="P25877" s="11"/>
    </row>
    <row r="25878" spans="8:16" x14ac:dyDescent="0.25">
      <c r="H25878" s="12"/>
      <c r="I25878" s="12"/>
      <c r="J25878" s="12"/>
      <c r="K25878" s="12"/>
      <c r="L25878" s="12"/>
      <c r="M25878" s="11"/>
      <c r="N25878" s="11"/>
      <c r="O25878" s="11"/>
      <c r="P25878" s="11"/>
    </row>
    <row r="25879" spans="8:16" x14ac:dyDescent="0.25">
      <c r="H25879" s="12"/>
      <c r="I25879" s="12"/>
      <c r="J25879" s="12"/>
      <c r="K25879" s="12"/>
      <c r="L25879" s="12"/>
      <c r="M25879" s="11"/>
      <c r="N25879" s="11"/>
      <c r="O25879" s="11"/>
      <c r="P25879" s="11"/>
    </row>
    <row r="25880" spans="8:16" x14ac:dyDescent="0.25">
      <c r="H25880" s="12"/>
      <c r="I25880" s="12"/>
      <c r="J25880" s="12"/>
      <c r="K25880" s="12"/>
      <c r="L25880" s="12"/>
      <c r="M25880" s="11"/>
      <c r="N25880" s="11"/>
      <c r="O25880" s="11"/>
      <c r="P25880" s="11"/>
    </row>
    <row r="25881" spans="8:16" x14ac:dyDescent="0.25">
      <c r="H25881" s="12"/>
      <c r="I25881" s="12"/>
      <c r="J25881" s="12"/>
      <c r="K25881" s="12"/>
      <c r="L25881" s="12"/>
      <c r="M25881" s="11"/>
      <c r="N25881" s="11"/>
      <c r="O25881" s="11"/>
      <c r="P25881" s="11"/>
    </row>
    <row r="25882" spans="8:16" x14ac:dyDescent="0.25">
      <c r="H25882" s="12"/>
      <c r="I25882" s="12"/>
      <c r="J25882" s="12"/>
      <c r="K25882" s="12"/>
      <c r="L25882" s="12"/>
      <c r="M25882" s="11"/>
      <c r="N25882" s="11"/>
      <c r="O25882" s="11"/>
      <c r="P25882" s="11"/>
    </row>
    <row r="25883" spans="8:16" x14ac:dyDescent="0.25">
      <c r="H25883" s="12"/>
      <c r="I25883" s="12"/>
      <c r="J25883" s="12"/>
      <c r="K25883" s="12"/>
      <c r="L25883" s="12"/>
      <c r="M25883" s="11"/>
      <c r="N25883" s="11"/>
      <c r="O25883" s="11"/>
      <c r="P25883" s="11"/>
    </row>
    <row r="25884" spans="8:16" x14ac:dyDescent="0.25">
      <c r="H25884" s="12"/>
      <c r="I25884" s="12"/>
      <c r="J25884" s="12"/>
      <c r="K25884" s="12"/>
      <c r="L25884" s="12"/>
      <c r="M25884" s="11"/>
      <c r="N25884" s="11"/>
      <c r="O25884" s="11"/>
      <c r="P25884" s="11"/>
    </row>
    <row r="25885" spans="8:16" x14ac:dyDescent="0.25">
      <c r="H25885" s="12"/>
      <c r="I25885" s="12"/>
      <c r="J25885" s="12"/>
      <c r="K25885" s="12"/>
      <c r="L25885" s="12"/>
      <c r="M25885" s="11"/>
      <c r="N25885" s="11"/>
      <c r="O25885" s="11"/>
      <c r="P25885" s="11"/>
    </row>
    <row r="25886" spans="8:16" x14ac:dyDescent="0.25">
      <c r="H25886" s="12"/>
      <c r="I25886" s="12"/>
      <c r="J25886" s="12"/>
      <c r="K25886" s="12"/>
      <c r="L25886" s="12"/>
      <c r="M25886" s="11"/>
      <c r="N25886" s="11"/>
      <c r="O25886" s="11"/>
      <c r="P25886" s="11"/>
    </row>
    <row r="25887" spans="8:16" x14ac:dyDescent="0.25">
      <c r="H25887" s="12"/>
      <c r="I25887" s="12"/>
      <c r="J25887" s="12"/>
      <c r="K25887" s="12"/>
      <c r="L25887" s="12"/>
      <c r="M25887" s="11"/>
      <c r="N25887" s="11"/>
      <c r="O25887" s="11"/>
      <c r="P25887" s="11"/>
    </row>
    <row r="25888" spans="8:16" x14ac:dyDescent="0.25">
      <c r="H25888" s="12"/>
      <c r="I25888" s="12"/>
      <c r="J25888" s="12"/>
      <c r="K25888" s="12"/>
      <c r="L25888" s="12"/>
      <c r="M25888" s="11"/>
      <c r="N25888" s="11"/>
      <c r="O25888" s="11"/>
      <c r="P25888" s="11"/>
    </row>
    <row r="25889" spans="8:16" x14ac:dyDescent="0.25">
      <c r="H25889" s="12"/>
      <c r="I25889" s="12"/>
      <c r="J25889" s="12"/>
      <c r="K25889" s="12"/>
      <c r="L25889" s="12"/>
      <c r="M25889" s="11"/>
      <c r="N25889" s="11"/>
      <c r="O25889" s="11"/>
      <c r="P25889" s="11"/>
    </row>
    <row r="25890" spans="8:16" x14ac:dyDescent="0.25">
      <c r="H25890" s="12"/>
      <c r="I25890" s="12"/>
      <c r="J25890" s="12"/>
      <c r="K25890" s="12"/>
      <c r="L25890" s="12"/>
      <c r="M25890" s="11"/>
      <c r="N25890" s="11"/>
      <c r="O25890" s="11"/>
      <c r="P25890" s="11"/>
    </row>
    <row r="25891" spans="8:16" x14ac:dyDescent="0.25">
      <c r="H25891" s="12"/>
      <c r="I25891" s="12"/>
      <c r="J25891" s="12"/>
      <c r="K25891" s="12"/>
      <c r="L25891" s="12"/>
      <c r="M25891" s="11"/>
      <c r="N25891" s="11"/>
      <c r="O25891" s="11"/>
      <c r="P25891" s="11"/>
    </row>
    <row r="25892" spans="8:16" x14ac:dyDescent="0.25">
      <c r="H25892" s="12"/>
      <c r="I25892" s="12"/>
      <c r="J25892" s="12"/>
      <c r="K25892" s="12"/>
      <c r="L25892" s="12"/>
      <c r="M25892" s="11"/>
      <c r="N25892" s="11"/>
      <c r="O25892" s="11"/>
      <c r="P25892" s="11"/>
    </row>
    <row r="25893" spans="8:16" x14ac:dyDescent="0.25">
      <c r="H25893" s="12"/>
      <c r="I25893" s="12"/>
      <c r="J25893" s="12"/>
      <c r="K25893" s="12"/>
      <c r="L25893" s="12"/>
      <c r="M25893" s="11"/>
      <c r="N25893" s="11"/>
      <c r="O25893" s="11"/>
      <c r="P25893" s="11"/>
    </row>
    <row r="25894" spans="8:16" x14ac:dyDescent="0.25">
      <c r="H25894" s="12"/>
      <c r="I25894" s="12"/>
      <c r="J25894" s="12"/>
      <c r="K25894" s="12"/>
      <c r="L25894" s="12"/>
      <c r="M25894" s="11"/>
      <c r="N25894" s="11"/>
      <c r="O25894" s="11"/>
      <c r="P25894" s="11"/>
    </row>
    <row r="25895" spans="8:16" x14ac:dyDescent="0.25">
      <c r="H25895" s="12"/>
      <c r="I25895" s="12"/>
      <c r="J25895" s="12"/>
      <c r="K25895" s="12"/>
      <c r="L25895" s="12"/>
      <c r="M25895" s="11"/>
      <c r="N25895" s="11"/>
      <c r="O25895" s="11"/>
      <c r="P25895" s="11"/>
    </row>
    <row r="25896" spans="8:16" x14ac:dyDescent="0.25">
      <c r="H25896" s="12"/>
      <c r="I25896" s="12"/>
      <c r="J25896" s="12"/>
      <c r="K25896" s="12"/>
      <c r="L25896" s="12"/>
      <c r="M25896" s="11"/>
      <c r="N25896" s="11"/>
      <c r="O25896" s="11"/>
      <c r="P25896" s="11"/>
    </row>
    <row r="25897" spans="8:16" x14ac:dyDescent="0.25">
      <c r="H25897" s="12"/>
      <c r="I25897" s="12"/>
      <c r="J25897" s="12"/>
      <c r="K25897" s="12"/>
      <c r="L25897" s="12"/>
      <c r="M25897" s="11"/>
      <c r="N25897" s="11"/>
      <c r="O25897" s="11"/>
      <c r="P25897" s="11"/>
    </row>
    <row r="25898" spans="8:16" x14ac:dyDescent="0.25">
      <c r="H25898" s="12"/>
      <c r="I25898" s="12"/>
      <c r="J25898" s="12"/>
      <c r="K25898" s="12"/>
      <c r="L25898" s="12"/>
      <c r="M25898" s="11"/>
      <c r="N25898" s="11"/>
      <c r="O25898" s="11"/>
      <c r="P25898" s="11"/>
    </row>
    <row r="25899" spans="8:16" x14ac:dyDescent="0.25">
      <c r="H25899" s="12"/>
      <c r="I25899" s="12"/>
      <c r="J25899" s="12"/>
      <c r="K25899" s="12"/>
      <c r="L25899" s="12"/>
      <c r="M25899" s="11"/>
      <c r="N25899" s="11"/>
      <c r="O25899" s="11"/>
      <c r="P25899" s="11"/>
    </row>
    <row r="25900" spans="8:16" x14ac:dyDescent="0.25">
      <c r="H25900" s="12"/>
      <c r="I25900" s="12"/>
      <c r="J25900" s="12"/>
      <c r="K25900" s="12"/>
      <c r="L25900" s="12"/>
      <c r="M25900" s="11"/>
      <c r="N25900" s="11"/>
      <c r="O25900" s="11"/>
      <c r="P25900" s="11"/>
    </row>
    <row r="25901" spans="8:16" x14ac:dyDescent="0.25">
      <c r="H25901" s="12"/>
      <c r="I25901" s="12"/>
      <c r="J25901" s="12"/>
      <c r="K25901" s="12"/>
      <c r="L25901" s="12"/>
      <c r="M25901" s="11"/>
      <c r="N25901" s="11"/>
      <c r="O25901" s="11"/>
      <c r="P25901" s="11"/>
    </row>
    <row r="25902" spans="8:16" x14ac:dyDescent="0.25">
      <c r="H25902" s="12"/>
      <c r="I25902" s="12"/>
      <c r="J25902" s="12"/>
      <c r="K25902" s="12"/>
      <c r="L25902" s="12"/>
      <c r="M25902" s="11"/>
      <c r="N25902" s="11"/>
      <c r="O25902" s="11"/>
      <c r="P25902" s="11"/>
    </row>
    <row r="25903" spans="8:16" x14ac:dyDescent="0.25">
      <c r="H25903" s="12"/>
      <c r="I25903" s="12"/>
      <c r="J25903" s="12"/>
      <c r="K25903" s="12"/>
      <c r="L25903" s="12"/>
      <c r="M25903" s="11"/>
      <c r="N25903" s="11"/>
      <c r="O25903" s="11"/>
      <c r="P25903" s="11"/>
    </row>
    <row r="25904" spans="8:16" x14ac:dyDescent="0.25">
      <c r="H25904" s="12"/>
      <c r="I25904" s="12"/>
      <c r="J25904" s="12"/>
      <c r="K25904" s="12"/>
      <c r="L25904" s="12"/>
      <c r="M25904" s="11"/>
      <c r="N25904" s="11"/>
      <c r="O25904" s="11"/>
      <c r="P25904" s="11"/>
    </row>
    <row r="25905" spans="8:16" x14ac:dyDescent="0.25">
      <c r="H25905" s="12"/>
      <c r="I25905" s="12"/>
      <c r="J25905" s="12"/>
      <c r="K25905" s="12"/>
      <c r="L25905" s="12"/>
      <c r="M25905" s="11"/>
      <c r="N25905" s="11"/>
      <c r="O25905" s="11"/>
      <c r="P25905" s="11"/>
    </row>
    <row r="25906" spans="8:16" x14ac:dyDescent="0.25">
      <c r="H25906" s="12"/>
      <c r="I25906" s="12"/>
      <c r="J25906" s="12"/>
      <c r="K25906" s="12"/>
      <c r="L25906" s="12"/>
      <c r="M25906" s="11"/>
      <c r="N25906" s="11"/>
      <c r="O25906" s="11"/>
      <c r="P25906" s="11"/>
    </row>
    <row r="25907" spans="8:16" x14ac:dyDescent="0.25">
      <c r="H25907" s="12"/>
      <c r="I25907" s="12"/>
      <c r="J25907" s="12"/>
      <c r="K25907" s="12"/>
      <c r="L25907" s="12"/>
      <c r="M25907" s="11"/>
      <c r="N25907" s="11"/>
      <c r="O25907" s="11"/>
      <c r="P25907" s="11"/>
    </row>
    <row r="25908" spans="8:16" x14ac:dyDescent="0.25">
      <c r="H25908" s="12"/>
      <c r="I25908" s="12"/>
      <c r="J25908" s="12"/>
      <c r="K25908" s="12"/>
      <c r="L25908" s="12"/>
      <c r="M25908" s="11"/>
      <c r="N25908" s="11"/>
      <c r="O25908" s="11"/>
      <c r="P25908" s="11"/>
    </row>
    <row r="25909" spans="8:16" x14ac:dyDescent="0.25">
      <c r="H25909" s="12"/>
      <c r="I25909" s="12"/>
      <c r="J25909" s="12"/>
      <c r="K25909" s="12"/>
      <c r="L25909" s="12"/>
      <c r="M25909" s="11"/>
      <c r="N25909" s="11"/>
      <c r="O25909" s="11"/>
      <c r="P25909" s="11"/>
    </row>
    <row r="25910" spans="8:16" x14ac:dyDescent="0.25">
      <c r="H25910" s="12"/>
      <c r="I25910" s="12"/>
      <c r="J25910" s="12"/>
      <c r="K25910" s="12"/>
      <c r="L25910" s="12"/>
      <c r="M25910" s="11"/>
      <c r="N25910" s="11"/>
      <c r="O25910" s="11"/>
      <c r="P25910" s="11"/>
    </row>
    <row r="25911" spans="8:16" x14ac:dyDescent="0.25">
      <c r="H25911" s="12"/>
      <c r="I25911" s="12"/>
      <c r="J25911" s="12"/>
      <c r="K25911" s="12"/>
      <c r="L25911" s="12"/>
      <c r="M25911" s="11"/>
      <c r="N25911" s="11"/>
      <c r="O25911" s="11"/>
      <c r="P25911" s="11"/>
    </row>
    <row r="25912" spans="8:16" x14ac:dyDescent="0.25">
      <c r="H25912" s="12"/>
      <c r="I25912" s="12"/>
      <c r="J25912" s="12"/>
      <c r="K25912" s="12"/>
      <c r="L25912" s="12"/>
      <c r="M25912" s="11"/>
      <c r="N25912" s="11"/>
      <c r="O25912" s="11"/>
      <c r="P25912" s="11"/>
    </row>
    <row r="25913" spans="8:16" x14ac:dyDescent="0.25">
      <c r="H25913" s="12"/>
      <c r="I25913" s="12"/>
      <c r="J25913" s="12"/>
      <c r="K25913" s="12"/>
      <c r="L25913" s="12"/>
      <c r="M25913" s="11"/>
      <c r="N25913" s="11"/>
      <c r="O25913" s="11"/>
      <c r="P25913" s="11"/>
    </row>
    <row r="25914" spans="8:16" x14ac:dyDescent="0.25">
      <c r="H25914" s="12"/>
      <c r="I25914" s="12"/>
      <c r="J25914" s="12"/>
      <c r="K25914" s="12"/>
      <c r="L25914" s="12"/>
      <c r="M25914" s="11"/>
      <c r="N25914" s="11"/>
      <c r="O25914" s="11"/>
      <c r="P25914" s="11"/>
    </row>
    <row r="25915" spans="8:16" x14ac:dyDescent="0.25">
      <c r="H25915" s="12"/>
      <c r="I25915" s="12"/>
      <c r="J25915" s="12"/>
      <c r="K25915" s="12"/>
      <c r="L25915" s="12"/>
      <c r="M25915" s="11"/>
      <c r="N25915" s="11"/>
      <c r="O25915" s="11"/>
      <c r="P25915" s="11"/>
    </row>
    <row r="25916" spans="8:16" x14ac:dyDescent="0.25">
      <c r="H25916" s="12"/>
      <c r="I25916" s="12"/>
      <c r="J25916" s="12"/>
      <c r="K25916" s="12"/>
      <c r="L25916" s="12"/>
      <c r="M25916" s="11"/>
      <c r="N25916" s="11"/>
      <c r="O25916" s="11"/>
      <c r="P25916" s="11"/>
    </row>
    <row r="25917" spans="8:16" x14ac:dyDescent="0.25">
      <c r="H25917" s="12"/>
      <c r="I25917" s="12"/>
      <c r="J25917" s="12"/>
      <c r="K25917" s="12"/>
      <c r="L25917" s="12"/>
      <c r="M25917" s="11"/>
      <c r="N25917" s="11"/>
      <c r="O25917" s="11"/>
      <c r="P25917" s="11"/>
    </row>
    <row r="25918" spans="8:16" x14ac:dyDescent="0.25">
      <c r="H25918" s="12"/>
      <c r="I25918" s="12"/>
      <c r="J25918" s="12"/>
      <c r="K25918" s="12"/>
      <c r="L25918" s="12"/>
      <c r="M25918" s="11"/>
      <c r="N25918" s="11"/>
      <c r="O25918" s="11"/>
      <c r="P25918" s="11"/>
    </row>
    <row r="25919" spans="8:16" x14ac:dyDescent="0.25">
      <c r="H25919" s="12"/>
      <c r="I25919" s="12"/>
      <c r="J25919" s="12"/>
      <c r="K25919" s="12"/>
      <c r="L25919" s="12"/>
      <c r="M25919" s="11"/>
      <c r="N25919" s="11"/>
      <c r="O25919" s="11"/>
      <c r="P25919" s="11"/>
    </row>
    <row r="25920" spans="8:16" x14ac:dyDescent="0.25">
      <c r="H25920" s="12"/>
      <c r="I25920" s="12"/>
      <c r="J25920" s="12"/>
      <c r="K25920" s="12"/>
      <c r="L25920" s="12"/>
      <c r="M25920" s="11"/>
      <c r="N25920" s="11"/>
      <c r="O25920" s="11"/>
      <c r="P25920" s="11"/>
    </row>
    <row r="25921" spans="8:16" x14ac:dyDescent="0.25">
      <c r="H25921" s="12"/>
      <c r="I25921" s="12"/>
      <c r="J25921" s="12"/>
      <c r="K25921" s="12"/>
      <c r="L25921" s="12"/>
      <c r="M25921" s="11"/>
      <c r="N25921" s="11"/>
      <c r="O25921" s="11"/>
      <c r="P25921" s="11"/>
    </row>
    <row r="25922" spans="8:16" x14ac:dyDescent="0.25">
      <c r="H25922" s="12"/>
      <c r="I25922" s="12"/>
      <c r="J25922" s="12"/>
      <c r="K25922" s="12"/>
      <c r="L25922" s="12"/>
      <c r="M25922" s="11"/>
      <c r="N25922" s="11"/>
      <c r="O25922" s="11"/>
      <c r="P25922" s="11"/>
    </row>
    <row r="25923" spans="8:16" x14ac:dyDescent="0.25">
      <c r="H25923" s="12"/>
      <c r="I25923" s="12"/>
      <c r="J25923" s="12"/>
      <c r="K25923" s="12"/>
      <c r="L25923" s="12"/>
      <c r="M25923" s="11"/>
      <c r="N25923" s="11"/>
      <c r="O25923" s="11"/>
      <c r="P25923" s="11"/>
    </row>
    <row r="25924" spans="8:16" x14ac:dyDescent="0.25">
      <c r="H25924" s="12"/>
      <c r="I25924" s="12"/>
      <c r="J25924" s="12"/>
      <c r="K25924" s="12"/>
      <c r="L25924" s="12"/>
      <c r="M25924" s="11"/>
      <c r="N25924" s="11"/>
      <c r="O25924" s="11"/>
      <c r="P25924" s="11"/>
    </row>
    <row r="25925" spans="8:16" x14ac:dyDescent="0.25">
      <c r="H25925" s="12"/>
      <c r="I25925" s="12"/>
      <c r="J25925" s="12"/>
      <c r="K25925" s="12"/>
      <c r="L25925" s="12"/>
      <c r="M25925" s="11"/>
      <c r="N25925" s="11"/>
      <c r="O25925" s="11"/>
      <c r="P25925" s="11"/>
    </row>
    <row r="25926" spans="8:16" x14ac:dyDescent="0.25">
      <c r="H25926" s="12"/>
      <c r="I25926" s="12"/>
      <c r="J25926" s="12"/>
      <c r="K25926" s="12"/>
      <c r="L25926" s="12"/>
      <c r="M25926" s="11"/>
      <c r="N25926" s="11"/>
      <c r="O25926" s="11"/>
      <c r="P25926" s="11"/>
    </row>
    <row r="25927" spans="8:16" x14ac:dyDescent="0.25">
      <c r="H25927" s="12"/>
      <c r="I25927" s="12"/>
      <c r="J25927" s="12"/>
      <c r="K25927" s="12"/>
      <c r="L25927" s="12"/>
      <c r="M25927" s="11"/>
      <c r="N25927" s="11"/>
      <c r="O25927" s="11"/>
      <c r="P25927" s="11"/>
    </row>
    <row r="25928" spans="8:16" x14ac:dyDescent="0.25">
      <c r="H25928" s="12"/>
      <c r="I25928" s="12"/>
      <c r="J25928" s="12"/>
      <c r="K25928" s="12"/>
      <c r="L25928" s="12"/>
      <c r="M25928" s="11"/>
      <c r="N25928" s="11"/>
      <c r="O25928" s="11"/>
      <c r="P25928" s="11"/>
    </row>
    <row r="25929" spans="8:16" x14ac:dyDescent="0.25">
      <c r="H25929" s="12"/>
      <c r="I25929" s="12"/>
      <c r="J25929" s="12"/>
      <c r="K25929" s="12"/>
      <c r="L25929" s="12"/>
      <c r="M25929" s="11"/>
      <c r="N25929" s="11"/>
      <c r="O25929" s="11"/>
      <c r="P25929" s="11"/>
    </row>
    <row r="25930" spans="8:16" x14ac:dyDescent="0.25">
      <c r="H25930" s="12"/>
      <c r="I25930" s="12"/>
      <c r="J25930" s="12"/>
      <c r="K25930" s="12"/>
      <c r="L25930" s="12"/>
      <c r="M25930" s="11"/>
      <c r="N25930" s="11"/>
      <c r="O25930" s="11"/>
      <c r="P25930" s="11"/>
    </row>
    <row r="25931" spans="8:16" x14ac:dyDescent="0.25">
      <c r="H25931" s="12"/>
      <c r="I25931" s="12"/>
      <c r="J25931" s="12"/>
      <c r="K25931" s="12"/>
      <c r="L25931" s="12"/>
      <c r="M25931" s="11"/>
      <c r="N25931" s="11"/>
      <c r="O25931" s="11"/>
      <c r="P25931" s="11"/>
    </row>
    <row r="25932" spans="8:16" x14ac:dyDescent="0.25">
      <c r="H25932" s="12"/>
      <c r="I25932" s="12"/>
      <c r="J25932" s="12"/>
      <c r="K25932" s="12"/>
      <c r="L25932" s="12"/>
      <c r="M25932" s="11"/>
      <c r="N25932" s="11"/>
      <c r="O25932" s="11"/>
      <c r="P25932" s="11"/>
    </row>
    <row r="25933" spans="8:16" x14ac:dyDescent="0.25">
      <c r="H25933" s="12"/>
      <c r="I25933" s="12"/>
      <c r="J25933" s="12"/>
      <c r="K25933" s="12"/>
      <c r="L25933" s="12"/>
      <c r="M25933" s="11"/>
      <c r="N25933" s="11"/>
      <c r="O25933" s="11"/>
      <c r="P25933" s="11"/>
    </row>
    <row r="25934" spans="8:16" x14ac:dyDescent="0.25">
      <c r="H25934" s="12"/>
      <c r="I25934" s="12"/>
      <c r="J25934" s="12"/>
      <c r="K25934" s="12"/>
      <c r="L25934" s="12"/>
      <c r="M25934" s="11"/>
      <c r="N25934" s="11"/>
      <c r="O25934" s="11"/>
      <c r="P25934" s="11"/>
    </row>
    <row r="25935" spans="8:16" x14ac:dyDescent="0.25">
      <c r="H25935" s="12"/>
      <c r="I25935" s="12"/>
      <c r="J25935" s="12"/>
      <c r="K25935" s="12"/>
      <c r="L25935" s="12"/>
      <c r="M25935" s="11"/>
      <c r="N25935" s="11"/>
      <c r="O25935" s="11"/>
      <c r="P25935" s="11"/>
    </row>
    <row r="25936" spans="8:16" x14ac:dyDescent="0.25">
      <c r="H25936" s="12"/>
      <c r="I25936" s="12"/>
      <c r="J25936" s="12"/>
      <c r="K25936" s="12"/>
      <c r="L25936" s="12"/>
      <c r="M25936" s="11"/>
      <c r="N25936" s="11"/>
      <c r="O25936" s="11"/>
      <c r="P25936" s="11"/>
    </row>
    <row r="25937" spans="8:16" x14ac:dyDescent="0.25">
      <c r="H25937" s="12"/>
      <c r="I25937" s="12"/>
      <c r="J25937" s="12"/>
      <c r="K25937" s="12"/>
      <c r="L25937" s="12"/>
      <c r="M25937" s="11"/>
      <c r="N25937" s="11"/>
      <c r="O25937" s="11"/>
      <c r="P25937" s="11"/>
    </row>
    <row r="25938" spans="8:16" x14ac:dyDescent="0.25">
      <c r="H25938" s="12"/>
      <c r="I25938" s="12"/>
      <c r="J25938" s="12"/>
      <c r="K25938" s="12"/>
      <c r="L25938" s="12"/>
      <c r="M25938" s="11"/>
      <c r="N25938" s="11"/>
      <c r="O25938" s="11"/>
      <c r="P25938" s="11"/>
    </row>
    <row r="25939" spans="8:16" x14ac:dyDescent="0.25">
      <c r="H25939" s="12"/>
      <c r="I25939" s="12"/>
      <c r="J25939" s="12"/>
      <c r="K25939" s="12"/>
      <c r="L25939" s="12"/>
      <c r="M25939" s="11"/>
      <c r="N25939" s="11"/>
      <c r="O25939" s="11"/>
      <c r="P25939" s="11"/>
    </row>
    <row r="25940" spans="8:16" x14ac:dyDescent="0.25">
      <c r="H25940" s="12"/>
      <c r="I25940" s="12"/>
      <c r="J25940" s="12"/>
      <c r="K25940" s="12"/>
      <c r="L25940" s="12"/>
      <c r="M25940" s="11"/>
      <c r="N25940" s="11"/>
      <c r="O25940" s="11"/>
      <c r="P25940" s="11"/>
    </row>
    <row r="25941" spans="8:16" x14ac:dyDescent="0.25">
      <c r="H25941" s="12"/>
      <c r="I25941" s="12"/>
      <c r="J25941" s="12"/>
      <c r="K25941" s="12"/>
      <c r="L25941" s="12"/>
      <c r="M25941" s="11"/>
      <c r="N25941" s="11"/>
      <c r="O25941" s="11"/>
      <c r="P25941" s="11"/>
    </row>
    <row r="25942" spans="8:16" x14ac:dyDescent="0.25">
      <c r="H25942" s="12"/>
      <c r="I25942" s="12"/>
      <c r="J25942" s="12"/>
      <c r="K25942" s="12"/>
      <c r="L25942" s="12"/>
      <c r="M25942" s="11"/>
      <c r="N25942" s="11"/>
      <c r="O25942" s="11"/>
      <c r="P25942" s="11"/>
    </row>
    <row r="25943" spans="8:16" x14ac:dyDescent="0.25">
      <c r="H25943" s="12"/>
      <c r="I25943" s="12"/>
      <c r="J25943" s="12"/>
      <c r="K25943" s="12"/>
      <c r="L25943" s="12"/>
      <c r="M25943" s="11"/>
      <c r="N25943" s="11"/>
      <c r="O25943" s="11"/>
      <c r="P25943" s="11"/>
    </row>
    <row r="25944" spans="8:16" x14ac:dyDescent="0.25">
      <c r="H25944" s="12"/>
      <c r="I25944" s="12"/>
      <c r="J25944" s="12"/>
      <c r="K25944" s="12"/>
      <c r="L25944" s="12"/>
      <c r="M25944" s="11"/>
      <c r="N25944" s="11"/>
      <c r="O25944" s="11"/>
      <c r="P25944" s="11"/>
    </row>
    <row r="25945" spans="8:16" x14ac:dyDescent="0.25">
      <c r="H25945" s="12"/>
      <c r="I25945" s="12"/>
      <c r="J25945" s="12"/>
      <c r="K25945" s="12"/>
      <c r="L25945" s="12"/>
      <c r="M25945" s="11"/>
      <c r="N25945" s="11"/>
      <c r="O25945" s="11"/>
      <c r="P25945" s="11"/>
    </row>
    <row r="25946" spans="8:16" x14ac:dyDescent="0.25">
      <c r="H25946" s="12"/>
      <c r="I25946" s="12"/>
      <c r="J25946" s="12"/>
      <c r="K25946" s="12"/>
      <c r="L25946" s="12"/>
      <c r="M25946" s="11"/>
      <c r="N25946" s="11"/>
      <c r="O25946" s="11"/>
      <c r="P25946" s="11"/>
    </row>
    <row r="25947" spans="8:16" x14ac:dyDescent="0.25">
      <c r="H25947" s="12"/>
      <c r="I25947" s="12"/>
      <c r="J25947" s="12"/>
      <c r="K25947" s="12"/>
      <c r="L25947" s="12"/>
      <c r="M25947" s="11"/>
      <c r="N25947" s="11"/>
      <c r="O25947" s="11"/>
      <c r="P25947" s="11"/>
    </row>
    <row r="25948" spans="8:16" x14ac:dyDescent="0.25">
      <c r="H25948" s="12"/>
      <c r="I25948" s="12"/>
      <c r="J25948" s="12"/>
      <c r="K25948" s="12"/>
      <c r="L25948" s="12"/>
      <c r="M25948" s="11"/>
      <c r="N25948" s="11"/>
      <c r="O25948" s="11"/>
      <c r="P25948" s="11"/>
    </row>
    <row r="25949" spans="8:16" x14ac:dyDescent="0.25">
      <c r="H25949" s="12"/>
      <c r="I25949" s="12"/>
      <c r="J25949" s="12"/>
      <c r="K25949" s="12"/>
      <c r="L25949" s="12"/>
      <c r="M25949" s="11"/>
      <c r="N25949" s="11"/>
      <c r="O25949" s="11"/>
      <c r="P25949" s="11"/>
    </row>
    <row r="25950" spans="8:16" x14ac:dyDescent="0.25">
      <c r="H25950" s="12"/>
      <c r="I25950" s="12"/>
      <c r="J25950" s="12"/>
      <c r="K25950" s="12"/>
      <c r="L25950" s="12"/>
      <c r="M25950" s="11"/>
      <c r="N25950" s="11"/>
      <c r="O25950" s="11"/>
      <c r="P25950" s="11"/>
    </row>
    <row r="25951" spans="8:16" x14ac:dyDescent="0.25">
      <c r="H25951" s="12"/>
      <c r="I25951" s="12"/>
      <c r="J25951" s="12"/>
      <c r="K25951" s="12"/>
      <c r="L25951" s="12"/>
      <c r="M25951" s="11"/>
      <c r="N25951" s="11"/>
      <c r="O25951" s="11"/>
      <c r="P25951" s="11"/>
    </row>
    <row r="25952" spans="8:16" x14ac:dyDescent="0.25">
      <c r="H25952" s="12"/>
      <c r="I25952" s="12"/>
      <c r="J25952" s="12"/>
      <c r="K25952" s="12"/>
      <c r="L25952" s="12"/>
      <c r="M25952" s="11"/>
      <c r="N25952" s="11"/>
      <c r="O25952" s="11"/>
      <c r="P25952" s="11"/>
    </row>
    <row r="25953" spans="8:16" x14ac:dyDescent="0.25">
      <c r="H25953" s="12"/>
      <c r="I25953" s="12"/>
      <c r="J25953" s="12"/>
      <c r="K25953" s="12"/>
      <c r="L25953" s="12"/>
      <c r="M25953" s="11"/>
      <c r="N25953" s="11"/>
      <c r="O25953" s="11"/>
      <c r="P25953" s="11"/>
    </row>
    <row r="25954" spans="8:16" x14ac:dyDescent="0.25">
      <c r="H25954" s="12"/>
      <c r="I25954" s="12"/>
      <c r="J25954" s="12"/>
      <c r="K25954" s="12"/>
      <c r="L25954" s="12"/>
      <c r="M25954" s="11"/>
      <c r="N25954" s="11"/>
      <c r="O25954" s="11"/>
      <c r="P25954" s="11"/>
    </row>
    <row r="25955" spans="8:16" x14ac:dyDescent="0.25">
      <c r="H25955" s="12"/>
      <c r="I25955" s="12"/>
      <c r="J25955" s="12"/>
      <c r="K25955" s="12"/>
      <c r="L25955" s="12"/>
      <c r="M25955" s="11"/>
      <c r="N25955" s="11"/>
      <c r="O25955" s="11"/>
      <c r="P25955" s="11"/>
    </row>
    <row r="25956" spans="8:16" x14ac:dyDescent="0.25">
      <c r="H25956" s="12"/>
      <c r="I25956" s="12"/>
      <c r="J25956" s="12"/>
      <c r="K25956" s="12"/>
      <c r="L25956" s="12"/>
      <c r="M25956" s="11"/>
      <c r="N25956" s="11"/>
      <c r="O25956" s="11"/>
      <c r="P25956" s="11"/>
    </row>
    <row r="25957" spans="8:16" x14ac:dyDescent="0.25">
      <c r="H25957" s="12"/>
      <c r="I25957" s="12"/>
      <c r="J25957" s="12"/>
      <c r="K25957" s="12"/>
      <c r="L25957" s="12"/>
      <c r="M25957" s="11"/>
      <c r="N25957" s="11"/>
      <c r="O25957" s="11"/>
      <c r="P25957" s="11"/>
    </row>
    <row r="25958" spans="8:16" x14ac:dyDescent="0.25">
      <c r="H25958" s="12"/>
      <c r="I25958" s="12"/>
      <c r="J25958" s="12"/>
      <c r="K25958" s="12"/>
      <c r="L25958" s="12"/>
      <c r="M25958" s="11"/>
      <c r="N25958" s="11"/>
      <c r="O25958" s="11"/>
      <c r="P25958" s="11"/>
    </row>
    <row r="25959" spans="8:16" x14ac:dyDescent="0.25">
      <c r="H25959" s="12"/>
      <c r="I25959" s="12"/>
      <c r="J25959" s="12"/>
      <c r="K25959" s="12"/>
      <c r="L25959" s="12"/>
      <c r="M25959" s="11"/>
      <c r="N25959" s="11"/>
      <c r="O25959" s="11"/>
      <c r="P25959" s="11"/>
    </row>
    <row r="25960" spans="8:16" x14ac:dyDescent="0.25">
      <c r="H25960" s="12"/>
      <c r="I25960" s="12"/>
      <c r="J25960" s="12"/>
      <c r="K25960" s="12"/>
      <c r="L25960" s="12"/>
      <c r="M25960" s="11"/>
      <c r="N25960" s="11"/>
      <c r="O25960" s="11"/>
      <c r="P25960" s="11"/>
    </row>
    <row r="25961" spans="8:16" x14ac:dyDescent="0.25">
      <c r="H25961" s="12"/>
      <c r="I25961" s="12"/>
      <c r="J25961" s="12"/>
      <c r="K25961" s="12"/>
      <c r="L25961" s="12"/>
      <c r="M25961" s="11"/>
      <c r="N25961" s="11"/>
      <c r="O25961" s="11"/>
      <c r="P25961" s="11"/>
    </row>
    <row r="25962" spans="8:16" x14ac:dyDescent="0.25">
      <c r="H25962" s="12"/>
      <c r="I25962" s="12"/>
      <c r="J25962" s="12"/>
      <c r="K25962" s="12"/>
      <c r="L25962" s="12"/>
      <c r="M25962" s="11"/>
      <c r="N25962" s="11"/>
      <c r="O25962" s="11"/>
      <c r="P25962" s="11"/>
    </row>
    <row r="25963" spans="8:16" x14ac:dyDescent="0.25">
      <c r="H25963" s="12"/>
      <c r="I25963" s="12"/>
      <c r="J25963" s="12"/>
      <c r="K25963" s="12"/>
      <c r="L25963" s="12"/>
      <c r="M25963" s="11"/>
      <c r="N25963" s="11"/>
      <c r="O25963" s="11"/>
      <c r="P25963" s="11"/>
    </row>
    <row r="25964" spans="8:16" x14ac:dyDescent="0.25">
      <c r="H25964" s="12"/>
      <c r="I25964" s="12"/>
      <c r="J25964" s="12"/>
      <c r="K25964" s="12"/>
      <c r="L25964" s="12"/>
      <c r="M25964" s="11"/>
      <c r="N25964" s="11"/>
      <c r="O25964" s="11"/>
      <c r="P25964" s="11"/>
    </row>
    <row r="25965" spans="8:16" x14ac:dyDescent="0.25">
      <c r="H25965" s="12"/>
      <c r="I25965" s="12"/>
      <c r="J25965" s="12"/>
      <c r="K25965" s="12"/>
      <c r="L25965" s="12"/>
      <c r="M25965" s="11"/>
      <c r="N25965" s="11"/>
      <c r="O25965" s="11"/>
      <c r="P25965" s="11"/>
    </row>
    <row r="25966" spans="8:16" x14ac:dyDescent="0.25">
      <c r="H25966" s="12"/>
      <c r="I25966" s="12"/>
      <c r="J25966" s="12"/>
      <c r="K25966" s="12"/>
      <c r="L25966" s="12"/>
      <c r="M25966" s="11"/>
      <c r="N25966" s="11"/>
      <c r="O25966" s="11"/>
      <c r="P25966" s="11"/>
    </row>
    <row r="25967" spans="8:16" x14ac:dyDescent="0.25">
      <c r="H25967" s="12"/>
      <c r="I25967" s="12"/>
      <c r="J25967" s="12"/>
      <c r="K25967" s="12"/>
      <c r="L25967" s="12"/>
      <c r="M25967" s="11"/>
      <c r="N25967" s="11"/>
      <c r="O25967" s="11"/>
      <c r="P25967" s="11"/>
    </row>
    <row r="25968" spans="8:16" x14ac:dyDescent="0.25">
      <c r="H25968" s="12"/>
      <c r="I25968" s="12"/>
      <c r="J25968" s="12"/>
      <c r="K25968" s="12"/>
      <c r="L25968" s="12"/>
      <c r="M25968" s="11"/>
      <c r="N25968" s="11"/>
      <c r="O25968" s="11"/>
      <c r="P25968" s="11"/>
    </row>
    <row r="25969" spans="8:16" x14ac:dyDescent="0.25">
      <c r="H25969" s="12"/>
      <c r="I25969" s="12"/>
      <c r="J25969" s="12"/>
      <c r="K25969" s="12"/>
      <c r="L25969" s="12"/>
      <c r="M25969" s="11"/>
      <c r="N25969" s="11"/>
      <c r="O25969" s="11"/>
      <c r="P25969" s="11"/>
    </row>
    <row r="25970" spans="8:16" x14ac:dyDescent="0.25">
      <c r="H25970" s="12"/>
      <c r="I25970" s="12"/>
      <c r="J25970" s="12"/>
      <c r="K25970" s="12"/>
      <c r="L25970" s="12"/>
      <c r="M25970" s="11"/>
      <c r="N25970" s="11"/>
      <c r="O25970" s="11"/>
      <c r="P25970" s="11"/>
    </row>
    <row r="25971" spans="8:16" x14ac:dyDescent="0.25">
      <c r="H25971" s="12"/>
      <c r="I25971" s="12"/>
      <c r="J25971" s="12"/>
      <c r="K25971" s="12"/>
      <c r="L25971" s="12"/>
      <c r="M25971" s="11"/>
      <c r="N25971" s="11"/>
      <c r="O25971" s="11"/>
      <c r="P25971" s="11"/>
    </row>
    <row r="25972" spans="8:16" x14ac:dyDescent="0.25">
      <c r="H25972" s="12"/>
      <c r="I25972" s="12"/>
      <c r="J25972" s="12"/>
      <c r="K25972" s="12"/>
      <c r="L25972" s="12"/>
      <c r="M25972" s="11"/>
      <c r="N25972" s="11"/>
      <c r="O25972" s="11"/>
      <c r="P25972" s="11"/>
    </row>
    <row r="25973" spans="8:16" x14ac:dyDescent="0.25">
      <c r="H25973" s="12"/>
      <c r="I25973" s="12"/>
      <c r="J25973" s="12"/>
      <c r="K25973" s="12"/>
      <c r="L25973" s="12"/>
      <c r="M25973" s="11"/>
      <c r="N25973" s="11"/>
      <c r="O25973" s="11"/>
      <c r="P25973" s="11"/>
    </row>
    <row r="25974" spans="8:16" x14ac:dyDescent="0.25">
      <c r="H25974" s="12"/>
      <c r="I25974" s="12"/>
      <c r="J25974" s="12"/>
      <c r="K25974" s="12"/>
      <c r="L25974" s="12"/>
      <c r="M25974" s="11"/>
      <c r="N25974" s="11"/>
      <c r="O25974" s="11"/>
      <c r="P25974" s="11"/>
    </row>
    <row r="25975" spans="8:16" x14ac:dyDescent="0.25">
      <c r="H25975" s="12"/>
      <c r="I25975" s="12"/>
      <c r="J25975" s="12"/>
      <c r="K25975" s="12"/>
      <c r="L25975" s="12"/>
      <c r="M25975" s="11"/>
      <c r="N25975" s="11"/>
      <c r="O25975" s="11"/>
      <c r="P25975" s="11"/>
    </row>
    <row r="25976" spans="8:16" x14ac:dyDescent="0.25">
      <c r="H25976" s="12"/>
      <c r="I25976" s="12"/>
      <c r="J25976" s="12"/>
      <c r="K25976" s="12"/>
      <c r="L25976" s="12"/>
      <c r="M25976" s="11"/>
      <c r="N25976" s="11"/>
      <c r="O25976" s="11"/>
      <c r="P25976" s="11"/>
    </row>
    <row r="25977" spans="8:16" x14ac:dyDescent="0.25">
      <c r="H25977" s="12"/>
      <c r="I25977" s="12"/>
      <c r="J25977" s="12"/>
      <c r="K25977" s="12"/>
      <c r="L25977" s="12"/>
      <c r="M25977" s="11"/>
      <c r="N25977" s="11"/>
      <c r="O25977" s="11"/>
      <c r="P25977" s="11"/>
    </row>
    <row r="25978" spans="8:16" x14ac:dyDescent="0.25">
      <c r="H25978" s="12"/>
      <c r="I25978" s="12"/>
      <c r="J25978" s="12"/>
      <c r="K25978" s="12"/>
      <c r="L25978" s="12"/>
      <c r="M25978" s="11"/>
      <c r="N25978" s="11"/>
      <c r="O25978" s="11"/>
      <c r="P25978" s="11"/>
    </row>
    <row r="25979" spans="8:16" x14ac:dyDescent="0.25">
      <c r="H25979" s="12"/>
      <c r="I25979" s="12"/>
      <c r="J25979" s="12"/>
      <c r="K25979" s="12"/>
      <c r="L25979" s="12"/>
      <c r="M25979" s="11"/>
      <c r="N25979" s="11"/>
      <c r="O25979" s="11"/>
      <c r="P25979" s="11"/>
    </row>
    <row r="25980" spans="8:16" x14ac:dyDescent="0.25">
      <c r="H25980" s="12"/>
      <c r="I25980" s="12"/>
      <c r="J25980" s="12"/>
      <c r="K25980" s="12"/>
      <c r="L25980" s="12"/>
      <c r="M25980" s="11"/>
      <c r="N25980" s="11"/>
      <c r="O25980" s="11"/>
      <c r="P25980" s="11"/>
    </row>
    <row r="25981" spans="8:16" x14ac:dyDescent="0.25">
      <c r="H25981" s="12"/>
      <c r="I25981" s="12"/>
      <c r="J25981" s="12"/>
      <c r="K25981" s="12"/>
      <c r="L25981" s="12"/>
      <c r="M25981" s="11"/>
      <c r="N25981" s="11"/>
      <c r="O25981" s="11"/>
      <c r="P25981" s="11"/>
    </row>
    <row r="25982" spans="8:16" x14ac:dyDescent="0.25">
      <c r="H25982" s="12"/>
      <c r="I25982" s="12"/>
      <c r="J25982" s="12"/>
      <c r="K25982" s="12"/>
      <c r="L25982" s="12"/>
      <c r="M25982" s="11"/>
      <c r="N25982" s="11"/>
      <c r="O25982" s="11"/>
      <c r="P25982" s="11"/>
    </row>
    <row r="25983" spans="8:16" x14ac:dyDescent="0.25">
      <c r="H25983" s="12"/>
      <c r="I25983" s="12"/>
      <c r="J25983" s="12"/>
      <c r="K25983" s="12"/>
      <c r="L25983" s="12"/>
      <c r="M25983" s="11"/>
      <c r="N25983" s="11"/>
      <c r="O25983" s="11"/>
      <c r="P25983" s="11"/>
    </row>
    <row r="25984" spans="8:16" x14ac:dyDescent="0.25">
      <c r="H25984" s="12"/>
      <c r="I25984" s="12"/>
      <c r="J25984" s="12"/>
      <c r="K25984" s="12"/>
      <c r="L25984" s="12"/>
      <c r="M25984" s="11"/>
      <c r="N25984" s="11"/>
      <c r="O25984" s="11"/>
      <c r="P25984" s="11"/>
    </row>
    <row r="25985" spans="8:16" x14ac:dyDescent="0.25">
      <c r="H25985" s="12"/>
      <c r="I25985" s="12"/>
      <c r="J25985" s="12"/>
      <c r="K25985" s="12"/>
      <c r="L25985" s="12"/>
      <c r="M25985" s="11"/>
      <c r="N25985" s="11"/>
      <c r="O25985" s="11"/>
      <c r="P25985" s="11"/>
    </row>
    <row r="25986" spans="8:16" x14ac:dyDescent="0.25">
      <c r="H25986" s="12"/>
      <c r="I25986" s="12"/>
      <c r="J25986" s="12"/>
      <c r="K25986" s="12"/>
      <c r="L25986" s="12"/>
      <c r="M25986" s="11"/>
      <c r="N25986" s="11"/>
      <c r="O25986" s="11"/>
      <c r="P25986" s="11"/>
    </row>
    <row r="25987" spans="8:16" x14ac:dyDescent="0.25">
      <c r="H25987" s="12"/>
      <c r="I25987" s="12"/>
      <c r="J25987" s="12"/>
      <c r="K25987" s="12"/>
      <c r="L25987" s="12"/>
      <c r="M25987" s="11"/>
      <c r="N25987" s="11"/>
      <c r="O25987" s="11"/>
      <c r="P25987" s="11"/>
    </row>
    <row r="25988" spans="8:16" x14ac:dyDescent="0.25">
      <c r="H25988" s="12"/>
      <c r="I25988" s="12"/>
      <c r="J25988" s="12"/>
      <c r="K25988" s="12"/>
      <c r="L25988" s="12"/>
      <c r="M25988" s="11"/>
      <c r="N25988" s="11"/>
      <c r="O25988" s="11"/>
      <c r="P25988" s="11"/>
    </row>
    <row r="25989" spans="8:16" x14ac:dyDescent="0.25">
      <c r="H25989" s="12"/>
      <c r="I25989" s="12"/>
      <c r="J25989" s="12"/>
      <c r="K25989" s="12"/>
      <c r="L25989" s="12"/>
      <c r="M25989" s="11"/>
      <c r="N25989" s="11"/>
      <c r="O25989" s="11"/>
      <c r="P25989" s="11"/>
    </row>
    <row r="25990" spans="8:16" x14ac:dyDescent="0.25">
      <c r="H25990" s="12"/>
      <c r="I25990" s="12"/>
      <c r="J25990" s="12"/>
      <c r="K25990" s="12"/>
      <c r="L25990" s="12"/>
      <c r="M25990" s="11"/>
      <c r="N25990" s="11"/>
      <c r="O25990" s="11"/>
      <c r="P25990" s="11"/>
    </row>
    <row r="25991" spans="8:16" x14ac:dyDescent="0.25">
      <c r="H25991" s="12"/>
      <c r="I25991" s="12"/>
      <c r="J25991" s="12"/>
      <c r="K25991" s="12"/>
      <c r="L25991" s="12"/>
      <c r="M25991" s="11"/>
      <c r="N25991" s="11"/>
      <c r="O25991" s="11"/>
      <c r="P25991" s="11"/>
    </row>
    <row r="25992" spans="8:16" x14ac:dyDescent="0.25">
      <c r="H25992" s="12"/>
      <c r="I25992" s="12"/>
      <c r="J25992" s="12"/>
      <c r="K25992" s="12"/>
      <c r="L25992" s="12"/>
      <c r="M25992" s="11"/>
      <c r="N25992" s="11"/>
      <c r="O25992" s="11"/>
      <c r="P25992" s="11"/>
    </row>
    <row r="25993" spans="8:16" x14ac:dyDescent="0.25">
      <c r="H25993" s="12"/>
      <c r="I25993" s="12"/>
      <c r="J25993" s="12"/>
      <c r="K25993" s="12"/>
      <c r="L25993" s="12"/>
      <c r="M25993" s="11"/>
      <c r="N25993" s="11"/>
      <c r="O25993" s="11"/>
      <c r="P25993" s="11"/>
    </row>
    <row r="25994" spans="8:16" x14ac:dyDescent="0.25">
      <c r="H25994" s="12"/>
      <c r="I25994" s="12"/>
      <c r="J25994" s="12"/>
      <c r="K25994" s="12"/>
      <c r="L25994" s="12"/>
      <c r="M25994" s="11"/>
      <c r="N25994" s="11"/>
      <c r="O25994" s="11"/>
      <c r="P25994" s="11"/>
    </row>
    <row r="25995" spans="8:16" x14ac:dyDescent="0.25">
      <c r="H25995" s="12"/>
      <c r="I25995" s="12"/>
      <c r="J25995" s="12"/>
      <c r="K25995" s="12"/>
      <c r="L25995" s="12"/>
      <c r="M25995" s="11"/>
      <c r="N25995" s="11"/>
      <c r="O25995" s="11"/>
      <c r="P25995" s="11"/>
    </row>
    <row r="25996" spans="8:16" x14ac:dyDescent="0.25">
      <c r="H25996" s="12"/>
      <c r="I25996" s="12"/>
      <c r="J25996" s="12"/>
      <c r="K25996" s="12"/>
      <c r="L25996" s="12"/>
      <c r="M25996" s="11"/>
      <c r="N25996" s="11"/>
      <c r="O25996" s="11"/>
      <c r="P25996" s="11"/>
    </row>
    <row r="25997" spans="8:16" x14ac:dyDescent="0.25">
      <c r="H25997" s="12"/>
      <c r="I25997" s="12"/>
      <c r="J25997" s="12"/>
      <c r="K25997" s="12"/>
      <c r="L25997" s="12"/>
      <c r="M25997" s="11"/>
      <c r="N25997" s="11"/>
      <c r="O25997" s="11"/>
      <c r="P25997" s="11"/>
    </row>
    <row r="25998" spans="8:16" x14ac:dyDescent="0.25">
      <c r="H25998" s="12"/>
      <c r="I25998" s="12"/>
      <c r="J25998" s="12"/>
      <c r="K25998" s="12"/>
      <c r="L25998" s="12"/>
      <c r="M25998" s="11"/>
      <c r="N25998" s="11"/>
      <c r="O25998" s="11"/>
      <c r="P25998" s="11"/>
    </row>
    <row r="25999" spans="8:16" x14ac:dyDescent="0.25">
      <c r="H25999" s="12"/>
      <c r="I25999" s="12"/>
      <c r="J25999" s="12"/>
      <c r="K25999" s="12"/>
      <c r="L25999" s="12"/>
      <c r="M25999" s="11"/>
      <c r="N25999" s="11"/>
      <c r="O25999" s="11"/>
      <c r="P25999" s="11"/>
    </row>
    <row r="26000" spans="8:16" x14ac:dyDescent="0.25">
      <c r="H26000" s="12"/>
      <c r="I26000" s="12"/>
      <c r="J26000" s="12"/>
      <c r="K26000" s="12"/>
      <c r="L26000" s="12"/>
      <c r="M26000" s="11"/>
      <c r="N26000" s="11"/>
      <c r="O26000" s="11"/>
      <c r="P26000" s="11"/>
    </row>
    <row r="26001" spans="8:16" x14ac:dyDescent="0.25">
      <c r="H26001" s="12"/>
      <c r="I26001" s="12"/>
      <c r="J26001" s="12"/>
      <c r="K26001" s="12"/>
      <c r="L26001" s="12"/>
      <c r="M26001" s="11"/>
      <c r="N26001" s="11"/>
      <c r="O26001" s="11"/>
      <c r="P26001" s="11"/>
    </row>
    <row r="26002" spans="8:16" x14ac:dyDescent="0.25">
      <c r="H26002" s="12"/>
      <c r="I26002" s="12"/>
      <c r="J26002" s="12"/>
      <c r="K26002" s="12"/>
      <c r="L26002" s="12"/>
      <c r="M26002" s="11"/>
      <c r="N26002" s="11"/>
      <c r="O26002" s="11"/>
      <c r="P26002" s="11"/>
    </row>
    <row r="26003" spans="8:16" x14ac:dyDescent="0.25">
      <c r="H26003" s="12"/>
      <c r="I26003" s="12"/>
      <c r="J26003" s="12"/>
      <c r="K26003" s="12"/>
      <c r="L26003" s="12"/>
      <c r="M26003" s="11"/>
      <c r="N26003" s="11"/>
      <c r="O26003" s="11"/>
      <c r="P26003" s="11"/>
    </row>
    <row r="26004" spans="8:16" x14ac:dyDescent="0.25">
      <c r="H26004" s="12"/>
      <c r="I26004" s="12"/>
      <c r="J26004" s="12"/>
      <c r="K26004" s="12"/>
      <c r="L26004" s="12"/>
      <c r="M26004" s="11"/>
      <c r="N26004" s="11"/>
      <c r="O26004" s="11"/>
      <c r="P26004" s="11"/>
    </row>
    <row r="26005" spans="8:16" x14ac:dyDescent="0.25">
      <c r="H26005" s="12"/>
      <c r="I26005" s="12"/>
      <c r="J26005" s="12"/>
      <c r="K26005" s="12"/>
      <c r="L26005" s="12"/>
      <c r="M26005" s="11"/>
      <c r="N26005" s="11"/>
      <c r="O26005" s="11"/>
      <c r="P26005" s="11"/>
    </row>
    <row r="26006" spans="8:16" x14ac:dyDescent="0.25">
      <c r="H26006" s="12"/>
      <c r="I26006" s="12"/>
      <c r="J26006" s="12"/>
      <c r="K26006" s="12"/>
      <c r="L26006" s="12"/>
      <c r="M26006" s="11"/>
      <c r="N26006" s="11"/>
      <c r="O26006" s="11"/>
      <c r="P26006" s="11"/>
    </row>
    <row r="26007" spans="8:16" x14ac:dyDescent="0.25">
      <c r="H26007" s="12"/>
      <c r="I26007" s="12"/>
      <c r="J26007" s="12"/>
      <c r="K26007" s="12"/>
      <c r="L26007" s="12"/>
      <c r="M26007" s="11"/>
      <c r="N26007" s="11"/>
      <c r="O26007" s="11"/>
      <c r="P26007" s="11"/>
    </row>
    <row r="26008" spans="8:16" x14ac:dyDescent="0.25">
      <c r="H26008" s="12"/>
      <c r="I26008" s="12"/>
      <c r="J26008" s="12"/>
      <c r="K26008" s="12"/>
      <c r="L26008" s="12"/>
      <c r="M26008" s="11"/>
      <c r="N26008" s="11"/>
      <c r="O26008" s="11"/>
      <c r="P26008" s="11"/>
    </row>
    <row r="26009" spans="8:16" x14ac:dyDescent="0.25">
      <c r="H26009" s="12"/>
      <c r="I26009" s="12"/>
      <c r="J26009" s="12"/>
      <c r="K26009" s="12"/>
      <c r="L26009" s="12"/>
      <c r="M26009" s="11"/>
      <c r="N26009" s="11"/>
      <c r="O26009" s="11"/>
      <c r="P26009" s="11"/>
    </row>
    <row r="26010" spans="8:16" x14ac:dyDescent="0.25">
      <c r="H26010" s="12"/>
      <c r="I26010" s="12"/>
      <c r="J26010" s="12"/>
      <c r="K26010" s="12"/>
      <c r="L26010" s="12"/>
      <c r="M26010" s="11"/>
      <c r="N26010" s="11"/>
      <c r="O26010" s="11"/>
      <c r="P26010" s="11"/>
    </row>
    <row r="26011" spans="8:16" x14ac:dyDescent="0.25">
      <c r="H26011" s="12"/>
      <c r="I26011" s="12"/>
      <c r="J26011" s="12"/>
      <c r="K26011" s="12"/>
      <c r="L26011" s="12"/>
      <c r="M26011" s="11"/>
      <c r="N26011" s="11"/>
      <c r="O26011" s="11"/>
      <c r="P26011" s="11"/>
    </row>
    <row r="26012" spans="8:16" x14ac:dyDescent="0.25">
      <c r="H26012" s="12"/>
      <c r="I26012" s="12"/>
      <c r="J26012" s="12"/>
      <c r="K26012" s="12"/>
      <c r="L26012" s="12"/>
      <c r="M26012" s="11"/>
      <c r="N26012" s="11"/>
      <c r="O26012" s="11"/>
      <c r="P26012" s="11"/>
    </row>
    <row r="26013" spans="8:16" x14ac:dyDescent="0.25">
      <c r="H26013" s="12"/>
      <c r="I26013" s="12"/>
      <c r="J26013" s="12"/>
      <c r="K26013" s="12"/>
      <c r="L26013" s="12"/>
      <c r="M26013" s="11"/>
      <c r="N26013" s="11"/>
      <c r="O26013" s="11"/>
      <c r="P26013" s="11"/>
    </row>
    <row r="26014" spans="8:16" x14ac:dyDescent="0.25">
      <c r="H26014" s="12"/>
      <c r="I26014" s="12"/>
      <c r="J26014" s="12"/>
      <c r="K26014" s="12"/>
      <c r="L26014" s="12"/>
      <c r="M26014" s="11"/>
      <c r="N26014" s="11"/>
      <c r="O26014" s="11"/>
      <c r="P26014" s="11"/>
    </row>
    <row r="26015" spans="8:16" x14ac:dyDescent="0.25">
      <c r="H26015" s="12"/>
      <c r="I26015" s="12"/>
      <c r="J26015" s="12"/>
      <c r="K26015" s="12"/>
      <c r="L26015" s="12"/>
      <c r="M26015" s="11"/>
      <c r="N26015" s="11"/>
      <c r="O26015" s="11"/>
      <c r="P26015" s="11"/>
    </row>
    <row r="26016" spans="8:16" x14ac:dyDescent="0.25">
      <c r="H26016" s="12"/>
      <c r="I26016" s="12"/>
      <c r="J26016" s="12"/>
      <c r="K26016" s="12"/>
      <c r="L26016" s="12"/>
      <c r="M26016" s="11"/>
      <c r="N26016" s="11"/>
      <c r="O26016" s="11"/>
      <c r="P26016" s="11"/>
    </row>
    <row r="26017" spans="8:16" x14ac:dyDescent="0.25">
      <c r="H26017" s="12"/>
      <c r="I26017" s="12"/>
      <c r="J26017" s="12"/>
      <c r="K26017" s="12"/>
      <c r="L26017" s="12"/>
      <c r="M26017" s="11"/>
      <c r="N26017" s="11"/>
      <c r="O26017" s="11"/>
      <c r="P26017" s="11"/>
    </row>
    <row r="26018" spans="8:16" x14ac:dyDescent="0.25">
      <c r="H26018" s="12"/>
      <c r="I26018" s="12"/>
      <c r="J26018" s="12"/>
      <c r="K26018" s="12"/>
      <c r="L26018" s="12"/>
      <c r="M26018" s="11"/>
      <c r="N26018" s="11"/>
      <c r="O26018" s="11"/>
      <c r="P26018" s="11"/>
    </row>
    <row r="26019" spans="8:16" x14ac:dyDescent="0.25">
      <c r="H26019" s="12"/>
      <c r="I26019" s="12"/>
      <c r="J26019" s="12"/>
      <c r="K26019" s="12"/>
      <c r="L26019" s="12"/>
      <c r="M26019" s="11"/>
      <c r="N26019" s="11"/>
      <c r="O26019" s="11"/>
      <c r="P26019" s="11"/>
    </row>
    <row r="26020" spans="8:16" x14ac:dyDescent="0.25">
      <c r="H26020" s="12"/>
      <c r="I26020" s="12"/>
      <c r="J26020" s="12"/>
      <c r="K26020" s="12"/>
      <c r="L26020" s="12"/>
      <c r="M26020" s="11"/>
      <c r="N26020" s="11"/>
      <c r="O26020" s="11"/>
      <c r="P26020" s="11"/>
    </row>
    <row r="26021" spans="8:16" x14ac:dyDescent="0.25">
      <c r="H26021" s="12"/>
      <c r="I26021" s="12"/>
      <c r="J26021" s="12"/>
      <c r="K26021" s="12"/>
      <c r="L26021" s="12"/>
      <c r="M26021" s="11"/>
      <c r="N26021" s="11"/>
      <c r="O26021" s="11"/>
      <c r="P26021" s="11"/>
    </row>
    <row r="26022" spans="8:16" x14ac:dyDescent="0.25">
      <c r="H26022" s="12"/>
      <c r="I26022" s="12"/>
      <c r="J26022" s="12"/>
      <c r="K26022" s="12"/>
      <c r="L26022" s="12"/>
      <c r="M26022" s="11"/>
      <c r="N26022" s="11"/>
      <c r="O26022" s="11"/>
      <c r="P26022" s="11"/>
    </row>
    <row r="26023" spans="8:16" x14ac:dyDescent="0.25">
      <c r="H26023" s="12"/>
      <c r="I26023" s="12"/>
      <c r="J26023" s="12"/>
      <c r="K26023" s="12"/>
      <c r="L26023" s="12"/>
      <c r="M26023" s="11"/>
      <c r="N26023" s="11"/>
      <c r="O26023" s="11"/>
      <c r="P26023" s="11"/>
    </row>
    <row r="26024" spans="8:16" x14ac:dyDescent="0.25">
      <c r="H26024" s="12"/>
      <c r="I26024" s="12"/>
      <c r="J26024" s="12"/>
      <c r="K26024" s="12"/>
      <c r="L26024" s="12"/>
      <c r="M26024" s="11"/>
      <c r="N26024" s="11"/>
      <c r="O26024" s="11"/>
      <c r="P26024" s="11"/>
    </row>
    <row r="26025" spans="8:16" x14ac:dyDescent="0.25">
      <c r="H26025" s="12"/>
      <c r="I26025" s="12"/>
      <c r="J26025" s="12"/>
      <c r="K26025" s="12"/>
      <c r="L26025" s="12"/>
      <c r="M26025" s="11"/>
      <c r="N26025" s="11"/>
      <c r="O26025" s="11"/>
      <c r="P26025" s="11"/>
    </row>
    <row r="26026" spans="8:16" x14ac:dyDescent="0.25">
      <c r="H26026" s="12"/>
      <c r="I26026" s="12"/>
      <c r="J26026" s="12"/>
      <c r="K26026" s="12"/>
      <c r="L26026" s="12"/>
      <c r="M26026" s="11"/>
      <c r="N26026" s="11"/>
      <c r="O26026" s="11"/>
      <c r="P26026" s="11"/>
    </row>
    <row r="26027" spans="8:16" x14ac:dyDescent="0.25">
      <c r="H26027" s="12"/>
      <c r="I26027" s="12"/>
      <c r="J26027" s="12"/>
      <c r="K26027" s="12"/>
      <c r="L26027" s="12"/>
      <c r="M26027" s="11"/>
      <c r="N26027" s="11"/>
      <c r="O26027" s="11"/>
      <c r="P26027" s="11"/>
    </row>
    <row r="26028" spans="8:16" x14ac:dyDescent="0.25">
      <c r="H26028" s="12"/>
      <c r="I26028" s="12"/>
      <c r="J26028" s="12"/>
      <c r="K26028" s="12"/>
      <c r="L26028" s="12"/>
      <c r="M26028" s="11"/>
      <c r="N26028" s="11"/>
      <c r="O26028" s="11"/>
      <c r="P26028" s="11"/>
    </row>
    <row r="26029" spans="8:16" x14ac:dyDescent="0.25">
      <c r="H26029" s="12"/>
      <c r="I26029" s="12"/>
      <c r="J26029" s="12"/>
      <c r="K26029" s="12"/>
      <c r="L26029" s="12"/>
      <c r="M26029" s="11"/>
      <c r="N26029" s="11"/>
      <c r="O26029" s="11"/>
      <c r="P26029" s="11"/>
    </row>
    <row r="26030" spans="8:16" x14ac:dyDescent="0.25">
      <c r="H26030" s="12"/>
      <c r="I26030" s="12"/>
      <c r="J26030" s="12"/>
      <c r="K26030" s="12"/>
      <c r="L26030" s="12"/>
      <c r="M26030" s="11"/>
      <c r="N26030" s="11"/>
      <c r="O26030" s="11"/>
      <c r="P26030" s="11"/>
    </row>
    <row r="26031" spans="8:16" x14ac:dyDescent="0.25">
      <c r="H26031" s="12"/>
      <c r="I26031" s="12"/>
      <c r="J26031" s="12"/>
      <c r="K26031" s="12"/>
      <c r="L26031" s="12"/>
      <c r="M26031" s="11"/>
      <c r="N26031" s="11"/>
      <c r="O26031" s="11"/>
      <c r="P26031" s="11"/>
    </row>
    <row r="26032" spans="8:16" x14ac:dyDescent="0.25">
      <c r="H26032" s="12"/>
      <c r="I26032" s="12"/>
      <c r="J26032" s="12"/>
      <c r="K26032" s="12"/>
      <c r="L26032" s="12"/>
      <c r="M26032" s="11"/>
      <c r="N26032" s="11"/>
      <c r="O26032" s="11"/>
      <c r="P26032" s="11"/>
    </row>
    <row r="26033" spans="8:16" x14ac:dyDescent="0.25">
      <c r="H26033" s="12"/>
      <c r="I26033" s="12"/>
      <c r="J26033" s="12"/>
      <c r="K26033" s="12"/>
      <c r="L26033" s="12"/>
      <c r="M26033" s="11"/>
      <c r="N26033" s="11"/>
      <c r="O26033" s="11"/>
      <c r="P26033" s="11"/>
    </row>
    <row r="26034" spans="8:16" x14ac:dyDescent="0.25">
      <c r="H26034" s="12"/>
      <c r="I26034" s="12"/>
      <c r="J26034" s="12"/>
      <c r="K26034" s="12"/>
      <c r="L26034" s="12"/>
      <c r="M26034" s="11"/>
      <c r="N26034" s="11"/>
      <c r="O26034" s="11"/>
      <c r="P26034" s="11"/>
    </row>
    <row r="26035" spans="8:16" x14ac:dyDescent="0.25">
      <c r="H26035" s="12"/>
      <c r="I26035" s="12"/>
      <c r="J26035" s="12"/>
      <c r="K26035" s="12"/>
      <c r="L26035" s="12"/>
      <c r="M26035" s="11"/>
      <c r="N26035" s="11"/>
      <c r="O26035" s="11"/>
      <c r="P26035" s="11"/>
    </row>
    <row r="26036" spans="8:16" x14ac:dyDescent="0.25">
      <c r="H26036" s="12"/>
      <c r="I26036" s="12"/>
      <c r="J26036" s="12"/>
      <c r="K26036" s="12"/>
      <c r="L26036" s="12"/>
      <c r="M26036" s="11"/>
      <c r="N26036" s="11"/>
      <c r="O26036" s="11"/>
      <c r="P26036" s="11"/>
    </row>
    <row r="26037" spans="8:16" x14ac:dyDescent="0.25">
      <c r="H26037" s="12"/>
      <c r="I26037" s="12"/>
      <c r="J26037" s="12"/>
      <c r="K26037" s="12"/>
      <c r="L26037" s="12"/>
      <c r="M26037" s="11"/>
      <c r="N26037" s="11"/>
      <c r="O26037" s="11"/>
      <c r="P26037" s="11"/>
    </row>
    <row r="26038" spans="8:16" x14ac:dyDescent="0.25">
      <c r="H26038" s="12"/>
      <c r="I26038" s="12"/>
      <c r="J26038" s="12"/>
      <c r="K26038" s="12"/>
      <c r="L26038" s="12"/>
      <c r="M26038" s="11"/>
      <c r="N26038" s="11"/>
      <c r="O26038" s="11"/>
      <c r="P26038" s="11"/>
    </row>
    <row r="26039" spans="8:16" x14ac:dyDescent="0.25">
      <c r="H26039" s="12"/>
      <c r="I26039" s="12"/>
      <c r="J26039" s="12"/>
      <c r="K26039" s="12"/>
      <c r="L26039" s="12"/>
      <c r="M26039" s="11"/>
      <c r="N26039" s="11"/>
      <c r="O26039" s="11"/>
      <c r="P26039" s="11"/>
    </row>
    <row r="26040" spans="8:16" x14ac:dyDescent="0.25">
      <c r="H26040" s="12"/>
      <c r="I26040" s="12"/>
      <c r="J26040" s="12"/>
      <c r="K26040" s="12"/>
      <c r="L26040" s="12"/>
      <c r="M26040" s="11"/>
      <c r="N26040" s="11"/>
      <c r="O26040" s="11"/>
      <c r="P26040" s="11"/>
    </row>
    <row r="26041" spans="8:16" x14ac:dyDescent="0.25">
      <c r="H26041" s="12"/>
      <c r="I26041" s="12"/>
      <c r="J26041" s="12"/>
      <c r="K26041" s="12"/>
      <c r="L26041" s="12"/>
      <c r="M26041" s="11"/>
      <c r="N26041" s="11"/>
      <c r="O26041" s="11"/>
      <c r="P26041" s="11"/>
    </row>
    <row r="26042" spans="8:16" x14ac:dyDescent="0.25">
      <c r="H26042" s="12"/>
      <c r="I26042" s="12"/>
      <c r="J26042" s="12"/>
      <c r="K26042" s="12"/>
      <c r="L26042" s="12"/>
      <c r="M26042" s="11"/>
      <c r="N26042" s="11"/>
      <c r="O26042" s="11"/>
      <c r="P26042" s="11"/>
    </row>
    <row r="26043" spans="8:16" x14ac:dyDescent="0.25">
      <c r="H26043" s="12"/>
      <c r="I26043" s="12"/>
      <c r="J26043" s="12"/>
      <c r="K26043" s="12"/>
      <c r="L26043" s="12"/>
      <c r="M26043" s="11"/>
      <c r="N26043" s="11"/>
      <c r="O26043" s="11"/>
      <c r="P26043" s="11"/>
    </row>
    <row r="26044" spans="8:16" x14ac:dyDescent="0.25">
      <c r="H26044" s="12"/>
      <c r="I26044" s="12"/>
      <c r="J26044" s="12"/>
      <c r="K26044" s="12"/>
      <c r="L26044" s="12"/>
      <c r="M26044" s="11"/>
      <c r="N26044" s="11"/>
      <c r="O26044" s="11"/>
      <c r="P26044" s="11"/>
    </row>
    <row r="26045" spans="8:16" x14ac:dyDescent="0.25">
      <c r="H26045" s="12"/>
      <c r="I26045" s="12"/>
      <c r="J26045" s="12"/>
      <c r="K26045" s="12"/>
      <c r="L26045" s="12"/>
      <c r="M26045" s="11"/>
      <c r="N26045" s="11"/>
      <c r="O26045" s="11"/>
      <c r="P26045" s="11"/>
    </row>
    <row r="26046" spans="8:16" x14ac:dyDescent="0.25">
      <c r="H26046" s="12"/>
      <c r="I26046" s="12"/>
      <c r="J26046" s="12"/>
      <c r="K26046" s="12"/>
      <c r="L26046" s="12"/>
      <c r="M26046" s="11"/>
      <c r="N26046" s="11"/>
      <c r="O26046" s="11"/>
      <c r="P26046" s="11"/>
    </row>
    <row r="26047" spans="8:16" x14ac:dyDescent="0.25">
      <c r="H26047" s="12"/>
      <c r="I26047" s="12"/>
      <c r="J26047" s="12"/>
      <c r="K26047" s="12"/>
      <c r="L26047" s="12"/>
      <c r="M26047" s="11"/>
      <c r="N26047" s="11"/>
      <c r="O26047" s="11"/>
      <c r="P26047" s="11"/>
    </row>
    <row r="26048" spans="8:16" x14ac:dyDescent="0.25">
      <c r="H26048" s="12"/>
      <c r="I26048" s="12"/>
      <c r="J26048" s="12"/>
      <c r="K26048" s="12"/>
      <c r="L26048" s="12"/>
      <c r="M26048" s="11"/>
      <c r="N26048" s="11"/>
      <c r="O26048" s="11"/>
      <c r="P26048" s="11"/>
    </row>
    <row r="26049" spans="8:16" x14ac:dyDescent="0.25">
      <c r="H26049" s="12"/>
      <c r="I26049" s="12"/>
      <c r="J26049" s="12"/>
      <c r="K26049" s="12"/>
      <c r="L26049" s="12"/>
      <c r="M26049" s="11"/>
      <c r="N26049" s="11"/>
      <c r="O26049" s="11"/>
      <c r="P26049" s="11"/>
    </row>
    <row r="26050" spans="8:16" x14ac:dyDescent="0.25">
      <c r="H26050" s="12"/>
      <c r="I26050" s="12"/>
      <c r="J26050" s="12"/>
      <c r="K26050" s="12"/>
      <c r="L26050" s="12"/>
      <c r="M26050" s="11"/>
      <c r="N26050" s="11"/>
      <c r="O26050" s="11"/>
      <c r="P26050" s="11"/>
    </row>
    <row r="26051" spans="8:16" x14ac:dyDescent="0.25">
      <c r="H26051" s="12"/>
      <c r="I26051" s="12"/>
      <c r="J26051" s="12"/>
      <c r="K26051" s="12"/>
      <c r="L26051" s="12"/>
      <c r="M26051" s="11"/>
      <c r="N26051" s="11"/>
      <c r="O26051" s="11"/>
      <c r="P26051" s="11"/>
    </row>
    <row r="26052" spans="8:16" x14ac:dyDescent="0.25">
      <c r="H26052" s="12"/>
      <c r="I26052" s="12"/>
      <c r="J26052" s="12"/>
      <c r="K26052" s="12"/>
      <c r="L26052" s="12"/>
      <c r="M26052" s="11"/>
      <c r="N26052" s="11"/>
      <c r="O26052" s="11"/>
      <c r="P26052" s="11"/>
    </row>
    <row r="26053" spans="8:16" x14ac:dyDescent="0.25">
      <c r="H26053" s="12"/>
      <c r="I26053" s="12"/>
      <c r="J26053" s="12"/>
      <c r="K26053" s="12"/>
      <c r="L26053" s="12"/>
      <c r="M26053" s="11"/>
      <c r="N26053" s="11"/>
      <c r="O26053" s="11"/>
      <c r="P26053" s="11"/>
    </row>
    <row r="26054" spans="8:16" x14ac:dyDescent="0.25">
      <c r="H26054" s="12"/>
      <c r="I26054" s="12"/>
      <c r="J26054" s="12"/>
      <c r="K26054" s="12"/>
      <c r="L26054" s="12"/>
      <c r="M26054" s="11"/>
      <c r="N26054" s="11"/>
      <c r="O26054" s="11"/>
      <c r="P26054" s="11"/>
    </row>
    <row r="26055" spans="8:16" x14ac:dyDescent="0.25">
      <c r="H26055" s="12"/>
      <c r="I26055" s="12"/>
      <c r="J26055" s="12"/>
      <c r="K26055" s="12"/>
      <c r="L26055" s="12"/>
      <c r="M26055" s="11"/>
      <c r="N26055" s="11"/>
      <c r="O26055" s="11"/>
      <c r="P26055" s="11"/>
    </row>
    <row r="26056" spans="8:16" x14ac:dyDescent="0.25">
      <c r="H26056" s="12"/>
      <c r="I26056" s="12"/>
      <c r="J26056" s="12"/>
      <c r="K26056" s="12"/>
      <c r="L26056" s="12"/>
      <c r="M26056" s="11"/>
      <c r="N26056" s="11"/>
      <c r="O26056" s="11"/>
      <c r="P26056" s="11"/>
    </row>
    <row r="26057" spans="8:16" x14ac:dyDescent="0.25">
      <c r="H26057" s="12"/>
      <c r="I26057" s="12"/>
      <c r="J26057" s="12"/>
      <c r="K26057" s="12"/>
      <c r="L26057" s="12"/>
      <c r="M26057" s="11"/>
      <c r="N26057" s="11"/>
      <c r="O26057" s="11"/>
      <c r="P26057" s="11"/>
    </row>
    <row r="26058" spans="8:16" x14ac:dyDescent="0.25">
      <c r="H26058" s="12"/>
      <c r="I26058" s="12"/>
      <c r="J26058" s="12"/>
      <c r="K26058" s="12"/>
      <c r="L26058" s="12"/>
      <c r="M26058" s="11"/>
      <c r="N26058" s="11"/>
      <c r="O26058" s="11"/>
      <c r="P26058" s="11"/>
    </row>
    <row r="26059" spans="8:16" x14ac:dyDescent="0.25">
      <c r="H26059" s="12"/>
      <c r="I26059" s="12"/>
      <c r="J26059" s="12"/>
      <c r="K26059" s="12"/>
      <c r="L26059" s="12"/>
      <c r="M26059" s="11"/>
      <c r="N26059" s="11"/>
      <c r="O26059" s="11"/>
      <c r="P26059" s="11"/>
    </row>
    <row r="26060" spans="8:16" x14ac:dyDescent="0.25">
      <c r="H26060" s="12"/>
      <c r="I26060" s="12"/>
      <c r="J26060" s="12"/>
      <c r="K26060" s="12"/>
      <c r="L26060" s="12"/>
      <c r="M26060" s="11"/>
      <c r="N26060" s="11"/>
      <c r="O26060" s="11"/>
      <c r="P26060" s="11"/>
    </row>
    <row r="26061" spans="8:16" x14ac:dyDescent="0.25">
      <c r="H26061" s="12"/>
      <c r="I26061" s="12"/>
      <c r="J26061" s="12"/>
      <c r="K26061" s="12"/>
      <c r="L26061" s="12"/>
      <c r="M26061" s="11"/>
      <c r="N26061" s="11"/>
      <c r="O26061" s="11"/>
      <c r="P26061" s="11"/>
    </row>
    <row r="26062" spans="8:16" x14ac:dyDescent="0.25">
      <c r="H26062" s="12"/>
      <c r="I26062" s="12"/>
      <c r="J26062" s="12"/>
      <c r="K26062" s="12"/>
      <c r="L26062" s="12"/>
      <c r="M26062" s="11"/>
      <c r="N26062" s="11"/>
      <c r="O26062" s="11"/>
      <c r="P26062" s="11"/>
    </row>
    <row r="26063" spans="8:16" x14ac:dyDescent="0.25">
      <c r="H26063" s="12"/>
      <c r="I26063" s="12"/>
      <c r="J26063" s="12"/>
      <c r="K26063" s="12"/>
      <c r="L26063" s="12"/>
      <c r="M26063" s="11"/>
      <c r="N26063" s="11"/>
      <c r="O26063" s="11"/>
      <c r="P26063" s="11"/>
    </row>
    <row r="26064" spans="8:16" x14ac:dyDescent="0.25">
      <c r="H26064" s="12"/>
      <c r="I26064" s="12"/>
      <c r="J26064" s="12"/>
      <c r="K26064" s="12"/>
      <c r="L26064" s="12"/>
      <c r="M26064" s="11"/>
      <c r="N26064" s="11"/>
      <c r="O26064" s="11"/>
      <c r="P26064" s="11"/>
    </row>
    <row r="26065" spans="8:16" x14ac:dyDescent="0.25">
      <c r="H26065" s="12"/>
      <c r="I26065" s="12"/>
      <c r="J26065" s="12"/>
      <c r="K26065" s="12"/>
      <c r="L26065" s="12"/>
      <c r="M26065" s="11"/>
      <c r="N26065" s="11"/>
      <c r="O26065" s="11"/>
      <c r="P26065" s="11"/>
    </row>
    <row r="26066" spans="8:16" x14ac:dyDescent="0.25">
      <c r="H26066" s="12"/>
      <c r="I26066" s="12"/>
      <c r="J26066" s="12"/>
      <c r="K26066" s="12"/>
      <c r="L26066" s="12"/>
      <c r="M26066" s="11"/>
      <c r="N26066" s="11"/>
      <c r="O26066" s="11"/>
      <c r="P26066" s="11"/>
    </row>
    <row r="26067" spans="8:16" x14ac:dyDescent="0.25">
      <c r="H26067" s="12"/>
      <c r="I26067" s="12"/>
      <c r="J26067" s="12"/>
      <c r="K26067" s="12"/>
      <c r="L26067" s="12"/>
      <c r="M26067" s="11"/>
      <c r="N26067" s="11"/>
      <c r="O26067" s="11"/>
      <c r="P26067" s="11"/>
    </row>
    <row r="26068" spans="8:16" x14ac:dyDescent="0.25">
      <c r="H26068" s="12"/>
      <c r="I26068" s="12"/>
      <c r="J26068" s="12"/>
      <c r="K26068" s="12"/>
      <c r="L26068" s="12"/>
      <c r="M26068" s="11"/>
      <c r="N26068" s="11"/>
      <c r="O26068" s="11"/>
      <c r="P26068" s="11"/>
    </row>
    <row r="26069" spans="8:16" x14ac:dyDescent="0.25">
      <c r="H26069" s="12"/>
      <c r="I26069" s="12"/>
      <c r="J26069" s="12"/>
      <c r="K26069" s="12"/>
      <c r="L26069" s="12"/>
      <c r="M26069" s="11"/>
      <c r="N26069" s="11"/>
      <c r="O26069" s="11"/>
      <c r="P26069" s="11"/>
    </row>
    <row r="26070" spans="8:16" x14ac:dyDescent="0.25">
      <c r="H26070" s="12"/>
      <c r="I26070" s="12"/>
      <c r="J26070" s="12"/>
      <c r="K26070" s="12"/>
      <c r="L26070" s="12"/>
      <c r="M26070" s="11"/>
      <c r="N26070" s="11"/>
      <c r="O26070" s="11"/>
      <c r="P26070" s="11"/>
    </row>
    <row r="26071" spans="8:16" x14ac:dyDescent="0.25">
      <c r="H26071" s="12"/>
      <c r="I26071" s="12"/>
      <c r="J26071" s="12"/>
      <c r="K26071" s="12"/>
      <c r="L26071" s="12"/>
      <c r="M26071" s="11"/>
      <c r="N26071" s="11"/>
      <c r="O26071" s="11"/>
      <c r="P26071" s="11"/>
    </row>
    <row r="26072" spans="8:16" x14ac:dyDescent="0.25">
      <c r="H26072" s="12"/>
      <c r="I26072" s="12"/>
      <c r="J26072" s="12"/>
      <c r="K26072" s="12"/>
      <c r="L26072" s="12"/>
      <c r="M26072" s="11"/>
      <c r="N26072" s="11"/>
      <c r="O26072" s="11"/>
      <c r="P26072" s="11"/>
    </row>
    <row r="26073" spans="8:16" x14ac:dyDescent="0.25">
      <c r="H26073" s="12"/>
      <c r="I26073" s="12"/>
      <c r="J26073" s="12"/>
      <c r="K26073" s="12"/>
      <c r="L26073" s="12"/>
      <c r="M26073" s="11"/>
      <c r="N26073" s="11"/>
      <c r="O26073" s="11"/>
      <c r="P26073" s="11"/>
    </row>
    <row r="26074" spans="8:16" x14ac:dyDescent="0.25">
      <c r="H26074" s="12"/>
      <c r="I26074" s="12"/>
      <c r="J26074" s="12"/>
      <c r="K26074" s="12"/>
      <c r="L26074" s="12"/>
      <c r="M26074" s="11"/>
      <c r="N26074" s="11"/>
      <c r="O26074" s="11"/>
      <c r="P26074" s="11"/>
    </row>
    <row r="26075" spans="8:16" x14ac:dyDescent="0.25">
      <c r="H26075" s="12"/>
      <c r="I26075" s="12"/>
      <c r="J26075" s="12"/>
      <c r="K26075" s="12"/>
      <c r="L26075" s="12"/>
      <c r="M26075" s="11"/>
      <c r="N26075" s="11"/>
      <c r="O26075" s="11"/>
      <c r="P26075" s="11"/>
    </row>
    <row r="26076" spans="8:16" x14ac:dyDescent="0.25">
      <c r="H26076" s="12"/>
      <c r="I26076" s="12"/>
      <c r="J26076" s="12"/>
      <c r="K26076" s="12"/>
      <c r="L26076" s="12"/>
      <c r="M26076" s="11"/>
      <c r="N26076" s="11"/>
      <c r="O26076" s="11"/>
      <c r="P26076" s="11"/>
    </row>
    <row r="26077" spans="8:16" x14ac:dyDescent="0.25">
      <c r="H26077" s="12"/>
      <c r="I26077" s="12"/>
      <c r="J26077" s="12"/>
      <c r="K26077" s="12"/>
      <c r="L26077" s="12"/>
      <c r="M26077" s="11"/>
      <c r="N26077" s="11"/>
      <c r="O26077" s="11"/>
      <c r="P26077" s="11"/>
    </row>
    <row r="26078" spans="8:16" x14ac:dyDescent="0.25">
      <c r="H26078" s="12"/>
      <c r="I26078" s="12"/>
      <c r="J26078" s="12"/>
      <c r="K26078" s="12"/>
      <c r="L26078" s="12"/>
      <c r="M26078" s="11"/>
      <c r="N26078" s="11"/>
      <c r="O26078" s="11"/>
      <c r="P26078" s="11"/>
    </row>
    <row r="26079" spans="8:16" x14ac:dyDescent="0.25">
      <c r="H26079" s="12"/>
      <c r="I26079" s="12"/>
      <c r="J26079" s="12"/>
      <c r="K26079" s="12"/>
      <c r="L26079" s="12"/>
      <c r="M26079" s="11"/>
      <c r="N26079" s="11"/>
      <c r="O26079" s="11"/>
      <c r="P26079" s="11"/>
    </row>
    <row r="26080" spans="8:16" x14ac:dyDescent="0.25">
      <c r="H26080" s="12"/>
      <c r="I26080" s="12"/>
      <c r="J26080" s="12"/>
      <c r="K26080" s="12"/>
      <c r="L26080" s="12"/>
      <c r="M26080" s="11"/>
      <c r="N26080" s="11"/>
      <c r="O26080" s="11"/>
      <c r="P26080" s="11"/>
    </row>
    <row r="26081" spans="8:16" x14ac:dyDescent="0.25">
      <c r="H26081" s="12"/>
      <c r="I26081" s="12"/>
      <c r="J26081" s="12"/>
      <c r="K26081" s="12"/>
      <c r="L26081" s="12"/>
      <c r="M26081" s="11"/>
      <c r="N26081" s="11"/>
      <c r="O26081" s="11"/>
      <c r="P26081" s="11"/>
    </row>
    <row r="26082" spans="8:16" x14ac:dyDescent="0.25">
      <c r="H26082" s="12"/>
      <c r="I26082" s="12"/>
      <c r="J26082" s="12"/>
      <c r="K26082" s="12"/>
      <c r="L26082" s="12"/>
      <c r="M26082" s="11"/>
      <c r="N26082" s="11"/>
      <c r="O26082" s="11"/>
      <c r="P26082" s="11"/>
    </row>
    <row r="26083" spans="8:16" x14ac:dyDescent="0.25">
      <c r="H26083" s="12"/>
      <c r="I26083" s="12"/>
      <c r="J26083" s="12"/>
      <c r="K26083" s="12"/>
      <c r="L26083" s="12"/>
      <c r="M26083" s="11"/>
      <c r="N26083" s="11"/>
      <c r="O26083" s="11"/>
      <c r="P26083" s="11"/>
    </row>
    <row r="26084" spans="8:16" x14ac:dyDescent="0.25">
      <c r="H26084" s="12"/>
      <c r="I26084" s="12"/>
      <c r="J26084" s="12"/>
      <c r="K26084" s="12"/>
      <c r="L26084" s="12"/>
      <c r="M26084" s="11"/>
      <c r="N26084" s="11"/>
      <c r="O26084" s="11"/>
      <c r="P26084" s="11"/>
    </row>
    <row r="26085" spans="8:16" x14ac:dyDescent="0.25">
      <c r="H26085" s="12"/>
      <c r="I26085" s="12"/>
      <c r="J26085" s="12"/>
      <c r="K26085" s="12"/>
      <c r="L26085" s="12"/>
      <c r="M26085" s="11"/>
      <c r="N26085" s="11"/>
      <c r="O26085" s="11"/>
      <c r="P26085" s="11"/>
    </row>
    <row r="26086" spans="8:16" x14ac:dyDescent="0.25">
      <c r="H26086" s="12"/>
      <c r="I26086" s="12"/>
      <c r="J26086" s="12"/>
      <c r="K26086" s="12"/>
      <c r="L26086" s="12"/>
      <c r="M26086" s="11"/>
      <c r="N26086" s="11"/>
      <c r="O26086" s="11"/>
      <c r="P26086" s="11"/>
    </row>
    <row r="26087" spans="8:16" x14ac:dyDescent="0.25">
      <c r="H26087" s="12"/>
      <c r="I26087" s="12"/>
      <c r="J26087" s="12"/>
      <c r="K26087" s="12"/>
      <c r="L26087" s="12"/>
      <c r="M26087" s="11"/>
      <c r="N26087" s="11"/>
      <c r="O26087" s="11"/>
      <c r="P26087" s="11"/>
    </row>
    <row r="26088" spans="8:16" x14ac:dyDescent="0.25">
      <c r="H26088" s="12"/>
      <c r="I26088" s="12"/>
      <c r="J26088" s="12"/>
      <c r="K26088" s="12"/>
      <c r="L26088" s="12"/>
      <c r="M26088" s="11"/>
      <c r="N26088" s="11"/>
      <c r="O26088" s="11"/>
      <c r="P26088" s="11"/>
    </row>
    <row r="26089" spans="8:16" x14ac:dyDescent="0.25">
      <c r="H26089" s="12"/>
      <c r="I26089" s="12"/>
      <c r="J26089" s="12"/>
      <c r="K26089" s="12"/>
      <c r="L26089" s="12"/>
      <c r="M26089" s="11"/>
      <c r="N26089" s="11"/>
      <c r="O26089" s="11"/>
      <c r="P26089" s="11"/>
    </row>
    <row r="26090" spans="8:16" x14ac:dyDescent="0.25">
      <c r="H26090" s="12"/>
      <c r="I26090" s="12"/>
      <c r="J26090" s="12"/>
      <c r="K26090" s="12"/>
      <c r="L26090" s="12"/>
      <c r="M26090" s="11"/>
      <c r="N26090" s="11"/>
      <c r="O26090" s="11"/>
      <c r="P26090" s="11"/>
    </row>
    <row r="26091" spans="8:16" x14ac:dyDescent="0.25">
      <c r="H26091" s="12"/>
      <c r="I26091" s="12"/>
      <c r="J26091" s="12"/>
      <c r="K26091" s="12"/>
      <c r="L26091" s="12"/>
      <c r="M26091" s="11"/>
      <c r="N26091" s="11"/>
      <c r="O26091" s="11"/>
      <c r="P26091" s="11"/>
    </row>
    <row r="26092" spans="8:16" x14ac:dyDescent="0.25">
      <c r="H26092" s="12"/>
      <c r="I26092" s="12"/>
      <c r="J26092" s="12"/>
      <c r="K26092" s="12"/>
      <c r="L26092" s="12"/>
      <c r="M26092" s="11"/>
      <c r="N26092" s="11"/>
      <c r="O26092" s="11"/>
      <c r="P26092" s="11"/>
    </row>
    <row r="26093" spans="8:16" x14ac:dyDescent="0.25">
      <c r="H26093" s="12"/>
      <c r="I26093" s="12"/>
      <c r="J26093" s="12"/>
      <c r="K26093" s="12"/>
      <c r="L26093" s="12"/>
      <c r="M26093" s="11"/>
      <c r="N26093" s="11"/>
      <c r="O26093" s="11"/>
      <c r="P26093" s="11"/>
    </row>
    <row r="26094" spans="8:16" x14ac:dyDescent="0.25">
      <c r="H26094" s="12"/>
      <c r="I26094" s="12"/>
      <c r="J26094" s="12"/>
      <c r="K26094" s="12"/>
      <c r="L26094" s="12"/>
      <c r="M26094" s="11"/>
      <c r="N26094" s="11"/>
      <c r="O26094" s="11"/>
      <c r="P26094" s="11"/>
    </row>
    <row r="26095" spans="8:16" x14ac:dyDescent="0.25">
      <c r="H26095" s="12"/>
      <c r="I26095" s="12"/>
      <c r="J26095" s="12"/>
      <c r="K26095" s="12"/>
      <c r="L26095" s="12"/>
      <c r="M26095" s="11"/>
      <c r="N26095" s="11"/>
      <c r="O26095" s="11"/>
      <c r="P26095" s="11"/>
    </row>
    <row r="26096" spans="8:16" x14ac:dyDescent="0.25">
      <c r="H26096" s="12"/>
      <c r="I26096" s="12"/>
      <c r="J26096" s="12"/>
      <c r="K26096" s="12"/>
      <c r="L26096" s="12"/>
      <c r="M26096" s="11"/>
      <c r="N26096" s="11"/>
      <c r="O26096" s="11"/>
      <c r="P26096" s="11"/>
    </row>
    <row r="26097" spans="8:16" x14ac:dyDescent="0.25">
      <c r="H26097" s="12"/>
      <c r="I26097" s="12"/>
      <c r="J26097" s="12"/>
      <c r="K26097" s="12"/>
      <c r="L26097" s="12"/>
      <c r="M26097" s="11"/>
      <c r="N26097" s="11"/>
      <c r="O26097" s="11"/>
      <c r="P26097" s="11"/>
    </row>
    <row r="26098" spans="8:16" x14ac:dyDescent="0.25">
      <c r="H26098" s="12"/>
      <c r="I26098" s="12"/>
      <c r="J26098" s="12"/>
      <c r="K26098" s="12"/>
      <c r="L26098" s="12"/>
      <c r="M26098" s="11"/>
      <c r="N26098" s="11"/>
      <c r="O26098" s="11"/>
      <c r="P26098" s="11"/>
    </row>
    <row r="26099" spans="8:16" x14ac:dyDescent="0.25">
      <c r="H26099" s="12"/>
      <c r="I26099" s="12"/>
      <c r="J26099" s="12"/>
      <c r="K26099" s="12"/>
      <c r="L26099" s="12"/>
      <c r="M26099" s="11"/>
      <c r="N26099" s="11"/>
      <c r="O26099" s="11"/>
      <c r="P26099" s="11"/>
    </row>
    <row r="26100" spans="8:16" x14ac:dyDescent="0.25">
      <c r="H26100" s="12"/>
      <c r="I26100" s="12"/>
      <c r="J26100" s="12"/>
      <c r="K26100" s="12"/>
      <c r="L26100" s="12"/>
      <c r="M26100" s="11"/>
      <c r="N26100" s="11"/>
      <c r="O26100" s="11"/>
      <c r="P26100" s="11"/>
    </row>
    <row r="26101" spans="8:16" x14ac:dyDescent="0.25">
      <c r="H26101" s="12"/>
      <c r="I26101" s="12"/>
      <c r="J26101" s="12"/>
      <c r="K26101" s="12"/>
      <c r="L26101" s="12"/>
      <c r="M26101" s="11"/>
      <c r="N26101" s="11"/>
      <c r="O26101" s="11"/>
      <c r="P26101" s="11"/>
    </row>
    <row r="26102" spans="8:16" x14ac:dyDescent="0.25">
      <c r="H26102" s="12"/>
      <c r="I26102" s="12"/>
      <c r="J26102" s="12"/>
      <c r="K26102" s="12"/>
      <c r="L26102" s="12"/>
      <c r="M26102" s="11"/>
      <c r="N26102" s="11"/>
      <c r="O26102" s="11"/>
      <c r="P26102" s="11"/>
    </row>
    <row r="26103" spans="8:16" x14ac:dyDescent="0.25">
      <c r="H26103" s="12"/>
      <c r="I26103" s="12"/>
      <c r="J26103" s="12"/>
      <c r="K26103" s="12"/>
      <c r="L26103" s="12"/>
      <c r="M26103" s="11"/>
      <c r="N26103" s="11"/>
      <c r="O26103" s="11"/>
      <c r="P26103" s="11"/>
    </row>
    <row r="26104" spans="8:16" x14ac:dyDescent="0.25">
      <c r="H26104" s="12"/>
      <c r="I26104" s="12"/>
      <c r="J26104" s="12"/>
      <c r="K26104" s="12"/>
      <c r="L26104" s="12"/>
      <c r="M26104" s="11"/>
      <c r="N26104" s="11"/>
      <c r="O26104" s="11"/>
      <c r="P26104" s="11"/>
    </row>
    <row r="26105" spans="8:16" x14ac:dyDescent="0.25">
      <c r="H26105" s="12"/>
      <c r="I26105" s="12"/>
      <c r="J26105" s="12"/>
      <c r="K26105" s="12"/>
      <c r="L26105" s="12"/>
      <c r="M26105" s="11"/>
      <c r="N26105" s="11"/>
      <c r="O26105" s="11"/>
      <c r="P26105" s="11"/>
    </row>
    <row r="26106" spans="8:16" x14ac:dyDescent="0.25">
      <c r="H26106" s="12"/>
      <c r="I26106" s="12"/>
      <c r="J26106" s="12"/>
      <c r="K26106" s="12"/>
      <c r="L26106" s="12"/>
      <c r="M26106" s="11"/>
      <c r="N26106" s="11"/>
      <c r="O26106" s="11"/>
      <c r="P26106" s="11"/>
    </row>
    <row r="26107" spans="8:16" x14ac:dyDescent="0.25">
      <c r="H26107" s="12"/>
      <c r="I26107" s="12"/>
      <c r="J26107" s="12"/>
      <c r="K26107" s="12"/>
      <c r="L26107" s="12"/>
      <c r="M26107" s="11"/>
      <c r="N26107" s="11"/>
      <c r="O26107" s="11"/>
      <c r="P26107" s="11"/>
    </row>
    <row r="26108" spans="8:16" x14ac:dyDescent="0.25">
      <c r="H26108" s="12"/>
      <c r="I26108" s="12"/>
      <c r="J26108" s="12"/>
      <c r="K26108" s="12"/>
      <c r="L26108" s="12"/>
      <c r="M26108" s="11"/>
      <c r="N26108" s="11"/>
      <c r="O26108" s="11"/>
      <c r="P26108" s="11"/>
    </row>
    <row r="26109" spans="8:16" x14ac:dyDescent="0.25">
      <c r="H26109" s="12"/>
      <c r="I26109" s="12"/>
      <c r="J26109" s="12"/>
      <c r="K26109" s="12"/>
      <c r="L26109" s="12"/>
      <c r="M26109" s="11"/>
      <c r="N26109" s="11"/>
      <c r="O26109" s="11"/>
      <c r="P26109" s="11"/>
    </row>
    <row r="26110" spans="8:16" x14ac:dyDescent="0.25">
      <c r="H26110" s="12"/>
      <c r="I26110" s="12"/>
      <c r="J26110" s="12"/>
      <c r="K26110" s="12"/>
      <c r="L26110" s="12"/>
      <c r="M26110" s="11"/>
      <c r="N26110" s="11"/>
      <c r="O26110" s="11"/>
      <c r="P26110" s="11"/>
    </row>
    <row r="26111" spans="8:16" x14ac:dyDescent="0.25">
      <c r="H26111" s="12"/>
      <c r="I26111" s="12"/>
      <c r="J26111" s="12"/>
      <c r="K26111" s="12"/>
      <c r="L26111" s="12"/>
      <c r="M26111" s="11"/>
      <c r="N26111" s="11"/>
      <c r="O26111" s="11"/>
      <c r="P26111" s="11"/>
    </row>
    <row r="26112" spans="8:16" x14ac:dyDescent="0.25">
      <c r="H26112" s="12"/>
      <c r="I26112" s="12"/>
      <c r="J26112" s="12"/>
      <c r="K26112" s="12"/>
      <c r="L26112" s="12"/>
      <c r="M26112" s="11"/>
      <c r="N26112" s="11"/>
      <c r="O26112" s="11"/>
      <c r="P26112" s="11"/>
    </row>
    <row r="26113" spans="8:16" x14ac:dyDescent="0.25">
      <c r="H26113" s="12"/>
      <c r="I26113" s="12"/>
      <c r="J26113" s="12"/>
      <c r="K26113" s="12"/>
      <c r="L26113" s="12"/>
      <c r="M26113" s="11"/>
      <c r="N26113" s="11"/>
      <c r="O26113" s="11"/>
      <c r="P26113" s="11"/>
    </row>
    <row r="26114" spans="8:16" x14ac:dyDescent="0.25">
      <c r="H26114" s="12"/>
      <c r="I26114" s="12"/>
      <c r="J26114" s="12"/>
      <c r="K26114" s="12"/>
      <c r="L26114" s="12"/>
      <c r="M26114" s="11"/>
      <c r="N26114" s="11"/>
      <c r="O26114" s="11"/>
      <c r="P26114" s="11"/>
    </row>
    <row r="26115" spans="8:16" x14ac:dyDescent="0.25">
      <c r="H26115" s="12"/>
      <c r="I26115" s="12"/>
      <c r="J26115" s="12"/>
      <c r="K26115" s="12"/>
      <c r="L26115" s="12"/>
      <c r="M26115" s="11"/>
      <c r="N26115" s="11"/>
      <c r="O26115" s="11"/>
      <c r="P26115" s="11"/>
    </row>
    <row r="26116" spans="8:16" x14ac:dyDescent="0.25">
      <c r="H26116" s="12"/>
      <c r="I26116" s="12"/>
      <c r="J26116" s="12"/>
      <c r="K26116" s="12"/>
      <c r="L26116" s="12"/>
      <c r="M26116" s="11"/>
      <c r="N26116" s="11"/>
      <c r="O26116" s="11"/>
      <c r="P26116" s="11"/>
    </row>
    <row r="26117" spans="8:16" x14ac:dyDescent="0.25">
      <c r="H26117" s="12"/>
      <c r="I26117" s="12"/>
      <c r="J26117" s="12"/>
      <c r="K26117" s="12"/>
      <c r="L26117" s="12"/>
      <c r="M26117" s="11"/>
      <c r="N26117" s="11"/>
      <c r="O26117" s="11"/>
      <c r="P26117" s="11"/>
    </row>
    <row r="26118" spans="8:16" x14ac:dyDescent="0.25">
      <c r="H26118" s="12"/>
      <c r="I26118" s="12"/>
      <c r="J26118" s="12"/>
      <c r="K26118" s="12"/>
      <c r="L26118" s="12"/>
      <c r="M26118" s="11"/>
      <c r="N26118" s="11"/>
      <c r="O26118" s="11"/>
      <c r="P26118" s="11"/>
    </row>
    <row r="26119" spans="8:16" x14ac:dyDescent="0.25">
      <c r="H26119" s="12"/>
      <c r="I26119" s="12"/>
      <c r="J26119" s="12"/>
      <c r="K26119" s="12"/>
      <c r="L26119" s="12"/>
      <c r="M26119" s="11"/>
      <c r="N26119" s="11"/>
      <c r="O26119" s="11"/>
      <c r="P26119" s="11"/>
    </row>
    <row r="26120" spans="8:16" x14ac:dyDescent="0.25">
      <c r="H26120" s="12"/>
      <c r="I26120" s="12"/>
      <c r="J26120" s="12"/>
      <c r="K26120" s="12"/>
      <c r="L26120" s="12"/>
      <c r="M26120" s="11"/>
      <c r="N26120" s="11"/>
      <c r="O26120" s="11"/>
      <c r="P26120" s="11"/>
    </row>
    <row r="26121" spans="8:16" x14ac:dyDescent="0.25">
      <c r="H26121" s="12"/>
      <c r="I26121" s="12"/>
      <c r="J26121" s="12"/>
      <c r="K26121" s="12"/>
      <c r="L26121" s="12"/>
      <c r="M26121" s="11"/>
      <c r="N26121" s="11"/>
      <c r="O26121" s="11"/>
      <c r="P26121" s="11"/>
    </row>
    <row r="26122" spans="8:16" x14ac:dyDescent="0.25">
      <c r="H26122" s="12"/>
      <c r="I26122" s="12"/>
      <c r="J26122" s="12"/>
      <c r="K26122" s="12"/>
      <c r="L26122" s="12"/>
      <c r="M26122" s="11"/>
      <c r="N26122" s="11"/>
      <c r="O26122" s="11"/>
      <c r="P26122" s="11"/>
    </row>
    <row r="26123" spans="8:16" x14ac:dyDescent="0.25">
      <c r="H26123" s="12"/>
      <c r="I26123" s="12"/>
      <c r="J26123" s="12"/>
      <c r="K26123" s="12"/>
      <c r="L26123" s="12"/>
      <c r="M26123" s="11"/>
      <c r="N26123" s="11"/>
      <c r="O26123" s="11"/>
      <c r="P26123" s="11"/>
    </row>
    <row r="26124" spans="8:16" x14ac:dyDescent="0.25">
      <c r="H26124" s="12"/>
      <c r="I26124" s="12"/>
      <c r="J26124" s="12"/>
      <c r="K26124" s="12"/>
      <c r="L26124" s="12"/>
      <c r="M26124" s="11"/>
      <c r="N26124" s="11"/>
      <c r="O26124" s="11"/>
      <c r="P26124" s="11"/>
    </row>
    <row r="26125" spans="8:16" x14ac:dyDescent="0.25">
      <c r="H26125" s="12"/>
      <c r="I26125" s="12"/>
      <c r="J26125" s="12"/>
      <c r="K26125" s="12"/>
      <c r="L26125" s="12"/>
      <c r="M26125" s="11"/>
      <c r="N26125" s="11"/>
      <c r="O26125" s="11"/>
      <c r="P26125" s="11"/>
    </row>
    <row r="26126" spans="8:16" x14ac:dyDescent="0.25">
      <c r="H26126" s="12"/>
      <c r="I26126" s="12"/>
      <c r="J26126" s="12"/>
      <c r="K26126" s="12"/>
      <c r="L26126" s="12"/>
      <c r="M26126" s="11"/>
      <c r="N26126" s="11"/>
      <c r="O26126" s="11"/>
      <c r="P26126" s="11"/>
    </row>
    <row r="26127" spans="8:16" x14ac:dyDescent="0.25">
      <c r="H26127" s="12"/>
      <c r="I26127" s="12"/>
      <c r="J26127" s="12"/>
      <c r="K26127" s="12"/>
      <c r="L26127" s="12"/>
      <c r="M26127" s="11"/>
      <c r="N26127" s="11"/>
      <c r="O26127" s="11"/>
      <c r="P26127" s="11"/>
    </row>
    <row r="26128" spans="8:16" x14ac:dyDescent="0.25">
      <c r="H26128" s="12"/>
      <c r="I26128" s="12"/>
      <c r="J26128" s="12"/>
      <c r="K26128" s="12"/>
      <c r="L26128" s="12"/>
      <c r="M26128" s="11"/>
      <c r="N26128" s="11"/>
      <c r="O26128" s="11"/>
      <c r="P26128" s="11"/>
    </row>
    <row r="26129" spans="8:16" x14ac:dyDescent="0.25">
      <c r="H26129" s="12"/>
      <c r="I26129" s="12"/>
      <c r="J26129" s="12"/>
      <c r="K26129" s="12"/>
      <c r="L26129" s="12"/>
      <c r="M26129" s="11"/>
      <c r="N26129" s="11"/>
      <c r="O26129" s="11"/>
      <c r="P26129" s="11"/>
    </row>
    <row r="26130" spans="8:16" x14ac:dyDescent="0.25">
      <c r="H26130" s="12"/>
      <c r="I26130" s="12"/>
      <c r="J26130" s="12"/>
      <c r="K26130" s="12"/>
      <c r="L26130" s="12"/>
      <c r="M26130" s="11"/>
      <c r="N26130" s="11"/>
      <c r="O26130" s="11"/>
      <c r="P26130" s="11"/>
    </row>
    <row r="26131" spans="8:16" x14ac:dyDescent="0.25">
      <c r="H26131" s="12"/>
      <c r="I26131" s="12"/>
      <c r="J26131" s="12"/>
      <c r="K26131" s="12"/>
      <c r="L26131" s="12"/>
      <c r="M26131" s="11"/>
      <c r="N26131" s="11"/>
      <c r="O26131" s="11"/>
      <c r="P26131" s="11"/>
    </row>
    <row r="26132" spans="8:16" x14ac:dyDescent="0.25">
      <c r="H26132" s="12"/>
      <c r="I26132" s="12"/>
      <c r="J26132" s="12"/>
      <c r="K26132" s="12"/>
      <c r="L26132" s="12"/>
      <c r="M26132" s="11"/>
      <c r="N26132" s="11"/>
      <c r="O26132" s="11"/>
      <c r="P26132" s="11"/>
    </row>
    <row r="26133" spans="8:16" x14ac:dyDescent="0.25">
      <c r="H26133" s="12"/>
      <c r="I26133" s="12"/>
      <c r="J26133" s="12"/>
      <c r="K26133" s="12"/>
      <c r="L26133" s="12"/>
      <c r="M26133" s="11"/>
      <c r="N26133" s="11"/>
      <c r="O26133" s="11"/>
      <c r="P26133" s="11"/>
    </row>
    <row r="26134" spans="8:16" x14ac:dyDescent="0.25">
      <c r="H26134" s="12"/>
      <c r="I26134" s="12"/>
      <c r="J26134" s="12"/>
      <c r="K26134" s="12"/>
      <c r="L26134" s="12"/>
      <c r="M26134" s="11"/>
      <c r="N26134" s="11"/>
      <c r="O26134" s="11"/>
      <c r="P26134" s="11"/>
    </row>
    <row r="26135" spans="8:16" x14ac:dyDescent="0.25">
      <c r="H26135" s="12"/>
      <c r="I26135" s="12"/>
      <c r="J26135" s="12"/>
      <c r="K26135" s="12"/>
      <c r="L26135" s="12"/>
      <c r="M26135" s="11"/>
      <c r="N26135" s="11"/>
      <c r="O26135" s="11"/>
      <c r="P26135" s="11"/>
    </row>
    <row r="26136" spans="8:16" x14ac:dyDescent="0.25">
      <c r="H26136" s="12"/>
      <c r="I26136" s="12"/>
      <c r="J26136" s="12"/>
      <c r="K26136" s="12"/>
      <c r="L26136" s="12"/>
      <c r="M26136" s="11"/>
      <c r="N26136" s="11"/>
      <c r="O26136" s="11"/>
      <c r="P26136" s="11"/>
    </row>
    <row r="26137" spans="8:16" x14ac:dyDescent="0.25">
      <c r="H26137" s="12"/>
      <c r="I26137" s="12"/>
      <c r="J26137" s="12"/>
      <c r="K26137" s="12"/>
      <c r="L26137" s="12"/>
      <c r="M26137" s="11"/>
      <c r="N26137" s="11"/>
      <c r="O26137" s="11"/>
      <c r="P26137" s="11"/>
    </row>
    <row r="26138" spans="8:16" x14ac:dyDescent="0.25">
      <c r="H26138" s="12"/>
      <c r="I26138" s="12"/>
      <c r="J26138" s="12"/>
      <c r="K26138" s="12"/>
      <c r="L26138" s="12"/>
      <c r="M26138" s="11"/>
      <c r="N26138" s="11"/>
      <c r="O26138" s="11"/>
      <c r="P26138" s="11"/>
    </row>
    <row r="26139" spans="8:16" x14ac:dyDescent="0.25">
      <c r="H26139" s="12"/>
      <c r="I26139" s="12"/>
      <c r="J26139" s="12"/>
      <c r="K26139" s="12"/>
      <c r="L26139" s="12"/>
      <c r="M26139" s="11"/>
      <c r="N26139" s="11"/>
      <c r="O26139" s="11"/>
      <c r="P26139" s="11"/>
    </row>
    <row r="26140" spans="8:16" x14ac:dyDescent="0.25">
      <c r="H26140" s="12"/>
      <c r="I26140" s="12"/>
      <c r="J26140" s="12"/>
      <c r="K26140" s="12"/>
      <c r="L26140" s="12"/>
      <c r="M26140" s="11"/>
      <c r="N26140" s="11"/>
      <c r="O26140" s="11"/>
      <c r="P26140" s="11"/>
    </row>
    <row r="26141" spans="8:16" x14ac:dyDescent="0.25">
      <c r="H26141" s="12"/>
      <c r="I26141" s="12"/>
      <c r="J26141" s="12"/>
      <c r="K26141" s="12"/>
      <c r="L26141" s="12"/>
      <c r="M26141" s="11"/>
      <c r="N26141" s="11"/>
      <c r="O26141" s="11"/>
      <c r="P26141" s="11"/>
    </row>
    <row r="26142" spans="8:16" x14ac:dyDescent="0.25">
      <c r="H26142" s="12"/>
      <c r="I26142" s="12"/>
      <c r="J26142" s="12"/>
      <c r="K26142" s="12"/>
      <c r="L26142" s="12"/>
      <c r="M26142" s="11"/>
      <c r="N26142" s="11"/>
      <c r="O26142" s="11"/>
      <c r="P26142" s="11"/>
    </row>
    <row r="26143" spans="8:16" x14ac:dyDescent="0.25">
      <c r="H26143" s="12"/>
      <c r="I26143" s="12"/>
      <c r="J26143" s="12"/>
      <c r="K26143" s="12"/>
      <c r="L26143" s="12"/>
      <c r="M26143" s="11"/>
      <c r="N26143" s="11"/>
      <c r="O26143" s="11"/>
      <c r="P26143" s="11"/>
    </row>
    <row r="26144" spans="8:16" x14ac:dyDescent="0.25">
      <c r="H26144" s="12"/>
      <c r="I26144" s="12"/>
      <c r="J26144" s="12"/>
      <c r="K26144" s="12"/>
      <c r="L26144" s="12"/>
      <c r="M26144" s="11"/>
      <c r="N26144" s="11"/>
      <c r="O26144" s="11"/>
      <c r="P26144" s="11"/>
    </row>
    <row r="26145" spans="8:16" x14ac:dyDescent="0.25">
      <c r="H26145" s="12"/>
      <c r="I26145" s="12"/>
      <c r="J26145" s="12"/>
      <c r="K26145" s="12"/>
      <c r="L26145" s="12"/>
      <c r="M26145" s="11"/>
      <c r="N26145" s="11"/>
      <c r="O26145" s="11"/>
      <c r="P26145" s="11"/>
    </row>
    <row r="26146" spans="8:16" x14ac:dyDescent="0.25">
      <c r="H26146" s="12"/>
      <c r="I26146" s="12"/>
      <c r="J26146" s="12"/>
      <c r="K26146" s="12"/>
      <c r="L26146" s="12"/>
      <c r="M26146" s="11"/>
      <c r="N26146" s="11"/>
      <c r="O26146" s="11"/>
      <c r="P26146" s="11"/>
    </row>
    <row r="26147" spans="8:16" x14ac:dyDescent="0.25">
      <c r="H26147" s="12"/>
      <c r="I26147" s="12"/>
      <c r="J26147" s="12"/>
      <c r="K26147" s="12"/>
      <c r="L26147" s="12"/>
      <c r="M26147" s="11"/>
      <c r="N26147" s="11"/>
      <c r="O26147" s="11"/>
      <c r="P26147" s="11"/>
    </row>
    <row r="26148" spans="8:16" x14ac:dyDescent="0.25">
      <c r="H26148" s="12"/>
      <c r="I26148" s="12"/>
      <c r="J26148" s="12"/>
      <c r="K26148" s="12"/>
      <c r="L26148" s="12"/>
      <c r="M26148" s="11"/>
      <c r="N26148" s="11"/>
      <c r="O26148" s="11"/>
      <c r="P26148" s="11"/>
    </row>
    <row r="26149" spans="8:16" x14ac:dyDescent="0.25">
      <c r="H26149" s="12"/>
      <c r="I26149" s="12"/>
      <c r="J26149" s="12"/>
      <c r="K26149" s="12"/>
      <c r="L26149" s="12"/>
      <c r="M26149" s="11"/>
      <c r="N26149" s="11"/>
      <c r="O26149" s="11"/>
      <c r="P26149" s="11"/>
    </row>
    <row r="26150" spans="8:16" x14ac:dyDescent="0.25">
      <c r="H26150" s="12"/>
      <c r="I26150" s="12"/>
      <c r="J26150" s="12"/>
      <c r="K26150" s="12"/>
      <c r="L26150" s="12"/>
      <c r="M26150" s="11"/>
      <c r="N26150" s="11"/>
      <c r="O26150" s="11"/>
      <c r="P26150" s="11"/>
    </row>
    <row r="26151" spans="8:16" x14ac:dyDescent="0.25">
      <c r="H26151" s="12"/>
      <c r="I26151" s="12"/>
      <c r="J26151" s="12"/>
      <c r="K26151" s="12"/>
      <c r="L26151" s="12"/>
      <c r="M26151" s="11"/>
      <c r="N26151" s="11"/>
      <c r="O26151" s="11"/>
      <c r="P26151" s="11"/>
    </row>
    <row r="26152" spans="8:16" x14ac:dyDescent="0.25">
      <c r="H26152" s="12"/>
      <c r="I26152" s="12"/>
      <c r="J26152" s="12"/>
      <c r="K26152" s="12"/>
      <c r="L26152" s="12"/>
      <c r="M26152" s="11"/>
      <c r="N26152" s="11"/>
      <c r="O26152" s="11"/>
      <c r="P26152" s="11"/>
    </row>
    <row r="26153" spans="8:16" x14ac:dyDescent="0.25">
      <c r="H26153" s="12"/>
      <c r="I26153" s="12"/>
      <c r="J26153" s="12"/>
      <c r="K26153" s="12"/>
      <c r="L26153" s="12"/>
      <c r="M26153" s="11"/>
      <c r="N26153" s="11"/>
      <c r="O26153" s="11"/>
      <c r="P26153" s="11"/>
    </row>
    <row r="26154" spans="8:16" x14ac:dyDescent="0.25">
      <c r="H26154" s="12"/>
      <c r="I26154" s="12"/>
      <c r="J26154" s="12"/>
      <c r="K26154" s="12"/>
      <c r="L26154" s="12"/>
      <c r="M26154" s="11"/>
      <c r="N26154" s="11"/>
      <c r="O26154" s="11"/>
      <c r="P26154" s="11"/>
    </row>
    <row r="26155" spans="8:16" x14ac:dyDescent="0.25">
      <c r="H26155" s="12"/>
      <c r="I26155" s="12"/>
      <c r="J26155" s="12"/>
      <c r="K26155" s="12"/>
      <c r="L26155" s="12"/>
      <c r="M26155" s="11"/>
      <c r="N26155" s="11"/>
      <c r="O26155" s="11"/>
      <c r="P26155" s="11"/>
    </row>
    <row r="26156" spans="8:16" x14ac:dyDescent="0.25">
      <c r="H26156" s="12"/>
      <c r="I26156" s="12"/>
      <c r="J26156" s="12"/>
      <c r="K26156" s="12"/>
      <c r="L26156" s="12"/>
      <c r="M26156" s="11"/>
      <c r="N26156" s="11"/>
      <c r="O26156" s="11"/>
      <c r="P26156" s="11"/>
    </row>
    <row r="26157" spans="8:16" x14ac:dyDescent="0.25">
      <c r="H26157" s="12"/>
      <c r="I26157" s="12"/>
      <c r="J26157" s="12"/>
      <c r="K26157" s="12"/>
      <c r="L26157" s="12"/>
      <c r="M26157" s="11"/>
      <c r="N26157" s="11"/>
      <c r="O26157" s="11"/>
      <c r="P26157" s="11"/>
    </row>
    <row r="26158" spans="8:16" x14ac:dyDescent="0.25">
      <c r="H26158" s="12"/>
      <c r="I26158" s="12"/>
      <c r="J26158" s="12"/>
      <c r="K26158" s="12"/>
      <c r="L26158" s="12"/>
      <c r="M26158" s="11"/>
      <c r="N26158" s="11"/>
      <c r="O26158" s="11"/>
      <c r="P26158" s="11"/>
    </row>
    <row r="26159" spans="8:16" x14ac:dyDescent="0.25">
      <c r="H26159" s="12"/>
      <c r="I26159" s="12"/>
      <c r="J26159" s="12"/>
      <c r="K26159" s="12"/>
      <c r="L26159" s="12"/>
      <c r="M26159" s="11"/>
      <c r="N26159" s="11"/>
      <c r="O26159" s="11"/>
      <c r="P26159" s="11"/>
    </row>
    <row r="26160" spans="8:16" x14ac:dyDescent="0.25">
      <c r="H26160" s="12"/>
      <c r="I26160" s="12"/>
      <c r="J26160" s="12"/>
      <c r="K26160" s="12"/>
      <c r="L26160" s="12"/>
      <c r="M26160" s="11"/>
      <c r="N26160" s="11"/>
      <c r="O26160" s="11"/>
      <c r="P26160" s="11"/>
    </row>
    <row r="26161" spans="8:16" x14ac:dyDescent="0.25">
      <c r="H26161" s="12"/>
      <c r="I26161" s="12"/>
      <c r="J26161" s="12"/>
      <c r="K26161" s="12"/>
      <c r="L26161" s="12"/>
      <c r="M26161" s="11"/>
      <c r="N26161" s="11"/>
      <c r="O26161" s="11"/>
      <c r="P26161" s="11"/>
    </row>
    <row r="26162" spans="8:16" x14ac:dyDescent="0.25">
      <c r="H26162" s="12"/>
      <c r="I26162" s="12"/>
      <c r="J26162" s="12"/>
      <c r="K26162" s="12"/>
      <c r="L26162" s="12"/>
      <c r="M26162" s="11"/>
      <c r="N26162" s="11"/>
      <c r="O26162" s="11"/>
      <c r="P26162" s="11"/>
    </row>
    <row r="26163" spans="8:16" x14ac:dyDescent="0.25">
      <c r="H26163" s="12"/>
      <c r="I26163" s="12"/>
      <c r="J26163" s="12"/>
      <c r="K26163" s="12"/>
      <c r="L26163" s="12"/>
      <c r="M26163" s="11"/>
      <c r="N26163" s="11"/>
      <c r="O26163" s="11"/>
      <c r="P26163" s="11"/>
    </row>
    <row r="26164" spans="8:16" x14ac:dyDescent="0.25">
      <c r="H26164" s="12"/>
      <c r="I26164" s="12"/>
      <c r="J26164" s="12"/>
      <c r="K26164" s="12"/>
      <c r="L26164" s="12"/>
      <c r="M26164" s="11"/>
      <c r="N26164" s="11"/>
      <c r="O26164" s="11"/>
      <c r="P26164" s="11"/>
    </row>
    <row r="26165" spans="8:16" x14ac:dyDescent="0.25">
      <c r="H26165" s="12"/>
      <c r="I26165" s="12"/>
      <c r="J26165" s="12"/>
      <c r="K26165" s="12"/>
      <c r="L26165" s="12"/>
      <c r="M26165" s="11"/>
      <c r="N26165" s="11"/>
      <c r="O26165" s="11"/>
      <c r="P26165" s="11"/>
    </row>
    <row r="26166" spans="8:16" x14ac:dyDescent="0.25">
      <c r="H26166" s="12"/>
      <c r="I26166" s="12"/>
      <c r="J26166" s="12"/>
      <c r="K26166" s="12"/>
      <c r="L26166" s="12"/>
      <c r="M26166" s="11"/>
      <c r="N26166" s="11"/>
      <c r="O26166" s="11"/>
      <c r="P26166" s="11"/>
    </row>
    <row r="26167" spans="8:16" x14ac:dyDescent="0.25">
      <c r="H26167" s="12"/>
      <c r="I26167" s="12"/>
      <c r="J26167" s="12"/>
      <c r="K26167" s="12"/>
      <c r="L26167" s="12"/>
      <c r="M26167" s="11"/>
      <c r="N26167" s="11"/>
      <c r="O26167" s="11"/>
      <c r="P26167" s="11"/>
    </row>
    <row r="26168" spans="8:16" x14ac:dyDescent="0.25">
      <c r="H26168" s="12"/>
      <c r="I26168" s="12"/>
      <c r="J26168" s="12"/>
      <c r="K26168" s="12"/>
      <c r="L26168" s="12"/>
      <c r="M26168" s="11"/>
      <c r="N26168" s="11"/>
      <c r="O26168" s="11"/>
      <c r="P26168" s="11"/>
    </row>
    <row r="26169" spans="8:16" x14ac:dyDescent="0.25">
      <c r="H26169" s="12"/>
      <c r="I26169" s="12"/>
      <c r="J26169" s="12"/>
      <c r="K26169" s="12"/>
      <c r="L26169" s="12"/>
      <c r="M26169" s="11"/>
      <c r="N26169" s="11"/>
      <c r="O26169" s="11"/>
      <c r="P26169" s="11"/>
    </row>
    <row r="26170" spans="8:16" x14ac:dyDescent="0.25">
      <c r="H26170" s="12"/>
      <c r="I26170" s="12"/>
      <c r="J26170" s="12"/>
      <c r="K26170" s="12"/>
      <c r="L26170" s="12"/>
      <c r="M26170" s="11"/>
      <c r="N26170" s="11"/>
      <c r="O26170" s="11"/>
      <c r="P26170" s="11"/>
    </row>
    <row r="26171" spans="8:16" x14ac:dyDescent="0.25">
      <c r="H26171" s="12"/>
      <c r="I26171" s="12"/>
      <c r="J26171" s="12"/>
      <c r="K26171" s="12"/>
      <c r="L26171" s="12"/>
      <c r="M26171" s="11"/>
      <c r="N26171" s="11"/>
      <c r="O26171" s="11"/>
      <c r="P26171" s="11"/>
    </row>
    <row r="26172" spans="8:16" x14ac:dyDescent="0.25">
      <c r="H26172" s="12"/>
      <c r="I26172" s="12"/>
      <c r="J26172" s="12"/>
      <c r="K26172" s="12"/>
      <c r="L26172" s="12"/>
      <c r="M26172" s="11"/>
      <c r="N26172" s="11"/>
      <c r="O26172" s="11"/>
      <c r="P26172" s="11"/>
    </row>
    <row r="26173" spans="8:16" x14ac:dyDescent="0.25">
      <c r="H26173" s="12"/>
      <c r="I26173" s="12"/>
      <c r="J26173" s="12"/>
      <c r="K26173" s="12"/>
      <c r="L26173" s="12"/>
      <c r="M26173" s="11"/>
      <c r="N26173" s="11"/>
      <c r="O26173" s="11"/>
      <c r="P26173" s="11"/>
    </row>
    <row r="26174" spans="8:16" x14ac:dyDescent="0.25">
      <c r="H26174" s="12"/>
      <c r="I26174" s="12"/>
      <c r="J26174" s="12"/>
      <c r="K26174" s="12"/>
      <c r="L26174" s="12"/>
      <c r="M26174" s="11"/>
      <c r="N26174" s="11"/>
      <c r="O26174" s="11"/>
      <c r="P26174" s="11"/>
    </row>
    <row r="26175" spans="8:16" x14ac:dyDescent="0.25">
      <c r="H26175" s="12"/>
      <c r="I26175" s="12"/>
      <c r="J26175" s="12"/>
      <c r="K26175" s="12"/>
      <c r="L26175" s="12"/>
      <c r="M26175" s="11"/>
      <c r="N26175" s="11"/>
      <c r="O26175" s="11"/>
      <c r="P26175" s="11"/>
    </row>
    <row r="26176" spans="8:16" x14ac:dyDescent="0.25">
      <c r="H26176" s="12"/>
      <c r="I26176" s="12"/>
      <c r="J26176" s="12"/>
      <c r="K26176" s="12"/>
      <c r="L26176" s="12"/>
      <c r="M26176" s="11"/>
      <c r="N26176" s="11"/>
      <c r="O26176" s="11"/>
      <c r="P26176" s="11"/>
    </row>
    <row r="26177" spans="8:16" x14ac:dyDescent="0.25">
      <c r="H26177" s="12"/>
      <c r="I26177" s="12"/>
      <c r="J26177" s="12"/>
      <c r="K26177" s="12"/>
      <c r="L26177" s="12"/>
      <c r="M26177" s="11"/>
      <c r="N26177" s="11"/>
      <c r="O26177" s="11"/>
      <c r="P26177" s="11"/>
    </row>
    <row r="26178" spans="8:16" x14ac:dyDescent="0.25">
      <c r="H26178" s="12"/>
      <c r="I26178" s="12"/>
      <c r="J26178" s="12"/>
      <c r="K26178" s="12"/>
      <c r="L26178" s="12"/>
      <c r="M26178" s="11"/>
      <c r="N26178" s="11"/>
      <c r="O26178" s="11"/>
      <c r="P26178" s="11"/>
    </row>
    <row r="26179" spans="8:16" x14ac:dyDescent="0.25">
      <c r="H26179" s="12"/>
      <c r="I26179" s="12"/>
      <c r="J26179" s="12"/>
      <c r="K26179" s="12"/>
      <c r="L26179" s="12"/>
      <c r="M26179" s="11"/>
      <c r="N26179" s="11"/>
      <c r="O26179" s="11"/>
      <c r="P26179" s="11"/>
    </row>
    <row r="26180" spans="8:16" x14ac:dyDescent="0.25">
      <c r="H26180" s="12"/>
      <c r="I26180" s="12"/>
      <c r="J26180" s="12"/>
      <c r="K26180" s="12"/>
      <c r="L26180" s="12"/>
      <c r="M26180" s="11"/>
      <c r="N26180" s="11"/>
      <c r="O26180" s="11"/>
      <c r="P26180" s="11"/>
    </row>
    <row r="26181" spans="8:16" x14ac:dyDescent="0.25">
      <c r="H26181" s="12"/>
      <c r="I26181" s="12"/>
      <c r="J26181" s="12"/>
      <c r="K26181" s="12"/>
      <c r="L26181" s="12"/>
      <c r="M26181" s="11"/>
      <c r="N26181" s="11"/>
      <c r="O26181" s="11"/>
      <c r="P26181" s="11"/>
    </row>
    <row r="26182" spans="8:16" x14ac:dyDescent="0.25">
      <c r="H26182" s="12"/>
      <c r="I26182" s="12"/>
      <c r="J26182" s="12"/>
      <c r="K26182" s="12"/>
      <c r="L26182" s="12"/>
      <c r="M26182" s="11"/>
      <c r="N26182" s="11"/>
      <c r="O26182" s="11"/>
      <c r="P26182" s="11"/>
    </row>
    <row r="26183" spans="8:16" x14ac:dyDescent="0.25">
      <c r="H26183" s="12"/>
      <c r="I26183" s="12"/>
      <c r="J26183" s="12"/>
      <c r="K26183" s="12"/>
      <c r="L26183" s="12"/>
      <c r="M26183" s="11"/>
      <c r="N26183" s="11"/>
      <c r="O26183" s="11"/>
      <c r="P26183" s="11"/>
    </row>
    <row r="26184" spans="8:16" x14ac:dyDescent="0.25">
      <c r="H26184" s="12"/>
      <c r="I26184" s="12"/>
      <c r="J26184" s="12"/>
      <c r="K26184" s="12"/>
      <c r="L26184" s="12"/>
      <c r="M26184" s="11"/>
      <c r="N26184" s="11"/>
      <c r="O26184" s="11"/>
      <c r="P26184" s="11"/>
    </row>
    <row r="26185" spans="8:16" x14ac:dyDescent="0.25">
      <c r="H26185" s="12"/>
      <c r="I26185" s="12"/>
      <c r="J26185" s="12"/>
      <c r="K26185" s="12"/>
      <c r="L26185" s="12"/>
      <c r="M26185" s="11"/>
      <c r="N26185" s="11"/>
      <c r="O26185" s="11"/>
      <c r="P26185" s="11"/>
    </row>
    <row r="26186" spans="8:16" x14ac:dyDescent="0.25">
      <c r="H26186" s="12"/>
      <c r="I26186" s="12"/>
      <c r="J26186" s="12"/>
      <c r="K26186" s="12"/>
      <c r="L26186" s="12"/>
      <c r="M26186" s="11"/>
      <c r="N26186" s="11"/>
      <c r="O26186" s="11"/>
      <c r="P26186" s="11"/>
    </row>
    <row r="26187" spans="8:16" x14ac:dyDescent="0.25">
      <c r="H26187" s="12"/>
      <c r="I26187" s="12"/>
      <c r="J26187" s="12"/>
      <c r="K26187" s="12"/>
      <c r="L26187" s="12"/>
      <c r="M26187" s="11"/>
      <c r="N26187" s="11"/>
      <c r="O26187" s="11"/>
      <c r="P26187" s="11"/>
    </row>
    <row r="26188" spans="8:16" x14ac:dyDescent="0.25">
      <c r="H26188" s="12"/>
      <c r="I26188" s="12"/>
      <c r="J26188" s="12"/>
      <c r="K26188" s="12"/>
      <c r="L26188" s="12"/>
      <c r="M26188" s="11"/>
      <c r="N26188" s="11"/>
      <c r="O26188" s="11"/>
      <c r="P26188" s="11"/>
    </row>
    <row r="26189" spans="8:16" x14ac:dyDescent="0.25">
      <c r="H26189" s="12"/>
      <c r="I26189" s="12"/>
      <c r="J26189" s="12"/>
      <c r="K26189" s="12"/>
      <c r="L26189" s="12"/>
      <c r="M26189" s="11"/>
      <c r="N26189" s="11"/>
      <c r="O26189" s="11"/>
      <c r="P26189" s="11"/>
    </row>
    <row r="26190" spans="8:16" x14ac:dyDescent="0.25">
      <c r="H26190" s="12"/>
      <c r="I26190" s="12"/>
      <c r="J26190" s="12"/>
      <c r="K26190" s="12"/>
      <c r="L26190" s="12"/>
      <c r="M26190" s="11"/>
      <c r="N26190" s="11"/>
      <c r="O26190" s="11"/>
      <c r="P26190" s="11"/>
    </row>
    <row r="26191" spans="8:16" x14ac:dyDescent="0.25">
      <c r="H26191" s="12"/>
      <c r="I26191" s="12"/>
      <c r="J26191" s="12"/>
      <c r="K26191" s="12"/>
      <c r="L26191" s="12"/>
      <c r="M26191" s="11"/>
      <c r="N26191" s="11"/>
      <c r="O26191" s="11"/>
      <c r="P26191" s="11"/>
    </row>
    <row r="26192" spans="8:16" x14ac:dyDescent="0.25">
      <c r="H26192" s="12"/>
      <c r="I26192" s="12"/>
      <c r="J26192" s="12"/>
      <c r="K26192" s="12"/>
      <c r="L26192" s="12"/>
      <c r="M26192" s="11"/>
      <c r="N26192" s="11"/>
      <c r="O26192" s="11"/>
      <c r="P26192" s="11"/>
    </row>
    <row r="26193" spans="8:16" x14ac:dyDescent="0.25">
      <c r="H26193" s="12"/>
      <c r="I26193" s="12"/>
      <c r="J26193" s="12"/>
      <c r="K26193" s="12"/>
      <c r="L26193" s="12"/>
      <c r="M26193" s="11"/>
      <c r="N26193" s="11"/>
      <c r="O26193" s="11"/>
      <c r="P26193" s="11"/>
    </row>
    <row r="26194" spans="8:16" x14ac:dyDescent="0.25">
      <c r="H26194" s="12"/>
      <c r="I26194" s="12"/>
      <c r="J26194" s="12"/>
      <c r="K26194" s="12"/>
      <c r="L26194" s="12"/>
      <c r="M26194" s="11"/>
      <c r="N26194" s="11"/>
      <c r="O26194" s="11"/>
      <c r="P26194" s="11"/>
    </row>
    <row r="26195" spans="8:16" x14ac:dyDescent="0.25">
      <c r="H26195" s="12"/>
      <c r="I26195" s="12"/>
      <c r="J26195" s="12"/>
      <c r="K26195" s="12"/>
      <c r="L26195" s="12"/>
      <c r="M26195" s="11"/>
      <c r="N26195" s="11"/>
      <c r="O26195" s="11"/>
      <c r="P26195" s="11"/>
    </row>
    <row r="26196" spans="8:16" x14ac:dyDescent="0.25">
      <c r="H26196" s="12"/>
      <c r="I26196" s="12"/>
      <c r="J26196" s="12"/>
      <c r="K26196" s="12"/>
      <c r="L26196" s="12"/>
      <c r="M26196" s="11"/>
      <c r="N26196" s="11"/>
      <c r="O26196" s="11"/>
      <c r="P26196" s="11"/>
    </row>
    <row r="26197" spans="8:16" x14ac:dyDescent="0.25">
      <c r="H26197" s="12"/>
      <c r="I26197" s="12"/>
      <c r="J26197" s="12"/>
      <c r="K26197" s="12"/>
      <c r="L26197" s="12"/>
      <c r="M26197" s="11"/>
      <c r="N26197" s="11"/>
      <c r="O26197" s="11"/>
      <c r="P26197" s="11"/>
    </row>
    <row r="26198" spans="8:16" x14ac:dyDescent="0.25">
      <c r="H26198" s="12"/>
      <c r="I26198" s="12"/>
      <c r="J26198" s="12"/>
      <c r="K26198" s="12"/>
      <c r="L26198" s="12"/>
      <c r="M26198" s="11"/>
      <c r="N26198" s="11"/>
      <c r="O26198" s="11"/>
      <c r="P26198" s="11"/>
    </row>
    <row r="26199" spans="8:16" x14ac:dyDescent="0.25">
      <c r="H26199" s="12"/>
      <c r="I26199" s="12"/>
      <c r="J26199" s="12"/>
      <c r="K26199" s="12"/>
      <c r="L26199" s="12"/>
      <c r="M26199" s="11"/>
      <c r="N26199" s="11"/>
      <c r="O26199" s="11"/>
      <c r="P26199" s="11"/>
    </row>
    <row r="26200" spans="8:16" x14ac:dyDescent="0.25">
      <c r="H26200" s="12"/>
      <c r="I26200" s="12"/>
      <c r="J26200" s="12"/>
      <c r="K26200" s="12"/>
      <c r="L26200" s="12"/>
      <c r="M26200" s="11"/>
      <c r="N26200" s="11"/>
      <c r="O26200" s="11"/>
      <c r="P26200" s="11"/>
    </row>
    <row r="26201" spans="8:16" x14ac:dyDescent="0.25">
      <c r="H26201" s="12"/>
      <c r="I26201" s="12"/>
      <c r="J26201" s="12"/>
      <c r="K26201" s="12"/>
      <c r="L26201" s="12"/>
      <c r="M26201" s="11"/>
      <c r="N26201" s="11"/>
      <c r="O26201" s="11"/>
      <c r="P26201" s="11"/>
    </row>
    <row r="26202" spans="8:16" x14ac:dyDescent="0.25">
      <c r="H26202" s="12"/>
      <c r="I26202" s="12"/>
      <c r="J26202" s="12"/>
      <c r="K26202" s="12"/>
      <c r="L26202" s="12"/>
      <c r="M26202" s="11"/>
      <c r="N26202" s="11"/>
      <c r="O26202" s="11"/>
      <c r="P26202" s="11"/>
    </row>
    <row r="26203" spans="8:16" x14ac:dyDescent="0.25">
      <c r="H26203" s="12"/>
      <c r="I26203" s="12"/>
      <c r="J26203" s="12"/>
      <c r="K26203" s="12"/>
      <c r="L26203" s="12"/>
      <c r="M26203" s="11"/>
      <c r="N26203" s="11"/>
      <c r="O26203" s="11"/>
      <c r="P26203" s="11"/>
    </row>
    <row r="26204" spans="8:16" x14ac:dyDescent="0.25">
      <c r="H26204" s="12"/>
      <c r="I26204" s="12"/>
      <c r="J26204" s="12"/>
      <c r="K26204" s="12"/>
      <c r="L26204" s="12"/>
      <c r="M26204" s="11"/>
      <c r="N26204" s="11"/>
      <c r="O26204" s="11"/>
      <c r="P26204" s="11"/>
    </row>
    <row r="26205" spans="8:16" x14ac:dyDescent="0.25">
      <c r="H26205" s="12"/>
      <c r="I26205" s="12"/>
      <c r="J26205" s="12"/>
      <c r="K26205" s="12"/>
      <c r="L26205" s="12"/>
      <c r="M26205" s="11"/>
      <c r="N26205" s="11"/>
      <c r="O26205" s="11"/>
      <c r="P26205" s="11"/>
    </row>
    <row r="26206" spans="8:16" x14ac:dyDescent="0.25">
      <c r="H26206" s="12"/>
      <c r="I26206" s="12"/>
      <c r="J26206" s="12"/>
      <c r="K26206" s="12"/>
      <c r="L26206" s="12"/>
      <c r="M26206" s="11"/>
      <c r="N26206" s="11"/>
      <c r="O26206" s="11"/>
      <c r="P26206" s="11"/>
    </row>
    <row r="26207" spans="8:16" x14ac:dyDescent="0.25">
      <c r="H26207" s="12"/>
      <c r="I26207" s="12"/>
      <c r="J26207" s="12"/>
      <c r="K26207" s="12"/>
      <c r="L26207" s="12"/>
      <c r="M26207" s="11"/>
      <c r="N26207" s="11"/>
      <c r="O26207" s="11"/>
      <c r="P26207" s="11"/>
    </row>
    <row r="26208" spans="8:16" x14ac:dyDescent="0.25">
      <c r="H26208" s="12"/>
      <c r="I26208" s="12"/>
      <c r="J26208" s="12"/>
      <c r="K26208" s="12"/>
      <c r="L26208" s="12"/>
      <c r="M26208" s="11"/>
      <c r="N26208" s="11"/>
      <c r="O26208" s="11"/>
      <c r="P26208" s="11"/>
    </row>
    <row r="26209" spans="8:16" x14ac:dyDescent="0.25">
      <c r="H26209" s="12"/>
      <c r="I26209" s="12"/>
      <c r="J26209" s="12"/>
      <c r="K26209" s="12"/>
      <c r="L26209" s="12"/>
      <c r="M26209" s="11"/>
      <c r="N26209" s="11"/>
      <c r="O26209" s="11"/>
      <c r="P26209" s="11"/>
    </row>
    <row r="26210" spans="8:16" x14ac:dyDescent="0.25">
      <c r="H26210" s="12"/>
      <c r="I26210" s="12"/>
      <c r="J26210" s="12"/>
      <c r="K26210" s="12"/>
      <c r="L26210" s="12"/>
      <c r="M26210" s="11"/>
      <c r="N26210" s="11"/>
      <c r="O26210" s="11"/>
      <c r="P26210" s="11"/>
    </row>
    <row r="26211" spans="8:16" x14ac:dyDescent="0.25">
      <c r="H26211" s="12"/>
      <c r="I26211" s="12"/>
      <c r="J26211" s="12"/>
      <c r="K26211" s="12"/>
      <c r="L26211" s="12"/>
      <c r="M26211" s="11"/>
      <c r="N26211" s="11"/>
      <c r="O26211" s="11"/>
      <c r="P26211" s="11"/>
    </row>
    <row r="26212" spans="8:16" x14ac:dyDescent="0.25">
      <c r="H26212" s="12"/>
      <c r="I26212" s="12"/>
      <c r="J26212" s="12"/>
      <c r="K26212" s="12"/>
      <c r="L26212" s="12"/>
      <c r="M26212" s="11"/>
      <c r="N26212" s="11"/>
      <c r="O26212" s="11"/>
      <c r="P26212" s="11"/>
    </row>
    <row r="26213" spans="8:16" x14ac:dyDescent="0.25">
      <c r="H26213" s="12"/>
      <c r="I26213" s="12"/>
      <c r="J26213" s="12"/>
      <c r="K26213" s="12"/>
      <c r="L26213" s="12"/>
      <c r="M26213" s="11"/>
      <c r="N26213" s="11"/>
      <c r="O26213" s="11"/>
      <c r="P26213" s="11"/>
    </row>
    <row r="26214" spans="8:16" x14ac:dyDescent="0.25">
      <c r="H26214" s="12"/>
      <c r="I26214" s="12"/>
      <c r="J26214" s="12"/>
      <c r="K26214" s="12"/>
      <c r="L26214" s="12"/>
      <c r="M26214" s="11"/>
      <c r="N26214" s="11"/>
      <c r="O26214" s="11"/>
      <c r="P26214" s="11"/>
    </row>
    <row r="26215" spans="8:16" x14ac:dyDescent="0.25">
      <c r="H26215" s="12"/>
      <c r="I26215" s="12"/>
      <c r="J26215" s="12"/>
      <c r="K26215" s="12"/>
      <c r="L26215" s="12"/>
      <c r="M26215" s="11"/>
      <c r="N26215" s="11"/>
      <c r="O26215" s="11"/>
      <c r="P26215" s="11"/>
    </row>
    <row r="26216" spans="8:16" x14ac:dyDescent="0.25">
      <c r="H26216" s="12"/>
      <c r="I26216" s="12"/>
      <c r="J26216" s="12"/>
      <c r="K26216" s="12"/>
      <c r="L26216" s="12"/>
      <c r="M26216" s="11"/>
      <c r="N26216" s="11"/>
      <c r="O26216" s="11"/>
      <c r="P26216" s="11"/>
    </row>
    <row r="26217" spans="8:16" x14ac:dyDescent="0.25">
      <c r="H26217" s="12"/>
      <c r="I26217" s="12"/>
      <c r="J26217" s="12"/>
      <c r="K26217" s="12"/>
      <c r="L26217" s="12"/>
      <c r="M26217" s="11"/>
      <c r="N26217" s="11"/>
      <c r="O26217" s="11"/>
      <c r="P26217" s="11"/>
    </row>
    <row r="26218" spans="8:16" x14ac:dyDescent="0.25">
      <c r="H26218" s="12"/>
      <c r="I26218" s="12"/>
      <c r="J26218" s="12"/>
      <c r="K26218" s="12"/>
      <c r="L26218" s="12"/>
      <c r="M26218" s="11"/>
      <c r="N26218" s="11"/>
      <c r="O26218" s="11"/>
      <c r="P26218" s="11"/>
    </row>
    <row r="26219" spans="8:16" x14ac:dyDescent="0.25">
      <c r="H26219" s="12"/>
      <c r="I26219" s="12"/>
      <c r="J26219" s="12"/>
      <c r="K26219" s="12"/>
      <c r="L26219" s="12"/>
      <c r="M26219" s="11"/>
      <c r="N26219" s="11"/>
      <c r="O26219" s="11"/>
      <c r="P26219" s="11"/>
    </row>
    <row r="26220" spans="8:16" x14ac:dyDescent="0.25">
      <c r="H26220" s="12"/>
      <c r="I26220" s="12"/>
      <c r="J26220" s="12"/>
      <c r="K26220" s="12"/>
      <c r="L26220" s="12"/>
      <c r="M26220" s="11"/>
      <c r="N26220" s="11"/>
      <c r="O26220" s="11"/>
      <c r="P26220" s="11"/>
    </row>
    <row r="26221" spans="8:16" x14ac:dyDescent="0.25">
      <c r="H26221" s="12"/>
      <c r="I26221" s="12"/>
      <c r="J26221" s="12"/>
      <c r="K26221" s="12"/>
      <c r="L26221" s="12"/>
      <c r="M26221" s="11"/>
      <c r="N26221" s="11"/>
      <c r="O26221" s="11"/>
      <c r="P26221" s="11"/>
    </row>
    <row r="26222" spans="8:16" x14ac:dyDescent="0.25">
      <c r="H26222" s="12"/>
      <c r="I26222" s="12"/>
      <c r="J26222" s="12"/>
      <c r="K26222" s="12"/>
      <c r="L26222" s="12"/>
      <c r="M26222" s="11"/>
      <c r="N26222" s="11"/>
      <c r="O26222" s="11"/>
      <c r="P26222" s="11"/>
    </row>
    <row r="26223" spans="8:16" x14ac:dyDescent="0.25">
      <c r="H26223" s="12"/>
      <c r="I26223" s="12"/>
      <c r="J26223" s="12"/>
      <c r="K26223" s="12"/>
      <c r="L26223" s="12"/>
      <c r="M26223" s="11"/>
      <c r="N26223" s="11"/>
      <c r="O26223" s="11"/>
      <c r="P26223" s="11"/>
    </row>
    <row r="26224" spans="8:16" x14ac:dyDescent="0.25">
      <c r="H26224" s="12"/>
      <c r="I26224" s="12"/>
      <c r="J26224" s="12"/>
      <c r="K26224" s="12"/>
      <c r="L26224" s="12"/>
      <c r="M26224" s="11"/>
      <c r="N26224" s="11"/>
      <c r="O26224" s="11"/>
      <c r="P26224" s="11"/>
    </row>
    <row r="26225" spans="8:16" x14ac:dyDescent="0.25">
      <c r="H26225" s="12"/>
      <c r="I26225" s="12"/>
      <c r="J26225" s="12"/>
      <c r="K26225" s="12"/>
      <c r="L26225" s="12"/>
      <c r="M26225" s="11"/>
      <c r="N26225" s="11"/>
      <c r="O26225" s="11"/>
      <c r="P26225" s="11"/>
    </row>
    <row r="26226" spans="8:16" x14ac:dyDescent="0.25">
      <c r="H26226" s="12"/>
      <c r="I26226" s="12"/>
      <c r="J26226" s="12"/>
      <c r="K26226" s="12"/>
      <c r="L26226" s="12"/>
      <c r="M26226" s="11"/>
      <c r="N26226" s="11"/>
      <c r="O26226" s="11"/>
      <c r="P26226" s="11"/>
    </row>
    <row r="26227" spans="8:16" x14ac:dyDescent="0.25">
      <c r="H26227" s="12"/>
      <c r="I26227" s="12"/>
      <c r="J26227" s="12"/>
      <c r="K26227" s="12"/>
      <c r="L26227" s="12"/>
      <c r="M26227" s="11"/>
      <c r="N26227" s="11"/>
      <c r="O26227" s="11"/>
      <c r="P26227" s="11"/>
    </row>
    <row r="26228" spans="8:16" x14ac:dyDescent="0.25">
      <c r="H26228" s="12"/>
      <c r="I26228" s="12"/>
      <c r="J26228" s="12"/>
      <c r="K26228" s="12"/>
      <c r="L26228" s="12"/>
      <c r="M26228" s="11"/>
      <c r="N26228" s="11"/>
      <c r="O26228" s="11"/>
      <c r="P26228" s="11"/>
    </row>
    <row r="26229" spans="8:16" x14ac:dyDescent="0.25">
      <c r="H26229" s="12"/>
      <c r="I26229" s="12"/>
      <c r="J26229" s="12"/>
      <c r="K26229" s="12"/>
      <c r="L26229" s="12"/>
      <c r="M26229" s="11"/>
      <c r="N26229" s="11"/>
      <c r="O26229" s="11"/>
      <c r="P26229" s="11"/>
    </row>
    <row r="26230" spans="8:16" x14ac:dyDescent="0.25">
      <c r="H26230" s="12"/>
      <c r="I26230" s="12"/>
      <c r="J26230" s="12"/>
      <c r="K26230" s="12"/>
      <c r="L26230" s="12"/>
      <c r="M26230" s="11"/>
      <c r="N26230" s="11"/>
      <c r="O26230" s="11"/>
      <c r="P26230" s="11"/>
    </row>
    <row r="26231" spans="8:16" x14ac:dyDescent="0.25">
      <c r="H26231" s="12"/>
      <c r="I26231" s="12"/>
      <c r="J26231" s="12"/>
      <c r="K26231" s="12"/>
      <c r="L26231" s="12"/>
      <c r="M26231" s="11"/>
      <c r="N26231" s="11"/>
      <c r="O26231" s="11"/>
      <c r="P26231" s="11"/>
    </row>
    <row r="26232" spans="8:16" x14ac:dyDescent="0.25">
      <c r="H26232" s="12"/>
      <c r="I26232" s="12"/>
      <c r="J26232" s="12"/>
      <c r="K26232" s="12"/>
      <c r="L26232" s="12"/>
      <c r="M26232" s="11"/>
      <c r="N26232" s="11"/>
      <c r="O26232" s="11"/>
      <c r="P26232" s="11"/>
    </row>
    <row r="26233" spans="8:16" x14ac:dyDescent="0.25">
      <c r="H26233" s="12"/>
      <c r="I26233" s="12"/>
      <c r="J26233" s="12"/>
      <c r="K26233" s="12"/>
      <c r="L26233" s="12"/>
      <c r="M26233" s="11"/>
      <c r="N26233" s="11"/>
      <c r="O26233" s="11"/>
      <c r="P26233" s="11"/>
    </row>
    <row r="26234" spans="8:16" x14ac:dyDescent="0.25">
      <c r="H26234" s="12"/>
      <c r="I26234" s="12"/>
      <c r="J26234" s="12"/>
      <c r="K26234" s="12"/>
      <c r="L26234" s="12"/>
      <c r="M26234" s="11"/>
      <c r="N26234" s="11"/>
      <c r="O26234" s="11"/>
      <c r="P26234" s="11"/>
    </row>
    <row r="26235" spans="8:16" x14ac:dyDescent="0.25">
      <c r="H26235" s="12"/>
      <c r="I26235" s="12"/>
      <c r="J26235" s="12"/>
      <c r="K26235" s="12"/>
      <c r="L26235" s="12"/>
      <c r="M26235" s="11"/>
      <c r="N26235" s="11"/>
      <c r="O26235" s="11"/>
      <c r="P26235" s="11"/>
    </row>
    <row r="26236" spans="8:16" x14ac:dyDescent="0.25">
      <c r="H26236" s="12"/>
      <c r="I26236" s="12"/>
      <c r="J26236" s="12"/>
      <c r="K26236" s="12"/>
      <c r="L26236" s="12"/>
      <c r="M26236" s="11"/>
      <c r="N26236" s="11"/>
      <c r="O26236" s="11"/>
      <c r="P26236" s="11"/>
    </row>
    <row r="26237" spans="8:16" x14ac:dyDescent="0.25">
      <c r="H26237" s="12"/>
      <c r="I26237" s="12"/>
      <c r="J26237" s="12"/>
      <c r="K26237" s="12"/>
      <c r="L26237" s="12"/>
      <c r="M26237" s="11"/>
      <c r="N26237" s="11"/>
      <c r="O26237" s="11"/>
      <c r="P26237" s="11"/>
    </row>
    <row r="26238" spans="8:16" x14ac:dyDescent="0.25">
      <c r="H26238" s="12"/>
      <c r="I26238" s="12"/>
      <c r="J26238" s="12"/>
      <c r="K26238" s="12"/>
      <c r="L26238" s="12"/>
      <c r="M26238" s="11"/>
      <c r="N26238" s="11"/>
      <c r="O26238" s="11"/>
      <c r="P26238" s="11"/>
    </row>
    <row r="26239" spans="8:16" x14ac:dyDescent="0.25">
      <c r="H26239" s="12"/>
      <c r="I26239" s="12"/>
      <c r="J26239" s="12"/>
      <c r="K26239" s="12"/>
      <c r="L26239" s="12"/>
      <c r="M26239" s="11"/>
      <c r="N26239" s="11"/>
      <c r="O26239" s="11"/>
      <c r="P26239" s="11"/>
    </row>
    <row r="26240" spans="8:16" x14ac:dyDescent="0.25">
      <c r="H26240" s="12"/>
      <c r="I26240" s="12"/>
      <c r="J26240" s="12"/>
      <c r="K26240" s="12"/>
      <c r="L26240" s="12"/>
      <c r="M26240" s="11"/>
      <c r="N26240" s="11"/>
      <c r="O26240" s="11"/>
      <c r="P26240" s="11"/>
    </row>
    <row r="26241" spans="8:16" x14ac:dyDescent="0.25">
      <c r="H26241" s="12"/>
      <c r="I26241" s="12"/>
      <c r="J26241" s="12"/>
      <c r="K26241" s="12"/>
      <c r="L26241" s="12"/>
      <c r="M26241" s="11"/>
      <c r="N26241" s="11"/>
      <c r="O26241" s="11"/>
      <c r="P26241" s="11"/>
    </row>
    <row r="26242" spans="8:16" x14ac:dyDescent="0.25">
      <c r="H26242" s="12"/>
      <c r="I26242" s="12"/>
      <c r="J26242" s="12"/>
      <c r="K26242" s="12"/>
      <c r="L26242" s="12"/>
      <c r="M26242" s="11"/>
      <c r="N26242" s="11"/>
      <c r="O26242" s="11"/>
      <c r="P26242" s="11"/>
    </row>
    <row r="26243" spans="8:16" x14ac:dyDescent="0.25">
      <c r="H26243" s="12"/>
      <c r="I26243" s="12"/>
      <c r="J26243" s="12"/>
      <c r="K26243" s="12"/>
      <c r="L26243" s="12"/>
      <c r="M26243" s="11"/>
      <c r="N26243" s="11"/>
      <c r="O26243" s="11"/>
      <c r="P26243" s="11"/>
    </row>
    <row r="26244" spans="8:16" x14ac:dyDescent="0.25">
      <c r="H26244" s="12"/>
      <c r="I26244" s="12"/>
      <c r="J26244" s="12"/>
      <c r="K26244" s="12"/>
      <c r="L26244" s="12"/>
      <c r="M26244" s="11"/>
      <c r="N26244" s="11"/>
      <c r="O26244" s="11"/>
      <c r="P26244" s="11"/>
    </row>
    <row r="26245" spans="8:16" x14ac:dyDescent="0.25">
      <c r="H26245" s="12"/>
      <c r="I26245" s="12"/>
      <c r="J26245" s="12"/>
      <c r="K26245" s="12"/>
      <c r="L26245" s="12"/>
      <c r="M26245" s="11"/>
      <c r="N26245" s="11"/>
      <c r="O26245" s="11"/>
      <c r="P26245" s="11"/>
    </row>
    <row r="26246" spans="8:16" x14ac:dyDescent="0.25">
      <c r="H26246" s="12"/>
      <c r="I26246" s="12"/>
      <c r="J26246" s="12"/>
      <c r="K26246" s="12"/>
      <c r="L26246" s="12"/>
      <c r="M26246" s="11"/>
      <c r="N26246" s="11"/>
      <c r="O26246" s="11"/>
      <c r="P26246" s="11"/>
    </row>
    <row r="26247" spans="8:16" x14ac:dyDescent="0.25">
      <c r="H26247" s="12"/>
      <c r="I26247" s="12"/>
      <c r="J26247" s="12"/>
      <c r="K26247" s="12"/>
      <c r="L26247" s="12"/>
      <c r="M26247" s="11"/>
      <c r="N26247" s="11"/>
      <c r="O26247" s="11"/>
      <c r="P26247" s="11"/>
    </row>
    <row r="26248" spans="8:16" x14ac:dyDescent="0.25">
      <c r="H26248" s="12"/>
      <c r="I26248" s="12"/>
      <c r="J26248" s="12"/>
      <c r="K26248" s="12"/>
      <c r="L26248" s="12"/>
      <c r="M26248" s="11"/>
      <c r="N26248" s="11"/>
      <c r="O26248" s="11"/>
      <c r="P26248" s="11"/>
    </row>
    <row r="26249" spans="8:16" x14ac:dyDescent="0.25">
      <c r="H26249" s="12"/>
      <c r="I26249" s="12"/>
      <c r="J26249" s="12"/>
      <c r="K26249" s="12"/>
      <c r="L26249" s="12"/>
      <c r="M26249" s="11"/>
      <c r="N26249" s="11"/>
      <c r="O26249" s="11"/>
      <c r="P26249" s="11"/>
    </row>
    <row r="26250" spans="8:16" x14ac:dyDescent="0.25">
      <c r="H26250" s="12"/>
      <c r="I26250" s="12"/>
      <c r="J26250" s="12"/>
      <c r="K26250" s="12"/>
      <c r="L26250" s="12"/>
      <c r="M26250" s="11"/>
      <c r="N26250" s="11"/>
      <c r="O26250" s="11"/>
      <c r="P26250" s="11"/>
    </row>
    <row r="26251" spans="8:16" x14ac:dyDescent="0.25">
      <c r="H26251" s="12"/>
      <c r="I26251" s="12"/>
      <c r="J26251" s="12"/>
      <c r="K26251" s="12"/>
      <c r="L26251" s="12"/>
      <c r="M26251" s="11"/>
      <c r="N26251" s="11"/>
      <c r="O26251" s="11"/>
      <c r="P26251" s="11"/>
    </row>
    <row r="26252" spans="8:16" x14ac:dyDescent="0.25">
      <c r="H26252" s="12"/>
      <c r="I26252" s="12"/>
      <c r="J26252" s="12"/>
      <c r="K26252" s="12"/>
      <c r="L26252" s="12"/>
      <c r="M26252" s="11"/>
      <c r="N26252" s="11"/>
      <c r="O26252" s="11"/>
      <c r="P26252" s="11"/>
    </row>
    <row r="26253" spans="8:16" x14ac:dyDescent="0.25">
      <c r="H26253" s="12"/>
      <c r="I26253" s="12"/>
      <c r="J26253" s="12"/>
      <c r="K26253" s="12"/>
      <c r="L26253" s="12"/>
      <c r="M26253" s="11"/>
      <c r="N26253" s="11"/>
      <c r="O26253" s="11"/>
      <c r="P26253" s="11"/>
    </row>
    <row r="26254" spans="8:16" x14ac:dyDescent="0.25">
      <c r="H26254" s="12"/>
      <c r="I26254" s="12"/>
      <c r="J26254" s="12"/>
      <c r="K26254" s="12"/>
      <c r="L26254" s="12"/>
      <c r="M26254" s="11"/>
      <c r="N26254" s="11"/>
      <c r="O26254" s="11"/>
      <c r="P26254" s="11"/>
    </row>
    <row r="26255" spans="8:16" x14ac:dyDescent="0.25">
      <c r="H26255" s="12"/>
      <c r="I26255" s="12"/>
      <c r="J26255" s="12"/>
      <c r="K26255" s="12"/>
      <c r="L26255" s="12"/>
      <c r="M26255" s="11"/>
      <c r="N26255" s="11"/>
      <c r="O26255" s="11"/>
      <c r="P26255" s="11"/>
    </row>
    <row r="26256" spans="8:16" x14ac:dyDescent="0.25">
      <c r="H26256" s="12"/>
      <c r="I26256" s="12"/>
      <c r="J26256" s="12"/>
      <c r="K26256" s="12"/>
      <c r="L26256" s="12"/>
      <c r="M26256" s="11"/>
      <c r="N26256" s="11"/>
      <c r="O26256" s="11"/>
      <c r="P26256" s="11"/>
    </row>
    <row r="26257" spans="8:16" x14ac:dyDescent="0.25">
      <c r="H26257" s="12"/>
      <c r="I26257" s="12"/>
      <c r="J26257" s="12"/>
      <c r="K26257" s="12"/>
      <c r="L26257" s="12"/>
      <c r="M26257" s="11"/>
      <c r="N26257" s="11"/>
      <c r="O26257" s="11"/>
      <c r="P26257" s="11"/>
    </row>
    <row r="26258" spans="8:16" x14ac:dyDescent="0.25">
      <c r="H26258" s="12"/>
      <c r="I26258" s="12"/>
      <c r="J26258" s="12"/>
      <c r="K26258" s="12"/>
      <c r="L26258" s="12"/>
      <c r="M26258" s="11"/>
      <c r="N26258" s="11"/>
      <c r="O26258" s="11"/>
      <c r="P26258" s="11"/>
    </row>
    <row r="26259" spans="8:16" x14ac:dyDescent="0.25">
      <c r="H26259" s="12"/>
      <c r="I26259" s="12"/>
      <c r="J26259" s="12"/>
      <c r="K26259" s="12"/>
      <c r="L26259" s="12"/>
      <c r="M26259" s="11"/>
      <c r="N26259" s="11"/>
      <c r="O26259" s="11"/>
      <c r="P26259" s="11"/>
    </row>
    <row r="26260" spans="8:16" x14ac:dyDescent="0.25">
      <c r="H26260" s="12"/>
      <c r="I26260" s="12"/>
      <c r="J26260" s="12"/>
      <c r="K26260" s="12"/>
      <c r="L26260" s="12"/>
      <c r="M26260" s="11"/>
      <c r="N26260" s="11"/>
      <c r="O26260" s="11"/>
      <c r="P26260" s="11"/>
    </row>
    <row r="26261" spans="8:16" x14ac:dyDescent="0.25">
      <c r="H26261" s="12"/>
      <c r="I26261" s="12"/>
      <c r="J26261" s="12"/>
      <c r="K26261" s="12"/>
      <c r="L26261" s="12"/>
      <c r="M26261" s="11"/>
      <c r="N26261" s="11"/>
      <c r="O26261" s="11"/>
      <c r="P26261" s="11"/>
    </row>
    <row r="26262" spans="8:16" x14ac:dyDescent="0.25">
      <c r="H26262" s="12"/>
      <c r="I26262" s="12"/>
      <c r="J26262" s="12"/>
      <c r="K26262" s="12"/>
      <c r="L26262" s="12"/>
      <c r="M26262" s="11"/>
      <c r="N26262" s="11"/>
      <c r="O26262" s="11"/>
      <c r="P26262" s="11"/>
    </row>
    <row r="26263" spans="8:16" x14ac:dyDescent="0.25">
      <c r="H26263" s="12"/>
      <c r="I26263" s="12"/>
      <c r="J26263" s="12"/>
      <c r="K26263" s="12"/>
      <c r="L26263" s="12"/>
      <c r="M26263" s="11"/>
      <c r="N26263" s="11"/>
      <c r="O26263" s="11"/>
      <c r="P26263" s="11"/>
    </row>
    <row r="26264" spans="8:16" x14ac:dyDescent="0.25">
      <c r="H26264" s="12"/>
      <c r="I26264" s="12"/>
      <c r="J26264" s="12"/>
      <c r="K26264" s="12"/>
      <c r="L26264" s="12"/>
      <c r="M26264" s="11"/>
      <c r="N26264" s="11"/>
      <c r="O26264" s="11"/>
      <c r="P26264" s="11"/>
    </row>
    <row r="26265" spans="8:16" x14ac:dyDescent="0.25">
      <c r="H26265" s="12"/>
      <c r="I26265" s="12"/>
      <c r="J26265" s="12"/>
      <c r="K26265" s="12"/>
      <c r="L26265" s="12"/>
      <c r="M26265" s="11"/>
      <c r="N26265" s="11"/>
      <c r="O26265" s="11"/>
      <c r="P26265" s="11"/>
    </row>
    <row r="26266" spans="8:16" x14ac:dyDescent="0.25">
      <c r="H26266" s="12"/>
      <c r="I26266" s="12"/>
      <c r="J26266" s="12"/>
      <c r="K26266" s="12"/>
      <c r="L26266" s="12"/>
      <c r="M26266" s="11"/>
      <c r="N26266" s="11"/>
      <c r="O26266" s="11"/>
      <c r="P26266" s="11"/>
    </row>
    <row r="26267" spans="8:16" x14ac:dyDescent="0.25">
      <c r="H26267" s="12"/>
      <c r="I26267" s="12"/>
      <c r="J26267" s="12"/>
      <c r="K26267" s="12"/>
      <c r="L26267" s="12"/>
      <c r="M26267" s="11"/>
      <c r="N26267" s="11"/>
      <c r="O26267" s="11"/>
      <c r="P26267" s="11"/>
    </row>
    <row r="26268" spans="8:16" x14ac:dyDescent="0.25">
      <c r="H26268" s="12"/>
      <c r="I26268" s="12"/>
      <c r="J26268" s="12"/>
      <c r="K26268" s="12"/>
      <c r="L26268" s="12"/>
      <c r="M26268" s="11"/>
      <c r="N26268" s="11"/>
      <c r="O26268" s="11"/>
      <c r="P26268" s="11"/>
    </row>
    <row r="26269" spans="8:16" x14ac:dyDescent="0.25">
      <c r="H26269" s="12"/>
      <c r="I26269" s="12"/>
      <c r="J26269" s="12"/>
      <c r="K26269" s="12"/>
      <c r="L26269" s="12"/>
      <c r="M26269" s="11"/>
      <c r="N26269" s="11"/>
      <c r="O26269" s="11"/>
      <c r="P26269" s="11"/>
    </row>
    <row r="26270" spans="8:16" x14ac:dyDescent="0.25">
      <c r="H26270" s="12"/>
      <c r="I26270" s="12"/>
      <c r="J26270" s="12"/>
      <c r="K26270" s="12"/>
      <c r="L26270" s="12"/>
      <c r="M26270" s="11"/>
      <c r="N26270" s="11"/>
      <c r="O26270" s="11"/>
      <c r="P26270" s="11"/>
    </row>
    <row r="26271" spans="8:16" x14ac:dyDescent="0.25">
      <c r="H26271" s="12"/>
      <c r="I26271" s="12"/>
      <c r="J26271" s="12"/>
      <c r="K26271" s="12"/>
      <c r="L26271" s="12"/>
      <c r="M26271" s="11"/>
      <c r="N26271" s="11"/>
      <c r="O26271" s="11"/>
      <c r="P26271" s="11"/>
    </row>
    <row r="26272" spans="8:16" x14ac:dyDescent="0.25">
      <c r="H26272" s="12"/>
      <c r="I26272" s="12"/>
      <c r="J26272" s="12"/>
      <c r="K26272" s="12"/>
      <c r="L26272" s="12"/>
      <c r="M26272" s="11"/>
      <c r="N26272" s="11"/>
      <c r="O26272" s="11"/>
      <c r="P26272" s="11"/>
    </row>
    <row r="26273" spans="8:16" x14ac:dyDescent="0.25">
      <c r="H26273" s="12"/>
      <c r="I26273" s="12"/>
      <c r="J26273" s="12"/>
      <c r="K26273" s="12"/>
      <c r="L26273" s="12"/>
      <c r="M26273" s="11"/>
      <c r="N26273" s="11"/>
      <c r="O26273" s="11"/>
      <c r="P26273" s="11"/>
    </row>
    <row r="26274" spans="8:16" x14ac:dyDescent="0.25">
      <c r="H26274" s="12"/>
      <c r="I26274" s="12"/>
      <c r="J26274" s="12"/>
      <c r="K26274" s="12"/>
      <c r="L26274" s="12"/>
      <c r="M26274" s="11"/>
      <c r="N26274" s="11"/>
      <c r="O26274" s="11"/>
      <c r="P26274" s="11"/>
    </row>
    <row r="26275" spans="8:16" x14ac:dyDescent="0.25">
      <c r="H26275" s="12"/>
      <c r="I26275" s="12"/>
      <c r="J26275" s="12"/>
      <c r="K26275" s="12"/>
      <c r="L26275" s="12"/>
      <c r="M26275" s="11"/>
      <c r="N26275" s="11"/>
      <c r="O26275" s="11"/>
      <c r="P26275" s="11"/>
    </row>
    <row r="26276" spans="8:16" x14ac:dyDescent="0.25">
      <c r="H26276" s="12"/>
      <c r="I26276" s="12"/>
      <c r="J26276" s="12"/>
      <c r="K26276" s="12"/>
      <c r="L26276" s="12"/>
      <c r="M26276" s="11"/>
      <c r="N26276" s="11"/>
      <c r="O26276" s="11"/>
      <c r="P26276" s="11"/>
    </row>
    <row r="26277" spans="8:16" x14ac:dyDescent="0.25">
      <c r="H26277" s="12"/>
      <c r="I26277" s="12"/>
      <c r="J26277" s="12"/>
      <c r="K26277" s="12"/>
      <c r="L26277" s="12"/>
      <c r="M26277" s="11"/>
      <c r="N26277" s="11"/>
      <c r="O26277" s="11"/>
      <c r="P26277" s="11"/>
    </row>
    <row r="26278" spans="8:16" x14ac:dyDescent="0.25">
      <c r="H26278" s="12"/>
      <c r="I26278" s="12"/>
      <c r="J26278" s="12"/>
      <c r="K26278" s="12"/>
      <c r="L26278" s="12"/>
      <c r="M26278" s="11"/>
      <c r="N26278" s="11"/>
      <c r="O26278" s="11"/>
      <c r="P26278" s="11"/>
    </row>
    <row r="26279" spans="8:16" x14ac:dyDescent="0.25">
      <c r="H26279" s="12"/>
      <c r="I26279" s="12"/>
      <c r="J26279" s="12"/>
      <c r="K26279" s="12"/>
      <c r="L26279" s="12"/>
      <c r="M26279" s="11"/>
      <c r="N26279" s="11"/>
      <c r="O26279" s="11"/>
      <c r="P26279" s="11"/>
    </row>
    <row r="26280" spans="8:16" x14ac:dyDescent="0.25">
      <c r="H26280" s="12"/>
      <c r="I26280" s="12"/>
      <c r="J26280" s="12"/>
      <c r="K26280" s="12"/>
      <c r="L26280" s="12"/>
      <c r="M26280" s="11"/>
      <c r="N26280" s="11"/>
      <c r="O26280" s="11"/>
      <c r="P26280" s="11"/>
    </row>
    <row r="26281" spans="8:16" x14ac:dyDescent="0.25">
      <c r="H26281" s="12"/>
      <c r="I26281" s="12"/>
      <c r="J26281" s="12"/>
      <c r="K26281" s="12"/>
      <c r="L26281" s="12"/>
      <c r="M26281" s="11"/>
      <c r="N26281" s="11"/>
      <c r="O26281" s="11"/>
      <c r="P26281" s="11"/>
    </row>
    <row r="26282" spans="8:16" x14ac:dyDescent="0.25">
      <c r="H26282" s="12"/>
      <c r="I26282" s="12"/>
      <c r="J26282" s="12"/>
      <c r="K26282" s="12"/>
      <c r="L26282" s="12"/>
      <c r="M26282" s="11"/>
      <c r="N26282" s="11"/>
      <c r="O26282" s="11"/>
      <c r="P26282" s="11"/>
    </row>
    <row r="26283" spans="8:16" x14ac:dyDescent="0.25">
      <c r="H26283" s="12"/>
      <c r="I26283" s="12"/>
      <c r="J26283" s="12"/>
      <c r="K26283" s="12"/>
      <c r="L26283" s="12"/>
      <c r="M26283" s="11"/>
      <c r="N26283" s="11"/>
      <c r="O26283" s="11"/>
      <c r="P26283" s="11"/>
    </row>
    <row r="26284" spans="8:16" x14ac:dyDescent="0.25">
      <c r="H26284" s="12"/>
      <c r="I26284" s="12"/>
      <c r="J26284" s="12"/>
      <c r="K26284" s="12"/>
      <c r="L26284" s="12"/>
      <c r="M26284" s="11"/>
      <c r="N26284" s="11"/>
      <c r="O26284" s="11"/>
      <c r="P26284" s="11"/>
    </row>
    <row r="26285" spans="8:16" x14ac:dyDescent="0.25">
      <c r="H26285" s="12"/>
      <c r="I26285" s="12"/>
      <c r="J26285" s="12"/>
      <c r="K26285" s="12"/>
      <c r="L26285" s="12"/>
      <c r="M26285" s="11"/>
      <c r="N26285" s="11"/>
      <c r="O26285" s="11"/>
      <c r="P26285" s="11"/>
    </row>
    <row r="26286" spans="8:16" x14ac:dyDescent="0.25">
      <c r="H26286" s="12"/>
      <c r="I26286" s="12"/>
      <c r="J26286" s="12"/>
      <c r="K26286" s="12"/>
      <c r="L26286" s="12"/>
      <c r="M26286" s="11"/>
      <c r="N26286" s="11"/>
      <c r="O26286" s="11"/>
      <c r="P26286" s="11"/>
    </row>
    <row r="26287" spans="8:16" x14ac:dyDescent="0.25">
      <c r="H26287" s="12"/>
      <c r="I26287" s="12"/>
      <c r="J26287" s="12"/>
      <c r="K26287" s="12"/>
      <c r="L26287" s="12"/>
      <c r="M26287" s="11"/>
      <c r="N26287" s="11"/>
      <c r="O26287" s="11"/>
      <c r="P26287" s="11"/>
    </row>
    <row r="26288" spans="8:16" x14ac:dyDescent="0.25">
      <c r="H26288" s="12"/>
      <c r="I26288" s="12"/>
      <c r="J26288" s="12"/>
      <c r="K26288" s="12"/>
      <c r="L26288" s="12"/>
      <c r="M26288" s="11"/>
      <c r="N26288" s="11"/>
      <c r="O26288" s="11"/>
      <c r="P26288" s="11"/>
    </row>
    <row r="26289" spans="8:16" x14ac:dyDescent="0.25">
      <c r="H26289" s="12"/>
      <c r="I26289" s="12"/>
      <c r="J26289" s="12"/>
      <c r="K26289" s="12"/>
      <c r="L26289" s="12"/>
      <c r="M26289" s="11"/>
      <c r="N26289" s="11"/>
      <c r="O26289" s="11"/>
      <c r="P26289" s="11"/>
    </row>
    <row r="26290" spans="8:16" x14ac:dyDescent="0.25">
      <c r="H26290" s="12"/>
      <c r="I26290" s="12"/>
      <c r="J26290" s="12"/>
      <c r="K26290" s="12"/>
      <c r="L26290" s="12"/>
      <c r="M26290" s="11"/>
      <c r="N26290" s="11"/>
      <c r="O26290" s="11"/>
      <c r="P26290" s="11"/>
    </row>
    <row r="26291" spans="8:16" x14ac:dyDescent="0.25">
      <c r="H26291" s="12"/>
      <c r="I26291" s="12"/>
      <c r="J26291" s="12"/>
      <c r="K26291" s="12"/>
      <c r="L26291" s="12"/>
      <c r="M26291" s="11"/>
      <c r="N26291" s="11"/>
      <c r="O26291" s="11"/>
      <c r="P26291" s="11"/>
    </row>
    <row r="26292" spans="8:16" x14ac:dyDescent="0.25">
      <c r="H26292" s="12"/>
      <c r="I26292" s="12"/>
      <c r="J26292" s="12"/>
      <c r="K26292" s="12"/>
      <c r="L26292" s="12"/>
      <c r="M26292" s="11"/>
      <c r="N26292" s="11"/>
      <c r="O26292" s="11"/>
      <c r="P26292" s="11"/>
    </row>
    <row r="26293" spans="8:16" x14ac:dyDescent="0.25">
      <c r="H26293" s="12"/>
      <c r="I26293" s="12"/>
      <c r="J26293" s="12"/>
      <c r="K26293" s="12"/>
      <c r="L26293" s="12"/>
      <c r="M26293" s="11"/>
      <c r="N26293" s="11"/>
      <c r="O26293" s="11"/>
      <c r="P26293" s="11"/>
    </row>
    <row r="26294" spans="8:16" x14ac:dyDescent="0.25">
      <c r="H26294" s="12"/>
      <c r="I26294" s="12"/>
      <c r="J26294" s="12"/>
      <c r="K26294" s="12"/>
      <c r="L26294" s="12"/>
      <c r="M26294" s="11"/>
      <c r="N26294" s="11"/>
      <c r="O26294" s="11"/>
      <c r="P26294" s="11"/>
    </row>
    <row r="26295" spans="8:16" x14ac:dyDescent="0.25">
      <c r="H26295" s="12"/>
      <c r="I26295" s="12"/>
      <c r="J26295" s="12"/>
      <c r="K26295" s="12"/>
      <c r="L26295" s="12"/>
      <c r="M26295" s="11"/>
      <c r="N26295" s="11"/>
      <c r="O26295" s="11"/>
      <c r="P26295" s="11"/>
    </row>
    <row r="26296" spans="8:16" x14ac:dyDescent="0.25">
      <c r="H26296" s="12"/>
      <c r="I26296" s="12"/>
      <c r="J26296" s="12"/>
      <c r="K26296" s="12"/>
      <c r="L26296" s="12"/>
      <c r="M26296" s="11"/>
      <c r="N26296" s="11"/>
      <c r="O26296" s="11"/>
      <c r="P26296" s="11"/>
    </row>
    <row r="26297" spans="8:16" x14ac:dyDescent="0.25">
      <c r="H26297" s="12"/>
      <c r="I26297" s="12"/>
      <c r="J26297" s="12"/>
      <c r="K26297" s="12"/>
      <c r="L26297" s="12"/>
      <c r="M26297" s="11"/>
      <c r="N26297" s="11"/>
      <c r="O26297" s="11"/>
      <c r="P26297" s="11"/>
    </row>
    <row r="26298" spans="8:16" x14ac:dyDescent="0.25">
      <c r="H26298" s="12"/>
      <c r="I26298" s="12"/>
      <c r="J26298" s="12"/>
      <c r="K26298" s="12"/>
      <c r="L26298" s="12"/>
      <c r="M26298" s="11"/>
      <c r="N26298" s="11"/>
      <c r="O26298" s="11"/>
      <c r="P26298" s="11"/>
    </row>
    <row r="26299" spans="8:16" x14ac:dyDescent="0.25">
      <c r="H26299" s="12"/>
      <c r="I26299" s="12"/>
      <c r="J26299" s="12"/>
      <c r="K26299" s="12"/>
      <c r="L26299" s="12"/>
      <c r="M26299" s="11"/>
      <c r="N26299" s="11"/>
      <c r="O26299" s="11"/>
      <c r="P26299" s="11"/>
    </row>
    <row r="26300" spans="8:16" x14ac:dyDescent="0.25">
      <c r="H26300" s="12"/>
      <c r="I26300" s="12"/>
      <c r="J26300" s="12"/>
      <c r="K26300" s="12"/>
      <c r="L26300" s="12"/>
      <c r="M26300" s="11"/>
      <c r="N26300" s="11"/>
      <c r="O26300" s="11"/>
      <c r="P26300" s="11"/>
    </row>
    <row r="26301" spans="8:16" x14ac:dyDescent="0.25">
      <c r="H26301" s="12"/>
      <c r="I26301" s="12"/>
      <c r="J26301" s="12"/>
      <c r="K26301" s="12"/>
      <c r="L26301" s="12"/>
      <c r="M26301" s="11"/>
      <c r="N26301" s="11"/>
      <c r="O26301" s="11"/>
      <c r="P26301" s="11"/>
    </row>
    <row r="26302" spans="8:16" x14ac:dyDescent="0.25">
      <c r="H26302" s="12"/>
      <c r="I26302" s="12"/>
      <c r="J26302" s="12"/>
      <c r="K26302" s="12"/>
      <c r="L26302" s="12"/>
      <c r="M26302" s="11"/>
      <c r="N26302" s="11"/>
      <c r="O26302" s="11"/>
      <c r="P26302" s="11"/>
    </row>
    <row r="26303" spans="8:16" x14ac:dyDescent="0.25">
      <c r="H26303" s="12"/>
      <c r="I26303" s="12"/>
      <c r="J26303" s="12"/>
      <c r="K26303" s="12"/>
      <c r="L26303" s="12"/>
      <c r="M26303" s="11"/>
      <c r="N26303" s="11"/>
      <c r="O26303" s="11"/>
      <c r="P26303" s="11"/>
    </row>
    <row r="26304" spans="8:16" x14ac:dyDescent="0.25">
      <c r="H26304" s="12"/>
      <c r="I26304" s="12"/>
      <c r="J26304" s="12"/>
      <c r="K26304" s="12"/>
      <c r="L26304" s="12"/>
      <c r="M26304" s="11"/>
      <c r="N26304" s="11"/>
      <c r="O26304" s="11"/>
      <c r="P26304" s="11"/>
    </row>
    <row r="26305" spans="8:16" x14ac:dyDescent="0.25">
      <c r="H26305" s="12"/>
      <c r="I26305" s="12"/>
      <c r="J26305" s="12"/>
      <c r="K26305" s="12"/>
      <c r="L26305" s="12"/>
      <c r="M26305" s="11"/>
      <c r="N26305" s="11"/>
      <c r="O26305" s="11"/>
      <c r="P26305" s="11"/>
    </row>
    <row r="26306" spans="8:16" x14ac:dyDescent="0.25">
      <c r="H26306" s="12"/>
      <c r="I26306" s="12"/>
      <c r="J26306" s="12"/>
      <c r="K26306" s="12"/>
      <c r="L26306" s="12"/>
      <c r="M26306" s="11"/>
      <c r="N26306" s="11"/>
      <c r="O26306" s="11"/>
      <c r="P26306" s="11"/>
    </row>
    <row r="26307" spans="8:16" x14ac:dyDescent="0.25">
      <c r="H26307" s="12"/>
      <c r="I26307" s="12"/>
      <c r="J26307" s="12"/>
      <c r="K26307" s="12"/>
      <c r="L26307" s="12"/>
      <c r="M26307" s="11"/>
      <c r="N26307" s="11"/>
      <c r="O26307" s="11"/>
      <c r="P26307" s="11"/>
    </row>
    <row r="26308" spans="8:16" x14ac:dyDescent="0.25">
      <c r="H26308" s="12"/>
      <c r="I26308" s="12"/>
      <c r="J26308" s="12"/>
      <c r="K26308" s="12"/>
      <c r="L26308" s="12"/>
      <c r="M26308" s="11"/>
      <c r="N26308" s="11"/>
      <c r="O26308" s="11"/>
      <c r="P26308" s="11"/>
    </row>
    <row r="26309" spans="8:16" x14ac:dyDescent="0.25">
      <c r="H26309" s="12"/>
      <c r="I26309" s="12"/>
      <c r="J26309" s="12"/>
      <c r="K26309" s="12"/>
      <c r="L26309" s="12"/>
      <c r="M26309" s="11"/>
      <c r="N26309" s="11"/>
      <c r="O26309" s="11"/>
      <c r="P26309" s="11"/>
    </row>
    <row r="26310" spans="8:16" x14ac:dyDescent="0.25">
      <c r="H26310" s="12"/>
      <c r="I26310" s="12"/>
      <c r="J26310" s="12"/>
      <c r="K26310" s="12"/>
      <c r="L26310" s="12"/>
      <c r="M26310" s="11"/>
      <c r="N26310" s="11"/>
      <c r="O26310" s="11"/>
      <c r="P26310" s="11"/>
    </row>
    <row r="26311" spans="8:16" x14ac:dyDescent="0.25">
      <c r="H26311" s="12"/>
      <c r="I26311" s="12"/>
      <c r="J26311" s="12"/>
      <c r="K26311" s="12"/>
      <c r="L26311" s="12"/>
      <c r="M26311" s="11"/>
      <c r="N26311" s="11"/>
      <c r="O26311" s="11"/>
      <c r="P26311" s="11"/>
    </row>
    <row r="26312" spans="8:16" x14ac:dyDescent="0.25">
      <c r="H26312" s="12"/>
      <c r="I26312" s="12"/>
      <c r="J26312" s="12"/>
      <c r="K26312" s="12"/>
      <c r="L26312" s="12"/>
      <c r="M26312" s="11"/>
      <c r="N26312" s="11"/>
      <c r="O26312" s="11"/>
      <c r="P26312" s="11"/>
    </row>
    <row r="26313" spans="8:16" x14ac:dyDescent="0.25">
      <c r="H26313" s="12"/>
      <c r="I26313" s="12"/>
      <c r="J26313" s="12"/>
      <c r="K26313" s="12"/>
      <c r="L26313" s="12"/>
      <c r="M26313" s="11"/>
      <c r="N26313" s="11"/>
      <c r="O26313" s="11"/>
      <c r="P26313" s="11"/>
    </row>
    <row r="26314" spans="8:16" x14ac:dyDescent="0.25">
      <c r="H26314" s="12"/>
      <c r="I26314" s="12"/>
      <c r="J26314" s="12"/>
      <c r="K26314" s="12"/>
      <c r="L26314" s="12"/>
      <c r="M26314" s="11"/>
      <c r="N26314" s="11"/>
      <c r="O26314" s="11"/>
      <c r="P26314" s="11"/>
    </row>
    <row r="26315" spans="8:16" x14ac:dyDescent="0.25">
      <c r="H26315" s="12"/>
      <c r="I26315" s="12"/>
      <c r="J26315" s="12"/>
      <c r="K26315" s="12"/>
      <c r="L26315" s="12"/>
      <c r="M26315" s="11"/>
      <c r="N26315" s="11"/>
      <c r="O26315" s="11"/>
      <c r="P26315" s="11"/>
    </row>
    <row r="26316" spans="8:16" x14ac:dyDescent="0.25">
      <c r="H26316" s="12"/>
      <c r="I26316" s="12"/>
      <c r="J26316" s="12"/>
      <c r="K26316" s="12"/>
      <c r="L26316" s="12"/>
      <c r="M26316" s="11"/>
      <c r="N26316" s="11"/>
      <c r="O26316" s="11"/>
      <c r="P26316" s="11"/>
    </row>
    <row r="26317" spans="8:16" x14ac:dyDescent="0.25">
      <c r="H26317" s="12"/>
      <c r="I26317" s="12"/>
      <c r="J26317" s="12"/>
      <c r="K26317" s="12"/>
      <c r="L26317" s="12"/>
      <c r="M26317" s="11"/>
      <c r="N26317" s="11"/>
      <c r="O26317" s="11"/>
      <c r="P26317" s="11"/>
    </row>
    <row r="26318" spans="8:16" x14ac:dyDescent="0.25">
      <c r="H26318" s="12"/>
      <c r="I26318" s="12"/>
      <c r="J26318" s="12"/>
      <c r="K26318" s="12"/>
      <c r="L26318" s="12"/>
      <c r="M26318" s="11"/>
      <c r="N26318" s="11"/>
      <c r="O26318" s="11"/>
      <c r="P26318" s="11"/>
    </row>
    <row r="26319" spans="8:16" x14ac:dyDescent="0.25">
      <c r="H26319" s="12"/>
      <c r="I26319" s="12"/>
      <c r="J26319" s="12"/>
      <c r="K26319" s="12"/>
      <c r="L26319" s="12"/>
      <c r="M26319" s="11"/>
      <c r="N26319" s="11"/>
      <c r="O26319" s="11"/>
      <c r="P26319" s="11"/>
    </row>
    <row r="26320" spans="8:16" x14ac:dyDescent="0.25">
      <c r="H26320" s="12"/>
      <c r="I26320" s="12"/>
      <c r="J26320" s="12"/>
      <c r="K26320" s="12"/>
      <c r="L26320" s="12"/>
      <c r="M26320" s="11"/>
      <c r="N26320" s="11"/>
      <c r="O26320" s="11"/>
      <c r="P26320" s="11"/>
    </row>
    <row r="26321" spans="8:16" x14ac:dyDescent="0.25">
      <c r="H26321" s="12"/>
      <c r="I26321" s="12"/>
      <c r="J26321" s="12"/>
      <c r="K26321" s="12"/>
      <c r="L26321" s="12"/>
      <c r="M26321" s="11"/>
      <c r="N26321" s="11"/>
      <c r="O26321" s="11"/>
      <c r="P26321" s="11"/>
    </row>
    <row r="26322" spans="8:16" x14ac:dyDescent="0.25">
      <c r="H26322" s="12"/>
      <c r="I26322" s="12"/>
      <c r="J26322" s="12"/>
      <c r="K26322" s="12"/>
      <c r="L26322" s="12"/>
      <c r="M26322" s="11"/>
      <c r="N26322" s="11"/>
      <c r="O26322" s="11"/>
      <c r="P26322" s="11"/>
    </row>
    <row r="26323" spans="8:16" x14ac:dyDescent="0.25">
      <c r="H26323" s="12"/>
      <c r="I26323" s="12"/>
      <c r="J26323" s="12"/>
      <c r="K26323" s="12"/>
      <c r="L26323" s="12"/>
      <c r="M26323" s="11"/>
      <c r="N26323" s="11"/>
      <c r="O26323" s="11"/>
      <c r="P26323" s="11"/>
    </row>
    <row r="26324" spans="8:16" x14ac:dyDescent="0.25">
      <c r="H26324" s="12"/>
      <c r="I26324" s="12"/>
      <c r="J26324" s="12"/>
      <c r="K26324" s="12"/>
      <c r="L26324" s="12"/>
      <c r="M26324" s="11"/>
      <c r="N26324" s="11"/>
      <c r="O26324" s="11"/>
      <c r="P26324" s="11"/>
    </row>
    <row r="26325" spans="8:16" x14ac:dyDescent="0.25">
      <c r="H26325" s="12"/>
      <c r="I26325" s="12"/>
      <c r="J26325" s="12"/>
      <c r="K26325" s="12"/>
      <c r="L26325" s="12"/>
      <c r="M26325" s="11"/>
      <c r="N26325" s="11"/>
      <c r="O26325" s="11"/>
      <c r="P26325" s="11"/>
    </row>
    <row r="26326" spans="8:16" x14ac:dyDescent="0.25">
      <c r="H26326" s="12"/>
      <c r="I26326" s="12"/>
      <c r="J26326" s="12"/>
      <c r="K26326" s="12"/>
      <c r="L26326" s="12"/>
      <c r="M26326" s="11"/>
      <c r="N26326" s="11"/>
      <c r="O26326" s="11"/>
      <c r="P26326" s="11"/>
    </row>
    <row r="26327" spans="8:16" x14ac:dyDescent="0.25">
      <c r="H26327" s="12"/>
      <c r="I26327" s="12"/>
      <c r="J26327" s="12"/>
      <c r="K26327" s="12"/>
      <c r="L26327" s="12"/>
      <c r="M26327" s="11"/>
      <c r="N26327" s="11"/>
      <c r="O26327" s="11"/>
      <c r="P26327" s="11"/>
    </row>
    <row r="26328" spans="8:16" x14ac:dyDescent="0.25">
      <c r="H26328" s="12"/>
      <c r="I26328" s="12"/>
      <c r="J26328" s="12"/>
      <c r="K26328" s="12"/>
      <c r="L26328" s="12"/>
      <c r="M26328" s="11"/>
      <c r="N26328" s="11"/>
      <c r="O26328" s="11"/>
      <c r="P26328" s="11"/>
    </row>
    <row r="26329" spans="8:16" x14ac:dyDescent="0.25">
      <c r="H26329" s="12"/>
      <c r="I26329" s="12"/>
      <c r="J26329" s="12"/>
      <c r="K26329" s="12"/>
      <c r="L26329" s="12"/>
      <c r="M26329" s="11"/>
      <c r="N26329" s="11"/>
      <c r="O26329" s="11"/>
      <c r="P26329" s="11"/>
    </row>
    <row r="26330" spans="8:16" x14ac:dyDescent="0.25">
      <c r="H26330" s="12"/>
      <c r="I26330" s="12"/>
      <c r="J26330" s="12"/>
      <c r="K26330" s="12"/>
      <c r="L26330" s="12"/>
      <c r="M26330" s="11"/>
      <c r="N26330" s="11"/>
      <c r="O26330" s="11"/>
      <c r="P26330" s="11"/>
    </row>
    <row r="26331" spans="8:16" x14ac:dyDescent="0.25">
      <c r="H26331" s="12"/>
      <c r="I26331" s="12"/>
      <c r="J26331" s="12"/>
      <c r="K26331" s="12"/>
      <c r="L26331" s="12"/>
      <c r="M26331" s="11"/>
      <c r="N26331" s="11"/>
      <c r="O26331" s="11"/>
      <c r="P26331" s="11"/>
    </row>
    <row r="26332" spans="8:16" x14ac:dyDescent="0.25">
      <c r="H26332" s="12"/>
      <c r="I26332" s="12"/>
      <c r="J26332" s="12"/>
      <c r="K26332" s="12"/>
      <c r="L26332" s="12"/>
      <c r="M26332" s="11"/>
      <c r="N26332" s="11"/>
      <c r="O26332" s="11"/>
      <c r="P26332" s="11"/>
    </row>
    <row r="26333" spans="8:16" x14ac:dyDescent="0.25">
      <c r="H26333" s="12"/>
      <c r="I26333" s="12"/>
      <c r="J26333" s="12"/>
      <c r="K26333" s="12"/>
      <c r="L26333" s="12"/>
      <c r="M26333" s="11"/>
      <c r="N26333" s="11"/>
      <c r="O26333" s="11"/>
      <c r="P26333" s="11"/>
    </row>
    <row r="26334" spans="8:16" x14ac:dyDescent="0.25">
      <c r="H26334" s="12"/>
      <c r="I26334" s="12"/>
      <c r="J26334" s="12"/>
      <c r="K26334" s="12"/>
      <c r="L26334" s="12"/>
      <c r="M26334" s="11"/>
      <c r="N26334" s="11"/>
      <c r="O26334" s="11"/>
      <c r="P26334" s="11"/>
    </row>
    <row r="26335" spans="8:16" x14ac:dyDescent="0.25">
      <c r="H26335" s="12"/>
      <c r="I26335" s="12"/>
      <c r="J26335" s="12"/>
      <c r="K26335" s="12"/>
      <c r="L26335" s="12"/>
      <c r="M26335" s="11"/>
      <c r="N26335" s="11"/>
      <c r="O26335" s="11"/>
      <c r="P26335" s="11"/>
    </row>
    <row r="26336" spans="8:16" x14ac:dyDescent="0.25">
      <c r="H26336" s="12"/>
      <c r="I26336" s="12"/>
      <c r="J26336" s="12"/>
      <c r="K26336" s="12"/>
      <c r="L26336" s="12"/>
      <c r="M26336" s="11"/>
      <c r="N26336" s="11"/>
      <c r="O26336" s="11"/>
      <c r="P26336" s="11"/>
    </row>
    <row r="26337" spans="8:16" x14ac:dyDescent="0.25">
      <c r="H26337" s="12"/>
      <c r="I26337" s="12"/>
      <c r="J26337" s="12"/>
      <c r="K26337" s="12"/>
      <c r="L26337" s="12"/>
      <c r="M26337" s="11"/>
      <c r="N26337" s="11"/>
      <c r="O26337" s="11"/>
      <c r="P26337" s="11"/>
    </row>
    <row r="26338" spans="8:16" x14ac:dyDescent="0.25">
      <c r="H26338" s="12"/>
      <c r="I26338" s="12"/>
      <c r="J26338" s="12"/>
      <c r="K26338" s="12"/>
      <c r="L26338" s="12"/>
      <c r="M26338" s="11"/>
      <c r="N26338" s="11"/>
      <c r="O26338" s="11"/>
      <c r="P26338" s="11"/>
    </row>
    <row r="26339" spans="8:16" x14ac:dyDescent="0.25">
      <c r="H26339" s="12"/>
      <c r="I26339" s="12"/>
      <c r="J26339" s="12"/>
      <c r="K26339" s="12"/>
      <c r="L26339" s="12"/>
      <c r="M26339" s="11"/>
      <c r="N26339" s="11"/>
      <c r="O26339" s="11"/>
      <c r="P26339" s="11"/>
    </row>
    <row r="26340" spans="8:16" x14ac:dyDescent="0.25">
      <c r="H26340" s="12"/>
      <c r="I26340" s="12"/>
      <c r="J26340" s="12"/>
      <c r="K26340" s="12"/>
      <c r="L26340" s="12"/>
      <c r="M26340" s="11"/>
      <c r="N26340" s="11"/>
      <c r="O26340" s="11"/>
      <c r="P26340" s="11"/>
    </row>
    <row r="26341" spans="8:16" x14ac:dyDescent="0.25">
      <c r="H26341" s="12"/>
      <c r="I26341" s="12"/>
      <c r="J26341" s="12"/>
      <c r="K26341" s="12"/>
      <c r="L26341" s="12"/>
      <c r="M26341" s="11"/>
      <c r="N26341" s="11"/>
      <c r="O26341" s="11"/>
      <c r="P26341" s="11"/>
    </row>
    <row r="26342" spans="8:16" x14ac:dyDescent="0.25">
      <c r="H26342" s="12"/>
      <c r="I26342" s="12"/>
      <c r="J26342" s="12"/>
      <c r="K26342" s="12"/>
      <c r="L26342" s="12"/>
      <c r="M26342" s="11"/>
      <c r="N26342" s="11"/>
      <c r="O26342" s="11"/>
      <c r="P26342" s="11"/>
    </row>
    <row r="26343" spans="8:16" x14ac:dyDescent="0.25">
      <c r="H26343" s="12"/>
      <c r="I26343" s="12"/>
      <c r="J26343" s="12"/>
      <c r="K26343" s="12"/>
      <c r="L26343" s="12"/>
      <c r="M26343" s="11"/>
      <c r="N26343" s="11"/>
      <c r="O26343" s="11"/>
      <c r="P26343" s="11"/>
    </row>
    <row r="26344" spans="8:16" x14ac:dyDescent="0.25">
      <c r="H26344" s="12"/>
      <c r="I26344" s="12"/>
      <c r="J26344" s="12"/>
      <c r="K26344" s="12"/>
      <c r="L26344" s="12"/>
      <c r="M26344" s="11"/>
      <c r="N26344" s="11"/>
      <c r="O26344" s="11"/>
      <c r="P26344" s="11"/>
    </row>
    <row r="26345" spans="8:16" x14ac:dyDescent="0.25">
      <c r="H26345" s="12"/>
      <c r="I26345" s="12"/>
      <c r="J26345" s="12"/>
      <c r="K26345" s="12"/>
      <c r="L26345" s="12"/>
      <c r="M26345" s="11"/>
      <c r="N26345" s="11"/>
      <c r="O26345" s="11"/>
      <c r="P26345" s="11"/>
    </row>
    <row r="26346" spans="8:16" x14ac:dyDescent="0.25">
      <c r="H26346" s="12"/>
      <c r="I26346" s="12"/>
      <c r="J26346" s="12"/>
      <c r="K26346" s="12"/>
      <c r="L26346" s="12"/>
      <c r="M26346" s="11"/>
      <c r="N26346" s="11"/>
      <c r="O26346" s="11"/>
      <c r="P26346" s="11"/>
    </row>
    <row r="26347" spans="8:16" x14ac:dyDescent="0.25">
      <c r="H26347" s="12"/>
      <c r="I26347" s="12"/>
      <c r="J26347" s="12"/>
      <c r="K26347" s="12"/>
      <c r="L26347" s="12"/>
      <c r="M26347" s="11"/>
      <c r="N26347" s="11"/>
      <c r="O26347" s="11"/>
      <c r="P26347" s="11"/>
    </row>
    <row r="26348" spans="8:16" x14ac:dyDescent="0.25">
      <c r="H26348" s="12"/>
      <c r="I26348" s="12"/>
      <c r="J26348" s="12"/>
      <c r="K26348" s="12"/>
      <c r="L26348" s="12"/>
      <c r="M26348" s="11"/>
      <c r="N26348" s="11"/>
      <c r="O26348" s="11"/>
      <c r="P26348" s="11"/>
    </row>
    <row r="26349" spans="8:16" x14ac:dyDescent="0.25">
      <c r="H26349" s="12"/>
      <c r="I26349" s="12"/>
      <c r="J26349" s="12"/>
      <c r="K26349" s="12"/>
      <c r="L26349" s="12"/>
      <c r="M26349" s="11"/>
      <c r="N26349" s="11"/>
      <c r="O26349" s="11"/>
      <c r="P26349" s="11"/>
    </row>
    <row r="26350" spans="8:16" x14ac:dyDescent="0.25">
      <c r="H26350" s="12"/>
      <c r="I26350" s="12"/>
      <c r="J26350" s="12"/>
      <c r="K26350" s="12"/>
      <c r="L26350" s="12"/>
      <c r="M26350" s="11"/>
      <c r="N26350" s="11"/>
      <c r="O26350" s="11"/>
      <c r="P26350" s="11"/>
    </row>
    <row r="26351" spans="8:16" x14ac:dyDescent="0.25">
      <c r="H26351" s="12"/>
      <c r="I26351" s="12"/>
      <c r="J26351" s="12"/>
      <c r="K26351" s="12"/>
      <c r="L26351" s="12"/>
      <c r="M26351" s="11"/>
      <c r="N26351" s="11"/>
      <c r="O26351" s="11"/>
      <c r="P26351" s="11"/>
    </row>
    <row r="26352" spans="8:16" x14ac:dyDescent="0.25">
      <c r="H26352" s="12"/>
      <c r="I26352" s="12"/>
      <c r="J26352" s="12"/>
      <c r="K26352" s="12"/>
      <c r="L26352" s="12"/>
      <c r="M26352" s="11"/>
      <c r="N26352" s="11"/>
      <c r="O26352" s="11"/>
      <c r="P26352" s="11"/>
    </row>
    <row r="26353" spans="8:16" x14ac:dyDescent="0.25">
      <c r="H26353" s="12"/>
      <c r="I26353" s="12"/>
      <c r="J26353" s="12"/>
      <c r="K26353" s="12"/>
      <c r="L26353" s="12"/>
      <c r="M26353" s="11"/>
      <c r="N26353" s="11"/>
      <c r="O26353" s="11"/>
      <c r="P26353" s="11"/>
    </row>
    <row r="26354" spans="8:16" x14ac:dyDescent="0.25">
      <c r="H26354" s="12"/>
      <c r="I26354" s="12"/>
      <c r="J26354" s="12"/>
      <c r="K26354" s="12"/>
      <c r="L26354" s="12"/>
      <c r="M26354" s="11"/>
      <c r="N26354" s="11"/>
      <c r="O26354" s="11"/>
      <c r="P26354" s="11"/>
    </row>
    <row r="26355" spans="8:16" x14ac:dyDescent="0.25">
      <c r="H26355" s="12"/>
      <c r="I26355" s="12"/>
      <c r="J26355" s="12"/>
      <c r="K26355" s="12"/>
      <c r="L26355" s="12"/>
      <c r="M26355" s="11"/>
      <c r="N26355" s="11"/>
      <c r="O26355" s="11"/>
      <c r="P26355" s="11"/>
    </row>
    <row r="26356" spans="8:16" x14ac:dyDescent="0.25">
      <c r="H26356" s="12"/>
      <c r="I26356" s="12"/>
      <c r="J26356" s="12"/>
      <c r="K26356" s="12"/>
      <c r="L26356" s="12"/>
      <c r="M26356" s="11"/>
      <c r="N26356" s="11"/>
      <c r="O26356" s="11"/>
      <c r="P26356" s="11"/>
    </row>
    <row r="26357" spans="8:16" x14ac:dyDescent="0.25">
      <c r="H26357" s="12"/>
      <c r="I26357" s="12"/>
      <c r="J26357" s="12"/>
      <c r="K26357" s="12"/>
      <c r="L26357" s="12"/>
      <c r="M26357" s="11"/>
      <c r="N26357" s="11"/>
      <c r="O26357" s="11"/>
      <c r="P26357" s="11"/>
    </row>
    <row r="26358" spans="8:16" x14ac:dyDescent="0.25">
      <c r="H26358" s="12"/>
      <c r="I26358" s="12"/>
      <c r="J26358" s="12"/>
      <c r="K26358" s="12"/>
      <c r="L26358" s="12"/>
      <c r="M26358" s="11"/>
      <c r="N26358" s="11"/>
      <c r="O26358" s="11"/>
      <c r="P26358" s="11"/>
    </row>
    <row r="26359" spans="8:16" x14ac:dyDescent="0.25">
      <c r="H26359" s="12"/>
      <c r="I26359" s="12"/>
      <c r="J26359" s="12"/>
      <c r="K26359" s="12"/>
      <c r="L26359" s="12"/>
      <c r="M26359" s="11"/>
      <c r="N26359" s="11"/>
      <c r="O26359" s="11"/>
      <c r="P26359" s="11"/>
    </row>
    <row r="26360" spans="8:16" x14ac:dyDescent="0.25">
      <c r="H26360" s="12"/>
      <c r="I26360" s="12"/>
      <c r="J26360" s="12"/>
      <c r="K26360" s="12"/>
      <c r="L26360" s="12"/>
      <c r="M26360" s="11"/>
      <c r="N26360" s="11"/>
      <c r="O26360" s="11"/>
      <c r="P26360" s="11"/>
    </row>
    <row r="26361" spans="8:16" x14ac:dyDescent="0.25">
      <c r="H26361" s="12"/>
      <c r="I26361" s="12"/>
      <c r="J26361" s="12"/>
      <c r="K26361" s="12"/>
      <c r="L26361" s="12"/>
      <c r="M26361" s="11"/>
      <c r="N26361" s="11"/>
      <c r="O26361" s="11"/>
      <c r="P26361" s="11"/>
    </row>
    <row r="26362" spans="8:16" x14ac:dyDescent="0.25">
      <c r="H26362" s="12"/>
      <c r="I26362" s="12"/>
      <c r="J26362" s="12"/>
      <c r="K26362" s="12"/>
      <c r="L26362" s="12"/>
      <c r="M26362" s="11"/>
      <c r="N26362" s="11"/>
      <c r="O26362" s="11"/>
      <c r="P26362" s="11"/>
    </row>
    <row r="26363" spans="8:16" x14ac:dyDescent="0.25">
      <c r="H26363" s="12"/>
      <c r="I26363" s="12"/>
      <c r="J26363" s="12"/>
      <c r="K26363" s="12"/>
      <c r="L26363" s="12"/>
      <c r="M26363" s="11"/>
      <c r="N26363" s="11"/>
      <c r="O26363" s="11"/>
      <c r="P26363" s="11"/>
    </row>
    <row r="26364" spans="8:16" x14ac:dyDescent="0.25">
      <c r="H26364" s="12"/>
      <c r="I26364" s="12"/>
      <c r="J26364" s="12"/>
      <c r="K26364" s="12"/>
      <c r="L26364" s="12"/>
      <c r="M26364" s="11"/>
      <c r="N26364" s="11"/>
      <c r="O26364" s="11"/>
      <c r="P26364" s="11"/>
    </row>
    <row r="26365" spans="8:16" x14ac:dyDescent="0.25">
      <c r="H26365" s="12"/>
      <c r="I26365" s="12"/>
      <c r="J26365" s="12"/>
      <c r="K26365" s="12"/>
      <c r="L26365" s="12"/>
      <c r="M26365" s="11"/>
      <c r="N26365" s="11"/>
      <c r="O26365" s="11"/>
      <c r="P26365" s="11"/>
    </row>
    <row r="26366" spans="8:16" x14ac:dyDescent="0.25">
      <c r="H26366" s="12"/>
      <c r="I26366" s="12"/>
      <c r="J26366" s="12"/>
      <c r="K26366" s="12"/>
      <c r="L26366" s="12"/>
      <c r="M26366" s="11"/>
      <c r="N26366" s="11"/>
      <c r="O26366" s="11"/>
      <c r="P26366" s="11"/>
    </row>
    <row r="26367" spans="8:16" x14ac:dyDescent="0.25">
      <c r="H26367" s="12"/>
      <c r="I26367" s="12"/>
      <c r="J26367" s="12"/>
      <c r="K26367" s="12"/>
      <c r="L26367" s="12"/>
      <c r="M26367" s="11"/>
      <c r="N26367" s="11"/>
      <c r="O26367" s="11"/>
      <c r="P26367" s="11"/>
    </row>
    <row r="26368" spans="8:16" x14ac:dyDescent="0.25">
      <c r="H26368" s="12"/>
      <c r="I26368" s="12"/>
      <c r="J26368" s="12"/>
      <c r="K26368" s="12"/>
      <c r="L26368" s="12"/>
      <c r="M26368" s="11"/>
      <c r="N26368" s="11"/>
      <c r="O26368" s="11"/>
      <c r="P26368" s="11"/>
    </row>
    <row r="26369" spans="8:16" x14ac:dyDescent="0.25">
      <c r="H26369" s="12"/>
      <c r="I26369" s="12"/>
      <c r="J26369" s="12"/>
      <c r="K26369" s="12"/>
      <c r="L26369" s="12"/>
      <c r="M26369" s="11"/>
      <c r="N26369" s="11"/>
      <c r="O26369" s="11"/>
      <c r="P26369" s="11"/>
    </row>
    <row r="26370" spans="8:16" x14ac:dyDescent="0.25">
      <c r="H26370" s="12"/>
      <c r="I26370" s="12"/>
      <c r="J26370" s="12"/>
      <c r="K26370" s="12"/>
      <c r="L26370" s="12"/>
      <c r="M26370" s="11"/>
      <c r="N26370" s="11"/>
      <c r="O26370" s="11"/>
      <c r="P26370" s="11"/>
    </row>
    <row r="26371" spans="8:16" x14ac:dyDescent="0.25">
      <c r="H26371" s="12"/>
      <c r="I26371" s="12"/>
      <c r="J26371" s="12"/>
      <c r="K26371" s="12"/>
      <c r="L26371" s="12"/>
      <c r="M26371" s="11"/>
      <c r="N26371" s="11"/>
      <c r="O26371" s="11"/>
      <c r="P26371" s="11"/>
    </row>
    <row r="26372" spans="8:16" x14ac:dyDescent="0.25">
      <c r="H26372" s="12"/>
      <c r="I26372" s="12"/>
      <c r="J26372" s="12"/>
      <c r="K26372" s="12"/>
      <c r="L26372" s="12"/>
      <c r="M26372" s="11"/>
      <c r="N26372" s="11"/>
      <c r="O26372" s="11"/>
      <c r="P26372" s="11"/>
    </row>
    <row r="26373" spans="8:16" x14ac:dyDescent="0.25">
      <c r="H26373" s="12"/>
      <c r="I26373" s="12"/>
      <c r="J26373" s="12"/>
      <c r="K26373" s="12"/>
      <c r="L26373" s="12"/>
      <c r="M26373" s="11"/>
      <c r="N26373" s="11"/>
      <c r="O26373" s="11"/>
      <c r="P26373" s="11"/>
    </row>
    <row r="26374" spans="8:16" x14ac:dyDescent="0.25">
      <c r="H26374" s="12"/>
      <c r="I26374" s="12"/>
      <c r="J26374" s="12"/>
      <c r="K26374" s="12"/>
      <c r="L26374" s="12"/>
      <c r="M26374" s="11"/>
      <c r="N26374" s="11"/>
      <c r="O26374" s="11"/>
      <c r="P26374" s="11"/>
    </row>
    <row r="26375" spans="8:16" x14ac:dyDescent="0.25">
      <c r="H26375" s="12"/>
      <c r="I26375" s="12"/>
      <c r="J26375" s="12"/>
      <c r="K26375" s="12"/>
      <c r="L26375" s="12"/>
      <c r="M26375" s="11"/>
      <c r="N26375" s="11"/>
      <c r="O26375" s="11"/>
      <c r="P26375" s="11"/>
    </row>
    <row r="26376" spans="8:16" x14ac:dyDescent="0.25">
      <c r="H26376" s="12"/>
      <c r="I26376" s="12"/>
      <c r="J26376" s="12"/>
      <c r="K26376" s="12"/>
      <c r="L26376" s="12"/>
      <c r="M26376" s="11"/>
      <c r="N26376" s="11"/>
      <c r="O26376" s="11"/>
      <c r="P26376" s="11"/>
    </row>
    <row r="26377" spans="8:16" x14ac:dyDescent="0.25">
      <c r="H26377" s="12"/>
      <c r="I26377" s="12"/>
      <c r="J26377" s="12"/>
      <c r="K26377" s="12"/>
      <c r="L26377" s="12"/>
      <c r="M26377" s="11"/>
      <c r="N26377" s="11"/>
      <c r="O26377" s="11"/>
      <c r="P26377" s="11"/>
    </row>
    <row r="26378" spans="8:16" x14ac:dyDescent="0.25">
      <c r="H26378" s="12"/>
      <c r="I26378" s="12"/>
      <c r="J26378" s="12"/>
      <c r="K26378" s="12"/>
      <c r="L26378" s="12"/>
      <c r="M26378" s="11"/>
      <c r="N26378" s="11"/>
      <c r="O26378" s="11"/>
      <c r="P26378" s="11"/>
    </row>
    <row r="26379" spans="8:16" x14ac:dyDescent="0.25">
      <c r="H26379" s="12"/>
      <c r="I26379" s="12"/>
      <c r="J26379" s="12"/>
      <c r="K26379" s="12"/>
      <c r="L26379" s="12"/>
      <c r="M26379" s="11"/>
      <c r="N26379" s="11"/>
      <c r="O26379" s="11"/>
      <c r="P26379" s="11"/>
    </row>
    <row r="26380" spans="8:16" x14ac:dyDescent="0.25">
      <c r="H26380" s="12"/>
      <c r="I26380" s="12"/>
      <c r="J26380" s="12"/>
      <c r="K26380" s="12"/>
      <c r="L26380" s="12"/>
      <c r="M26380" s="11"/>
      <c r="N26380" s="11"/>
      <c r="O26380" s="11"/>
      <c r="P26380" s="11"/>
    </row>
    <row r="26381" spans="8:16" x14ac:dyDescent="0.25">
      <c r="H26381" s="12"/>
      <c r="I26381" s="12"/>
      <c r="J26381" s="12"/>
      <c r="K26381" s="12"/>
      <c r="L26381" s="12"/>
      <c r="M26381" s="11"/>
      <c r="N26381" s="11"/>
      <c r="O26381" s="11"/>
      <c r="P26381" s="11"/>
    </row>
    <row r="26382" spans="8:16" x14ac:dyDescent="0.25">
      <c r="H26382" s="12"/>
      <c r="I26382" s="12"/>
      <c r="J26382" s="12"/>
      <c r="K26382" s="12"/>
      <c r="L26382" s="12"/>
      <c r="M26382" s="11"/>
      <c r="N26382" s="11"/>
      <c r="O26382" s="11"/>
      <c r="P26382" s="11"/>
    </row>
    <row r="26383" spans="8:16" x14ac:dyDescent="0.25">
      <c r="H26383" s="12"/>
      <c r="I26383" s="12"/>
      <c r="J26383" s="12"/>
      <c r="K26383" s="12"/>
      <c r="L26383" s="12"/>
      <c r="M26383" s="11"/>
      <c r="N26383" s="11"/>
      <c r="O26383" s="11"/>
      <c r="P26383" s="11"/>
    </row>
    <row r="26384" spans="8:16" x14ac:dyDescent="0.25">
      <c r="H26384" s="12"/>
      <c r="I26384" s="12"/>
      <c r="J26384" s="12"/>
      <c r="K26384" s="12"/>
      <c r="L26384" s="12"/>
      <c r="M26384" s="11"/>
      <c r="N26384" s="11"/>
      <c r="O26384" s="11"/>
      <c r="P26384" s="11"/>
    </row>
    <row r="26385" spans="8:16" x14ac:dyDescent="0.25">
      <c r="H26385" s="12"/>
      <c r="I26385" s="12"/>
      <c r="J26385" s="12"/>
      <c r="K26385" s="12"/>
      <c r="L26385" s="12"/>
      <c r="M26385" s="11"/>
      <c r="N26385" s="11"/>
      <c r="O26385" s="11"/>
      <c r="P26385" s="11"/>
    </row>
    <row r="26386" spans="8:16" x14ac:dyDescent="0.25">
      <c r="H26386" s="12"/>
      <c r="I26386" s="12"/>
      <c r="J26386" s="12"/>
      <c r="K26386" s="12"/>
      <c r="L26386" s="12"/>
      <c r="M26386" s="11"/>
      <c r="N26386" s="11"/>
      <c r="O26386" s="11"/>
      <c r="P26386" s="11"/>
    </row>
    <row r="26387" spans="8:16" x14ac:dyDescent="0.25">
      <c r="H26387" s="12"/>
      <c r="I26387" s="12"/>
      <c r="J26387" s="12"/>
      <c r="K26387" s="12"/>
      <c r="L26387" s="12"/>
      <c r="M26387" s="11"/>
      <c r="N26387" s="11"/>
      <c r="O26387" s="11"/>
      <c r="P26387" s="11"/>
    </row>
    <row r="26388" spans="8:16" x14ac:dyDescent="0.25">
      <c r="H26388" s="12"/>
      <c r="I26388" s="12"/>
      <c r="J26388" s="12"/>
      <c r="K26388" s="12"/>
      <c r="L26388" s="12"/>
      <c r="M26388" s="11"/>
      <c r="N26388" s="11"/>
      <c r="O26388" s="11"/>
      <c r="P26388" s="11"/>
    </row>
    <row r="26389" spans="8:16" x14ac:dyDescent="0.25">
      <c r="H26389" s="12"/>
      <c r="I26389" s="12"/>
      <c r="J26389" s="12"/>
      <c r="K26389" s="12"/>
      <c r="L26389" s="12"/>
      <c r="M26389" s="11"/>
      <c r="N26389" s="11"/>
      <c r="O26389" s="11"/>
      <c r="P26389" s="11"/>
    </row>
    <row r="26390" spans="8:16" x14ac:dyDescent="0.25">
      <c r="H26390" s="12"/>
      <c r="I26390" s="12"/>
      <c r="J26390" s="12"/>
      <c r="K26390" s="12"/>
      <c r="L26390" s="12"/>
      <c r="M26390" s="11"/>
      <c r="N26390" s="11"/>
      <c r="O26390" s="11"/>
      <c r="P26390" s="11"/>
    </row>
    <row r="26391" spans="8:16" x14ac:dyDescent="0.25">
      <c r="H26391" s="12"/>
      <c r="I26391" s="12"/>
      <c r="J26391" s="12"/>
      <c r="K26391" s="12"/>
      <c r="L26391" s="12"/>
      <c r="M26391" s="11"/>
      <c r="N26391" s="11"/>
      <c r="O26391" s="11"/>
      <c r="P26391" s="11"/>
    </row>
    <row r="26392" spans="8:16" x14ac:dyDescent="0.25">
      <c r="H26392" s="12"/>
      <c r="I26392" s="12"/>
      <c r="J26392" s="12"/>
      <c r="K26392" s="12"/>
      <c r="L26392" s="12"/>
      <c r="M26392" s="11"/>
      <c r="N26392" s="11"/>
      <c r="O26392" s="11"/>
      <c r="P26392" s="11"/>
    </row>
    <row r="26393" spans="8:16" x14ac:dyDescent="0.25">
      <c r="H26393" s="12"/>
      <c r="I26393" s="12"/>
      <c r="J26393" s="12"/>
      <c r="K26393" s="12"/>
      <c r="L26393" s="12"/>
      <c r="M26393" s="11"/>
      <c r="N26393" s="11"/>
      <c r="O26393" s="11"/>
      <c r="P26393" s="11"/>
    </row>
    <row r="26394" spans="8:16" x14ac:dyDescent="0.25">
      <c r="H26394" s="12"/>
      <c r="I26394" s="12"/>
      <c r="J26394" s="12"/>
      <c r="K26394" s="12"/>
      <c r="L26394" s="12"/>
      <c r="M26394" s="11"/>
      <c r="N26394" s="11"/>
      <c r="O26394" s="11"/>
      <c r="P26394" s="11"/>
    </row>
    <row r="26395" spans="8:16" x14ac:dyDescent="0.25">
      <c r="H26395" s="12"/>
      <c r="I26395" s="12"/>
      <c r="J26395" s="12"/>
      <c r="K26395" s="12"/>
      <c r="L26395" s="12"/>
      <c r="M26395" s="11"/>
      <c r="N26395" s="11"/>
      <c r="O26395" s="11"/>
      <c r="P26395" s="11"/>
    </row>
    <row r="26396" spans="8:16" x14ac:dyDescent="0.25">
      <c r="H26396" s="12"/>
      <c r="I26396" s="12"/>
      <c r="J26396" s="12"/>
      <c r="K26396" s="12"/>
      <c r="L26396" s="12"/>
      <c r="M26396" s="11"/>
      <c r="N26396" s="11"/>
      <c r="O26396" s="11"/>
      <c r="P26396" s="11"/>
    </row>
    <row r="26397" spans="8:16" x14ac:dyDescent="0.25">
      <c r="H26397" s="12"/>
      <c r="I26397" s="12"/>
      <c r="J26397" s="12"/>
      <c r="K26397" s="12"/>
      <c r="L26397" s="12"/>
      <c r="M26397" s="11"/>
      <c r="N26397" s="11"/>
      <c r="O26397" s="11"/>
      <c r="P26397" s="11"/>
    </row>
    <row r="26398" spans="8:16" x14ac:dyDescent="0.25">
      <c r="H26398" s="12"/>
      <c r="I26398" s="12"/>
      <c r="J26398" s="12"/>
      <c r="K26398" s="12"/>
      <c r="L26398" s="12"/>
      <c r="M26398" s="11"/>
      <c r="N26398" s="11"/>
      <c r="O26398" s="11"/>
      <c r="P26398" s="11"/>
    </row>
    <row r="26399" spans="8:16" x14ac:dyDescent="0.25">
      <c r="H26399" s="12"/>
      <c r="I26399" s="12"/>
      <c r="J26399" s="12"/>
      <c r="K26399" s="12"/>
      <c r="L26399" s="12"/>
      <c r="M26399" s="11"/>
      <c r="N26399" s="11"/>
      <c r="O26399" s="11"/>
      <c r="P26399" s="11"/>
    </row>
    <row r="26400" spans="8:16" x14ac:dyDescent="0.25">
      <c r="H26400" s="12"/>
      <c r="I26400" s="12"/>
      <c r="J26400" s="12"/>
      <c r="K26400" s="12"/>
      <c r="L26400" s="12"/>
      <c r="M26400" s="11"/>
      <c r="N26400" s="11"/>
      <c r="O26400" s="11"/>
      <c r="P26400" s="11"/>
    </row>
    <row r="26401" spans="8:16" x14ac:dyDescent="0.25">
      <c r="H26401" s="12"/>
      <c r="I26401" s="12"/>
      <c r="J26401" s="12"/>
      <c r="K26401" s="12"/>
      <c r="L26401" s="12"/>
      <c r="M26401" s="11"/>
      <c r="N26401" s="11"/>
      <c r="O26401" s="11"/>
      <c r="P26401" s="11"/>
    </row>
    <row r="26402" spans="8:16" x14ac:dyDescent="0.25">
      <c r="H26402" s="12"/>
      <c r="I26402" s="12"/>
      <c r="J26402" s="12"/>
      <c r="K26402" s="12"/>
      <c r="L26402" s="12"/>
      <c r="M26402" s="11"/>
      <c r="N26402" s="11"/>
      <c r="O26402" s="11"/>
      <c r="P26402" s="11"/>
    </row>
    <row r="26403" spans="8:16" x14ac:dyDescent="0.25">
      <c r="H26403" s="12"/>
      <c r="I26403" s="12"/>
      <c r="J26403" s="12"/>
      <c r="K26403" s="12"/>
      <c r="L26403" s="12"/>
      <c r="M26403" s="11"/>
      <c r="N26403" s="11"/>
      <c r="O26403" s="11"/>
      <c r="P26403" s="11"/>
    </row>
    <row r="26404" spans="8:16" x14ac:dyDescent="0.25">
      <c r="H26404" s="12"/>
      <c r="I26404" s="12"/>
      <c r="J26404" s="12"/>
      <c r="K26404" s="12"/>
      <c r="L26404" s="12"/>
      <c r="M26404" s="11"/>
      <c r="N26404" s="11"/>
      <c r="O26404" s="11"/>
      <c r="P26404" s="11"/>
    </row>
    <row r="26405" spans="8:16" x14ac:dyDescent="0.25">
      <c r="H26405" s="12"/>
      <c r="I26405" s="12"/>
      <c r="J26405" s="12"/>
      <c r="K26405" s="12"/>
      <c r="L26405" s="12"/>
      <c r="M26405" s="11"/>
      <c r="N26405" s="11"/>
      <c r="O26405" s="11"/>
      <c r="P26405" s="11"/>
    </row>
    <row r="26406" spans="8:16" x14ac:dyDescent="0.25">
      <c r="H26406" s="12"/>
      <c r="I26406" s="12"/>
      <c r="J26406" s="12"/>
      <c r="K26406" s="12"/>
      <c r="L26406" s="12"/>
      <c r="M26406" s="11"/>
      <c r="N26406" s="11"/>
      <c r="O26406" s="11"/>
      <c r="P26406" s="11"/>
    </row>
    <row r="26407" spans="8:16" x14ac:dyDescent="0.25">
      <c r="H26407" s="12"/>
      <c r="I26407" s="12"/>
      <c r="J26407" s="12"/>
      <c r="K26407" s="12"/>
      <c r="L26407" s="12"/>
      <c r="M26407" s="11"/>
      <c r="N26407" s="11"/>
      <c r="O26407" s="11"/>
      <c r="P26407" s="11"/>
    </row>
    <row r="26408" spans="8:16" x14ac:dyDescent="0.25">
      <c r="H26408" s="12"/>
      <c r="I26408" s="12"/>
      <c r="J26408" s="12"/>
      <c r="K26408" s="12"/>
      <c r="L26408" s="12"/>
      <c r="M26408" s="11"/>
      <c r="N26408" s="11"/>
      <c r="O26408" s="11"/>
      <c r="P26408" s="11"/>
    </row>
    <row r="26409" spans="8:16" x14ac:dyDescent="0.25">
      <c r="H26409" s="12"/>
      <c r="I26409" s="12"/>
      <c r="J26409" s="12"/>
      <c r="K26409" s="12"/>
      <c r="L26409" s="12"/>
      <c r="M26409" s="11"/>
      <c r="N26409" s="11"/>
      <c r="O26409" s="11"/>
      <c r="P26409" s="11"/>
    </row>
    <row r="26410" spans="8:16" x14ac:dyDescent="0.25">
      <c r="H26410" s="12"/>
      <c r="I26410" s="12"/>
      <c r="J26410" s="12"/>
      <c r="K26410" s="12"/>
      <c r="L26410" s="12"/>
      <c r="M26410" s="11"/>
      <c r="N26410" s="11"/>
      <c r="O26410" s="11"/>
      <c r="P26410" s="11"/>
    </row>
    <row r="26411" spans="8:16" x14ac:dyDescent="0.25">
      <c r="H26411" s="12"/>
      <c r="I26411" s="12"/>
      <c r="J26411" s="12"/>
      <c r="K26411" s="12"/>
      <c r="L26411" s="12"/>
      <c r="M26411" s="11"/>
      <c r="N26411" s="11"/>
      <c r="O26411" s="11"/>
      <c r="P26411" s="11"/>
    </row>
    <row r="26412" spans="8:16" x14ac:dyDescent="0.25">
      <c r="H26412" s="12"/>
      <c r="I26412" s="12"/>
      <c r="J26412" s="12"/>
      <c r="K26412" s="12"/>
      <c r="L26412" s="12"/>
      <c r="M26412" s="11"/>
      <c r="N26412" s="11"/>
      <c r="O26412" s="11"/>
      <c r="P26412" s="11"/>
    </row>
    <row r="26413" spans="8:16" x14ac:dyDescent="0.25">
      <c r="H26413" s="12"/>
      <c r="I26413" s="12"/>
      <c r="J26413" s="12"/>
      <c r="K26413" s="12"/>
      <c r="L26413" s="12"/>
      <c r="M26413" s="11"/>
      <c r="N26413" s="11"/>
      <c r="O26413" s="11"/>
      <c r="P26413" s="11"/>
    </row>
    <row r="26414" spans="8:16" x14ac:dyDescent="0.25">
      <c r="H26414" s="12"/>
      <c r="I26414" s="12"/>
      <c r="J26414" s="12"/>
      <c r="K26414" s="12"/>
      <c r="L26414" s="12"/>
      <c r="M26414" s="11"/>
      <c r="N26414" s="11"/>
      <c r="O26414" s="11"/>
      <c r="P26414" s="11"/>
    </row>
    <row r="26415" spans="8:16" x14ac:dyDescent="0.25">
      <c r="H26415" s="12"/>
      <c r="I26415" s="12"/>
      <c r="J26415" s="12"/>
      <c r="K26415" s="12"/>
      <c r="L26415" s="12"/>
      <c r="M26415" s="11"/>
      <c r="N26415" s="11"/>
      <c r="O26415" s="11"/>
      <c r="P26415" s="11"/>
    </row>
    <row r="26416" spans="8:16" x14ac:dyDescent="0.25">
      <c r="H26416" s="12"/>
      <c r="I26416" s="12"/>
      <c r="J26416" s="12"/>
      <c r="K26416" s="12"/>
      <c r="L26416" s="12"/>
      <c r="M26416" s="11"/>
      <c r="N26416" s="11"/>
      <c r="O26416" s="11"/>
      <c r="P26416" s="11"/>
    </row>
    <row r="26417" spans="8:16" x14ac:dyDescent="0.25">
      <c r="H26417" s="12"/>
      <c r="I26417" s="12"/>
      <c r="J26417" s="12"/>
      <c r="K26417" s="12"/>
      <c r="L26417" s="12"/>
      <c r="M26417" s="11"/>
      <c r="N26417" s="11"/>
      <c r="O26417" s="11"/>
      <c r="P26417" s="11"/>
    </row>
    <row r="26418" spans="8:16" x14ac:dyDescent="0.25">
      <c r="H26418" s="12"/>
      <c r="I26418" s="12"/>
      <c r="J26418" s="12"/>
      <c r="K26418" s="12"/>
      <c r="L26418" s="12"/>
      <c r="M26418" s="11"/>
      <c r="N26418" s="11"/>
      <c r="O26418" s="11"/>
      <c r="P26418" s="11"/>
    </row>
    <row r="26419" spans="8:16" x14ac:dyDescent="0.25">
      <c r="H26419" s="12"/>
      <c r="I26419" s="12"/>
      <c r="J26419" s="12"/>
      <c r="K26419" s="12"/>
      <c r="L26419" s="12"/>
      <c r="M26419" s="11"/>
      <c r="N26419" s="11"/>
      <c r="O26419" s="11"/>
      <c r="P26419" s="11"/>
    </row>
    <row r="26420" spans="8:16" x14ac:dyDescent="0.25">
      <c r="H26420" s="12"/>
      <c r="I26420" s="12"/>
      <c r="J26420" s="12"/>
      <c r="K26420" s="12"/>
      <c r="L26420" s="12"/>
      <c r="M26420" s="11"/>
      <c r="N26420" s="11"/>
      <c r="O26420" s="11"/>
      <c r="P26420" s="11"/>
    </row>
    <row r="26421" spans="8:16" x14ac:dyDescent="0.25">
      <c r="H26421" s="12"/>
      <c r="I26421" s="12"/>
      <c r="J26421" s="12"/>
      <c r="K26421" s="12"/>
      <c r="L26421" s="12"/>
      <c r="M26421" s="11"/>
      <c r="N26421" s="11"/>
      <c r="O26421" s="11"/>
      <c r="P26421" s="11"/>
    </row>
    <row r="26422" spans="8:16" x14ac:dyDescent="0.25">
      <c r="H26422" s="12"/>
      <c r="I26422" s="12"/>
      <c r="J26422" s="12"/>
      <c r="K26422" s="12"/>
      <c r="L26422" s="12"/>
      <c r="M26422" s="11"/>
      <c r="N26422" s="11"/>
      <c r="O26422" s="11"/>
      <c r="P26422" s="11"/>
    </row>
    <row r="26423" spans="8:16" x14ac:dyDescent="0.25">
      <c r="H26423" s="12"/>
      <c r="I26423" s="12"/>
      <c r="J26423" s="12"/>
      <c r="K26423" s="12"/>
      <c r="L26423" s="12"/>
      <c r="M26423" s="11"/>
      <c r="N26423" s="11"/>
      <c r="O26423" s="11"/>
      <c r="P26423" s="11"/>
    </row>
    <row r="26424" spans="8:16" x14ac:dyDescent="0.25">
      <c r="H26424" s="12"/>
      <c r="I26424" s="12"/>
      <c r="J26424" s="12"/>
      <c r="K26424" s="12"/>
      <c r="L26424" s="12"/>
      <c r="M26424" s="11"/>
      <c r="N26424" s="11"/>
      <c r="O26424" s="11"/>
      <c r="P26424" s="11"/>
    </row>
    <row r="26425" spans="8:16" x14ac:dyDescent="0.25">
      <c r="H26425" s="12"/>
      <c r="I26425" s="12"/>
      <c r="J26425" s="12"/>
      <c r="K26425" s="12"/>
      <c r="L26425" s="12"/>
      <c r="M26425" s="11"/>
      <c r="N26425" s="11"/>
      <c r="O26425" s="11"/>
      <c r="P26425" s="11"/>
    </row>
    <row r="26426" spans="8:16" x14ac:dyDescent="0.25">
      <c r="H26426" s="12"/>
      <c r="I26426" s="12"/>
      <c r="J26426" s="12"/>
      <c r="K26426" s="12"/>
      <c r="L26426" s="12"/>
      <c r="M26426" s="11"/>
      <c r="N26426" s="11"/>
      <c r="O26426" s="11"/>
      <c r="P26426" s="11"/>
    </row>
    <row r="26427" spans="8:16" x14ac:dyDescent="0.25">
      <c r="H26427" s="12"/>
      <c r="I26427" s="12"/>
      <c r="J26427" s="12"/>
      <c r="K26427" s="12"/>
      <c r="L26427" s="12"/>
      <c r="M26427" s="11"/>
      <c r="N26427" s="11"/>
      <c r="O26427" s="11"/>
      <c r="P26427" s="11"/>
    </row>
    <row r="26428" spans="8:16" x14ac:dyDescent="0.25">
      <c r="H26428" s="12"/>
      <c r="I26428" s="12"/>
      <c r="J26428" s="12"/>
      <c r="K26428" s="12"/>
      <c r="L26428" s="12"/>
      <c r="M26428" s="11"/>
      <c r="N26428" s="11"/>
      <c r="O26428" s="11"/>
      <c r="P26428" s="11"/>
    </row>
    <row r="26429" spans="8:16" x14ac:dyDescent="0.25">
      <c r="H26429" s="12"/>
      <c r="I26429" s="12"/>
      <c r="J26429" s="12"/>
      <c r="K26429" s="12"/>
      <c r="L26429" s="12"/>
      <c r="M26429" s="11"/>
      <c r="N26429" s="11"/>
      <c r="O26429" s="11"/>
      <c r="P26429" s="11"/>
    </row>
    <row r="26430" spans="8:16" x14ac:dyDescent="0.25">
      <c r="H26430" s="12"/>
      <c r="I26430" s="12"/>
      <c r="J26430" s="12"/>
      <c r="K26430" s="12"/>
      <c r="L26430" s="12"/>
      <c r="M26430" s="11"/>
      <c r="N26430" s="11"/>
      <c r="O26430" s="11"/>
      <c r="P26430" s="11"/>
    </row>
    <row r="26431" spans="8:16" x14ac:dyDescent="0.25">
      <c r="H26431" s="12"/>
      <c r="I26431" s="12"/>
      <c r="J26431" s="12"/>
      <c r="K26431" s="12"/>
      <c r="L26431" s="12"/>
      <c r="M26431" s="11"/>
      <c r="N26431" s="11"/>
      <c r="O26431" s="11"/>
      <c r="P26431" s="11"/>
    </row>
    <row r="26432" spans="8:16" x14ac:dyDescent="0.25">
      <c r="H26432" s="12"/>
      <c r="I26432" s="12"/>
      <c r="J26432" s="12"/>
      <c r="K26432" s="12"/>
      <c r="L26432" s="12"/>
      <c r="M26432" s="11"/>
      <c r="N26432" s="11"/>
      <c r="O26432" s="11"/>
      <c r="P26432" s="11"/>
    </row>
    <row r="26433" spans="8:16" x14ac:dyDescent="0.25">
      <c r="H26433" s="12"/>
      <c r="I26433" s="12"/>
      <c r="J26433" s="12"/>
      <c r="K26433" s="12"/>
      <c r="L26433" s="12"/>
      <c r="M26433" s="11"/>
      <c r="N26433" s="11"/>
      <c r="O26433" s="11"/>
      <c r="P26433" s="11"/>
    </row>
    <row r="26434" spans="8:16" x14ac:dyDescent="0.25">
      <c r="H26434" s="12"/>
      <c r="I26434" s="12"/>
      <c r="J26434" s="12"/>
      <c r="K26434" s="12"/>
      <c r="L26434" s="12"/>
      <c r="M26434" s="11"/>
      <c r="N26434" s="11"/>
      <c r="O26434" s="11"/>
      <c r="P26434" s="11"/>
    </row>
    <row r="26435" spans="8:16" x14ac:dyDescent="0.25">
      <c r="H26435" s="12"/>
      <c r="I26435" s="12"/>
      <c r="J26435" s="12"/>
      <c r="K26435" s="12"/>
      <c r="L26435" s="12"/>
      <c r="M26435" s="11"/>
      <c r="N26435" s="11"/>
      <c r="O26435" s="11"/>
      <c r="P26435" s="11"/>
    </row>
    <row r="26436" spans="8:16" x14ac:dyDescent="0.25">
      <c r="H26436" s="12"/>
      <c r="I26436" s="12"/>
      <c r="J26436" s="12"/>
      <c r="K26436" s="12"/>
      <c r="L26436" s="12"/>
      <c r="M26436" s="11"/>
      <c r="N26436" s="11"/>
      <c r="O26436" s="11"/>
      <c r="P26436" s="11"/>
    </row>
    <row r="26437" spans="8:16" x14ac:dyDescent="0.25">
      <c r="H26437" s="12"/>
      <c r="I26437" s="12"/>
      <c r="J26437" s="12"/>
      <c r="K26437" s="12"/>
      <c r="L26437" s="12"/>
      <c r="M26437" s="11"/>
      <c r="N26437" s="11"/>
      <c r="O26437" s="11"/>
      <c r="P26437" s="11"/>
    </row>
    <row r="26438" spans="8:16" x14ac:dyDescent="0.25">
      <c r="H26438" s="12"/>
      <c r="I26438" s="12"/>
      <c r="J26438" s="12"/>
      <c r="K26438" s="12"/>
      <c r="L26438" s="12"/>
      <c r="M26438" s="11"/>
      <c r="N26438" s="11"/>
      <c r="O26438" s="11"/>
      <c r="P26438" s="11"/>
    </row>
    <row r="26439" spans="8:16" x14ac:dyDescent="0.25">
      <c r="H26439" s="12"/>
      <c r="I26439" s="12"/>
      <c r="J26439" s="12"/>
      <c r="K26439" s="12"/>
      <c r="L26439" s="12"/>
      <c r="M26439" s="11"/>
      <c r="N26439" s="11"/>
      <c r="O26439" s="11"/>
      <c r="P26439" s="11"/>
    </row>
    <row r="26440" spans="8:16" x14ac:dyDescent="0.25">
      <c r="H26440" s="12"/>
      <c r="I26440" s="12"/>
      <c r="J26440" s="12"/>
      <c r="K26440" s="12"/>
      <c r="L26440" s="12"/>
      <c r="M26440" s="11"/>
      <c r="N26440" s="11"/>
      <c r="O26440" s="11"/>
      <c r="P26440" s="11"/>
    </row>
    <row r="26441" spans="8:16" x14ac:dyDescent="0.25">
      <c r="H26441" s="12"/>
      <c r="I26441" s="12"/>
      <c r="J26441" s="12"/>
      <c r="K26441" s="12"/>
      <c r="L26441" s="12"/>
      <c r="M26441" s="11"/>
      <c r="N26441" s="11"/>
      <c r="O26441" s="11"/>
      <c r="P26441" s="11"/>
    </row>
    <row r="26442" spans="8:16" x14ac:dyDescent="0.25">
      <c r="H26442" s="12"/>
      <c r="I26442" s="12"/>
      <c r="J26442" s="12"/>
      <c r="K26442" s="12"/>
      <c r="L26442" s="12"/>
      <c r="M26442" s="11"/>
      <c r="N26442" s="11"/>
      <c r="O26442" s="11"/>
      <c r="P26442" s="11"/>
    </row>
    <row r="26443" spans="8:16" x14ac:dyDescent="0.25">
      <c r="H26443" s="12"/>
      <c r="I26443" s="12"/>
      <c r="J26443" s="12"/>
      <c r="K26443" s="12"/>
      <c r="L26443" s="12"/>
      <c r="M26443" s="11"/>
      <c r="N26443" s="11"/>
      <c r="O26443" s="11"/>
      <c r="P26443" s="11"/>
    </row>
    <row r="26444" spans="8:16" x14ac:dyDescent="0.25">
      <c r="H26444" s="12"/>
      <c r="I26444" s="12"/>
      <c r="J26444" s="12"/>
      <c r="K26444" s="12"/>
      <c r="L26444" s="12"/>
      <c r="M26444" s="11"/>
      <c r="N26444" s="11"/>
      <c r="O26444" s="11"/>
      <c r="P26444" s="11"/>
    </row>
    <row r="26445" spans="8:16" x14ac:dyDescent="0.25">
      <c r="H26445" s="12"/>
      <c r="I26445" s="12"/>
      <c r="J26445" s="12"/>
      <c r="K26445" s="12"/>
      <c r="L26445" s="12"/>
      <c r="M26445" s="11"/>
      <c r="N26445" s="11"/>
      <c r="O26445" s="11"/>
      <c r="P26445" s="11"/>
    </row>
    <row r="26446" spans="8:16" x14ac:dyDescent="0.25">
      <c r="H26446" s="12"/>
      <c r="I26446" s="12"/>
      <c r="J26446" s="12"/>
      <c r="K26446" s="12"/>
      <c r="L26446" s="12"/>
      <c r="M26446" s="11"/>
      <c r="N26446" s="11"/>
      <c r="O26446" s="11"/>
      <c r="P26446" s="11"/>
    </row>
    <row r="26447" spans="8:16" x14ac:dyDescent="0.25">
      <c r="H26447" s="12"/>
      <c r="I26447" s="12"/>
      <c r="J26447" s="12"/>
      <c r="K26447" s="12"/>
      <c r="L26447" s="12"/>
      <c r="M26447" s="11"/>
      <c r="N26447" s="11"/>
      <c r="O26447" s="11"/>
      <c r="P26447" s="11"/>
    </row>
    <row r="26448" spans="8:16" x14ac:dyDescent="0.25">
      <c r="H26448" s="12"/>
      <c r="I26448" s="12"/>
      <c r="J26448" s="12"/>
      <c r="K26448" s="12"/>
      <c r="L26448" s="12"/>
      <c r="M26448" s="11"/>
      <c r="N26448" s="11"/>
      <c r="O26448" s="11"/>
      <c r="P26448" s="11"/>
    </row>
    <row r="26449" spans="8:16" x14ac:dyDescent="0.25">
      <c r="H26449" s="12"/>
      <c r="I26449" s="12"/>
      <c r="J26449" s="12"/>
      <c r="K26449" s="12"/>
      <c r="L26449" s="12"/>
      <c r="M26449" s="11"/>
      <c r="N26449" s="11"/>
      <c r="O26449" s="11"/>
      <c r="P26449" s="11"/>
    </row>
    <row r="26450" spans="8:16" x14ac:dyDescent="0.25">
      <c r="H26450" s="12"/>
      <c r="I26450" s="12"/>
      <c r="J26450" s="12"/>
      <c r="K26450" s="12"/>
      <c r="L26450" s="12"/>
      <c r="M26450" s="11"/>
      <c r="N26450" s="11"/>
      <c r="O26450" s="11"/>
      <c r="P26450" s="11"/>
    </row>
    <row r="26451" spans="8:16" x14ac:dyDescent="0.25">
      <c r="H26451" s="12"/>
      <c r="I26451" s="12"/>
      <c r="J26451" s="12"/>
      <c r="K26451" s="12"/>
      <c r="L26451" s="12"/>
      <c r="M26451" s="11"/>
      <c r="N26451" s="11"/>
      <c r="O26451" s="11"/>
      <c r="P26451" s="11"/>
    </row>
    <row r="26452" spans="8:16" x14ac:dyDescent="0.25">
      <c r="H26452" s="12"/>
      <c r="I26452" s="12"/>
      <c r="J26452" s="12"/>
      <c r="K26452" s="12"/>
      <c r="L26452" s="12"/>
      <c r="M26452" s="11"/>
      <c r="N26452" s="11"/>
      <c r="O26452" s="11"/>
      <c r="P26452" s="11"/>
    </row>
    <row r="26453" spans="8:16" x14ac:dyDescent="0.25">
      <c r="H26453" s="12"/>
      <c r="I26453" s="12"/>
      <c r="J26453" s="12"/>
      <c r="K26453" s="12"/>
      <c r="L26453" s="12"/>
      <c r="M26453" s="11"/>
      <c r="N26453" s="11"/>
      <c r="O26453" s="11"/>
      <c r="P26453" s="11"/>
    </row>
    <row r="26454" spans="8:16" x14ac:dyDescent="0.25">
      <c r="H26454" s="12"/>
      <c r="I26454" s="12"/>
      <c r="J26454" s="12"/>
      <c r="K26454" s="12"/>
      <c r="L26454" s="12"/>
      <c r="M26454" s="11"/>
      <c r="N26454" s="11"/>
      <c r="O26454" s="11"/>
      <c r="P26454" s="11"/>
    </row>
    <row r="26455" spans="8:16" x14ac:dyDescent="0.25">
      <c r="H26455" s="12"/>
      <c r="I26455" s="12"/>
      <c r="J26455" s="12"/>
      <c r="K26455" s="12"/>
      <c r="L26455" s="12"/>
      <c r="M26455" s="11"/>
      <c r="N26455" s="11"/>
      <c r="O26455" s="11"/>
      <c r="P26455" s="11"/>
    </row>
    <row r="26456" spans="8:16" x14ac:dyDescent="0.25">
      <c r="H26456" s="12"/>
      <c r="I26456" s="12"/>
      <c r="J26456" s="12"/>
      <c r="K26456" s="12"/>
      <c r="L26456" s="12"/>
      <c r="M26456" s="11"/>
      <c r="N26456" s="11"/>
      <c r="O26456" s="11"/>
      <c r="P26456" s="11"/>
    </row>
    <row r="26457" spans="8:16" x14ac:dyDescent="0.25">
      <c r="H26457" s="12"/>
      <c r="I26457" s="12"/>
      <c r="J26457" s="12"/>
      <c r="K26457" s="12"/>
      <c r="L26457" s="12"/>
      <c r="M26457" s="11"/>
      <c r="N26457" s="11"/>
      <c r="O26457" s="11"/>
      <c r="P26457" s="11"/>
    </row>
    <row r="26458" spans="8:16" x14ac:dyDescent="0.25">
      <c r="H26458" s="12"/>
      <c r="I26458" s="12"/>
      <c r="J26458" s="12"/>
      <c r="K26458" s="12"/>
      <c r="L26458" s="12"/>
      <c r="M26458" s="11"/>
      <c r="N26458" s="11"/>
      <c r="O26458" s="11"/>
      <c r="P26458" s="11"/>
    </row>
    <row r="26459" spans="8:16" x14ac:dyDescent="0.25">
      <c r="H26459" s="12"/>
      <c r="I26459" s="12"/>
      <c r="J26459" s="12"/>
      <c r="K26459" s="12"/>
      <c r="L26459" s="12"/>
      <c r="M26459" s="11"/>
      <c r="N26459" s="11"/>
      <c r="O26459" s="11"/>
      <c r="P26459" s="11"/>
    </row>
    <row r="26460" spans="8:16" x14ac:dyDescent="0.25">
      <c r="H26460" s="12"/>
      <c r="I26460" s="12"/>
      <c r="J26460" s="12"/>
      <c r="K26460" s="12"/>
      <c r="L26460" s="12"/>
      <c r="M26460" s="11"/>
      <c r="N26460" s="11"/>
      <c r="O26460" s="11"/>
      <c r="P26460" s="11"/>
    </row>
    <row r="26461" spans="8:16" x14ac:dyDescent="0.25">
      <c r="H26461" s="12"/>
      <c r="I26461" s="12"/>
      <c r="J26461" s="12"/>
      <c r="K26461" s="12"/>
      <c r="L26461" s="12"/>
      <c r="M26461" s="11"/>
      <c r="N26461" s="11"/>
      <c r="O26461" s="11"/>
      <c r="P26461" s="11"/>
    </row>
    <row r="26462" spans="8:16" x14ac:dyDescent="0.25">
      <c r="H26462" s="12"/>
      <c r="I26462" s="12"/>
      <c r="J26462" s="12"/>
      <c r="K26462" s="12"/>
      <c r="L26462" s="12"/>
      <c r="M26462" s="11"/>
      <c r="N26462" s="11"/>
      <c r="O26462" s="11"/>
      <c r="P26462" s="11"/>
    </row>
    <row r="26463" spans="8:16" x14ac:dyDescent="0.25">
      <c r="H26463" s="12"/>
      <c r="I26463" s="12"/>
      <c r="J26463" s="12"/>
      <c r="K26463" s="12"/>
      <c r="L26463" s="12"/>
      <c r="M26463" s="11"/>
      <c r="N26463" s="11"/>
      <c r="O26463" s="11"/>
      <c r="P26463" s="11"/>
    </row>
    <row r="26464" spans="8:16" x14ac:dyDescent="0.25">
      <c r="H26464" s="12"/>
      <c r="I26464" s="12"/>
      <c r="J26464" s="12"/>
      <c r="K26464" s="12"/>
      <c r="L26464" s="12"/>
      <c r="M26464" s="11"/>
      <c r="N26464" s="11"/>
      <c r="O26464" s="11"/>
      <c r="P26464" s="11"/>
    </row>
    <row r="26465" spans="8:16" x14ac:dyDescent="0.25">
      <c r="H26465" s="12"/>
      <c r="I26465" s="12"/>
      <c r="J26465" s="12"/>
      <c r="K26465" s="12"/>
      <c r="L26465" s="12"/>
      <c r="M26465" s="11"/>
      <c r="N26465" s="11"/>
      <c r="O26465" s="11"/>
      <c r="P26465" s="11"/>
    </row>
    <row r="26466" spans="8:16" x14ac:dyDescent="0.25">
      <c r="H26466" s="12"/>
      <c r="I26466" s="12"/>
      <c r="J26466" s="12"/>
      <c r="K26466" s="12"/>
      <c r="L26466" s="12"/>
      <c r="M26466" s="11"/>
      <c r="N26466" s="11"/>
      <c r="O26466" s="11"/>
      <c r="P26466" s="11"/>
    </row>
    <row r="26467" spans="8:16" x14ac:dyDescent="0.25">
      <c r="H26467" s="12"/>
      <c r="I26467" s="12"/>
      <c r="J26467" s="12"/>
      <c r="K26467" s="12"/>
      <c r="L26467" s="12"/>
      <c r="M26467" s="11"/>
      <c r="N26467" s="11"/>
      <c r="O26467" s="11"/>
      <c r="P26467" s="11"/>
    </row>
    <row r="26468" spans="8:16" x14ac:dyDescent="0.25">
      <c r="H26468" s="12"/>
      <c r="I26468" s="12"/>
      <c r="J26468" s="12"/>
      <c r="K26468" s="12"/>
      <c r="L26468" s="12"/>
      <c r="M26468" s="11"/>
      <c r="N26468" s="11"/>
      <c r="O26468" s="11"/>
      <c r="P26468" s="11"/>
    </row>
    <row r="26469" spans="8:16" x14ac:dyDescent="0.25">
      <c r="H26469" s="12"/>
      <c r="I26469" s="12"/>
      <c r="J26469" s="12"/>
      <c r="K26469" s="12"/>
      <c r="L26469" s="12"/>
      <c r="M26469" s="11"/>
      <c r="N26469" s="11"/>
      <c r="O26469" s="11"/>
      <c r="P26469" s="11"/>
    </row>
    <row r="26470" spans="8:16" x14ac:dyDescent="0.25">
      <c r="H26470" s="12"/>
      <c r="I26470" s="12"/>
      <c r="J26470" s="12"/>
      <c r="K26470" s="12"/>
      <c r="L26470" s="12"/>
      <c r="M26470" s="11"/>
      <c r="N26470" s="11"/>
      <c r="O26470" s="11"/>
      <c r="P26470" s="11"/>
    </row>
    <row r="26471" spans="8:16" x14ac:dyDescent="0.25">
      <c r="H26471" s="12"/>
      <c r="I26471" s="12"/>
      <c r="J26471" s="12"/>
      <c r="K26471" s="12"/>
      <c r="L26471" s="12"/>
      <c r="M26471" s="11"/>
      <c r="N26471" s="11"/>
      <c r="O26471" s="11"/>
      <c r="P26471" s="11"/>
    </row>
    <row r="26472" spans="8:16" x14ac:dyDescent="0.25">
      <c r="H26472" s="12"/>
      <c r="I26472" s="12"/>
      <c r="J26472" s="12"/>
      <c r="K26472" s="12"/>
      <c r="L26472" s="12"/>
      <c r="M26472" s="11"/>
      <c r="N26472" s="11"/>
      <c r="O26472" s="11"/>
      <c r="P26472" s="11"/>
    </row>
    <row r="26473" spans="8:16" x14ac:dyDescent="0.25">
      <c r="H26473" s="12"/>
      <c r="I26473" s="12"/>
      <c r="J26473" s="12"/>
      <c r="K26473" s="12"/>
      <c r="L26473" s="12"/>
      <c r="M26473" s="11"/>
      <c r="N26473" s="11"/>
      <c r="O26473" s="11"/>
      <c r="P26473" s="11"/>
    </row>
    <row r="26474" spans="8:16" x14ac:dyDescent="0.25">
      <c r="H26474" s="12"/>
      <c r="I26474" s="12"/>
      <c r="J26474" s="12"/>
      <c r="K26474" s="12"/>
      <c r="L26474" s="12"/>
      <c r="M26474" s="11"/>
      <c r="N26474" s="11"/>
      <c r="O26474" s="11"/>
      <c r="P26474" s="11"/>
    </row>
    <row r="26475" spans="8:16" x14ac:dyDescent="0.25">
      <c r="H26475" s="12"/>
      <c r="I26475" s="12"/>
      <c r="J26475" s="12"/>
      <c r="K26475" s="12"/>
      <c r="L26475" s="12"/>
      <c r="M26475" s="11"/>
      <c r="N26475" s="11"/>
      <c r="O26475" s="11"/>
      <c r="P26475" s="11"/>
    </row>
    <row r="26476" spans="8:16" x14ac:dyDescent="0.25">
      <c r="H26476" s="12"/>
      <c r="I26476" s="12"/>
      <c r="J26476" s="12"/>
      <c r="K26476" s="12"/>
      <c r="L26476" s="12"/>
      <c r="M26476" s="11"/>
      <c r="N26476" s="11"/>
      <c r="O26476" s="11"/>
      <c r="P26476" s="11"/>
    </row>
    <row r="26477" spans="8:16" x14ac:dyDescent="0.25">
      <c r="H26477" s="12"/>
      <c r="I26477" s="12"/>
      <c r="J26477" s="12"/>
      <c r="K26477" s="12"/>
      <c r="L26477" s="12"/>
      <c r="M26477" s="11"/>
      <c r="N26477" s="11"/>
      <c r="O26477" s="11"/>
      <c r="P26477" s="11"/>
    </row>
    <row r="26478" spans="8:16" x14ac:dyDescent="0.25">
      <c r="H26478" s="12"/>
      <c r="I26478" s="12"/>
      <c r="J26478" s="12"/>
      <c r="K26478" s="12"/>
      <c r="L26478" s="12"/>
      <c r="M26478" s="11"/>
      <c r="N26478" s="11"/>
      <c r="O26478" s="11"/>
      <c r="P26478" s="11"/>
    </row>
    <row r="26479" spans="8:16" x14ac:dyDescent="0.25">
      <c r="H26479" s="12"/>
      <c r="I26479" s="12"/>
      <c r="J26479" s="12"/>
      <c r="K26479" s="12"/>
      <c r="L26479" s="12"/>
      <c r="M26479" s="11"/>
      <c r="N26479" s="11"/>
      <c r="O26479" s="11"/>
      <c r="P26479" s="11"/>
    </row>
    <row r="26480" spans="8:16" x14ac:dyDescent="0.25">
      <c r="H26480" s="12"/>
      <c r="I26480" s="12"/>
      <c r="J26480" s="12"/>
      <c r="K26480" s="12"/>
      <c r="L26480" s="12"/>
      <c r="M26480" s="11"/>
      <c r="N26480" s="11"/>
      <c r="O26480" s="11"/>
      <c r="P26480" s="11"/>
    </row>
    <row r="26481" spans="8:16" x14ac:dyDescent="0.25">
      <c r="H26481" s="12"/>
      <c r="I26481" s="12"/>
      <c r="J26481" s="12"/>
      <c r="K26481" s="12"/>
      <c r="L26481" s="12"/>
      <c r="M26481" s="11"/>
      <c r="N26481" s="11"/>
      <c r="O26481" s="11"/>
      <c r="P26481" s="11"/>
    </row>
    <row r="26482" spans="8:16" x14ac:dyDescent="0.25">
      <c r="H26482" s="12"/>
      <c r="I26482" s="12"/>
      <c r="J26482" s="12"/>
      <c r="K26482" s="12"/>
      <c r="L26482" s="12"/>
      <c r="M26482" s="11"/>
      <c r="N26482" s="11"/>
      <c r="O26482" s="11"/>
      <c r="P26482" s="11"/>
    </row>
    <row r="26483" spans="8:16" x14ac:dyDescent="0.25">
      <c r="H26483" s="12"/>
      <c r="I26483" s="12"/>
      <c r="J26483" s="12"/>
      <c r="K26483" s="12"/>
      <c r="L26483" s="12"/>
      <c r="M26483" s="11"/>
      <c r="N26483" s="11"/>
      <c r="O26483" s="11"/>
      <c r="P26483" s="11"/>
    </row>
    <row r="26484" spans="8:16" x14ac:dyDescent="0.25">
      <c r="H26484" s="12"/>
      <c r="I26484" s="12"/>
      <c r="J26484" s="12"/>
      <c r="K26484" s="12"/>
      <c r="L26484" s="12"/>
      <c r="M26484" s="11"/>
      <c r="N26484" s="11"/>
      <c r="O26484" s="11"/>
      <c r="P26484" s="11"/>
    </row>
    <row r="26485" spans="8:16" x14ac:dyDescent="0.25">
      <c r="H26485" s="12"/>
      <c r="I26485" s="12"/>
      <c r="J26485" s="12"/>
      <c r="K26485" s="12"/>
      <c r="L26485" s="12"/>
      <c r="M26485" s="11"/>
      <c r="N26485" s="11"/>
      <c r="O26485" s="11"/>
      <c r="P26485" s="11"/>
    </row>
    <row r="26486" spans="8:16" x14ac:dyDescent="0.25">
      <c r="H26486" s="12"/>
      <c r="I26486" s="12"/>
      <c r="J26486" s="12"/>
      <c r="K26486" s="12"/>
      <c r="L26486" s="12"/>
      <c r="M26486" s="11"/>
      <c r="N26486" s="11"/>
      <c r="O26486" s="11"/>
      <c r="P26486" s="11"/>
    </row>
    <row r="26487" spans="8:16" x14ac:dyDescent="0.25">
      <c r="H26487" s="12"/>
      <c r="I26487" s="12"/>
      <c r="J26487" s="12"/>
      <c r="K26487" s="12"/>
      <c r="L26487" s="12"/>
      <c r="M26487" s="11"/>
      <c r="N26487" s="11"/>
      <c r="O26487" s="11"/>
      <c r="P26487" s="11"/>
    </row>
    <row r="26488" spans="8:16" x14ac:dyDescent="0.25">
      <c r="H26488" s="12"/>
      <c r="I26488" s="12"/>
      <c r="J26488" s="12"/>
      <c r="K26488" s="12"/>
      <c r="L26488" s="12"/>
      <c r="M26488" s="11"/>
      <c r="N26488" s="11"/>
      <c r="O26488" s="11"/>
      <c r="P26488" s="11"/>
    </row>
    <row r="26489" spans="8:16" x14ac:dyDescent="0.25">
      <c r="H26489" s="12"/>
      <c r="I26489" s="12"/>
      <c r="J26489" s="12"/>
      <c r="K26489" s="12"/>
      <c r="L26489" s="12"/>
      <c r="M26489" s="11"/>
      <c r="N26489" s="11"/>
      <c r="O26489" s="11"/>
      <c r="P26489" s="11"/>
    </row>
    <row r="26490" spans="8:16" x14ac:dyDescent="0.25">
      <c r="H26490" s="12"/>
      <c r="I26490" s="12"/>
      <c r="J26490" s="12"/>
      <c r="K26490" s="12"/>
      <c r="L26490" s="12"/>
      <c r="M26490" s="11"/>
      <c r="N26490" s="11"/>
      <c r="O26490" s="11"/>
      <c r="P26490" s="11"/>
    </row>
    <row r="26491" spans="8:16" x14ac:dyDescent="0.25">
      <c r="H26491" s="12"/>
      <c r="I26491" s="12"/>
      <c r="J26491" s="12"/>
      <c r="K26491" s="12"/>
      <c r="L26491" s="12"/>
      <c r="M26491" s="11"/>
      <c r="N26491" s="11"/>
      <c r="O26491" s="11"/>
      <c r="P26491" s="11"/>
    </row>
    <row r="26492" spans="8:16" x14ac:dyDescent="0.25">
      <c r="H26492" s="12"/>
      <c r="I26492" s="12"/>
      <c r="J26492" s="12"/>
      <c r="K26492" s="12"/>
      <c r="L26492" s="12"/>
      <c r="M26492" s="11"/>
      <c r="N26492" s="11"/>
      <c r="O26492" s="11"/>
      <c r="P26492" s="11"/>
    </row>
    <row r="26493" spans="8:16" x14ac:dyDescent="0.25">
      <c r="H26493" s="12"/>
      <c r="I26493" s="12"/>
      <c r="J26493" s="12"/>
      <c r="K26493" s="12"/>
      <c r="L26493" s="12"/>
      <c r="M26493" s="11"/>
      <c r="N26493" s="11"/>
      <c r="O26493" s="11"/>
      <c r="P26493" s="11"/>
    </row>
    <row r="26494" spans="8:16" x14ac:dyDescent="0.25">
      <c r="H26494" s="12"/>
      <c r="I26494" s="12"/>
      <c r="J26494" s="12"/>
      <c r="K26494" s="12"/>
      <c r="L26494" s="12"/>
      <c r="M26494" s="11"/>
      <c r="N26494" s="11"/>
      <c r="O26494" s="11"/>
      <c r="P26494" s="11"/>
    </row>
    <row r="26495" spans="8:16" x14ac:dyDescent="0.25">
      <c r="H26495" s="12"/>
      <c r="I26495" s="12"/>
      <c r="J26495" s="12"/>
      <c r="K26495" s="12"/>
      <c r="L26495" s="12"/>
      <c r="M26495" s="11"/>
      <c r="N26495" s="11"/>
      <c r="O26495" s="11"/>
      <c r="P26495" s="11"/>
    </row>
    <row r="26496" spans="8:16" x14ac:dyDescent="0.25">
      <c r="H26496" s="12"/>
      <c r="I26496" s="12"/>
      <c r="J26496" s="12"/>
      <c r="K26496" s="12"/>
      <c r="L26496" s="12"/>
      <c r="M26496" s="11"/>
      <c r="N26496" s="11"/>
      <c r="O26496" s="11"/>
      <c r="P26496" s="11"/>
    </row>
    <row r="26497" spans="8:16" x14ac:dyDescent="0.25">
      <c r="H26497" s="12"/>
      <c r="I26497" s="12"/>
      <c r="J26497" s="12"/>
      <c r="K26497" s="12"/>
      <c r="L26497" s="12"/>
      <c r="M26497" s="11"/>
      <c r="N26497" s="11"/>
      <c r="O26497" s="11"/>
      <c r="P26497" s="11"/>
    </row>
    <row r="26498" spans="8:16" x14ac:dyDescent="0.25">
      <c r="H26498" s="12"/>
      <c r="I26498" s="12"/>
      <c r="J26498" s="12"/>
      <c r="K26498" s="12"/>
      <c r="L26498" s="12"/>
      <c r="M26498" s="11"/>
      <c r="N26498" s="11"/>
      <c r="O26498" s="11"/>
      <c r="P26498" s="11"/>
    </row>
    <row r="26499" spans="8:16" x14ac:dyDescent="0.25">
      <c r="H26499" s="12"/>
      <c r="I26499" s="12"/>
      <c r="J26499" s="12"/>
      <c r="K26499" s="12"/>
      <c r="L26499" s="12"/>
      <c r="M26499" s="11"/>
      <c r="N26499" s="11"/>
      <c r="O26499" s="11"/>
      <c r="P26499" s="11"/>
    </row>
    <row r="26500" spans="8:16" x14ac:dyDescent="0.25">
      <c r="H26500" s="12"/>
      <c r="I26500" s="12"/>
      <c r="J26500" s="12"/>
      <c r="K26500" s="12"/>
      <c r="L26500" s="12"/>
      <c r="M26500" s="11"/>
      <c r="N26500" s="11"/>
      <c r="O26500" s="11"/>
      <c r="P26500" s="11"/>
    </row>
    <row r="26501" spans="8:16" x14ac:dyDescent="0.25">
      <c r="H26501" s="12"/>
      <c r="I26501" s="12"/>
      <c r="J26501" s="12"/>
      <c r="K26501" s="12"/>
      <c r="L26501" s="12"/>
      <c r="M26501" s="11"/>
      <c r="N26501" s="11"/>
      <c r="O26501" s="11"/>
      <c r="P26501" s="11"/>
    </row>
    <row r="26502" spans="8:16" x14ac:dyDescent="0.25">
      <c r="H26502" s="12"/>
      <c r="I26502" s="12"/>
      <c r="J26502" s="12"/>
      <c r="K26502" s="12"/>
      <c r="L26502" s="12"/>
      <c r="M26502" s="11"/>
      <c r="N26502" s="11"/>
      <c r="O26502" s="11"/>
      <c r="P26502" s="11"/>
    </row>
    <row r="26503" spans="8:16" x14ac:dyDescent="0.25">
      <c r="H26503" s="12"/>
      <c r="I26503" s="12"/>
      <c r="J26503" s="12"/>
      <c r="K26503" s="12"/>
      <c r="L26503" s="12"/>
      <c r="M26503" s="11"/>
      <c r="N26503" s="11"/>
      <c r="O26503" s="11"/>
      <c r="P26503" s="11"/>
    </row>
    <row r="26504" spans="8:16" x14ac:dyDescent="0.25">
      <c r="H26504" s="12"/>
      <c r="I26504" s="12"/>
      <c r="J26504" s="12"/>
      <c r="K26504" s="12"/>
      <c r="L26504" s="12"/>
      <c r="M26504" s="11"/>
      <c r="N26504" s="11"/>
      <c r="O26504" s="11"/>
      <c r="P26504" s="11"/>
    </row>
    <row r="26505" spans="8:16" x14ac:dyDescent="0.25">
      <c r="H26505" s="12"/>
      <c r="I26505" s="12"/>
      <c r="J26505" s="12"/>
      <c r="K26505" s="12"/>
      <c r="L26505" s="12"/>
      <c r="M26505" s="11"/>
      <c r="N26505" s="11"/>
      <c r="O26505" s="11"/>
      <c r="P26505" s="11"/>
    </row>
    <row r="26506" spans="8:16" x14ac:dyDescent="0.25">
      <c r="H26506" s="12"/>
      <c r="I26506" s="12"/>
      <c r="J26506" s="12"/>
      <c r="K26506" s="12"/>
      <c r="L26506" s="12"/>
      <c r="M26506" s="11"/>
      <c r="N26506" s="11"/>
      <c r="O26506" s="11"/>
      <c r="P26506" s="11"/>
    </row>
    <row r="26507" spans="8:16" x14ac:dyDescent="0.25">
      <c r="H26507" s="12"/>
      <c r="I26507" s="12"/>
      <c r="J26507" s="12"/>
      <c r="K26507" s="12"/>
      <c r="L26507" s="12"/>
      <c r="M26507" s="11"/>
      <c r="N26507" s="11"/>
      <c r="O26507" s="11"/>
      <c r="P26507" s="11"/>
    </row>
    <row r="26508" spans="8:16" x14ac:dyDescent="0.25">
      <c r="H26508" s="12"/>
      <c r="I26508" s="12"/>
      <c r="J26508" s="12"/>
      <c r="K26508" s="12"/>
      <c r="L26508" s="12"/>
      <c r="M26508" s="11"/>
      <c r="N26508" s="11"/>
      <c r="O26508" s="11"/>
      <c r="P26508" s="11"/>
    </row>
    <row r="26509" spans="8:16" x14ac:dyDescent="0.25">
      <c r="H26509" s="12"/>
      <c r="I26509" s="12"/>
      <c r="J26509" s="12"/>
      <c r="K26509" s="12"/>
      <c r="L26509" s="12"/>
      <c r="M26509" s="11"/>
      <c r="N26509" s="11"/>
      <c r="O26509" s="11"/>
      <c r="P26509" s="11"/>
    </row>
    <row r="26510" spans="8:16" x14ac:dyDescent="0.25">
      <c r="H26510" s="12"/>
      <c r="I26510" s="12"/>
      <c r="J26510" s="12"/>
      <c r="K26510" s="12"/>
      <c r="L26510" s="12"/>
      <c r="M26510" s="11"/>
      <c r="N26510" s="11"/>
      <c r="O26510" s="11"/>
      <c r="P26510" s="11"/>
    </row>
    <row r="26511" spans="8:16" x14ac:dyDescent="0.25">
      <c r="H26511" s="12"/>
      <c r="I26511" s="12"/>
      <c r="J26511" s="12"/>
      <c r="K26511" s="12"/>
      <c r="L26511" s="12"/>
      <c r="M26511" s="11"/>
      <c r="N26511" s="11"/>
      <c r="O26511" s="11"/>
      <c r="P26511" s="11"/>
    </row>
    <row r="26512" spans="8:16" x14ac:dyDescent="0.25">
      <c r="H26512" s="12"/>
      <c r="I26512" s="12"/>
      <c r="J26512" s="12"/>
      <c r="K26512" s="12"/>
      <c r="L26512" s="12"/>
      <c r="M26512" s="11"/>
      <c r="N26512" s="11"/>
      <c r="O26512" s="11"/>
      <c r="P26512" s="11"/>
    </row>
    <row r="26513" spans="8:16" x14ac:dyDescent="0.25">
      <c r="H26513" s="12"/>
      <c r="I26513" s="12"/>
      <c r="J26513" s="12"/>
      <c r="K26513" s="12"/>
      <c r="L26513" s="12"/>
      <c r="M26513" s="11"/>
      <c r="N26513" s="11"/>
      <c r="O26513" s="11"/>
      <c r="P26513" s="11"/>
    </row>
    <row r="26514" spans="8:16" x14ac:dyDescent="0.25">
      <c r="H26514" s="12"/>
      <c r="I26514" s="12"/>
      <c r="J26514" s="12"/>
      <c r="K26514" s="12"/>
      <c r="L26514" s="12"/>
      <c r="M26514" s="11"/>
      <c r="N26514" s="11"/>
      <c r="O26514" s="11"/>
      <c r="P26514" s="11"/>
    </row>
    <row r="26515" spans="8:16" x14ac:dyDescent="0.25">
      <c r="H26515" s="12"/>
      <c r="I26515" s="12"/>
      <c r="J26515" s="12"/>
      <c r="K26515" s="12"/>
      <c r="L26515" s="12"/>
      <c r="M26515" s="11"/>
      <c r="N26515" s="11"/>
      <c r="O26515" s="11"/>
      <c r="P26515" s="11"/>
    </row>
    <row r="26516" spans="8:16" x14ac:dyDescent="0.25">
      <c r="H26516" s="12"/>
      <c r="I26516" s="12"/>
      <c r="J26516" s="12"/>
      <c r="K26516" s="12"/>
      <c r="L26516" s="12"/>
      <c r="M26516" s="11"/>
      <c r="N26516" s="11"/>
      <c r="O26516" s="11"/>
      <c r="P26516" s="11"/>
    </row>
    <row r="26517" spans="8:16" x14ac:dyDescent="0.25">
      <c r="H26517" s="12"/>
      <c r="I26517" s="12"/>
      <c r="J26517" s="12"/>
      <c r="K26517" s="12"/>
      <c r="L26517" s="12"/>
      <c r="M26517" s="11"/>
      <c r="N26517" s="11"/>
      <c r="O26517" s="11"/>
      <c r="P26517" s="11"/>
    </row>
    <row r="26518" spans="8:16" x14ac:dyDescent="0.25">
      <c r="H26518" s="12"/>
      <c r="I26518" s="12"/>
      <c r="J26518" s="12"/>
      <c r="K26518" s="12"/>
      <c r="L26518" s="12"/>
      <c r="M26518" s="11"/>
      <c r="N26518" s="11"/>
      <c r="O26518" s="11"/>
      <c r="P26518" s="11"/>
    </row>
    <row r="26519" spans="8:16" x14ac:dyDescent="0.25">
      <c r="H26519" s="12"/>
      <c r="I26519" s="12"/>
      <c r="J26519" s="12"/>
      <c r="K26519" s="12"/>
      <c r="L26519" s="12"/>
      <c r="M26519" s="11"/>
      <c r="N26519" s="11"/>
      <c r="O26519" s="11"/>
      <c r="P26519" s="11"/>
    </row>
    <row r="26520" spans="8:16" x14ac:dyDescent="0.25">
      <c r="H26520" s="12"/>
      <c r="I26520" s="12"/>
      <c r="J26520" s="12"/>
      <c r="K26520" s="12"/>
      <c r="L26520" s="12"/>
      <c r="M26520" s="11"/>
      <c r="N26520" s="11"/>
      <c r="O26520" s="11"/>
      <c r="P26520" s="11"/>
    </row>
    <row r="26521" spans="8:16" x14ac:dyDescent="0.25">
      <c r="H26521" s="12"/>
      <c r="I26521" s="12"/>
      <c r="J26521" s="12"/>
      <c r="K26521" s="12"/>
      <c r="L26521" s="12"/>
      <c r="M26521" s="11"/>
      <c r="N26521" s="11"/>
      <c r="O26521" s="11"/>
      <c r="P26521" s="11"/>
    </row>
    <row r="26522" spans="8:16" x14ac:dyDescent="0.25">
      <c r="H26522" s="12"/>
      <c r="I26522" s="12"/>
      <c r="J26522" s="12"/>
      <c r="K26522" s="12"/>
      <c r="L26522" s="12"/>
      <c r="M26522" s="11"/>
      <c r="N26522" s="11"/>
      <c r="O26522" s="11"/>
      <c r="P26522" s="11"/>
    </row>
    <row r="26523" spans="8:16" x14ac:dyDescent="0.25">
      <c r="H26523" s="12"/>
      <c r="I26523" s="12"/>
      <c r="J26523" s="12"/>
      <c r="K26523" s="12"/>
      <c r="L26523" s="12"/>
      <c r="M26523" s="11"/>
      <c r="N26523" s="11"/>
      <c r="O26523" s="11"/>
      <c r="P26523" s="11"/>
    </row>
    <row r="26524" spans="8:16" x14ac:dyDescent="0.25">
      <c r="H26524" s="12"/>
      <c r="I26524" s="12"/>
      <c r="J26524" s="12"/>
      <c r="K26524" s="12"/>
      <c r="L26524" s="12"/>
      <c r="M26524" s="11"/>
      <c r="N26524" s="11"/>
      <c r="O26524" s="11"/>
      <c r="P26524" s="11"/>
    </row>
    <row r="26525" spans="8:16" x14ac:dyDescent="0.25">
      <c r="H26525" s="12"/>
      <c r="I26525" s="12"/>
      <c r="J26525" s="12"/>
      <c r="K26525" s="12"/>
      <c r="L26525" s="12"/>
      <c r="M26525" s="11"/>
      <c r="N26525" s="11"/>
      <c r="O26525" s="11"/>
      <c r="P26525" s="11"/>
    </row>
    <row r="26526" spans="8:16" x14ac:dyDescent="0.25">
      <c r="H26526" s="12"/>
      <c r="I26526" s="12"/>
      <c r="J26526" s="12"/>
      <c r="K26526" s="12"/>
      <c r="L26526" s="12"/>
      <c r="M26526" s="11"/>
      <c r="N26526" s="11"/>
      <c r="O26526" s="11"/>
      <c r="P26526" s="11"/>
    </row>
    <row r="26527" spans="8:16" x14ac:dyDescent="0.25">
      <c r="H26527" s="12"/>
      <c r="I26527" s="12"/>
      <c r="J26527" s="12"/>
      <c r="K26527" s="12"/>
      <c r="L26527" s="12"/>
      <c r="M26527" s="11"/>
      <c r="N26527" s="11"/>
      <c r="O26527" s="11"/>
      <c r="P26527" s="11"/>
    </row>
    <row r="26528" spans="8:16" x14ac:dyDescent="0.25">
      <c r="H26528" s="12"/>
      <c r="I26528" s="12"/>
      <c r="J26528" s="12"/>
      <c r="K26528" s="12"/>
      <c r="L26528" s="12"/>
      <c r="M26528" s="11"/>
      <c r="N26528" s="11"/>
      <c r="O26528" s="11"/>
      <c r="P26528" s="11"/>
    </row>
    <row r="26529" spans="8:16" x14ac:dyDescent="0.25">
      <c r="H26529" s="12"/>
      <c r="I26529" s="12"/>
      <c r="J26529" s="12"/>
      <c r="K26529" s="12"/>
      <c r="L26529" s="12"/>
      <c r="M26529" s="11"/>
      <c r="N26529" s="11"/>
      <c r="O26529" s="11"/>
      <c r="P26529" s="11"/>
    </row>
    <row r="26530" spans="8:16" x14ac:dyDescent="0.25">
      <c r="H26530" s="12"/>
      <c r="I26530" s="12"/>
      <c r="J26530" s="12"/>
      <c r="K26530" s="12"/>
      <c r="L26530" s="12"/>
      <c r="M26530" s="11"/>
      <c r="N26530" s="11"/>
      <c r="O26530" s="11"/>
      <c r="P26530" s="11"/>
    </row>
    <row r="26531" spans="8:16" x14ac:dyDescent="0.25">
      <c r="H26531" s="12"/>
      <c r="I26531" s="12"/>
      <c r="J26531" s="12"/>
      <c r="K26531" s="12"/>
      <c r="L26531" s="12"/>
      <c r="M26531" s="11"/>
      <c r="N26531" s="11"/>
      <c r="O26531" s="11"/>
      <c r="P26531" s="11"/>
    </row>
    <row r="26532" spans="8:16" x14ac:dyDescent="0.25">
      <c r="H26532" s="12"/>
      <c r="I26532" s="12"/>
      <c r="J26532" s="12"/>
      <c r="K26532" s="12"/>
      <c r="L26532" s="12"/>
      <c r="M26532" s="11"/>
      <c r="N26532" s="11"/>
      <c r="O26532" s="11"/>
      <c r="P26532" s="11"/>
    </row>
    <row r="26533" spans="8:16" x14ac:dyDescent="0.25">
      <c r="H26533" s="12"/>
      <c r="I26533" s="12"/>
      <c r="J26533" s="12"/>
      <c r="K26533" s="12"/>
      <c r="L26533" s="12"/>
      <c r="M26533" s="11"/>
      <c r="N26533" s="11"/>
      <c r="O26533" s="11"/>
      <c r="P26533" s="11"/>
    </row>
    <row r="26534" spans="8:16" x14ac:dyDescent="0.25">
      <c r="H26534" s="12"/>
      <c r="I26534" s="12"/>
      <c r="J26534" s="12"/>
      <c r="K26534" s="12"/>
      <c r="L26534" s="12"/>
      <c r="M26534" s="11"/>
      <c r="N26534" s="11"/>
      <c r="O26534" s="11"/>
      <c r="P26534" s="11"/>
    </row>
    <row r="26535" spans="8:16" x14ac:dyDescent="0.25">
      <c r="H26535" s="12"/>
      <c r="I26535" s="12"/>
      <c r="J26535" s="12"/>
      <c r="K26535" s="12"/>
      <c r="L26535" s="12"/>
      <c r="M26535" s="11"/>
      <c r="N26535" s="11"/>
      <c r="O26535" s="11"/>
      <c r="P26535" s="11"/>
    </row>
    <row r="26536" spans="8:16" x14ac:dyDescent="0.25">
      <c r="H26536" s="12"/>
      <c r="I26536" s="12"/>
      <c r="J26536" s="12"/>
      <c r="K26536" s="12"/>
      <c r="L26536" s="12"/>
      <c r="M26536" s="11"/>
      <c r="N26536" s="11"/>
      <c r="O26536" s="11"/>
      <c r="P26536" s="11"/>
    </row>
    <row r="26537" spans="8:16" x14ac:dyDescent="0.25">
      <c r="H26537" s="12"/>
      <c r="I26537" s="12"/>
      <c r="J26537" s="12"/>
      <c r="K26537" s="12"/>
      <c r="L26537" s="12"/>
      <c r="M26537" s="11"/>
      <c r="N26537" s="11"/>
      <c r="O26537" s="11"/>
      <c r="P26537" s="11"/>
    </row>
    <row r="26538" spans="8:16" x14ac:dyDescent="0.25">
      <c r="H26538" s="12"/>
      <c r="I26538" s="12"/>
      <c r="J26538" s="12"/>
      <c r="K26538" s="12"/>
      <c r="L26538" s="12"/>
      <c r="M26538" s="11"/>
      <c r="N26538" s="11"/>
      <c r="O26538" s="11"/>
      <c r="P26538" s="11"/>
    </row>
    <row r="26539" spans="8:16" x14ac:dyDescent="0.25">
      <c r="H26539" s="12"/>
      <c r="I26539" s="12"/>
      <c r="J26539" s="12"/>
      <c r="K26539" s="12"/>
      <c r="L26539" s="12"/>
      <c r="M26539" s="11"/>
      <c r="N26539" s="11"/>
      <c r="O26539" s="11"/>
      <c r="P26539" s="11"/>
    </row>
    <row r="26540" spans="8:16" x14ac:dyDescent="0.25">
      <c r="H26540" s="12"/>
      <c r="I26540" s="12"/>
      <c r="J26540" s="12"/>
      <c r="K26540" s="12"/>
      <c r="L26540" s="12"/>
      <c r="M26540" s="11"/>
      <c r="N26540" s="11"/>
      <c r="O26540" s="11"/>
      <c r="P26540" s="11"/>
    </row>
    <row r="26541" spans="8:16" x14ac:dyDescent="0.25">
      <c r="H26541" s="12"/>
      <c r="I26541" s="12"/>
      <c r="J26541" s="12"/>
      <c r="K26541" s="12"/>
      <c r="L26541" s="12"/>
      <c r="M26541" s="11"/>
      <c r="N26541" s="11"/>
      <c r="O26541" s="11"/>
      <c r="P26541" s="11"/>
    </row>
    <row r="26542" spans="8:16" x14ac:dyDescent="0.25">
      <c r="H26542" s="12"/>
      <c r="I26542" s="12"/>
      <c r="J26542" s="12"/>
      <c r="K26542" s="12"/>
      <c r="L26542" s="12"/>
      <c r="M26542" s="11"/>
      <c r="N26542" s="11"/>
      <c r="O26542" s="11"/>
      <c r="P26542" s="11"/>
    </row>
    <row r="26543" spans="8:16" x14ac:dyDescent="0.25">
      <c r="H26543" s="12"/>
      <c r="I26543" s="12"/>
      <c r="J26543" s="12"/>
      <c r="K26543" s="12"/>
      <c r="L26543" s="12"/>
      <c r="M26543" s="11"/>
      <c r="N26543" s="11"/>
      <c r="O26543" s="11"/>
      <c r="P26543" s="11"/>
    </row>
    <row r="26544" spans="8:16" x14ac:dyDescent="0.25">
      <c r="H26544" s="12"/>
      <c r="I26544" s="12"/>
      <c r="J26544" s="12"/>
      <c r="K26544" s="12"/>
      <c r="L26544" s="12"/>
      <c r="M26544" s="11"/>
      <c r="N26544" s="11"/>
      <c r="O26544" s="11"/>
      <c r="P26544" s="11"/>
    </row>
    <row r="26545" spans="8:16" x14ac:dyDescent="0.25">
      <c r="H26545" s="12"/>
      <c r="I26545" s="12"/>
      <c r="J26545" s="12"/>
      <c r="K26545" s="12"/>
      <c r="L26545" s="12"/>
      <c r="M26545" s="11"/>
      <c r="N26545" s="11"/>
      <c r="O26545" s="11"/>
      <c r="P26545" s="11"/>
    </row>
    <row r="26546" spans="8:16" x14ac:dyDescent="0.25">
      <c r="H26546" s="12"/>
      <c r="I26546" s="12"/>
      <c r="J26546" s="12"/>
      <c r="K26546" s="12"/>
      <c r="L26546" s="12"/>
      <c r="M26546" s="11"/>
      <c r="N26546" s="11"/>
      <c r="O26546" s="11"/>
      <c r="P26546" s="11"/>
    </row>
    <row r="26547" spans="8:16" x14ac:dyDescent="0.25">
      <c r="H26547" s="12"/>
      <c r="I26547" s="12"/>
      <c r="J26547" s="12"/>
      <c r="K26547" s="12"/>
      <c r="L26547" s="12"/>
      <c r="M26547" s="11"/>
      <c r="N26547" s="11"/>
      <c r="O26547" s="11"/>
      <c r="P26547" s="11"/>
    </row>
    <row r="26548" spans="8:16" x14ac:dyDescent="0.25">
      <c r="H26548" s="12"/>
      <c r="I26548" s="12"/>
      <c r="J26548" s="12"/>
      <c r="K26548" s="12"/>
      <c r="L26548" s="12"/>
      <c r="M26548" s="11"/>
      <c r="N26548" s="11"/>
      <c r="O26548" s="11"/>
      <c r="P26548" s="11"/>
    </row>
    <row r="26549" spans="8:16" x14ac:dyDescent="0.25">
      <c r="H26549" s="12"/>
      <c r="I26549" s="12"/>
      <c r="J26549" s="12"/>
      <c r="K26549" s="12"/>
      <c r="L26549" s="12"/>
      <c r="M26549" s="11"/>
      <c r="N26549" s="11"/>
      <c r="O26549" s="11"/>
      <c r="P26549" s="11"/>
    </row>
    <row r="26550" spans="8:16" x14ac:dyDescent="0.25">
      <c r="H26550" s="12"/>
      <c r="I26550" s="12"/>
      <c r="J26550" s="12"/>
      <c r="K26550" s="12"/>
      <c r="L26550" s="12"/>
      <c r="M26550" s="11"/>
      <c r="N26550" s="11"/>
      <c r="O26550" s="11"/>
      <c r="P26550" s="11"/>
    </row>
    <row r="26551" spans="8:16" x14ac:dyDescent="0.25">
      <c r="H26551" s="12"/>
      <c r="I26551" s="12"/>
      <c r="J26551" s="12"/>
      <c r="K26551" s="12"/>
      <c r="L26551" s="12"/>
      <c r="M26551" s="11"/>
      <c r="N26551" s="11"/>
      <c r="O26551" s="11"/>
      <c r="P26551" s="11"/>
    </row>
    <row r="26552" spans="8:16" x14ac:dyDescent="0.25">
      <c r="H26552" s="12"/>
      <c r="I26552" s="12"/>
      <c r="J26552" s="12"/>
      <c r="K26552" s="12"/>
      <c r="L26552" s="12"/>
      <c r="M26552" s="11"/>
      <c r="N26552" s="11"/>
      <c r="O26552" s="11"/>
      <c r="P26552" s="11"/>
    </row>
    <row r="26553" spans="8:16" x14ac:dyDescent="0.25">
      <c r="H26553" s="12"/>
      <c r="I26553" s="12"/>
      <c r="J26553" s="12"/>
      <c r="K26553" s="12"/>
      <c r="L26553" s="12"/>
      <c r="M26553" s="11"/>
      <c r="N26553" s="11"/>
      <c r="O26553" s="11"/>
      <c r="P26553" s="11"/>
    </row>
    <row r="26554" spans="8:16" x14ac:dyDescent="0.25">
      <c r="H26554" s="12"/>
      <c r="I26554" s="12"/>
      <c r="J26554" s="12"/>
      <c r="K26554" s="12"/>
      <c r="L26554" s="12"/>
      <c r="M26554" s="11"/>
      <c r="N26554" s="11"/>
      <c r="O26554" s="11"/>
      <c r="P26554" s="11"/>
    </row>
    <row r="26555" spans="8:16" x14ac:dyDescent="0.25">
      <c r="H26555" s="12"/>
      <c r="I26555" s="12"/>
      <c r="J26555" s="12"/>
      <c r="K26555" s="12"/>
      <c r="L26555" s="12"/>
      <c r="M26555" s="11"/>
      <c r="N26555" s="11"/>
      <c r="O26555" s="11"/>
      <c r="P26555" s="11"/>
    </row>
    <row r="26556" spans="8:16" x14ac:dyDescent="0.25">
      <c r="H26556" s="12"/>
      <c r="I26556" s="12"/>
      <c r="J26556" s="12"/>
      <c r="K26556" s="12"/>
      <c r="L26556" s="12"/>
      <c r="M26556" s="11"/>
      <c r="N26556" s="11"/>
      <c r="O26556" s="11"/>
      <c r="P26556" s="11"/>
    </row>
    <row r="26557" spans="8:16" x14ac:dyDescent="0.25">
      <c r="H26557" s="12"/>
      <c r="I26557" s="12"/>
      <c r="J26557" s="12"/>
      <c r="K26557" s="12"/>
      <c r="L26557" s="12"/>
      <c r="M26557" s="11"/>
      <c r="N26557" s="11"/>
      <c r="O26557" s="11"/>
      <c r="P26557" s="11"/>
    </row>
    <row r="26558" spans="8:16" x14ac:dyDescent="0.25">
      <c r="H26558" s="12"/>
      <c r="I26558" s="12"/>
      <c r="J26558" s="12"/>
      <c r="K26558" s="12"/>
      <c r="L26558" s="12"/>
      <c r="M26558" s="11"/>
      <c r="N26558" s="11"/>
      <c r="O26558" s="11"/>
      <c r="P26558" s="11"/>
    </row>
    <row r="26559" spans="8:16" x14ac:dyDescent="0.25">
      <c r="H26559" s="12"/>
      <c r="I26559" s="12"/>
      <c r="J26559" s="12"/>
      <c r="K26559" s="12"/>
      <c r="L26559" s="12"/>
      <c r="M26559" s="11"/>
      <c r="N26559" s="11"/>
      <c r="O26559" s="11"/>
      <c r="P26559" s="11"/>
    </row>
    <row r="26560" spans="8:16" x14ac:dyDescent="0.25">
      <c r="H26560" s="12"/>
      <c r="I26560" s="12"/>
      <c r="J26560" s="12"/>
      <c r="K26560" s="12"/>
      <c r="L26560" s="12"/>
      <c r="M26560" s="11"/>
      <c r="N26560" s="11"/>
      <c r="O26560" s="11"/>
      <c r="P26560" s="11"/>
    </row>
    <row r="26561" spans="8:16" x14ac:dyDescent="0.25">
      <c r="H26561" s="12"/>
      <c r="I26561" s="12"/>
      <c r="J26561" s="12"/>
      <c r="K26561" s="12"/>
      <c r="L26561" s="12"/>
      <c r="M26561" s="11"/>
      <c r="N26561" s="11"/>
      <c r="O26561" s="11"/>
      <c r="P26561" s="11"/>
    </row>
    <row r="26562" spans="8:16" x14ac:dyDescent="0.25">
      <c r="H26562" s="12"/>
      <c r="I26562" s="12"/>
      <c r="J26562" s="12"/>
      <c r="K26562" s="12"/>
      <c r="L26562" s="12"/>
      <c r="M26562" s="11"/>
      <c r="N26562" s="11"/>
      <c r="O26562" s="11"/>
      <c r="P26562" s="11"/>
    </row>
    <row r="26563" spans="8:16" x14ac:dyDescent="0.25">
      <c r="H26563" s="12"/>
      <c r="I26563" s="12"/>
      <c r="J26563" s="12"/>
      <c r="K26563" s="12"/>
      <c r="L26563" s="12"/>
      <c r="M26563" s="11"/>
      <c r="N26563" s="11"/>
      <c r="O26563" s="11"/>
      <c r="P26563" s="11"/>
    </row>
    <row r="26564" spans="8:16" x14ac:dyDescent="0.25">
      <c r="H26564" s="12"/>
      <c r="I26564" s="12"/>
      <c r="J26564" s="12"/>
      <c r="K26564" s="12"/>
      <c r="L26564" s="12"/>
      <c r="M26564" s="11"/>
      <c r="N26564" s="11"/>
      <c r="O26564" s="11"/>
      <c r="P26564" s="11"/>
    </row>
    <row r="26565" spans="8:16" x14ac:dyDescent="0.25">
      <c r="H26565" s="12"/>
      <c r="I26565" s="12"/>
      <c r="J26565" s="12"/>
      <c r="K26565" s="12"/>
      <c r="L26565" s="12"/>
      <c r="M26565" s="11"/>
      <c r="N26565" s="11"/>
      <c r="O26565" s="11"/>
      <c r="P26565" s="11"/>
    </row>
    <row r="26566" spans="8:16" x14ac:dyDescent="0.25">
      <c r="H26566" s="12"/>
      <c r="I26566" s="12"/>
      <c r="J26566" s="12"/>
      <c r="K26566" s="12"/>
      <c r="L26566" s="12"/>
      <c r="M26566" s="11"/>
      <c r="N26566" s="11"/>
      <c r="O26566" s="11"/>
      <c r="P26566" s="11"/>
    </row>
    <row r="26567" spans="8:16" x14ac:dyDescent="0.25">
      <c r="H26567" s="12"/>
      <c r="I26567" s="12"/>
      <c r="J26567" s="12"/>
      <c r="K26567" s="12"/>
      <c r="L26567" s="12"/>
      <c r="M26567" s="11"/>
      <c r="N26567" s="11"/>
      <c r="O26567" s="11"/>
      <c r="P26567" s="11"/>
    </row>
    <row r="26568" spans="8:16" x14ac:dyDescent="0.25">
      <c r="H26568" s="12"/>
      <c r="I26568" s="12"/>
      <c r="J26568" s="12"/>
      <c r="K26568" s="12"/>
      <c r="L26568" s="12"/>
      <c r="M26568" s="11"/>
      <c r="N26568" s="11"/>
      <c r="O26568" s="11"/>
      <c r="P26568" s="11"/>
    </row>
    <row r="26569" spans="8:16" x14ac:dyDescent="0.25">
      <c r="H26569" s="12"/>
      <c r="I26569" s="12"/>
      <c r="J26569" s="12"/>
      <c r="K26569" s="12"/>
      <c r="L26569" s="12"/>
      <c r="M26569" s="11"/>
      <c r="N26569" s="11"/>
      <c r="O26569" s="11"/>
      <c r="P26569" s="11"/>
    </row>
    <row r="26570" spans="8:16" x14ac:dyDescent="0.25">
      <c r="H26570" s="12"/>
      <c r="I26570" s="12"/>
      <c r="J26570" s="12"/>
      <c r="K26570" s="12"/>
      <c r="L26570" s="12"/>
      <c r="M26570" s="11"/>
      <c r="N26570" s="11"/>
      <c r="O26570" s="11"/>
      <c r="P26570" s="11"/>
    </row>
    <row r="26571" spans="8:16" x14ac:dyDescent="0.25">
      <c r="H26571" s="12"/>
      <c r="I26571" s="12"/>
      <c r="J26571" s="12"/>
      <c r="K26571" s="12"/>
      <c r="L26571" s="12"/>
      <c r="M26571" s="11"/>
      <c r="N26571" s="11"/>
      <c r="O26571" s="11"/>
      <c r="P26571" s="11"/>
    </row>
    <row r="26572" spans="8:16" x14ac:dyDescent="0.25">
      <c r="H26572" s="12"/>
      <c r="I26572" s="12"/>
      <c r="J26572" s="12"/>
      <c r="K26572" s="12"/>
      <c r="L26572" s="12"/>
      <c r="M26572" s="11"/>
      <c r="N26572" s="11"/>
      <c r="O26572" s="11"/>
      <c r="P26572" s="11"/>
    </row>
    <row r="26573" spans="8:16" x14ac:dyDescent="0.25">
      <c r="H26573" s="12"/>
      <c r="I26573" s="12"/>
      <c r="J26573" s="12"/>
      <c r="K26573" s="12"/>
      <c r="L26573" s="12"/>
      <c r="M26573" s="11"/>
      <c r="N26573" s="11"/>
      <c r="O26573" s="11"/>
      <c r="P26573" s="11"/>
    </row>
    <row r="26574" spans="8:16" x14ac:dyDescent="0.25">
      <c r="H26574" s="12"/>
      <c r="I26574" s="12"/>
      <c r="J26574" s="12"/>
      <c r="K26574" s="12"/>
      <c r="L26574" s="12"/>
      <c r="M26574" s="11"/>
      <c r="N26574" s="11"/>
      <c r="O26574" s="11"/>
      <c r="P26574" s="11"/>
    </row>
    <row r="26575" spans="8:16" x14ac:dyDescent="0.25">
      <c r="H26575" s="12"/>
      <c r="I26575" s="12"/>
      <c r="J26575" s="12"/>
      <c r="K26575" s="12"/>
      <c r="L26575" s="12"/>
      <c r="M26575" s="11"/>
      <c r="N26575" s="11"/>
      <c r="O26575" s="11"/>
      <c r="P26575" s="11"/>
    </row>
    <row r="26576" spans="8:16" x14ac:dyDescent="0.25">
      <c r="H26576" s="12"/>
      <c r="I26576" s="12"/>
      <c r="J26576" s="12"/>
      <c r="K26576" s="12"/>
      <c r="L26576" s="12"/>
      <c r="M26576" s="11"/>
      <c r="N26576" s="11"/>
      <c r="O26576" s="11"/>
      <c r="P26576" s="11"/>
    </row>
    <row r="26577" spans="8:16" x14ac:dyDescent="0.25">
      <c r="H26577" s="12"/>
      <c r="I26577" s="12"/>
      <c r="J26577" s="12"/>
      <c r="K26577" s="12"/>
      <c r="L26577" s="12"/>
      <c r="M26577" s="11"/>
      <c r="N26577" s="11"/>
      <c r="O26577" s="11"/>
      <c r="P26577" s="11"/>
    </row>
    <row r="26578" spans="8:16" x14ac:dyDescent="0.25">
      <c r="H26578" s="12"/>
      <c r="I26578" s="12"/>
      <c r="J26578" s="12"/>
      <c r="K26578" s="12"/>
      <c r="L26578" s="12"/>
      <c r="M26578" s="11"/>
      <c r="N26578" s="11"/>
      <c r="O26578" s="11"/>
      <c r="P26578" s="11"/>
    </row>
    <row r="26579" spans="8:16" x14ac:dyDescent="0.25">
      <c r="H26579" s="12"/>
      <c r="I26579" s="12"/>
      <c r="J26579" s="12"/>
      <c r="K26579" s="12"/>
      <c r="L26579" s="12"/>
      <c r="M26579" s="11"/>
      <c r="N26579" s="11"/>
      <c r="O26579" s="11"/>
      <c r="P26579" s="11"/>
    </row>
    <row r="26580" spans="8:16" x14ac:dyDescent="0.25">
      <c r="H26580" s="12"/>
      <c r="I26580" s="12"/>
      <c r="J26580" s="12"/>
      <c r="K26580" s="12"/>
      <c r="L26580" s="12"/>
      <c r="M26580" s="11"/>
      <c r="N26580" s="11"/>
      <c r="O26580" s="11"/>
      <c r="P26580" s="11"/>
    </row>
    <row r="26581" spans="8:16" x14ac:dyDescent="0.25">
      <c r="H26581" s="12"/>
      <c r="I26581" s="12"/>
      <c r="J26581" s="12"/>
      <c r="K26581" s="12"/>
      <c r="L26581" s="12"/>
      <c r="M26581" s="11"/>
      <c r="N26581" s="11"/>
      <c r="O26581" s="11"/>
      <c r="P26581" s="11"/>
    </row>
    <row r="26582" spans="8:16" x14ac:dyDescent="0.25">
      <c r="H26582" s="12"/>
      <c r="I26582" s="12"/>
      <c r="J26582" s="12"/>
      <c r="K26582" s="12"/>
      <c r="L26582" s="12"/>
      <c r="M26582" s="11"/>
      <c r="N26582" s="11"/>
      <c r="O26582" s="11"/>
      <c r="P26582" s="11"/>
    </row>
    <row r="26583" spans="8:16" x14ac:dyDescent="0.25">
      <c r="H26583" s="12"/>
      <c r="I26583" s="12"/>
      <c r="J26583" s="12"/>
      <c r="K26583" s="12"/>
      <c r="L26583" s="12"/>
      <c r="M26583" s="11"/>
      <c r="N26583" s="11"/>
      <c r="O26583" s="11"/>
      <c r="P26583" s="11"/>
    </row>
    <row r="26584" spans="8:16" x14ac:dyDescent="0.25">
      <c r="H26584" s="12"/>
      <c r="I26584" s="12"/>
      <c r="J26584" s="12"/>
      <c r="K26584" s="12"/>
      <c r="L26584" s="12"/>
      <c r="M26584" s="11"/>
      <c r="N26584" s="11"/>
      <c r="O26584" s="11"/>
      <c r="P26584" s="11"/>
    </row>
    <row r="26585" spans="8:16" x14ac:dyDescent="0.25">
      <c r="H26585" s="12"/>
      <c r="I26585" s="12"/>
      <c r="J26585" s="12"/>
      <c r="K26585" s="12"/>
      <c r="L26585" s="12"/>
      <c r="M26585" s="11"/>
      <c r="N26585" s="11"/>
      <c r="O26585" s="11"/>
      <c r="P26585" s="11"/>
    </row>
    <row r="26586" spans="8:16" x14ac:dyDescent="0.25">
      <c r="H26586" s="12"/>
      <c r="I26586" s="12"/>
      <c r="J26586" s="12"/>
      <c r="K26586" s="12"/>
      <c r="L26586" s="12"/>
      <c r="M26586" s="11"/>
      <c r="N26586" s="11"/>
      <c r="O26586" s="11"/>
      <c r="P26586" s="11"/>
    </row>
    <row r="26587" spans="8:16" x14ac:dyDescent="0.25">
      <c r="H26587" s="12"/>
      <c r="I26587" s="12"/>
      <c r="J26587" s="12"/>
      <c r="K26587" s="12"/>
      <c r="L26587" s="12"/>
      <c r="M26587" s="11"/>
      <c r="N26587" s="11"/>
      <c r="O26587" s="11"/>
      <c r="P26587" s="11"/>
    </row>
    <row r="26588" spans="8:16" x14ac:dyDescent="0.25">
      <c r="H26588" s="12"/>
      <c r="I26588" s="12"/>
      <c r="J26588" s="12"/>
      <c r="K26588" s="12"/>
      <c r="L26588" s="12"/>
      <c r="M26588" s="11"/>
      <c r="N26588" s="11"/>
      <c r="O26588" s="11"/>
      <c r="P26588" s="11"/>
    </row>
    <row r="26589" spans="8:16" x14ac:dyDescent="0.25">
      <c r="H26589" s="12"/>
      <c r="I26589" s="12"/>
      <c r="J26589" s="12"/>
      <c r="K26589" s="12"/>
      <c r="L26589" s="12"/>
      <c r="M26589" s="11"/>
      <c r="N26589" s="11"/>
      <c r="O26589" s="11"/>
      <c r="P26589" s="11"/>
    </row>
    <row r="26590" spans="8:16" x14ac:dyDescent="0.25">
      <c r="H26590" s="12"/>
      <c r="I26590" s="12"/>
      <c r="J26590" s="12"/>
      <c r="K26590" s="12"/>
      <c r="L26590" s="12"/>
      <c r="M26590" s="11"/>
      <c r="N26590" s="11"/>
      <c r="O26590" s="11"/>
      <c r="P26590" s="11"/>
    </row>
    <row r="26591" spans="8:16" x14ac:dyDescent="0.25">
      <c r="H26591" s="12"/>
      <c r="I26591" s="12"/>
      <c r="J26591" s="12"/>
      <c r="K26591" s="12"/>
      <c r="L26591" s="12"/>
      <c r="M26591" s="11"/>
      <c r="N26591" s="11"/>
      <c r="O26591" s="11"/>
      <c r="P26591" s="11"/>
    </row>
    <row r="26592" spans="8:16" x14ac:dyDescent="0.25">
      <c r="H26592" s="12"/>
      <c r="I26592" s="12"/>
      <c r="J26592" s="12"/>
      <c r="K26592" s="12"/>
      <c r="L26592" s="12"/>
      <c r="M26592" s="11"/>
      <c r="N26592" s="11"/>
      <c r="O26592" s="11"/>
      <c r="P26592" s="11"/>
    </row>
    <row r="26593" spans="8:16" x14ac:dyDescent="0.25">
      <c r="H26593" s="12"/>
      <c r="I26593" s="12"/>
      <c r="J26593" s="12"/>
      <c r="K26593" s="12"/>
      <c r="L26593" s="12"/>
      <c r="M26593" s="11"/>
      <c r="N26593" s="11"/>
      <c r="O26593" s="11"/>
      <c r="P26593" s="11"/>
    </row>
    <row r="26594" spans="8:16" x14ac:dyDescent="0.25">
      <c r="H26594" s="12"/>
      <c r="I26594" s="12"/>
      <c r="J26594" s="12"/>
      <c r="K26594" s="12"/>
      <c r="L26594" s="12"/>
      <c r="M26594" s="11"/>
      <c r="N26594" s="11"/>
      <c r="O26594" s="11"/>
      <c r="P26594" s="11"/>
    </row>
    <row r="26595" spans="8:16" x14ac:dyDescent="0.25">
      <c r="H26595" s="12"/>
      <c r="I26595" s="12"/>
      <c r="J26595" s="12"/>
      <c r="K26595" s="12"/>
      <c r="L26595" s="12"/>
      <c r="M26595" s="11"/>
      <c r="N26595" s="11"/>
      <c r="O26595" s="11"/>
      <c r="P26595" s="11"/>
    </row>
    <row r="26596" spans="8:16" x14ac:dyDescent="0.25">
      <c r="H26596" s="12"/>
      <c r="I26596" s="12"/>
      <c r="J26596" s="12"/>
      <c r="K26596" s="12"/>
      <c r="L26596" s="12"/>
      <c r="M26596" s="11"/>
      <c r="N26596" s="11"/>
      <c r="O26596" s="11"/>
      <c r="P26596" s="11"/>
    </row>
    <row r="26597" spans="8:16" x14ac:dyDescent="0.25">
      <c r="H26597" s="12"/>
      <c r="I26597" s="12"/>
      <c r="J26597" s="12"/>
      <c r="K26597" s="12"/>
      <c r="L26597" s="12"/>
      <c r="M26597" s="11"/>
      <c r="N26597" s="11"/>
      <c r="O26597" s="11"/>
      <c r="P26597" s="11"/>
    </row>
    <row r="26598" spans="8:16" x14ac:dyDescent="0.25">
      <c r="H26598" s="12"/>
      <c r="I26598" s="12"/>
      <c r="J26598" s="12"/>
      <c r="K26598" s="12"/>
      <c r="L26598" s="12"/>
      <c r="M26598" s="11"/>
      <c r="N26598" s="11"/>
      <c r="O26598" s="11"/>
      <c r="P26598" s="11"/>
    </row>
    <row r="26599" spans="8:16" x14ac:dyDescent="0.25">
      <c r="H26599" s="12"/>
      <c r="I26599" s="12"/>
      <c r="J26599" s="12"/>
      <c r="K26599" s="12"/>
      <c r="L26599" s="12"/>
      <c r="M26599" s="11"/>
      <c r="N26599" s="11"/>
      <c r="O26599" s="11"/>
      <c r="P26599" s="11"/>
    </row>
    <row r="26600" spans="8:16" x14ac:dyDescent="0.25">
      <c r="H26600" s="12"/>
      <c r="I26600" s="12"/>
      <c r="J26600" s="12"/>
      <c r="K26600" s="12"/>
      <c r="L26600" s="12"/>
      <c r="M26600" s="11"/>
      <c r="N26600" s="11"/>
      <c r="O26600" s="11"/>
      <c r="P26600" s="11"/>
    </row>
    <row r="26601" spans="8:16" x14ac:dyDescent="0.25">
      <c r="H26601" s="12"/>
      <c r="I26601" s="12"/>
      <c r="J26601" s="12"/>
      <c r="K26601" s="12"/>
      <c r="L26601" s="12"/>
      <c r="M26601" s="11"/>
      <c r="N26601" s="11"/>
      <c r="O26601" s="11"/>
      <c r="P26601" s="11"/>
    </row>
    <row r="26602" spans="8:16" x14ac:dyDescent="0.25">
      <c r="H26602" s="12"/>
      <c r="I26602" s="12"/>
      <c r="J26602" s="12"/>
      <c r="K26602" s="12"/>
      <c r="L26602" s="12"/>
      <c r="M26602" s="11"/>
      <c r="N26602" s="11"/>
      <c r="O26602" s="11"/>
      <c r="P26602" s="11"/>
    </row>
    <row r="26603" spans="8:16" x14ac:dyDescent="0.25">
      <c r="H26603" s="12"/>
      <c r="I26603" s="12"/>
      <c r="J26603" s="12"/>
      <c r="K26603" s="12"/>
      <c r="L26603" s="12"/>
      <c r="M26603" s="11"/>
      <c r="N26603" s="11"/>
      <c r="O26603" s="11"/>
      <c r="P26603" s="11"/>
    </row>
    <row r="26604" spans="8:16" x14ac:dyDescent="0.25">
      <c r="H26604" s="12"/>
      <c r="I26604" s="12"/>
      <c r="J26604" s="12"/>
      <c r="K26604" s="12"/>
      <c r="L26604" s="12"/>
      <c r="M26604" s="11"/>
      <c r="N26604" s="11"/>
      <c r="O26604" s="11"/>
      <c r="P26604" s="11"/>
    </row>
    <row r="26605" spans="8:16" x14ac:dyDescent="0.25">
      <c r="H26605" s="12"/>
      <c r="I26605" s="12"/>
      <c r="J26605" s="12"/>
      <c r="K26605" s="12"/>
      <c r="L26605" s="12"/>
      <c r="M26605" s="11"/>
      <c r="N26605" s="11"/>
      <c r="O26605" s="11"/>
      <c r="P26605" s="11"/>
    </row>
    <row r="26606" spans="8:16" x14ac:dyDescent="0.25">
      <c r="H26606" s="12"/>
      <c r="I26606" s="12"/>
      <c r="J26606" s="12"/>
      <c r="K26606" s="12"/>
      <c r="L26606" s="12"/>
      <c r="M26606" s="11"/>
      <c r="N26606" s="11"/>
      <c r="O26606" s="11"/>
      <c r="P26606" s="11"/>
    </row>
    <row r="26607" spans="8:16" x14ac:dyDescent="0.25">
      <c r="H26607" s="12"/>
      <c r="I26607" s="12"/>
      <c r="J26607" s="12"/>
      <c r="K26607" s="12"/>
      <c r="L26607" s="12"/>
      <c r="M26607" s="11"/>
      <c r="N26607" s="11"/>
      <c r="O26607" s="11"/>
      <c r="P26607" s="11"/>
    </row>
    <row r="26608" spans="8:16" x14ac:dyDescent="0.25">
      <c r="H26608" s="12"/>
      <c r="I26608" s="12"/>
      <c r="J26608" s="12"/>
      <c r="K26608" s="12"/>
      <c r="L26608" s="12"/>
      <c r="M26608" s="11"/>
      <c r="N26608" s="11"/>
      <c r="O26608" s="11"/>
      <c r="P26608" s="11"/>
    </row>
    <row r="26609" spans="8:16" x14ac:dyDescent="0.25">
      <c r="H26609" s="12"/>
      <c r="I26609" s="12"/>
      <c r="J26609" s="12"/>
      <c r="K26609" s="12"/>
      <c r="L26609" s="12"/>
      <c r="M26609" s="11"/>
      <c r="N26609" s="11"/>
      <c r="O26609" s="11"/>
      <c r="P26609" s="11"/>
    </row>
    <row r="26610" spans="8:16" x14ac:dyDescent="0.25">
      <c r="H26610" s="12"/>
      <c r="I26610" s="12"/>
      <c r="J26610" s="12"/>
      <c r="K26610" s="12"/>
      <c r="L26610" s="12"/>
      <c r="M26610" s="11"/>
      <c r="N26610" s="11"/>
      <c r="O26610" s="11"/>
      <c r="P26610" s="11"/>
    </row>
    <row r="26611" spans="8:16" x14ac:dyDescent="0.25">
      <c r="H26611" s="12"/>
      <c r="I26611" s="12"/>
      <c r="J26611" s="12"/>
      <c r="K26611" s="12"/>
      <c r="L26611" s="12"/>
      <c r="M26611" s="11"/>
      <c r="N26611" s="11"/>
      <c r="O26611" s="11"/>
      <c r="P26611" s="11"/>
    </row>
    <row r="26612" spans="8:16" x14ac:dyDescent="0.25">
      <c r="H26612" s="12"/>
      <c r="I26612" s="12"/>
      <c r="J26612" s="12"/>
      <c r="K26612" s="12"/>
      <c r="L26612" s="12"/>
      <c r="M26612" s="11"/>
      <c r="N26612" s="11"/>
      <c r="O26612" s="11"/>
      <c r="P26612" s="11"/>
    </row>
    <row r="26613" spans="8:16" x14ac:dyDescent="0.25">
      <c r="H26613" s="12"/>
      <c r="I26613" s="12"/>
      <c r="J26613" s="12"/>
      <c r="K26613" s="12"/>
      <c r="L26613" s="12"/>
      <c r="M26613" s="11"/>
      <c r="N26613" s="11"/>
      <c r="O26613" s="11"/>
      <c r="P26613" s="11"/>
    </row>
    <row r="26614" spans="8:16" x14ac:dyDescent="0.25">
      <c r="H26614" s="12"/>
      <c r="I26614" s="12"/>
      <c r="J26614" s="12"/>
      <c r="K26614" s="12"/>
      <c r="L26614" s="12"/>
      <c r="M26614" s="11"/>
      <c r="N26614" s="11"/>
      <c r="O26614" s="11"/>
      <c r="P26614" s="11"/>
    </row>
    <row r="26615" spans="8:16" x14ac:dyDescent="0.25">
      <c r="H26615" s="12"/>
      <c r="I26615" s="12"/>
      <c r="J26615" s="12"/>
      <c r="K26615" s="12"/>
      <c r="L26615" s="12"/>
      <c r="M26615" s="11"/>
      <c r="N26615" s="11"/>
      <c r="O26615" s="11"/>
      <c r="P26615" s="11"/>
    </row>
    <row r="26616" spans="8:16" x14ac:dyDescent="0.25">
      <c r="H26616" s="12"/>
      <c r="I26616" s="12"/>
      <c r="J26616" s="12"/>
      <c r="K26616" s="12"/>
      <c r="L26616" s="12"/>
      <c r="M26616" s="11"/>
      <c r="N26616" s="11"/>
      <c r="O26616" s="11"/>
      <c r="P26616" s="11"/>
    </row>
    <row r="26617" spans="8:16" x14ac:dyDescent="0.25">
      <c r="H26617" s="12"/>
      <c r="I26617" s="12"/>
      <c r="J26617" s="12"/>
      <c r="K26617" s="12"/>
      <c r="L26617" s="12"/>
      <c r="M26617" s="11"/>
      <c r="N26617" s="11"/>
      <c r="O26617" s="11"/>
      <c r="P26617" s="11"/>
    </row>
    <row r="26618" spans="8:16" x14ac:dyDescent="0.25">
      <c r="H26618" s="12"/>
      <c r="I26618" s="12"/>
      <c r="J26618" s="12"/>
      <c r="K26618" s="12"/>
      <c r="L26618" s="12"/>
      <c r="M26618" s="11"/>
      <c r="N26618" s="11"/>
      <c r="O26618" s="11"/>
      <c r="P26618" s="11"/>
    </row>
    <row r="26619" spans="8:16" x14ac:dyDescent="0.25">
      <c r="H26619" s="12"/>
      <c r="I26619" s="12"/>
      <c r="J26619" s="12"/>
      <c r="K26619" s="12"/>
      <c r="L26619" s="12"/>
      <c r="M26619" s="11"/>
      <c r="N26619" s="11"/>
      <c r="O26619" s="11"/>
      <c r="P26619" s="11"/>
    </row>
    <row r="26620" spans="8:16" x14ac:dyDescent="0.25">
      <c r="H26620" s="12"/>
      <c r="I26620" s="12"/>
      <c r="J26620" s="12"/>
      <c r="K26620" s="12"/>
      <c r="L26620" s="12"/>
      <c r="M26620" s="11"/>
      <c r="N26620" s="11"/>
      <c r="O26620" s="11"/>
      <c r="P26620" s="11"/>
    </row>
    <row r="26621" spans="8:16" x14ac:dyDescent="0.25">
      <c r="H26621" s="12"/>
      <c r="I26621" s="12"/>
      <c r="J26621" s="12"/>
      <c r="K26621" s="12"/>
      <c r="L26621" s="12"/>
      <c r="M26621" s="11"/>
      <c r="N26621" s="11"/>
      <c r="O26621" s="11"/>
      <c r="P26621" s="11"/>
    </row>
    <row r="26622" spans="8:16" x14ac:dyDescent="0.25">
      <c r="H26622" s="12"/>
      <c r="I26622" s="12"/>
      <c r="J26622" s="12"/>
      <c r="K26622" s="12"/>
      <c r="L26622" s="12"/>
      <c r="M26622" s="11"/>
      <c r="N26622" s="11"/>
      <c r="O26622" s="11"/>
      <c r="P26622" s="11"/>
    </row>
    <row r="26623" spans="8:16" x14ac:dyDescent="0.25">
      <c r="H26623" s="12"/>
      <c r="I26623" s="12"/>
      <c r="J26623" s="12"/>
      <c r="K26623" s="12"/>
      <c r="L26623" s="12"/>
      <c r="M26623" s="11"/>
      <c r="N26623" s="11"/>
      <c r="O26623" s="11"/>
      <c r="P26623" s="11"/>
    </row>
    <row r="26624" spans="8:16" x14ac:dyDescent="0.25">
      <c r="H26624" s="12"/>
      <c r="I26624" s="12"/>
      <c r="J26624" s="12"/>
      <c r="K26624" s="12"/>
      <c r="L26624" s="12"/>
      <c r="M26624" s="11"/>
      <c r="N26624" s="11"/>
      <c r="O26624" s="11"/>
      <c r="P26624" s="11"/>
    </row>
    <row r="26625" spans="8:16" x14ac:dyDescent="0.25">
      <c r="H26625" s="12"/>
      <c r="I26625" s="12"/>
      <c r="J26625" s="12"/>
      <c r="K26625" s="12"/>
      <c r="L26625" s="12"/>
      <c r="M26625" s="11"/>
      <c r="N26625" s="11"/>
      <c r="O26625" s="11"/>
      <c r="P26625" s="11"/>
    </row>
    <row r="26626" spans="8:16" x14ac:dyDescent="0.25">
      <c r="H26626" s="12"/>
      <c r="I26626" s="12"/>
      <c r="J26626" s="12"/>
      <c r="K26626" s="12"/>
      <c r="L26626" s="12"/>
      <c r="M26626" s="11"/>
      <c r="N26626" s="11"/>
      <c r="O26626" s="11"/>
      <c r="P26626" s="11"/>
    </row>
    <row r="26627" spans="8:16" x14ac:dyDescent="0.25">
      <c r="H26627" s="12"/>
      <c r="I26627" s="12"/>
      <c r="J26627" s="12"/>
      <c r="K26627" s="12"/>
      <c r="L26627" s="12"/>
      <c r="M26627" s="11"/>
      <c r="N26627" s="11"/>
      <c r="O26627" s="11"/>
      <c r="P26627" s="11"/>
    </row>
    <row r="26628" spans="8:16" x14ac:dyDescent="0.25">
      <c r="H26628" s="12"/>
      <c r="I26628" s="12"/>
      <c r="J26628" s="12"/>
      <c r="K26628" s="12"/>
      <c r="L26628" s="12"/>
      <c r="M26628" s="11"/>
      <c r="N26628" s="11"/>
      <c r="O26628" s="11"/>
      <c r="P26628" s="11"/>
    </row>
    <row r="26629" spans="8:16" x14ac:dyDescent="0.25">
      <c r="H26629" s="12"/>
      <c r="I26629" s="12"/>
      <c r="J26629" s="12"/>
      <c r="K26629" s="12"/>
      <c r="L26629" s="12"/>
      <c r="M26629" s="11"/>
      <c r="N26629" s="11"/>
      <c r="O26629" s="11"/>
      <c r="P26629" s="11"/>
    </row>
    <row r="26630" spans="8:16" x14ac:dyDescent="0.25">
      <c r="H26630" s="12"/>
      <c r="I26630" s="12"/>
      <c r="J26630" s="12"/>
      <c r="K26630" s="12"/>
      <c r="L26630" s="12"/>
      <c r="M26630" s="11"/>
      <c r="N26630" s="11"/>
      <c r="O26630" s="11"/>
      <c r="P26630" s="11"/>
    </row>
    <row r="26631" spans="8:16" x14ac:dyDescent="0.25">
      <c r="H26631" s="12"/>
      <c r="I26631" s="12"/>
      <c r="J26631" s="12"/>
      <c r="K26631" s="12"/>
      <c r="L26631" s="12"/>
      <c r="M26631" s="11"/>
      <c r="N26631" s="11"/>
      <c r="O26631" s="11"/>
      <c r="P26631" s="11"/>
    </row>
    <row r="26632" spans="8:16" x14ac:dyDescent="0.25">
      <c r="H26632" s="12"/>
      <c r="I26632" s="12"/>
      <c r="J26632" s="12"/>
      <c r="K26632" s="12"/>
      <c r="L26632" s="12"/>
      <c r="M26632" s="11"/>
      <c r="N26632" s="11"/>
      <c r="O26632" s="11"/>
      <c r="P26632" s="11"/>
    </row>
    <row r="26633" spans="8:16" x14ac:dyDescent="0.25">
      <c r="H26633" s="12"/>
      <c r="I26633" s="12"/>
      <c r="J26633" s="12"/>
      <c r="K26633" s="12"/>
      <c r="L26633" s="12"/>
      <c r="M26633" s="11"/>
      <c r="N26633" s="11"/>
      <c r="O26633" s="11"/>
      <c r="P26633" s="11"/>
    </row>
    <row r="26634" spans="8:16" x14ac:dyDescent="0.25">
      <c r="H26634" s="12"/>
      <c r="I26634" s="12"/>
      <c r="J26634" s="12"/>
      <c r="K26634" s="12"/>
      <c r="L26634" s="12"/>
      <c r="M26634" s="11"/>
      <c r="N26634" s="11"/>
      <c r="O26634" s="11"/>
      <c r="P26634" s="11"/>
    </row>
    <row r="26635" spans="8:16" x14ac:dyDescent="0.25">
      <c r="H26635" s="12"/>
      <c r="I26635" s="12"/>
      <c r="J26635" s="12"/>
      <c r="K26635" s="12"/>
      <c r="L26635" s="12"/>
      <c r="M26635" s="11"/>
      <c r="N26635" s="11"/>
      <c r="O26635" s="11"/>
      <c r="P26635" s="11"/>
    </row>
    <row r="26636" spans="8:16" x14ac:dyDescent="0.25">
      <c r="H26636" s="12"/>
      <c r="I26636" s="12"/>
      <c r="J26636" s="12"/>
      <c r="K26636" s="12"/>
      <c r="L26636" s="12"/>
      <c r="M26636" s="11"/>
      <c r="N26636" s="11"/>
      <c r="O26636" s="11"/>
      <c r="P26636" s="11"/>
    </row>
    <row r="26637" spans="8:16" x14ac:dyDescent="0.25">
      <c r="H26637" s="12"/>
      <c r="I26637" s="12"/>
      <c r="J26637" s="12"/>
      <c r="K26637" s="12"/>
      <c r="L26637" s="12"/>
      <c r="M26637" s="11"/>
      <c r="N26637" s="11"/>
      <c r="O26637" s="11"/>
      <c r="P26637" s="11"/>
    </row>
    <row r="26638" spans="8:16" x14ac:dyDescent="0.25">
      <c r="H26638" s="12"/>
      <c r="I26638" s="12"/>
      <c r="J26638" s="12"/>
      <c r="K26638" s="12"/>
      <c r="L26638" s="12"/>
      <c r="M26638" s="11"/>
      <c r="N26638" s="11"/>
      <c r="O26638" s="11"/>
      <c r="P26638" s="11"/>
    </row>
    <row r="26639" spans="8:16" x14ac:dyDescent="0.25">
      <c r="H26639" s="12"/>
      <c r="I26639" s="12"/>
      <c r="J26639" s="12"/>
      <c r="K26639" s="12"/>
      <c r="L26639" s="12"/>
      <c r="M26639" s="11"/>
      <c r="N26639" s="11"/>
      <c r="O26639" s="11"/>
      <c r="P26639" s="11"/>
    </row>
    <row r="26640" spans="8:16" x14ac:dyDescent="0.25">
      <c r="H26640" s="12"/>
      <c r="I26640" s="12"/>
      <c r="J26640" s="12"/>
      <c r="K26640" s="12"/>
      <c r="L26640" s="12"/>
      <c r="M26640" s="11"/>
      <c r="N26640" s="11"/>
      <c r="O26640" s="11"/>
      <c r="P26640" s="11"/>
    </row>
    <row r="26641" spans="8:16" x14ac:dyDescent="0.25">
      <c r="H26641" s="12"/>
      <c r="I26641" s="12"/>
      <c r="J26641" s="12"/>
      <c r="K26641" s="12"/>
      <c r="L26641" s="12"/>
      <c r="M26641" s="11"/>
      <c r="N26641" s="11"/>
      <c r="O26641" s="11"/>
      <c r="P26641" s="11"/>
    </row>
    <row r="26642" spans="8:16" x14ac:dyDescent="0.25">
      <c r="H26642" s="12"/>
      <c r="I26642" s="12"/>
      <c r="J26642" s="12"/>
      <c r="K26642" s="12"/>
      <c r="L26642" s="12"/>
      <c r="M26642" s="11"/>
      <c r="N26642" s="11"/>
      <c r="O26642" s="11"/>
      <c r="P26642" s="11"/>
    </row>
    <row r="26643" spans="8:16" x14ac:dyDescent="0.25">
      <c r="H26643" s="12"/>
      <c r="I26643" s="12"/>
      <c r="J26643" s="12"/>
      <c r="K26643" s="12"/>
      <c r="L26643" s="12"/>
      <c r="M26643" s="11"/>
      <c r="N26643" s="11"/>
      <c r="O26643" s="11"/>
      <c r="P26643" s="11"/>
    </row>
    <row r="26644" spans="8:16" x14ac:dyDescent="0.25">
      <c r="H26644" s="12"/>
      <c r="I26644" s="12"/>
      <c r="J26644" s="12"/>
      <c r="K26644" s="12"/>
      <c r="L26644" s="12"/>
      <c r="M26644" s="11"/>
      <c r="N26644" s="11"/>
      <c r="O26644" s="11"/>
      <c r="P26644" s="11"/>
    </row>
    <row r="26645" spans="8:16" x14ac:dyDescent="0.25">
      <c r="H26645" s="12"/>
      <c r="I26645" s="12"/>
      <c r="J26645" s="12"/>
      <c r="K26645" s="12"/>
      <c r="L26645" s="12"/>
      <c r="M26645" s="11"/>
      <c r="N26645" s="11"/>
      <c r="O26645" s="11"/>
      <c r="P26645" s="11"/>
    </row>
    <row r="26646" spans="8:16" x14ac:dyDescent="0.25">
      <c r="H26646" s="12"/>
      <c r="I26646" s="12"/>
      <c r="J26646" s="12"/>
      <c r="K26646" s="12"/>
      <c r="L26646" s="12"/>
      <c r="M26646" s="11"/>
      <c r="N26646" s="11"/>
      <c r="O26646" s="11"/>
      <c r="P26646" s="11"/>
    </row>
    <row r="26647" spans="8:16" x14ac:dyDescent="0.25">
      <c r="H26647" s="12"/>
      <c r="I26647" s="12"/>
      <c r="J26647" s="12"/>
      <c r="K26647" s="12"/>
      <c r="L26647" s="12"/>
      <c r="M26647" s="11"/>
      <c r="N26647" s="11"/>
      <c r="O26647" s="11"/>
      <c r="P26647" s="11"/>
    </row>
    <row r="26648" spans="8:16" x14ac:dyDescent="0.25">
      <c r="H26648" s="12"/>
      <c r="I26648" s="12"/>
      <c r="J26648" s="12"/>
      <c r="K26648" s="12"/>
      <c r="L26648" s="12"/>
      <c r="M26648" s="11"/>
      <c r="N26648" s="11"/>
      <c r="O26648" s="11"/>
      <c r="P26648" s="11"/>
    </row>
    <row r="26649" spans="8:16" x14ac:dyDescent="0.25">
      <c r="H26649" s="12"/>
      <c r="I26649" s="12"/>
      <c r="J26649" s="12"/>
      <c r="K26649" s="12"/>
      <c r="L26649" s="12"/>
      <c r="M26649" s="11"/>
      <c r="N26649" s="11"/>
      <c r="O26649" s="11"/>
      <c r="P26649" s="11"/>
    </row>
    <row r="26650" spans="8:16" x14ac:dyDescent="0.25">
      <c r="H26650" s="12"/>
      <c r="I26650" s="12"/>
      <c r="J26650" s="12"/>
      <c r="K26650" s="12"/>
      <c r="L26650" s="12"/>
      <c r="M26650" s="11"/>
      <c r="N26650" s="11"/>
      <c r="O26650" s="11"/>
      <c r="P26650" s="11"/>
    </row>
    <row r="26651" spans="8:16" x14ac:dyDescent="0.25">
      <c r="H26651" s="12"/>
      <c r="I26651" s="12"/>
      <c r="J26651" s="12"/>
      <c r="K26651" s="12"/>
      <c r="L26651" s="12"/>
      <c r="M26651" s="11"/>
      <c r="N26651" s="11"/>
      <c r="O26651" s="11"/>
      <c r="P26651" s="11"/>
    </row>
    <row r="26652" spans="8:16" x14ac:dyDescent="0.25">
      <c r="H26652" s="12"/>
      <c r="I26652" s="12"/>
      <c r="J26652" s="12"/>
      <c r="K26652" s="12"/>
      <c r="L26652" s="12"/>
      <c r="M26652" s="11"/>
      <c r="N26652" s="11"/>
      <c r="O26652" s="11"/>
      <c r="P26652" s="11"/>
    </row>
    <row r="26653" spans="8:16" x14ac:dyDescent="0.25">
      <c r="H26653" s="12"/>
      <c r="I26653" s="12"/>
      <c r="J26653" s="12"/>
      <c r="K26653" s="12"/>
      <c r="L26653" s="12"/>
      <c r="M26653" s="11"/>
      <c r="N26653" s="11"/>
      <c r="O26653" s="11"/>
      <c r="P26653" s="11"/>
    </row>
    <row r="26654" spans="8:16" x14ac:dyDescent="0.25">
      <c r="H26654" s="12"/>
      <c r="I26654" s="12"/>
      <c r="J26654" s="12"/>
      <c r="K26654" s="12"/>
      <c r="L26654" s="12"/>
      <c r="M26654" s="11"/>
      <c r="N26654" s="11"/>
      <c r="O26654" s="11"/>
      <c r="P26654" s="11"/>
    </row>
    <row r="26655" spans="8:16" x14ac:dyDescent="0.25">
      <c r="H26655" s="12"/>
      <c r="I26655" s="12"/>
      <c r="J26655" s="12"/>
      <c r="K26655" s="12"/>
      <c r="L26655" s="12"/>
      <c r="M26655" s="11"/>
      <c r="N26655" s="11"/>
      <c r="O26655" s="11"/>
      <c r="P26655" s="11"/>
    </row>
    <row r="26656" spans="8:16" x14ac:dyDescent="0.25">
      <c r="H26656" s="12"/>
      <c r="I26656" s="12"/>
      <c r="J26656" s="12"/>
      <c r="K26656" s="12"/>
      <c r="L26656" s="12"/>
      <c r="M26656" s="11"/>
      <c r="N26656" s="11"/>
      <c r="O26656" s="11"/>
      <c r="P26656" s="11"/>
    </row>
    <row r="26657" spans="8:16" x14ac:dyDescent="0.25">
      <c r="H26657" s="12"/>
      <c r="I26657" s="12"/>
      <c r="J26657" s="12"/>
      <c r="K26657" s="12"/>
      <c r="L26657" s="12"/>
      <c r="M26657" s="11"/>
      <c r="N26657" s="11"/>
      <c r="O26657" s="11"/>
      <c r="P26657" s="11"/>
    </row>
    <row r="26658" spans="8:16" x14ac:dyDescent="0.25">
      <c r="H26658" s="12"/>
      <c r="I26658" s="12"/>
      <c r="J26658" s="12"/>
      <c r="K26658" s="12"/>
      <c r="L26658" s="12"/>
      <c r="M26658" s="11"/>
      <c r="N26658" s="11"/>
      <c r="O26658" s="11"/>
      <c r="P26658" s="11"/>
    </row>
    <row r="26659" spans="8:16" x14ac:dyDescent="0.25">
      <c r="H26659" s="12"/>
      <c r="I26659" s="12"/>
      <c r="J26659" s="12"/>
      <c r="K26659" s="12"/>
      <c r="L26659" s="12"/>
      <c r="M26659" s="11"/>
      <c r="N26659" s="11"/>
      <c r="O26659" s="11"/>
      <c r="P26659" s="11"/>
    </row>
    <row r="26660" spans="8:16" x14ac:dyDescent="0.25">
      <c r="H26660" s="12"/>
      <c r="I26660" s="12"/>
      <c r="J26660" s="12"/>
      <c r="K26660" s="12"/>
      <c r="L26660" s="12"/>
      <c r="M26660" s="11"/>
      <c r="N26660" s="11"/>
      <c r="O26660" s="11"/>
      <c r="P26660" s="11"/>
    </row>
    <row r="26661" spans="8:16" x14ac:dyDescent="0.25">
      <c r="H26661" s="12"/>
      <c r="I26661" s="12"/>
      <c r="J26661" s="12"/>
      <c r="K26661" s="12"/>
      <c r="L26661" s="12"/>
      <c r="M26661" s="11"/>
      <c r="N26661" s="11"/>
      <c r="O26661" s="11"/>
      <c r="P26661" s="11"/>
    </row>
    <row r="26662" spans="8:16" x14ac:dyDescent="0.25">
      <c r="H26662" s="12"/>
      <c r="I26662" s="12"/>
      <c r="J26662" s="12"/>
      <c r="K26662" s="12"/>
      <c r="L26662" s="12"/>
      <c r="M26662" s="11"/>
      <c r="N26662" s="11"/>
      <c r="O26662" s="11"/>
      <c r="P26662" s="11"/>
    </row>
    <row r="26663" spans="8:16" x14ac:dyDescent="0.25">
      <c r="H26663" s="12"/>
      <c r="I26663" s="12"/>
      <c r="J26663" s="12"/>
      <c r="K26663" s="12"/>
      <c r="L26663" s="12"/>
      <c r="M26663" s="11"/>
      <c r="N26663" s="11"/>
      <c r="O26663" s="11"/>
      <c r="P26663" s="11"/>
    </row>
    <row r="26664" spans="8:16" x14ac:dyDescent="0.25">
      <c r="H26664" s="12"/>
      <c r="I26664" s="12"/>
      <c r="J26664" s="12"/>
      <c r="K26664" s="12"/>
      <c r="L26664" s="12"/>
      <c r="M26664" s="11"/>
      <c r="N26664" s="11"/>
      <c r="O26664" s="11"/>
      <c r="P26664" s="11"/>
    </row>
    <row r="26665" spans="8:16" x14ac:dyDescent="0.25">
      <c r="H26665" s="12"/>
      <c r="I26665" s="12"/>
      <c r="J26665" s="12"/>
      <c r="K26665" s="12"/>
      <c r="L26665" s="12"/>
      <c r="M26665" s="11"/>
      <c r="N26665" s="11"/>
      <c r="O26665" s="11"/>
      <c r="P26665" s="11"/>
    </row>
    <row r="26666" spans="8:16" x14ac:dyDescent="0.25">
      <c r="H26666" s="12"/>
      <c r="I26666" s="12"/>
      <c r="J26666" s="12"/>
      <c r="K26666" s="12"/>
      <c r="L26666" s="12"/>
      <c r="M26666" s="11"/>
      <c r="N26666" s="11"/>
      <c r="O26666" s="11"/>
      <c r="P26666" s="11"/>
    </row>
    <row r="26667" spans="8:16" x14ac:dyDescent="0.25">
      <c r="H26667" s="12"/>
      <c r="I26667" s="12"/>
      <c r="J26667" s="12"/>
      <c r="K26667" s="12"/>
      <c r="L26667" s="12"/>
      <c r="M26667" s="11"/>
      <c r="N26667" s="11"/>
      <c r="O26667" s="11"/>
      <c r="P26667" s="11"/>
    </row>
    <row r="26668" spans="8:16" x14ac:dyDescent="0.25">
      <c r="H26668" s="12"/>
      <c r="I26668" s="12"/>
      <c r="J26668" s="12"/>
      <c r="K26668" s="12"/>
      <c r="L26668" s="12"/>
      <c r="M26668" s="11"/>
      <c r="N26668" s="11"/>
      <c r="O26668" s="11"/>
      <c r="P26668" s="11"/>
    </row>
    <row r="26669" spans="8:16" x14ac:dyDescent="0.25">
      <c r="H26669" s="12"/>
      <c r="I26669" s="12"/>
      <c r="J26669" s="12"/>
      <c r="K26669" s="12"/>
      <c r="L26669" s="12"/>
      <c r="M26669" s="11"/>
      <c r="N26669" s="11"/>
      <c r="O26669" s="11"/>
      <c r="P26669" s="11"/>
    </row>
    <row r="26670" spans="8:16" x14ac:dyDescent="0.25">
      <c r="H26670" s="12"/>
      <c r="I26670" s="12"/>
      <c r="J26670" s="12"/>
      <c r="K26670" s="12"/>
      <c r="L26670" s="12"/>
      <c r="M26670" s="11"/>
      <c r="N26670" s="11"/>
      <c r="O26670" s="11"/>
      <c r="P26670" s="11"/>
    </row>
    <row r="26671" spans="8:16" x14ac:dyDescent="0.25">
      <c r="H26671" s="12"/>
      <c r="I26671" s="12"/>
      <c r="J26671" s="12"/>
      <c r="K26671" s="12"/>
      <c r="L26671" s="12"/>
      <c r="M26671" s="11"/>
      <c r="N26671" s="11"/>
      <c r="O26671" s="11"/>
      <c r="P26671" s="11"/>
    </row>
    <row r="26672" spans="8:16" x14ac:dyDescent="0.25">
      <c r="H26672" s="12"/>
      <c r="I26672" s="12"/>
      <c r="J26672" s="12"/>
      <c r="K26672" s="12"/>
      <c r="L26672" s="12"/>
      <c r="M26672" s="11"/>
      <c r="N26672" s="11"/>
      <c r="O26672" s="11"/>
      <c r="P26672" s="11"/>
    </row>
    <row r="26673" spans="8:16" x14ac:dyDescent="0.25">
      <c r="H26673" s="12"/>
      <c r="I26673" s="12"/>
      <c r="J26673" s="12"/>
      <c r="K26673" s="12"/>
      <c r="L26673" s="12"/>
      <c r="M26673" s="11"/>
      <c r="N26673" s="11"/>
      <c r="O26673" s="11"/>
      <c r="P26673" s="11"/>
    </row>
    <row r="26674" spans="8:16" x14ac:dyDescent="0.25">
      <c r="H26674" s="12"/>
      <c r="I26674" s="12"/>
      <c r="J26674" s="12"/>
      <c r="K26674" s="12"/>
      <c r="L26674" s="12"/>
      <c r="M26674" s="11"/>
      <c r="N26674" s="11"/>
      <c r="O26674" s="11"/>
      <c r="P26674" s="11"/>
    </row>
    <row r="26675" spans="8:16" x14ac:dyDescent="0.25">
      <c r="H26675" s="12"/>
      <c r="I26675" s="12"/>
      <c r="J26675" s="12"/>
      <c r="K26675" s="12"/>
      <c r="L26675" s="12"/>
      <c r="M26675" s="11"/>
      <c r="N26675" s="11"/>
      <c r="O26675" s="11"/>
      <c r="P26675" s="11"/>
    </row>
    <row r="26676" spans="8:16" x14ac:dyDescent="0.25">
      <c r="H26676" s="12"/>
      <c r="I26676" s="12"/>
      <c r="J26676" s="12"/>
      <c r="K26676" s="12"/>
      <c r="L26676" s="12"/>
      <c r="M26676" s="11"/>
      <c r="N26676" s="11"/>
      <c r="O26676" s="11"/>
      <c r="P26676" s="11"/>
    </row>
    <row r="26677" spans="8:16" x14ac:dyDescent="0.25">
      <c r="H26677" s="12"/>
      <c r="I26677" s="12"/>
      <c r="J26677" s="12"/>
      <c r="K26677" s="12"/>
      <c r="L26677" s="12"/>
      <c r="M26677" s="11"/>
      <c r="N26677" s="11"/>
      <c r="O26677" s="11"/>
      <c r="P26677" s="11"/>
    </row>
    <row r="26678" spans="8:16" x14ac:dyDescent="0.25">
      <c r="H26678" s="12"/>
      <c r="I26678" s="12"/>
      <c r="J26678" s="12"/>
      <c r="K26678" s="12"/>
      <c r="L26678" s="12"/>
      <c r="M26678" s="11"/>
      <c r="N26678" s="11"/>
      <c r="O26678" s="11"/>
      <c r="P26678" s="11"/>
    </row>
    <row r="26679" spans="8:16" x14ac:dyDescent="0.25">
      <c r="H26679" s="12"/>
      <c r="I26679" s="12"/>
      <c r="J26679" s="12"/>
      <c r="K26679" s="12"/>
      <c r="L26679" s="12"/>
      <c r="M26679" s="11"/>
      <c r="N26679" s="11"/>
      <c r="O26679" s="11"/>
      <c r="P26679" s="11"/>
    </row>
    <row r="26680" spans="8:16" x14ac:dyDescent="0.25">
      <c r="H26680" s="12"/>
      <c r="I26680" s="12"/>
      <c r="J26680" s="12"/>
      <c r="K26680" s="12"/>
      <c r="L26680" s="12"/>
      <c r="M26680" s="11"/>
      <c r="N26680" s="11"/>
      <c r="O26680" s="11"/>
      <c r="P26680" s="11"/>
    </row>
    <row r="26681" spans="8:16" x14ac:dyDescent="0.25">
      <c r="H26681" s="12"/>
      <c r="I26681" s="12"/>
      <c r="J26681" s="12"/>
      <c r="K26681" s="12"/>
      <c r="L26681" s="12"/>
      <c r="M26681" s="11"/>
      <c r="N26681" s="11"/>
      <c r="O26681" s="11"/>
      <c r="P26681" s="11"/>
    </row>
    <row r="26682" spans="8:16" x14ac:dyDescent="0.25">
      <c r="H26682" s="12"/>
      <c r="I26682" s="12"/>
      <c r="J26682" s="12"/>
      <c r="K26682" s="12"/>
      <c r="L26682" s="12"/>
      <c r="M26682" s="11"/>
      <c r="N26682" s="11"/>
      <c r="O26682" s="11"/>
      <c r="P26682" s="11"/>
    </row>
    <row r="26683" spans="8:16" x14ac:dyDescent="0.25">
      <c r="H26683" s="12"/>
      <c r="I26683" s="12"/>
      <c r="J26683" s="12"/>
      <c r="K26683" s="12"/>
      <c r="L26683" s="12"/>
      <c r="M26683" s="11"/>
      <c r="N26683" s="11"/>
      <c r="O26683" s="11"/>
      <c r="P26683" s="11"/>
    </row>
    <row r="26684" spans="8:16" x14ac:dyDescent="0.25">
      <c r="H26684" s="12"/>
      <c r="I26684" s="12"/>
      <c r="J26684" s="12"/>
      <c r="K26684" s="12"/>
      <c r="L26684" s="12"/>
      <c r="M26684" s="11"/>
      <c r="N26684" s="11"/>
      <c r="O26684" s="11"/>
      <c r="P26684" s="11"/>
    </row>
    <row r="26685" spans="8:16" x14ac:dyDescent="0.25">
      <c r="H26685" s="12"/>
      <c r="I26685" s="12"/>
      <c r="J26685" s="12"/>
      <c r="K26685" s="12"/>
      <c r="L26685" s="12"/>
      <c r="M26685" s="11"/>
      <c r="N26685" s="11"/>
      <c r="O26685" s="11"/>
      <c r="P26685" s="11"/>
    </row>
    <row r="26686" spans="8:16" x14ac:dyDescent="0.25">
      <c r="H26686" s="12"/>
      <c r="I26686" s="12"/>
      <c r="J26686" s="12"/>
      <c r="K26686" s="12"/>
      <c r="L26686" s="12"/>
      <c r="M26686" s="11"/>
      <c r="N26686" s="11"/>
      <c r="O26686" s="11"/>
      <c r="P26686" s="11"/>
    </row>
    <row r="26687" spans="8:16" x14ac:dyDescent="0.25">
      <c r="H26687" s="12"/>
      <c r="I26687" s="12"/>
      <c r="J26687" s="12"/>
      <c r="K26687" s="12"/>
      <c r="L26687" s="12"/>
      <c r="M26687" s="11"/>
      <c r="N26687" s="11"/>
      <c r="O26687" s="11"/>
      <c r="P26687" s="11"/>
    </row>
    <row r="26688" spans="8:16" x14ac:dyDescent="0.25">
      <c r="H26688" s="12"/>
      <c r="I26688" s="12"/>
      <c r="J26688" s="12"/>
      <c r="K26688" s="12"/>
      <c r="L26688" s="12"/>
      <c r="M26688" s="11"/>
      <c r="N26688" s="11"/>
      <c r="O26688" s="11"/>
      <c r="P26688" s="11"/>
    </row>
    <row r="26689" spans="8:16" x14ac:dyDescent="0.25">
      <c r="H26689" s="12"/>
      <c r="I26689" s="12"/>
      <c r="J26689" s="12"/>
      <c r="K26689" s="12"/>
      <c r="L26689" s="12"/>
      <c r="M26689" s="11"/>
      <c r="N26689" s="11"/>
      <c r="O26689" s="11"/>
      <c r="P26689" s="11"/>
    </row>
    <row r="26690" spans="8:16" x14ac:dyDescent="0.25">
      <c r="H26690" s="12"/>
      <c r="I26690" s="12"/>
      <c r="J26690" s="12"/>
      <c r="K26690" s="12"/>
      <c r="L26690" s="12"/>
      <c r="M26690" s="11"/>
      <c r="N26690" s="11"/>
      <c r="O26690" s="11"/>
      <c r="P26690" s="11"/>
    </row>
    <row r="26691" spans="8:16" x14ac:dyDescent="0.25">
      <c r="H26691" s="12"/>
      <c r="I26691" s="12"/>
      <c r="J26691" s="12"/>
      <c r="K26691" s="12"/>
      <c r="L26691" s="12"/>
      <c r="M26691" s="11"/>
      <c r="N26691" s="11"/>
      <c r="O26691" s="11"/>
      <c r="P26691" s="11"/>
    </row>
    <row r="26692" spans="8:16" x14ac:dyDescent="0.25">
      <c r="H26692" s="12"/>
      <c r="I26692" s="12"/>
      <c r="J26692" s="12"/>
      <c r="K26692" s="12"/>
      <c r="L26692" s="12"/>
      <c r="M26692" s="11"/>
      <c r="N26692" s="11"/>
      <c r="O26692" s="11"/>
      <c r="P26692" s="11"/>
    </row>
    <row r="26693" spans="8:16" x14ac:dyDescent="0.25">
      <c r="H26693" s="12"/>
      <c r="I26693" s="12"/>
      <c r="J26693" s="12"/>
      <c r="K26693" s="12"/>
      <c r="L26693" s="12"/>
      <c r="M26693" s="11"/>
      <c r="N26693" s="11"/>
      <c r="O26693" s="11"/>
      <c r="P26693" s="11"/>
    </row>
    <row r="26694" spans="8:16" x14ac:dyDescent="0.25">
      <c r="H26694" s="12"/>
      <c r="I26694" s="12"/>
      <c r="J26694" s="12"/>
      <c r="K26694" s="12"/>
      <c r="L26694" s="12"/>
      <c r="M26694" s="11"/>
      <c r="N26694" s="11"/>
      <c r="O26694" s="11"/>
      <c r="P26694" s="11"/>
    </row>
    <row r="26695" spans="8:16" x14ac:dyDescent="0.25">
      <c r="H26695" s="12"/>
      <c r="I26695" s="12"/>
      <c r="J26695" s="12"/>
      <c r="K26695" s="12"/>
      <c r="L26695" s="12"/>
      <c r="M26695" s="11"/>
      <c r="N26695" s="11"/>
      <c r="O26695" s="11"/>
      <c r="P26695" s="11"/>
    </row>
    <row r="26696" spans="8:16" x14ac:dyDescent="0.25">
      <c r="H26696" s="12"/>
      <c r="I26696" s="12"/>
      <c r="J26696" s="12"/>
      <c r="K26696" s="12"/>
      <c r="L26696" s="12"/>
      <c r="M26696" s="11"/>
      <c r="N26696" s="11"/>
      <c r="O26696" s="11"/>
      <c r="P26696" s="11"/>
    </row>
    <row r="26697" spans="8:16" x14ac:dyDescent="0.25">
      <c r="H26697" s="12"/>
      <c r="I26697" s="12"/>
      <c r="J26697" s="12"/>
      <c r="K26697" s="12"/>
      <c r="L26697" s="12"/>
      <c r="M26697" s="11"/>
      <c r="N26697" s="11"/>
      <c r="O26697" s="11"/>
      <c r="P26697" s="11"/>
    </row>
    <row r="26698" spans="8:16" x14ac:dyDescent="0.25">
      <c r="H26698" s="12"/>
      <c r="I26698" s="12"/>
      <c r="J26698" s="12"/>
      <c r="K26698" s="12"/>
      <c r="L26698" s="12"/>
      <c r="M26698" s="11"/>
      <c r="N26698" s="11"/>
      <c r="O26698" s="11"/>
      <c r="P26698" s="11"/>
    </row>
    <row r="26699" spans="8:16" x14ac:dyDescent="0.25">
      <c r="H26699" s="12"/>
      <c r="I26699" s="12"/>
      <c r="J26699" s="12"/>
      <c r="K26699" s="12"/>
      <c r="L26699" s="12"/>
      <c r="M26699" s="11"/>
      <c r="N26699" s="11"/>
      <c r="O26699" s="11"/>
      <c r="P26699" s="11"/>
    </row>
    <row r="26700" spans="8:16" x14ac:dyDescent="0.25">
      <c r="H26700" s="12"/>
      <c r="I26700" s="12"/>
      <c r="J26700" s="12"/>
      <c r="K26700" s="12"/>
      <c r="L26700" s="12"/>
      <c r="M26700" s="11"/>
      <c r="N26700" s="11"/>
      <c r="O26700" s="11"/>
      <c r="P26700" s="11"/>
    </row>
    <row r="26701" spans="8:16" x14ac:dyDescent="0.25">
      <c r="H26701" s="12"/>
      <c r="I26701" s="12"/>
      <c r="J26701" s="12"/>
      <c r="K26701" s="12"/>
      <c r="L26701" s="12"/>
      <c r="M26701" s="11"/>
      <c r="N26701" s="11"/>
      <c r="O26701" s="11"/>
      <c r="P26701" s="11"/>
    </row>
    <row r="26702" spans="8:16" x14ac:dyDescent="0.25">
      <c r="H26702" s="12"/>
      <c r="I26702" s="12"/>
      <c r="J26702" s="12"/>
      <c r="K26702" s="12"/>
      <c r="L26702" s="12"/>
      <c r="M26702" s="11"/>
      <c r="N26702" s="11"/>
      <c r="O26702" s="11"/>
      <c r="P26702" s="11"/>
    </row>
    <row r="26703" spans="8:16" x14ac:dyDescent="0.25">
      <c r="H26703" s="12"/>
      <c r="I26703" s="12"/>
      <c r="J26703" s="12"/>
      <c r="K26703" s="12"/>
      <c r="L26703" s="12"/>
      <c r="M26703" s="11"/>
      <c r="N26703" s="11"/>
      <c r="O26703" s="11"/>
      <c r="P26703" s="11"/>
    </row>
    <row r="26704" spans="8:16" x14ac:dyDescent="0.25">
      <c r="H26704" s="12"/>
      <c r="I26704" s="12"/>
      <c r="J26704" s="12"/>
      <c r="K26704" s="12"/>
      <c r="L26704" s="12"/>
      <c r="M26704" s="11"/>
      <c r="N26704" s="11"/>
      <c r="O26704" s="11"/>
      <c r="P26704" s="11"/>
    </row>
    <row r="26705" spans="8:16" x14ac:dyDescent="0.25">
      <c r="H26705" s="12"/>
      <c r="I26705" s="12"/>
      <c r="J26705" s="12"/>
      <c r="K26705" s="12"/>
      <c r="L26705" s="12"/>
      <c r="M26705" s="11"/>
      <c r="N26705" s="11"/>
      <c r="O26705" s="11"/>
      <c r="P26705" s="11"/>
    </row>
    <row r="26706" spans="8:16" x14ac:dyDescent="0.25">
      <c r="H26706" s="12"/>
      <c r="I26706" s="12"/>
      <c r="J26706" s="12"/>
      <c r="K26706" s="12"/>
      <c r="L26706" s="12"/>
      <c r="M26706" s="11"/>
      <c r="N26706" s="11"/>
      <c r="O26706" s="11"/>
      <c r="P26706" s="11"/>
    </row>
    <row r="26707" spans="8:16" x14ac:dyDescent="0.25">
      <c r="H26707" s="12"/>
      <c r="I26707" s="12"/>
      <c r="J26707" s="12"/>
      <c r="K26707" s="12"/>
      <c r="L26707" s="12"/>
      <c r="M26707" s="11"/>
      <c r="N26707" s="11"/>
      <c r="O26707" s="11"/>
      <c r="P26707" s="11"/>
    </row>
    <row r="26708" spans="8:16" x14ac:dyDescent="0.25">
      <c r="H26708" s="12"/>
      <c r="I26708" s="12"/>
      <c r="J26708" s="12"/>
      <c r="K26708" s="12"/>
      <c r="L26708" s="12"/>
      <c r="M26708" s="11"/>
      <c r="N26708" s="11"/>
      <c r="O26708" s="11"/>
      <c r="P26708" s="11"/>
    </row>
    <row r="26709" spans="8:16" x14ac:dyDescent="0.25">
      <c r="H26709" s="12"/>
      <c r="I26709" s="12"/>
      <c r="J26709" s="12"/>
      <c r="K26709" s="12"/>
      <c r="L26709" s="12"/>
      <c r="M26709" s="11"/>
      <c r="N26709" s="11"/>
      <c r="O26709" s="11"/>
      <c r="P26709" s="11"/>
    </row>
    <row r="26710" spans="8:16" x14ac:dyDescent="0.25">
      <c r="H26710" s="12"/>
      <c r="I26710" s="12"/>
      <c r="J26710" s="12"/>
      <c r="K26710" s="12"/>
      <c r="L26710" s="12"/>
      <c r="M26710" s="11"/>
      <c r="N26710" s="11"/>
      <c r="O26710" s="11"/>
      <c r="P26710" s="11"/>
    </row>
    <row r="26711" spans="8:16" x14ac:dyDescent="0.25">
      <c r="H26711" s="12"/>
      <c r="I26711" s="12"/>
      <c r="J26711" s="12"/>
      <c r="K26711" s="12"/>
      <c r="L26711" s="12"/>
      <c r="M26711" s="11"/>
      <c r="N26711" s="11"/>
      <c r="O26711" s="11"/>
      <c r="P26711" s="11"/>
    </row>
    <row r="26712" spans="8:16" x14ac:dyDescent="0.25">
      <c r="H26712" s="12"/>
      <c r="I26712" s="12"/>
      <c r="J26712" s="12"/>
      <c r="K26712" s="12"/>
      <c r="L26712" s="12"/>
      <c r="M26712" s="11"/>
      <c r="N26712" s="11"/>
      <c r="O26712" s="11"/>
      <c r="P26712" s="11"/>
    </row>
    <row r="26713" spans="8:16" x14ac:dyDescent="0.25">
      <c r="H26713" s="12"/>
      <c r="I26713" s="12"/>
      <c r="J26713" s="12"/>
      <c r="K26713" s="12"/>
      <c r="L26713" s="12"/>
      <c r="M26713" s="11"/>
      <c r="N26713" s="11"/>
      <c r="O26713" s="11"/>
      <c r="P26713" s="11"/>
    </row>
    <row r="26714" spans="8:16" x14ac:dyDescent="0.25">
      <c r="H26714" s="12"/>
      <c r="I26714" s="12"/>
      <c r="J26714" s="12"/>
      <c r="K26714" s="12"/>
      <c r="L26714" s="12"/>
      <c r="M26714" s="11"/>
      <c r="N26714" s="11"/>
      <c r="O26714" s="11"/>
      <c r="P26714" s="11"/>
    </row>
    <row r="26715" spans="8:16" x14ac:dyDescent="0.25">
      <c r="H26715" s="12"/>
      <c r="I26715" s="12"/>
      <c r="J26715" s="12"/>
      <c r="K26715" s="12"/>
      <c r="L26715" s="12"/>
      <c r="M26715" s="11"/>
      <c r="N26715" s="11"/>
      <c r="O26715" s="11"/>
      <c r="P26715" s="11"/>
    </row>
    <row r="26716" spans="8:16" x14ac:dyDescent="0.25">
      <c r="H26716" s="12"/>
      <c r="I26716" s="12"/>
      <c r="J26716" s="12"/>
      <c r="K26716" s="12"/>
      <c r="L26716" s="12"/>
      <c r="M26716" s="11"/>
      <c r="N26716" s="11"/>
      <c r="O26716" s="11"/>
      <c r="P26716" s="11"/>
    </row>
    <row r="26717" spans="8:16" x14ac:dyDescent="0.25">
      <c r="H26717" s="12"/>
      <c r="I26717" s="12"/>
      <c r="J26717" s="12"/>
      <c r="K26717" s="12"/>
      <c r="L26717" s="12"/>
      <c r="M26717" s="11"/>
      <c r="N26717" s="11"/>
      <c r="O26717" s="11"/>
      <c r="P26717" s="11"/>
    </row>
    <row r="26718" spans="8:16" x14ac:dyDescent="0.25">
      <c r="H26718" s="12"/>
      <c r="I26718" s="12"/>
      <c r="J26718" s="12"/>
      <c r="K26718" s="12"/>
      <c r="L26718" s="12"/>
      <c r="M26718" s="11"/>
      <c r="N26718" s="11"/>
      <c r="O26718" s="11"/>
      <c r="P26718" s="11"/>
    </row>
    <row r="26719" spans="8:16" x14ac:dyDescent="0.25">
      <c r="H26719" s="12"/>
      <c r="I26719" s="12"/>
      <c r="J26719" s="12"/>
      <c r="K26719" s="12"/>
      <c r="L26719" s="12"/>
      <c r="M26719" s="11"/>
      <c r="N26719" s="11"/>
      <c r="O26719" s="11"/>
      <c r="P26719" s="11"/>
    </row>
    <row r="26720" spans="8:16" x14ac:dyDescent="0.25">
      <c r="H26720" s="12"/>
      <c r="I26720" s="12"/>
      <c r="J26720" s="12"/>
      <c r="K26720" s="12"/>
      <c r="L26720" s="12"/>
      <c r="M26720" s="11"/>
      <c r="N26720" s="11"/>
      <c r="O26720" s="11"/>
      <c r="P26720" s="11"/>
    </row>
    <row r="26721" spans="8:16" x14ac:dyDescent="0.25">
      <c r="H26721" s="12"/>
      <c r="I26721" s="12"/>
      <c r="J26721" s="12"/>
      <c r="K26721" s="12"/>
      <c r="L26721" s="12"/>
      <c r="M26721" s="11"/>
      <c r="N26721" s="11"/>
      <c r="O26721" s="11"/>
      <c r="P26721" s="11"/>
    </row>
    <row r="26722" spans="8:16" x14ac:dyDescent="0.25">
      <c r="H26722" s="12"/>
      <c r="I26722" s="12"/>
      <c r="J26722" s="12"/>
      <c r="K26722" s="12"/>
      <c r="L26722" s="12"/>
      <c r="M26722" s="11"/>
      <c r="N26722" s="11"/>
      <c r="O26722" s="11"/>
      <c r="P26722" s="11"/>
    </row>
    <row r="26723" spans="8:16" x14ac:dyDescent="0.25">
      <c r="H26723" s="12"/>
      <c r="I26723" s="12"/>
      <c r="J26723" s="12"/>
      <c r="K26723" s="12"/>
      <c r="L26723" s="12"/>
      <c r="M26723" s="11"/>
      <c r="N26723" s="11"/>
      <c r="O26723" s="11"/>
      <c r="P26723" s="11"/>
    </row>
    <row r="26724" spans="8:16" x14ac:dyDescent="0.25">
      <c r="H26724" s="12"/>
      <c r="I26724" s="12"/>
      <c r="J26724" s="12"/>
      <c r="K26724" s="12"/>
      <c r="L26724" s="12"/>
      <c r="M26724" s="11"/>
      <c r="N26724" s="11"/>
      <c r="O26724" s="11"/>
      <c r="P26724" s="11"/>
    </row>
    <row r="26725" spans="8:16" x14ac:dyDescent="0.25">
      <c r="H26725" s="12"/>
      <c r="I26725" s="12"/>
      <c r="J26725" s="12"/>
      <c r="K26725" s="12"/>
      <c r="L26725" s="12"/>
      <c r="M26725" s="11"/>
      <c r="N26725" s="11"/>
      <c r="O26725" s="11"/>
      <c r="P26725" s="11"/>
    </row>
    <row r="26726" spans="8:16" x14ac:dyDescent="0.25">
      <c r="H26726" s="12"/>
      <c r="I26726" s="12"/>
      <c r="J26726" s="12"/>
      <c r="K26726" s="12"/>
      <c r="L26726" s="12"/>
      <c r="M26726" s="11"/>
      <c r="N26726" s="11"/>
      <c r="O26726" s="11"/>
      <c r="P26726" s="11"/>
    </row>
    <row r="26727" spans="8:16" x14ac:dyDescent="0.25">
      <c r="H26727" s="12"/>
      <c r="I26727" s="12"/>
      <c r="J26727" s="12"/>
      <c r="K26727" s="12"/>
      <c r="L26727" s="12"/>
      <c r="M26727" s="11"/>
      <c r="N26727" s="11"/>
      <c r="O26727" s="11"/>
      <c r="P26727" s="11"/>
    </row>
    <row r="26728" spans="8:16" x14ac:dyDescent="0.25">
      <c r="H26728" s="12"/>
      <c r="I26728" s="12"/>
      <c r="J26728" s="12"/>
      <c r="K26728" s="12"/>
      <c r="L26728" s="12"/>
      <c r="M26728" s="11"/>
      <c r="N26728" s="11"/>
      <c r="O26728" s="11"/>
      <c r="P26728" s="11"/>
    </row>
    <row r="26729" spans="8:16" x14ac:dyDescent="0.25">
      <c r="H26729" s="12"/>
      <c r="I26729" s="12"/>
      <c r="J26729" s="12"/>
      <c r="K26729" s="12"/>
      <c r="L26729" s="12"/>
      <c r="M26729" s="11"/>
      <c r="N26729" s="11"/>
      <c r="O26729" s="11"/>
      <c r="P26729" s="11"/>
    </row>
    <row r="26730" spans="8:16" x14ac:dyDescent="0.25">
      <c r="H26730" s="12"/>
      <c r="I26730" s="12"/>
      <c r="J26730" s="12"/>
      <c r="K26730" s="12"/>
      <c r="L26730" s="12"/>
      <c r="M26730" s="11"/>
      <c r="N26730" s="11"/>
      <c r="O26730" s="11"/>
      <c r="P26730" s="11"/>
    </row>
    <row r="26731" spans="8:16" x14ac:dyDescent="0.25">
      <c r="H26731" s="12"/>
      <c r="I26731" s="12"/>
      <c r="J26731" s="12"/>
      <c r="K26731" s="12"/>
      <c r="L26731" s="12"/>
      <c r="M26731" s="11"/>
      <c r="N26731" s="11"/>
      <c r="O26731" s="11"/>
      <c r="P26731" s="11"/>
    </row>
    <row r="26732" spans="8:16" x14ac:dyDescent="0.25">
      <c r="H26732" s="12"/>
      <c r="I26732" s="12"/>
      <c r="J26732" s="12"/>
      <c r="K26732" s="12"/>
      <c r="L26732" s="12"/>
      <c r="M26732" s="11"/>
      <c r="N26732" s="11"/>
      <c r="O26732" s="11"/>
      <c r="P26732" s="11"/>
    </row>
    <row r="26733" spans="8:16" x14ac:dyDescent="0.25">
      <c r="H26733" s="12"/>
      <c r="I26733" s="12"/>
      <c r="J26733" s="12"/>
      <c r="K26733" s="12"/>
      <c r="L26733" s="12"/>
      <c r="M26733" s="11"/>
      <c r="N26733" s="11"/>
      <c r="O26733" s="11"/>
      <c r="P26733" s="11"/>
    </row>
    <row r="26734" spans="8:16" x14ac:dyDescent="0.25">
      <c r="H26734" s="12"/>
      <c r="I26734" s="12"/>
      <c r="J26734" s="12"/>
      <c r="K26734" s="12"/>
      <c r="L26734" s="12"/>
      <c r="M26734" s="11"/>
      <c r="N26734" s="11"/>
      <c r="O26734" s="11"/>
      <c r="P26734" s="11"/>
    </row>
    <row r="26735" spans="8:16" x14ac:dyDescent="0.25">
      <c r="H26735" s="12"/>
      <c r="I26735" s="12"/>
      <c r="J26735" s="12"/>
      <c r="K26735" s="12"/>
      <c r="L26735" s="12"/>
      <c r="M26735" s="11"/>
      <c r="N26735" s="11"/>
      <c r="O26735" s="11"/>
      <c r="P26735" s="11"/>
    </row>
    <row r="26736" spans="8:16" x14ac:dyDescent="0.25">
      <c r="H26736" s="12"/>
      <c r="I26736" s="12"/>
      <c r="J26736" s="12"/>
      <c r="K26736" s="12"/>
      <c r="L26736" s="12"/>
      <c r="M26736" s="11"/>
      <c r="N26736" s="11"/>
      <c r="O26736" s="11"/>
      <c r="P26736" s="11"/>
    </row>
    <row r="26737" spans="8:16" x14ac:dyDescent="0.25">
      <c r="H26737" s="12"/>
      <c r="I26737" s="12"/>
      <c r="J26737" s="12"/>
      <c r="K26737" s="12"/>
      <c r="L26737" s="12"/>
      <c r="M26737" s="11"/>
      <c r="N26737" s="11"/>
      <c r="O26737" s="11"/>
      <c r="P26737" s="11"/>
    </row>
    <row r="26738" spans="8:16" x14ac:dyDescent="0.25">
      <c r="H26738" s="12"/>
      <c r="I26738" s="12"/>
      <c r="J26738" s="12"/>
      <c r="K26738" s="12"/>
      <c r="L26738" s="12"/>
      <c r="M26738" s="11"/>
      <c r="N26738" s="11"/>
      <c r="O26738" s="11"/>
      <c r="P26738" s="11"/>
    </row>
    <row r="26739" spans="8:16" x14ac:dyDescent="0.25">
      <c r="H26739" s="12"/>
      <c r="I26739" s="12"/>
      <c r="J26739" s="12"/>
      <c r="K26739" s="12"/>
      <c r="L26739" s="12"/>
      <c r="M26739" s="11"/>
      <c r="N26739" s="11"/>
      <c r="O26739" s="11"/>
      <c r="P26739" s="11"/>
    </row>
    <row r="26740" spans="8:16" x14ac:dyDescent="0.25">
      <c r="H26740" s="12"/>
      <c r="I26740" s="12"/>
      <c r="J26740" s="12"/>
      <c r="K26740" s="12"/>
      <c r="L26740" s="12"/>
      <c r="M26740" s="11"/>
      <c r="N26740" s="11"/>
      <c r="O26740" s="11"/>
      <c r="P26740" s="11"/>
    </row>
    <row r="26741" spans="8:16" x14ac:dyDescent="0.25">
      <c r="H26741" s="12"/>
      <c r="I26741" s="12"/>
      <c r="J26741" s="12"/>
      <c r="K26741" s="12"/>
      <c r="L26741" s="12"/>
      <c r="M26741" s="11"/>
      <c r="N26741" s="11"/>
      <c r="O26741" s="11"/>
      <c r="P26741" s="11"/>
    </row>
    <row r="26742" spans="8:16" x14ac:dyDescent="0.25">
      <c r="H26742" s="12"/>
      <c r="I26742" s="12"/>
      <c r="J26742" s="12"/>
      <c r="K26742" s="12"/>
      <c r="L26742" s="12"/>
      <c r="M26742" s="11"/>
      <c r="N26742" s="11"/>
      <c r="O26742" s="11"/>
      <c r="P26742" s="11"/>
    </row>
    <row r="26743" spans="8:16" x14ac:dyDescent="0.25">
      <c r="H26743" s="12"/>
      <c r="I26743" s="12"/>
      <c r="J26743" s="12"/>
      <c r="K26743" s="12"/>
      <c r="L26743" s="12"/>
      <c r="M26743" s="11"/>
      <c r="N26743" s="11"/>
      <c r="O26743" s="11"/>
      <c r="P26743" s="11"/>
    </row>
    <row r="26744" spans="8:16" x14ac:dyDescent="0.25">
      <c r="H26744" s="12"/>
      <c r="I26744" s="12"/>
      <c r="J26744" s="12"/>
      <c r="K26744" s="12"/>
      <c r="L26744" s="12"/>
      <c r="M26744" s="11"/>
      <c r="N26744" s="11"/>
      <c r="O26744" s="11"/>
      <c r="P26744" s="11"/>
    </row>
    <row r="26745" spans="8:16" x14ac:dyDescent="0.25">
      <c r="H26745" s="12"/>
      <c r="I26745" s="12"/>
      <c r="J26745" s="12"/>
      <c r="K26745" s="12"/>
      <c r="L26745" s="12"/>
      <c r="M26745" s="11"/>
      <c r="N26745" s="11"/>
      <c r="O26745" s="11"/>
      <c r="P26745" s="11"/>
    </row>
    <row r="26746" spans="8:16" x14ac:dyDescent="0.25">
      <c r="H26746" s="12"/>
      <c r="I26746" s="12"/>
      <c r="J26746" s="12"/>
      <c r="K26746" s="12"/>
      <c r="L26746" s="12"/>
      <c r="M26746" s="11"/>
      <c r="N26746" s="11"/>
      <c r="O26746" s="11"/>
      <c r="P26746" s="11"/>
    </row>
    <row r="26747" spans="8:16" x14ac:dyDescent="0.25">
      <c r="H26747" s="12"/>
      <c r="I26747" s="12"/>
      <c r="J26747" s="12"/>
      <c r="K26747" s="12"/>
      <c r="L26747" s="12"/>
      <c r="M26747" s="11"/>
      <c r="N26747" s="11"/>
      <c r="O26747" s="11"/>
      <c r="P26747" s="11"/>
    </row>
    <row r="26748" spans="8:16" x14ac:dyDescent="0.25">
      <c r="H26748" s="12"/>
      <c r="I26748" s="12"/>
      <c r="J26748" s="12"/>
      <c r="K26748" s="12"/>
      <c r="L26748" s="12"/>
      <c r="M26748" s="11"/>
      <c r="N26748" s="11"/>
      <c r="O26748" s="11"/>
      <c r="P26748" s="11"/>
    </row>
    <row r="26749" spans="8:16" x14ac:dyDescent="0.25">
      <c r="H26749" s="12"/>
      <c r="I26749" s="12"/>
      <c r="J26749" s="12"/>
      <c r="K26749" s="12"/>
      <c r="L26749" s="12"/>
      <c r="M26749" s="11"/>
      <c r="N26749" s="11"/>
      <c r="O26749" s="11"/>
      <c r="P26749" s="11"/>
    </row>
    <row r="26750" spans="8:16" x14ac:dyDescent="0.25">
      <c r="H26750" s="12"/>
      <c r="I26750" s="12"/>
      <c r="J26750" s="12"/>
      <c r="K26750" s="12"/>
      <c r="L26750" s="12"/>
      <c r="M26750" s="11"/>
      <c r="N26750" s="11"/>
      <c r="O26750" s="11"/>
      <c r="P26750" s="11"/>
    </row>
    <row r="26751" spans="8:16" x14ac:dyDescent="0.25">
      <c r="H26751" s="12"/>
      <c r="I26751" s="12"/>
      <c r="J26751" s="12"/>
      <c r="K26751" s="12"/>
      <c r="L26751" s="12"/>
      <c r="M26751" s="11"/>
      <c r="N26751" s="11"/>
      <c r="O26751" s="11"/>
      <c r="P26751" s="11"/>
    </row>
    <row r="26752" spans="8:16" x14ac:dyDescent="0.25">
      <c r="H26752" s="12"/>
      <c r="I26752" s="12"/>
      <c r="J26752" s="12"/>
      <c r="K26752" s="12"/>
      <c r="L26752" s="12"/>
      <c r="M26752" s="11"/>
      <c r="N26752" s="11"/>
      <c r="O26752" s="11"/>
      <c r="P26752" s="11"/>
    </row>
    <row r="26753" spans="8:16" x14ac:dyDescent="0.25">
      <c r="H26753" s="12"/>
      <c r="I26753" s="12"/>
      <c r="J26753" s="12"/>
      <c r="K26753" s="12"/>
      <c r="L26753" s="12"/>
      <c r="M26753" s="11"/>
      <c r="N26753" s="11"/>
      <c r="O26753" s="11"/>
      <c r="P26753" s="11"/>
    </row>
    <row r="26754" spans="8:16" x14ac:dyDescent="0.25">
      <c r="H26754" s="12"/>
      <c r="I26754" s="12"/>
      <c r="J26754" s="12"/>
      <c r="K26754" s="12"/>
      <c r="L26754" s="12"/>
      <c r="M26754" s="11"/>
      <c r="N26754" s="11"/>
      <c r="O26754" s="11"/>
      <c r="P26754" s="11"/>
    </row>
    <row r="26755" spans="8:16" x14ac:dyDescent="0.25">
      <c r="H26755" s="12"/>
      <c r="I26755" s="12"/>
      <c r="J26755" s="12"/>
      <c r="K26755" s="12"/>
      <c r="L26755" s="12"/>
      <c r="M26755" s="11"/>
      <c r="N26755" s="11"/>
      <c r="O26755" s="11"/>
      <c r="P26755" s="11"/>
    </row>
    <row r="26756" spans="8:16" x14ac:dyDescent="0.25">
      <c r="H26756" s="12"/>
      <c r="I26756" s="12"/>
      <c r="J26756" s="12"/>
      <c r="K26756" s="12"/>
      <c r="L26756" s="12"/>
      <c r="M26756" s="11"/>
      <c r="N26756" s="11"/>
      <c r="O26756" s="11"/>
      <c r="P26756" s="11"/>
    </row>
    <row r="26757" spans="8:16" x14ac:dyDescent="0.25">
      <c r="H26757" s="12"/>
      <c r="I26757" s="12"/>
      <c r="J26757" s="12"/>
      <c r="K26757" s="12"/>
      <c r="L26757" s="12"/>
      <c r="M26757" s="11"/>
      <c r="N26757" s="11"/>
      <c r="O26757" s="11"/>
      <c r="P26757" s="11"/>
    </row>
    <row r="26758" spans="8:16" x14ac:dyDescent="0.25">
      <c r="H26758" s="12"/>
      <c r="I26758" s="12"/>
      <c r="J26758" s="12"/>
      <c r="K26758" s="12"/>
      <c r="L26758" s="12"/>
      <c r="M26758" s="11"/>
      <c r="N26758" s="11"/>
      <c r="O26758" s="11"/>
      <c r="P26758" s="11"/>
    </row>
    <row r="26759" spans="8:16" x14ac:dyDescent="0.25">
      <c r="H26759" s="12"/>
      <c r="I26759" s="12"/>
      <c r="J26759" s="12"/>
      <c r="K26759" s="12"/>
      <c r="L26759" s="12"/>
      <c r="M26759" s="11"/>
      <c r="N26759" s="11"/>
      <c r="O26759" s="11"/>
      <c r="P26759" s="11"/>
    </row>
    <row r="26760" spans="8:16" x14ac:dyDescent="0.25">
      <c r="H26760" s="12"/>
      <c r="I26760" s="12"/>
      <c r="J26760" s="12"/>
      <c r="K26760" s="12"/>
      <c r="L26760" s="12"/>
      <c r="M26760" s="11"/>
      <c r="N26760" s="11"/>
      <c r="O26760" s="11"/>
      <c r="P26760" s="11"/>
    </row>
    <row r="26761" spans="8:16" x14ac:dyDescent="0.25">
      <c r="H26761" s="12"/>
      <c r="I26761" s="12"/>
      <c r="J26761" s="12"/>
      <c r="K26761" s="12"/>
      <c r="L26761" s="12"/>
      <c r="M26761" s="11"/>
      <c r="N26761" s="11"/>
      <c r="O26761" s="11"/>
      <c r="P26761" s="11"/>
    </row>
    <row r="26762" spans="8:16" x14ac:dyDescent="0.25">
      <c r="H26762" s="12"/>
      <c r="I26762" s="12"/>
      <c r="J26762" s="12"/>
      <c r="K26762" s="12"/>
      <c r="L26762" s="12"/>
      <c r="M26762" s="11"/>
      <c r="N26762" s="11"/>
      <c r="O26762" s="11"/>
      <c r="P26762" s="11"/>
    </row>
    <row r="26763" spans="8:16" x14ac:dyDescent="0.25">
      <c r="H26763" s="12"/>
      <c r="I26763" s="12"/>
      <c r="J26763" s="12"/>
      <c r="K26763" s="12"/>
      <c r="L26763" s="12"/>
      <c r="M26763" s="11"/>
      <c r="N26763" s="11"/>
      <c r="O26763" s="11"/>
      <c r="P26763" s="11"/>
    </row>
    <row r="26764" spans="8:16" x14ac:dyDescent="0.25">
      <c r="H26764" s="12"/>
      <c r="I26764" s="12"/>
      <c r="J26764" s="12"/>
      <c r="K26764" s="12"/>
      <c r="L26764" s="12"/>
      <c r="M26764" s="11"/>
      <c r="N26764" s="11"/>
      <c r="O26764" s="11"/>
      <c r="P26764" s="11"/>
    </row>
    <row r="26765" spans="8:16" x14ac:dyDescent="0.25">
      <c r="H26765" s="12"/>
      <c r="I26765" s="12"/>
      <c r="J26765" s="12"/>
      <c r="K26765" s="12"/>
      <c r="L26765" s="12"/>
      <c r="M26765" s="11"/>
      <c r="N26765" s="11"/>
      <c r="O26765" s="11"/>
      <c r="P26765" s="11"/>
    </row>
    <row r="26766" spans="8:16" x14ac:dyDescent="0.25">
      <c r="H26766" s="12"/>
      <c r="I26766" s="12"/>
      <c r="J26766" s="12"/>
      <c r="K26766" s="12"/>
      <c r="L26766" s="12"/>
      <c r="M26766" s="11"/>
      <c r="N26766" s="11"/>
      <c r="O26766" s="11"/>
      <c r="P26766" s="11"/>
    </row>
    <row r="26767" spans="8:16" x14ac:dyDescent="0.25">
      <c r="H26767" s="12"/>
      <c r="I26767" s="12"/>
      <c r="J26767" s="12"/>
      <c r="K26767" s="12"/>
      <c r="L26767" s="12"/>
      <c r="M26767" s="11"/>
      <c r="N26767" s="11"/>
      <c r="O26767" s="11"/>
      <c r="P26767" s="11"/>
    </row>
    <row r="26768" spans="8:16" x14ac:dyDescent="0.25">
      <c r="H26768" s="12"/>
      <c r="I26768" s="12"/>
      <c r="J26768" s="12"/>
      <c r="K26768" s="12"/>
      <c r="L26768" s="12"/>
      <c r="M26768" s="11"/>
      <c r="N26768" s="11"/>
      <c r="O26768" s="11"/>
      <c r="P26768" s="11"/>
    </row>
    <row r="26769" spans="8:16" x14ac:dyDescent="0.25">
      <c r="H26769" s="12"/>
      <c r="I26769" s="12"/>
      <c r="J26769" s="12"/>
      <c r="K26769" s="12"/>
      <c r="L26769" s="12"/>
      <c r="M26769" s="11"/>
      <c r="N26769" s="11"/>
      <c r="O26769" s="11"/>
      <c r="P26769" s="11"/>
    </row>
    <row r="26770" spans="8:16" x14ac:dyDescent="0.25">
      <c r="H26770" s="12"/>
      <c r="I26770" s="12"/>
      <c r="J26770" s="12"/>
      <c r="K26770" s="12"/>
      <c r="L26770" s="12"/>
      <c r="M26770" s="11"/>
      <c r="N26770" s="11"/>
      <c r="O26770" s="11"/>
      <c r="P26770" s="11"/>
    </row>
    <row r="26771" spans="8:16" x14ac:dyDescent="0.25">
      <c r="H26771" s="12"/>
      <c r="I26771" s="12"/>
      <c r="J26771" s="12"/>
      <c r="K26771" s="12"/>
      <c r="L26771" s="12"/>
      <c r="M26771" s="11"/>
      <c r="N26771" s="11"/>
      <c r="O26771" s="11"/>
      <c r="P26771" s="11"/>
    </row>
    <row r="26772" spans="8:16" x14ac:dyDescent="0.25">
      <c r="H26772" s="12"/>
      <c r="I26772" s="12"/>
      <c r="J26772" s="12"/>
      <c r="K26772" s="12"/>
      <c r="L26772" s="12"/>
      <c r="M26772" s="11"/>
      <c r="N26772" s="11"/>
      <c r="O26772" s="11"/>
      <c r="P26772" s="11"/>
    </row>
    <row r="26773" spans="8:16" x14ac:dyDescent="0.25">
      <c r="H26773" s="12"/>
      <c r="I26773" s="12"/>
      <c r="J26773" s="12"/>
      <c r="K26773" s="12"/>
      <c r="L26773" s="12"/>
      <c r="M26773" s="11"/>
      <c r="N26773" s="11"/>
      <c r="O26773" s="11"/>
      <c r="P26773" s="11"/>
    </row>
    <row r="26774" spans="8:16" x14ac:dyDescent="0.25">
      <c r="H26774" s="12"/>
      <c r="I26774" s="12"/>
      <c r="J26774" s="12"/>
      <c r="K26774" s="12"/>
      <c r="L26774" s="12"/>
      <c r="M26774" s="11"/>
      <c r="N26774" s="11"/>
      <c r="O26774" s="11"/>
      <c r="P26774" s="11"/>
    </row>
    <row r="26775" spans="8:16" x14ac:dyDescent="0.25">
      <c r="H26775" s="12"/>
      <c r="I26775" s="12"/>
      <c r="J26775" s="12"/>
      <c r="K26775" s="12"/>
      <c r="L26775" s="12"/>
      <c r="M26775" s="11"/>
      <c r="N26775" s="11"/>
      <c r="O26775" s="11"/>
      <c r="P26775" s="11"/>
    </row>
    <row r="26776" spans="8:16" x14ac:dyDescent="0.25">
      <c r="H26776" s="12"/>
      <c r="I26776" s="12"/>
      <c r="J26776" s="12"/>
      <c r="K26776" s="12"/>
      <c r="L26776" s="12"/>
      <c r="M26776" s="11"/>
      <c r="N26776" s="11"/>
      <c r="O26776" s="11"/>
      <c r="P26776" s="11"/>
    </row>
    <row r="26777" spans="8:16" x14ac:dyDescent="0.25">
      <c r="H26777" s="12"/>
      <c r="I26777" s="12"/>
      <c r="J26777" s="12"/>
      <c r="K26777" s="12"/>
      <c r="L26777" s="12"/>
      <c r="M26777" s="11"/>
      <c r="N26777" s="11"/>
      <c r="O26777" s="11"/>
      <c r="P26777" s="11"/>
    </row>
    <row r="26778" spans="8:16" x14ac:dyDescent="0.25">
      <c r="H26778" s="12"/>
      <c r="I26778" s="12"/>
      <c r="J26778" s="12"/>
      <c r="K26778" s="12"/>
      <c r="L26778" s="12"/>
      <c r="M26778" s="11"/>
      <c r="N26778" s="11"/>
      <c r="O26778" s="11"/>
      <c r="P26778" s="11"/>
    </row>
    <row r="26779" spans="8:16" x14ac:dyDescent="0.25">
      <c r="H26779" s="12"/>
      <c r="I26779" s="12"/>
      <c r="J26779" s="12"/>
      <c r="K26779" s="12"/>
      <c r="L26779" s="12"/>
      <c r="M26779" s="11"/>
      <c r="N26779" s="11"/>
      <c r="O26779" s="11"/>
      <c r="P26779" s="11"/>
    </row>
    <row r="26780" spans="8:16" x14ac:dyDescent="0.25">
      <c r="H26780" s="12"/>
      <c r="I26780" s="12"/>
      <c r="J26780" s="12"/>
      <c r="K26780" s="12"/>
      <c r="L26780" s="12"/>
      <c r="M26780" s="11"/>
      <c r="N26780" s="11"/>
      <c r="O26780" s="11"/>
      <c r="P26780" s="11"/>
    </row>
    <row r="26781" spans="8:16" x14ac:dyDescent="0.25">
      <c r="H26781" s="12"/>
      <c r="I26781" s="12"/>
      <c r="J26781" s="12"/>
      <c r="K26781" s="12"/>
      <c r="L26781" s="12"/>
      <c r="M26781" s="11"/>
      <c r="N26781" s="11"/>
      <c r="O26781" s="11"/>
      <c r="P26781" s="11"/>
    </row>
    <row r="26782" spans="8:16" x14ac:dyDescent="0.25">
      <c r="H26782" s="12"/>
      <c r="I26782" s="12"/>
      <c r="J26782" s="12"/>
      <c r="K26782" s="12"/>
      <c r="L26782" s="12"/>
      <c r="M26782" s="11"/>
      <c r="N26782" s="11"/>
      <c r="O26782" s="11"/>
      <c r="P26782" s="11"/>
    </row>
    <row r="26783" spans="8:16" x14ac:dyDescent="0.25">
      <c r="H26783" s="12"/>
      <c r="I26783" s="12"/>
      <c r="J26783" s="12"/>
      <c r="K26783" s="12"/>
      <c r="L26783" s="12"/>
      <c r="M26783" s="11"/>
      <c r="N26783" s="11"/>
      <c r="O26783" s="11"/>
      <c r="P26783" s="11"/>
    </row>
    <row r="26784" spans="8:16" x14ac:dyDescent="0.25">
      <c r="H26784" s="12"/>
      <c r="I26784" s="12"/>
      <c r="J26784" s="12"/>
      <c r="K26784" s="12"/>
      <c r="L26784" s="12"/>
      <c r="M26784" s="11"/>
      <c r="N26784" s="11"/>
      <c r="O26784" s="11"/>
      <c r="P26784" s="11"/>
    </row>
    <row r="26785" spans="8:16" x14ac:dyDescent="0.25">
      <c r="H26785" s="12"/>
      <c r="I26785" s="12"/>
      <c r="J26785" s="12"/>
      <c r="K26785" s="12"/>
      <c r="L26785" s="12"/>
      <c r="M26785" s="11"/>
      <c r="N26785" s="11"/>
      <c r="O26785" s="11"/>
      <c r="P26785" s="11"/>
    </row>
    <row r="26786" spans="8:16" x14ac:dyDescent="0.25">
      <c r="H26786" s="12"/>
      <c r="I26786" s="12"/>
      <c r="J26786" s="12"/>
      <c r="K26786" s="12"/>
      <c r="L26786" s="12"/>
      <c r="M26786" s="11"/>
      <c r="N26786" s="11"/>
      <c r="O26786" s="11"/>
      <c r="P26786" s="11"/>
    </row>
    <row r="26787" spans="8:16" x14ac:dyDescent="0.25">
      <c r="H26787" s="12"/>
      <c r="I26787" s="12"/>
      <c r="J26787" s="12"/>
      <c r="K26787" s="12"/>
      <c r="L26787" s="12"/>
      <c r="M26787" s="11"/>
      <c r="N26787" s="11"/>
      <c r="O26787" s="11"/>
      <c r="P26787" s="11"/>
    </row>
    <row r="26788" spans="8:16" x14ac:dyDescent="0.25">
      <c r="H26788" s="12"/>
      <c r="I26788" s="12"/>
      <c r="J26788" s="12"/>
      <c r="K26788" s="12"/>
      <c r="L26788" s="12"/>
      <c r="M26788" s="11"/>
      <c r="N26788" s="11"/>
      <c r="O26788" s="11"/>
      <c r="P26788" s="11"/>
    </row>
    <row r="26789" spans="8:16" x14ac:dyDescent="0.25">
      <c r="H26789" s="12"/>
      <c r="I26789" s="12"/>
      <c r="J26789" s="12"/>
      <c r="K26789" s="12"/>
      <c r="L26789" s="12"/>
      <c r="M26789" s="11"/>
      <c r="N26789" s="11"/>
      <c r="O26789" s="11"/>
      <c r="P26789" s="11"/>
    </row>
    <row r="26790" spans="8:16" x14ac:dyDescent="0.25">
      <c r="H26790" s="12"/>
      <c r="I26790" s="12"/>
      <c r="J26790" s="12"/>
      <c r="K26790" s="12"/>
      <c r="L26790" s="12"/>
      <c r="M26790" s="11"/>
      <c r="N26790" s="11"/>
      <c r="O26790" s="11"/>
      <c r="P26790" s="11"/>
    </row>
    <row r="26791" spans="8:16" x14ac:dyDescent="0.25">
      <c r="H26791" s="12"/>
      <c r="I26791" s="12"/>
      <c r="J26791" s="12"/>
      <c r="K26791" s="12"/>
      <c r="L26791" s="12"/>
      <c r="M26791" s="11"/>
      <c r="N26791" s="11"/>
      <c r="O26791" s="11"/>
      <c r="P26791" s="11"/>
    </row>
    <row r="26792" spans="8:16" x14ac:dyDescent="0.25">
      <c r="H26792" s="12"/>
      <c r="I26792" s="12"/>
      <c r="J26792" s="12"/>
      <c r="K26792" s="12"/>
      <c r="L26792" s="12"/>
      <c r="M26792" s="11"/>
      <c r="N26792" s="11"/>
      <c r="O26792" s="11"/>
      <c r="P26792" s="11"/>
    </row>
    <row r="26793" spans="8:16" x14ac:dyDescent="0.25">
      <c r="H26793" s="12"/>
      <c r="I26793" s="12"/>
      <c r="J26793" s="12"/>
      <c r="K26793" s="12"/>
      <c r="L26793" s="12"/>
      <c r="M26793" s="11"/>
      <c r="N26793" s="11"/>
      <c r="O26793" s="11"/>
      <c r="P26793" s="11"/>
    </row>
    <row r="26794" spans="8:16" x14ac:dyDescent="0.25">
      <c r="H26794" s="12"/>
      <c r="I26794" s="12"/>
      <c r="J26794" s="12"/>
      <c r="K26794" s="12"/>
      <c r="L26794" s="12"/>
      <c r="M26794" s="11"/>
      <c r="N26794" s="11"/>
      <c r="O26794" s="11"/>
      <c r="P26794" s="11"/>
    </row>
    <row r="26795" spans="8:16" x14ac:dyDescent="0.25">
      <c r="H26795" s="12"/>
      <c r="I26795" s="12"/>
      <c r="J26795" s="12"/>
      <c r="K26795" s="12"/>
      <c r="L26795" s="12"/>
      <c r="M26795" s="11"/>
      <c r="N26795" s="11"/>
      <c r="O26795" s="11"/>
      <c r="P26795" s="11"/>
    </row>
    <row r="26796" spans="8:16" x14ac:dyDescent="0.25">
      <c r="H26796" s="12"/>
      <c r="I26796" s="12"/>
      <c r="J26796" s="12"/>
      <c r="K26796" s="12"/>
      <c r="L26796" s="12"/>
      <c r="M26796" s="11"/>
      <c r="N26796" s="11"/>
      <c r="O26796" s="11"/>
      <c r="P26796" s="11"/>
    </row>
    <row r="26797" spans="8:16" x14ac:dyDescent="0.25">
      <c r="H26797" s="12"/>
      <c r="I26797" s="12"/>
      <c r="J26797" s="12"/>
      <c r="K26797" s="12"/>
      <c r="L26797" s="12"/>
      <c r="M26797" s="11"/>
      <c r="N26797" s="11"/>
      <c r="O26797" s="11"/>
      <c r="P26797" s="11"/>
    </row>
    <row r="26798" spans="8:16" x14ac:dyDescent="0.25">
      <c r="H26798" s="12"/>
      <c r="I26798" s="12"/>
      <c r="J26798" s="12"/>
      <c r="K26798" s="12"/>
      <c r="L26798" s="12"/>
      <c r="M26798" s="11"/>
      <c r="N26798" s="11"/>
      <c r="O26798" s="11"/>
      <c r="P26798" s="11"/>
    </row>
    <row r="26799" spans="8:16" x14ac:dyDescent="0.25">
      <c r="H26799" s="12"/>
      <c r="I26799" s="12"/>
      <c r="J26799" s="12"/>
      <c r="K26799" s="12"/>
      <c r="L26799" s="12"/>
      <c r="M26799" s="11"/>
      <c r="N26799" s="11"/>
      <c r="O26799" s="11"/>
      <c r="P26799" s="11"/>
    </row>
    <row r="26800" spans="8:16" x14ac:dyDescent="0.25">
      <c r="H26800" s="12"/>
      <c r="I26800" s="12"/>
      <c r="J26800" s="12"/>
      <c r="K26800" s="12"/>
      <c r="L26800" s="12"/>
      <c r="M26800" s="11"/>
      <c r="N26800" s="11"/>
      <c r="O26800" s="11"/>
      <c r="P26800" s="11"/>
    </row>
    <row r="26801" spans="8:16" x14ac:dyDescent="0.25">
      <c r="H26801" s="12"/>
      <c r="I26801" s="12"/>
      <c r="J26801" s="12"/>
      <c r="K26801" s="12"/>
      <c r="L26801" s="12"/>
      <c r="M26801" s="11"/>
      <c r="N26801" s="11"/>
      <c r="O26801" s="11"/>
      <c r="P26801" s="11"/>
    </row>
    <row r="26802" spans="8:16" x14ac:dyDescent="0.25">
      <c r="H26802" s="12"/>
      <c r="I26802" s="12"/>
      <c r="J26802" s="12"/>
      <c r="K26802" s="12"/>
      <c r="L26802" s="12"/>
      <c r="M26802" s="11"/>
      <c r="N26802" s="11"/>
      <c r="O26802" s="11"/>
      <c r="P26802" s="11"/>
    </row>
    <row r="26803" spans="8:16" x14ac:dyDescent="0.25">
      <c r="H26803" s="12"/>
      <c r="I26803" s="12"/>
      <c r="J26803" s="12"/>
      <c r="K26803" s="12"/>
      <c r="L26803" s="12"/>
      <c r="M26803" s="11"/>
      <c r="N26803" s="11"/>
      <c r="O26803" s="11"/>
      <c r="P26803" s="11"/>
    </row>
    <row r="26804" spans="8:16" x14ac:dyDescent="0.25">
      <c r="H26804" s="12"/>
      <c r="I26804" s="12"/>
      <c r="J26804" s="12"/>
      <c r="K26804" s="12"/>
      <c r="L26804" s="12"/>
      <c r="M26804" s="11"/>
      <c r="N26804" s="11"/>
      <c r="O26804" s="11"/>
      <c r="P26804" s="11"/>
    </row>
    <row r="26805" spans="8:16" x14ac:dyDescent="0.25">
      <c r="H26805" s="12"/>
      <c r="I26805" s="12"/>
      <c r="J26805" s="12"/>
      <c r="K26805" s="12"/>
      <c r="L26805" s="12"/>
      <c r="M26805" s="11"/>
      <c r="N26805" s="11"/>
      <c r="O26805" s="11"/>
      <c r="P26805" s="11"/>
    </row>
    <row r="26806" spans="8:16" x14ac:dyDescent="0.25">
      <c r="H26806" s="12"/>
      <c r="I26806" s="12"/>
      <c r="J26806" s="12"/>
      <c r="K26806" s="12"/>
      <c r="L26806" s="12"/>
      <c r="M26806" s="11"/>
      <c r="N26806" s="11"/>
      <c r="O26806" s="11"/>
      <c r="P26806" s="11"/>
    </row>
    <row r="26807" spans="8:16" x14ac:dyDescent="0.25">
      <c r="H26807" s="12"/>
      <c r="I26807" s="12"/>
      <c r="J26807" s="12"/>
      <c r="K26807" s="12"/>
      <c r="L26807" s="12"/>
      <c r="M26807" s="11"/>
      <c r="N26807" s="11"/>
      <c r="O26807" s="11"/>
      <c r="P26807" s="11"/>
    </row>
    <row r="26808" spans="8:16" x14ac:dyDescent="0.25">
      <c r="H26808" s="12"/>
      <c r="I26808" s="12"/>
      <c r="J26808" s="12"/>
      <c r="K26808" s="12"/>
      <c r="L26808" s="12"/>
      <c r="M26808" s="11"/>
      <c r="N26808" s="11"/>
      <c r="O26808" s="11"/>
      <c r="P26808" s="11"/>
    </row>
    <row r="26809" spans="8:16" x14ac:dyDescent="0.25">
      <c r="H26809" s="12"/>
      <c r="I26809" s="12"/>
      <c r="J26809" s="12"/>
      <c r="K26809" s="12"/>
      <c r="L26809" s="12"/>
      <c r="M26809" s="11"/>
      <c r="N26809" s="11"/>
      <c r="O26809" s="11"/>
      <c r="P26809" s="11"/>
    </row>
    <row r="26810" spans="8:16" x14ac:dyDescent="0.25">
      <c r="H26810" s="12"/>
      <c r="I26810" s="12"/>
      <c r="J26810" s="12"/>
      <c r="K26810" s="12"/>
      <c r="L26810" s="12"/>
      <c r="M26810" s="11"/>
      <c r="N26810" s="11"/>
      <c r="O26810" s="11"/>
      <c r="P26810" s="11"/>
    </row>
    <row r="26811" spans="8:16" x14ac:dyDescent="0.25">
      <c r="H26811" s="12"/>
      <c r="I26811" s="12"/>
      <c r="J26811" s="12"/>
      <c r="K26811" s="12"/>
      <c r="L26811" s="12"/>
      <c r="M26811" s="11"/>
      <c r="N26811" s="11"/>
      <c r="O26811" s="11"/>
      <c r="P26811" s="11"/>
    </row>
    <row r="26812" spans="8:16" x14ac:dyDescent="0.25">
      <c r="H26812" s="12"/>
      <c r="I26812" s="12"/>
      <c r="J26812" s="12"/>
      <c r="K26812" s="12"/>
      <c r="L26812" s="12"/>
      <c r="M26812" s="11"/>
      <c r="N26812" s="11"/>
      <c r="O26812" s="11"/>
      <c r="P26812" s="11"/>
    </row>
    <row r="26813" spans="8:16" x14ac:dyDescent="0.25">
      <c r="H26813" s="12"/>
      <c r="I26813" s="12"/>
      <c r="J26813" s="12"/>
      <c r="K26813" s="12"/>
      <c r="L26813" s="12"/>
      <c r="M26813" s="11"/>
      <c r="N26813" s="11"/>
      <c r="O26813" s="11"/>
      <c r="P26813" s="11"/>
    </row>
    <row r="26814" spans="8:16" x14ac:dyDescent="0.25">
      <c r="H26814" s="12"/>
      <c r="I26814" s="12"/>
      <c r="J26814" s="12"/>
      <c r="K26814" s="12"/>
      <c r="L26814" s="12"/>
      <c r="M26814" s="11"/>
      <c r="N26814" s="11"/>
      <c r="O26814" s="11"/>
      <c r="P26814" s="11"/>
    </row>
    <row r="26815" spans="8:16" x14ac:dyDescent="0.25">
      <c r="H26815" s="12"/>
      <c r="I26815" s="12"/>
      <c r="J26815" s="12"/>
      <c r="K26815" s="12"/>
      <c r="L26815" s="12"/>
      <c r="M26815" s="11"/>
      <c r="N26815" s="11"/>
      <c r="O26815" s="11"/>
      <c r="P26815" s="11"/>
    </row>
    <row r="26816" spans="8:16" x14ac:dyDescent="0.25">
      <c r="H26816" s="12"/>
      <c r="I26816" s="12"/>
      <c r="J26816" s="12"/>
      <c r="K26816" s="12"/>
      <c r="L26816" s="12"/>
      <c r="M26816" s="11"/>
      <c r="N26816" s="11"/>
      <c r="O26816" s="11"/>
      <c r="P26816" s="11"/>
    </row>
    <row r="26817" spans="8:16" x14ac:dyDescent="0.25">
      <c r="H26817" s="12"/>
      <c r="I26817" s="12"/>
      <c r="J26817" s="12"/>
      <c r="K26817" s="12"/>
      <c r="L26817" s="12"/>
      <c r="M26817" s="11"/>
      <c r="N26817" s="11"/>
      <c r="O26817" s="11"/>
      <c r="P26817" s="11"/>
    </row>
    <row r="26818" spans="8:16" x14ac:dyDescent="0.25">
      <c r="H26818" s="12"/>
      <c r="I26818" s="12"/>
      <c r="J26818" s="12"/>
      <c r="K26818" s="12"/>
      <c r="L26818" s="12"/>
      <c r="M26818" s="11"/>
      <c r="N26818" s="11"/>
      <c r="O26818" s="11"/>
      <c r="P26818" s="11"/>
    </row>
    <row r="26819" spans="8:16" x14ac:dyDescent="0.25">
      <c r="H26819" s="12"/>
      <c r="I26819" s="12"/>
      <c r="J26819" s="12"/>
      <c r="K26819" s="12"/>
      <c r="L26819" s="12"/>
      <c r="M26819" s="11"/>
      <c r="N26819" s="11"/>
      <c r="O26819" s="11"/>
      <c r="P26819" s="11"/>
    </row>
    <row r="26820" spans="8:16" x14ac:dyDescent="0.25">
      <c r="H26820" s="12"/>
      <c r="I26820" s="12"/>
      <c r="J26820" s="12"/>
      <c r="K26820" s="12"/>
      <c r="L26820" s="12"/>
      <c r="M26820" s="11"/>
      <c r="N26820" s="11"/>
      <c r="O26820" s="11"/>
      <c r="P26820" s="11"/>
    </row>
    <row r="26821" spans="8:16" x14ac:dyDescent="0.25">
      <c r="H26821" s="12"/>
      <c r="I26821" s="12"/>
      <c r="J26821" s="12"/>
      <c r="K26821" s="12"/>
      <c r="L26821" s="12"/>
      <c r="M26821" s="11"/>
      <c r="N26821" s="11"/>
      <c r="O26821" s="11"/>
      <c r="P26821" s="11"/>
    </row>
    <row r="26822" spans="8:16" x14ac:dyDescent="0.25">
      <c r="H26822" s="12"/>
      <c r="I26822" s="12"/>
      <c r="J26822" s="12"/>
      <c r="K26822" s="12"/>
      <c r="L26822" s="12"/>
      <c r="M26822" s="11"/>
      <c r="N26822" s="11"/>
      <c r="O26822" s="11"/>
      <c r="P26822" s="11"/>
    </row>
    <row r="26823" spans="8:16" x14ac:dyDescent="0.25">
      <c r="H26823" s="12"/>
      <c r="I26823" s="12"/>
      <c r="J26823" s="12"/>
      <c r="K26823" s="12"/>
      <c r="L26823" s="12"/>
      <c r="M26823" s="11"/>
      <c r="N26823" s="11"/>
      <c r="O26823" s="11"/>
      <c r="P26823" s="11"/>
    </row>
    <row r="26824" spans="8:16" x14ac:dyDescent="0.25">
      <c r="H26824" s="12"/>
      <c r="I26824" s="12"/>
      <c r="J26824" s="12"/>
      <c r="K26824" s="12"/>
      <c r="L26824" s="12"/>
      <c r="M26824" s="11"/>
      <c r="N26824" s="11"/>
      <c r="O26824" s="11"/>
      <c r="P26824" s="11"/>
    </row>
    <row r="26825" spans="8:16" x14ac:dyDescent="0.25">
      <c r="H26825" s="12"/>
      <c r="I26825" s="12"/>
      <c r="J26825" s="12"/>
      <c r="K26825" s="12"/>
      <c r="L26825" s="12"/>
      <c r="M26825" s="11"/>
      <c r="N26825" s="11"/>
      <c r="O26825" s="11"/>
      <c r="P26825" s="11"/>
    </row>
    <row r="26826" spans="8:16" x14ac:dyDescent="0.25">
      <c r="H26826" s="12"/>
      <c r="I26826" s="12"/>
      <c r="J26826" s="12"/>
      <c r="K26826" s="12"/>
      <c r="L26826" s="12"/>
      <c r="M26826" s="11"/>
      <c r="N26826" s="11"/>
      <c r="O26826" s="11"/>
      <c r="P26826" s="11"/>
    </row>
    <row r="26827" spans="8:16" x14ac:dyDescent="0.25">
      <c r="H26827" s="12"/>
      <c r="I26827" s="12"/>
      <c r="J26827" s="12"/>
      <c r="K26827" s="12"/>
      <c r="L26827" s="12"/>
      <c r="M26827" s="11"/>
      <c r="N26827" s="11"/>
      <c r="O26827" s="11"/>
      <c r="P26827" s="11"/>
    </row>
    <row r="26828" spans="8:16" x14ac:dyDescent="0.25">
      <c r="H26828" s="12"/>
      <c r="I26828" s="12"/>
      <c r="J26828" s="12"/>
      <c r="K26828" s="12"/>
      <c r="L26828" s="12"/>
      <c r="M26828" s="11"/>
      <c r="N26828" s="11"/>
      <c r="O26828" s="11"/>
      <c r="P26828" s="11"/>
    </row>
    <row r="26829" spans="8:16" x14ac:dyDescent="0.25">
      <c r="H26829" s="12"/>
      <c r="I26829" s="12"/>
      <c r="J26829" s="12"/>
      <c r="K26829" s="12"/>
      <c r="L26829" s="12"/>
      <c r="M26829" s="11"/>
      <c r="N26829" s="11"/>
      <c r="O26829" s="11"/>
      <c r="P26829" s="11"/>
    </row>
    <row r="26830" spans="8:16" x14ac:dyDescent="0.25">
      <c r="H26830" s="12"/>
      <c r="I26830" s="12"/>
      <c r="J26830" s="12"/>
      <c r="K26830" s="12"/>
      <c r="L26830" s="12"/>
      <c r="M26830" s="11"/>
      <c r="N26830" s="11"/>
      <c r="O26830" s="11"/>
      <c r="P26830" s="11"/>
    </row>
    <row r="26831" spans="8:16" x14ac:dyDescent="0.25">
      <c r="H26831" s="12"/>
      <c r="I26831" s="12"/>
      <c r="J26831" s="12"/>
      <c r="K26831" s="12"/>
      <c r="L26831" s="12"/>
      <c r="M26831" s="11"/>
      <c r="N26831" s="11"/>
      <c r="O26831" s="11"/>
      <c r="P26831" s="11"/>
    </row>
    <row r="26832" spans="8:16" x14ac:dyDescent="0.25">
      <c r="H26832" s="12"/>
      <c r="I26832" s="12"/>
      <c r="J26832" s="12"/>
      <c r="K26832" s="12"/>
      <c r="L26832" s="12"/>
      <c r="M26832" s="11"/>
      <c r="N26832" s="11"/>
      <c r="O26832" s="11"/>
      <c r="P26832" s="11"/>
    </row>
    <row r="26833" spans="8:16" x14ac:dyDescent="0.25">
      <c r="H26833" s="12"/>
      <c r="I26833" s="12"/>
      <c r="J26833" s="12"/>
      <c r="K26833" s="12"/>
      <c r="L26833" s="12"/>
      <c r="M26833" s="11"/>
      <c r="N26833" s="11"/>
      <c r="O26833" s="11"/>
      <c r="P26833" s="11"/>
    </row>
    <row r="26834" spans="8:16" x14ac:dyDescent="0.25">
      <c r="H26834" s="12"/>
      <c r="I26834" s="12"/>
      <c r="J26834" s="12"/>
      <c r="K26834" s="12"/>
      <c r="L26834" s="12"/>
      <c r="M26834" s="11"/>
      <c r="N26834" s="11"/>
      <c r="O26834" s="11"/>
      <c r="P26834" s="11"/>
    </row>
    <row r="26835" spans="8:16" x14ac:dyDescent="0.25">
      <c r="H26835" s="12"/>
      <c r="I26835" s="12"/>
      <c r="J26835" s="12"/>
      <c r="K26835" s="12"/>
      <c r="L26835" s="12"/>
      <c r="M26835" s="11"/>
      <c r="N26835" s="11"/>
      <c r="O26835" s="11"/>
      <c r="P26835" s="11"/>
    </row>
    <row r="26836" spans="8:16" x14ac:dyDescent="0.25">
      <c r="H26836" s="12"/>
      <c r="I26836" s="12"/>
      <c r="J26836" s="12"/>
      <c r="K26836" s="12"/>
      <c r="L26836" s="12"/>
      <c r="M26836" s="11"/>
      <c r="N26836" s="11"/>
      <c r="O26836" s="11"/>
      <c r="P26836" s="11"/>
    </row>
    <row r="26837" spans="8:16" x14ac:dyDescent="0.25">
      <c r="H26837" s="12"/>
      <c r="I26837" s="12"/>
      <c r="J26837" s="12"/>
      <c r="K26837" s="12"/>
      <c r="L26837" s="12"/>
      <c r="M26837" s="11"/>
      <c r="N26837" s="11"/>
      <c r="O26837" s="11"/>
      <c r="P26837" s="11"/>
    </row>
    <row r="26838" spans="8:16" x14ac:dyDescent="0.25">
      <c r="H26838" s="12"/>
      <c r="I26838" s="12"/>
      <c r="J26838" s="12"/>
      <c r="K26838" s="12"/>
      <c r="L26838" s="12"/>
      <c r="M26838" s="11"/>
      <c r="N26838" s="11"/>
      <c r="O26838" s="11"/>
      <c r="P26838" s="11"/>
    </row>
    <row r="26839" spans="8:16" x14ac:dyDescent="0.25">
      <c r="H26839" s="12"/>
      <c r="I26839" s="12"/>
      <c r="J26839" s="12"/>
      <c r="K26839" s="12"/>
      <c r="L26839" s="12"/>
      <c r="M26839" s="11"/>
      <c r="N26839" s="11"/>
      <c r="O26839" s="11"/>
      <c r="P26839" s="11"/>
    </row>
    <row r="26840" spans="8:16" x14ac:dyDescent="0.25">
      <c r="H26840" s="12"/>
      <c r="I26840" s="12"/>
      <c r="J26840" s="12"/>
      <c r="K26840" s="12"/>
      <c r="L26840" s="12"/>
      <c r="M26840" s="11"/>
      <c r="N26840" s="11"/>
      <c r="O26840" s="11"/>
      <c r="P26840" s="11"/>
    </row>
    <row r="26841" spans="8:16" x14ac:dyDescent="0.25">
      <c r="H26841" s="12"/>
      <c r="I26841" s="12"/>
      <c r="J26841" s="12"/>
      <c r="K26841" s="12"/>
      <c r="L26841" s="12"/>
      <c r="M26841" s="11"/>
      <c r="N26841" s="11"/>
      <c r="O26841" s="11"/>
      <c r="P26841" s="11"/>
    </row>
    <row r="26842" spans="8:16" x14ac:dyDescent="0.25">
      <c r="H26842" s="12"/>
      <c r="I26842" s="12"/>
      <c r="J26842" s="12"/>
      <c r="K26842" s="12"/>
      <c r="L26842" s="12"/>
      <c r="M26842" s="11"/>
      <c r="N26842" s="11"/>
      <c r="O26842" s="11"/>
      <c r="P26842" s="11"/>
    </row>
    <row r="26843" spans="8:16" x14ac:dyDescent="0.25">
      <c r="H26843" s="12"/>
      <c r="I26843" s="12"/>
      <c r="J26843" s="12"/>
      <c r="K26843" s="12"/>
      <c r="L26843" s="12"/>
      <c r="M26843" s="11"/>
      <c r="N26843" s="11"/>
      <c r="O26843" s="11"/>
      <c r="P26843" s="11"/>
    </row>
    <row r="26844" spans="8:16" x14ac:dyDescent="0.25">
      <c r="H26844" s="12"/>
      <c r="I26844" s="12"/>
      <c r="J26844" s="12"/>
      <c r="K26844" s="12"/>
      <c r="L26844" s="12"/>
      <c r="M26844" s="11"/>
      <c r="N26844" s="11"/>
      <c r="O26844" s="11"/>
      <c r="P26844" s="11"/>
    </row>
    <row r="26845" spans="8:16" x14ac:dyDescent="0.25">
      <c r="H26845" s="12"/>
      <c r="I26845" s="12"/>
      <c r="J26845" s="12"/>
      <c r="K26845" s="12"/>
      <c r="L26845" s="12"/>
      <c r="M26845" s="11"/>
      <c r="N26845" s="11"/>
      <c r="O26845" s="11"/>
      <c r="P26845" s="11"/>
    </row>
    <row r="26846" spans="8:16" x14ac:dyDescent="0.25">
      <c r="H26846" s="12"/>
      <c r="I26846" s="12"/>
      <c r="J26846" s="12"/>
      <c r="K26846" s="12"/>
      <c r="L26846" s="12"/>
      <c r="M26846" s="11"/>
      <c r="N26846" s="11"/>
      <c r="O26846" s="11"/>
      <c r="P26846" s="11"/>
    </row>
    <row r="26847" spans="8:16" x14ac:dyDescent="0.25">
      <c r="H26847" s="12"/>
      <c r="I26847" s="12"/>
      <c r="J26847" s="12"/>
      <c r="K26847" s="12"/>
      <c r="L26847" s="12"/>
      <c r="M26847" s="11"/>
      <c r="N26847" s="11"/>
      <c r="O26847" s="11"/>
      <c r="P26847" s="11"/>
    </row>
    <row r="26848" spans="8:16" x14ac:dyDescent="0.25">
      <c r="H26848" s="12"/>
      <c r="I26848" s="12"/>
      <c r="J26848" s="12"/>
      <c r="K26848" s="12"/>
      <c r="L26848" s="12"/>
      <c r="M26848" s="11"/>
      <c r="N26848" s="11"/>
      <c r="O26848" s="11"/>
      <c r="P26848" s="11"/>
    </row>
    <row r="26849" spans="8:16" x14ac:dyDescent="0.25">
      <c r="H26849" s="12"/>
      <c r="I26849" s="12"/>
      <c r="J26849" s="12"/>
      <c r="K26849" s="12"/>
      <c r="L26849" s="12"/>
      <c r="M26849" s="11"/>
      <c r="N26849" s="11"/>
      <c r="O26849" s="11"/>
      <c r="P26849" s="11"/>
    </row>
    <row r="26850" spans="8:16" x14ac:dyDescent="0.25">
      <c r="H26850" s="12"/>
      <c r="I26850" s="12"/>
      <c r="J26850" s="12"/>
      <c r="K26850" s="12"/>
      <c r="L26850" s="12"/>
      <c r="M26850" s="11"/>
      <c r="N26850" s="11"/>
      <c r="O26850" s="11"/>
      <c r="P26850" s="11"/>
    </row>
    <row r="26851" spans="8:16" x14ac:dyDescent="0.25">
      <c r="H26851" s="12"/>
      <c r="I26851" s="12"/>
      <c r="J26851" s="12"/>
      <c r="K26851" s="12"/>
      <c r="L26851" s="12"/>
      <c r="M26851" s="11"/>
      <c r="N26851" s="11"/>
      <c r="O26851" s="11"/>
      <c r="P26851" s="11"/>
    </row>
    <row r="26852" spans="8:16" x14ac:dyDescent="0.25">
      <c r="H26852" s="12"/>
      <c r="I26852" s="12"/>
      <c r="J26852" s="12"/>
      <c r="K26852" s="12"/>
      <c r="L26852" s="12"/>
      <c r="M26852" s="11"/>
      <c r="N26852" s="11"/>
      <c r="O26852" s="11"/>
      <c r="P26852" s="11"/>
    </row>
    <row r="26853" spans="8:16" x14ac:dyDescent="0.25">
      <c r="H26853" s="12"/>
      <c r="I26853" s="12"/>
      <c r="J26853" s="12"/>
      <c r="K26853" s="12"/>
      <c r="L26853" s="12"/>
      <c r="M26853" s="11"/>
      <c r="N26853" s="11"/>
      <c r="O26853" s="11"/>
      <c r="P26853" s="11"/>
    </row>
    <row r="26854" spans="8:16" x14ac:dyDescent="0.25">
      <c r="H26854" s="12"/>
      <c r="I26854" s="12"/>
      <c r="J26854" s="12"/>
      <c r="K26854" s="12"/>
      <c r="L26854" s="12"/>
      <c r="M26854" s="11"/>
      <c r="N26854" s="11"/>
      <c r="O26854" s="11"/>
      <c r="P26854" s="11"/>
    </row>
    <row r="26855" spans="8:16" x14ac:dyDescent="0.25">
      <c r="H26855" s="12"/>
      <c r="I26855" s="12"/>
      <c r="J26855" s="12"/>
      <c r="K26855" s="12"/>
      <c r="L26855" s="12"/>
      <c r="M26855" s="11"/>
      <c r="N26855" s="11"/>
      <c r="O26855" s="11"/>
      <c r="P26855" s="11"/>
    </row>
    <row r="26856" spans="8:16" x14ac:dyDescent="0.25">
      <c r="H26856" s="12"/>
      <c r="I26856" s="12"/>
      <c r="J26856" s="12"/>
      <c r="K26856" s="12"/>
      <c r="L26856" s="12"/>
      <c r="M26856" s="11"/>
      <c r="N26856" s="11"/>
      <c r="O26856" s="11"/>
      <c r="P26856" s="11"/>
    </row>
    <row r="26857" spans="8:16" x14ac:dyDescent="0.25">
      <c r="H26857" s="12"/>
      <c r="I26857" s="12"/>
      <c r="J26857" s="12"/>
      <c r="K26857" s="12"/>
      <c r="L26857" s="12"/>
      <c r="M26857" s="11"/>
      <c r="N26857" s="11"/>
      <c r="O26857" s="11"/>
      <c r="P26857" s="11"/>
    </row>
    <row r="26858" spans="8:16" x14ac:dyDescent="0.25">
      <c r="H26858" s="12"/>
      <c r="I26858" s="12"/>
      <c r="J26858" s="12"/>
      <c r="K26858" s="12"/>
      <c r="L26858" s="12"/>
      <c r="M26858" s="11"/>
      <c r="N26858" s="11"/>
      <c r="O26858" s="11"/>
      <c r="P26858" s="11"/>
    </row>
    <row r="26859" spans="8:16" x14ac:dyDescent="0.25">
      <c r="H26859" s="12"/>
      <c r="I26859" s="12"/>
      <c r="J26859" s="12"/>
      <c r="K26859" s="12"/>
      <c r="L26859" s="12"/>
      <c r="M26859" s="11"/>
      <c r="N26859" s="11"/>
      <c r="O26859" s="11"/>
      <c r="P26859" s="11"/>
    </row>
    <row r="26860" spans="8:16" x14ac:dyDescent="0.25">
      <c r="H26860" s="12"/>
      <c r="I26860" s="12"/>
      <c r="J26860" s="12"/>
      <c r="K26860" s="12"/>
      <c r="L26860" s="12"/>
      <c r="M26860" s="11"/>
      <c r="N26860" s="11"/>
      <c r="O26860" s="11"/>
      <c r="P26860" s="11"/>
    </row>
    <row r="26861" spans="8:16" x14ac:dyDescent="0.25">
      <c r="H26861" s="12"/>
      <c r="I26861" s="12"/>
      <c r="J26861" s="12"/>
      <c r="K26861" s="12"/>
      <c r="L26861" s="12"/>
      <c r="M26861" s="11"/>
      <c r="N26861" s="11"/>
      <c r="O26861" s="11"/>
      <c r="P26861" s="11"/>
    </row>
    <row r="26862" spans="8:16" x14ac:dyDescent="0.25">
      <c r="H26862" s="12"/>
      <c r="I26862" s="12"/>
      <c r="J26862" s="12"/>
      <c r="K26862" s="12"/>
      <c r="L26862" s="12"/>
      <c r="M26862" s="11"/>
      <c r="N26862" s="11"/>
      <c r="O26862" s="11"/>
      <c r="P26862" s="11"/>
    </row>
    <row r="26863" spans="8:16" x14ac:dyDescent="0.25">
      <c r="H26863" s="12"/>
      <c r="I26863" s="12"/>
      <c r="J26863" s="12"/>
      <c r="K26863" s="12"/>
      <c r="L26863" s="12"/>
      <c r="M26863" s="11"/>
      <c r="N26863" s="11"/>
      <c r="O26863" s="11"/>
      <c r="P26863" s="11"/>
    </row>
    <row r="26864" spans="8:16" x14ac:dyDescent="0.25">
      <c r="H26864" s="12"/>
      <c r="I26864" s="12"/>
      <c r="J26864" s="12"/>
      <c r="K26864" s="12"/>
      <c r="L26864" s="12"/>
      <c r="M26864" s="11"/>
      <c r="N26864" s="11"/>
      <c r="O26864" s="11"/>
      <c r="P26864" s="11"/>
    </row>
    <row r="26865" spans="8:16" x14ac:dyDescent="0.25">
      <c r="H26865" s="12"/>
      <c r="I26865" s="12"/>
      <c r="J26865" s="12"/>
      <c r="K26865" s="12"/>
      <c r="L26865" s="12"/>
      <c r="M26865" s="11"/>
      <c r="N26865" s="11"/>
      <c r="O26865" s="11"/>
      <c r="P26865" s="11"/>
    </row>
    <row r="26866" spans="8:16" x14ac:dyDescent="0.25">
      <c r="H26866" s="12"/>
      <c r="I26866" s="12"/>
      <c r="J26866" s="12"/>
      <c r="K26866" s="12"/>
      <c r="L26866" s="12"/>
      <c r="M26866" s="11"/>
      <c r="N26866" s="11"/>
      <c r="O26866" s="11"/>
      <c r="P26866" s="11"/>
    </row>
    <row r="26867" spans="8:16" x14ac:dyDescent="0.25">
      <c r="H26867" s="12"/>
      <c r="I26867" s="12"/>
      <c r="J26867" s="12"/>
      <c r="K26867" s="12"/>
      <c r="L26867" s="12"/>
      <c r="M26867" s="11"/>
      <c r="N26867" s="11"/>
      <c r="O26867" s="11"/>
      <c r="P26867" s="11"/>
    </row>
    <row r="26868" spans="8:16" x14ac:dyDescent="0.25">
      <c r="H26868" s="12"/>
      <c r="I26868" s="12"/>
      <c r="J26868" s="12"/>
      <c r="K26868" s="12"/>
      <c r="L26868" s="12"/>
      <c r="M26868" s="11"/>
      <c r="N26868" s="11"/>
      <c r="O26868" s="11"/>
      <c r="P26868" s="11"/>
    </row>
    <row r="26869" spans="8:16" x14ac:dyDescent="0.25">
      <c r="H26869" s="12"/>
      <c r="I26869" s="12"/>
      <c r="J26869" s="12"/>
      <c r="K26869" s="12"/>
      <c r="L26869" s="12"/>
      <c r="M26869" s="11"/>
      <c r="N26869" s="11"/>
      <c r="O26869" s="11"/>
      <c r="P26869" s="11"/>
    </row>
    <row r="26870" spans="8:16" x14ac:dyDescent="0.25">
      <c r="H26870" s="12"/>
      <c r="I26870" s="12"/>
      <c r="J26870" s="12"/>
      <c r="K26870" s="12"/>
      <c r="L26870" s="12"/>
      <c r="M26870" s="11"/>
      <c r="N26870" s="11"/>
      <c r="O26870" s="11"/>
      <c r="P26870" s="11"/>
    </row>
    <row r="26871" spans="8:16" x14ac:dyDescent="0.25">
      <c r="H26871" s="12"/>
      <c r="I26871" s="12"/>
      <c r="J26871" s="12"/>
      <c r="K26871" s="12"/>
      <c r="L26871" s="12"/>
      <c r="M26871" s="11"/>
      <c r="N26871" s="11"/>
      <c r="O26871" s="11"/>
      <c r="P26871" s="11"/>
    </row>
    <row r="26872" spans="8:16" x14ac:dyDescent="0.25">
      <c r="H26872" s="12"/>
      <c r="I26872" s="12"/>
      <c r="J26872" s="12"/>
      <c r="K26872" s="12"/>
      <c r="L26872" s="12"/>
      <c r="M26872" s="11"/>
      <c r="N26872" s="11"/>
      <c r="O26872" s="11"/>
      <c r="P26872" s="11"/>
    </row>
    <row r="26873" spans="8:16" x14ac:dyDescent="0.25">
      <c r="H26873" s="12"/>
      <c r="I26873" s="12"/>
      <c r="J26873" s="12"/>
      <c r="K26873" s="12"/>
      <c r="L26873" s="12"/>
      <c r="M26873" s="11"/>
      <c r="N26873" s="11"/>
      <c r="O26873" s="11"/>
      <c r="P26873" s="11"/>
    </row>
    <row r="26874" spans="8:16" x14ac:dyDescent="0.25">
      <c r="H26874" s="12"/>
      <c r="I26874" s="12"/>
      <c r="J26874" s="12"/>
      <c r="K26874" s="12"/>
      <c r="L26874" s="12"/>
      <c r="M26874" s="11"/>
      <c r="N26874" s="11"/>
      <c r="O26874" s="11"/>
      <c r="P26874" s="11"/>
    </row>
    <row r="26875" spans="8:16" x14ac:dyDescent="0.25">
      <c r="H26875" s="12"/>
      <c r="I26875" s="12"/>
      <c r="J26875" s="12"/>
      <c r="K26875" s="12"/>
      <c r="L26875" s="12"/>
      <c r="M26875" s="11"/>
      <c r="N26875" s="11"/>
      <c r="O26875" s="11"/>
      <c r="P26875" s="11"/>
    </row>
    <row r="26876" spans="8:16" x14ac:dyDescent="0.25">
      <c r="H26876" s="12"/>
      <c r="I26876" s="12"/>
      <c r="J26876" s="12"/>
      <c r="K26876" s="12"/>
      <c r="L26876" s="12"/>
      <c r="M26876" s="11"/>
      <c r="N26876" s="11"/>
      <c r="O26876" s="11"/>
      <c r="P26876" s="11"/>
    </row>
    <row r="26877" spans="8:16" x14ac:dyDescent="0.25">
      <c r="H26877" s="12"/>
      <c r="I26877" s="12"/>
      <c r="J26877" s="12"/>
      <c r="K26877" s="12"/>
      <c r="L26877" s="12"/>
      <c r="M26877" s="11"/>
      <c r="N26877" s="11"/>
      <c r="O26877" s="11"/>
      <c r="P26877" s="11"/>
    </row>
    <row r="26878" spans="8:16" x14ac:dyDescent="0.25">
      <c r="H26878" s="12"/>
      <c r="I26878" s="12"/>
      <c r="J26878" s="12"/>
      <c r="K26878" s="12"/>
      <c r="L26878" s="12"/>
      <c r="M26878" s="11"/>
      <c r="N26878" s="11"/>
      <c r="O26878" s="11"/>
      <c r="P26878" s="11"/>
    </row>
    <row r="26879" spans="8:16" x14ac:dyDescent="0.25">
      <c r="H26879" s="12"/>
      <c r="I26879" s="12"/>
      <c r="J26879" s="12"/>
      <c r="K26879" s="12"/>
      <c r="L26879" s="12"/>
      <c r="M26879" s="11"/>
      <c r="N26879" s="11"/>
      <c r="O26879" s="11"/>
      <c r="P26879" s="11"/>
    </row>
    <row r="26880" spans="8:16" x14ac:dyDescent="0.25">
      <c r="H26880" s="12"/>
      <c r="I26880" s="12"/>
      <c r="J26880" s="12"/>
      <c r="K26880" s="12"/>
      <c r="L26880" s="12"/>
      <c r="M26880" s="11"/>
      <c r="N26880" s="11"/>
      <c r="O26880" s="11"/>
      <c r="P26880" s="11"/>
    </row>
    <row r="26881" spans="8:16" x14ac:dyDescent="0.25">
      <c r="H26881" s="12"/>
      <c r="I26881" s="12"/>
      <c r="J26881" s="12"/>
      <c r="K26881" s="12"/>
      <c r="L26881" s="12"/>
      <c r="M26881" s="11"/>
      <c r="N26881" s="11"/>
      <c r="O26881" s="11"/>
      <c r="P26881" s="11"/>
    </row>
    <row r="26882" spans="8:16" x14ac:dyDescent="0.25">
      <c r="H26882" s="12"/>
      <c r="I26882" s="12"/>
      <c r="J26882" s="12"/>
      <c r="K26882" s="12"/>
      <c r="L26882" s="12"/>
      <c r="M26882" s="11"/>
      <c r="N26882" s="11"/>
      <c r="O26882" s="11"/>
      <c r="P26882" s="11"/>
    </row>
    <row r="26883" spans="8:16" x14ac:dyDescent="0.25">
      <c r="H26883" s="12"/>
      <c r="I26883" s="12"/>
      <c r="J26883" s="12"/>
      <c r="K26883" s="12"/>
      <c r="L26883" s="12"/>
      <c r="M26883" s="11"/>
      <c r="N26883" s="11"/>
      <c r="O26883" s="11"/>
      <c r="P26883" s="11"/>
    </row>
    <row r="26884" spans="8:16" x14ac:dyDescent="0.25">
      <c r="H26884" s="12"/>
      <c r="I26884" s="12"/>
      <c r="J26884" s="12"/>
      <c r="K26884" s="12"/>
      <c r="L26884" s="12"/>
      <c r="M26884" s="11"/>
      <c r="N26884" s="11"/>
      <c r="O26884" s="11"/>
      <c r="P26884" s="11"/>
    </row>
    <row r="26885" spans="8:16" x14ac:dyDescent="0.25">
      <c r="H26885" s="12"/>
      <c r="I26885" s="12"/>
      <c r="J26885" s="12"/>
      <c r="K26885" s="12"/>
      <c r="L26885" s="12"/>
      <c r="M26885" s="11"/>
      <c r="N26885" s="11"/>
      <c r="O26885" s="11"/>
      <c r="P26885" s="11"/>
    </row>
    <row r="26886" spans="8:16" x14ac:dyDescent="0.25">
      <c r="H26886" s="12"/>
      <c r="I26886" s="12"/>
      <c r="J26886" s="12"/>
      <c r="K26886" s="12"/>
      <c r="L26886" s="12"/>
      <c r="M26886" s="11"/>
      <c r="N26886" s="11"/>
      <c r="O26886" s="11"/>
      <c r="P26886" s="11"/>
    </row>
    <row r="26887" spans="8:16" x14ac:dyDescent="0.25">
      <c r="H26887" s="12"/>
      <c r="I26887" s="12"/>
      <c r="J26887" s="12"/>
      <c r="K26887" s="12"/>
      <c r="L26887" s="12"/>
      <c r="M26887" s="11"/>
      <c r="N26887" s="11"/>
      <c r="O26887" s="11"/>
      <c r="P26887" s="11"/>
    </row>
    <row r="26888" spans="8:16" x14ac:dyDescent="0.25">
      <c r="H26888" s="12"/>
      <c r="I26888" s="12"/>
      <c r="J26888" s="12"/>
      <c r="K26888" s="12"/>
      <c r="L26888" s="12"/>
      <c r="M26888" s="11"/>
      <c r="N26888" s="11"/>
      <c r="O26888" s="11"/>
      <c r="P26888" s="11"/>
    </row>
    <row r="26889" spans="8:16" x14ac:dyDescent="0.25">
      <c r="H26889" s="12"/>
      <c r="I26889" s="12"/>
      <c r="J26889" s="12"/>
      <c r="K26889" s="12"/>
      <c r="L26889" s="12"/>
      <c r="M26889" s="11"/>
      <c r="N26889" s="11"/>
      <c r="O26889" s="11"/>
      <c r="P26889" s="11"/>
    </row>
    <row r="26890" spans="8:16" x14ac:dyDescent="0.25">
      <c r="H26890" s="12"/>
      <c r="I26890" s="12"/>
      <c r="J26890" s="12"/>
      <c r="K26890" s="12"/>
      <c r="L26890" s="12"/>
      <c r="M26890" s="11"/>
      <c r="N26890" s="11"/>
      <c r="O26890" s="11"/>
      <c r="P26890" s="11"/>
    </row>
    <row r="26891" spans="8:16" x14ac:dyDescent="0.25">
      <c r="H26891" s="12"/>
      <c r="I26891" s="12"/>
      <c r="J26891" s="12"/>
      <c r="K26891" s="12"/>
      <c r="L26891" s="12"/>
      <c r="M26891" s="11"/>
      <c r="N26891" s="11"/>
      <c r="O26891" s="11"/>
      <c r="P26891" s="11"/>
    </row>
    <row r="26892" spans="8:16" x14ac:dyDescent="0.25">
      <c r="H26892" s="12"/>
      <c r="I26892" s="12"/>
      <c r="J26892" s="12"/>
      <c r="K26892" s="12"/>
      <c r="L26892" s="12"/>
      <c r="M26892" s="11"/>
      <c r="N26892" s="11"/>
      <c r="O26892" s="11"/>
      <c r="P26892" s="11"/>
    </row>
    <row r="26893" spans="8:16" x14ac:dyDescent="0.25">
      <c r="H26893" s="12"/>
      <c r="I26893" s="12"/>
      <c r="J26893" s="12"/>
      <c r="K26893" s="12"/>
      <c r="L26893" s="12"/>
      <c r="M26893" s="11"/>
      <c r="N26893" s="11"/>
      <c r="O26893" s="11"/>
      <c r="P26893" s="11"/>
    </row>
    <row r="26894" spans="8:16" x14ac:dyDescent="0.25">
      <c r="H26894" s="12"/>
      <c r="I26894" s="12"/>
      <c r="J26894" s="12"/>
      <c r="K26894" s="12"/>
      <c r="L26894" s="12"/>
      <c r="M26894" s="11"/>
      <c r="N26894" s="11"/>
      <c r="O26894" s="11"/>
      <c r="P26894" s="11"/>
    </row>
    <row r="26895" spans="8:16" x14ac:dyDescent="0.25">
      <c r="H26895" s="12"/>
      <c r="I26895" s="12"/>
      <c r="J26895" s="12"/>
      <c r="K26895" s="12"/>
      <c r="L26895" s="12"/>
      <c r="M26895" s="11"/>
      <c r="N26895" s="11"/>
      <c r="O26895" s="11"/>
      <c r="P26895" s="11"/>
    </row>
    <row r="26896" spans="8:16" x14ac:dyDescent="0.25">
      <c r="H26896" s="12"/>
      <c r="I26896" s="12"/>
      <c r="J26896" s="12"/>
      <c r="K26896" s="12"/>
      <c r="L26896" s="12"/>
      <c r="M26896" s="11"/>
      <c r="N26896" s="11"/>
      <c r="O26896" s="11"/>
      <c r="P26896" s="11"/>
    </row>
    <row r="26897" spans="8:16" x14ac:dyDescent="0.25">
      <c r="H26897" s="12"/>
      <c r="I26897" s="12"/>
      <c r="J26897" s="12"/>
      <c r="K26897" s="12"/>
      <c r="L26897" s="12"/>
      <c r="M26897" s="11"/>
      <c r="N26897" s="11"/>
      <c r="O26897" s="11"/>
      <c r="P26897" s="11"/>
    </row>
    <row r="26898" spans="8:16" x14ac:dyDescent="0.25">
      <c r="H26898" s="12"/>
      <c r="I26898" s="12"/>
      <c r="J26898" s="12"/>
      <c r="K26898" s="12"/>
      <c r="L26898" s="12"/>
      <c r="M26898" s="11"/>
      <c r="N26898" s="11"/>
      <c r="O26898" s="11"/>
      <c r="P26898" s="11"/>
    </row>
    <row r="26899" spans="8:16" x14ac:dyDescent="0.25">
      <c r="H26899" s="12"/>
      <c r="I26899" s="12"/>
      <c r="J26899" s="12"/>
      <c r="K26899" s="12"/>
      <c r="L26899" s="12"/>
      <c r="M26899" s="11"/>
      <c r="N26899" s="11"/>
      <c r="O26899" s="11"/>
      <c r="P26899" s="11"/>
    </row>
    <row r="26900" spans="8:16" x14ac:dyDescent="0.25">
      <c r="H26900" s="12"/>
      <c r="I26900" s="12"/>
      <c r="J26900" s="12"/>
      <c r="K26900" s="12"/>
      <c r="L26900" s="12"/>
      <c r="M26900" s="11"/>
      <c r="N26900" s="11"/>
      <c r="O26900" s="11"/>
      <c r="P26900" s="11"/>
    </row>
    <row r="26901" spans="8:16" x14ac:dyDescent="0.25">
      <c r="H26901" s="12"/>
      <c r="I26901" s="12"/>
      <c r="J26901" s="12"/>
      <c r="K26901" s="12"/>
      <c r="L26901" s="12"/>
      <c r="M26901" s="11"/>
      <c r="N26901" s="11"/>
      <c r="O26901" s="11"/>
      <c r="P26901" s="11"/>
    </row>
    <row r="26902" spans="8:16" x14ac:dyDescent="0.25">
      <c r="H26902" s="12"/>
      <c r="I26902" s="12"/>
      <c r="J26902" s="12"/>
      <c r="K26902" s="12"/>
      <c r="L26902" s="12"/>
      <c r="M26902" s="11"/>
      <c r="N26902" s="11"/>
      <c r="O26902" s="11"/>
      <c r="P26902" s="11"/>
    </row>
    <row r="26903" spans="8:16" x14ac:dyDescent="0.25">
      <c r="H26903" s="12"/>
      <c r="I26903" s="12"/>
      <c r="J26903" s="12"/>
      <c r="K26903" s="12"/>
      <c r="L26903" s="12"/>
      <c r="M26903" s="11"/>
      <c r="N26903" s="11"/>
      <c r="O26903" s="11"/>
      <c r="P26903" s="11"/>
    </row>
    <row r="26904" spans="8:16" x14ac:dyDescent="0.25">
      <c r="H26904" s="12"/>
      <c r="I26904" s="12"/>
      <c r="J26904" s="12"/>
      <c r="K26904" s="12"/>
      <c r="L26904" s="12"/>
      <c r="M26904" s="11"/>
      <c r="N26904" s="11"/>
      <c r="O26904" s="11"/>
      <c r="P26904" s="11"/>
    </row>
    <row r="26905" spans="8:16" x14ac:dyDescent="0.25">
      <c r="H26905" s="12"/>
      <c r="I26905" s="12"/>
      <c r="J26905" s="12"/>
      <c r="K26905" s="12"/>
      <c r="L26905" s="12"/>
      <c r="M26905" s="11"/>
      <c r="N26905" s="11"/>
      <c r="O26905" s="11"/>
      <c r="P26905" s="11"/>
    </row>
    <row r="26906" spans="8:16" x14ac:dyDescent="0.25">
      <c r="H26906" s="12"/>
      <c r="I26906" s="12"/>
      <c r="J26906" s="12"/>
      <c r="K26906" s="12"/>
      <c r="L26906" s="12"/>
      <c r="M26906" s="11"/>
      <c r="N26906" s="11"/>
      <c r="O26906" s="11"/>
      <c r="P26906" s="11"/>
    </row>
    <row r="26907" spans="8:16" x14ac:dyDescent="0.25">
      <c r="H26907" s="12"/>
      <c r="I26907" s="12"/>
      <c r="J26907" s="12"/>
      <c r="K26907" s="12"/>
      <c r="L26907" s="12"/>
      <c r="M26907" s="11"/>
      <c r="N26907" s="11"/>
      <c r="O26907" s="11"/>
      <c r="P26907" s="11"/>
    </row>
    <row r="26908" spans="8:16" x14ac:dyDescent="0.25">
      <c r="H26908" s="12"/>
      <c r="I26908" s="12"/>
      <c r="J26908" s="12"/>
      <c r="K26908" s="12"/>
      <c r="L26908" s="12"/>
      <c r="M26908" s="11"/>
      <c r="N26908" s="11"/>
      <c r="O26908" s="11"/>
      <c r="P26908" s="11"/>
    </row>
    <row r="26909" spans="8:16" x14ac:dyDescent="0.25">
      <c r="H26909" s="12"/>
      <c r="I26909" s="12"/>
      <c r="J26909" s="12"/>
      <c r="K26909" s="12"/>
      <c r="L26909" s="12"/>
      <c r="M26909" s="11"/>
      <c r="N26909" s="11"/>
      <c r="O26909" s="11"/>
      <c r="P26909" s="11"/>
    </row>
    <row r="26910" spans="8:16" x14ac:dyDescent="0.25">
      <c r="H26910" s="12"/>
      <c r="I26910" s="12"/>
      <c r="J26910" s="12"/>
      <c r="K26910" s="12"/>
      <c r="L26910" s="12"/>
      <c r="M26910" s="11"/>
      <c r="N26910" s="11"/>
      <c r="O26910" s="11"/>
      <c r="P26910" s="11"/>
    </row>
    <row r="26911" spans="8:16" x14ac:dyDescent="0.25">
      <c r="H26911" s="12"/>
      <c r="I26911" s="12"/>
      <c r="J26911" s="12"/>
      <c r="K26911" s="12"/>
      <c r="L26911" s="12"/>
      <c r="M26911" s="11"/>
      <c r="N26911" s="11"/>
      <c r="O26911" s="11"/>
      <c r="P26911" s="11"/>
    </row>
    <row r="26912" spans="8:16" x14ac:dyDescent="0.25">
      <c r="H26912" s="12"/>
      <c r="I26912" s="12"/>
      <c r="J26912" s="12"/>
      <c r="K26912" s="12"/>
      <c r="L26912" s="12"/>
      <c r="M26912" s="11"/>
      <c r="N26912" s="11"/>
      <c r="O26912" s="11"/>
      <c r="P26912" s="11"/>
    </row>
    <row r="26913" spans="8:16" x14ac:dyDescent="0.25">
      <c r="H26913" s="12"/>
      <c r="I26913" s="12"/>
      <c r="J26913" s="12"/>
      <c r="K26913" s="12"/>
      <c r="L26913" s="12"/>
      <c r="M26913" s="11"/>
      <c r="N26913" s="11"/>
      <c r="O26913" s="11"/>
      <c r="P26913" s="11"/>
    </row>
    <row r="26914" spans="8:16" x14ac:dyDescent="0.25">
      <c r="H26914" s="12"/>
      <c r="I26914" s="12"/>
      <c r="J26914" s="12"/>
      <c r="K26914" s="12"/>
      <c r="L26914" s="12"/>
      <c r="M26914" s="11"/>
      <c r="N26914" s="11"/>
      <c r="O26914" s="11"/>
      <c r="P26914" s="11"/>
    </row>
    <row r="26915" spans="8:16" x14ac:dyDescent="0.25">
      <c r="H26915" s="12"/>
      <c r="I26915" s="12"/>
      <c r="J26915" s="12"/>
      <c r="K26915" s="12"/>
      <c r="L26915" s="12"/>
      <c r="M26915" s="11"/>
      <c r="N26915" s="11"/>
      <c r="O26915" s="11"/>
      <c r="P26915" s="11"/>
    </row>
    <row r="26916" spans="8:16" x14ac:dyDescent="0.25">
      <c r="H26916" s="12"/>
      <c r="I26916" s="12"/>
      <c r="J26916" s="12"/>
      <c r="K26916" s="12"/>
      <c r="L26916" s="12"/>
      <c r="M26916" s="11"/>
      <c r="N26916" s="11"/>
      <c r="O26916" s="11"/>
      <c r="P26916" s="11"/>
    </row>
    <row r="26917" spans="8:16" x14ac:dyDescent="0.25">
      <c r="H26917" s="12"/>
      <c r="I26917" s="12"/>
      <c r="J26917" s="12"/>
      <c r="K26917" s="12"/>
      <c r="L26917" s="12"/>
      <c r="M26917" s="11"/>
      <c r="N26917" s="11"/>
      <c r="O26917" s="11"/>
      <c r="P26917" s="11"/>
    </row>
    <row r="26918" spans="8:16" x14ac:dyDescent="0.25">
      <c r="H26918" s="12"/>
      <c r="I26918" s="12"/>
      <c r="J26918" s="12"/>
      <c r="K26918" s="12"/>
      <c r="L26918" s="12"/>
      <c r="M26918" s="11"/>
      <c r="N26918" s="11"/>
      <c r="O26918" s="11"/>
      <c r="P26918" s="11"/>
    </row>
    <row r="26919" spans="8:16" x14ac:dyDescent="0.25">
      <c r="H26919" s="12"/>
      <c r="I26919" s="12"/>
      <c r="J26919" s="12"/>
      <c r="K26919" s="12"/>
      <c r="L26919" s="12"/>
      <c r="M26919" s="11"/>
      <c r="N26919" s="11"/>
      <c r="O26919" s="11"/>
      <c r="P26919" s="11"/>
    </row>
    <row r="26920" spans="8:16" x14ac:dyDescent="0.25">
      <c r="H26920" s="12"/>
      <c r="I26920" s="12"/>
      <c r="J26920" s="12"/>
      <c r="K26920" s="12"/>
      <c r="L26920" s="12"/>
      <c r="M26920" s="11"/>
      <c r="N26920" s="11"/>
      <c r="O26920" s="11"/>
      <c r="P26920" s="11"/>
    </row>
    <row r="26921" spans="8:16" x14ac:dyDescent="0.25">
      <c r="H26921" s="12"/>
      <c r="I26921" s="12"/>
      <c r="J26921" s="12"/>
      <c r="K26921" s="12"/>
      <c r="L26921" s="12"/>
      <c r="M26921" s="11"/>
      <c r="N26921" s="11"/>
      <c r="O26921" s="11"/>
      <c r="P26921" s="11"/>
    </row>
    <row r="26922" spans="8:16" x14ac:dyDescent="0.25">
      <c r="H26922" s="12"/>
      <c r="I26922" s="12"/>
      <c r="J26922" s="12"/>
      <c r="K26922" s="12"/>
      <c r="L26922" s="12"/>
      <c r="M26922" s="11"/>
      <c r="N26922" s="11"/>
      <c r="O26922" s="11"/>
      <c r="P26922" s="11"/>
    </row>
    <row r="26923" spans="8:16" x14ac:dyDescent="0.25">
      <c r="H26923" s="12"/>
      <c r="I26923" s="12"/>
      <c r="J26923" s="12"/>
      <c r="K26923" s="12"/>
      <c r="L26923" s="12"/>
      <c r="M26923" s="11"/>
      <c r="N26923" s="11"/>
      <c r="O26923" s="11"/>
      <c r="P26923" s="11"/>
    </row>
    <row r="26924" spans="8:16" x14ac:dyDescent="0.25">
      <c r="H26924" s="12"/>
      <c r="I26924" s="12"/>
      <c r="J26924" s="12"/>
      <c r="K26924" s="12"/>
      <c r="L26924" s="12"/>
      <c r="M26924" s="11"/>
      <c r="N26924" s="11"/>
      <c r="O26924" s="11"/>
      <c r="P26924" s="11"/>
    </row>
    <row r="26925" spans="8:16" x14ac:dyDescent="0.25">
      <c r="H26925" s="12"/>
      <c r="I26925" s="12"/>
      <c r="J26925" s="12"/>
      <c r="K26925" s="12"/>
      <c r="L26925" s="12"/>
      <c r="M26925" s="11"/>
      <c r="N26925" s="11"/>
      <c r="O26925" s="11"/>
      <c r="P26925" s="11"/>
    </row>
    <row r="26926" spans="8:16" x14ac:dyDescent="0.25">
      <c r="H26926" s="12"/>
      <c r="I26926" s="12"/>
      <c r="J26926" s="12"/>
      <c r="K26926" s="12"/>
      <c r="L26926" s="12"/>
      <c r="M26926" s="11"/>
      <c r="N26926" s="11"/>
      <c r="O26926" s="11"/>
      <c r="P26926" s="11"/>
    </row>
    <row r="26927" spans="8:16" x14ac:dyDescent="0.25">
      <c r="H26927" s="12"/>
      <c r="I26927" s="12"/>
      <c r="J26927" s="12"/>
      <c r="K26927" s="12"/>
      <c r="L26927" s="12"/>
      <c r="M26927" s="11"/>
      <c r="N26927" s="11"/>
      <c r="O26927" s="11"/>
      <c r="P26927" s="11"/>
    </row>
    <row r="26928" spans="8:16" x14ac:dyDescent="0.25">
      <c r="H26928" s="12"/>
      <c r="I26928" s="12"/>
      <c r="J26928" s="12"/>
      <c r="K26928" s="12"/>
      <c r="L26928" s="12"/>
      <c r="M26928" s="11"/>
      <c r="N26928" s="11"/>
      <c r="O26928" s="11"/>
      <c r="P26928" s="11"/>
    </row>
    <row r="26929" spans="8:16" x14ac:dyDescent="0.25">
      <c r="H26929" s="12"/>
      <c r="I26929" s="12"/>
      <c r="J26929" s="12"/>
      <c r="K26929" s="12"/>
      <c r="L26929" s="12"/>
      <c r="M26929" s="11"/>
      <c r="N26929" s="11"/>
      <c r="O26929" s="11"/>
      <c r="P26929" s="11"/>
    </row>
    <row r="26930" spans="8:16" x14ac:dyDescent="0.25">
      <c r="H26930" s="12"/>
      <c r="I26930" s="12"/>
      <c r="J26930" s="12"/>
      <c r="K26930" s="12"/>
      <c r="L26930" s="12"/>
      <c r="M26930" s="11"/>
      <c r="N26930" s="11"/>
      <c r="O26930" s="11"/>
      <c r="P26930" s="11"/>
    </row>
    <row r="26931" spans="8:16" x14ac:dyDescent="0.25">
      <c r="H26931" s="12"/>
      <c r="I26931" s="12"/>
      <c r="J26931" s="12"/>
      <c r="K26931" s="12"/>
      <c r="L26931" s="12"/>
      <c r="M26931" s="11"/>
      <c r="N26931" s="11"/>
      <c r="O26931" s="11"/>
      <c r="P26931" s="11"/>
    </row>
    <row r="26932" spans="8:16" x14ac:dyDescent="0.25">
      <c r="H26932" s="12"/>
      <c r="I26932" s="12"/>
      <c r="J26932" s="12"/>
      <c r="K26932" s="12"/>
      <c r="L26932" s="12"/>
      <c r="M26932" s="11"/>
      <c r="N26932" s="11"/>
      <c r="O26932" s="11"/>
      <c r="P26932" s="11"/>
    </row>
    <row r="26933" spans="8:16" x14ac:dyDescent="0.25">
      <c r="H26933" s="12"/>
      <c r="I26933" s="12"/>
      <c r="J26933" s="12"/>
      <c r="K26933" s="12"/>
      <c r="L26933" s="12"/>
      <c r="M26933" s="11"/>
      <c r="N26933" s="11"/>
      <c r="O26933" s="11"/>
      <c r="P26933" s="11"/>
    </row>
    <row r="26934" spans="8:16" x14ac:dyDescent="0.25">
      <c r="H26934" s="12"/>
      <c r="I26934" s="12"/>
      <c r="J26934" s="12"/>
      <c r="K26934" s="12"/>
      <c r="L26934" s="12"/>
      <c r="M26934" s="11"/>
      <c r="N26934" s="11"/>
      <c r="O26934" s="11"/>
      <c r="P26934" s="11"/>
    </row>
    <row r="26935" spans="8:16" x14ac:dyDescent="0.25">
      <c r="H26935" s="12"/>
      <c r="I26935" s="12"/>
      <c r="J26935" s="12"/>
      <c r="K26935" s="12"/>
      <c r="L26935" s="12"/>
      <c r="M26935" s="11"/>
      <c r="N26935" s="11"/>
      <c r="O26935" s="11"/>
      <c r="P26935" s="11"/>
    </row>
    <row r="26936" spans="8:16" x14ac:dyDescent="0.25">
      <c r="H26936" s="12"/>
      <c r="I26936" s="12"/>
      <c r="J26936" s="12"/>
      <c r="K26936" s="12"/>
      <c r="L26936" s="12"/>
      <c r="M26936" s="11"/>
      <c r="N26936" s="11"/>
      <c r="O26936" s="11"/>
      <c r="P26936" s="11"/>
    </row>
    <row r="26937" spans="8:16" x14ac:dyDescent="0.25">
      <c r="H26937" s="12"/>
      <c r="I26937" s="12"/>
      <c r="J26937" s="12"/>
      <c r="K26937" s="12"/>
      <c r="L26937" s="12"/>
      <c r="M26937" s="11"/>
      <c r="N26937" s="11"/>
      <c r="O26937" s="11"/>
      <c r="P26937" s="11"/>
    </row>
    <row r="26938" spans="8:16" x14ac:dyDescent="0.25">
      <c r="H26938" s="12"/>
      <c r="I26938" s="12"/>
      <c r="J26938" s="12"/>
      <c r="K26938" s="12"/>
      <c r="L26938" s="12"/>
      <c r="M26938" s="11"/>
      <c r="N26938" s="11"/>
      <c r="O26938" s="11"/>
      <c r="P26938" s="11"/>
    </row>
    <row r="26939" spans="8:16" x14ac:dyDescent="0.25">
      <c r="H26939" s="12"/>
      <c r="I26939" s="12"/>
      <c r="J26939" s="12"/>
      <c r="K26939" s="12"/>
      <c r="L26939" s="12"/>
      <c r="M26939" s="11"/>
      <c r="N26939" s="11"/>
      <c r="O26939" s="11"/>
      <c r="P26939" s="11"/>
    </row>
    <row r="26940" spans="8:16" x14ac:dyDescent="0.25">
      <c r="H26940" s="12"/>
      <c r="I26940" s="12"/>
      <c r="J26940" s="12"/>
      <c r="K26940" s="12"/>
      <c r="L26940" s="12"/>
      <c r="M26940" s="11"/>
      <c r="N26940" s="11"/>
      <c r="O26940" s="11"/>
      <c r="P26940" s="11"/>
    </row>
    <row r="26941" spans="8:16" x14ac:dyDescent="0.25">
      <c r="H26941" s="12"/>
      <c r="I26941" s="12"/>
      <c r="J26941" s="12"/>
      <c r="K26941" s="12"/>
      <c r="L26941" s="12"/>
      <c r="M26941" s="11"/>
      <c r="N26941" s="11"/>
      <c r="O26941" s="11"/>
      <c r="P26941" s="11"/>
    </row>
    <row r="26942" spans="8:16" x14ac:dyDescent="0.25">
      <c r="H26942" s="12"/>
      <c r="I26942" s="12"/>
      <c r="J26942" s="12"/>
      <c r="K26942" s="12"/>
      <c r="L26942" s="12"/>
      <c r="M26942" s="11"/>
      <c r="N26942" s="11"/>
      <c r="O26942" s="11"/>
      <c r="P26942" s="11"/>
    </row>
    <row r="26943" spans="8:16" x14ac:dyDescent="0.25">
      <c r="H26943" s="12"/>
      <c r="I26943" s="12"/>
      <c r="J26943" s="12"/>
      <c r="K26943" s="12"/>
      <c r="L26943" s="12"/>
      <c r="M26943" s="11"/>
      <c r="N26943" s="11"/>
      <c r="O26943" s="11"/>
      <c r="P26943" s="11"/>
    </row>
    <row r="26944" spans="8:16" x14ac:dyDescent="0.25">
      <c r="H26944" s="12"/>
      <c r="I26944" s="12"/>
      <c r="J26944" s="12"/>
      <c r="K26944" s="12"/>
      <c r="L26944" s="12"/>
      <c r="M26944" s="11"/>
      <c r="N26944" s="11"/>
      <c r="O26944" s="11"/>
      <c r="P26944" s="11"/>
    </row>
    <row r="26945" spans="8:16" x14ac:dyDescent="0.25">
      <c r="H26945" s="12"/>
      <c r="I26945" s="12"/>
      <c r="J26945" s="12"/>
      <c r="K26945" s="12"/>
      <c r="L26945" s="12"/>
      <c r="M26945" s="11"/>
      <c r="N26945" s="11"/>
      <c r="O26945" s="11"/>
      <c r="P26945" s="11"/>
    </row>
    <row r="26946" spans="8:16" x14ac:dyDescent="0.25">
      <c r="H26946" s="12"/>
      <c r="I26946" s="12"/>
      <c r="J26946" s="12"/>
      <c r="K26946" s="12"/>
      <c r="L26946" s="12"/>
      <c r="M26946" s="11"/>
      <c r="N26946" s="11"/>
      <c r="O26946" s="11"/>
      <c r="P26946" s="11"/>
    </row>
    <row r="26947" spans="8:16" x14ac:dyDescent="0.25">
      <c r="H26947" s="12"/>
      <c r="I26947" s="12"/>
      <c r="J26947" s="12"/>
      <c r="K26947" s="12"/>
      <c r="L26947" s="12"/>
      <c r="M26947" s="11"/>
      <c r="N26947" s="11"/>
      <c r="O26947" s="11"/>
      <c r="P26947" s="11"/>
    </row>
    <row r="26948" spans="8:16" x14ac:dyDescent="0.25">
      <c r="H26948" s="12"/>
      <c r="I26948" s="12"/>
      <c r="J26948" s="12"/>
      <c r="K26948" s="12"/>
      <c r="L26948" s="12"/>
      <c r="M26948" s="11"/>
      <c r="N26948" s="11"/>
      <c r="O26948" s="11"/>
      <c r="P26948" s="11"/>
    </row>
    <row r="26949" spans="8:16" x14ac:dyDescent="0.25">
      <c r="H26949" s="12"/>
      <c r="I26949" s="12"/>
      <c r="J26949" s="12"/>
      <c r="K26949" s="12"/>
      <c r="L26949" s="12"/>
      <c r="M26949" s="11"/>
      <c r="N26949" s="11"/>
      <c r="O26949" s="11"/>
      <c r="P26949" s="11"/>
    </row>
    <row r="26950" spans="8:16" x14ac:dyDescent="0.25">
      <c r="H26950" s="12"/>
      <c r="I26950" s="12"/>
      <c r="J26950" s="12"/>
      <c r="K26950" s="12"/>
      <c r="L26950" s="12"/>
      <c r="M26950" s="11"/>
      <c r="N26950" s="11"/>
      <c r="O26950" s="11"/>
      <c r="P26950" s="11"/>
    </row>
    <row r="26951" spans="8:16" x14ac:dyDescent="0.25">
      <c r="H26951" s="12"/>
      <c r="I26951" s="12"/>
      <c r="J26951" s="12"/>
      <c r="K26951" s="12"/>
      <c r="L26951" s="12"/>
      <c r="M26951" s="11"/>
      <c r="N26951" s="11"/>
      <c r="O26951" s="11"/>
      <c r="P26951" s="11"/>
    </row>
    <row r="26952" spans="8:16" x14ac:dyDescent="0.25">
      <c r="H26952" s="12"/>
      <c r="I26952" s="12"/>
      <c r="J26952" s="12"/>
      <c r="K26952" s="12"/>
      <c r="L26952" s="12"/>
      <c r="M26952" s="11"/>
      <c r="N26952" s="11"/>
      <c r="O26952" s="11"/>
      <c r="P26952" s="11"/>
    </row>
    <row r="26953" spans="8:16" x14ac:dyDescent="0.25">
      <c r="H26953" s="12"/>
      <c r="I26953" s="12"/>
      <c r="J26953" s="12"/>
      <c r="K26953" s="12"/>
      <c r="L26953" s="12"/>
      <c r="M26953" s="11"/>
      <c r="N26953" s="11"/>
      <c r="O26953" s="11"/>
      <c r="P26953" s="11"/>
    </row>
    <row r="26954" spans="8:16" x14ac:dyDescent="0.25">
      <c r="H26954" s="12"/>
      <c r="I26954" s="12"/>
      <c r="J26954" s="12"/>
      <c r="K26954" s="12"/>
      <c r="L26954" s="12"/>
      <c r="M26954" s="11"/>
      <c r="N26954" s="11"/>
      <c r="O26954" s="11"/>
      <c r="P26954" s="11"/>
    </row>
    <row r="26955" spans="8:16" x14ac:dyDescent="0.25">
      <c r="H26955" s="12"/>
      <c r="I26955" s="12"/>
      <c r="J26955" s="12"/>
      <c r="K26955" s="12"/>
      <c r="L26955" s="12"/>
      <c r="M26955" s="11"/>
      <c r="N26955" s="11"/>
      <c r="O26955" s="11"/>
      <c r="P26955" s="11"/>
    </row>
    <row r="26956" spans="8:16" x14ac:dyDescent="0.25">
      <c r="H26956" s="12"/>
      <c r="I26956" s="12"/>
      <c r="J26956" s="12"/>
      <c r="K26956" s="12"/>
      <c r="L26956" s="12"/>
      <c r="M26956" s="11"/>
      <c r="N26956" s="11"/>
      <c r="O26956" s="11"/>
      <c r="P26956" s="11"/>
    </row>
    <row r="26957" spans="8:16" x14ac:dyDescent="0.25">
      <c r="H26957" s="12"/>
      <c r="I26957" s="12"/>
      <c r="J26957" s="12"/>
      <c r="K26957" s="12"/>
      <c r="L26957" s="12"/>
      <c r="M26957" s="11"/>
      <c r="N26957" s="11"/>
      <c r="O26957" s="11"/>
      <c r="P26957" s="11"/>
    </row>
    <row r="26958" spans="8:16" x14ac:dyDescent="0.25">
      <c r="H26958" s="12"/>
      <c r="I26958" s="12"/>
      <c r="J26958" s="12"/>
      <c r="K26958" s="12"/>
      <c r="L26958" s="12"/>
      <c r="M26958" s="11"/>
      <c r="N26958" s="11"/>
      <c r="O26958" s="11"/>
      <c r="P26958" s="11"/>
    </row>
    <row r="26959" spans="8:16" x14ac:dyDescent="0.25">
      <c r="H26959" s="12"/>
      <c r="I26959" s="12"/>
      <c r="J26959" s="12"/>
      <c r="K26959" s="12"/>
      <c r="L26959" s="12"/>
      <c r="M26959" s="11"/>
      <c r="N26959" s="11"/>
      <c r="O26959" s="11"/>
      <c r="P26959" s="11"/>
    </row>
    <row r="26960" spans="8:16" x14ac:dyDescent="0.25">
      <c r="H26960" s="12"/>
      <c r="I26960" s="12"/>
      <c r="J26960" s="12"/>
      <c r="K26960" s="12"/>
      <c r="L26960" s="12"/>
      <c r="M26960" s="11"/>
      <c r="N26960" s="11"/>
      <c r="O26960" s="11"/>
      <c r="P26960" s="11"/>
    </row>
    <row r="26961" spans="8:16" x14ac:dyDescent="0.25">
      <c r="H26961" s="12"/>
      <c r="I26961" s="12"/>
      <c r="J26961" s="12"/>
      <c r="K26961" s="12"/>
      <c r="L26961" s="12"/>
      <c r="M26961" s="11"/>
      <c r="N26961" s="11"/>
      <c r="O26961" s="11"/>
      <c r="P26961" s="11"/>
    </row>
    <row r="26962" spans="8:16" x14ac:dyDescent="0.25">
      <c r="H26962" s="12"/>
      <c r="I26962" s="12"/>
      <c r="J26962" s="12"/>
      <c r="K26962" s="12"/>
      <c r="L26962" s="12"/>
      <c r="M26962" s="11"/>
      <c r="N26962" s="11"/>
      <c r="O26962" s="11"/>
      <c r="P26962" s="11"/>
    </row>
    <row r="26963" spans="8:16" x14ac:dyDescent="0.25">
      <c r="H26963" s="12"/>
      <c r="I26963" s="12"/>
      <c r="J26963" s="12"/>
      <c r="K26963" s="12"/>
      <c r="L26963" s="12"/>
      <c r="M26963" s="11"/>
      <c r="N26963" s="11"/>
      <c r="O26963" s="11"/>
      <c r="P26963" s="11"/>
    </row>
    <row r="26964" spans="8:16" x14ac:dyDescent="0.25">
      <c r="H26964" s="12"/>
      <c r="I26964" s="12"/>
      <c r="J26964" s="12"/>
      <c r="K26964" s="12"/>
      <c r="L26964" s="12"/>
      <c r="M26964" s="11"/>
      <c r="N26964" s="11"/>
      <c r="O26964" s="11"/>
      <c r="P26964" s="11"/>
    </row>
    <row r="26965" spans="8:16" x14ac:dyDescent="0.25">
      <c r="H26965" s="12"/>
      <c r="I26965" s="12"/>
      <c r="J26965" s="12"/>
      <c r="K26965" s="12"/>
      <c r="L26965" s="12"/>
      <c r="M26965" s="11"/>
      <c r="N26965" s="11"/>
      <c r="O26965" s="11"/>
      <c r="P26965" s="11"/>
    </row>
    <row r="26966" spans="8:16" x14ac:dyDescent="0.25">
      <c r="H26966" s="12"/>
      <c r="I26966" s="12"/>
      <c r="J26966" s="12"/>
      <c r="K26966" s="12"/>
      <c r="L26966" s="12"/>
      <c r="M26966" s="11"/>
      <c r="N26966" s="11"/>
      <c r="O26966" s="11"/>
      <c r="P26966" s="11"/>
    </row>
    <row r="26967" spans="8:16" x14ac:dyDescent="0.25">
      <c r="H26967" s="12"/>
      <c r="I26967" s="12"/>
      <c r="J26967" s="12"/>
      <c r="K26967" s="12"/>
      <c r="L26967" s="12"/>
      <c r="M26967" s="11"/>
      <c r="N26967" s="11"/>
      <c r="O26967" s="11"/>
      <c r="P26967" s="11"/>
    </row>
    <row r="26968" spans="8:16" x14ac:dyDescent="0.25">
      <c r="H26968" s="12"/>
      <c r="I26968" s="12"/>
      <c r="J26968" s="12"/>
      <c r="K26968" s="12"/>
      <c r="L26968" s="12"/>
      <c r="M26968" s="11"/>
      <c r="N26968" s="11"/>
      <c r="O26968" s="11"/>
      <c r="P26968" s="11"/>
    </row>
    <row r="26969" spans="8:16" x14ac:dyDescent="0.25">
      <c r="H26969" s="12"/>
      <c r="I26969" s="12"/>
      <c r="J26969" s="12"/>
      <c r="K26969" s="12"/>
      <c r="L26969" s="12"/>
      <c r="M26969" s="11"/>
      <c r="N26969" s="11"/>
      <c r="O26969" s="11"/>
      <c r="P26969" s="11"/>
    </row>
    <row r="26970" spans="8:16" x14ac:dyDescent="0.25">
      <c r="H26970" s="12"/>
      <c r="I26970" s="12"/>
      <c r="J26970" s="12"/>
      <c r="K26970" s="12"/>
      <c r="L26970" s="12"/>
      <c r="M26970" s="11"/>
      <c r="N26970" s="11"/>
      <c r="O26970" s="11"/>
      <c r="P26970" s="11"/>
    </row>
    <row r="26971" spans="8:16" x14ac:dyDescent="0.25">
      <c r="H26971" s="12"/>
      <c r="I26971" s="12"/>
      <c r="J26971" s="12"/>
      <c r="K26971" s="12"/>
      <c r="L26971" s="12"/>
      <c r="M26971" s="11"/>
      <c r="N26971" s="11"/>
      <c r="O26971" s="11"/>
      <c r="P26971" s="11"/>
    </row>
    <row r="26972" spans="8:16" x14ac:dyDescent="0.25">
      <c r="H26972" s="12"/>
      <c r="I26972" s="12"/>
      <c r="J26972" s="12"/>
      <c r="K26972" s="12"/>
      <c r="L26972" s="12"/>
      <c r="M26972" s="11"/>
      <c r="N26972" s="11"/>
      <c r="O26972" s="11"/>
      <c r="P26972" s="11"/>
    </row>
    <row r="26973" spans="8:16" x14ac:dyDescent="0.25">
      <c r="H26973" s="12"/>
      <c r="I26973" s="12"/>
      <c r="J26973" s="12"/>
      <c r="K26973" s="12"/>
      <c r="L26973" s="12"/>
      <c r="M26973" s="11"/>
      <c r="N26973" s="11"/>
      <c r="O26973" s="11"/>
      <c r="P26973" s="11"/>
    </row>
    <row r="26974" spans="8:16" x14ac:dyDescent="0.25">
      <c r="H26974" s="12"/>
      <c r="I26974" s="12"/>
      <c r="J26974" s="12"/>
      <c r="K26974" s="12"/>
      <c r="L26974" s="12"/>
      <c r="M26974" s="11"/>
      <c r="N26974" s="11"/>
      <c r="O26974" s="11"/>
      <c r="P26974" s="11"/>
    </row>
    <row r="26975" spans="8:16" x14ac:dyDescent="0.25">
      <c r="H26975" s="12"/>
      <c r="I26975" s="12"/>
      <c r="J26975" s="12"/>
      <c r="K26975" s="12"/>
      <c r="L26975" s="12"/>
      <c r="M26975" s="11"/>
      <c r="N26975" s="11"/>
      <c r="O26975" s="11"/>
      <c r="P26975" s="11"/>
    </row>
    <row r="26976" spans="8:16" x14ac:dyDescent="0.25">
      <c r="H26976" s="12"/>
      <c r="I26976" s="12"/>
      <c r="J26976" s="12"/>
      <c r="K26976" s="12"/>
      <c r="L26976" s="12"/>
      <c r="M26976" s="11"/>
      <c r="N26976" s="11"/>
      <c r="O26976" s="11"/>
      <c r="P26976" s="11"/>
    </row>
    <row r="26977" spans="8:16" x14ac:dyDescent="0.25">
      <c r="H26977" s="12"/>
      <c r="I26977" s="12"/>
      <c r="J26977" s="12"/>
      <c r="K26977" s="12"/>
      <c r="L26977" s="12"/>
      <c r="M26977" s="11"/>
      <c r="N26977" s="11"/>
      <c r="O26977" s="11"/>
      <c r="P26977" s="11"/>
    </row>
    <row r="26978" spans="8:16" x14ac:dyDescent="0.25">
      <c r="H26978" s="12"/>
      <c r="I26978" s="12"/>
      <c r="J26978" s="12"/>
      <c r="K26978" s="12"/>
      <c r="L26978" s="12"/>
      <c r="M26978" s="11"/>
      <c r="N26978" s="11"/>
      <c r="O26978" s="11"/>
      <c r="P26978" s="11"/>
    </row>
    <row r="26979" spans="8:16" x14ac:dyDescent="0.25">
      <c r="H26979" s="12"/>
      <c r="I26979" s="12"/>
      <c r="J26979" s="12"/>
      <c r="K26979" s="12"/>
      <c r="L26979" s="12"/>
      <c r="M26979" s="11"/>
      <c r="N26979" s="11"/>
      <c r="O26979" s="11"/>
      <c r="P26979" s="11"/>
    </row>
    <row r="26980" spans="8:16" x14ac:dyDescent="0.25">
      <c r="H26980" s="12"/>
      <c r="I26980" s="12"/>
      <c r="J26980" s="12"/>
      <c r="K26980" s="12"/>
      <c r="L26980" s="12"/>
      <c r="M26980" s="11"/>
      <c r="N26980" s="11"/>
      <c r="O26980" s="11"/>
      <c r="P26980" s="11"/>
    </row>
    <row r="26981" spans="8:16" x14ac:dyDescent="0.25">
      <c r="H26981" s="12"/>
      <c r="I26981" s="12"/>
      <c r="J26981" s="12"/>
      <c r="K26981" s="12"/>
      <c r="L26981" s="12"/>
      <c r="M26981" s="11"/>
      <c r="N26981" s="11"/>
      <c r="O26981" s="11"/>
      <c r="P26981" s="11"/>
    </row>
    <row r="26982" spans="8:16" x14ac:dyDescent="0.25">
      <c r="H26982" s="12"/>
      <c r="I26982" s="12"/>
      <c r="J26982" s="12"/>
      <c r="K26982" s="12"/>
      <c r="L26982" s="12"/>
      <c r="M26982" s="11"/>
      <c r="N26982" s="11"/>
      <c r="O26982" s="11"/>
      <c r="P26982" s="11"/>
    </row>
    <row r="26983" spans="8:16" x14ac:dyDescent="0.25">
      <c r="H26983" s="12"/>
      <c r="I26983" s="12"/>
      <c r="J26983" s="12"/>
      <c r="K26983" s="12"/>
      <c r="L26983" s="12"/>
      <c r="M26983" s="11"/>
      <c r="N26983" s="11"/>
      <c r="O26983" s="11"/>
      <c r="P26983" s="11"/>
    </row>
    <row r="26984" spans="8:16" x14ac:dyDescent="0.25">
      <c r="H26984" s="12"/>
      <c r="I26984" s="12"/>
      <c r="J26984" s="12"/>
      <c r="K26984" s="12"/>
      <c r="L26984" s="12"/>
      <c r="M26984" s="11"/>
      <c r="N26984" s="11"/>
      <c r="O26984" s="11"/>
      <c r="P26984" s="11"/>
    </row>
    <row r="26985" spans="8:16" x14ac:dyDescent="0.25">
      <c r="H26985" s="12"/>
      <c r="I26985" s="12"/>
      <c r="J26985" s="12"/>
      <c r="K26985" s="12"/>
      <c r="L26985" s="12"/>
      <c r="M26985" s="11"/>
      <c r="N26985" s="11"/>
      <c r="O26985" s="11"/>
      <c r="P26985" s="11"/>
    </row>
    <row r="26986" spans="8:16" x14ac:dyDescent="0.25">
      <c r="H26986" s="12"/>
      <c r="I26986" s="12"/>
      <c r="J26986" s="12"/>
      <c r="K26986" s="12"/>
      <c r="L26986" s="12"/>
      <c r="M26986" s="11"/>
      <c r="N26986" s="11"/>
      <c r="O26986" s="11"/>
      <c r="P26986" s="11"/>
    </row>
    <row r="26987" spans="8:16" x14ac:dyDescent="0.25">
      <c r="H26987" s="12"/>
      <c r="I26987" s="12"/>
      <c r="J26987" s="12"/>
      <c r="K26987" s="12"/>
      <c r="L26987" s="12"/>
      <c r="M26987" s="11"/>
      <c r="N26987" s="11"/>
      <c r="O26987" s="11"/>
      <c r="P26987" s="11"/>
    </row>
    <row r="26988" spans="8:16" x14ac:dyDescent="0.25">
      <c r="H26988" s="12"/>
      <c r="I26988" s="12"/>
      <c r="J26988" s="12"/>
      <c r="K26988" s="12"/>
      <c r="L26988" s="12"/>
      <c r="M26988" s="11"/>
      <c r="N26988" s="11"/>
      <c r="O26988" s="11"/>
      <c r="P26988" s="11"/>
    </row>
    <row r="26989" spans="8:16" x14ac:dyDescent="0.25">
      <c r="H26989" s="12"/>
      <c r="I26989" s="12"/>
      <c r="J26989" s="12"/>
      <c r="K26989" s="12"/>
      <c r="L26989" s="12"/>
      <c r="M26989" s="11"/>
      <c r="N26989" s="11"/>
      <c r="O26989" s="11"/>
      <c r="P26989" s="11"/>
    </row>
    <row r="26990" spans="8:16" x14ac:dyDescent="0.25">
      <c r="H26990" s="12"/>
      <c r="I26990" s="12"/>
      <c r="J26990" s="12"/>
      <c r="K26990" s="12"/>
      <c r="L26990" s="12"/>
      <c r="M26990" s="11"/>
      <c r="N26990" s="11"/>
      <c r="O26990" s="11"/>
      <c r="P26990" s="11"/>
    </row>
    <row r="26991" spans="8:16" x14ac:dyDescent="0.25">
      <c r="H26991" s="12"/>
      <c r="I26991" s="12"/>
      <c r="J26991" s="12"/>
      <c r="K26991" s="12"/>
      <c r="L26991" s="12"/>
      <c r="M26991" s="11"/>
      <c r="N26991" s="11"/>
      <c r="O26991" s="11"/>
      <c r="P26991" s="11"/>
    </row>
    <row r="26992" spans="8:16" x14ac:dyDescent="0.25">
      <c r="H26992" s="12"/>
      <c r="I26992" s="12"/>
      <c r="J26992" s="12"/>
      <c r="K26992" s="12"/>
      <c r="L26992" s="12"/>
      <c r="M26992" s="11"/>
      <c r="N26992" s="11"/>
      <c r="O26992" s="11"/>
      <c r="P26992" s="11"/>
    </row>
    <row r="26993" spans="8:16" x14ac:dyDescent="0.25">
      <c r="H26993" s="12"/>
      <c r="I26993" s="12"/>
      <c r="J26993" s="12"/>
      <c r="K26993" s="12"/>
      <c r="L26993" s="12"/>
      <c r="M26993" s="11"/>
      <c r="N26993" s="11"/>
      <c r="O26993" s="11"/>
      <c r="P26993" s="11"/>
    </row>
    <row r="26994" spans="8:16" x14ac:dyDescent="0.25">
      <c r="H26994" s="12"/>
      <c r="I26994" s="12"/>
      <c r="J26994" s="12"/>
      <c r="K26994" s="12"/>
      <c r="L26994" s="12"/>
      <c r="M26994" s="11"/>
      <c r="N26994" s="11"/>
      <c r="O26994" s="11"/>
      <c r="P26994" s="11"/>
    </row>
    <row r="26995" spans="8:16" x14ac:dyDescent="0.25">
      <c r="H26995" s="12"/>
      <c r="I26995" s="12"/>
      <c r="J26995" s="12"/>
      <c r="K26995" s="12"/>
      <c r="L26995" s="12"/>
      <c r="M26995" s="11"/>
      <c r="N26995" s="11"/>
      <c r="O26995" s="11"/>
      <c r="P26995" s="11"/>
    </row>
    <row r="26996" spans="8:16" x14ac:dyDescent="0.25">
      <c r="H26996" s="12"/>
      <c r="I26996" s="12"/>
      <c r="J26996" s="12"/>
      <c r="K26996" s="12"/>
      <c r="L26996" s="12"/>
      <c r="M26996" s="11"/>
      <c r="N26996" s="11"/>
      <c r="O26996" s="11"/>
      <c r="P26996" s="11"/>
    </row>
    <row r="26997" spans="8:16" x14ac:dyDescent="0.25">
      <c r="H26997" s="12"/>
      <c r="I26997" s="12"/>
      <c r="J26997" s="12"/>
      <c r="K26997" s="12"/>
      <c r="L26997" s="12"/>
      <c r="M26997" s="11"/>
      <c r="N26997" s="11"/>
      <c r="O26997" s="11"/>
      <c r="P26997" s="11"/>
    </row>
    <row r="26998" spans="8:16" x14ac:dyDescent="0.25">
      <c r="H26998" s="12"/>
      <c r="I26998" s="12"/>
      <c r="J26998" s="12"/>
      <c r="K26998" s="12"/>
      <c r="L26998" s="12"/>
      <c r="M26998" s="11"/>
      <c r="N26998" s="11"/>
      <c r="O26998" s="11"/>
      <c r="P26998" s="11"/>
    </row>
    <row r="26999" spans="8:16" x14ac:dyDescent="0.25">
      <c r="H26999" s="12"/>
      <c r="I26999" s="12"/>
      <c r="J26999" s="12"/>
      <c r="K26999" s="12"/>
      <c r="L26999" s="12"/>
      <c r="M26999" s="11"/>
      <c r="N26999" s="11"/>
      <c r="O26999" s="11"/>
      <c r="P26999" s="11"/>
    </row>
    <row r="27000" spans="8:16" x14ac:dyDescent="0.25">
      <c r="H27000" s="12"/>
      <c r="I27000" s="12"/>
      <c r="J27000" s="12"/>
      <c r="K27000" s="12"/>
      <c r="L27000" s="12"/>
      <c r="M27000" s="11"/>
      <c r="N27000" s="11"/>
      <c r="O27000" s="11"/>
      <c r="P27000" s="11"/>
    </row>
    <row r="27001" spans="8:16" x14ac:dyDescent="0.25">
      <c r="H27001" s="12"/>
      <c r="I27001" s="12"/>
      <c r="J27001" s="12"/>
      <c r="K27001" s="12"/>
      <c r="L27001" s="12"/>
      <c r="M27001" s="11"/>
      <c r="N27001" s="11"/>
      <c r="O27001" s="11"/>
      <c r="P27001" s="11"/>
    </row>
    <row r="27002" spans="8:16" x14ac:dyDescent="0.25">
      <c r="H27002" s="12"/>
      <c r="I27002" s="12"/>
      <c r="J27002" s="12"/>
      <c r="K27002" s="12"/>
      <c r="L27002" s="12"/>
      <c r="M27002" s="11"/>
      <c r="N27002" s="11"/>
      <c r="O27002" s="11"/>
      <c r="P27002" s="11"/>
    </row>
    <row r="27003" spans="8:16" x14ac:dyDescent="0.25">
      <c r="H27003" s="12"/>
      <c r="I27003" s="12"/>
      <c r="J27003" s="12"/>
      <c r="K27003" s="12"/>
      <c r="L27003" s="12"/>
      <c r="M27003" s="11"/>
      <c r="N27003" s="11"/>
      <c r="O27003" s="11"/>
      <c r="P27003" s="11"/>
    </row>
    <row r="27004" spans="8:16" x14ac:dyDescent="0.25">
      <c r="H27004" s="12"/>
      <c r="I27004" s="12"/>
      <c r="J27004" s="12"/>
      <c r="K27004" s="12"/>
      <c r="L27004" s="12"/>
      <c r="M27004" s="11"/>
      <c r="N27004" s="11"/>
      <c r="O27004" s="11"/>
      <c r="P27004" s="11"/>
    </row>
    <row r="27005" spans="8:16" x14ac:dyDescent="0.25">
      <c r="H27005" s="12"/>
      <c r="I27005" s="12"/>
      <c r="J27005" s="12"/>
      <c r="K27005" s="12"/>
      <c r="L27005" s="12"/>
      <c r="M27005" s="11"/>
      <c r="N27005" s="11"/>
      <c r="O27005" s="11"/>
      <c r="P27005" s="11"/>
    </row>
    <row r="27006" spans="8:16" x14ac:dyDescent="0.25">
      <c r="H27006" s="12"/>
      <c r="I27006" s="12"/>
      <c r="J27006" s="12"/>
      <c r="K27006" s="12"/>
      <c r="L27006" s="12"/>
      <c r="M27006" s="11"/>
      <c r="N27006" s="11"/>
      <c r="O27006" s="11"/>
      <c r="P27006" s="11"/>
    </row>
    <row r="27007" spans="8:16" x14ac:dyDescent="0.25">
      <c r="H27007" s="12"/>
      <c r="I27007" s="12"/>
      <c r="J27007" s="12"/>
      <c r="K27007" s="12"/>
      <c r="L27007" s="12"/>
      <c r="M27007" s="11"/>
      <c r="N27007" s="11"/>
      <c r="O27007" s="11"/>
      <c r="P27007" s="11"/>
    </row>
    <row r="27008" spans="8:16" x14ac:dyDescent="0.25">
      <c r="H27008" s="12"/>
      <c r="I27008" s="12"/>
      <c r="J27008" s="12"/>
      <c r="K27008" s="12"/>
      <c r="L27008" s="12"/>
      <c r="M27008" s="11"/>
      <c r="N27008" s="11"/>
      <c r="O27008" s="11"/>
      <c r="P27008" s="11"/>
    </row>
    <row r="27009" spans="8:16" x14ac:dyDescent="0.25">
      <c r="H27009" s="12"/>
      <c r="I27009" s="12"/>
      <c r="J27009" s="12"/>
      <c r="K27009" s="12"/>
      <c r="L27009" s="12"/>
      <c r="M27009" s="11"/>
      <c r="N27009" s="11"/>
      <c r="O27009" s="11"/>
      <c r="P27009" s="11"/>
    </row>
    <row r="27010" spans="8:16" x14ac:dyDescent="0.25">
      <c r="H27010" s="12"/>
      <c r="I27010" s="12"/>
      <c r="J27010" s="12"/>
      <c r="K27010" s="12"/>
      <c r="L27010" s="12"/>
      <c r="M27010" s="11"/>
      <c r="N27010" s="11"/>
      <c r="O27010" s="11"/>
      <c r="P27010" s="11"/>
    </row>
    <row r="27011" spans="8:16" x14ac:dyDescent="0.25">
      <c r="H27011" s="12"/>
      <c r="I27011" s="12"/>
      <c r="J27011" s="12"/>
      <c r="K27011" s="12"/>
      <c r="L27011" s="12"/>
      <c r="M27011" s="11"/>
      <c r="N27011" s="11"/>
      <c r="O27011" s="11"/>
      <c r="P27011" s="11"/>
    </row>
    <row r="27012" spans="8:16" x14ac:dyDescent="0.25">
      <c r="H27012" s="12"/>
      <c r="I27012" s="12"/>
      <c r="J27012" s="12"/>
      <c r="K27012" s="12"/>
      <c r="L27012" s="12"/>
      <c r="M27012" s="11"/>
      <c r="N27012" s="11"/>
      <c r="O27012" s="11"/>
      <c r="P27012" s="11"/>
    </row>
    <row r="27013" spans="8:16" x14ac:dyDescent="0.25">
      <c r="H27013" s="12"/>
      <c r="I27013" s="12"/>
      <c r="J27013" s="12"/>
      <c r="K27013" s="12"/>
      <c r="L27013" s="12"/>
      <c r="M27013" s="11"/>
      <c r="N27013" s="11"/>
      <c r="O27013" s="11"/>
      <c r="P27013" s="11"/>
    </row>
    <row r="27014" spans="8:16" x14ac:dyDescent="0.25">
      <c r="H27014" s="12"/>
      <c r="I27014" s="12"/>
      <c r="J27014" s="12"/>
      <c r="K27014" s="12"/>
      <c r="L27014" s="12"/>
      <c r="M27014" s="11"/>
      <c r="N27014" s="11"/>
      <c r="O27014" s="11"/>
      <c r="P27014" s="11"/>
    </row>
    <row r="27015" spans="8:16" x14ac:dyDescent="0.25">
      <c r="H27015" s="12"/>
      <c r="I27015" s="12"/>
      <c r="J27015" s="12"/>
      <c r="K27015" s="12"/>
      <c r="L27015" s="12"/>
      <c r="M27015" s="11"/>
      <c r="N27015" s="11"/>
      <c r="O27015" s="11"/>
      <c r="P27015" s="11"/>
    </row>
    <row r="27016" spans="8:16" x14ac:dyDescent="0.25">
      <c r="H27016" s="12"/>
      <c r="I27016" s="12"/>
      <c r="J27016" s="12"/>
      <c r="K27016" s="12"/>
      <c r="L27016" s="12"/>
      <c r="M27016" s="11"/>
      <c r="N27016" s="11"/>
      <c r="O27016" s="11"/>
      <c r="P27016" s="11"/>
    </row>
    <row r="27017" spans="8:16" x14ac:dyDescent="0.25">
      <c r="H27017" s="12"/>
      <c r="I27017" s="12"/>
      <c r="J27017" s="12"/>
      <c r="K27017" s="12"/>
      <c r="L27017" s="12"/>
      <c r="M27017" s="11"/>
      <c r="N27017" s="11"/>
      <c r="O27017" s="11"/>
      <c r="P27017" s="11"/>
    </row>
    <row r="27018" spans="8:16" x14ac:dyDescent="0.25">
      <c r="H27018" s="12"/>
      <c r="I27018" s="12"/>
      <c r="J27018" s="12"/>
      <c r="K27018" s="12"/>
      <c r="L27018" s="12"/>
      <c r="M27018" s="11"/>
      <c r="N27018" s="11"/>
      <c r="O27018" s="11"/>
      <c r="P27018" s="11"/>
    </row>
    <row r="27019" spans="8:16" x14ac:dyDescent="0.25">
      <c r="H27019" s="12"/>
      <c r="I27019" s="12"/>
      <c r="J27019" s="12"/>
      <c r="K27019" s="12"/>
      <c r="L27019" s="12"/>
      <c r="M27019" s="11"/>
      <c r="N27019" s="11"/>
      <c r="O27019" s="11"/>
      <c r="P27019" s="11"/>
    </row>
    <row r="27020" spans="8:16" x14ac:dyDescent="0.25">
      <c r="H27020" s="12"/>
      <c r="I27020" s="12"/>
      <c r="J27020" s="12"/>
      <c r="K27020" s="12"/>
      <c r="L27020" s="12"/>
      <c r="M27020" s="11"/>
      <c r="N27020" s="11"/>
      <c r="O27020" s="11"/>
      <c r="P27020" s="11"/>
    </row>
    <row r="27021" spans="8:16" x14ac:dyDescent="0.25">
      <c r="H27021" s="12"/>
      <c r="I27021" s="12"/>
      <c r="J27021" s="12"/>
      <c r="K27021" s="12"/>
      <c r="L27021" s="12"/>
      <c r="M27021" s="11"/>
      <c r="N27021" s="11"/>
      <c r="O27021" s="11"/>
      <c r="P27021" s="11"/>
    </row>
    <row r="27022" spans="8:16" x14ac:dyDescent="0.25">
      <c r="H27022" s="12"/>
      <c r="I27022" s="12"/>
      <c r="J27022" s="12"/>
      <c r="K27022" s="12"/>
      <c r="L27022" s="12"/>
      <c r="M27022" s="11"/>
      <c r="N27022" s="11"/>
      <c r="O27022" s="11"/>
      <c r="P27022" s="11"/>
    </row>
    <row r="27023" spans="8:16" x14ac:dyDescent="0.25">
      <c r="H27023" s="12"/>
      <c r="I27023" s="12"/>
      <c r="J27023" s="12"/>
      <c r="K27023" s="12"/>
      <c r="L27023" s="12"/>
      <c r="M27023" s="11"/>
      <c r="N27023" s="11"/>
      <c r="O27023" s="11"/>
      <c r="P27023" s="11"/>
    </row>
    <row r="27024" spans="8:16" x14ac:dyDescent="0.25">
      <c r="H27024" s="12"/>
      <c r="I27024" s="12"/>
      <c r="J27024" s="12"/>
      <c r="K27024" s="12"/>
      <c r="L27024" s="12"/>
      <c r="M27024" s="11"/>
      <c r="N27024" s="11"/>
      <c r="O27024" s="11"/>
      <c r="P27024" s="11"/>
    </row>
    <row r="27025" spans="8:16" x14ac:dyDescent="0.25">
      <c r="H27025" s="12"/>
      <c r="I27025" s="12"/>
      <c r="J27025" s="12"/>
      <c r="K27025" s="12"/>
      <c r="L27025" s="12"/>
      <c r="M27025" s="11"/>
      <c r="N27025" s="11"/>
      <c r="O27025" s="11"/>
      <c r="P27025" s="11"/>
    </row>
    <row r="27026" spans="8:16" x14ac:dyDescent="0.25">
      <c r="H27026" s="12"/>
      <c r="I27026" s="12"/>
      <c r="J27026" s="12"/>
      <c r="K27026" s="12"/>
      <c r="L27026" s="12"/>
      <c r="M27026" s="11"/>
      <c r="N27026" s="11"/>
      <c r="O27026" s="11"/>
      <c r="P27026" s="11"/>
    </row>
    <row r="27027" spans="8:16" x14ac:dyDescent="0.25">
      <c r="H27027" s="12"/>
      <c r="I27027" s="12"/>
      <c r="J27027" s="12"/>
      <c r="K27027" s="12"/>
      <c r="L27027" s="12"/>
      <c r="M27027" s="11"/>
      <c r="N27027" s="11"/>
      <c r="O27027" s="11"/>
      <c r="P27027" s="11"/>
    </row>
    <row r="27028" spans="8:16" x14ac:dyDescent="0.25">
      <c r="H27028" s="12"/>
      <c r="I27028" s="12"/>
      <c r="J27028" s="12"/>
      <c r="K27028" s="12"/>
      <c r="L27028" s="12"/>
      <c r="M27028" s="11"/>
      <c r="N27028" s="11"/>
      <c r="O27028" s="11"/>
      <c r="P27028" s="11"/>
    </row>
    <row r="27029" spans="8:16" x14ac:dyDescent="0.25">
      <c r="H27029" s="12"/>
      <c r="I27029" s="12"/>
      <c r="J27029" s="12"/>
      <c r="K27029" s="12"/>
      <c r="L27029" s="12"/>
      <c r="M27029" s="11"/>
      <c r="N27029" s="11"/>
      <c r="O27029" s="11"/>
      <c r="P27029" s="11"/>
    </row>
    <row r="27030" spans="8:16" x14ac:dyDescent="0.25">
      <c r="H27030" s="12"/>
      <c r="I27030" s="12"/>
      <c r="J27030" s="12"/>
      <c r="K27030" s="12"/>
      <c r="L27030" s="12"/>
      <c r="M27030" s="11"/>
      <c r="N27030" s="11"/>
      <c r="O27030" s="11"/>
      <c r="P27030" s="11"/>
    </row>
    <row r="27031" spans="8:16" x14ac:dyDescent="0.25">
      <c r="H27031" s="12"/>
      <c r="I27031" s="12"/>
      <c r="J27031" s="12"/>
      <c r="K27031" s="12"/>
      <c r="L27031" s="12"/>
      <c r="M27031" s="11"/>
      <c r="N27031" s="11"/>
      <c r="O27031" s="11"/>
      <c r="P27031" s="11"/>
    </row>
    <row r="27032" spans="8:16" x14ac:dyDescent="0.25">
      <c r="H27032" s="12"/>
      <c r="I27032" s="12"/>
      <c r="J27032" s="12"/>
      <c r="K27032" s="12"/>
      <c r="L27032" s="12"/>
      <c r="M27032" s="11"/>
      <c r="N27032" s="11"/>
      <c r="O27032" s="11"/>
      <c r="P27032" s="11"/>
    </row>
    <row r="27033" spans="8:16" x14ac:dyDescent="0.25">
      <c r="H27033" s="12"/>
      <c r="I27033" s="12"/>
      <c r="J27033" s="12"/>
      <c r="K27033" s="12"/>
      <c r="L27033" s="12"/>
      <c r="M27033" s="11"/>
      <c r="N27033" s="11"/>
      <c r="O27033" s="11"/>
      <c r="P27033" s="11"/>
    </row>
    <row r="27034" spans="8:16" x14ac:dyDescent="0.25">
      <c r="H27034" s="12"/>
      <c r="I27034" s="12"/>
      <c r="J27034" s="12"/>
      <c r="K27034" s="12"/>
      <c r="L27034" s="12"/>
      <c r="M27034" s="11"/>
      <c r="N27034" s="11"/>
      <c r="O27034" s="11"/>
      <c r="P27034" s="11"/>
    </row>
    <row r="27035" spans="8:16" x14ac:dyDescent="0.25">
      <c r="H27035" s="12"/>
      <c r="I27035" s="12"/>
      <c r="J27035" s="12"/>
      <c r="K27035" s="12"/>
      <c r="L27035" s="12"/>
      <c r="M27035" s="11"/>
      <c r="N27035" s="11"/>
      <c r="O27035" s="11"/>
      <c r="P27035" s="11"/>
    </row>
    <row r="27036" spans="8:16" x14ac:dyDescent="0.25">
      <c r="H27036" s="12"/>
      <c r="I27036" s="12"/>
      <c r="J27036" s="12"/>
      <c r="K27036" s="12"/>
      <c r="L27036" s="12"/>
      <c r="M27036" s="11"/>
      <c r="N27036" s="11"/>
      <c r="O27036" s="11"/>
      <c r="P27036" s="11"/>
    </row>
    <row r="27037" spans="8:16" x14ac:dyDescent="0.25">
      <c r="H27037" s="12"/>
      <c r="I27037" s="12"/>
      <c r="J27037" s="12"/>
      <c r="K27037" s="12"/>
      <c r="L27037" s="12"/>
      <c r="M27037" s="11"/>
      <c r="N27037" s="11"/>
      <c r="O27037" s="11"/>
      <c r="P27037" s="11"/>
    </row>
    <row r="27038" spans="8:16" x14ac:dyDescent="0.25">
      <c r="H27038" s="12"/>
      <c r="I27038" s="12"/>
      <c r="J27038" s="12"/>
      <c r="K27038" s="12"/>
      <c r="L27038" s="12"/>
      <c r="M27038" s="11"/>
      <c r="N27038" s="11"/>
      <c r="O27038" s="11"/>
      <c r="P27038" s="11"/>
    </row>
    <row r="27039" spans="8:16" x14ac:dyDescent="0.25">
      <c r="H27039" s="12"/>
      <c r="I27039" s="12"/>
      <c r="J27039" s="12"/>
      <c r="K27039" s="12"/>
      <c r="L27039" s="12"/>
      <c r="M27039" s="11"/>
      <c r="N27039" s="11"/>
      <c r="O27039" s="11"/>
      <c r="P27039" s="11"/>
    </row>
    <row r="27040" spans="8:16" x14ac:dyDescent="0.25">
      <c r="H27040" s="12"/>
      <c r="I27040" s="12"/>
      <c r="J27040" s="12"/>
      <c r="K27040" s="12"/>
      <c r="L27040" s="12"/>
      <c r="M27040" s="11"/>
      <c r="N27040" s="11"/>
      <c r="O27040" s="11"/>
      <c r="P27040" s="11"/>
    </row>
    <row r="27041" spans="8:16" x14ac:dyDescent="0.25">
      <c r="H27041" s="12"/>
      <c r="I27041" s="12"/>
      <c r="J27041" s="12"/>
      <c r="K27041" s="12"/>
      <c r="L27041" s="12"/>
      <c r="M27041" s="11"/>
      <c r="N27041" s="11"/>
      <c r="O27041" s="11"/>
      <c r="P27041" s="11"/>
    </row>
    <row r="27042" spans="8:16" x14ac:dyDescent="0.25">
      <c r="H27042" s="12"/>
      <c r="I27042" s="12"/>
      <c r="J27042" s="12"/>
      <c r="K27042" s="12"/>
      <c r="L27042" s="12"/>
      <c r="M27042" s="11"/>
      <c r="N27042" s="11"/>
      <c r="O27042" s="11"/>
      <c r="P27042" s="11"/>
    </row>
    <row r="27043" spans="8:16" x14ac:dyDescent="0.25">
      <c r="H27043" s="12"/>
      <c r="I27043" s="12"/>
      <c r="J27043" s="12"/>
      <c r="K27043" s="12"/>
      <c r="L27043" s="12"/>
      <c r="M27043" s="11"/>
      <c r="N27043" s="11"/>
      <c r="O27043" s="11"/>
      <c r="P27043" s="11"/>
    </row>
    <row r="27044" spans="8:16" x14ac:dyDescent="0.25">
      <c r="H27044" s="12"/>
      <c r="I27044" s="12"/>
      <c r="J27044" s="12"/>
      <c r="K27044" s="12"/>
      <c r="L27044" s="12"/>
      <c r="M27044" s="11"/>
      <c r="N27044" s="11"/>
      <c r="O27044" s="11"/>
      <c r="P27044" s="11"/>
    </row>
    <row r="27045" spans="8:16" x14ac:dyDescent="0.25">
      <c r="H27045" s="12"/>
      <c r="I27045" s="12"/>
      <c r="J27045" s="12"/>
      <c r="K27045" s="12"/>
      <c r="L27045" s="12"/>
      <c r="M27045" s="11"/>
      <c r="N27045" s="11"/>
      <c r="O27045" s="11"/>
      <c r="P27045" s="11"/>
    </row>
    <row r="27046" spans="8:16" x14ac:dyDescent="0.25">
      <c r="H27046" s="12"/>
      <c r="I27046" s="12"/>
      <c r="J27046" s="12"/>
      <c r="K27046" s="12"/>
      <c r="L27046" s="12"/>
      <c r="M27046" s="11"/>
      <c r="N27046" s="11"/>
      <c r="O27046" s="11"/>
      <c r="P27046" s="11"/>
    </row>
    <row r="27047" spans="8:16" x14ac:dyDescent="0.25">
      <c r="H27047" s="12"/>
      <c r="I27047" s="12"/>
      <c r="J27047" s="12"/>
      <c r="K27047" s="12"/>
      <c r="L27047" s="12"/>
      <c r="M27047" s="11"/>
      <c r="N27047" s="11"/>
      <c r="O27047" s="11"/>
      <c r="P27047" s="11"/>
    </row>
    <row r="27048" spans="8:16" x14ac:dyDescent="0.25">
      <c r="H27048" s="12"/>
      <c r="I27048" s="12"/>
      <c r="J27048" s="12"/>
      <c r="K27048" s="12"/>
      <c r="L27048" s="12"/>
      <c r="M27048" s="11"/>
      <c r="N27048" s="11"/>
      <c r="O27048" s="11"/>
      <c r="P27048" s="11"/>
    </row>
    <row r="27049" spans="8:16" x14ac:dyDescent="0.25">
      <c r="H27049" s="12"/>
      <c r="I27049" s="12"/>
      <c r="J27049" s="12"/>
      <c r="K27049" s="12"/>
      <c r="L27049" s="12"/>
      <c r="M27049" s="11"/>
      <c r="N27049" s="11"/>
      <c r="O27049" s="11"/>
      <c r="P27049" s="11"/>
    </row>
    <row r="27050" spans="8:16" x14ac:dyDescent="0.25">
      <c r="H27050" s="12"/>
      <c r="I27050" s="12"/>
      <c r="J27050" s="12"/>
      <c r="K27050" s="12"/>
      <c r="L27050" s="12"/>
      <c r="M27050" s="11"/>
      <c r="N27050" s="11"/>
      <c r="O27050" s="11"/>
      <c r="P27050" s="11"/>
    </row>
    <row r="27051" spans="8:16" x14ac:dyDescent="0.25">
      <c r="H27051" s="12"/>
      <c r="I27051" s="12"/>
      <c r="J27051" s="12"/>
      <c r="K27051" s="12"/>
      <c r="L27051" s="12"/>
      <c r="M27051" s="11"/>
      <c r="N27051" s="11"/>
      <c r="O27051" s="11"/>
      <c r="P27051" s="11"/>
    </row>
    <row r="27052" spans="8:16" x14ac:dyDescent="0.25">
      <c r="H27052" s="12"/>
      <c r="I27052" s="12"/>
      <c r="J27052" s="12"/>
      <c r="K27052" s="12"/>
      <c r="L27052" s="12"/>
      <c r="M27052" s="11"/>
      <c r="N27052" s="11"/>
      <c r="O27052" s="11"/>
      <c r="P27052" s="11"/>
    </row>
    <row r="27053" spans="8:16" x14ac:dyDescent="0.25">
      <c r="H27053" s="12"/>
      <c r="I27053" s="12"/>
      <c r="J27053" s="12"/>
      <c r="K27053" s="12"/>
      <c r="L27053" s="12"/>
      <c r="M27053" s="11"/>
      <c r="N27053" s="11"/>
      <c r="O27053" s="11"/>
      <c r="P27053" s="11"/>
    </row>
    <row r="27054" spans="8:16" x14ac:dyDescent="0.25">
      <c r="H27054" s="12"/>
      <c r="I27054" s="12"/>
      <c r="J27054" s="12"/>
      <c r="K27054" s="12"/>
      <c r="L27054" s="12"/>
      <c r="M27054" s="11"/>
      <c r="N27054" s="11"/>
      <c r="O27054" s="11"/>
      <c r="P27054" s="11"/>
    </row>
    <row r="27055" spans="8:16" x14ac:dyDescent="0.25">
      <c r="H27055" s="12"/>
      <c r="I27055" s="12"/>
      <c r="J27055" s="12"/>
      <c r="K27055" s="12"/>
      <c r="L27055" s="12"/>
      <c r="M27055" s="11"/>
      <c r="N27055" s="11"/>
      <c r="O27055" s="11"/>
      <c r="P27055" s="11"/>
    </row>
    <row r="27056" spans="8:16" x14ac:dyDescent="0.25">
      <c r="H27056" s="12"/>
      <c r="I27056" s="12"/>
      <c r="J27056" s="12"/>
      <c r="K27056" s="12"/>
      <c r="L27056" s="12"/>
      <c r="M27056" s="11"/>
      <c r="N27056" s="11"/>
      <c r="O27056" s="11"/>
      <c r="P27056" s="11"/>
    </row>
    <row r="27057" spans="8:16" x14ac:dyDescent="0.25">
      <c r="H27057" s="12"/>
      <c r="I27057" s="12"/>
      <c r="J27057" s="12"/>
      <c r="K27057" s="12"/>
      <c r="L27057" s="12"/>
      <c r="M27057" s="11"/>
      <c r="N27057" s="11"/>
      <c r="O27057" s="11"/>
      <c r="P27057" s="11"/>
    </row>
    <row r="27058" spans="8:16" x14ac:dyDescent="0.25">
      <c r="H27058" s="12"/>
      <c r="I27058" s="12"/>
      <c r="J27058" s="12"/>
      <c r="K27058" s="12"/>
      <c r="L27058" s="12"/>
      <c r="M27058" s="11"/>
      <c r="N27058" s="11"/>
      <c r="O27058" s="11"/>
      <c r="P27058" s="11"/>
    </row>
    <row r="27059" spans="8:16" x14ac:dyDescent="0.25">
      <c r="H27059" s="12"/>
      <c r="I27059" s="12"/>
      <c r="J27059" s="12"/>
      <c r="K27059" s="12"/>
      <c r="L27059" s="12"/>
      <c r="M27059" s="11"/>
      <c r="N27059" s="11"/>
      <c r="O27059" s="11"/>
      <c r="P27059" s="11"/>
    </row>
    <row r="27060" spans="8:16" x14ac:dyDescent="0.25">
      <c r="H27060" s="12"/>
      <c r="I27060" s="12"/>
      <c r="J27060" s="12"/>
      <c r="K27060" s="12"/>
      <c r="L27060" s="12"/>
      <c r="M27060" s="11"/>
      <c r="N27060" s="11"/>
      <c r="O27060" s="11"/>
      <c r="P27060" s="11"/>
    </row>
    <row r="27061" spans="8:16" x14ac:dyDescent="0.25">
      <c r="H27061" s="12"/>
      <c r="I27061" s="12"/>
      <c r="J27061" s="12"/>
      <c r="K27061" s="12"/>
      <c r="L27061" s="12"/>
      <c r="M27061" s="11"/>
      <c r="N27061" s="11"/>
      <c r="O27061" s="11"/>
      <c r="P27061" s="11"/>
    </row>
    <row r="27062" spans="8:16" x14ac:dyDescent="0.25">
      <c r="H27062" s="12"/>
      <c r="I27062" s="12"/>
      <c r="J27062" s="12"/>
      <c r="K27062" s="12"/>
      <c r="L27062" s="12"/>
      <c r="M27062" s="11"/>
      <c r="N27062" s="11"/>
      <c r="O27062" s="11"/>
      <c r="P27062" s="11"/>
    </row>
    <row r="27063" spans="8:16" x14ac:dyDescent="0.25">
      <c r="H27063" s="12"/>
      <c r="I27063" s="12"/>
      <c r="J27063" s="12"/>
      <c r="K27063" s="12"/>
      <c r="L27063" s="12"/>
      <c r="M27063" s="11"/>
      <c r="N27063" s="11"/>
      <c r="O27063" s="11"/>
      <c r="P27063" s="11"/>
    </row>
    <row r="27064" spans="8:16" x14ac:dyDescent="0.25">
      <c r="H27064" s="12"/>
      <c r="I27064" s="12"/>
      <c r="J27064" s="12"/>
      <c r="K27064" s="12"/>
      <c r="L27064" s="12"/>
      <c r="M27064" s="11"/>
      <c r="N27064" s="11"/>
      <c r="O27064" s="11"/>
      <c r="P27064" s="11"/>
    </row>
    <row r="27065" spans="8:16" x14ac:dyDescent="0.25">
      <c r="H27065" s="12"/>
      <c r="I27065" s="12"/>
      <c r="J27065" s="12"/>
      <c r="K27065" s="12"/>
      <c r="L27065" s="12"/>
      <c r="M27065" s="11"/>
      <c r="N27065" s="11"/>
      <c r="O27065" s="11"/>
      <c r="P27065" s="11"/>
    </row>
    <row r="27066" spans="8:16" x14ac:dyDescent="0.25">
      <c r="H27066" s="12"/>
      <c r="I27066" s="12"/>
      <c r="J27066" s="12"/>
      <c r="K27066" s="12"/>
      <c r="L27066" s="12"/>
      <c r="M27066" s="11"/>
      <c r="N27066" s="11"/>
      <c r="O27066" s="11"/>
      <c r="P27066" s="11"/>
    </row>
    <row r="27067" spans="8:16" x14ac:dyDescent="0.25">
      <c r="H27067" s="12"/>
      <c r="I27067" s="12"/>
      <c r="J27067" s="12"/>
      <c r="K27067" s="12"/>
      <c r="L27067" s="12"/>
      <c r="M27067" s="11"/>
      <c r="N27067" s="11"/>
      <c r="O27067" s="11"/>
      <c r="P27067" s="11"/>
    </row>
    <row r="27068" spans="8:16" x14ac:dyDescent="0.25">
      <c r="H27068" s="12"/>
      <c r="I27068" s="12"/>
      <c r="J27068" s="12"/>
      <c r="K27068" s="12"/>
      <c r="L27068" s="12"/>
      <c r="M27068" s="11"/>
      <c r="N27068" s="11"/>
      <c r="O27068" s="11"/>
      <c r="P27068" s="11"/>
    </row>
    <row r="27069" spans="8:16" x14ac:dyDescent="0.25">
      <c r="H27069" s="12"/>
      <c r="I27069" s="12"/>
      <c r="J27069" s="12"/>
      <c r="K27069" s="12"/>
      <c r="L27069" s="12"/>
      <c r="M27069" s="11"/>
      <c r="N27069" s="11"/>
      <c r="O27069" s="11"/>
      <c r="P27069" s="11"/>
    </row>
    <row r="27070" spans="8:16" x14ac:dyDescent="0.25">
      <c r="H27070" s="12"/>
      <c r="I27070" s="12"/>
      <c r="J27070" s="12"/>
      <c r="K27070" s="12"/>
      <c r="L27070" s="12"/>
      <c r="M27070" s="11"/>
      <c r="N27070" s="11"/>
      <c r="O27070" s="11"/>
      <c r="P27070" s="11"/>
    </row>
    <row r="27071" spans="8:16" x14ac:dyDescent="0.25">
      <c r="H27071" s="12"/>
      <c r="I27071" s="12"/>
      <c r="J27071" s="12"/>
      <c r="K27071" s="12"/>
      <c r="L27071" s="12"/>
      <c r="M27071" s="11"/>
      <c r="N27071" s="11"/>
      <c r="O27071" s="11"/>
      <c r="P27071" s="11"/>
    </row>
    <row r="27072" spans="8:16" x14ac:dyDescent="0.25">
      <c r="H27072" s="12"/>
      <c r="I27072" s="12"/>
      <c r="J27072" s="12"/>
      <c r="K27072" s="12"/>
      <c r="L27072" s="12"/>
      <c r="M27072" s="11"/>
      <c r="N27072" s="11"/>
      <c r="O27072" s="11"/>
      <c r="P27072" s="11"/>
    </row>
    <row r="27073" spans="8:16" x14ac:dyDescent="0.25">
      <c r="H27073" s="12"/>
      <c r="I27073" s="12"/>
      <c r="J27073" s="12"/>
      <c r="K27073" s="12"/>
      <c r="L27073" s="12"/>
      <c r="M27073" s="11"/>
      <c r="N27073" s="11"/>
      <c r="O27073" s="11"/>
      <c r="P27073" s="11"/>
    </row>
    <row r="27074" spans="8:16" x14ac:dyDescent="0.25">
      <c r="H27074" s="12"/>
      <c r="I27074" s="12"/>
      <c r="J27074" s="12"/>
      <c r="K27074" s="12"/>
      <c r="L27074" s="12"/>
      <c r="M27074" s="11"/>
      <c r="N27074" s="11"/>
      <c r="O27074" s="11"/>
      <c r="P27074" s="11"/>
    </row>
    <row r="27075" spans="8:16" x14ac:dyDescent="0.25">
      <c r="H27075" s="12"/>
      <c r="I27075" s="12"/>
      <c r="J27075" s="12"/>
      <c r="K27075" s="12"/>
      <c r="L27075" s="12"/>
      <c r="M27075" s="11"/>
      <c r="N27075" s="11"/>
      <c r="O27075" s="11"/>
      <c r="P27075" s="11"/>
    </row>
    <row r="27076" spans="8:16" x14ac:dyDescent="0.25">
      <c r="H27076" s="12"/>
      <c r="I27076" s="12"/>
      <c r="J27076" s="12"/>
      <c r="K27076" s="12"/>
      <c r="L27076" s="12"/>
      <c r="M27076" s="11"/>
      <c r="N27076" s="11"/>
      <c r="O27076" s="11"/>
      <c r="P27076" s="11"/>
    </row>
    <row r="27077" spans="8:16" x14ac:dyDescent="0.25">
      <c r="H27077" s="12"/>
      <c r="I27077" s="12"/>
      <c r="J27077" s="12"/>
      <c r="K27077" s="12"/>
      <c r="L27077" s="12"/>
      <c r="M27077" s="11"/>
      <c r="N27077" s="11"/>
      <c r="O27077" s="11"/>
      <c r="P27077" s="11"/>
    </row>
    <row r="27078" spans="8:16" x14ac:dyDescent="0.25">
      <c r="H27078" s="12"/>
      <c r="I27078" s="12"/>
      <c r="J27078" s="12"/>
      <c r="K27078" s="12"/>
      <c r="L27078" s="12"/>
      <c r="M27078" s="11"/>
      <c r="N27078" s="11"/>
      <c r="O27078" s="11"/>
      <c r="P27078" s="11"/>
    </row>
    <row r="27079" spans="8:16" x14ac:dyDescent="0.25">
      <c r="H27079" s="12"/>
      <c r="I27079" s="12"/>
      <c r="J27079" s="12"/>
      <c r="K27079" s="12"/>
      <c r="L27079" s="12"/>
      <c r="M27079" s="11"/>
      <c r="N27079" s="11"/>
      <c r="O27079" s="11"/>
      <c r="P27079" s="11"/>
    </row>
    <row r="27080" spans="8:16" x14ac:dyDescent="0.25">
      <c r="H27080" s="12"/>
      <c r="I27080" s="12"/>
      <c r="J27080" s="12"/>
      <c r="K27080" s="12"/>
      <c r="L27080" s="12"/>
      <c r="M27080" s="11"/>
      <c r="N27080" s="11"/>
      <c r="O27080" s="11"/>
      <c r="P27080" s="11"/>
    </row>
    <row r="27081" spans="8:16" x14ac:dyDescent="0.25">
      <c r="H27081" s="12"/>
      <c r="I27081" s="12"/>
      <c r="J27081" s="12"/>
      <c r="K27081" s="12"/>
      <c r="L27081" s="12"/>
      <c r="M27081" s="11"/>
      <c r="N27081" s="11"/>
      <c r="O27081" s="11"/>
      <c r="P27081" s="11"/>
    </row>
    <row r="27082" spans="8:16" x14ac:dyDescent="0.25">
      <c r="H27082" s="12"/>
      <c r="I27082" s="12"/>
      <c r="J27082" s="12"/>
      <c r="K27082" s="12"/>
      <c r="L27082" s="12"/>
      <c r="M27082" s="11"/>
      <c r="N27082" s="11"/>
      <c r="O27082" s="11"/>
      <c r="P27082" s="11"/>
    </row>
    <row r="27083" spans="8:16" x14ac:dyDescent="0.25">
      <c r="H27083" s="12"/>
      <c r="I27083" s="12"/>
      <c r="J27083" s="12"/>
      <c r="K27083" s="12"/>
      <c r="L27083" s="12"/>
      <c r="M27083" s="11"/>
      <c r="N27083" s="11"/>
      <c r="O27083" s="11"/>
      <c r="P27083" s="11"/>
    </row>
    <row r="27084" spans="8:16" x14ac:dyDescent="0.25">
      <c r="H27084" s="12"/>
      <c r="I27084" s="12"/>
      <c r="J27084" s="12"/>
      <c r="K27084" s="12"/>
      <c r="L27084" s="12"/>
      <c r="M27084" s="11"/>
      <c r="N27084" s="11"/>
      <c r="O27084" s="11"/>
      <c r="P27084" s="11"/>
    </row>
    <row r="27085" spans="8:16" x14ac:dyDescent="0.25">
      <c r="H27085" s="12"/>
      <c r="I27085" s="12"/>
      <c r="J27085" s="12"/>
      <c r="K27085" s="12"/>
      <c r="L27085" s="12"/>
      <c r="M27085" s="11"/>
      <c r="N27085" s="11"/>
      <c r="O27085" s="11"/>
      <c r="P27085" s="11"/>
    </row>
    <row r="27086" spans="8:16" x14ac:dyDescent="0.25">
      <c r="H27086" s="12"/>
      <c r="I27086" s="12"/>
      <c r="J27086" s="12"/>
      <c r="K27086" s="12"/>
      <c r="L27086" s="12"/>
      <c r="M27086" s="11"/>
      <c r="N27086" s="11"/>
      <c r="O27086" s="11"/>
      <c r="P27086" s="11"/>
    </row>
    <row r="27087" spans="8:16" x14ac:dyDescent="0.25">
      <c r="H27087" s="12"/>
      <c r="I27087" s="12"/>
      <c r="J27087" s="12"/>
      <c r="K27087" s="12"/>
      <c r="L27087" s="12"/>
      <c r="M27087" s="11"/>
      <c r="N27087" s="11"/>
      <c r="O27087" s="11"/>
      <c r="P27087" s="11"/>
    </row>
    <row r="27088" spans="8:16" x14ac:dyDescent="0.25">
      <c r="H27088" s="12"/>
      <c r="I27088" s="12"/>
      <c r="J27088" s="12"/>
      <c r="K27088" s="12"/>
      <c r="L27088" s="12"/>
      <c r="M27088" s="11"/>
      <c r="N27088" s="11"/>
      <c r="O27088" s="11"/>
      <c r="P27088" s="11"/>
    </row>
    <row r="27089" spans="8:16" x14ac:dyDescent="0.25">
      <c r="H27089" s="12"/>
      <c r="I27089" s="12"/>
      <c r="J27089" s="12"/>
      <c r="K27089" s="12"/>
      <c r="L27089" s="12"/>
      <c r="M27089" s="11"/>
      <c r="N27089" s="11"/>
      <c r="O27089" s="11"/>
      <c r="P27089" s="11"/>
    </row>
    <row r="27090" spans="8:16" x14ac:dyDescent="0.25">
      <c r="H27090" s="12"/>
      <c r="I27090" s="12"/>
      <c r="J27090" s="12"/>
      <c r="K27090" s="12"/>
      <c r="L27090" s="12"/>
      <c r="M27090" s="11"/>
      <c r="N27090" s="11"/>
      <c r="O27090" s="11"/>
      <c r="P27090" s="11"/>
    </row>
    <row r="27091" spans="8:16" x14ac:dyDescent="0.25">
      <c r="H27091" s="12"/>
      <c r="I27091" s="12"/>
      <c r="J27091" s="12"/>
      <c r="K27091" s="12"/>
      <c r="L27091" s="12"/>
      <c r="M27091" s="11"/>
      <c r="N27091" s="11"/>
      <c r="O27091" s="11"/>
      <c r="P27091" s="11"/>
    </row>
    <row r="27092" spans="8:16" x14ac:dyDescent="0.25">
      <c r="H27092" s="12"/>
      <c r="I27092" s="12"/>
      <c r="J27092" s="12"/>
      <c r="K27092" s="12"/>
      <c r="L27092" s="12"/>
      <c r="M27092" s="11"/>
      <c r="N27092" s="11"/>
      <c r="O27092" s="11"/>
      <c r="P27092" s="11"/>
    </row>
    <row r="27093" spans="8:16" x14ac:dyDescent="0.25">
      <c r="H27093" s="12"/>
      <c r="I27093" s="12"/>
      <c r="J27093" s="12"/>
      <c r="K27093" s="12"/>
      <c r="L27093" s="12"/>
      <c r="M27093" s="11"/>
      <c r="N27093" s="11"/>
      <c r="O27093" s="11"/>
      <c r="P27093" s="11"/>
    </row>
    <row r="27094" spans="8:16" x14ac:dyDescent="0.25">
      <c r="H27094" s="12"/>
      <c r="I27094" s="12"/>
      <c r="J27094" s="12"/>
      <c r="K27094" s="12"/>
      <c r="L27094" s="12"/>
      <c r="M27094" s="11"/>
      <c r="N27094" s="11"/>
      <c r="O27094" s="11"/>
      <c r="P27094" s="11"/>
    </row>
    <row r="27095" spans="8:16" x14ac:dyDescent="0.25">
      <c r="H27095" s="12"/>
      <c r="I27095" s="12"/>
      <c r="J27095" s="12"/>
      <c r="K27095" s="12"/>
      <c r="L27095" s="12"/>
      <c r="M27095" s="11"/>
      <c r="N27095" s="11"/>
      <c r="O27095" s="11"/>
      <c r="P27095" s="11"/>
    </row>
    <row r="27096" spans="8:16" x14ac:dyDescent="0.25">
      <c r="H27096" s="12"/>
      <c r="I27096" s="12"/>
      <c r="J27096" s="12"/>
      <c r="K27096" s="12"/>
      <c r="L27096" s="12"/>
      <c r="M27096" s="11"/>
      <c r="N27096" s="11"/>
      <c r="O27096" s="11"/>
      <c r="P27096" s="11"/>
    </row>
    <row r="27097" spans="8:16" x14ac:dyDescent="0.25">
      <c r="H27097" s="12"/>
      <c r="I27097" s="12"/>
      <c r="J27097" s="12"/>
      <c r="K27097" s="12"/>
      <c r="L27097" s="12"/>
      <c r="M27097" s="11"/>
      <c r="N27097" s="11"/>
      <c r="O27097" s="11"/>
      <c r="P27097" s="11"/>
    </row>
    <row r="27098" spans="8:16" x14ac:dyDescent="0.25">
      <c r="H27098" s="12"/>
      <c r="I27098" s="12"/>
      <c r="J27098" s="12"/>
      <c r="K27098" s="12"/>
      <c r="L27098" s="12"/>
      <c r="M27098" s="11"/>
      <c r="N27098" s="11"/>
      <c r="O27098" s="11"/>
      <c r="P27098" s="11"/>
    </row>
    <row r="27099" spans="8:16" x14ac:dyDescent="0.25">
      <c r="H27099" s="12"/>
      <c r="I27099" s="12"/>
      <c r="J27099" s="12"/>
      <c r="K27099" s="12"/>
      <c r="L27099" s="12"/>
      <c r="M27099" s="11"/>
      <c r="N27099" s="11"/>
      <c r="O27099" s="11"/>
      <c r="P27099" s="11"/>
    </row>
    <row r="27100" spans="8:16" x14ac:dyDescent="0.25">
      <c r="H27100" s="12"/>
      <c r="I27100" s="12"/>
      <c r="J27100" s="12"/>
      <c r="K27100" s="12"/>
      <c r="L27100" s="12"/>
      <c r="M27100" s="11"/>
      <c r="N27100" s="11"/>
      <c r="O27100" s="11"/>
      <c r="P27100" s="11"/>
    </row>
    <row r="27101" spans="8:16" x14ac:dyDescent="0.25">
      <c r="H27101" s="12"/>
      <c r="I27101" s="12"/>
      <c r="J27101" s="12"/>
      <c r="K27101" s="12"/>
      <c r="L27101" s="12"/>
      <c r="M27101" s="11"/>
      <c r="N27101" s="11"/>
      <c r="O27101" s="11"/>
      <c r="P27101" s="11"/>
    </row>
    <row r="27102" spans="8:16" x14ac:dyDescent="0.25">
      <c r="H27102" s="12"/>
      <c r="I27102" s="12"/>
      <c r="J27102" s="12"/>
      <c r="K27102" s="12"/>
      <c r="L27102" s="12"/>
      <c r="M27102" s="11"/>
      <c r="N27102" s="11"/>
      <c r="O27102" s="11"/>
      <c r="P27102" s="11"/>
    </row>
    <row r="27103" spans="8:16" x14ac:dyDescent="0.25">
      <c r="H27103" s="12"/>
      <c r="I27103" s="12"/>
      <c r="J27103" s="12"/>
      <c r="K27103" s="12"/>
      <c r="L27103" s="12"/>
      <c r="M27103" s="11"/>
      <c r="N27103" s="11"/>
      <c r="O27103" s="11"/>
      <c r="P27103" s="11"/>
    </row>
    <row r="27104" spans="8:16" x14ac:dyDescent="0.25">
      <c r="H27104" s="12"/>
      <c r="I27104" s="12"/>
      <c r="J27104" s="12"/>
      <c r="K27104" s="12"/>
      <c r="L27104" s="12"/>
      <c r="M27104" s="11"/>
      <c r="N27104" s="11"/>
      <c r="O27104" s="11"/>
      <c r="P27104" s="11"/>
    </row>
    <row r="27105" spans="8:16" x14ac:dyDescent="0.25">
      <c r="H27105" s="12"/>
      <c r="I27105" s="12"/>
      <c r="J27105" s="12"/>
      <c r="K27105" s="12"/>
      <c r="L27105" s="12"/>
      <c r="M27105" s="11"/>
      <c r="N27105" s="11"/>
      <c r="O27105" s="11"/>
      <c r="P27105" s="11"/>
    </row>
    <row r="27106" spans="8:16" x14ac:dyDescent="0.25">
      <c r="H27106" s="12"/>
      <c r="I27106" s="12"/>
      <c r="J27106" s="12"/>
      <c r="K27106" s="12"/>
      <c r="L27106" s="12"/>
      <c r="M27106" s="11"/>
      <c r="N27106" s="11"/>
      <c r="O27106" s="11"/>
      <c r="P27106" s="11"/>
    </row>
    <row r="27107" spans="8:16" x14ac:dyDescent="0.25">
      <c r="H27107" s="12"/>
      <c r="I27107" s="12"/>
      <c r="J27107" s="12"/>
      <c r="K27107" s="12"/>
      <c r="L27107" s="12"/>
      <c r="M27107" s="11"/>
      <c r="N27107" s="11"/>
      <c r="O27107" s="11"/>
      <c r="P27107" s="11"/>
    </row>
    <row r="27108" spans="8:16" x14ac:dyDescent="0.25">
      <c r="H27108" s="12"/>
      <c r="I27108" s="12"/>
      <c r="J27108" s="12"/>
      <c r="K27108" s="12"/>
      <c r="L27108" s="12"/>
      <c r="M27108" s="11"/>
      <c r="N27108" s="11"/>
      <c r="O27108" s="11"/>
      <c r="P27108" s="11"/>
    </row>
    <row r="27109" spans="8:16" x14ac:dyDescent="0.25">
      <c r="H27109" s="12"/>
      <c r="I27109" s="12"/>
      <c r="J27109" s="12"/>
      <c r="K27109" s="12"/>
      <c r="L27109" s="12"/>
      <c r="M27109" s="11"/>
      <c r="N27109" s="11"/>
      <c r="O27109" s="11"/>
      <c r="P27109" s="11"/>
    </row>
    <row r="27110" spans="8:16" x14ac:dyDescent="0.25">
      <c r="H27110" s="12"/>
      <c r="I27110" s="12"/>
      <c r="J27110" s="12"/>
      <c r="K27110" s="12"/>
      <c r="L27110" s="12"/>
      <c r="M27110" s="11"/>
      <c r="N27110" s="11"/>
      <c r="O27110" s="11"/>
      <c r="P27110" s="11"/>
    </row>
    <row r="27111" spans="8:16" x14ac:dyDescent="0.25">
      <c r="H27111" s="12"/>
      <c r="I27111" s="12"/>
      <c r="J27111" s="12"/>
      <c r="K27111" s="12"/>
      <c r="L27111" s="12"/>
      <c r="M27111" s="11"/>
      <c r="N27111" s="11"/>
      <c r="O27111" s="11"/>
      <c r="P27111" s="11"/>
    </row>
    <row r="27112" spans="8:16" x14ac:dyDescent="0.25">
      <c r="H27112" s="12"/>
      <c r="I27112" s="12"/>
      <c r="J27112" s="12"/>
      <c r="K27112" s="12"/>
      <c r="L27112" s="12"/>
      <c r="M27112" s="11"/>
      <c r="N27112" s="11"/>
      <c r="O27112" s="11"/>
      <c r="P27112" s="11"/>
    </row>
    <row r="27113" spans="8:16" x14ac:dyDescent="0.25">
      <c r="H27113" s="12"/>
      <c r="I27113" s="12"/>
      <c r="J27113" s="12"/>
      <c r="K27113" s="12"/>
      <c r="L27113" s="12"/>
      <c r="M27113" s="11"/>
      <c r="N27113" s="11"/>
      <c r="O27113" s="11"/>
      <c r="P27113" s="11"/>
    </row>
    <row r="27114" spans="8:16" x14ac:dyDescent="0.25">
      <c r="H27114" s="12"/>
      <c r="I27114" s="12"/>
      <c r="J27114" s="12"/>
      <c r="K27114" s="12"/>
      <c r="L27114" s="12"/>
      <c r="M27114" s="11"/>
      <c r="N27114" s="11"/>
      <c r="O27114" s="11"/>
      <c r="P27114" s="11"/>
    </row>
    <row r="27115" spans="8:16" x14ac:dyDescent="0.25">
      <c r="H27115" s="12"/>
      <c r="I27115" s="12"/>
      <c r="J27115" s="12"/>
      <c r="K27115" s="12"/>
      <c r="L27115" s="12"/>
      <c r="M27115" s="11"/>
      <c r="N27115" s="11"/>
      <c r="O27115" s="11"/>
      <c r="P27115" s="11"/>
    </row>
    <row r="27116" spans="8:16" x14ac:dyDescent="0.25">
      <c r="H27116" s="12"/>
      <c r="I27116" s="12"/>
      <c r="J27116" s="12"/>
      <c r="K27116" s="12"/>
      <c r="L27116" s="12"/>
      <c r="M27116" s="11"/>
      <c r="N27116" s="11"/>
      <c r="O27116" s="11"/>
      <c r="P27116" s="11"/>
    </row>
    <row r="27117" spans="8:16" x14ac:dyDescent="0.25">
      <c r="H27117" s="12"/>
      <c r="I27117" s="12"/>
      <c r="J27117" s="12"/>
      <c r="K27117" s="12"/>
      <c r="L27117" s="12"/>
      <c r="M27117" s="11"/>
      <c r="N27117" s="11"/>
      <c r="O27117" s="11"/>
      <c r="P27117" s="11"/>
    </row>
    <row r="27118" spans="8:16" x14ac:dyDescent="0.25">
      <c r="H27118" s="12"/>
      <c r="I27118" s="12"/>
      <c r="J27118" s="12"/>
      <c r="K27118" s="12"/>
      <c r="L27118" s="12"/>
      <c r="M27118" s="11"/>
      <c r="N27118" s="11"/>
      <c r="O27118" s="11"/>
      <c r="P27118" s="11"/>
    </row>
    <row r="27119" spans="8:16" x14ac:dyDescent="0.25">
      <c r="H27119" s="12"/>
      <c r="I27119" s="12"/>
      <c r="J27119" s="12"/>
      <c r="K27119" s="12"/>
      <c r="L27119" s="12"/>
      <c r="M27119" s="11"/>
      <c r="N27119" s="11"/>
      <c r="O27119" s="11"/>
      <c r="P27119" s="11"/>
    </row>
    <row r="27120" spans="8:16" x14ac:dyDescent="0.25">
      <c r="H27120" s="12"/>
      <c r="I27120" s="12"/>
      <c r="J27120" s="12"/>
      <c r="K27120" s="12"/>
      <c r="L27120" s="12"/>
      <c r="M27120" s="11"/>
      <c r="N27120" s="11"/>
      <c r="O27120" s="11"/>
      <c r="P27120" s="11"/>
    </row>
    <row r="27121" spans="8:16" x14ac:dyDescent="0.25">
      <c r="H27121" s="12"/>
      <c r="I27121" s="12"/>
      <c r="J27121" s="12"/>
      <c r="K27121" s="12"/>
      <c r="L27121" s="12"/>
      <c r="M27121" s="11"/>
      <c r="N27121" s="11"/>
      <c r="O27121" s="11"/>
      <c r="P27121" s="11"/>
    </row>
    <row r="27122" spans="8:16" x14ac:dyDescent="0.25">
      <c r="H27122" s="12"/>
      <c r="I27122" s="12"/>
      <c r="J27122" s="12"/>
      <c r="K27122" s="12"/>
      <c r="L27122" s="12"/>
      <c r="M27122" s="11"/>
      <c r="N27122" s="11"/>
      <c r="O27122" s="11"/>
      <c r="P27122" s="11"/>
    </row>
    <row r="27123" spans="8:16" x14ac:dyDescent="0.25">
      <c r="H27123" s="12"/>
      <c r="I27123" s="12"/>
      <c r="J27123" s="12"/>
      <c r="K27123" s="12"/>
      <c r="L27123" s="12"/>
      <c r="M27123" s="11"/>
      <c r="N27123" s="11"/>
      <c r="O27123" s="11"/>
      <c r="P27123" s="11"/>
    </row>
    <row r="27124" spans="8:16" x14ac:dyDescent="0.25">
      <c r="H27124" s="12"/>
      <c r="I27124" s="12"/>
      <c r="J27124" s="12"/>
      <c r="K27124" s="12"/>
      <c r="L27124" s="12"/>
      <c r="M27124" s="11"/>
      <c r="N27124" s="11"/>
      <c r="O27124" s="11"/>
      <c r="P27124" s="11"/>
    </row>
    <row r="27125" spans="8:16" x14ac:dyDescent="0.25">
      <c r="H27125" s="12"/>
      <c r="I27125" s="12"/>
      <c r="J27125" s="12"/>
      <c r="K27125" s="12"/>
      <c r="L27125" s="12"/>
      <c r="M27125" s="11"/>
      <c r="N27125" s="11"/>
      <c r="O27125" s="11"/>
      <c r="P27125" s="11"/>
    </row>
    <row r="27126" spans="8:16" x14ac:dyDescent="0.25">
      <c r="H27126" s="12"/>
      <c r="I27126" s="12"/>
      <c r="J27126" s="12"/>
      <c r="K27126" s="12"/>
      <c r="L27126" s="12"/>
      <c r="M27126" s="11"/>
      <c r="N27126" s="11"/>
      <c r="O27126" s="11"/>
      <c r="P27126" s="11"/>
    </row>
    <row r="27127" spans="8:16" x14ac:dyDescent="0.25">
      <c r="H27127" s="12"/>
      <c r="I27127" s="12"/>
      <c r="J27127" s="12"/>
      <c r="K27127" s="12"/>
      <c r="L27127" s="12"/>
      <c r="M27127" s="11"/>
      <c r="N27127" s="11"/>
      <c r="O27127" s="11"/>
      <c r="P27127" s="11"/>
    </row>
    <row r="27128" spans="8:16" x14ac:dyDescent="0.25">
      <c r="H27128" s="12"/>
      <c r="I27128" s="12"/>
      <c r="J27128" s="12"/>
      <c r="K27128" s="12"/>
      <c r="L27128" s="12"/>
      <c r="M27128" s="11"/>
      <c r="N27128" s="11"/>
      <c r="O27128" s="11"/>
      <c r="P27128" s="11"/>
    </row>
    <row r="27129" spans="8:16" x14ac:dyDescent="0.25">
      <c r="H27129" s="12"/>
      <c r="I27129" s="12"/>
      <c r="J27129" s="12"/>
      <c r="K27129" s="12"/>
      <c r="L27129" s="12"/>
      <c r="M27129" s="11"/>
      <c r="N27129" s="11"/>
      <c r="O27129" s="11"/>
      <c r="P27129" s="11"/>
    </row>
    <row r="27130" spans="8:16" x14ac:dyDescent="0.25">
      <c r="H27130" s="12"/>
      <c r="I27130" s="12"/>
      <c r="J27130" s="12"/>
      <c r="K27130" s="12"/>
      <c r="L27130" s="12"/>
      <c r="M27130" s="11"/>
      <c r="N27130" s="11"/>
      <c r="O27130" s="11"/>
      <c r="P27130" s="11"/>
    </row>
    <row r="27131" spans="8:16" x14ac:dyDescent="0.25">
      <c r="H27131" s="12"/>
      <c r="I27131" s="12"/>
      <c r="J27131" s="12"/>
      <c r="K27131" s="12"/>
      <c r="L27131" s="12"/>
      <c r="M27131" s="11"/>
      <c r="N27131" s="11"/>
      <c r="O27131" s="11"/>
      <c r="P27131" s="11"/>
    </row>
    <row r="27132" spans="8:16" x14ac:dyDescent="0.25">
      <c r="H27132" s="12"/>
      <c r="I27132" s="12"/>
      <c r="J27132" s="12"/>
      <c r="K27132" s="12"/>
      <c r="L27132" s="12"/>
      <c r="M27132" s="11"/>
      <c r="N27132" s="11"/>
      <c r="O27132" s="11"/>
      <c r="P27132" s="11"/>
    </row>
    <row r="27133" spans="8:16" x14ac:dyDescent="0.25">
      <c r="H27133" s="12"/>
      <c r="I27133" s="12"/>
      <c r="J27133" s="12"/>
      <c r="K27133" s="12"/>
      <c r="L27133" s="12"/>
      <c r="M27133" s="11"/>
      <c r="N27133" s="11"/>
      <c r="O27133" s="11"/>
      <c r="P27133" s="11"/>
    </row>
    <row r="27134" spans="8:16" x14ac:dyDescent="0.25">
      <c r="H27134" s="12"/>
      <c r="I27134" s="12"/>
      <c r="J27134" s="12"/>
      <c r="K27134" s="12"/>
      <c r="L27134" s="12"/>
      <c r="M27134" s="11"/>
      <c r="N27134" s="11"/>
      <c r="O27134" s="11"/>
      <c r="P27134" s="11"/>
    </row>
    <row r="27135" spans="8:16" x14ac:dyDescent="0.25">
      <c r="H27135" s="12"/>
      <c r="I27135" s="12"/>
      <c r="J27135" s="12"/>
      <c r="K27135" s="12"/>
      <c r="L27135" s="12"/>
      <c r="M27135" s="11"/>
      <c r="N27135" s="11"/>
      <c r="O27135" s="11"/>
      <c r="P27135" s="11"/>
    </row>
    <row r="27136" spans="8:16" x14ac:dyDescent="0.25">
      <c r="H27136" s="12"/>
      <c r="I27136" s="12"/>
      <c r="J27136" s="12"/>
      <c r="K27136" s="12"/>
      <c r="L27136" s="12"/>
      <c r="M27136" s="11"/>
      <c r="N27136" s="11"/>
      <c r="O27136" s="11"/>
      <c r="P27136" s="11"/>
    </row>
    <row r="27137" spans="8:16" x14ac:dyDescent="0.25">
      <c r="H27137" s="12"/>
      <c r="I27137" s="12"/>
      <c r="J27137" s="12"/>
      <c r="K27137" s="12"/>
      <c r="L27137" s="12"/>
      <c r="M27137" s="11"/>
      <c r="N27137" s="11"/>
      <c r="O27137" s="11"/>
      <c r="P27137" s="11"/>
    </row>
    <row r="27138" spans="8:16" x14ac:dyDescent="0.25">
      <c r="H27138" s="12"/>
      <c r="I27138" s="12"/>
      <c r="J27138" s="12"/>
      <c r="K27138" s="12"/>
      <c r="L27138" s="12"/>
      <c r="M27138" s="11"/>
      <c r="N27138" s="11"/>
      <c r="O27138" s="11"/>
      <c r="P27138" s="11"/>
    </row>
    <row r="27139" spans="8:16" x14ac:dyDescent="0.25">
      <c r="H27139" s="12"/>
      <c r="I27139" s="12"/>
      <c r="J27139" s="12"/>
      <c r="K27139" s="12"/>
      <c r="L27139" s="12"/>
      <c r="M27139" s="11"/>
      <c r="N27139" s="11"/>
      <c r="O27139" s="11"/>
      <c r="P27139" s="11"/>
    </row>
    <row r="27140" spans="8:16" x14ac:dyDescent="0.25">
      <c r="H27140" s="12"/>
      <c r="I27140" s="12"/>
      <c r="J27140" s="12"/>
      <c r="K27140" s="12"/>
      <c r="L27140" s="12"/>
      <c r="M27140" s="11"/>
      <c r="N27140" s="11"/>
      <c r="O27140" s="11"/>
      <c r="P27140" s="11"/>
    </row>
    <row r="27141" spans="8:16" x14ac:dyDescent="0.25">
      <c r="H27141" s="12"/>
      <c r="I27141" s="12"/>
      <c r="J27141" s="12"/>
      <c r="K27141" s="12"/>
      <c r="L27141" s="12"/>
      <c r="M27141" s="11"/>
      <c r="N27141" s="11"/>
      <c r="O27141" s="11"/>
      <c r="P27141" s="11"/>
    </row>
    <row r="27142" spans="8:16" x14ac:dyDescent="0.25">
      <c r="H27142" s="12"/>
      <c r="I27142" s="12"/>
      <c r="J27142" s="12"/>
      <c r="K27142" s="12"/>
      <c r="L27142" s="12"/>
      <c r="M27142" s="11"/>
      <c r="N27142" s="11"/>
      <c r="O27142" s="11"/>
      <c r="P27142" s="11"/>
    </row>
    <row r="27143" spans="8:16" x14ac:dyDescent="0.25">
      <c r="H27143" s="12"/>
      <c r="I27143" s="12"/>
      <c r="J27143" s="12"/>
      <c r="K27143" s="12"/>
      <c r="L27143" s="12"/>
      <c r="M27143" s="11"/>
      <c r="N27143" s="11"/>
      <c r="O27143" s="11"/>
      <c r="P27143" s="11"/>
    </row>
    <row r="27144" spans="8:16" x14ac:dyDescent="0.25">
      <c r="H27144" s="12"/>
      <c r="I27144" s="12"/>
      <c r="J27144" s="12"/>
      <c r="K27144" s="12"/>
      <c r="L27144" s="12"/>
      <c r="M27144" s="11"/>
      <c r="N27144" s="11"/>
      <c r="O27144" s="11"/>
      <c r="P27144" s="11"/>
    </row>
    <row r="27145" spans="8:16" x14ac:dyDescent="0.25">
      <c r="H27145" s="12"/>
      <c r="I27145" s="12"/>
      <c r="J27145" s="12"/>
      <c r="K27145" s="12"/>
      <c r="L27145" s="12"/>
      <c r="M27145" s="11"/>
      <c r="N27145" s="11"/>
      <c r="O27145" s="11"/>
      <c r="P27145" s="11"/>
    </row>
    <row r="27146" spans="8:16" x14ac:dyDescent="0.25">
      <c r="H27146" s="12"/>
      <c r="I27146" s="12"/>
      <c r="J27146" s="12"/>
      <c r="K27146" s="12"/>
      <c r="L27146" s="12"/>
      <c r="M27146" s="11"/>
      <c r="N27146" s="11"/>
      <c r="O27146" s="11"/>
      <c r="P27146" s="11"/>
    </row>
    <row r="27147" spans="8:16" x14ac:dyDescent="0.25">
      <c r="H27147" s="12"/>
      <c r="I27147" s="12"/>
      <c r="J27147" s="12"/>
      <c r="K27147" s="12"/>
      <c r="L27147" s="12"/>
      <c r="M27147" s="11"/>
      <c r="N27147" s="11"/>
      <c r="O27147" s="11"/>
      <c r="P27147" s="11"/>
    </row>
    <row r="27148" spans="8:16" x14ac:dyDescent="0.25">
      <c r="H27148" s="12"/>
      <c r="I27148" s="12"/>
      <c r="J27148" s="12"/>
      <c r="K27148" s="12"/>
      <c r="L27148" s="12"/>
      <c r="M27148" s="11"/>
      <c r="N27148" s="11"/>
      <c r="O27148" s="11"/>
      <c r="P27148" s="11"/>
    </row>
    <row r="27149" spans="8:16" x14ac:dyDescent="0.25">
      <c r="H27149" s="12"/>
      <c r="I27149" s="12"/>
      <c r="J27149" s="12"/>
      <c r="K27149" s="12"/>
      <c r="L27149" s="12"/>
      <c r="M27149" s="11"/>
      <c r="N27149" s="11"/>
      <c r="O27149" s="11"/>
      <c r="P27149" s="11"/>
    </row>
    <row r="27150" spans="8:16" x14ac:dyDescent="0.25">
      <c r="H27150" s="12"/>
      <c r="I27150" s="12"/>
      <c r="J27150" s="12"/>
      <c r="K27150" s="12"/>
      <c r="L27150" s="12"/>
      <c r="M27150" s="11"/>
      <c r="N27150" s="11"/>
      <c r="O27150" s="11"/>
      <c r="P27150" s="11"/>
    </row>
    <row r="27151" spans="8:16" x14ac:dyDescent="0.25">
      <c r="H27151" s="12"/>
      <c r="I27151" s="12"/>
      <c r="J27151" s="12"/>
      <c r="K27151" s="12"/>
      <c r="L27151" s="12"/>
      <c r="M27151" s="11"/>
      <c r="N27151" s="11"/>
      <c r="O27151" s="11"/>
      <c r="P27151" s="11"/>
    </row>
    <row r="27152" spans="8:16" x14ac:dyDescent="0.25">
      <c r="H27152" s="12"/>
      <c r="I27152" s="12"/>
      <c r="J27152" s="12"/>
      <c r="K27152" s="12"/>
      <c r="L27152" s="12"/>
      <c r="M27152" s="11"/>
      <c r="N27152" s="11"/>
      <c r="O27152" s="11"/>
      <c r="P27152" s="11"/>
    </row>
    <row r="27153" spans="8:16" x14ac:dyDescent="0.25">
      <c r="H27153" s="12"/>
      <c r="I27153" s="12"/>
      <c r="J27153" s="12"/>
      <c r="K27153" s="12"/>
      <c r="L27153" s="12"/>
      <c r="M27153" s="11"/>
      <c r="N27153" s="11"/>
      <c r="O27153" s="11"/>
      <c r="P27153" s="11"/>
    </row>
    <row r="27154" spans="8:16" x14ac:dyDescent="0.25">
      <c r="H27154" s="12"/>
      <c r="I27154" s="12"/>
      <c r="J27154" s="12"/>
      <c r="K27154" s="12"/>
      <c r="L27154" s="12"/>
      <c r="M27154" s="11"/>
      <c r="N27154" s="11"/>
      <c r="O27154" s="11"/>
      <c r="P27154" s="11"/>
    </row>
    <row r="27155" spans="8:16" x14ac:dyDescent="0.25">
      <c r="H27155" s="12"/>
      <c r="I27155" s="12"/>
      <c r="J27155" s="12"/>
      <c r="K27155" s="12"/>
      <c r="L27155" s="12"/>
      <c r="M27155" s="11"/>
      <c r="N27155" s="11"/>
      <c r="O27155" s="11"/>
      <c r="P27155" s="11"/>
    </row>
    <row r="27156" spans="8:16" x14ac:dyDescent="0.25">
      <c r="H27156" s="12"/>
      <c r="I27156" s="12"/>
      <c r="J27156" s="12"/>
      <c r="K27156" s="12"/>
      <c r="L27156" s="12"/>
      <c r="M27156" s="11"/>
      <c r="N27156" s="11"/>
      <c r="O27156" s="11"/>
      <c r="P27156" s="11"/>
    </row>
    <row r="27157" spans="8:16" x14ac:dyDescent="0.25">
      <c r="H27157" s="12"/>
      <c r="I27157" s="12"/>
      <c r="J27157" s="12"/>
      <c r="K27157" s="12"/>
      <c r="L27157" s="12"/>
      <c r="M27157" s="11"/>
      <c r="N27157" s="11"/>
      <c r="O27157" s="11"/>
      <c r="P27157" s="11"/>
    </row>
    <row r="27158" spans="8:16" x14ac:dyDescent="0.25">
      <c r="H27158" s="12"/>
      <c r="I27158" s="12"/>
      <c r="J27158" s="12"/>
      <c r="K27158" s="12"/>
      <c r="L27158" s="12"/>
      <c r="M27158" s="11"/>
      <c r="N27158" s="11"/>
      <c r="O27158" s="11"/>
      <c r="P27158" s="11"/>
    </row>
    <row r="27159" spans="8:16" x14ac:dyDescent="0.25">
      <c r="H27159" s="12"/>
      <c r="I27159" s="12"/>
      <c r="J27159" s="12"/>
      <c r="K27159" s="12"/>
      <c r="L27159" s="12"/>
      <c r="M27159" s="11"/>
      <c r="N27159" s="11"/>
      <c r="O27159" s="11"/>
      <c r="P27159" s="11"/>
    </row>
    <row r="27160" spans="8:16" x14ac:dyDescent="0.25">
      <c r="H27160" s="12"/>
      <c r="I27160" s="12"/>
      <c r="J27160" s="12"/>
      <c r="K27160" s="12"/>
      <c r="L27160" s="12"/>
      <c r="M27160" s="11"/>
      <c r="N27160" s="11"/>
      <c r="O27160" s="11"/>
      <c r="P27160" s="11"/>
    </row>
    <row r="27161" spans="8:16" x14ac:dyDescent="0.25">
      <c r="H27161" s="12"/>
      <c r="I27161" s="12"/>
      <c r="J27161" s="12"/>
      <c r="K27161" s="12"/>
      <c r="L27161" s="12"/>
      <c r="M27161" s="11"/>
      <c r="N27161" s="11"/>
      <c r="O27161" s="11"/>
      <c r="P27161" s="11"/>
    </row>
    <row r="27162" spans="8:16" x14ac:dyDescent="0.25">
      <c r="H27162" s="12"/>
      <c r="I27162" s="12"/>
      <c r="J27162" s="12"/>
      <c r="K27162" s="12"/>
      <c r="L27162" s="12"/>
      <c r="M27162" s="11"/>
      <c r="N27162" s="11"/>
      <c r="O27162" s="11"/>
      <c r="P27162" s="11"/>
    </row>
    <row r="27163" spans="8:16" x14ac:dyDescent="0.25">
      <c r="H27163" s="12"/>
      <c r="I27163" s="12"/>
      <c r="J27163" s="12"/>
      <c r="K27163" s="12"/>
      <c r="L27163" s="12"/>
      <c r="M27163" s="11"/>
      <c r="N27163" s="11"/>
      <c r="O27163" s="11"/>
      <c r="P27163" s="11"/>
    </row>
    <row r="27164" spans="8:16" x14ac:dyDescent="0.25">
      <c r="H27164" s="12"/>
      <c r="I27164" s="12"/>
      <c r="J27164" s="12"/>
      <c r="K27164" s="12"/>
      <c r="L27164" s="12"/>
      <c r="M27164" s="11"/>
      <c r="N27164" s="11"/>
      <c r="O27164" s="11"/>
      <c r="P27164" s="11"/>
    </row>
    <row r="27165" spans="8:16" x14ac:dyDescent="0.25">
      <c r="H27165" s="12"/>
      <c r="I27165" s="12"/>
      <c r="J27165" s="12"/>
      <c r="K27165" s="12"/>
      <c r="L27165" s="12"/>
      <c r="M27165" s="11"/>
      <c r="N27165" s="11"/>
      <c r="O27165" s="11"/>
      <c r="P27165" s="11"/>
    </row>
    <row r="27166" spans="8:16" x14ac:dyDescent="0.25">
      <c r="H27166" s="12"/>
      <c r="I27166" s="12"/>
      <c r="J27166" s="12"/>
      <c r="K27166" s="12"/>
      <c r="L27166" s="12"/>
      <c r="M27166" s="11"/>
      <c r="N27166" s="11"/>
      <c r="O27166" s="11"/>
      <c r="P27166" s="11"/>
    </row>
    <row r="27167" spans="8:16" x14ac:dyDescent="0.25">
      <c r="H27167" s="12"/>
      <c r="I27167" s="12"/>
      <c r="J27167" s="12"/>
      <c r="K27167" s="12"/>
      <c r="L27167" s="12"/>
      <c r="M27167" s="11"/>
      <c r="N27167" s="11"/>
      <c r="O27167" s="11"/>
      <c r="P27167" s="11"/>
    </row>
    <row r="27168" spans="8:16" x14ac:dyDescent="0.25">
      <c r="H27168" s="12"/>
      <c r="I27168" s="12"/>
      <c r="J27168" s="12"/>
      <c r="K27168" s="12"/>
      <c r="L27168" s="12"/>
      <c r="M27168" s="11"/>
      <c r="N27168" s="11"/>
      <c r="O27168" s="11"/>
      <c r="P27168" s="11"/>
    </row>
    <row r="27169" spans="8:16" x14ac:dyDescent="0.25">
      <c r="H27169" s="12"/>
      <c r="I27169" s="12"/>
      <c r="J27169" s="12"/>
      <c r="K27169" s="12"/>
      <c r="L27169" s="12"/>
      <c r="M27169" s="11"/>
      <c r="N27169" s="11"/>
      <c r="O27169" s="11"/>
      <c r="P27169" s="11"/>
    </row>
    <row r="27170" spans="8:16" x14ac:dyDescent="0.25">
      <c r="H27170" s="12"/>
      <c r="I27170" s="12"/>
      <c r="J27170" s="12"/>
      <c r="K27170" s="12"/>
      <c r="L27170" s="12"/>
      <c r="M27170" s="11"/>
      <c r="N27170" s="11"/>
      <c r="O27170" s="11"/>
      <c r="P27170" s="11"/>
    </row>
    <row r="27171" spans="8:16" x14ac:dyDescent="0.25">
      <c r="H27171" s="12"/>
      <c r="I27171" s="12"/>
      <c r="J27171" s="12"/>
      <c r="K27171" s="12"/>
      <c r="L27171" s="12"/>
      <c r="M27171" s="11"/>
      <c r="N27171" s="11"/>
      <c r="O27171" s="11"/>
      <c r="P27171" s="11"/>
    </row>
    <row r="27172" spans="8:16" x14ac:dyDescent="0.25">
      <c r="H27172" s="12"/>
      <c r="I27172" s="12"/>
      <c r="J27172" s="12"/>
      <c r="K27172" s="12"/>
      <c r="L27172" s="12"/>
      <c r="M27172" s="11"/>
      <c r="N27172" s="11"/>
      <c r="O27172" s="11"/>
      <c r="P27172" s="11"/>
    </row>
    <row r="27173" spans="8:16" x14ac:dyDescent="0.25">
      <c r="H27173" s="12"/>
      <c r="I27173" s="12"/>
      <c r="J27173" s="12"/>
      <c r="K27173" s="12"/>
      <c r="L27173" s="12"/>
      <c r="M27173" s="11"/>
      <c r="N27173" s="11"/>
      <c r="O27173" s="11"/>
      <c r="P27173" s="11"/>
    </row>
    <row r="27174" spans="8:16" x14ac:dyDescent="0.25">
      <c r="H27174" s="12"/>
      <c r="I27174" s="12"/>
      <c r="J27174" s="12"/>
      <c r="K27174" s="12"/>
      <c r="L27174" s="12"/>
      <c r="M27174" s="11"/>
      <c r="N27174" s="11"/>
      <c r="O27174" s="11"/>
      <c r="P27174" s="11"/>
    </row>
    <row r="27175" spans="8:16" x14ac:dyDescent="0.25">
      <c r="H27175" s="12"/>
      <c r="I27175" s="12"/>
      <c r="J27175" s="12"/>
      <c r="K27175" s="12"/>
      <c r="L27175" s="12"/>
      <c r="M27175" s="11"/>
      <c r="N27175" s="11"/>
      <c r="O27175" s="11"/>
      <c r="P27175" s="11"/>
    </row>
    <row r="27176" spans="8:16" x14ac:dyDescent="0.25">
      <c r="H27176" s="12"/>
      <c r="I27176" s="12"/>
      <c r="J27176" s="12"/>
      <c r="K27176" s="12"/>
      <c r="L27176" s="12"/>
      <c r="M27176" s="11"/>
      <c r="N27176" s="11"/>
      <c r="O27176" s="11"/>
      <c r="P27176" s="11"/>
    </row>
    <row r="27177" spans="8:16" x14ac:dyDescent="0.25">
      <c r="H27177" s="12"/>
      <c r="I27177" s="12"/>
      <c r="J27177" s="12"/>
      <c r="K27177" s="12"/>
      <c r="L27177" s="12"/>
      <c r="M27177" s="11"/>
      <c r="N27177" s="11"/>
      <c r="O27177" s="11"/>
      <c r="P27177" s="11"/>
    </row>
    <row r="27178" spans="8:16" x14ac:dyDescent="0.25">
      <c r="H27178" s="12"/>
      <c r="I27178" s="12"/>
      <c r="J27178" s="12"/>
      <c r="K27178" s="12"/>
      <c r="L27178" s="12"/>
      <c r="M27178" s="11"/>
      <c r="N27178" s="11"/>
      <c r="O27178" s="11"/>
      <c r="P27178" s="11"/>
    </row>
    <row r="27179" spans="8:16" x14ac:dyDescent="0.25">
      <c r="H27179" s="12"/>
      <c r="I27179" s="12"/>
      <c r="J27179" s="12"/>
      <c r="K27179" s="12"/>
      <c r="L27179" s="12"/>
      <c r="M27179" s="11"/>
      <c r="N27179" s="11"/>
      <c r="O27179" s="11"/>
      <c r="P27179" s="11"/>
    </row>
    <row r="27180" spans="8:16" x14ac:dyDescent="0.25">
      <c r="H27180" s="12"/>
      <c r="I27180" s="12"/>
      <c r="J27180" s="12"/>
      <c r="K27180" s="12"/>
      <c r="L27180" s="12"/>
      <c r="M27180" s="11"/>
      <c r="N27180" s="11"/>
      <c r="O27180" s="11"/>
      <c r="P27180" s="11"/>
    </row>
    <row r="27181" spans="8:16" x14ac:dyDescent="0.25">
      <c r="H27181" s="12"/>
      <c r="I27181" s="12"/>
      <c r="J27181" s="12"/>
      <c r="K27181" s="12"/>
      <c r="L27181" s="12"/>
      <c r="M27181" s="11"/>
      <c r="N27181" s="11"/>
      <c r="O27181" s="11"/>
      <c r="P27181" s="11"/>
    </row>
    <row r="27182" spans="8:16" x14ac:dyDescent="0.25">
      <c r="H27182" s="12"/>
      <c r="I27182" s="12"/>
      <c r="J27182" s="12"/>
      <c r="K27182" s="12"/>
      <c r="L27182" s="12"/>
      <c r="M27182" s="11"/>
      <c r="N27182" s="11"/>
      <c r="O27182" s="11"/>
      <c r="P27182" s="11"/>
    </row>
    <row r="27183" spans="8:16" x14ac:dyDescent="0.25">
      <c r="H27183" s="12"/>
      <c r="I27183" s="12"/>
      <c r="J27183" s="12"/>
      <c r="K27183" s="12"/>
      <c r="L27183" s="12"/>
      <c r="M27183" s="11"/>
      <c r="N27183" s="11"/>
      <c r="O27183" s="11"/>
      <c r="P27183" s="11"/>
    </row>
    <row r="27184" spans="8:16" x14ac:dyDescent="0.25">
      <c r="H27184" s="12"/>
      <c r="I27184" s="12"/>
      <c r="J27184" s="12"/>
      <c r="K27184" s="12"/>
      <c r="L27184" s="12"/>
      <c r="M27184" s="11"/>
      <c r="N27184" s="11"/>
      <c r="O27184" s="11"/>
      <c r="P27184" s="11"/>
    </row>
    <row r="27185" spans="8:16" x14ac:dyDescent="0.25">
      <c r="H27185" s="12"/>
      <c r="I27185" s="12"/>
      <c r="J27185" s="12"/>
      <c r="K27185" s="12"/>
      <c r="L27185" s="12"/>
      <c r="M27185" s="11"/>
      <c r="N27185" s="11"/>
      <c r="O27185" s="11"/>
      <c r="P27185" s="11"/>
    </row>
    <row r="27186" spans="8:16" x14ac:dyDescent="0.25">
      <c r="H27186" s="12"/>
      <c r="I27186" s="12"/>
      <c r="J27186" s="12"/>
      <c r="K27186" s="12"/>
      <c r="L27186" s="12"/>
      <c r="M27186" s="11"/>
      <c r="N27186" s="11"/>
      <c r="O27186" s="11"/>
      <c r="P27186" s="11"/>
    </row>
    <row r="27187" spans="8:16" x14ac:dyDescent="0.25">
      <c r="H27187" s="12"/>
      <c r="I27187" s="12"/>
      <c r="J27187" s="12"/>
      <c r="K27187" s="12"/>
      <c r="L27187" s="12"/>
      <c r="M27187" s="11"/>
      <c r="N27187" s="11"/>
      <c r="O27187" s="11"/>
      <c r="P27187" s="11"/>
    </row>
    <row r="27188" spans="8:16" x14ac:dyDescent="0.25">
      <c r="H27188" s="12"/>
      <c r="I27188" s="12"/>
      <c r="J27188" s="12"/>
      <c r="K27188" s="12"/>
      <c r="L27188" s="12"/>
      <c r="M27188" s="11"/>
      <c r="N27188" s="11"/>
      <c r="O27188" s="11"/>
      <c r="P27188" s="11"/>
    </row>
    <row r="27189" spans="8:16" x14ac:dyDescent="0.25">
      <c r="H27189" s="12"/>
      <c r="I27189" s="12"/>
      <c r="J27189" s="12"/>
      <c r="K27189" s="12"/>
      <c r="L27189" s="12"/>
      <c r="M27189" s="11"/>
      <c r="N27189" s="11"/>
      <c r="O27189" s="11"/>
      <c r="P27189" s="11"/>
    </row>
    <row r="27190" spans="8:16" x14ac:dyDescent="0.25">
      <c r="H27190" s="12"/>
      <c r="I27190" s="12"/>
      <c r="J27190" s="12"/>
      <c r="K27190" s="12"/>
      <c r="L27190" s="12"/>
      <c r="M27190" s="11"/>
      <c r="N27190" s="11"/>
      <c r="O27190" s="11"/>
      <c r="P27190" s="11"/>
    </row>
    <row r="27191" spans="8:16" x14ac:dyDescent="0.25">
      <c r="H27191" s="12"/>
      <c r="I27191" s="12"/>
      <c r="J27191" s="12"/>
      <c r="K27191" s="12"/>
      <c r="L27191" s="12"/>
      <c r="M27191" s="11"/>
      <c r="N27191" s="11"/>
      <c r="O27191" s="11"/>
      <c r="P27191" s="11"/>
    </row>
    <row r="27192" spans="8:16" x14ac:dyDescent="0.25">
      <c r="H27192" s="12"/>
      <c r="I27192" s="12"/>
      <c r="J27192" s="12"/>
      <c r="K27192" s="12"/>
      <c r="L27192" s="12"/>
      <c r="M27192" s="11"/>
      <c r="N27192" s="11"/>
      <c r="O27192" s="11"/>
      <c r="P27192" s="11"/>
    </row>
    <row r="27193" spans="8:16" x14ac:dyDescent="0.25">
      <c r="H27193" s="12"/>
      <c r="I27193" s="12"/>
      <c r="J27193" s="12"/>
      <c r="K27193" s="12"/>
      <c r="L27193" s="12"/>
      <c r="M27193" s="11"/>
      <c r="N27193" s="11"/>
      <c r="O27193" s="11"/>
      <c r="P27193" s="11"/>
    </row>
    <row r="27194" spans="8:16" x14ac:dyDescent="0.25">
      <c r="H27194" s="12"/>
      <c r="I27194" s="12"/>
      <c r="J27194" s="12"/>
      <c r="K27194" s="12"/>
      <c r="L27194" s="12"/>
      <c r="M27194" s="11"/>
      <c r="N27194" s="11"/>
      <c r="O27194" s="11"/>
      <c r="P27194" s="11"/>
    </row>
    <row r="27195" spans="8:16" x14ac:dyDescent="0.25">
      <c r="H27195" s="12"/>
      <c r="I27195" s="12"/>
      <c r="J27195" s="12"/>
      <c r="K27195" s="12"/>
      <c r="L27195" s="12"/>
      <c r="M27195" s="11"/>
      <c r="N27195" s="11"/>
      <c r="O27195" s="11"/>
      <c r="P27195" s="11"/>
    </row>
    <row r="27196" spans="8:16" x14ac:dyDescent="0.25">
      <c r="H27196" s="12"/>
      <c r="I27196" s="12"/>
      <c r="J27196" s="12"/>
      <c r="K27196" s="12"/>
      <c r="L27196" s="12"/>
      <c r="M27196" s="11"/>
      <c r="N27196" s="11"/>
      <c r="O27196" s="11"/>
      <c r="P27196" s="11"/>
    </row>
    <row r="27197" spans="8:16" x14ac:dyDescent="0.25">
      <c r="H27197" s="12"/>
      <c r="I27197" s="12"/>
      <c r="J27197" s="12"/>
      <c r="K27197" s="12"/>
      <c r="L27197" s="12"/>
      <c r="M27197" s="11"/>
      <c r="N27197" s="11"/>
      <c r="O27197" s="11"/>
      <c r="P27197" s="11"/>
    </row>
    <row r="27198" spans="8:16" x14ac:dyDescent="0.25">
      <c r="H27198" s="12"/>
      <c r="I27198" s="12"/>
      <c r="J27198" s="12"/>
      <c r="K27198" s="12"/>
      <c r="L27198" s="12"/>
      <c r="M27198" s="11"/>
      <c r="N27198" s="11"/>
      <c r="O27198" s="11"/>
      <c r="P27198" s="11"/>
    </row>
    <row r="27199" spans="8:16" x14ac:dyDescent="0.25">
      <c r="H27199" s="12"/>
      <c r="I27199" s="12"/>
      <c r="J27199" s="12"/>
      <c r="K27199" s="12"/>
      <c r="L27199" s="12"/>
      <c r="M27199" s="11"/>
      <c r="N27199" s="11"/>
      <c r="O27199" s="11"/>
      <c r="P27199" s="11"/>
    </row>
    <row r="27200" spans="8:16" x14ac:dyDescent="0.25">
      <c r="H27200" s="12"/>
      <c r="I27200" s="12"/>
      <c r="J27200" s="12"/>
      <c r="K27200" s="12"/>
      <c r="L27200" s="12"/>
      <c r="M27200" s="11"/>
      <c r="N27200" s="11"/>
      <c r="O27200" s="11"/>
      <c r="P27200" s="11"/>
    </row>
    <row r="27201" spans="8:16" x14ac:dyDescent="0.25">
      <c r="H27201" s="12"/>
      <c r="I27201" s="12"/>
      <c r="J27201" s="12"/>
      <c r="K27201" s="12"/>
      <c r="L27201" s="12"/>
      <c r="M27201" s="11"/>
      <c r="N27201" s="11"/>
      <c r="O27201" s="11"/>
      <c r="P27201" s="11"/>
    </row>
    <row r="27202" spans="8:16" x14ac:dyDescent="0.25">
      <c r="H27202" s="12"/>
      <c r="I27202" s="12"/>
      <c r="J27202" s="12"/>
      <c r="K27202" s="12"/>
      <c r="L27202" s="12"/>
      <c r="M27202" s="11"/>
      <c r="N27202" s="11"/>
      <c r="O27202" s="11"/>
      <c r="P27202" s="11"/>
    </row>
    <row r="27203" spans="8:16" x14ac:dyDescent="0.25">
      <c r="H27203" s="12"/>
      <c r="I27203" s="12"/>
      <c r="J27203" s="12"/>
      <c r="K27203" s="12"/>
      <c r="L27203" s="12"/>
      <c r="M27203" s="11"/>
      <c r="N27203" s="11"/>
      <c r="O27203" s="11"/>
      <c r="P27203" s="11"/>
    </row>
    <row r="27204" spans="8:16" x14ac:dyDescent="0.25">
      <c r="H27204" s="12"/>
      <c r="I27204" s="12"/>
      <c r="J27204" s="12"/>
      <c r="K27204" s="12"/>
      <c r="L27204" s="12"/>
      <c r="M27204" s="11"/>
      <c r="N27204" s="11"/>
      <c r="O27204" s="11"/>
      <c r="P27204" s="11"/>
    </row>
    <row r="27205" spans="8:16" x14ac:dyDescent="0.25">
      <c r="H27205" s="12"/>
      <c r="I27205" s="12"/>
      <c r="J27205" s="12"/>
      <c r="K27205" s="12"/>
      <c r="L27205" s="12"/>
      <c r="M27205" s="11"/>
      <c r="N27205" s="11"/>
      <c r="O27205" s="11"/>
      <c r="P27205" s="11"/>
    </row>
    <row r="27206" spans="8:16" x14ac:dyDescent="0.25">
      <c r="H27206" s="12"/>
      <c r="I27206" s="12"/>
      <c r="J27206" s="12"/>
      <c r="K27206" s="12"/>
      <c r="L27206" s="12"/>
      <c r="M27206" s="11"/>
      <c r="N27206" s="11"/>
      <c r="O27206" s="11"/>
      <c r="P27206" s="11"/>
    </row>
    <row r="27207" spans="8:16" x14ac:dyDescent="0.25">
      <c r="H27207" s="12"/>
      <c r="I27207" s="12"/>
      <c r="J27207" s="12"/>
      <c r="K27207" s="12"/>
      <c r="L27207" s="12"/>
      <c r="M27207" s="11"/>
      <c r="N27207" s="11"/>
      <c r="O27207" s="11"/>
      <c r="P27207" s="11"/>
    </row>
    <row r="27208" spans="8:16" x14ac:dyDescent="0.25">
      <c r="H27208" s="12"/>
      <c r="I27208" s="12"/>
      <c r="J27208" s="12"/>
      <c r="K27208" s="12"/>
      <c r="L27208" s="12"/>
      <c r="M27208" s="11"/>
      <c r="N27208" s="11"/>
      <c r="O27208" s="11"/>
      <c r="P27208" s="11"/>
    </row>
    <row r="27209" spans="8:16" x14ac:dyDescent="0.25">
      <c r="H27209" s="12"/>
      <c r="I27209" s="12"/>
      <c r="J27209" s="12"/>
      <c r="K27209" s="12"/>
      <c r="L27209" s="12"/>
      <c r="M27209" s="11"/>
      <c r="N27209" s="11"/>
      <c r="O27209" s="11"/>
      <c r="P27209" s="11"/>
    </row>
    <row r="27210" spans="8:16" x14ac:dyDescent="0.25">
      <c r="H27210" s="12"/>
      <c r="I27210" s="12"/>
      <c r="J27210" s="12"/>
      <c r="K27210" s="12"/>
      <c r="L27210" s="12"/>
      <c r="M27210" s="11"/>
      <c r="N27210" s="11"/>
      <c r="O27210" s="11"/>
      <c r="P27210" s="11"/>
    </row>
    <row r="27211" spans="8:16" x14ac:dyDescent="0.25">
      <c r="H27211" s="12"/>
      <c r="I27211" s="12"/>
      <c r="J27211" s="12"/>
      <c r="K27211" s="12"/>
      <c r="L27211" s="12"/>
      <c r="M27211" s="11"/>
      <c r="N27211" s="11"/>
      <c r="O27211" s="11"/>
      <c r="P27211" s="11"/>
    </row>
    <row r="27212" spans="8:16" x14ac:dyDescent="0.25">
      <c r="H27212" s="12"/>
      <c r="I27212" s="12"/>
      <c r="J27212" s="12"/>
      <c r="K27212" s="12"/>
      <c r="L27212" s="12"/>
      <c r="M27212" s="11"/>
      <c r="N27212" s="11"/>
      <c r="O27212" s="11"/>
      <c r="P27212" s="11"/>
    </row>
    <row r="27213" spans="8:16" x14ac:dyDescent="0.25">
      <c r="H27213" s="12"/>
      <c r="I27213" s="12"/>
      <c r="J27213" s="12"/>
      <c r="K27213" s="12"/>
      <c r="L27213" s="12"/>
      <c r="M27213" s="11"/>
      <c r="N27213" s="11"/>
      <c r="O27213" s="11"/>
      <c r="P27213" s="11"/>
    </row>
    <row r="27214" spans="8:16" x14ac:dyDescent="0.25">
      <c r="H27214" s="12"/>
      <c r="I27214" s="12"/>
      <c r="J27214" s="12"/>
      <c r="K27214" s="12"/>
      <c r="L27214" s="12"/>
      <c r="M27214" s="11"/>
      <c r="N27214" s="11"/>
      <c r="O27214" s="11"/>
      <c r="P27214" s="11"/>
    </row>
    <row r="27215" spans="8:16" x14ac:dyDescent="0.25">
      <c r="H27215" s="12"/>
      <c r="I27215" s="12"/>
      <c r="J27215" s="12"/>
      <c r="K27215" s="12"/>
      <c r="L27215" s="12"/>
      <c r="M27215" s="11"/>
      <c r="N27215" s="11"/>
      <c r="O27215" s="11"/>
      <c r="P27215" s="11"/>
    </row>
    <row r="27216" spans="8:16" x14ac:dyDescent="0.25">
      <c r="H27216" s="12"/>
      <c r="I27216" s="12"/>
      <c r="J27216" s="12"/>
      <c r="K27216" s="12"/>
      <c r="L27216" s="12"/>
      <c r="M27216" s="11"/>
      <c r="N27216" s="11"/>
      <c r="O27216" s="11"/>
      <c r="P27216" s="11"/>
    </row>
    <row r="27217" spans="8:16" x14ac:dyDescent="0.25">
      <c r="H27217" s="12"/>
      <c r="I27217" s="12"/>
      <c r="J27217" s="12"/>
      <c r="K27217" s="12"/>
      <c r="L27217" s="12"/>
      <c r="M27217" s="11"/>
      <c r="N27217" s="11"/>
      <c r="O27217" s="11"/>
      <c r="P27217" s="11"/>
    </row>
    <row r="27218" spans="8:16" x14ac:dyDescent="0.25">
      <c r="H27218" s="12"/>
      <c r="I27218" s="12"/>
      <c r="J27218" s="12"/>
      <c r="K27218" s="12"/>
      <c r="L27218" s="12"/>
      <c r="M27218" s="11"/>
      <c r="N27218" s="11"/>
      <c r="O27218" s="11"/>
      <c r="P27218" s="11"/>
    </row>
    <row r="27219" spans="8:16" x14ac:dyDescent="0.25">
      <c r="H27219" s="12"/>
      <c r="I27219" s="12"/>
      <c r="J27219" s="12"/>
      <c r="K27219" s="12"/>
      <c r="L27219" s="12"/>
      <c r="M27219" s="11"/>
      <c r="N27219" s="11"/>
      <c r="O27219" s="11"/>
      <c r="P27219" s="11"/>
    </row>
    <row r="27220" spans="8:16" x14ac:dyDescent="0.25">
      <c r="H27220" s="12"/>
      <c r="I27220" s="12"/>
      <c r="J27220" s="12"/>
      <c r="K27220" s="12"/>
      <c r="L27220" s="12"/>
      <c r="M27220" s="11"/>
      <c r="N27220" s="11"/>
      <c r="O27220" s="11"/>
      <c r="P27220" s="11"/>
    </row>
    <row r="27221" spans="8:16" x14ac:dyDescent="0.25">
      <c r="H27221" s="12"/>
      <c r="I27221" s="12"/>
      <c r="J27221" s="12"/>
      <c r="K27221" s="12"/>
      <c r="L27221" s="12"/>
      <c r="M27221" s="11"/>
      <c r="N27221" s="11"/>
      <c r="O27221" s="11"/>
      <c r="P27221" s="11"/>
    </row>
    <row r="27222" spans="8:16" x14ac:dyDescent="0.25">
      <c r="H27222" s="12"/>
      <c r="I27222" s="12"/>
      <c r="J27222" s="12"/>
      <c r="K27222" s="12"/>
      <c r="L27222" s="12"/>
      <c r="M27222" s="11"/>
      <c r="N27222" s="11"/>
      <c r="O27222" s="11"/>
      <c r="P27222" s="11"/>
    </row>
    <row r="27223" spans="8:16" x14ac:dyDescent="0.25">
      <c r="H27223" s="12"/>
      <c r="I27223" s="12"/>
      <c r="J27223" s="12"/>
      <c r="K27223" s="12"/>
      <c r="L27223" s="12"/>
      <c r="M27223" s="11"/>
      <c r="N27223" s="11"/>
      <c r="O27223" s="11"/>
      <c r="P27223" s="11"/>
    </row>
    <row r="27224" spans="8:16" x14ac:dyDescent="0.25">
      <c r="H27224" s="12"/>
      <c r="I27224" s="12"/>
      <c r="J27224" s="12"/>
      <c r="K27224" s="12"/>
      <c r="L27224" s="12"/>
      <c r="M27224" s="11"/>
      <c r="N27224" s="11"/>
      <c r="O27224" s="11"/>
      <c r="P27224" s="11"/>
    </row>
    <row r="27225" spans="8:16" x14ac:dyDescent="0.25">
      <c r="H27225" s="12"/>
      <c r="I27225" s="12"/>
      <c r="J27225" s="12"/>
      <c r="K27225" s="12"/>
      <c r="L27225" s="12"/>
      <c r="M27225" s="11"/>
      <c r="N27225" s="11"/>
      <c r="O27225" s="11"/>
      <c r="P27225" s="11"/>
    </row>
    <row r="27226" spans="8:16" x14ac:dyDescent="0.25">
      <c r="H27226" s="12"/>
      <c r="I27226" s="12"/>
      <c r="J27226" s="12"/>
      <c r="K27226" s="12"/>
      <c r="L27226" s="12"/>
      <c r="M27226" s="11"/>
      <c r="N27226" s="11"/>
      <c r="O27226" s="11"/>
      <c r="P27226" s="11"/>
    </row>
    <row r="27227" spans="8:16" x14ac:dyDescent="0.25">
      <c r="H27227" s="12"/>
      <c r="I27227" s="12"/>
      <c r="J27227" s="12"/>
      <c r="K27227" s="12"/>
      <c r="L27227" s="12"/>
      <c r="M27227" s="11"/>
      <c r="N27227" s="11"/>
      <c r="O27227" s="11"/>
      <c r="P27227" s="11"/>
    </row>
    <row r="27228" spans="8:16" x14ac:dyDescent="0.25">
      <c r="H27228" s="12"/>
      <c r="I27228" s="12"/>
      <c r="J27228" s="12"/>
      <c r="K27228" s="12"/>
      <c r="L27228" s="12"/>
      <c r="M27228" s="11"/>
      <c r="N27228" s="11"/>
      <c r="O27228" s="11"/>
      <c r="P27228" s="11"/>
    </row>
    <row r="27229" spans="8:16" x14ac:dyDescent="0.25">
      <c r="H27229" s="12"/>
      <c r="I27229" s="12"/>
      <c r="J27229" s="12"/>
      <c r="K27229" s="12"/>
      <c r="L27229" s="12"/>
      <c r="M27229" s="11"/>
      <c r="N27229" s="11"/>
      <c r="O27229" s="11"/>
      <c r="P27229" s="11"/>
    </row>
    <row r="27230" spans="8:16" x14ac:dyDescent="0.25">
      <c r="H27230" s="12"/>
      <c r="I27230" s="12"/>
      <c r="J27230" s="12"/>
      <c r="K27230" s="12"/>
      <c r="L27230" s="12"/>
      <c r="M27230" s="11"/>
      <c r="N27230" s="11"/>
      <c r="O27230" s="11"/>
      <c r="P27230" s="11"/>
    </row>
    <row r="27231" spans="8:16" x14ac:dyDescent="0.25">
      <c r="H27231" s="12"/>
      <c r="I27231" s="12"/>
      <c r="J27231" s="12"/>
      <c r="K27231" s="12"/>
      <c r="L27231" s="12"/>
      <c r="M27231" s="11"/>
      <c r="N27231" s="11"/>
      <c r="O27231" s="11"/>
      <c r="P27231" s="11"/>
    </row>
    <row r="27232" spans="8:16" x14ac:dyDescent="0.25">
      <c r="H27232" s="12"/>
      <c r="I27232" s="12"/>
      <c r="J27232" s="12"/>
      <c r="K27232" s="12"/>
      <c r="L27232" s="12"/>
      <c r="M27232" s="11"/>
      <c r="N27232" s="11"/>
      <c r="O27232" s="11"/>
      <c r="P27232" s="11"/>
    </row>
    <row r="27233" spans="8:16" x14ac:dyDescent="0.25">
      <c r="H27233" s="12"/>
      <c r="I27233" s="12"/>
      <c r="J27233" s="12"/>
      <c r="K27233" s="12"/>
      <c r="L27233" s="12"/>
      <c r="M27233" s="11"/>
      <c r="N27233" s="11"/>
      <c r="O27233" s="11"/>
      <c r="P27233" s="11"/>
    </row>
    <row r="27234" spans="8:16" x14ac:dyDescent="0.25">
      <c r="H27234" s="12"/>
      <c r="I27234" s="12"/>
      <c r="J27234" s="12"/>
      <c r="K27234" s="12"/>
      <c r="L27234" s="12"/>
      <c r="M27234" s="11"/>
      <c r="N27234" s="11"/>
      <c r="O27234" s="11"/>
      <c r="P27234" s="11"/>
    </row>
    <row r="27235" spans="8:16" x14ac:dyDescent="0.25">
      <c r="H27235" s="12"/>
      <c r="I27235" s="12"/>
      <c r="J27235" s="12"/>
      <c r="K27235" s="12"/>
      <c r="L27235" s="12"/>
      <c r="M27235" s="11"/>
      <c r="N27235" s="11"/>
      <c r="O27235" s="11"/>
      <c r="P27235" s="11"/>
    </row>
    <row r="27236" spans="8:16" x14ac:dyDescent="0.25">
      <c r="H27236" s="12"/>
      <c r="I27236" s="12"/>
      <c r="J27236" s="12"/>
      <c r="K27236" s="12"/>
      <c r="L27236" s="12"/>
      <c r="M27236" s="11"/>
      <c r="N27236" s="11"/>
      <c r="O27236" s="11"/>
      <c r="P27236" s="11"/>
    </row>
    <row r="27237" spans="8:16" x14ac:dyDescent="0.25">
      <c r="H27237" s="12"/>
      <c r="I27237" s="12"/>
      <c r="J27237" s="12"/>
      <c r="K27237" s="12"/>
      <c r="L27237" s="12"/>
      <c r="M27237" s="11"/>
      <c r="N27237" s="11"/>
      <c r="O27237" s="11"/>
      <c r="P27237" s="11"/>
    </row>
    <row r="27238" spans="8:16" x14ac:dyDescent="0.25">
      <c r="H27238" s="12"/>
      <c r="I27238" s="12"/>
      <c r="J27238" s="12"/>
      <c r="K27238" s="12"/>
      <c r="L27238" s="12"/>
      <c r="M27238" s="11"/>
      <c r="N27238" s="11"/>
      <c r="O27238" s="11"/>
      <c r="P27238" s="11"/>
    </row>
    <row r="27239" spans="8:16" x14ac:dyDescent="0.25">
      <c r="H27239" s="12"/>
      <c r="I27239" s="12"/>
      <c r="J27239" s="12"/>
      <c r="K27239" s="12"/>
      <c r="L27239" s="12"/>
      <c r="M27239" s="11"/>
      <c r="N27239" s="11"/>
      <c r="O27239" s="11"/>
      <c r="P27239" s="11"/>
    </row>
    <row r="27240" spans="8:16" x14ac:dyDescent="0.25">
      <c r="H27240" s="12"/>
      <c r="I27240" s="12"/>
      <c r="J27240" s="12"/>
      <c r="K27240" s="12"/>
      <c r="L27240" s="12"/>
      <c r="M27240" s="11"/>
      <c r="N27240" s="11"/>
      <c r="O27240" s="11"/>
      <c r="P27240" s="11"/>
    </row>
    <row r="27241" spans="8:16" x14ac:dyDescent="0.25">
      <c r="H27241" s="12"/>
      <c r="I27241" s="12"/>
      <c r="J27241" s="12"/>
      <c r="K27241" s="12"/>
      <c r="L27241" s="12"/>
      <c r="M27241" s="11"/>
      <c r="N27241" s="11"/>
      <c r="O27241" s="11"/>
      <c r="P27241" s="11"/>
    </row>
    <row r="27242" spans="8:16" x14ac:dyDescent="0.25">
      <c r="H27242" s="12"/>
      <c r="I27242" s="12"/>
      <c r="J27242" s="12"/>
      <c r="K27242" s="12"/>
      <c r="L27242" s="12"/>
      <c r="M27242" s="11"/>
      <c r="N27242" s="11"/>
      <c r="O27242" s="11"/>
      <c r="P27242" s="11"/>
    </row>
    <row r="27243" spans="8:16" x14ac:dyDescent="0.25">
      <c r="H27243" s="12"/>
      <c r="I27243" s="12"/>
      <c r="J27243" s="12"/>
      <c r="K27243" s="12"/>
      <c r="L27243" s="12"/>
      <c r="M27243" s="11"/>
      <c r="N27243" s="11"/>
      <c r="O27243" s="11"/>
      <c r="P27243" s="11"/>
    </row>
    <row r="27244" spans="8:16" x14ac:dyDescent="0.25">
      <c r="H27244" s="12"/>
      <c r="I27244" s="12"/>
      <c r="J27244" s="12"/>
      <c r="K27244" s="12"/>
      <c r="L27244" s="12"/>
      <c r="M27244" s="11"/>
      <c r="N27244" s="11"/>
      <c r="O27244" s="11"/>
      <c r="P27244" s="11"/>
    </row>
    <row r="27245" spans="8:16" x14ac:dyDescent="0.25">
      <c r="H27245" s="12"/>
      <c r="I27245" s="12"/>
      <c r="J27245" s="12"/>
      <c r="K27245" s="12"/>
      <c r="L27245" s="12"/>
      <c r="M27245" s="11"/>
      <c r="N27245" s="11"/>
      <c r="O27245" s="11"/>
      <c r="P27245" s="11"/>
    </row>
    <row r="27246" spans="8:16" x14ac:dyDescent="0.25">
      <c r="H27246" s="12"/>
      <c r="I27246" s="12"/>
      <c r="J27246" s="12"/>
      <c r="K27246" s="12"/>
      <c r="L27246" s="12"/>
      <c r="M27246" s="11"/>
      <c r="N27246" s="11"/>
      <c r="O27246" s="11"/>
      <c r="P27246" s="11"/>
    </row>
    <row r="27247" spans="8:16" x14ac:dyDescent="0.25">
      <c r="H27247" s="12"/>
      <c r="I27247" s="12"/>
      <c r="J27247" s="12"/>
      <c r="K27247" s="12"/>
      <c r="L27247" s="12"/>
      <c r="M27247" s="11"/>
      <c r="N27247" s="11"/>
      <c r="O27247" s="11"/>
      <c r="P27247" s="11"/>
    </row>
    <row r="27248" spans="8:16" x14ac:dyDescent="0.25">
      <c r="H27248" s="12"/>
      <c r="I27248" s="12"/>
      <c r="J27248" s="12"/>
      <c r="K27248" s="12"/>
      <c r="L27248" s="12"/>
      <c r="M27248" s="11"/>
      <c r="N27248" s="11"/>
      <c r="O27248" s="11"/>
      <c r="P27248" s="11"/>
    </row>
    <row r="27249" spans="8:16" x14ac:dyDescent="0.25">
      <c r="H27249" s="12"/>
      <c r="I27249" s="12"/>
      <c r="J27249" s="12"/>
      <c r="K27249" s="12"/>
      <c r="L27249" s="12"/>
      <c r="M27249" s="11"/>
      <c r="N27249" s="11"/>
      <c r="O27249" s="11"/>
      <c r="P27249" s="11"/>
    </row>
    <row r="27250" spans="8:16" x14ac:dyDescent="0.25">
      <c r="H27250" s="12"/>
      <c r="I27250" s="12"/>
      <c r="J27250" s="12"/>
      <c r="K27250" s="12"/>
      <c r="L27250" s="12"/>
      <c r="M27250" s="11"/>
      <c r="N27250" s="11"/>
      <c r="O27250" s="11"/>
      <c r="P27250" s="11"/>
    </row>
    <row r="27251" spans="8:16" x14ac:dyDescent="0.25">
      <c r="H27251" s="12"/>
      <c r="I27251" s="12"/>
      <c r="J27251" s="12"/>
      <c r="K27251" s="12"/>
      <c r="L27251" s="12"/>
      <c r="M27251" s="11"/>
      <c r="N27251" s="11"/>
      <c r="O27251" s="11"/>
      <c r="P27251" s="11"/>
    </row>
    <row r="27252" spans="8:16" x14ac:dyDescent="0.25">
      <c r="H27252" s="12"/>
      <c r="I27252" s="12"/>
      <c r="J27252" s="12"/>
      <c r="K27252" s="12"/>
      <c r="L27252" s="12"/>
      <c r="M27252" s="11"/>
      <c r="N27252" s="11"/>
      <c r="O27252" s="11"/>
      <c r="P27252" s="11"/>
    </row>
    <row r="27253" spans="8:16" x14ac:dyDescent="0.25">
      <c r="H27253" s="12"/>
      <c r="I27253" s="12"/>
      <c r="J27253" s="12"/>
      <c r="K27253" s="12"/>
      <c r="L27253" s="12"/>
      <c r="M27253" s="11"/>
      <c r="N27253" s="11"/>
      <c r="O27253" s="11"/>
      <c r="P27253" s="11"/>
    </row>
    <row r="27254" spans="8:16" x14ac:dyDescent="0.25">
      <c r="H27254" s="12"/>
      <c r="I27254" s="12"/>
      <c r="J27254" s="12"/>
      <c r="K27254" s="12"/>
      <c r="L27254" s="12"/>
      <c r="M27254" s="11"/>
      <c r="N27254" s="11"/>
      <c r="O27254" s="11"/>
      <c r="P27254" s="11"/>
    </row>
    <row r="27255" spans="8:16" x14ac:dyDescent="0.25">
      <c r="H27255" s="12"/>
      <c r="I27255" s="12"/>
      <c r="J27255" s="12"/>
      <c r="K27255" s="12"/>
      <c r="L27255" s="12"/>
      <c r="M27255" s="11"/>
      <c r="N27255" s="11"/>
      <c r="O27255" s="11"/>
      <c r="P27255" s="11"/>
    </row>
    <row r="27256" spans="8:16" x14ac:dyDescent="0.25">
      <c r="H27256" s="12"/>
      <c r="I27256" s="12"/>
      <c r="J27256" s="12"/>
      <c r="K27256" s="12"/>
      <c r="L27256" s="12"/>
      <c r="M27256" s="11"/>
      <c r="N27256" s="11"/>
      <c r="O27256" s="11"/>
      <c r="P27256" s="11"/>
    </row>
    <row r="27257" spans="8:16" x14ac:dyDescent="0.25">
      <c r="H27257" s="12"/>
      <c r="I27257" s="12"/>
      <c r="J27257" s="12"/>
      <c r="K27257" s="12"/>
      <c r="L27257" s="12"/>
      <c r="M27257" s="11"/>
      <c r="N27257" s="11"/>
      <c r="O27257" s="11"/>
      <c r="P27257" s="11"/>
    </row>
    <row r="27258" spans="8:16" x14ac:dyDescent="0.25">
      <c r="H27258" s="12"/>
      <c r="I27258" s="12"/>
      <c r="J27258" s="12"/>
      <c r="K27258" s="12"/>
      <c r="L27258" s="12"/>
      <c r="M27258" s="11"/>
      <c r="N27258" s="11"/>
      <c r="O27258" s="11"/>
      <c r="P27258" s="11"/>
    </row>
    <row r="27259" spans="8:16" x14ac:dyDescent="0.25">
      <c r="H27259" s="12"/>
      <c r="I27259" s="12"/>
      <c r="J27259" s="12"/>
      <c r="K27259" s="12"/>
      <c r="L27259" s="12"/>
      <c r="M27259" s="11"/>
      <c r="N27259" s="11"/>
      <c r="O27259" s="11"/>
      <c r="P27259" s="11"/>
    </row>
    <row r="27260" spans="8:16" x14ac:dyDescent="0.25">
      <c r="H27260" s="12"/>
      <c r="I27260" s="12"/>
      <c r="J27260" s="12"/>
      <c r="K27260" s="12"/>
      <c r="L27260" s="12"/>
      <c r="M27260" s="11"/>
      <c r="N27260" s="11"/>
      <c r="O27260" s="11"/>
      <c r="P27260" s="11"/>
    </row>
    <row r="27261" spans="8:16" x14ac:dyDescent="0.25">
      <c r="H27261" s="12"/>
      <c r="I27261" s="12"/>
      <c r="J27261" s="12"/>
      <c r="K27261" s="12"/>
      <c r="L27261" s="12"/>
      <c r="M27261" s="11"/>
      <c r="N27261" s="11"/>
      <c r="O27261" s="11"/>
      <c r="P27261" s="11"/>
    </row>
    <row r="27262" spans="8:16" x14ac:dyDescent="0.25">
      <c r="H27262" s="12"/>
      <c r="I27262" s="12"/>
      <c r="J27262" s="12"/>
      <c r="K27262" s="12"/>
      <c r="L27262" s="12"/>
      <c r="M27262" s="11"/>
      <c r="N27262" s="11"/>
      <c r="O27262" s="11"/>
      <c r="P27262" s="11"/>
    </row>
    <row r="27263" spans="8:16" x14ac:dyDescent="0.25">
      <c r="H27263" s="12"/>
      <c r="I27263" s="12"/>
      <c r="J27263" s="12"/>
      <c r="K27263" s="12"/>
      <c r="L27263" s="12"/>
      <c r="M27263" s="11"/>
      <c r="N27263" s="11"/>
      <c r="O27263" s="11"/>
      <c r="P27263" s="11"/>
    </row>
    <row r="27264" spans="8:16" x14ac:dyDescent="0.25">
      <c r="H27264" s="12"/>
      <c r="I27264" s="12"/>
      <c r="J27264" s="12"/>
      <c r="K27264" s="12"/>
      <c r="L27264" s="12"/>
      <c r="M27264" s="11"/>
      <c r="N27264" s="11"/>
      <c r="O27264" s="11"/>
      <c r="P27264" s="11"/>
    </row>
    <row r="27265" spans="8:16" x14ac:dyDescent="0.25">
      <c r="H27265" s="12"/>
      <c r="I27265" s="12"/>
      <c r="J27265" s="12"/>
      <c r="K27265" s="12"/>
      <c r="L27265" s="12"/>
      <c r="M27265" s="11"/>
      <c r="N27265" s="11"/>
      <c r="O27265" s="11"/>
      <c r="P27265" s="11"/>
    </row>
    <row r="27266" spans="8:16" x14ac:dyDescent="0.25">
      <c r="H27266" s="12"/>
      <c r="I27266" s="12"/>
      <c r="J27266" s="12"/>
      <c r="K27266" s="12"/>
      <c r="L27266" s="12"/>
      <c r="M27266" s="11"/>
      <c r="N27266" s="11"/>
      <c r="O27266" s="11"/>
      <c r="P27266" s="11"/>
    </row>
    <row r="27267" spans="8:16" x14ac:dyDescent="0.25">
      <c r="H27267" s="12"/>
      <c r="I27267" s="12"/>
      <c r="J27267" s="12"/>
      <c r="K27267" s="12"/>
      <c r="L27267" s="12"/>
      <c r="M27267" s="11"/>
      <c r="N27267" s="11"/>
      <c r="O27267" s="11"/>
      <c r="P27267" s="11"/>
    </row>
    <row r="27268" spans="8:16" x14ac:dyDescent="0.25">
      <c r="H27268" s="12"/>
      <c r="I27268" s="12"/>
      <c r="J27268" s="12"/>
      <c r="K27268" s="12"/>
      <c r="L27268" s="12"/>
      <c r="M27268" s="11"/>
      <c r="N27268" s="11"/>
      <c r="O27268" s="11"/>
      <c r="P27268" s="11"/>
    </row>
    <row r="27269" spans="8:16" x14ac:dyDescent="0.25">
      <c r="H27269" s="12"/>
      <c r="I27269" s="12"/>
      <c r="J27269" s="12"/>
      <c r="K27269" s="12"/>
      <c r="L27269" s="12"/>
      <c r="M27269" s="11"/>
      <c r="N27269" s="11"/>
      <c r="O27269" s="11"/>
      <c r="P27269" s="11"/>
    </row>
    <row r="27270" spans="8:16" x14ac:dyDescent="0.25">
      <c r="H27270" s="12"/>
      <c r="I27270" s="12"/>
      <c r="J27270" s="12"/>
      <c r="K27270" s="12"/>
      <c r="L27270" s="12"/>
      <c r="M27270" s="11"/>
      <c r="N27270" s="11"/>
      <c r="O27270" s="11"/>
      <c r="P27270" s="11"/>
    </row>
    <row r="27271" spans="8:16" x14ac:dyDescent="0.25">
      <c r="H27271" s="12"/>
      <c r="I27271" s="12"/>
      <c r="J27271" s="12"/>
      <c r="K27271" s="12"/>
      <c r="L27271" s="12"/>
      <c r="M27271" s="11"/>
      <c r="N27271" s="11"/>
      <c r="O27271" s="11"/>
      <c r="P27271" s="11"/>
    </row>
    <row r="27272" spans="8:16" x14ac:dyDescent="0.25">
      <c r="H27272" s="12"/>
      <c r="I27272" s="12"/>
      <c r="J27272" s="12"/>
      <c r="K27272" s="12"/>
      <c r="L27272" s="12"/>
      <c r="M27272" s="11"/>
      <c r="N27272" s="11"/>
      <c r="O27272" s="11"/>
      <c r="P27272" s="11"/>
    </row>
    <row r="27273" spans="8:16" x14ac:dyDescent="0.25">
      <c r="H27273" s="12"/>
      <c r="I27273" s="12"/>
      <c r="J27273" s="12"/>
      <c r="K27273" s="12"/>
      <c r="L27273" s="12"/>
      <c r="M27273" s="11"/>
      <c r="N27273" s="11"/>
      <c r="O27273" s="11"/>
      <c r="P27273" s="11"/>
    </row>
    <row r="27274" spans="8:16" x14ac:dyDescent="0.25">
      <c r="H27274" s="12"/>
      <c r="I27274" s="12"/>
      <c r="J27274" s="12"/>
      <c r="K27274" s="12"/>
      <c r="L27274" s="12"/>
      <c r="M27274" s="11"/>
      <c r="N27274" s="11"/>
      <c r="O27274" s="11"/>
      <c r="P27274" s="11"/>
    </row>
    <row r="27275" spans="8:16" x14ac:dyDescent="0.25">
      <c r="H27275" s="12"/>
      <c r="I27275" s="12"/>
      <c r="J27275" s="12"/>
      <c r="K27275" s="12"/>
      <c r="L27275" s="12"/>
      <c r="M27275" s="11"/>
      <c r="N27275" s="11"/>
      <c r="O27275" s="11"/>
      <c r="P27275" s="11"/>
    </row>
    <row r="27276" spans="8:16" x14ac:dyDescent="0.25">
      <c r="H27276" s="12"/>
      <c r="I27276" s="12"/>
      <c r="J27276" s="12"/>
      <c r="K27276" s="12"/>
      <c r="L27276" s="12"/>
      <c r="M27276" s="11"/>
      <c r="N27276" s="11"/>
      <c r="O27276" s="11"/>
      <c r="P27276" s="11"/>
    </row>
    <row r="27277" spans="8:16" x14ac:dyDescent="0.25">
      <c r="H27277" s="12"/>
      <c r="I27277" s="12"/>
      <c r="J27277" s="12"/>
      <c r="K27277" s="12"/>
      <c r="L27277" s="12"/>
      <c r="M27277" s="11"/>
      <c r="N27277" s="11"/>
      <c r="O27277" s="11"/>
      <c r="P27277" s="11"/>
    </row>
    <row r="27278" spans="8:16" x14ac:dyDescent="0.25">
      <c r="H27278" s="12"/>
      <c r="I27278" s="12"/>
      <c r="J27278" s="12"/>
      <c r="K27278" s="12"/>
      <c r="L27278" s="12"/>
      <c r="M27278" s="11"/>
      <c r="N27278" s="11"/>
      <c r="O27278" s="11"/>
      <c r="P27278" s="11"/>
    </row>
    <row r="27279" spans="8:16" x14ac:dyDescent="0.25">
      <c r="H27279" s="12"/>
      <c r="I27279" s="12"/>
      <c r="J27279" s="12"/>
      <c r="K27279" s="12"/>
      <c r="L27279" s="12"/>
      <c r="M27279" s="11"/>
      <c r="N27279" s="11"/>
      <c r="O27279" s="11"/>
      <c r="P27279" s="11"/>
    </row>
    <row r="27280" spans="8:16" x14ac:dyDescent="0.25">
      <c r="H27280" s="12"/>
      <c r="I27280" s="12"/>
      <c r="J27280" s="12"/>
      <c r="K27280" s="12"/>
      <c r="L27280" s="12"/>
      <c r="M27280" s="11"/>
      <c r="N27280" s="11"/>
      <c r="O27280" s="11"/>
      <c r="P27280" s="11"/>
    </row>
    <row r="27281" spans="8:16" x14ac:dyDescent="0.25">
      <c r="H27281" s="12"/>
      <c r="I27281" s="12"/>
      <c r="J27281" s="12"/>
      <c r="K27281" s="12"/>
      <c r="L27281" s="12"/>
      <c r="M27281" s="11"/>
      <c r="N27281" s="11"/>
      <c r="O27281" s="11"/>
      <c r="P27281" s="11"/>
    </row>
    <row r="27282" spans="8:16" x14ac:dyDescent="0.25">
      <c r="H27282" s="12"/>
      <c r="I27282" s="12"/>
      <c r="J27282" s="12"/>
      <c r="K27282" s="12"/>
      <c r="L27282" s="12"/>
      <c r="M27282" s="11"/>
      <c r="N27282" s="11"/>
      <c r="O27282" s="11"/>
      <c r="P27282" s="11"/>
    </row>
    <row r="27283" spans="8:16" x14ac:dyDescent="0.25">
      <c r="H27283" s="12"/>
      <c r="I27283" s="12"/>
      <c r="J27283" s="12"/>
      <c r="K27283" s="12"/>
      <c r="L27283" s="12"/>
      <c r="M27283" s="11"/>
      <c r="N27283" s="11"/>
      <c r="O27283" s="11"/>
      <c r="P27283" s="11"/>
    </row>
    <row r="27284" spans="8:16" x14ac:dyDescent="0.25">
      <c r="H27284" s="12"/>
      <c r="I27284" s="12"/>
      <c r="J27284" s="12"/>
      <c r="K27284" s="12"/>
      <c r="L27284" s="12"/>
      <c r="M27284" s="11"/>
      <c r="N27284" s="11"/>
      <c r="O27284" s="11"/>
      <c r="P27284" s="11"/>
    </row>
    <row r="27285" spans="8:16" x14ac:dyDescent="0.25">
      <c r="H27285" s="12"/>
      <c r="I27285" s="12"/>
      <c r="J27285" s="12"/>
      <c r="K27285" s="12"/>
      <c r="L27285" s="12"/>
      <c r="M27285" s="11"/>
      <c r="N27285" s="11"/>
      <c r="O27285" s="11"/>
      <c r="P27285" s="11"/>
    </row>
    <row r="27286" spans="8:16" x14ac:dyDescent="0.25">
      <c r="H27286" s="12"/>
      <c r="I27286" s="12"/>
      <c r="J27286" s="12"/>
      <c r="K27286" s="12"/>
      <c r="L27286" s="12"/>
      <c r="M27286" s="11"/>
      <c r="N27286" s="11"/>
      <c r="O27286" s="11"/>
      <c r="P27286" s="11"/>
    </row>
    <row r="27287" spans="8:16" x14ac:dyDescent="0.25">
      <c r="H27287" s="12"/>
      <c r="I27287" s="12"/>
      <c r="J27287" s="12"/>
      <c r="K27287" s="12"/>
      <c r="L27287" s="12"/>
      <c r="M27287" s="11"/>
      <c r="N27287" s="11"/>
      <c r="O27287" s="11"/>
      <c r="P27287" s="11"/>
    </row>
    <row r="27288" spans="8:16" x14ac:dyDescent="0.25">
      <c r="H27288" s="12"/>
      <c r="I27288" s="12"/>
      <c r="J27288" s="12"/>
      <c r="K27288" s="12"/>
      <c r="L27288" s="12"/>
      <c r="M27288" s="11"/>
      <c r="N27288" s="11"/>
      <c r="O27288" s="11"/>
      <c r="P27288" s="11"/>
    </row>
    <row r="27289" spans="8:16" x14ac:dyDescent="0.25">
      <c r="H27289" s="12"/>
      <c r="I27289" s="12"/>
      <c r="J27289" s="12"/>
      <c r="K27289" s="12"/>
      <c r="L27289" s="12"/>
      <c r="M27289" s="11"/>
      <c r="N27289" s="11"/>
      <c r="O27289" s="11"/>
      <c r="P27289" s="11"/>
    </row>
    <row r="27290" spans="8:16" x14ac:dyDescent="0.25">
      <c r="H27290" s="12"/>
      <c r="I27290" s="12"/>
      <c r="J27290" s="12"/>
      <c r="K27290" s="12"/>
      <c r="L27290" s="12"/>
      <c r="M27290" s="11"/>
      <c r="N27290" s="11"/>
      <c r="O27290" s="11"/>
      <c r="P27290" s="11"/>
    </row>
    <row r="27291" spans="8:16" x14ac:dyDescent="0.25">
      <c r="H27291" s="12"/>
      <c r="I27291" s="12"/>
      <c r="J27291" s="12"/>
      <c r="K27291" s="12"/>
      <c r="L27291" s="12"/>
      <c r="M27291" s="11"/>
      <c r="N27291" s="11"/>
      <c r="O27291" s="11"/>
      <c r="P27291" s="11"/>
    </row>
    <row r="27292" spans="8:16" x14ac:dyDescent="0.25">
      <c r="H27292" s="12"/>
      <c r="I27292" s="12"/>
      <c r="J27292" s="12"/>
      <c r="K27292" s="12"/>
      <c r="L27292" s="12"/>
      <c r="M27292" s="11"/>
      <c r="N27292" s="11"/>
      <c r="O27292" s="11"/>
      <c r="P27292" s="11"/>
    </row>
    <row r="27293" spans="8:16" x14ac:dyDescent="0.25">
      <c r="H27293" s="12"/>
      <c r="I27293" s="12"/>
      <c r="J27293" s="12"/>
      <c r="K27293" s="12"/>
      <c r="L27293" s="12"/>
      <c r="M27293" s="11"/>
      <c r="N27293" s="11"/>
      <c r="O27293" s="11"/>
      <c r="P27293" s="11"/>
    </row>
    <row r="27294" spans="8:16" x14ac:dyDescent="0.25">
      <c r="H27294" s="12"/>
      <c r="I27294" s="12"/>
      <c r="J27294" s="12"/>
      <c r="K27294" s="12"/>
      <c r="L27294" s="12"/>
      <c r="M27294" s="11"/>
      <c r="N27294" s="11"/>
      <c r="O27294" s="11"/>
      <c r="P27294" s="11"/>
    </row>
    <row r="27295" spans="8:16" x14ac:dyDescent="0.25">
      <c r="H27295" s="12"/>
      <c r="I27295" s="12"/>
      <c r="J27295" s="12"/>
      <c r="K27295" s="12"/>
      <c r="L27295" s="12"/>
      <c r="M27295" s="11"/>
      <c r="N27295" s="11"/>
      <c r="O27295" s="11"/>
      <c r="P27295" s="11"/>
    </row>
    <row r="27296" spans="8:16" x14ac:dyDescent="0.25">
      <c r="H27296" s="12"/>
      <c r="I27296" s="12"/>
      <c r="J27296" s="12"/>
      <c r="K27296" s="12"/>
      <c r="L27296" s="12"/>
      <c r="M27296" s="11"/>
      <c r="N27296" s="11"/>
      <c r="O27296" s="11"/>
      <c r="P27296" s="11"/>
    </row>
    <row r="27297" spans="8:16" x14ac:dyDescent="0.25">
      <c r="H27297" s="12"/>
      <c r="I27297" s="12"/>
      <c r="J27297" s="12"/>
      <c r="K27297" s="12"/>
      <c r="L27297" s="12"/>
      <c r="M27297" s="11"/>
      <c r="N27297" s="11"/>
      <c r="O27297" s="11"/>
      <c r="P27297" s="11"/>
    </row>
    <row r="27298" spans="8:16" x14ac:dyDescent="0.25">
      <c r="H27298" s="12"/>
      <c r="I27298" s="12"/>
      <c r="J27298" s="12"/>
      <c r="K27298" s="12"/>
      <c r="L27298" s="12"/>
      <c r="M27298" s="11"/>
      <c r="N27298" s="11"/>
      <c r="O27298" s="11"/>
      <c r="P27298" s="11"/>
    </row>
    <row r="27299" spans="8:16" x14ac:dyDescent="0.25">
      <c r="H27299" s="12"/>
      <c r="I27299" s="12"/>
      <c r="J27299" s="12"/>
      <c r="K27299" s="12"/>
      <c r="L27299" s="12"/>
      <c r="M27299" s="11"/>
      <c r="N27299" s="11"/>
      <c r="O27299" s="11"/>
      <c r="P27299" s="11"/>
    </row>
    <row r="27300" spans="8:16" x14ac:dyDescent="0.25">
      <c r="H27300" s="12"/>
      <c r="I27300" s="12"/>
      <c r="J27300" s="12"/>
      <c r="K27300" s="12"/>
      <c r="L27300" s="12"/>
      <c r="M27300" s="11"/>
      <c r="N27300" s="11"/>
      <c r="O27300" s="11"/>
      <c r="P27300" s="11"/>
    </row>
    <row r="27301" spans="8:16" x14ac:dyDescent="0.25">
      <c r="H27301" s="12"/>
      <c r="I27301" s="12"/>
      <c r="J27301" s="12"/>
      <c r="K27301" s="12"/>
      <c r="L27301" s="12"/>
      <c r="M27301" s="11"/>
      <c r="N27301" s="11"/>
      <c r="O27301" s="11"/>
      <c r="P27301" s="11"/>
    </row>
    <row r="27302" spans="8:16" x14ac:dyDescent="0.25">
      <c r="H27302" s="12"/>
      <c r="I27302" s="12"/>
      <c r="J27302" s="12"/>
      <c r="K27302" s="12"/>
      <c r="L27302" s="12"/>
      <c r="M27302" s="11"/>
      <c r="N27302" s="11"/>
      <c r="O27302" s="11"/>
      <c r="P27302" s="11"/>
    </row>
    <row r="27303" spans="8:16" x14ac:dyDescent="0.25">
      <c r="H27303" s="12"/>
      <c r="I27303" s="12"/>
      <c r="J27303" s="12"/>
      <c r="K27303" s="12"/>
      <c r="L27303" s="12"/>
      <c r="M27303" s="11"/>
      <c r="N27303" s="11"/>
      <c r="O27303" s="11"/>
      <c r="P27303" s="11"/>
    </row>
    <row r="27304" spans="8:16" x14ac:dyDescent="0.25">
      <c r="H27304" s="12"/>
      <c r="I27304" s="12"/>
      <c r="J27304" s="12"/>
      <c r="K27304" s="12"/>
      <c r="L27304" s="12"/>
      <c r="M27304" s="11"/>
      <c r="N27304" s="11"/>
      <c r="O27304" s="11"/>
      <c r="P27304" s="11"/>
    </row>
    <row r="27305" spans="8:16" x14ac:dyDescent="0.25">
      <c r="H27305" s="12"/>
      <c r="I27305" s="12"/>
      <c r="J27305" s="12"/>
      <c r="K27305" s="12"/>
      <c r="L27305" s="12"/>
      <c r="M27305" s="11"/>
      <c r="N27305" s="11"/>
      <c r="O27305" s="11"/>
      <c r="P27305" s="11"/>
    </row>
    <row r="27306" spans="8:16" x14ac:dyDescent="0.25">
      <c r="H27306" s="12"/>
      <c r="I27306" s="12"/>
      <c r="J27306" s="12"/>
      <c r="K27306" s="12"/>
      <c r="L27306" s="12"/>
      <c r="M27306" s="11"/>
      <c r="N27306" s="11"/>
      <c r="O27306" s="11"/>
      <c r="P27306" s="11"/>
    </row>
    <row r="27307" spans="8:16" x14ac:dyDescent="0.25">
      <c r="H27307" s="12"/>
      <c r="I27307" s="12"/>
      <c r="J27307" s="12"/>
      <c r="K27307" s="12"/>
      <c r="L27307" s="12"/>
      <c r="M27307" s="11"/>
      <c r="N27307" s="11"/>
      <c r="O27307" s="11"/>
      <c r="P27307" s="11"/>
    </row>
    <row r="27308" spans="8:16" x14ac:dyDescent="0.25">
      <c r="H27308" s="12"/>
      <c r="I27308" s="12"/>
      <c r="J27308" s="12"/>
      <c r="K27308" s="12"/>
      <c r="L27308" s="12"/>
      <c r="M27308" s="11"/>
      <c r="N27308" s="11"/>
      <c r="O27308" s="11"/>
      <c r="P27308" s="11"/>
    </row>
    <row r="27309" spans="8:16" x14ac:dyDescent="0.25">
      <c r="H27309" s="12"/>
      <c r="I27309" s="12"/>
      <c r="J27309" s="12"/>
      <c r="K27309" s="12"/>
      <c r="L27309" s="12"/>
      <c r="M27309" s="11"/>
      <c r="N27309" s="11"/>
      <c r="O27309" s="11"/>
      <c r="P27309" s="11"/>
    </row>
    <row r="27310" spans="8:16" x14ac:dyDescent="0.25">
      <c r="H27310" s="12"/>
      <c r="I27310" s="12"/>
      <c r="J27310" s="12"/>
      <c r="K27310" s="12"/>
      <c r="L27310" s="12"/>
      <c r="M27310" s="11"/>
      <c r="N27310" s="11"/>
      <c r="O27310" s="11"/>
      <c r="P27310" s="11"/>
    </row>
    <row r="27311" spans="8:16" x14ac:dyDescent="0.25">
      <c r="H27311" s="12"/>
      <c r="I27311" s="12"/>
      <c r="J27311" s="12"/>
      <c r="K27311" s="12"/>
      <c r="L27311" s="12"/>
      <c r="M27311" s="11"/>
      <c r="N27311" s="11"/>
      <c r="O27311" s="11"/>
      <c r="P27311" s="11"/>
    </row>
    <row r="27312" spans="8:16" x14ac:dyDescent="0.25">
      <c r="H27312" s="12"/>
      <c r="I27312" s="12"/>
      <c r="J27312" s="12"/>
      <c r="K27312" s="12"/>
      <c r="L27312" s="12"/>
      <c r="M27312" s="11"/>
      <c r="N27312" s="11"/>
      <c r="O27312" s="11"/>
      <c r="P27312" s="11"/>
    </row>
    <row r="27313" spans="8:16" x14ac:dyDescent="0.25">
      <c r="H27313" s="12"/>
      <c r="I27313" s="12"/>
      <c r="J27313" s="12"/>
      <c r="K27313" s="12"/>
      <c r="L27313" s="12"/>
      <c r="M27313" s="11"/>
      <c r="N27313" s="11"/>
      <c r="O27313" s="11"/>
      <c r="P27313" s="11"/>
    </row>
    <row r="27314" spans="8:16" x14ac:dyDescent="0.25">
      <c r="H27314" s="12"/>
      <c r="I27314" s="12"/>
      <c r="J27314" s="12"/>
      <c r="K27314" s="12"/>
      <c r="L27314" s="12"/>
      <c r="M27314" s="11"/>
      <c r="N27314" s="11"/>
      <c r="O27314" s="11"/>
      <c r="P27314" s="11"/>
    </row>
    <row r="27315" spans="8:16" x14ac:dyDescent="0.25">
      <c r="H27315" s="12"/>
      <c r="I27315" s="12"/>
      <c r="J27315" s="12"/>
      <c r="K27315" s="12"/>
      <c r="L27315" s="12"/>
      <c r="M27315" s="11"/>
      <c r="N27315" s="11"/>
      <c r="O27315" s="11"/>
      <c r="P27315" s="11"/>
    </row>
    <row r="27316" spans="8:16" x14ac:dyDescent="0.25">
      <c r="H27316" s="12"/>
      <c r="I27316" s="12"/>
      <c r="J27316" s="12"/>
      <c r="K27316" s="12"/>
      <c r="L27316" s="12"/>
      <c r="M27316" s="11"/>
      <c r="N27316" s="11"/>
      <c r="O27316" s="11"/>
      <c r="P27316" s="11"/>
    </row>
    <row r="27317" spans="8:16" x14ac:dyDescent="0.25">
      <c r="H27317" s="12"/>
      <c r="I27317" s="12"/>
      <c r="J27317" s="12"/>
      <c r="K27317" s="12"/>
      <c r="L27317" s="12"/>
      <c r="M27317" s="11"/>
      <c r="N27317" s="11"/>
      <c r="O27317" s="11"/>
      <c r="P27317" s="11"/>
    </row>
    <row r="27318" spans="8:16" x14ac:dyDescent="0.25">
      <c r="H27318" s="12"/>
      <c r="I27318" s="12"/>
      <c r="J27318" s="12"/>
      <c r="K27318" s="12"/>
      <c r="L27318" s="12"/>
      <c r="M27318" s="11"/>
      <c r="N27318" s="11"/>
      <c r="O27318" s="11"/>
      <c r="P27318" s="11"/>
    </row>
    <row r="27319" spans="8:16" x14ac:dyDescent="0.25">
      <c r="H27319" s="12"/>
      <c r="I27319" s="12"/>
      <c r="J27319" s="12"/>
      <c r="K27319" s="12"/>
      <c r="L27319" s="12"/>
      <c r="M27319" s="11"/>
      <c r="N27319" s="11"/>
      <c r="O27319" s="11"/>
      <c r="P27319" s="11"/>
    </row>
    <row r="27320" spans="8:16" x14ac:dyDescent="0.25">
      <c r="H27320" s="12"/>
      <c r="I27320" s="12"/>
      <c r="J27320" s="12"/>
      <c r="K27320" s="12"/>
      <c r="L27320" s="12"/>
      <c r="M27320" s="11"/>
      <c r="N27320" s="11"/>
      <c r="O27320" s="11"/>
      <c r="P27320" s="11"/>
    </row>
    <row r="27321" spans="8:16" x14ac:dyDescent="0.25">
      <c r="H27321" s="12"/>
      <c r="I27321" s="12"/>
      <c r="J27321" s="12"/>
      <c r="K27321" s="12"/>
      <c r="L27321" s="12"/>
      <c r="M27321" s="11"/>
      <c r="N27321" s="11"/>
      <c r="O27321" s="11"/>
      <c r="P27321" s="11"/>
    </row>
    <row r="27322" spans="8:16" x14ac:dyDescent="0.25">
      <c r="H27322" s="12"/>
      <c r="I27322" s="12"/>
      <c r="J27322" s="12"/>
      <c r="K27322" s="12"/>
      <c r="L27322" s="12"/>
      <c r="M27322" s="11"/>
      <c r="N27322" s="11"/>
      <c r="O27322" s="11"/>
      <c r="P27322" s="11"/>
    </row>
    <row r="27323" spans="8:16" x14ac:dyDescent="0.25">
      <c r="H27323" s="12"/>
      <c r="I27323" s="12"/>
      <c r="J27323" s="12"/>
      <c r="K27323" s="12"/>
      <c r="L27323" s="12"/>
      <c r="M27323" s="11"/>
      <c r="N27323" s="11"/>
      <c r="O27323" s="11"/>
      <c r="P27323" s="11"/>
    </row>
    <row r="27324" spans="8:16" x14ac:dyDescent="0.25">
      <c r="H27324" s="12"/>
      <c r="I27324" s="12"/>
      <c r="J27324" s="12"/>
      <c r="K27324" s="12"/>
      <c r="L27324" s="12"/>
      <c r="M27324" s="11"/>
      <c r="N27324" s="11"/>
      <c r="O27324" s="11"/>
      <c r="P27324" s="11"/>
    </row>
    <row r="27325" spans="8:16" x14ac:dyDescent="0.25">
      <c r="H27325" s="12"/>
      <c r="I27325" s="12"/>
      <c r="J27325" s="12"/>
      <c r="K27325" s="12"/>
      <c r="L27325" s="12"/>
      <c r="M27325" s="11"/>
      <c r="N27325" s="11"/>
      <c r="O27325" s="11"/>
      <c r="P27325" s="11"/>
    </row>
    <row r="27326" spans="8:16" x14ac:dyDescent="0.25">
      <c r="H27326" s="12"/>
      <c r="I27326" s="12"/>
      <c r="J27326" s="12"/>
      <c r="K27326" s="12"/>
      <c r="L27326" s="12"/>
      <c r="M27326" s="11"/>
      <c r="N27326" s="11"/>
      <c r="O27326" s="11"/>
      <c r="P27326" s="11"/>
    </row>
    <row r="27327" spans="8:16" x14ac:dyDescent="0.25">
      <c r="H27327" s="12"/>
      <c r="I27327" s="12"/>
      <c r="J27327" s="12"/>
      <c r="K27327" s="12"/>
      <c r="L27327" s="12"/>
      <c r="M27327" s="11"/>
      <c r="N27327" s="11"/>
      <c r="O27327" s="11"/>
      <c r="P27327" s="11"/>
    </row>
    <row r="27328" spans="8:16" x14ac:dyDescent="0.25">
      <c r="H27328" s="12"/>
      <c r="I27328" s="12"/>
      <c r="J27328" s="12"/>
      <c r="K27328" s="12"/>
      <c r="L27328" s="12"/>
      <c r="M27328" s="11"/>
      <c r="N27328" s="11"/>
      <c r="O27328" s="11"/>
      <c r="P27328" s="11"/>
    </row>
    <row r="27329" spans="8:16" x14ac:dyDescent="0.25">
      <c r="H27329" s="12"/>
      <c r="I27329" s="12"/>
      <c r="J27329" s="12"/>
      <c r="K27329" s="12"/>
      <c r="L27329" s="12"/>
      <c r="M27329" s="11"/>
      <c r="N27329" s="11"/>
      <c r="O27329" s="11"/>
      <c r="P27329" s="11"/>
    </row>
    <row r="27330" spans="8:16" x14ac:dyDescent="0.25">
      <c r="H27330" s="12"/>
      <c r="I27330" s="12"/>
      <c r="J27330" s="12"/>
      <c r="K27330" s="12"/>
      <c r="L27330" s="12"/>
      <c r="M27330" s="11"/>
      <c r="N27330" s="11"/>
      <c r="O27330" s="11"/>
      <c r="P27330" s="11"/>
    </row>
    <row r="27331" spans="8:16" x14ac:dyDescent="0.25">
      <c r="H27331" s="12"/>
      <c r="I27331" s="12"/>
      <c r="J27331" s="12"/>
      <c r="K27331" s="12"/>
      <c r="L27331" s="12"/>
      <c r="M27331" s="11"/>
      <c r="N27331" s="11"/>
      <c r="O27331" s="11"/>
      <c r="P27331" s="11"/>
    </row>
    <row r="27332" spans="8:16" x14ac:dyDescent="0.25">
      <c r="H27332" s="12"/>
      <c r="I27332" s="12"/>
      <c r="J27332" s="12"/>
      <c r="K27332" s="12"/>
      <c r="L27332" s="12"/>
      <c r="M27332" s="11"/>
      <c r="N27332" s="11"/>
      <c r="O27332" s="11"/>
      <c r="P27332" s="11"/>
    </row>
    <row r="27333" spans="8:16" x14ac:dyDescent="0.25">
      <c r="H27333" s="12"/>
      <c r="I27333" s="12"/>
      <c r="J27333" s="12"/>
      <c r="K27333" s="12"/>
      <c r="L27333" s="12"/>
      <c r="M27333" s="11"/>
      <c r="N27333" s="11"/>
      <c r="O27333" s="11"/>
      <c r="P27333" s="11"/>
    </row>
    <row r="27334" spans="8:16" x14ac:dyDescent="0.25">
      <c r="H27334" s="12"/>
      <c r="I27334" s="12"/>
      <c r="J27334" s="12"/>
      <c r="K27334" s="12"/>
      <c r="L27334" s="12"/>
      <c r="M27334" s="11"/>
      <c r="N27334" s="11"/>
      <c r="O27334" s="11"/>
      <c r="P27334" s="11"/>
    </row>
    <row r="27335" spans="8:16" x14ac:dyDescent="0.25">
      <c r="H27335" s="12"/>
      <c r="I27335" s="12"/>
      <c r="J27335" s="12"/>
      <c r="K27335" s="12"/>
      <c r="L27335" s="12"/>
      <c r="M27335" s="11"/>
      <c r="N27335" s="11"/>
      <c r="O27335" s="11"/>
      <c r="P27335" s="11"/>
    </row>
    <row r="27336" spans="8:16" x14ac:dyDescent="0.25">
      <c r="H27336" s="12"/>
      <c r="I27336" s="12"/>
      <c r="J27336" s="12"/>
      <c r="K27336" s="12"/>
      <c r="L27336" s="12"/>
      <c r="M27336" s="11"/>
      <c r="N27336" s="11"/>
      <c r="O27336" s="11"/>
      <c r="P27336" s="11"/>
    </row>
    <row r="27337" spans="8:16" x14ac:dyDescent="0.25">
      <c r="H27337" s="12"/>
      <c r="I27337" s="12"/>
      <c r="J27337" s="12"/>
      <c r="K27337" s="12"/>
      <c r="L27337" s="12"/>
      <c r="M27337" s="11"/>
      <c r="N27337" s="11"/>
      <c r="O27337" s="11"/>
      <c r="P27337" s="11"/>
    </row>
    <row r="27338" spans="8:16" x14ac:dyDescent="0.25">
      <c r="H27338" s="12"/>
      <c r="I27338" s="12"/>
      <c r="J27338" s="12"/>
      <c r="K27338" s="12"/>
      <c r="L27338" s="12"/>
      <c r="M27338" s="11"/>
      <c r="N27338" s="11"/>
      <c r="O27338" s="11"/>
      <c r="P27338" s="11"/>
    </row>
    <row r="27339" spans="8:16" x14ac:dyDescent="0.25">
      <c r="H27339" s="12"/>
      <c r="I27339" s="12"/>
      <c r="J27339" s="12"/>
      <c r="K27339" s="12"/>
      <c r="L27339" s="12"/>
      <c r="M27339" s="11"/>
      <c r="N27339" s="11"/>
      <c r="O27339" s="11"/>
      <c r="P27339" s="11"/>
    </row>
    <row r="27340" spans="8:16" x14ac:dyDescent="0.25">
      <c r="H27340" s="12"/>
      <c r="I27340" s="12"/>
      <c r="J27340" s="12"/>
      <c r="K27340" s="12"/>
      <c r="L27340" s="12"/>
      <c r="M27340" s="11"/>
      <c r="N27340" s="11"/>
      <c r="O27340" s="11"/>
      <c r="P27340" s="11"/>
    </row>
    <row r="27341" spans="8:16" x14ac:dyDescent="0.25">
      <c r="H27341" s="12"/>
      <c r="I27341" s="12"/>
      <c r="J27341" s="12"/>
      <c r="K27341" s="12"/>
      <c r="L27341" s="12"/>
      <c r="M27341" s="11"/>
      <c r="N27341" s="11"/>
      <c r="O27341" s="11"/>
      <c r="P27341" s="11"/>
    </row>
    <row r="27342" spans="8:16" x14ac:dyDescent="0.25">
      <c r="H27342" s="12"/>
      <c r="I27342" s="12"/>
      <c r="J27342" s="12"/>
      <c r="K27342" s="12"/>
      <c r="L27342" s="12"/>
      <c r="M27342" s="11"/>
      <c r="N27342" s="11"/>
      <c r="O27342" s="11"/>
      <c r="P27342" s="11"/>
    </row>
    <row r="27343" spans="8:16" x14ac:dyDescent="0.25">
      <c r="H27343" s="12"/>
      <c r="I27343" s="12"/>
      <c r="J27343" s="12"/>
      <c r="K27343" s="12"/>
      <c r="L27343" s="12"/>
      <c r="M27343" s="11"/>
      <c r="N27343" s="11"/>
      <c r="O27343" s="11"/>
      <c r="P27343" s="11"/>
    </row>
    <row r="27344" spans="8:16" x14ac:dyDescent="0.25">
      <c r="H27344" s="12"/>
      <c r="I27344" s="12"/>
      <c r="J27344" s="12"/>
      <c r="K27344" s="12"/>
      <c r="L27344" s="12"/>
      <c r="M27344" s="11"/>
      <c r="N27344" s="11"/>
      <c r="O27344" s="11"/>
      <c r="P27344" s="11"/>
    </row>
    <row r="27345" spans="8:16" x14ac:dyDescent="0.25">
      <c r="H27345" s="12"/>
      <c r="I27345" s="12"/>
      <c r="J27345" s="12"/>
      <c r="K27345" s="12"/>
      <c r="L27345" s="12"/>
      <c r="M27345" s="11"/>
      <c r="N27345" s="11"/>
      <c r="O27345" s="11"/>
      <c r="P27345" s="11"/>
    </row>
    <row r="27346" spans="8:16" x14ac:dyDescent="0.25">
      <c r="H27346" s="12"/>
      <c r="I27346" s="12"/>
      <c r="J27346" s="12"/>
      <c r="K27346" s="12"/>
      <c r="L27346" s="12"/>
      <c r="M27346" s="11"/>
      <c r="N27346" s="11"/>
      <c r="O27346" s="11"/>
      <c r="P27346" s="11"/>
    </row>
    <row r="27347" spans="8:16" x14ac:dyDescent="0.25">
      <c r="H27347" s="12"/>
      <c r="I27347" s="12"/>
      <c r="J27347" s="12"/>
      <c r="K27347" s="12"/>
      <c r="L27347" s="12"/>
      <c r="M27347" s="11"/>
      <c r="N27347" s="11"/>
      <c r="O27347" s="11"/>
      <c r="P27347" s="11"/>
    </row>
    <row r="27348" spans="8:16" x14ac:dyDescent="0.25">
      <c r="H27348" s="12"/>
      <c r="I27348" s="12"/>
      <c r="J27348" s="12"/>
      <c r="K27348" s="12"/>
      <c r="L27348" s="12"/>
      <c r="M27348" s="11"/>
      <c r="N27348" s="11"/>
      <c r="O27348" s="11"/>
      <c r="P27348" s="11"/>
    </row>
    <row r="27349" spans="8:16" x14ac:dyDescent="0.25">
      <c r="H27349" s="12"/>
      <c r="I27349" s="12"/>
      <c r="J27349" s="12"/>
      <c r="K27349" s="12"/>
      <c r="L27349" s="12"/>
      <c r="M27349" s="11"/>
      <c r="N27349" s="11"/>
      <c r="O27349" s="11"/>
      <c r="P27349" s="11"/>
    </row>
    <row r="27350" spans="8:16" x14ac:dyDescent="0.25">
      <c r="H27350" s="12"/>
      <c r="I27350" s="12"/>
      <c r="J27350" s="12"/>
      <c r="K27350" s="12"/>
      <c r="L27350" s="12"/>
      <c r="M27350" s="11"/>
      <c r="N27350" s="11"/>
      <c r="O27350" s="11"/>
      <c r="P27350" s="11"/>
    </row>
    <row r="27351" spans="8:16" x14ac:dyDescent="0.25">
      <c r="H27351" s="12"/>
      <c r="I27351" s="12"/>
      <c r="J27351" s="12"/>
      <c r="K27351" s="12"/>
      <c r="L27351" s="12"/>
      <c r="M27351" s="11"/>
      <c r="N27351" s="11"/>
      <c r="O27351" s="11"/>
      <c r="P27351" s="11"/>
    </row>
    <row r="27352" spans="8:16" x14ac:dyDescent="0.25">
      <c r="H27352" s="12"/>
      <c r="I27352" s="12"/>
      <c r="J27352" s="12"/>
      <c r="K27352" s="12"/>
      <c r="L27352" s="12"/>
      <c r="M27352" s="11"/>
      <c r="N27352" s="11"/>
      <c r="O27352" s="11"/>
      <c r="P27352" s="11"/>
    </row>
    <row r="27353" spans="8:16" x14ac:dyDescent="0.25">
      <c r="H27353" s="12"/>
      <c r="I27353" s="12"/>
      <c r="J27353" s="12"/>
      <c r="K27353" s="12"/>
      <c r="L27353" s="12"/>
      <c r="M27353" s="11"/>
      <c r="N27353" s="11"/>
      <c r="O27353" s="11"/>
      <c r="P27353" s="11"/>
    </row>
    <row r="27354" spans="8:16" x14ac:dyDescent="0.25">
      <c r="H27354" s="12"/>
      <c r="I27354" s="12"/>
      <c r="J27354" s="12"/>
      <c r="K27354" s="12"/>
      <c r="L27354" s="12"/>
      <c r="M27354" s="11"/>
      <c r="N27354" s="11"/>
      <c r="O27354" s="11"/>
      <c r="P27354" s="11"/>
    </row>
    <row r="27355" spans="8:16" x14ac:dyDescent="0.25">
      <c r="H27355" s="12"/>
      <c r="I27355" s="12"/>
      <c r="J27355" s="12"/>
      <c r="K27355" s="12"/>
      <c r="L27355" s="12"/>
      <c r="M27355" s="11"/>
      <c r="N27355" s="11"/>
      <c r="O27355" s="11"/>
      <c r="P27355" s="11"/>
    </row>
    <row r="27356" spans="8:16" x14ac:dyDescent="0.25">
      <c r="H27356" s="12"/>
      <c r="I27356" s="12"/>
      <c r="J27356" s="12"/>
      <c r="K27356" s="12"/>
      <c r="L27356" s="12"/>
      <c r="M27356" s="11"/>
      <c r="N27356" s="11"/>
      <c r="O27356" s="11"/>
      <c r="P27356" s="11"/>
    </row>
    <row r="27357" spans="8:16" x14ac:dyDescent="0.25">
      <c r="H27357" s="12"/>
      <c r="I27357" s="12"/>
      <c r="J27357" s="12"/>
      <c r="K27357" s="12"/>
      <c r="L27357" s="12"/>
      <c r="M27357" s="11"/>
      <c r="N27357" s="11"/>
      <c r="O27357" s="11"/>
      <c r="P27357" s="11"/>
    </row>
    <row r="27358" spans="8:16" x14ac:dyDescent="0.25">
      <c r="H27358" s="12"/>
      <c r="I27358" s="12"/>
      <c r="J27358" s="12"/>
      <c r="K27358" s="12"/>
      <c r="L27358" s="12"/>
      <c r="M27358" s="11"/>
      <c r="N27358" s="11"/>
      <c r="O27358" s="11"/>
      <c r="P27358" s="11"/>
    </row>
    <row r="27359" spans="8:16" x14ac:dyDescent="0.25">
      <c r="H27359" s="12"/>
      <c r="I27359" s="12"/>
      <c r="J27359" s="12"/>
      <c r="K27359" s="12"/>
      <c r="L27359" s="12"/>
      <c r="M27359" s="11"/>
      <c r="N27359" s="11"/>
      <c r="O27359" s="11"/>
      <c r="P27359" s="11"/>
    </row>
    <row r="27360" spans="8:16" x14ac:dyDescent="0.25">
      <c r="H27360" s="12"/>
      <c r="I27360" s="12"/>
      <c r="J27360" s="12"/>
      <c r="K27360" s="12"/>
      <c r="L27360" s="12"/>
      <c r="M27360" s="11"/>
      <c r="N27360" s="11"/>
      <c r="O27360" s="11"/>
      <c r="P27360" s="11"/>
    </row>
    <row r="27361" spans="8:16" x14ac:dyDescent="0.25">
      <c r="H27361" s="12"/>
      <c r="I27361" s="12"/>
      <c r="J27361" s="12"/>
      <c r="K27361" s="12"/>
      <c r="L27361" s="12"/>
      <c r="M27361" s="11"/>
      <c r="N27361" s="11"/>
      <c r="O27361" s="11"/>
      <c r="P27361" s="11"/>
    </row>
    <row r="27362" spans="8:16" x14ac:dyDescent="0.25">
      <c r="H27362" s="12"/>
      <c r="I27362" s="12"/>
      <c r="J27362" s="12"/>
      <c r="K27362" s="12"/>
      <c r="L27362" s="12"/>
      <c r="M27362" s="11"/>
      <c r="N27362" s="11"/>
      <c r="O27362" s="11"/>
      <c r="P27362" s="11"/>
    </row>
    <row r="27363" spans="8:16" x14ac:dyDescent="0.25">
      <c r="H27363" s="12"/>
      <c r="I27363" s="12"/>
      <c r="J27363" s="12"/>
      <c r="K27363" s="12"/>
      <c r="L27363" s="12"/>
      <c r="M27363" s="11"/>
      <c r="N27363" s="11"/>
      <c r="O27363" s="11"/>
      <c r="P27363" s="11"/>
    </row>
    <row r="27364" spans="8:16" x14ac:dyDescent="0.25">
      <c r="H27364" s="12"/>
      <c r="I27364" s="12"/>
      <c r="J27364" s="12"/>
      <c r="K27364" s="12"/>
      <c r="L27364" s="12"/>
      <c r="M27364" s="11"/>
      <c r="N27364" s="11"/>
      <c r="O27364" s="11"/>
      <c r="P27364" s="11"/>
    </row>
    <row r="27365" spans="8:16" x14ac:dyDescent="0.25">
      <c r="H27365" s="12"/>
      <c r="I27365" s="12"/>
      <c r="J27365" s="12"/>
      <c r="K27365" s="12"/>
      <c r="L27365" s="12"/>
      <c r="M27365" s="11"/>
      <c r="N27365" s="11"/>
      <c r="O27365" s="11"/>
      <c r="P27365" s="11"/>
    </row>
    <row r="27366" spans="8:16" x14ac:dyDescent="0.25">
      <c r="H27366" s="12"/>
      <c r="I27366" s="12"/>
      <c r="J27366" s="12"/>
      <c r="K27366" s="12"/>
      <c r="L27366" s="12"/>
      <c r="M27366" s="11"/>
      <c r="N27366" s="11"/>
      <c r="O27366" s="11"/>
      <c r="P27366" s="11"/>
    </row>
    <row r="27367" spans="8:16" x14ac:dyDescent="0.25">
      <c r="H27367" s="12"/>
      <c r="I27367" s="12"/>
      <c r="J27367" s="12"/>
      <c r="K27367" s="12"/>
      <c r="L27367" s="12"/>
      <c r="M27367" s="11"/>
      <c r="N27367" s="11"/>
      <c r="O27367" s="11"/>
      <c r="P27367" s="11"/>
    </row>
    <row r="27368" spans="8:16" x14ac:dyDescent="0.25">
      <c r="H27368" s="12"/>
      <c r="I27368" s="12"/>
      <c r="J27368" s="12"/>
      <c r="K27368" s="12"/>
      <c r="L27368" s="12"/>
      <c r="M27368" s="11"/>
      <c r="N27368" s="11"/>
      <c r="O27368" s="11"/>
      <c r="P27368" s="11"/>
    </row>
    <row r="27369" spans="8:16" x14ac:dyDescent="0.25">
      <c r="H27369" s="12"/>
      <c r="I27369" s="12"/>
      <c r="J27369" s="12"/>
      <c r="K27369" s="12"/>
      <c r="L27369" s="12"/>
      <c r="M27369" s="11"/>
      <c r="N27369" s="11"/>
      <c r="O27369" s="11"/>
      <c r="P27369" s="11"/>
    </row>
    <row r="27370" spans="8:16" x14ac:dyDescent="0.25">
      <c r="H27370" s="12"/>
      <c r="I27370" s="12"/>
      <c r="J27370" s="12"/>
      <c r="K27370" s="12"/>
      <c r="L27370" s="12"/>
      <c r="M27370" s="11"/>
      <c r="N27370" s="11"/>
      <c r="O27370" s="11"/>
      <c r="P27370" s="11"/>
    </row>
    <row r="27371" spans="8:16" x14ac:dyDescent="0.25">
      <c r="H27371" s="12"/>
      <c r="I27371" s="12"/>
      <c r="J27371" s="12"/>
      <c r="K27371" s="12"/>
      <c r="L27371" s="12"/>
      <c r="M27371" s="11"/>
      <c r="N27371" s="11"/>
      <c r="O27371" s="11"/>
      <c r="P27371" s="11"/>
    </row>
    <row r="27372" spans="8:16" x14ac:dyDescent="0.25">
      <c r="H27372" s="12"/>
      <c r="I27372" s="12"/>
      <c r="J27372" s="12"/>
      <c r="K27372" s="12"/>
      <c r="L27372" s="12"/>
      <c r="M27372" s="11"/>
      <c r="N27372" s="11"/>
      <c r="O27372" s="11"/>
      <c r="P27372" s="11"/>
    </row>
    <row r="27373" spans="8:16" x14ac:dyDescent="0.25">
      <c r="H27373" s="12"/>
      <c r="I27373" s="12"/>
      <c r="J27373" s="12"/>
      <c r="K27373" s="12"/>
      <c r="L27373" s="12"/>
      <c r="M27373" s="11"/>
      <c r="N27373" s="11"/>
      <c r="O27373" s="11"/>
      <c r="P27373" s="11"/>
    </row>
    <row r="27374" spans="8:16" x14ac:dyDescent="0.25">
      <c r="H27374" s="12"/>
      <c r="I27374" s="12"/>
      <c r="J27374" s="12"/>
      <c r="K27374" s="12"/>
      <c r="L27374" s="12"/>
      <c r="M27374" s="11"/>
      <c r="N27374" s="11"/>
      <c r="O27374" s="11"/>
      <c r="P27374" s="11"/>
    </row>
    <row r="27375" spans="8:16" x14ac:dyDescent="0.25">
      <c r="H27375" s="12"/>
      <c r="I27375" s="12"/>
      <c r="J27375" s="12"/>
      <c r="K27375" s="12"/>
      <c r="L27375" s="12"/>
      <c r="M27375" s="11"/>
      <c r="N27375" s="11"/>
      <c r="O27375" s="11"/>
      <c r="P27375" s="11"/>
    </row>
    <row r="27376" spans="8:16" x14ac:dyDescent="0.25">
      <c r="H27376" s="12"/>
      <c r="I27376" s="12"/>
      <c r="J27376" s="12"/>
      <c r="K27376" s="12"/>
      <c r="L27376" s="12"/>
      <c r="M27376" s="11"/>
      <c r="N27376" s="11"/>
      <c r="O27376" s="11"/>
      <c r="P27376" s="11"/>
    </row>
    <row r="27377" spans="8:16" x14ac:dyDescent="0.25">
      <c r="H27377" s="12"/>
      <c r="I27377" s="12"/>
      <c r="J27377" s="12"/>
      <c r="K27377" s="12"/>
      <c r="L27377" s="12"/>
      <c r="M27377" s="11"/>
      <c r="N27377" s="11"/>
      <c r="O27377" s="11"/>
      <c r="P27377" s="11"/>
    </row>
    <row r="27378" spans="8:16" x14ac:dyDescent="0.25">
      <c r="H27378" s="12"/>
      <c r="I27378" s="12"/>
      <c r="J27378" s="12"/>
      <c r="K27378" s="12"/>
      <c r="L27378" s="12"/>
      <c r="M27378" s="11"/>
      <c r="N27378" s="11"/>
      <c r="O27378" s="11"/>
      <c r="P27378" s="11"/>
    </row>
    <row r="27379" spans="8:16" x14ac:dyDescent="0.25">
      <c r="H27379" s="12"/>
      <c r="I27379" s="12"/>
      <c r="J27379" s="12"/>
      <c r="K27379" s="12"/>
      <c r="L27379" s="12"/>
      <c r="M27379" s="11"/>
      <c r="N27379" s="11"/>
      <c r="O27379" s="11"/>
      <c r="P27379" s="11"/>
    </row>
    <row r="27380" spans="8:16" x14ac:dyDescent="0.25">
      <c r="H27380" s="12"/>
      <c r="I27380" s="12"/>
      <c r="J27380" s="12"/>
      <c r="K27380" s="12"/>
      <c r="L27380" s="12"/>
      <c r="M27380" s="11"/>
      <c r="N27380" s="11"/>
      <c r="O27380" s="11"/>
      <c r="P27380" s="11"/>
    </row>
    <row r="27381" spans="8:16" x14ac:dyDescent="0.25">
      <c r="H27381" s="12"/>
      <c r="I27381" s="12"/>
      <c r="J27381" s="12"/>
      <c r="K27381" s="12"/>
      <c r="L27381" s="12"/>
      <c r="M27381" s="11"/>
      <c r="N27381" s="11"/>
      <c r="O27381" s="11"/>
      <c r="P27381" s="11"/>
    </row>
    <row r="27382" spans="8:16" x14ac:dyDescent="0.25">
      <c r="H27382" s="12"/>
      <c r="I27382" s="12"/>
      <c r="J27382" s="12"/>
      <c r="K27382" s="12"/>
      <c r="L27382" s="12"/>
      <c r="M27382" s="11"/>
      <c r="N27382" s="11"/>
      <c r="O27382" s="11"/>
      <c r="P27382" s="11"/>
    </row>
    <row r="27383" spans="8:16" x14ac:dyDescent="0.25">
      <c r="H27383" s="12"/>
      <c r="I27383" s="12"/>
      <c r="J27383" s="12"/>
      <c r="K27383" s="12"/>
      <c r="L27383" s="12"/>
      <c r="M27383" s="11"/>
      <c r="N27383" s="11"/>
      <c r="O27383" s="11"/>
      <c r="P27383" s="11"/>
    </row>
    <row r="27384" spans="8:16" x14ac:dyDescent="0.25">
      <c r="H27384" s="12"/>
      <c r="I27384" s="12"/>
      <c r="J27384" s="12"/>
      <c r="K27384" s="12"/>
      <c r="L27384" s="12"/>
      <c r="M27384" s="11"/>
      <c r="N27384" s="11"/>
      <c r="O27384" s="11"/>
      <c r="P27384" s="11"/>
    </row>
    <row r="27385" spans="8:16" x14ac:dyDescent="0.25">
      <c r="H27385" s="12"/>
      <c r="I27385" s="12"/>
      <c r="J27385" s="12"/>
      <c r="K27385" s="12"/>
      <c r="L27385" s="12"/>
      <c r="M27385" s="11"/>
      <c r="N27385" s="11"/>
      <c r="O27385" s="11"/>
      <c r="P27385" s="11"/>
    </row>
    <row r="27386" spans="8:16" x14ac:dyDescent="0.25">
      <c r="H27386" s="12"/>
      <c r="I27386" s="12"/>
      <c r="J27386" s="12"/>
      <c r="K27386" s="12"/>
      <c r="L27386" s="12"/>
      <c r="M27386" s="11"/>
      <c r="N27386" s="11"/>
      <c r="O27386" s="11"/>
      <c r="P27386" s="11"/>
    </row>
    <row r="27387" spans="8:16" x14ac:dyDescent="0.25">
      <c r="H27387" s="12"/>
      <c r="I27387" s="12"/>
      <c r="J27387" s="12"/>
      <c r="K27387" s="12"/>
      <c r="L27387" s="12"/>
      <c r="M27387" s="11"/>
      <c r="N27387" s="11"/>
      <c r="O27387" s="11"/>
      <c r="P27387" s="11"/>
    </row>
    <row r="27388" spans="8:16" x14ac:dyDescent="0.25">
      <c r="H27388" s="12"/>
      <c r="I27388" s="12"/>
      <c r="J27388" s="12"/>
      <c r="K27388" s="12"/>
      <c r="L27388" s="12"/>
      <c r="M27388" s="11"/>
      <c r="N27388" s="11"/>
      <c r="O27388" s="11"/>
      <c r="P27388" s="11"/>
    </row>
    <row r="27389" spans="8:16" x14ac:dyDescent="0.25">
      <c r="H27389" s="12"/>
      <c r="I27389" s="12"/>
      <c r="J27389" s="12"/>
      <c r="K27389" s="12"/>
      <c r="L27389" s="12"/>
      <c r="M27389" s="11"/>
      <c r="N27389" s="11"/>
      <c r="O27389" s="11"/>
      <c r="P27389" s="11"/>
    </row>
    <row r="27390" spans="8:16" x14ac:dyDescent="0.25">
      <c r="H27390" s="12"/>
      <c r="I27390" s="12"/>
      <c r="J27390" s="12"/>
      <c r="K27390" s="12"/>
      <c r="L27390" s="12"/>
      <c r="M27390" s="11"/>
      <c r="N27390" s="11"/>
      <c r="O27390" s="11"/>
      <c r="P27390" s="11"/>
    </row>
    <row r="27391" spans="8:16" x14ac:dyDescent="0.25">
      <c r="H27391" s="12"/>
      <c r="I27391" s="12"/>
      <c r="J27391" s="12"/>
      <c r="K27391" s="12"/>
      <c r="L27391" s="12"/>
      <c r="M27391" s="11"/>
      <c r="N27391" s="11"/>
      <c r="O27391" s="11"/>
      <c r="P27391" s="11"/>
    </row>
    <row r="27392" spans="8:16" x14ac:dyDescent="0.25">
      <c r="H27392" s="12"/>
      <c r="I27392" s="12"/>
      <c r="J27392" s="12"/>
      <c r="K27392" s="12"/>
      <c r="L27392" s="12"/>
      <c r="M27392" s="11"/>
      <c r="N27392" s="11"/>
      <c r="O27392" s="11"/>
      <c r="P27392" s="11"/>
    </row>
    <row r="27393" spans="8:16" x14ac:dyDescent="0.25">
      <c r="H27393" s="12"/>
      <c r="I27393" s="12"/>
      <c r="J27393" s="12"/>
      <c r="K27393" s="12"/>
      <c r="L27393" s="12"/>
      <c r="M27393" s="11"/>
      <c r="N27393" s="11"/>
      <c r="O27393" s="11"/>
      <c r="P27393" s="11"/>
    </row>
    <row r="27394" spans="8:16" x14ac:dyDescent="0.25">
      <c r="H27394" s="12"/>
      <c r="I27394" s="12"/>
      <c r="J27394" s="12"/>
      <c r="K27394" s="12"/>
      <c r="L27394" s="12"/>
      <c r="M27394" s="11"/>
      <c r="N27394" s="11"/>
      <c r="O27394" s="11"/>
      <c r="P27394" s="11"/>
    </row>
    <row r="27395" spans="8:16" x14ac:dyDescent="0.25">
      <c r="H27395" s="12"/>
      <c r="I27395" s="12"/>
      <c r="J27395" s="12"/>
      <c r="K27395" s="12"/>
      <c r="L27395" s="12"/>
      <c r="M27395" s="11"/>
      <c r="N27395" s="11"/>
      <c r="O27395" s="11"/>
      <c r="P27395" s="11"/>
    </row>
    <row r="27396" spans="8:16" x14ac:dyDescent="0.25">
      <c r="H27396" s="12"/>
      <c r="I27396" s="12"/>
      <c r="J27396" s="12"/>
      <c r="K27396" s="12"/>
      <c r="L27396" s="12"/>
      <c r="M27396" s="11"/>
      <c r="N27396" s="11"/>
      <c r="O27396" s="11"/>
      <c r="P27396" s="11"/>
    </row>
    <row r="27397" spans="8:16" x14ac:dyDescent="0.25">
      <c r="H27397" s="12"/>
      <c r="I27397" s="12"/>
      <c r="J27397" s="12"/>
      <c r="K27397" s="12"/>
      <c r="L27397" s="12"/>
      <c r="M27397" s="11"/>
      <c r="N27397" s="11"/>
      <c r="O27397" s="11"/>
      <c r="P27397" s="11"/>
    </row>
    <row r="27398" spans="8:16" x14ac:dyDescent="0.25">
      <c r="H27398" s="12"/>
      <c r="I27398" s="12"/>
      <c r="J27398" s="12"/>
      <c r="K27398" s="12"/>
      <c r="L27398" s="12"/>
      <c r="M27398" s="11"/>
      <c r="N27398" s="11"/>
      <c r="O27398" s="11"/>
      <c r="P27398" s="11"/>
    </row>
    <row r="27399" spans="8:16" x14ac:dyDescent="0.25">
      <c r="H27399" s="12"/>
      <c r="I27399" s="12"/>
      <c r="J27399" s="12"/>
      <c r="K27399" s="12"/>
      <c r="L27399" s="12"/>
      <c r="M27399" s="11"/>
      <c r="N27399" s="11"/>
      <c r="O27399" s="11"/>
      <c r="P27399" s="11"/>
    </row>
    <row r="27400" spans="8:16" x14ac:dyDescent="0.25">
      <c r="H27400" s="12"/>
      <c r="I27400" s="12"/>
      <c r="J27400" s="12"/>
      <c r="K27400" s="12"/>
      <c r="L27400" s="12"/>
      <c r="M27400" s="11"/>
      <c r="N27400" s="11"/>
      <c r="O27400" s="11"/>
      <c r="P27400" s="11"/>
    </row>
    <row r="27401" spans="8:16" x14ac:dyDescent="0.25">
      <c r="H27401" s="12"/>
      <c r="I27401" s="12"/>
      <c r="J27401" s="12"/>
      <c r="K27401" s="12"/>
      <c r="L27401" s="12"/>
      <c r="M27401" s="11"/>
      <c r="N27401" s="11"/>
      <c r="O27401" s="11"/>
      <c r="P27401" s="11"/>
    </row>
    <row r="27402" spans="8:16" x14ac:dyDescent="0.25">
      <c r="H27402" s="12"/>
      <c r="I27402" s="12"/>
      <c r="J27402" s="12"/>
      <c r="K27402" s="12"/>
      <c r="L27402" s="12"/>
      <c r="M27402" s="11"/>
      <c r="N27402" s="11"/>
      <c r="O27402" s="11"/>
      <c r="P27402" s="11"/>
    </row>
    <row r="27403" spans="8:16" x14ac:dyDescent="0.25">
      <c r="H27403" s="12"/>
      <c r="I27403" s="12"/>
      <c r="J27403" s="12"/>
      <c r="K27403" s="12"/>
      <c r="L27403" s="12"/>
      <c r="M27403" s="11"/>
      <c r="N27403" s="11"/>
      <c r="O27403" s="11"/>
      <c r="P27403" s="11"/>
    </row>
    <row r="27404" spans="8:16" x14ac:dyDescent="0.25">
      <c r="H27404" s="12"/>
      <c r="I27404" s="12"/>
      <c r="J27404" s="12"/>
      <c r="K27404" s="12"/>
      <c r="L27404" s="12"/>
      <c r="M27404" s="11"/>
      <c r="N27404" s="11"/>
      <c r="O27404" s="11"/>
      <c r="P27404" s="11"/>
    </row>
    <row r="27405" spans="8:16" x14ac:dyDescent="0.25">
      <c r="H27405" s="12"/>
      <c r="I27405" s="12"/>
      <c r="J27405" s="12"/>
      <c r="K27405" s="12"/>
      <c r="L27405" s="12"/>
      <c r="M27405" s="11"/>
      <c r="N27405" s="11"/>
      <c r="O27405" s="11"/>
      <c r="P27405" s="11"/>
    </row>
    <row r="27406" spans="8:16" x14ac:dyDescent="0.25">
      <c r="H27406" s="12"/>
      <c r="I27406" s="12"/>
      <c r="J27406" s="12"/>
      <c r="K27406" s="12"/>
      <c r="L27406" s="12"/>
      <c r="M27406" s="11"/>
      <c r="N27406" s="11"/>
      <c r="O27406" s="11"/>
      <c r="P27406" s="11"/>
    </row>
    <row r="27407" spans="8:16" x14ac:dyDescent="0.25">
      <c r="H27407" s="12"/>
      <c r="I27407" s="12"/>
      <c r="J27407" s="12"/>
      <c r="K27407" s="12"/>
      <c r="L27407" s="12"/>
      <c r="M27407" s="11"/>
      <c r="N27407" s="11"/>
      <c r="O27407" s="11"/>
      <c r="P27407" s="11"/>
    </row>
    <row r="27408" spans="8:16" x14ac:dyDescent="0.25">
      <c r="H27408" s="12"/>
      <c r="I27408" s="12"/>
      <c r="J27408" s="12"/>
      <c r="K27408" s="12"/>
      <c r="L27408" s="12"/>
      <c r="M27408" s="11"/>
      <c r="N27408" s="11"/>
      <c r="O27408" s="11"/>
      <c r="P27408" s="11"/>
    </row>
    <row r="27409" spans="8:16" x14ac:dyDescent="0.25">
      <c r="H27409" s="12"/>
      <c r="I27409" s="12"/>
      <c r="J27409" s="12"/>
      <c r="K27409" s="12"/>
      <c r="L27409" s="12"/>
      <c r="M27409" s="11"/>
      <c r="N27409" s="11"/>
      <c r="O27409" s="11"/>
      <c r="P27409" s="11"/>
    </row>
    <row r="27410" spans="8:16" x14ac:dyDescent="0.25">
      <c r="H27410" s="12"/>
      <c r="I27410" s="12"/>
      <c r="J27410" s="12"/>
      <c r="K27410" s="12"/>
      <c r="L27410" s="12"/>
      <c r="M27410" s="11"/>
      <c r="N27410" s="11"/>
      <c r="O27410" s="11"/>
      <c r="P27410" s="11"/>
    </row>
    <row r="27411" spans="8:16" x14ac:dyDescent="0.25">
      <c r="H27411" s="12"/>
      <c r="I27411" s="12"/>
      <c r="J27411" s="12"/>
      <c r="K27411" s="12"/>
      <c r="L27411" s="12"/>
      <c r="M27411" s="11"/>
      <c r="N27411" s="11"/>
      <c r="O27411" s="11"/>
      <c r="P27411" s="11"/>
    </row>
    <row r="27412" spans="8:16" x14ac:dyDescent="0.25">
      <c r="H27412" s="12"/>
      <c r="I27412" s="12"/>
      <c r="J27412" s="12"/>
      <c r="K27412" s="12"/>
      <c r="L27412" s="12"/>
      <c r="M27412" s="11"/>
      <c r="N27412" s="11"/>
      <c r="O27412" s="11"/>
      <c r="P27412" s="11"/>
    </row>
    <row r="27413" spans="8:16" x14ac:dyDescent="0.25">
      <c r="H27413" s="12"/>
      <c r="I27413" s="12"/>
      <c r="J27413" s="12"/>
      <c r="K27413" s="12"/>
      <c r="L27413" s="12"/>
      <c r="M27413" s="11"/>
      <c r="N27413" s="11"/>
      <c r="O27413" s="11"/>
      <c r="P27413" s="11"/>
    </row>
    <row r="27414" spans="8:16" x14ac:dyDescent="0.25">
      <c r="H27414" s="12"/>
      <c r="I27414" s="12"/>
      <c r="J27414" s="12"/>
      <c r="K27414" s="12"/>
      <c r="L27414" s="12"/>
      <c r="M27414" s="11"/>
      <c r="N27414" s="11"/>
      <c r="O27414" s="11"/>
      <c r="P27414" s="11"/>
    </row>
    <row r="27415" spans="8:16" x14ac:dyDescent="0.25">
      <c r="H27415" s="12"/>
      <c r="I27415" s="12"/>
      <c r="J27415" s="12"/>
      <c r="K27415" s="12"/>
      <c r="L27415" s="12"/>
      <c r="M27415" s="11"/>
      <c r="N27415" s="11"/>
      <c r="O27415" s="11"/>
      <c r="P27415" s="11"/>
    </row>
    <row r="27416" spans="8:16" x14ac:dyDescent="0.25">
      <c r="H27416" s="12"/>
      <c r="I27416" s="12"/>
      <c r="J27416" s="12"/>
      <c r="K27416" s="12"/>
      <c r="L27416" s="12"/>
      <c r="M27416" s="11"/>
      <c r="N27416" s="11"/>
      <c r="O27416" s="11"/>
      <c r="P27416" s="11"/>
    </row>
    <row r="27417" spans="8:16" x14ac:dyDescent="0.25">
      <c r="H27417" s="12"/>
      <c r="I27417" s="12"/>
      <c r="J27417" s="12"/>
      <c r="K27417" s="12"/>
      <c r="L27417" s="12"/>
      <c r="M27417" s="11"/>
      <c r="N27417" s="11"/>
      <c r="O27417" s="11"/>
      <c r="P27417" s="11"/>
    </row>
    <row r="27418" spans="8:16" x14ac:dyDescent="0.25">
      <c r="H27418" s="12"/>
      <c r="I27418" s="12"/>
      <c r="J27418" s="12"/>
      <c r="K27418" s="12"/>
      <c r="L27418" s="12"/>
      <c r="M27418" s="11"/>
      <c r="N27418" s="11"/>
      <c r="O27418" s="11"/>
      <c r="P27418" s="11"/>
    </row>
    <row r="27419" spans="8:16" x14ac:dyDescent="0.25">
      <c r="H27419" s="12"/>
      <c r="I27419" s="12"/>
      <c r="J27419" s="12"/>
      <c r="K27419" s="12"/>
      <c r="L27419" s="12"/>
      <c r="M27419" s="11"/>
      <c r="N27419" s="11"/>
      <c r="O27419" s="11"/>
      <c r="P27419" s="11"/>
    </row>
    <row r="27420" spans="8:16" x14ac:dyDescent="0.25">
      <c r="H27420" s="12"/>
      <c r="I27420" s="12"/>
      <c r="J27420" s="12"/>
      <c r="K27420" s="12"/>
      <c r="L27420" s="12"/>
      <c r="M27420" s="11"/>
      <c r="N27420" s="11"/>
      <c r="O27420" s="11"/>
      <c r="P27420" s="11"/>
    </row>
    <row r="27421" spans="8:16" x14ac:dyDescent="0.25">
      <c r="H27421" s="12"/>
      <c r="I27421" s="12"/>
      <c r="J27421" s="12"/>
      <c r="K27421" s="12"/>
      <c r="L27421" s="12"/>
      <c r="M27421" s="11"/>
      <c r="N27421" s="11"/>
      <c r="O27421" s="11"/>
      <c r="P27421" s="11"/>
    </row>
    <row r="27422" spans="8:16" x14ac:dyDescent="0.25">
      <c r="H27422" s="12"/>
      <c r="I27422" s="12"/>
      <c r="J27422" s="12"/>
      <c r="K27422" s="12"/>
      <c r="L27422" s="12"/>
      <c r="M27422" s="11"/>
      <c r="N27422" s="11"/>
      <c r="O27422" s="11"/>
      <c r="P27422" s="11"/>
    </row>
    <row r="27423" spans="8:16" x14ac:dyDescent="0.25">
      <c r="H27423" s="12"/>
      <c r="I27423" s="12"/>
      <c r="J27423" s="12"/>
      <c r="K27423" s="12"/>
      <c r="L27423" s="12"/>
      <c r="M27423" s="11"/>
      <c r="N27423" s="11"/>
      <c r="O27423" s="11"/>
      <c r="P27423" s="11"/>
    </row>
    <row r="27424" spans="8:16" x14ac:dyDescent="0.25">
      <c r="H27424" s="12"/>
      <c r="I27424" s="12"/>
      <c r="J27424" s="12"/>
      <c r="K27424" s="12"/>
      <c r="L27424" s="12"/>
      <c r="M27424" s="11"/>
      <c r="N27424" s="11"/>
      <c r="O27424" s="11"/>
      <c r="P27424" s="11"/>
    </row>
    <row r="27425" spans="8:16" x14ac:dyDescent="0.25">
      <c r="H27425" s="12"/>
      <c r="I27425" s="12"/>
      <c r="J27425" s="12"/>
      <c r="K27425" s="12"/>
      <c r="L27425" s="12"/>
      <c r="M27425" s="11"/>
      <c r="N27425" s="11"/>
      <c r="O27425" s="11"/>
      <c r="P27425" s="11"/>
    </row>
    <row r="27426" spans="8:16" x14ac:dyDescent="0.25">
      <c r="H27426" s="12"/>
      <c r="I27426" s="12"/>
      <c r="J27426" s="12"/>
      <c r="K27426" s="12"/>
      <c r="L27426" s="12"/>
      <c r="M27426" s="11"/>
      <c r="N27426" s="11"/>
      <c r="O27426" s="11"/>
      <c r="P27426" s="11"/>
    </row>
    <row r="27427" spans="8:16" x14ac:dyDescent="0.25">
      <c r="H27427" s="12"/>
      <c r="I27427" s="12"/>
      <c r="J27427" s="12"/>
      <c r="K27427" s="12"/>
      <c r="L27427" s="12"/>
      <c r="M27427" s="11"/>
      <c r="N27427" s="11"/>
      <c r="O27427" s="11"/>
      <c r="P27427" s="11"/>
    </row>
    <row r="27428" spans="8:16" x14ac:dyDescent="0.25">
      <c r="H27428" s="12"/>
      <c r="I27428" s="12"/>
      <c r="J27428" s="12"/>
      <c r="K27428" s="12"/>
      <c r="L27428" s="12"/>
      <c r="M27428" s="11"/>
      <c r="N27428" s="11"/>
      <c r="O27428" s="11"/>
      <c r="P27428" s="11"/>
    </row>
    <row r="27429" spans="8:16" x14ac:dyDescent="0.25">
      <c r="H27429" s="12"/>
      <c r="I27429" s="12"/>
      <c r="J27429" s="12"/>
      <c r="K27429" s="12"/>
      <c r="L27429" s="12"/>
      <c r="M27429" s="11"/>
      <c r="N27429" s="11"/>
      <c r="O27429" s="11"/>
      <c r="P27429" s="11"/>
    </row>
    <row r="27430" spans="8:16" x14ac:dyDescent="0.25">
      <c r="H27430" s="12"/>
      <c r="I27430" s="12"/>
      <c r="J27430" s="12"/>
      <c r="K27430" s="12"/>
      <c r="L27430" s="12"/>
      <c r="M27430" s="11"/>
      <c r="N27430" s="11"/>
      <c r="O27430" s="11"/>
      <c r="P27430" s="11"/>
    </row>
    <row r="27431" spans="8:16" x14ac:dyDescent="0.25">
      <c r="H27431" s="12"/>
      <c r="I27431" s="12"/>
      <c r="J27431" s="12"/>
      <c r="K27431" s="12"/>
      <c r="L27431" s="12"/>
      <c r="M27431" s="11"/>
      <c r="N27431" s="11"/>
      <c r="O27431" s="11"/>
      <c r="P27431" s="11"/>
    </row>
    <row r="27432" spans="8:16" x14ac:dyDescent="0.25">
      <c r="H27432" s="12"/>
      <c r="I27432" s="12"/>
      <c r="J27432" s="12"/>
      <c r="K27432" s="12"/>
      <c r="L27432" s="12"/>
      <c r="M27432" s="11"/>
      <c r="N27432" s="11"/>
      <c r="O27432" s="11"/>
      <c r="P27432" s="11"/>
    </row>
    <row r="27433" spans="8:16" x14ac:dyDescent="0.25">
      <c r="H27433" s="12"/>
      <c r="I27433" s="12"/>
      <c r="J27433" s="12"/>
      <c r="K27433" s="12"/>
      <c r="L27433" s="12"/>
      <c r="M27433" s="11"/>
      <c r="N27433" s="11"/>
      <c r="O27433" s="11"/>
      <c r="P27433" s="11"/>
    </row>
    <row r="27434" spans="8:16" x14ac:dyDescent="0.25">
      <c r="H27434" s="12"/>
      <c r="I27434" s="12"/>
      <c r="J27434" s="12"/>
      <c r="K27434" s="12"/>
      <c r="L27434" s="12"/>
      <c r="M27434" s="11"/>
      <c r="N27434" s="11"/>
      <c r="O27434" s="11"/>
      <c r="P27434" s="11"/>
    </row>
    <row r="27435" spans="8:16" x14ac:dyDescent="0.25">
      <c r="H27435" s="12"/>
      <c r="I27435" s="12"/>
      <c r="J27435" s="12"/>
      <c r="K27435" s="12"/>
      <c r="L27435" s="12"/>
      <c r="M27435" s="11"/>
      <c r="N27435" s="11"/>
      <c r="O27435" s="11"/>
      <c r="P27435" s="11"/>
    </row>
    <row r="27436" spans="8:16" x14ac:dyDescent="0.25">
      <c r="H27436" s="12"/>
      <c r="I27436" s="12"/>
      <c r="J27436" s="12"/>
      <c r="K27436" s="12"/>
      <c r="L27436" s="12"/>
      <c r="M27436" s="11"/>
      <c r="N27436" s="11"/>
      <c r="O27436" s="11"/>
      <c r="P27436" s="11"/>
    </row>
    <row r="27437" spans="8:16" x14ac:dyDescent="0.25">
      <c r="H27437" s="12"/>
      <c r="I27437" s="12"/>
      <c r="J27437" s="12"/>
      <c r="K27437" s="12"/>
      <c r="L27437" s="12"/>
      <c r="M27437" s="11"/>
      <c r="N27437" s="11"/>
      <c r="O27437" s="11"/>
      <c r="P27437" s="11"/>
    </row>
    <row r="27438" spans="8:16" x14ac:dyDescent="0.25">
      <c r="H27438" s="12"/>
      <c r="I27438" s="12"/>
      <c r="J27438" s="12"/>
      <c r="K27438" s="12"/>
      <c r="L27438" s="12"/>
      <c r="M27438" s="11"/>
      <c r="N27438" s="11"/>
      <c r="O27438" s="11"/>
      <c r="P27438" s="11"/>
    </row>
    <row r="27439" spans="8:16" x14ac:dyDescent="0.25">
      <c r="H27439" s="12"/>
      <c r="I27439" s="12"/>
      <c r="J27439" s="12"/>
      <c r="K27439" s="12"/>
      <c r="L27439" s="12"/>
      <c r="M27439" s="11"/>
      <c r="N27439" s="11"/>
      <c r="O27439" s="11"/>
      <c r="P27439" s="11"/>
    </row>
    <row r="27440" spans="8:16" x14ac:dyDescent="0.25">
      <c r="H27440" s="12"/>
      <c r="I27440" s="12"/>
      <c r="J27440" s="12"/>
      <c r="K27440" s="12"/>
      <c r="L27440" s="12"/>
      <c r="M27440" s="11"/>
      <c r="N27440" s="11"/>
      <c r="O27440" s="11"/>
      <c r="P27440" s="11"/>
    </row>
    <row r="27441" spans="8:16" x14ac:dyDescent="0.25">
      <c r="H27441" s="12"/>
      <c r="I27441" s="12"/>
      <c r="J27441" s="12"/>
      <c r="K27441" s="12"/>
      <c r="L27441" s="12"/>
      <c r="M27441" s="11"/>
      <c r="N27441" s="11"/>
      <c r="O27441" s="11"/>
      <c r="P27441" s="11"/>
    </row>
    <row r="27442" spans="8:16" x14ac:dyDescent="0.25">
      <c r="H27442" s="12"/>
      <c r="I27442" s="12"/>
      <c r="J27442" s="12"/>
      <c r="K27442" s="12"/>
      <c r="L27442" s="12"/>
      <c r="M27442" s="11"/>
      <c r="N27442" s="11"/>
      <c r="O27442" s="11"/>
      <c r="P27442" s="11"/>
    </row>
    <row r="27443" spans="8:16" x14ac:dyDescent="0.25">
      <c r="H27443" s="12"/>
      <c r="I27443" s="12"/>
      <c r="J27443" s="12"/>
      <c r="K27443" s="12"/>
      <c r="L27443" s="12"/>
      <c r="M27443" s="11"/>
      <c r="N27443" s="11"/>
      <c r="O27443" s="11"/>
      <c r="P27443" s="11"/>
    </row>
    <row r="27444" spans="8:16" x14ac:dyDescent="0.25">
      <c r="H27444" s="12"/>
      <c r="I27444" s="12"/>
      <c r="J27444" s="12"/>
      <c r="K27444" s="12"/>
      <c r="L27444" s="12"/>
      <c r="M27444" s="11"/>
      <c r="N27444" s="11"/>
      <c r="O27444" s="11"/>
      <c r="P27444" s="11"/>
    </row>
    <row r="27445" spans="8:16" x14ac:dyDescent="0.25">
      <c r="H27445" s="12"/>
      <c r="I27445" s="12"/>
      <c r="J27445" s="12"/>
      <c r="K27445" s="12"/>
      <c r="L27445" s="12"/>
      <c r="M27445" s="11"/>
      <c r="N27445" s="11"/>
      <c r="O27445" s="11"/>
      <c r="P27445" s="11"/>
    </row>
    <row r="27446" spans="8:16" x14ac:dyDescent="0.25">
      <c r="H27446" s="12"/>
      <c r="I27446" s="12"/>
      <c r="J27446" s="12"/>
      <c r="K27446" s="12"/>
      <c r="L27446" s="12"/>
      <c r="M27446" s="11"/>
      <c r="N27446" s="11"/>
      <c r="O27446" s="11"/>
      <c r="P27446" s="11"/>
    </row>
    <row r="27447" spans="8:16" x14ac:dyDescent="0.25">
      <c r="H27447" s="12"/>
      <c r="I27447" s="12"/>
      <c r="J27447" s="12"/>
      <c r="K27447" s="12"/>
      <c r="L27447" s="12"/>
      <c r="M27447" s="11"/>
      <c r="N27447" s="11"/>
      <c r="O27447" s="11"/>
      <c r="P27447" s="11"/>
    </row>
    <row r="27448" spans="8:16" x14ac:dyDescent="0.25">
      <c r="H27448" s="12"/>
      <c r="I27448" s="12"/>
      <c r="J27448" s="12"/>
      <c r="K27448" s="12"/>
      <c r="L27448" s="12"/>
      <c r="M27448" s="11"/>
      <c r="N27448" s="11"/>
      <c r="O27448" s="11"/>
      <c r="P27448" s="11"/>
    </row>
    <row r="27449" spans="8:16" x14ac:dyDescent="0.25">
      <c r="H27449" s="12"/>
      <c r="I27449" s="12"/>
      <c r="J27449" s="12"/>
      <c r="K27449" s="12"/>
      <c r="L27449" s="12"/>
      <c r="M27449" s="11"/>
      <c r="N27449" s="11"/>
      <c r="O27449" s="11"/>
      <c r="P27449" s="11"/>
    </row>
    <row r="27450" spans="8:16" x14ac:dyDescent="0.25">
      <c r="H27450" s="12"/>
      <c r="I27450" s="12"/>
      <c r="J27450" s="12"/>
      <c r="K27450" s="12"/>
      <c r="L27450" s="12"/>
      <c r="M27450" s="11"/>
      <c r="N27450" s="11"/>
      <c r="O27450" s="11"/>
      <c r="P27450" s="11"/>
    </row>
    <row r="27451" spans="8:16" x14ac:dyDescent="0.25">
      <c r="H27451" s="12"/>
      <c r="I27451" s="12"/>
      <c r="J27451" s="12"/>
      <c r="K27451" s="12"/>
      <c r="L27451" s="12"/>
      <c r="M27451" s="11"/>
      <c r="N27451" s="11"/>
      <c r="O27451" s="11"/>
      <c r="P27451" s="11"/>
    </row>
    <row r="27452" spans="8:16" x14ac:dyDescent="0.25">
      <c r="H27452" s="12"/>
      <c r="I27452" s="12"/>
      <c r="J27452" s="12"/>
      <c r="K27452" s="12"/>
      <c r="L27452" s="12"/>
      <c r="M27452" s="11"/>
      <c r="N27452" s="11"/>
      <c r="O27452" s="11"/>
      <c r="P27452" s="11"/>
    </row>
    <row r="27453" spans="8:16" x14ac:dyDescent="0.25">
      <c r="H27453" s="12"/>
      <c r="I27453" s="12"/>
      <c r="J27453" s="12"/>
      <c r="K27453" s="12"/>
      <c r="L27453" s="12"/>
      <c r="M27453" s="11"/>
      <c r="N27453" s="11"/>
      <c r="O27453" s="11"/>
      <c r="P27453" s="11"/>
    </row>
    <row r="27454" spans="8:16" x14ac:dyDescent="0.25">
      <c r="H27454" s="12"/>
      <c r="I27454" s="12"/>
      <c r="J27454" s="12"/>
      <c r="K27454" s="12"/>
      <c r="L27454" s="12"/>
      <c r="M27454" s="11"/>
      <c r="N27454" s="11"/>
      <c r="O27454" s="11"/>
      <c r="P27454" s="11"/>
    </row>
    <row r="27455" spans="8:16" x14ac:dyDescent="0.25">
      <c r="H27455" s="12"/>
      <c r="I27455" s="12"/>
      <c r="J27455" s="12"/>
      <c r="K27455" s="12"/>
      <c r="L27455" s="12"/>
      <c r="M27455" s="11"/>
      <c r="N27455" s="11"/>
      <c r="O27455" s="11"/>
      <c r="P27455" s="11"/>
    </row>
    <row r="27456" spans="8:16" x14ac:dyDescent="0.25">
      <c r="H27456" s="12"/>
      <c r="I27456" s="12"/>
      <c r="J27456" s="12"/>
      <c r="K27456" s="12"/>
      <c r="L27456" s="12"/>
      <c r="M27456" s="11"/>
      <c r="N27456" s="11"/>
      <c r="O27456" s="11"/>
      <c r="P27456" s="11"/>
    </row>
    <row r="27457" spans="8:16" x14ac:dyDescent="0.25">
      <c r="H27457" s="12"/>
      <c r="I27457" s="12"/>
      <c r="J27457" s="12"/>
      <c r="K27457" s="12"/>
      <c r="L27457" s="12"/>
      <c r="M27457" s="11"/>
      <c r="N27457" s="11"/>
      <c r="O27457" s="11"/>
      <c r="P27457" s="11"/>
    </row>
    <row r="27458" spans="8:16" x14ac:dyDescent="0.25">
      <c r="H27458" s="12"/>
      <c r="I27458" s="12"/>
      <c r="J27458" s="12"/>
      <c r="K27458" s="12"/>
      <c r="L27458" s="12"/>
      <c r="M27458" s="11"/>
      <c r="N27458" s="11"/>
      <c r="O27458" s="11"/>
      <c r="P27458" s="11"/>
    </row>
    <row r="27459" spans="8:16" x14ac:dyDescent="0.25">
      <c r="H27459" s="12"/>
      <c r="I27459" s="12"/>
      <c r="J27459" s="12"/>
      <c r="K27459" s="12"/>
      <c r="L27459" s="12"/>
      <c r="M27459" s="11"/>
      <c r="N27459" s="11"/>
      <c r="O27459" s="11"/>
      <c r="P27459" s="11"/>
    </row>
    <row r="27460" spans="8:16" x14ac:dyDescent="0.25">
      <c r="H27460" s="12"/>
      <c r="I27460" s="12"/>
      <c r="J27460" s="12"/>
      <c r="K27460" s="12"/>
      <c r="L27460" s="12"/>
      <c r="M27460" s="11"/>
      <c r="N27460" s="11"/>
      <c r="O27460" s="11"/>
      <c r="P27460" s="11"/>
    </row>
    <row r="27461" spans="8:16" x14ac:dyDescent="0.25">
      <c r="H27461" s="12"/>
      <c r="I27461" s="12"/>
      <c r="J27461" s="12"/>
      <c r="K27461" s="12"/>
      <c r="L27461" s="12"/>
      <c r="M27461" s="11"/>
      <c r="N27461" s="11"/>
      <c r="O27461" s="11"/>
      <c r="P27461" s="11"/>
    </row>
    <row r="27462" spans="8:16" x14ac:dyDescent="0.25">
      <c r="H27462" s="12"/>
      <c r="I27462" s="12"/>
      <c r="J27462" s="12"/>
      <c r="K27462" s="12"/>
      <c r="L27462" s="12"/>
      <c r="M27462" s="11"/>
      <c r="N27462" s="11"/>
      <c r="O27462" s="11"/>
      <c r="P27462" s="11"/>
    </row>
    <row r="27463" spans="8:16" x14ac:dyDescent="0.25">
      <c r="H27463" s="12"/>
      <c r="I27463" s="12"/>
      <c r="J27463" s="12"/>
      <c r="K27463" s="12"/>
      <c r="L27463" s="12"/>
      <c r="M27463" s="11"/>
      <c r="N27463" s="11"/>
      <c r="O27463" s="11"/>
      <c r="P27463" s="11"/>
    </row>
    <row r="27464" spans="8:16" x14ac:dyDescent="0.25">
      <c r="H27464" s="12"/>
      <c r="I27464" s="12"/>
      <c r="J27464" s="12"/>
      <c r="K27464" s="12"/>
      <c r="L27464" s="12"/>
      <c r="M27464" s="11"/>
      <c r="N27464" s="11"/>
      <c r="O27464" s="11"/>
      <c r="P27464" s="11"/>
    </row>
    <row r="27465" spans="8:16" x14ac:dyDescent="0.25">
      <c r="H27465" s="12"/>
      <c r="I27465" s="12"/>
      <c r="J27465" s="12"/>
      <c r="K27465" s="12"/>
      <c r="L27465" s="12"/>
      <c r="M27465" s="11"/>
      <c r="N27465" s="11"/>
      <c r="O27465" s="11"/>
      <c r="P27465" s="11"/>
    </row>
    <row r="27466" spans="8:16" x14ac:dyDescent="0.25">
      <c r="H27466" s="12"/>
      <c r="I27466" s="12"/>
      <c r="J27466" s="12"/>
      <c r="K27466" s="12"/>
      <c r="L27466" s="12"/>
      <c r="M27466" s="11"/>
      <c r="N27466" s="11"/>
      <c r="O27466" s="11"/>
      <c r="P27466" s="11"/>
    </row>
    <row r="27467" spans="8:16" x14ac:dyDescent="0.25">
      <c r="H27467" s="12"/>
      <c r="I27467" s="12"/>
      <c r="J27467" s="12"/>
      <c r="K27467" s="12"/>
      <c r="L27467" s="12"/>
      <c r="M27467" s="11"/>
      <c r="N27467" s="11"/>
      <c r="O27467" s="11"/>
      <c r="P27467" s="11"/>
    </row>
    <row r="27468" spans="8:16" x14ac:dyDescent="0.25">
      <c r="H27468" s="12"/>
      <c r="I27468" s="12"/>
      <c r="J27468" s="12"/>
      <c r="K27468" s="12"/>
      <c r="L27468" s="12"/>
      <c r="M27468" s="11"/>
      <c r="N27468" s="11"/>
      <c r="O27468" s="11"/>
      <c r="P27468" s="11"/>
    </row>
    <row r="27469" spans="8:16" x14ac:dyDescent="0.25">
      <c r="H27469" s="12"/>
      <c r="I27469" s="12"/>
      <c r="J27469" s="12"/>
      <c r="K27469" s="12"/>
      <c r="L27469" s="12"/>
      <c r="M27469" s="11"/>
      <c r="N27469" s="11"/>
      <c r="O27469" s="11"/>
      <c r="P27469" s="11"/>
    </row>
    <row r="27470" spans="8:16" x14ac:dyDescent="0.25">
      <c r="H27470" s="12"/>
      <c r="I27470" s="12"/>
      <c r="J27470" s="12"/>
      <c r="K27470" s="12"/>
      <c r="L27470" s="12"/>
      <c r="M27470" s="11"/>
      <c r="N27470" s="11"/>
      <c r="O27470" s="11"/>
      <c r="P27470" s="11"/>
    </row>
    <row r="27471" spans="8:16" x14ac:dyDescent="0.25">
      <c r="H27471" s="12"/>
      <c r="I27471" s="12"/>
      <c r="J27471" s="12"/>
      <c r="K27471" s="12"/>
      <c r="L27471" s="12"/>
      <c r="M27471" s="11"/>
      <c r="N27471" s="11"/>
      <c r="O27471" s="11"/>
      <c r="P27471" s="11"/>
    </row>
    <row r="27472" spans="8:16" x14ac:dyDescent="0.25">
      <c r="H27472" s="12"/>
      <c r="I27472" s="12"/>
      <c r="J27472" s="12"/>
      <c r="K27472" s="12"/>
      <c r="L27472" s="12"/>
      <c r="M27472" s="11"/>
      <c r="N27472" s="11"/>
      <c r="O27472" s="11"/>
      <c r="P27472" s="11"/>
    </row>
    <row r="27473" spans="8:16" x14ac:dyDescent="0.25">
      <c r="H27473" s="12"/>
      <c r="I27473" s="12"/>
      <c r="J27473" s="12"/>
      <c r="K27473" s="12"/>
      <c r="L27473" s="12"/>
      <c r="M27473" s="11"/>
      <c r="N27473" s="11"/>
      <c r="O27473" s="11"/>
      <c r="P27473" s="11"/>
    </row>
    <row r="27474" spans="8:16" x14ac:dyDescent="0.25">
      <c r="H27474" s="12"/>
      <c r="I27474" s="12"/>
      <c r="J27474" s="12"/>
      <c r="K27474" s="12"/>
      <c r="L27474" s="12"/>
      <c r="M27474" s="11"/>
      <c r="N27474" s="11"/>
      <c r="O27474" s="11"/>
      <c r="P27474" s="11"/>
    </row>
    <row r="27475" spans="8:16" x14ac:dyDescent="0.25">
      <c r="H27475" s="12"/>
      <c r="I27475" s="12"/>
      <c r="J27475" s="12"/>
      <c r="K27475" s="12"/>
      <c r="L27475" s="12"/>
      <c r="M27475" s="11"/>
      <c r="N27475" s="11"/>
      <c r="O27475" s="11"/>
      <c r="P27475" s="11"/>
    </row>
    <row r="27476" spans="8:16" x14ac:dyDescent="0.25">
      <c r="H27476" s="12"/>
      <c r="I27476" s="12"/>
      <c r="J27476" s="12"/>
      <c r="K27476" s="12"/>
      <c r="L27476" s="12"/>
      <c r="M27476" s="11"/>
      <c r="N27476" s="11"/>
      <c r="O27476" s="11"/>
      <c r="P27476" s="11"/>
    </row>
    <row r="27477" spans="8:16" x14ac:dyDescent="0.25">
      <c r="H27477" s="12"/>
      <c r="I27477" s="12"/>
      <c r="J27477" s="12"/>
      <c r="K27477" s="12"/>
      <c r="L27477" s="12"/>
      <c r="M27477" s="11"/>
      <c r="N27477" s="11"/>
      <c r="O27477" s="11"/>
      <c r="P27477" s="11"/>
    </row>
    <row r="27478" spans="8:16" x14ac:dyDescent="0.25">
      <c r="H27478" s="12"/>
      <c r="I27478" s="12"/>
      <c r="J27478" s="12"/>
      <c r="K27478" s="12"/>
      <c r="L27478" s="12"/>
      <c r="M27478" s="11"/>
      <c r="N27478" s="11"/>
      <c r="O27478" s="11"/>
      <c r="P27478" s="11"/>
    </row>
    <row r="27479" spans="8:16" x14ac:dyDescent="0.25">
      <c r="H27479" s="12"/>
      <c r="I27479" s="12"/>
      <c r="J27479" s="12"/>
      <c r="K27479" s="12"/>
      <c r="L27479" s="12"/>
      <c r="M27479" s="11"/>
      <c r="N27479" s="11"/>
      <c r="O27479" s="11"/>
      <c r="P27479" s="11"/>
    </row>
    <row r="27480" spans="8:16" x14ac:dyDescent="0.25">
      <c r="H27480" s="12"/>
      <c r="I27480" s="12"/>
      <c r="J27480" s="12"/>
      <c r="K27480" s="12"/>
      <c r="L27480" s="12"/>
      <c r="M27480" s="11"/>
      <c r="N27480" s="11"/>
      <c r="O27480" s="11"/>
      <c r="P27480" s="11"/>
    </row>
    <row r="27481" spans="8:16" x14ac:dyDescent="0.25">
      <c r="H27481" s="12"/>
      <c r="I27481" s="12"/>
      <c r="J27481" s="12"/>
      <c r="K27481" s="12"/>
      <c r="L27481" s="12"/>
      <c r="M27481" s="11"/>
      <c r="N27481" s="11"/>
      <c r="O27481" s="11"/>
      <c r="P27481" s="11"/>
    </row>
    <row r="27482" spans="8:16" x14ac:dyDescent="0.25">
      <c r="H27482" s="12"/>
      <c r="I27482" s="12"/>
      <c r="J27482" s="12"/>
      <c r="K27482" s="12"/>
      <c r="L27482" s="12"/>
      <c r="M27482" s="11"/>
      <c r="N27482" s="11"/>
      <c r="O27482" s="11"/>
      <c r="P27482" s="11"/>
    </row>
    <row r="27483" spans="8:16" x14ac:dyDescent="0.25">
      <c r="H27483" s="12"/>
      <c r="I27483" s="12"/>
      <c r="J27483" s="12"/>
      <c r="K27483" s="12"/>
      <c r="L27483" s="12"/>
      <c r="M27483" s="11"/>
      <c r="N27483" s="11"/>
      <c r="O27483" s="11"/>
      <c r="P27483" s="11"/>
    </row>
    <row r="27484" spans="8:16" x14ac:dyDescent="0.25">
      <c r="H27484" s="12"/>
      <c r="I27484" s="12"/>
      <c r="J27484" s="12"/>
      <c r="K27484" s="12"/>
      <c r="L27484" s="12"/>
      <c r="M27484" s="11"/>
      <c r="N27484" s="11"/>
      <c r="O27484" s="11"/>
      <c r="P27484" s="11"/>
    </row>
    <row r="27485" spans="8:16" x14ac:dyDescent="0.25">
      <c r="H27485" s="12"/>
      <c r="I27485" s="12"/>
      <c r="J27485" s="12"/>
      <c r="K27485" s="12"/>
      <c r="L27485" s="12"/>
      <c r="M27485" s="11"/>
      <c r="N27485" s="11"/>
      <c r="O27485" s="11"/>
      <c r="P27485" s="11"/>
    </row>
    <row r="27486" spans="8:16" x14ac:dyDescent="0.25">
      <c r="H27486" s="12"/>
      <c r="I27486" s="12"/>
      <c r="J27486" s="12"/>
      <c r="K27486" s="12"/>
      <c r="L27486" s="12"/>
      <c r="M27486" s="11"/>
      <c r="N27486" s="11"/>
      <c r="O27486" s="11"/>
      <c r="P27486" s="11"/>
    </row>
    <row r="27487" spans="8:16" x14ac:dyDescent="0.25">
      <c r="H27487" s="12"/>
      <c r="I27487" s="12"/>
      <c r="J27487" s="12"/>
      <c r="K27487" s="12"/>
      <c r="L27487" s="12"/>
      <c r="M27487" s="11"/>
      <c r="N27487" s="11"/>
      <c r="O27487" s="11"/>
      <c r="P27487" s="11"/>
    </row>
    <row r="27488" spans="8:16" x14ac:dyDescent="0.25">
      <c r="H27488" s="12"/>
      <c r="I27488" s="12"/>
      <c r="J27488" s="12"/>
      <c r="K27488" s="12"/>
      <c r="L27488" s="12"/>
      <c r="M27488" s="11"/>
      <c r="N27488" s="11"/>
      <c r="O27488" s="11"/>
      <c r="P27488" s="11"/>
    </row>
    <row r="27489" spans="8:16" x14ac:dyDescent="0.25">
      <c r="H27489" s="12"/>
      <c r="I27489" s="12"/>
      <c r="J27489" s="12"/>
      <c r="K27489" s="12"/>
      <c r="L27489" s="12"/>
      <c r="M27489" s="11"/>
      <c r="N27489" s="11"/>
      <c r="O27489" s="11"/>
      <c r="P27489" s="11"/>
    </row>
    <row r="27490" spans="8:16" x14ac:dyDescent="0.25">
      <c r="H27490" s="12"/>
      <c r="I27490" s="12"/>
      <c r="J27490" s="12"/>
      <c r="K27490" s="12"/>
      <c r="L27490" s="12"/>
      <c r="M27490" s="11"/>
      <c r="N27490" s="11"/>
      <c r="O27490" s="11"/>
      <c r="P27490" s="11"/>
    </row>
    <row r="27491" spans="8:16" x14ac:dyDescent="0.25">
      <c r="H27491" s="12"/>
      <c r="I27491" s="12"/>
      <c r="J27491" s="12"/>
      <c r="K27491" s="12"/>
      <c r="L27491" s="12"/>
      <c r="M27491" s="11"/>
      <c r="N27491" s="11"/>
      <c r="O27491" s="11"/>
      <c r="P27491" s="11"/>
    </row>
    <row r="27492" spans="8:16" x14ac:dyDescent="0.25">
      <c r="H27492" s="12"/>
      <c r="I27492" s="12"/>
      <c r="J27492" s="12"/>
      <c r="K27492" s="12"/>
      <c r="L27492" s="12"/>
      <c r="M27492" s="11"/>
      <c r="N27492" s="11"/>
      <c r="O27492" s="11"/>
      <c r="P27492" s="11"/>
    </row>
    <row r="27493" spans="8:16" x14ac:dyDescent="0.25">
      <c r="H27493" s="12"/>
      <c r="I27493" s="12"/>
      <c r="J27493" s="12"/>
      <c r="K27493" s="12"/>
      <c r="L27493" s="12"/>
      <c r="M27493" s="11"/>
      <c r="N27493" s="11"/>
      <c r="O27493" s="11"/>
      <c r="P27493" s="11"/>
    </row>
    <row r="27494" spans="8:16" x14ac:dyDescent="0.25">
      <c r="H27494" s="12"/>
      <c r="I27494" s="12"/>
      <c r="J27494" s="12"/>
      <c r="K27494" s="12"/>
      <c r="L27494" s="12"/>
      <c r="M27494" s="11"/>
      <c r="N27494" s="11"/>
      <c r="O27494" s="11"/>
      <c r="P27494" s="11"/>
    </row>
    <row r="27495" spans="8:16" x14ac:dyDescent="0.25">
      <c r="H27495" s="12"/>
      <c r="I27495" s="12"/>
      <c r="J27495" s="12"/>
      <c r="K27495" s="12"/>
      <c r="L27495" s="12"/>
      <c r="M27495" s="11"/>
      <c r="N27495" s="11"/>
      <c r="O27495" s="11"/>
      <c r="P27495" s="11"/>
    </row>
    <row r="27496" spans="8:16" x14ac:dyDescent="0.25">
      <c r="H27496" s="12"/>
      <c r="I27496" s="12"/>
      <c r="J27496" s="12"/>
      <c r="K27496" s="12"/>
      <c r="L27496" s="12"/>
      <c r="M27496" s="11"/>
      <c r="N27496" s="11"/>
      <c r="O27496" s="11"/>
      <c r="P27496" s="11"/>
    </row>
    <row r="27497" spans="8:16" x14ac:dyDescent="0.25">
      <c r="H27497" s="12"/>
      <c r="I27497" s="12"/>
      <c r="J27497" s="12"/>
      <c r="K27497" s="12"/>
      <c r="L27497" s="12"/>
      <c r="M27497" s="11"/>
      <c r="N27497" s="11"/>
      <c r="O27497" s="11"/>
      <c r="P27497" s="11"/>
    </row>
    <row r="27498" spans="8:16" x14ac:dyDescent="0.25">
      <c r="H27498" s="12"/>
      <c r="I27498" s="12"/>
      <c r="J27498" s="12"/>
      <c r="K27498" s="12"/>
      <c r="L27498" s="12"/>
      <c r="M27498" s="11"/>
      <c r="N27498" s="11"/>
      <c r="O27498" s="11"/>
      <c r="P27498" s="11"/>
    </row>
    <row r="27499" spans="8:16" x14ac:dyDescent="0.25">
      <c r="H27499" s="12"/>
      <c r="I27499" s="12"/>
      <c r="J27499" s="12"/>
      <c r="K27499" s="12"/>
      <c r="L27499" s="12"/>
      <c r="M27499" s="11"/>
      <c r="N27499" s="11"/>
      <c r="O27499" s="11"/>
      <c r="P27499" s="11"/>
    </row>
    <row r="27500" spans="8:16" x14ac:dyDescent="0.25">
      <c r="H27500" s="12"/>
      <c r="I27500" s="12"/>
      <c r="J27500" s="12"/>
      <c r="K27500" s="12"/>
      <c r="L27500" s="12"/>
      <c r="M27500" s="11"/>
      <c r="N27500" s="11"/>
      <c r="O27500" s="11"/>
      <c r="P27500" s="11"/>
    </row>
    <row r="27501" spans="8:16" x14ac:dyDescent="0.25">
      <c r="H27501" s="12"/>
      <c r="I27501" s="12"/>
      <c r="J27501" s="12"/>
      <c r="K27501" s="12"/>
      <c r="L27501" s="12"/>
      <c r="M27501" s="11"/>
      <c r="N27501" s="11"/>
      <c r="O27501" s="11"/>
      <c r="P27501" s="11"/>
    </row>
    <row r="27502" spans="8:16" x14ac:dyDescent="0.25">
      <c r="H27502" s="12"/>
      <c r="I27502" s="12"/>
      <c r="J27502" s="12"/>
      <c r="K27502" s="12"/>
      <c r="L27502" s="12"/>
      <c r="M27502" s="11"/>
      <c r="N27502" s="11"/>
      <c r="O27502" s="11"/>
      <c r="P27502" s="11"/>
    </row>
    <row r="27503" spans="8:16" x14ac:dyDescent="0.25">
      <c r="H27503" s="12"/>
      <c r="I27503" s="12"/>
      <c r="J27503" s="12"/>
      <c r="K27503" s="12"/>
      <c r="L27503" s="12"/>
      <c r="M27503" s="11"/>
      <c r="N27503" s="11"/>
      <c r="O27503" s="11"/>
      <c r="P27503" s="11"/>
    </row>
    <row r="27504" spans="8:16" x14ac:dyDescent="0.25">
      <c r="H27504" s="12"/>
      <c r="I27504" s="12"/>
      <c r="J27504" s="12"/>
      <c r="K27504" s="12"/>
      <c r="L27504" s="12"/>
      <c r="M27504" s="11"/>
      <c r="N27504" s="11"/>
      <c r="O27504" s="11"/>
      <c r="P27504" s="11"/>
    </row>
    <row r="27505" spans="8:16" x14ac:dyDescent="0.25">
      <c r="H27505" s="12"/>
      <c r="I27505" s="12"/>
      <c r="J27505" s="12"/>
      <c r="K27505" s="12"/>
      <c r="L27505" s="12"/>
      <c r="M27505" s="11"/>
      <c r="N27505" s="11"/>
      <c r="O27505" s="11"/>
      <c r="P27505" s="11"/>
    </row>
    <row r="27506" spans="8:16" x14ac:dyDescent="0.25">
      <c r="H27506" s="12"/>
      <c r="I27506" s="12"/>
      <c r="J27506" s="12"/>
      <c r="K27506" s="12"/>
      <c r="L27506" s="12"/>
      <c r="M27506" s="11"/>
      <c r="N27506" s="11"/>
      <c r="O27506" s="11"/>
      <c r="P27506" s="11"/>
    </row>
    <row r="27507" spans="8:16" x14ac:dyDescent="0.25">
      <c r="H27507" s="12"/>
      <c r="I27507" s="12"/>
      <c r="J27507" s="12"/>
      <c r="K27507" s="12"/>
      <c r="L27507" s="12"/>
      <c r="M27507" s="11"/>
      <c r="N27507" s="11"/>
      <c r="O27507" s="11"/>
      <c r="P27507" s="11"/>
    </row>
    <row r="27508" spans="8:16" x14ac:dyDescent="0.25">
      <c r="H27508" s="12"/>
      <c r="I27508" s="12"/>
      <c r="J27508" s="12"/>
      <c r="K27508" s="12"/>
      <c r="L27508" s="12"/>
      <c r="M27508" s="11"/>
      <c r="N27508" s="11"/>
      <c r="O27508" s="11"/>
      <c r="P27508" s="11"/>
    </row>
    <row r="27509" spans="8:16" x14ac:dyDescent="0.25">
      <c r="H27509" s="12"/>
      <c r="I27509" s="12"/>
      <c r="J27509" s="12"/>
      <c r="K27509" s="12"/>
      <c r="L27509" s="12"/>
      <c r="M27509" s="11"/>
      <c r="N27509" s="11"/>
      <c r="O27509" s="11"/>
      <c r="P27509" s="11"/>
    </row>
    <row r="27510" spans="8:16" x14ac:dyDescent="0.25">
      <c r="H27510" s="12"/>
      <c r="I27510" s="12"/>
      <c r="J27510" s="12"/>
      <c r="K27510" s="12"/>
      <c r="L27510" s="12"/>
      <c r="M27510" s="11"/>
      <c r="N27510" s="11"/>
      <c r="O27510" s="11"/>
      <c r="P27510" s="11"/>
    </row>
    <row r="27511" spans="8:16" x14ac:dyDescent="0.25">
      <c r="H27511" s="12"/>
      <c r="I27511" s="12"/>
      <c r="J27511" s="12"/>
      <c r="K27511" s="12"/>
      <c r="L27511" s="12"/>
      <c r="M27511" s="11"/>
      <c r="N27511" s="11"/>
      <c r="O27511" s="11"/>
      <c r="P27511" s="11"/>
    </row>
    <row r="27512" spans="8:16" x14ac:dyDescent="0.25">
      <c r="H27512" s="12"/>
      <c r="I27512" s="12"/>
      <c r="J27512" s="12"/>
      <c r="K27512" s="12"/>
      <c r="L27512" s="12"/>
      <c r="M27512" s="11"/>
      <c r="N27512" s="11"/>
      <c r="O27512" s="11"/>
      <c r="P27512" s="11"/>
    </row>
    <row r="27513" spans="8:16" x14ac:dyDescent="0.25">
      <c r="H27513" s="12"/>
      <c r="I27513" s="12"/>
      <c r="J27513" s="12"/>
      <c r="K27513" s="12"/>
      <c r="L27513" s="12"/>
      <c r="M27513" s="11"/>
      <c r="N27513" s="11"/>
      <c r="O27513" s="11"/>
      <c r="P27513" s="11"/>
    </row>
    <row r="27514" spans="8:16" x14ac:dyDescent="0.25">
      <c r="H27514" s="12"/>
      <c r="I27514" s="12"/>
      <c r="J27514" s="12"/>
      <c r="K27514" s="12"/>
      <c r="L27514" s="12"/>
      <c r="M27514" s="11"/>
      <c r="N27514" s="11"/>
      <c r="O27514" s="11"/>
      <c r="P27514" s="11"/>
    </row>
    <row r="27515" spans="8:16" x14ac:dyDescent="0.25">
      <c r="H27515" s="12"/>
      <c r="I27515" s="12"/>
      <c r="J27515" s="12"/>
      <c r="K27515" s="12"/>
      <c r="L27515" s="12"/>
      <c r="M27515" s="11"/>
      <c r="N27515" s="11"/>
      <c r="O27515" s="11"/>
      <c r="P27515" s="11"/>
    </row>
    <row r="27516" spans="8:16" x14ac:dyDescent="0.25">
      <c r="H27516" s="12"/>
      <c r="I27516" s="12"/>
      <c r="J27516" s="12"/>
      <c r="K27516" s="12"/>
      <c r="L27516" s="12"/>
      <c r="M27516" s="11"/>
      <c r="N27516" s="11"/>
      <c r="O27516" s="11"/>
      <c r="P27516" s="11"/>
    </row>
    <row r="27517" spans="8:16" x14ac:dyDescent="0.25">
      <c r="H27517" s="12"/>
      <c r="I27517" s="12"/>
      <c r="J27517" s="12"/>
      <c r="K27517" s="12"/>
      <c r="L27517" s="12"/>
      <c r="M27517" s="11"/>
      <c r="N27517" s="11"/>
      <c r="O27517" s="11"/>
      <c r="P27517" s="11"/>
    </row>
    <row r="27518" spans="8:16" x14ac:dyDescent="0.25">
      <c r="H27518" s="12"/>
      <c r="I27518" s="12"/>
      <c r="J27518" s="12"/>
      <c r="K27518" s="12"/>
      <c r="L27518" s="12"/>
      <c r="M27518" s="11"/>
      <c r="N27518" s="11"/>
      <c r="O27518" s="11"/>
      <c r="P27518" s="11"/>
    </row>
    <row r="27519" spans="8:16" x14ac:dyDescent="0.25">
      <c r="H27519" s="12"/>
      <c r="I27519" s="12"/>
      <c r="J27519" s="12"/>
      <c r="K27519" s="12"/>
      <c r="L27519" s="12"/>
      <c r="M27519" s="11"/>
      <c r="N27519" s="11"/>
      <c r="O27519" s="11"/>
      <c r="P27519" s="11"/>
    </row>
    <row r="27520" spans="8:16" x14ac:dyDescent="0.25">
      <c r="H27520" s="12"/>
      <c r="I27520" s="12"/>
      <c r="J27520" s="12"/>
      <c r="K27520" s="12"/>
      <c r="L27520" s="12"/>
      <c r="M27520" s="11"/>
      <c r="N27520" s="11"/>
      <c r="O27520" s="11"/>
      <c r="P27520" s="11"/>
    </row>
    <row r="27521" spans="8:16" x14ac:dyDescent="0.25">
      <c r="H27521" s="12"/>
      <c r="I27521" s="12"/>
      <c r="J27521" s="12"/>
      <c r="K27521" s="12"/>
      <c r="L27521" s="12"/>
      <c r="M27521" s="11"/>
      <c r="N27521" s="11"/>
      <c r="O27521" s="11"/>
      <c r="P27521" s="11"/>
    </row>
    <row r="27522" spans="8:16" x14ac:dyDescent="0.25">
      <c r="H27522" s="12"/>
      <c r="I27522" s="12"/>
      <c r="J27522" s="12"/>
      <c r="K27522" s="12"/>
      <c r="L27522" s="12"/>
      <c r="M27522" s="11"/>
      <c r="N27522" s="11"/>
      <c r="O27522" s="11"/>
      <c r="P27522" s="11"/>
    </row>
    <row r="27523" spans="8:16" x14ac:dyDescent="0.25">
      <c r="H27523" s="12"/>
      <c r="I27523" s="12"/>
      <c r="J27523" s="12"/>
      <c r="K27523" s="12"/>
      <c r="L27523" s="12"/>
      <c r="M27523" s="11"/>
      <c r="N27523" s="11"/>
      <c r="O27523" s="11"/>
      <c r="P27523" s="11"/>
    </row>
    <row r="27524" spans="8:16" x14ac:dyDescent="0.25">
      <c r="H27524" s="12"/>
      <c r="I27524" s="12"/>
      <c r="J27524" s="12"/>
      <c r="K27524" s="12"/>
      <c r="L27524" s="12"/>
      <c r="M27524" s="11"/>
      <c r="N27524" s="11"/>
      <c r="O27524" s="11"/>
      <c r="P27524" s="11"/>
    </row>
    <row r="27525" spans="8:16" x14ac:dyDescent="0.25">
      <c r="H27525" s="12"/>
      <c r="I27525" s="12"/>
      <c r="J27525" s="12"/>
      <c r="K27525" s="12"/>
      <c r="L27525" s="12"/>
      <c r="M27525" s="11"/>
      <c r="N27525" s="11"/>
      <c r="O27525" s="11"/>
      <c r="P27525" s="11"/>
    </row>
    <row r="27526" spans="8:16" x14ac:dyDescent="0.25">
      <c r="H27526" s="12"/>
      <c r="I27526" s="12"/>
      <c r="J27526" s="12"/>
      <c r="K27526" s="12"/>
      <c r="L27526" s="12"/>
      <c r="M27526" s="11"/>
      <c r="N27526" s="11"/>
      <c r="O27526" s="11"/>
      <c r="P27526" s="11"/>
    </row>
    <row r="27527" spans="8:16" x14ac:dyDescent="0.25">
      <c r="H27527" s="12"/>
      <c r="I27527" s="12"/>
      <c r="J27527" s="12"/>
      <c r="K27527" s="12"/>
      <c r="L27527" s="12"/>
      <c r="M27527" s="11"/>
      <c r="N27527" s="11"/>
      <c r="O27527" s="11"/>
      <c r="P27527" s="11"/>
    </row>
    <row r="27528" spans="8:16" x14ac:dyDescent="0.25">
      <c r="H27528" s="12"/>
      <c r="I27528" s="12"/>
      <c r="J27528" s="12"/>
      <c r="K27528" s="12"/>
      <c r="L27528" s="12"/>
      <c r="M27528" s="11"/>
      <c r="N27528" s="11"/>
      <c r="O27528" s="11"/>
      <c r="P27528" s="11"/>
    </row>
    <row r="27529" spans="8:16" x14ac:dyDescent="0.25">
      <c r="H27529" s="12"/>
      <c r="I27529" s="12"/>
      <c r="J27529" s="12"/>
      <c r="K27529" s="12"/>
      <c r="L27529" s="12"/>
      <c r="M27529" s="11"/>
      <c r="N27529" s="11"/>
      <c r="O27529" s="11"/>
      <c r="P27529" s="11"/>
    </row>
    <row r="27530" spans="8:16" x14ac:dyDescent="0.25">
      <c r="H27530" s="12"/>
      <c r="I27530" s="12"/>
      <c r="J27530" s="12"/>
      <c r="K27530" s="12"/>
      <c r="L27530" s="12"/>
      <c r="M27530" s="11"/>
      <c r="N27530" s="11"/>
      <c r="O27530" s="11"/>
      <c r="P27530" s="11"/>
    </row>
    <row r="27531" spans="8:16" x14ac:dyDescent="0.25">
      <c r="H27531" s="12"/>
      <c r="I27531" s="12"/>
      <c r="J27531" s="12"/>
      <c r="K27531" s="12"/>
      <c r="L27531" s="12"/>
      <c r="M27531" s="11"/>
      <c r="N27531" s="11"/>
      <c r="O27531" s="11"/>
      <c r="P27531" s="11"/>
    </row>
    <row r="27532" spans="8:16" x14ac:dyDescent="0.25">
      <c r="H27532" s="12"/>
      <c r="I27532" s="12"/>
      <c r="J27532" s="12"/>
      <c r="K27532" s="12"/>
      <c r="L27532" s="12"/>
      <c r="M27532" s="11"/>
      <c r="N27532" s="11"/>
      <c r="O27532" s="11"/>
      <c r="P27532" s="11"/>
    </row>
    <row r="27533" spans="8:16" x14ac:dyDescent="0.25">
      <c r="H27533" s="12"/>
      <c r="I27533" s="12"/>
      <c r="J27533" s="12"/>
      <c r="K27533" s="12"/>
      <c r="L27533" s="12"/>
      <c r="M27533" s="11"/>
      <c r="N27533" s="11"/>
      <c r="O27533" s="11"/>
      <c r="P27533" s="11"/>
    </row>
    <row r="27534" spans="8:16" x14ac:dyDescent="0.25">
      <c r="H27534" s="12"/>
      <c r="I27534" s="12"/>
      <c r="J27534" s="12"/>
      <c r="K27534" s="12"/>
      <c r="L27534" s="12"/>
      <c r="M27534" s="11"/>
      <c r="N27534" s="11"/>
      <c r="O27534" s="11"/>
      <c r="P27534" s="11"/>
    </row>
    <row r="27535" spans="8:16" x14ac:dyDescent="0.25">
      <c r="H27535" s="12"/>
      <c r="I27535" s="12"/>
      <c r="J27535" s="12"/>
      <c r="K27535" s="12"/>
      <c r="L27535" s="12"/>
      <c r="M27535" s="11"/>
      <c r="N27535" s="11"/>
      <c r="O27535" s="11"/>
      <c r="P27535" s="11"/>
    </row>
    <row r="27536" spans="8:16" x14ac:dyDescent="0.25">
      <c r="H27536" s="12"/>
      <c r="I27536" s="12"/>
      <c r="J27536" s="12"/>
      <c r="K27536" s="12"/>
      <c r="L27536" s="12"/>
      <c r="M27536" s="11"/>
      <c r="N27536" s="11"/>
      <c r="O27536" s="11"/>
      <c r="P27536" s="11"/>
    </row>
    <row r="27537" spans="8:16" x14ac:dyDescent="0.25">
      <c r="H27537" s="12"/>
      <c r="I27537" s="12"/>
      <c r="J27537" s="12"/>
      <c r="K27537" s="12"/>
      <c r="L27537" s="12"/>
      <c r="M27537" s="11"/>
      <c r="N27537" s="11"/>
      <c r="O27537" s="11"/>
      <c r="P27537" s="11"/>
    </row>
    <row r="27538" spans="8:16" x14ac:dyDescent="0.25">
      <c r="H27538" s="12"/>
      <c r="I27538" s="12"/>
      <c r="J27538" s="12"/>
      <c r="K27538" s="12"/>
      <c r="L27538" s="12"/>
      <c r="M27538" s="11"/>
      <c r="N27538" s="11"/>
      <c r="O27538" s="11"/>
      <c r="P27538" s="11"/>
    </row>
    <row r="27539" spans="8:16" x14ac:dyDescent="0.25">
      <c r="H27539" s="12"/>
      <c r="I27539" s="12"/>
      <c r="J27539" s="12"/>
      <c r="K27539" s="12"/>
      <c r="L27539" s="12"/>
      <c r="M27539" s="11"/>
      <c r="N27539" s="11"/>
      <c r="O27539" s="11"/>
      <c r="P27539" s="11"/>
    </row>
    <row r="27540" spans="8:16" x14ac:dyDescent="0.25">
      <c r="H27540" s="12"/>
      <c r="I27540" s="12"/>
      <c r="J27540" s="12"/>
      <c r="K27540" s="12"/>
      <c r="L27540" s="12"/>
      <c r="M27540" s="11"/>
      <c r="N27540" s="11"/>
      <c r="O27540" s="11"/>
      <c r="P27540" s="11"/>
    </row>
    <row r="27541" spans="8:16" x14ac:dyDescent="0.25">
      <c r="H27541" s="12"/>
      <c r="I27541" s="12"/>
      <c r="J27541" s="12"/>
      <c r="K27541" s="12"/>
      <c r="L27541" s="12"/>
      <c r="M27541" s="11"/>
      <c r="N27541" s="11"/>
      <c r="O27541" s="11"/>
      <c r="P27541" s="11"/>
    </row>
    <row r="27542" spans="8:16" x14ac:dyDescent="0.25">
      <c r="H27542" s="12"/>
      <c r="I27542" s="12"/>
      <c r="J27542" s="12"/>
      <c r="K27542" s="12"/>
      <c r="L27542" s="12"/>
      <c r="M27542" s="11"/>
      <c r="N27542" s="11"/>
      <c r="O27542" s="11"/>
      <c r="P27542" s="11"/>
    </row>
    <row r="27543" spans="8:16" x14ac:dyDescent="0.25">
      <c r="H27543" s="12"/>
      <c r="I27543" s="12"/>
      <c r="J27543" s="12"/>
      <c r="K27543" s="12"/>
      <c r="L27543" s="12"/>
      <c r="M27543" s="11"/>
      <c r="N27543" s="11"/>
      <c r="O27543" s="11"/>
      <c r="P27543" s="11"/>
    </row>
    <row r="27544" spans="8:16" x14ac:dyDescent="0.25">
      <c r="H27544" s="12"/>
      <c r="I27544" s="12"/>
      <c r="J27544" s="12"/>
      <c r="K27544" s="12"/>
      <c r="L27544" s="12"/>
      <c r="M27544" s="11"/>
      <c r="N27544" s="11"/>
      <c r="O27544" s="11"/>
      <c r="P27544" s="11"/>
    </row>
    <row r="27545" spans="8:16" x14ac:dyDescent="0.25">
      <c r="H27545" s="12"/>
      <c r="I27545" s="12"/>
      <c r="J27545" s="12"/>
      <c r="K27545" s="12"/>
      <c r="L27545" s="12"/>
      <c r="M27545" s="11"/>
      <c r="N27545" s="11"/>
      <c r="O27545" s="11"/>
      <c r="P27545" s="11"/>
    </row>
    <row r="27546" spans="8:16" x14ac:dyDescent="0.25">
      <c r="H27546" s="12"/>
      <c r="I27546" s="12"/>
      <c r="J27546" s="12"/>
      <c r="K27546" s="12"/>
      <c r="L27546" s="12"/>
      <c r="M27546" s="11"/>
      <c r="N27546" s="11"/>
      <c r="O27546" s="11"/>
      <c r="P27546" s="11"/>
    </row>
    <row r="27547" spans="8:16" x14ac:dyDescent="0.25">
      <c r="H27547" s="12"/>
      <c r="I27547" s="12"/>
      <c r="J27547" s="12"/>
      <c r="K27547" s="12"/>
      <c r="L27547" s="12"/>
      <c r="M27547" s="11"/>
      <c r="N27547" s="11"/>
      <c r="O27547" s="11"/>
      <c r="P27547" s="11"/>
    </row>
    <row r="27548" spans="8:16" x14ac:dyDescent="0.25">
      <c r="H27548" s="12"/>
      <c r="I27548" s="12"/>
      <c r="J27548" s="12"/>
      <c r="K27548" s="12"/>
      <c r="L27548" s="12"/>
      <c r="M27548" s="11"/>
      <c r="N27548" s="11"/>
      <c r="O27548" s="11"/>
      <c r="P27548" s="11"/>
    </row>
    <row r="27549" spans="8:16" x14ac:dyDescent="0.25">
      <c r="H27549" s="12"/>
      <c r="I27549" s="12"/>
      <c r="J27549" s="12"/>
      <c r="K27549" s="12"/>
      <c r="L27549" s="12"/>
      <c r="M27549" s="11"/>
      <c r="N27549" s="11"/>
      <c r="O27549" s="11"/>
      <c r="P27549" s="11"/>
    </row>
    <row r="27550" spans="8:16" x14ac:dyDescent="0.25">
      <c r="H27550" s="12"/>
      <c r="I27550" s="12"/>
      <c r="J27550" s="12"/>
      <c r="K27550" s="12"/>
      <c r="L27550" s="12"/>
      <c r="M27550" s="11"/>
      <c r="N27550" s="11"/>
      <c r="O27550" s="11"/>
      <c r="P27550" s="11"/>
    </row>
    <row r="27551" spans="8:16" x14ac:dyDescent="0.25">
      <c r="H27551" s="12"/>
      <c r="I27551" s="12"/>
      <c r="J27551" s="12"/>
      <c r="K27551" s="12"/>
      <c r="L27551" s="12"/>
      <c r="M27551" s="11"/>
      <c r="N27551" s="11"/>
      <c r="O27551" s="11"/>
      <c r="P27551" s="11"/>
    </row>
    <row r="27552" spans="8:16" x14ac:dyDescent="0.25">
      <c r="H27552" s="12"/>
      <c r="I27552" s="12"/>
      <c r="J27552" s="12"/>
      <c r="K27552" s="12"/>
      <c r="L27552" s="12"/>
      <c r="M27552" s="11"/>
      <c r="N27552" s="11"/>
      <c r="O27552" s="11"/>
      <c r="P27552" s="11"/>
    </row>
    <row r="27553" spans="8:16" x14ac:dyDescent="0.25">
      <c r="H27553" s="12"/>
      <c r="I27553" s="12"/>
      <c r="J27553" s="12"/>
      <c r="K27553" s="12"/>
      <c r="L27553" s="12"/>
      <c r="M27553" s="11"/>
      <c r="N27553" s="11"/>
      <c r="O27553" s="11"/>
      <c r="P27553" s="11"/>
    </row>
    <row r="27554" spans="8:16" x14ac:dyDescent="0.25">
      <c r="H27554" s="12"/>
      <c r="I27554" s="12"/>
      <c r="J27554" s="12"/>
      <c r="K27554" s="12"/>
      <c r="L27554" s="12"/>
      <c r="M27554" s="11"/>
      <c r="N27554" s="11"/>
      <c r="O27554" s="11"/>
      <c r="P27554" s="11"/>
    </row>
    <row r="27555" spans="8:16" x14ac:dyDescent="0.25">
      <c r="H27555" s="12"/>
      <c r="I27555" s="12"/>
      <c r="J27555" s="12"/>
      <c r="K27555" s="12"/>
      <c r="L27555" s="12"/>
      <c r="M27555" s="11"/>
      <c r="N27555" s="11"/>
      <c r="O27555" s="11"/>
      <c r="P27555" s="11"/>
    </row>
    <row r="27556" spans="8:16" x14ac:dyDescent="0.25">
      <c r="H27556" s="12"/>
      <c r="I27556" s="12"/>
      <c r="J27556" s="12"/>
      <c r="K27556" s="12"/>
      <c r="L27556" s="12"/>
      <c r="M27556" s="11"/>
      <c r="N27556" s="11"/>
      <c r="O27556" s="11"/>
      <c r="P27556" s="11"/>
    </row>
    <row r="27557" spans="8:16" x14ac:dyDescent="0.25">
      <c r="H27557" s="12"/>
      <c r="I27557" s="12"/>
      <c r="J27557" s="12"/>
      <c r="K27557" s="12"/>
      <c r="L27557" s="12"/>
      <c r="M27557" s="11"/>
      <c r="N27557" s="11"/>
      <c r="O27557" s="11"/>
      <c r="P27557" s="11"/>
    </row>
    <row r="27558" spans="8:16" x14ac:dyDescent="0.25">
      <c r="H27558" s="12"/>
      <c r="I27558" s="12"/>
      <c r="J27558" s="12"/>
      <c r="K27558" s="12"/>
      <c r="L27558" s="12"/>
      <c r="M27558" s="11"/>
      <c r="N27558" s="11"/>
      <c r="O27558" s="11"/>
      <c r="P27558" s="11"/>
    </row>
    <row r="27559" spans="8:16" x14ac:dyDescent="0.25">
      <c r="H27559" s="12"/>
      <c r="I27559" s="12"/>
      <c r="J27559" s="12"/>
      <c r="K27559" s="12"/>
      <c r="L27559" s="12"/>
      <c r="M27559" s="11"/>
      <c r="N27559" s="11"/>
      <c r="O27559" s="11"/>
      <c r="P27559" s="11"/>
    </row>
    <row r="27560" spans="8:16" x14ac:dyDescent="0.25">
      <c r="H27560" s="12"/>
      <c r="I27560" s="12"/>
      <c r="J27560" s="12"/>
      <c r="K27560" s="12"/>
      <c r="L27560" s="12"/>
      <c r="M27560" s="11"/>
      <c r="N27560" s="11"/>
      <c r="O27560" s="11"/>
      <c r="P27560" s="11"/>
    </row>
    <row r="27561" spans="8:16" x14ac:dyDescent="0.25">
      <c r="H27561" s="12"/>
      <c r="I27561" s="12"/>
      <c r="J27561" s="12"/>
      <c r="K27561" s="12"/>
      <c r="L27561" s="12"/>
      <c r="M27561" s="11"/>
      <c r="N27561" s="11"/>
      <c r="O27561" s="11"/>
      <c r="P27561" s="11"/>
    </row>
    <row r="27562" spans="8:16" x14ac:dyDescent="0.25">
      <c r="H27562" s="12"/>
      <c r="I27562" s="12"/>
      <c r="J27562" s="12"/>
      <c r="K27562" s="12"/>
      <c r="L27562" s="12"/>
      <c r="M27562" s="11"/>
      <c r="N27562" s="11"/>
      <c r="O27562" s="11"/>
      <c r="P27562" s="11"/>
    </row>
    <row r="27563" spans="8:16" x14ac:dyDescent="0.25">
      <c r="H27563" s="12"/>
      <c r="I27563" s="12"/>
      <c r="J27563" s="12"/>
      <c r="K27563" s="12"/>
      <c r="L27563" s="12"/>
      <c r="M27563" s="11"/>
      <c r="N27563" s="11"/>
      <c r="O27563" s="11"/>
      <c r="P27563" s="11"/>
    </row>
    <row r="27564" spans="8:16" x14ac:dyDescent="0.25">
      <c r="H27564" s="12"/>
      <c r="I27564" s="12"/>
      <c r="J27564" s="12"/>
      <c r="K27564" s="12"/>
      <c r="L27564" s="12"/>
      <c r="M27564" s="11"/>
      <c r="N27564" s="11"/>
      <c r="O27564" s="11"/>
      <c r="P27564" s="11"/>
    </row>
    <row r="27565" spans="8:16" x14ac:dyDescent="0.25">
      <c r="H27565" s="12"/>
      <c r="I27565" s="12"/>
      <c r="J27565" s="12"/>
      <c r="K27565" s="12"/>
      <c r="L27565" s="12"/>
      <c r="M27565" s="11"/>
      <c r="N27565" s="11"/>
      <c r="O27565" s="11"/>
      <c r="P27565" s="11"/>
    </row>
    <row r="27566" spans="8:16" x14ac:dyDescent="0.25">
      <c r="H27566" s="12"/>
      <c r="I27566" s="12"/>
      <c r="J27566" s="12"/>
      <c r="K27566" s="12"/>
      <c r="L27566" s="12"/>
      <c r="M27566" s="11"/>
      <c r="N27566" s="11"/>
      <c r="O27566" s="11"/>
      <c r="P27566" s="11"/>
    </row>
    <row r="27567" spans="8:16" x14ac:dyDescent="0.25">
      <c r="H27567" s="12"/>
      <c r="I27567" s="12"/>
      <c r="J27567" s="12"/>
      <c r="K27567" s="12"/>
      <c r="L27567" s="12"/>
      <c r="M27567" s="11"/>
      <c r="N27567" s="11"/>
      <c r="O27567" s="11"/>
      <c r="P27567" s="11"/>
    </row>
    <row r="27568" spans="8:16" x14ac:dyDescent="0.25">
      <c r="H27568" s="12"/>
      <c r="I27568" s="12"/>
      <c r="J27568" s="12"/>
      <c r="K27568" s="12"/>
      <c r="L27568" s="12"/>
      <c r="M27568" s="11"/>
      <c r="N27568" s="11"/>
      <c r="O27568" s="11"/>
      <c r="P27568" s="11"/>
    </row>
    <row r="27569" spans="8:16" x14ac:dyDescent="0.25">
      <c r="H27569" s="12"/>
      <c r="I27569" s="12"/>
      <c r="J27569" s="12"/>
      <c r="K27569" s="12"/>
      <c r="L27569" s="12"/>
      <c r="M27569" s="11"/>
      <c r="N27569" s="11"/>
      <c r="O27569" s="11"/>
      <c r="P27569" s="11"/>
    </row>
    <row r="27570" spans="8:16" x14ac:dyDescent="0.25">
      <c r="H27570" s="12"/>
      <c r="I27570" s="12"/>
      <c r="J27570" s="12"/>
      <c r="K27570" s="12"/>
      <c r="L27570" s="12"/>
      <c r="M27570" s="11"/>
      <c r="N27570" s="11"/>
      <c r="O27570" s="11"/>
      <c r="P27570" s="11"/>
    </row>
    <row r="27571" spans="8:16" x14ac:dyDescent="0.25">
      <c r="H27571" s="12"/>
      <c r="I27571" s="12"/>
      <c r="J27571" s="12"/>
      <c r="K27571" s="12"/>
      <c r="L27571" s="12"/>
      <c r="M27571" s="11"/>
      <c r="N27571" s="11"/>
      <c r="O27571" s="11"/>
      <c r="P27571" s="11"/>
    </row>
    <row r="27572" spans="8:16" x14ac:dyDescent="0.25">
      <c r="H27572" s="12"/>
      <c r="I27572" s="12"/>
      <c r="J27572" s="12"/>
      <c r="K27572" s="12"/>
      <c r="L27572" s="12"/>
      <c r="M27572" s="11"/>
      <c r="N27572" s="11"/>
      <c r="O27572" s="11"/>
      <c r="P27572" s="11"/>
    </row>
    <row r="27573" spans="8:16" x14ac:dyDescent="0.25">
      <c r="H27573" s="12"/>
      <c r="I27573" s="12"/>
      <c r="J27573" s="12"/>
      <c r="K27573" s="12"/>
      <c r="L27573" s="12"/>
      <c r="M27573" s="11"/>
      <c r="N27573" s="11"/>
      <c r="O27573" s="11"/>
      <c r="P27573" s="11"/>
    </row>
    <row r="27574" spans="8:16" x14ac:dyDescent="0.25">
      <c r="H27574" s="12"/>
      <c r="I27574" s="12"/>
      <c r="J27574" s="12"/>
      <c r="K27574" s="12"/>
      <c r="L27574" s="12"/>
      <c r="M27574" s="11"/>
      <c r="N27574" s="11"/>
      <c r="O27574" s="11"/>
      <c r="P27574" s="11"/>
    </row>
    <row r="27575" spans="8:16" x14ac:dyDescent="0.25">
      <c r="H27575" s="12"/>
      <c r="I27575" s="12"/>
      <c r="J27575" s="12"/>
      <c r="K27575" s="12"/>
      <c r="L27575" s="12"/>
      <c r="M27575" s="11"/>
      <c r="N27575" s="11"/>
      <c r="O27575" s="11"/>
      <c r="P27575" s="11"/>
    </row>
    <row r="27576" spans="8:16" x14ac:dyDescent="0.25">
      <c r="H27576" s="12"/>
      <c r="I27576" s="12"/>
      <c r="J27576" s="12"/>
      <c r="K27576" s="12"/>
      <c r="L27576" s="12"/>
      <c r="M27576" s="11"/>
      <c r="N27576" s="11"/>
      <c r="O27576" s="11"/>
      <c r="P27576" s="11"/>
    </row>
    <row r="27577" spans="8:16" x14ac:dyDescent="0.25">
      <c r="H27577" s="12"/>
      <c r="I27577" s="12"/>
      <c r="J27577" s="12"/>
      <c r="K27577" s="12"/>
      <c r="L27577" s="12"/>
      <c r="M27577" s="11"/>
      <c r="N27577" s="11"/>
      <c r="O27577" s="11"/>
      <c r="P27577" s="11"/>
    </row>
    <row r="27578" spans="8:16" x14ac:dyDescent="0.25">
      <c r="H27578" s="12"/>
      <c r="I27578" s="12"/>
      <c r="J27578" s="12"/>
      <c r="K27578" s="12"/>
      <c r="L27578" s="12"/>
      <c r="M27578" s="11"/>
      <c r="N27578" s="11"/>
      <c r="O27578" s="11"/>
      <c r="P27578" s="11"/>
    </row>
    <row r="27579" spans="8:16" x14ac:dyDescent="0.25">
      <c r="H27579" s="12"/>
      <c r="I27579" s="12"/>
      <c r="J27579" s="12"/>
      <c r="K27579" s="12"/>
      <c r="L27579" s="12"/>
      <c r="M27579" s="11"/>
      <c r="N27579" s="11"/>
      <c r="O27579" s="11"/>
      <c r="P27579" s="11"/>
    </row>
    <row r="27580" spans="8:16" x14ac:dyDescent="0.25">
      <c r="H27580" s="12"/>
      <c r="I27580" s="12"/>
      <c r="J27580" s="12"/>
      <c r="K27580" s="12"/>
      <c r="L27580" s="12"/>
      <c r="M27580" s="11"/>
      <c r="N27580" s="11"/>
      <c r="O27580" s="11"/>
      <c r="P27580" s="11"/>
    </row>
    <row r="27581" spans="8:16" x14ac:dyDescent="0.25">
      <c r="H27581" s="12"/>
      <c r="I27581" s="12"/>
      <c r="J27581" s="12"/>
      <c r="K27581" s="12"/>
      <c r="L27581" s="12"/>
      <c r="M27581" s="11"/>
      <c r="N27581" s="11"/>
      <c r="O27581" s="11"/>
      <c r="P27581" s="11"/>
    </row>
    <row r="27582" spans="8:16" x14ac:dyDescent="0.25">
      <c r="H27582" s="12"/>
      <c r="I27582" s="12"/>
      <c r="J27582" s="12"/>
      <c r="K27582" s="12"/>
      <c r="L27582" s="12"/>
      <c r="M27582" s="11"/>
      <c r="N27582" s="11"/>
      <c r="O27582" s="11"/>
      <c r="P27582" s="11"/>
    </row>
    <row r="27583" spans="8:16" x14ac:dyDescent="0.25">
      <c r="H27583" s="12"/>
      <c r="I27583" s="12"/>
      <c r="J27583" s="12"/>
      <c r="K27583" s="12"/>
      <c r="L27583" s="12"/>
      <c r="M27583" s="11"/>
      <c r="N27583" s="11"/>
      <c r="O27583" s="11"/>
      <c r="P27583" s="11"/>
    </row>
    <row r="27584" spans="8:16" x14ac:dyDescent="0.25">
      <c r="H27584" s="12"/>
      <c r="I27584" s="12"/>
      <c r="J27584" s="12"/>
      <c r="K27584" s="12"/>
      <c r="L27584" s="12"/>
      <c r="M27584" s="11"/>
      <c r="N27584" s="11"/>
      <c r="O27584" s="11"/>
      <c r="P27584" s="11"/>
    </row>
    <row r="27585" spans="8:16" x14ac:dyDescent="0.25">
      <c r="H27585" s="12"/>
      <c r="I27585" s="12"/>
      <c r="J27585" s="12"/>
      <c r="K27585" s="12"/>
      <c r="L27585" s="12"/>
      <c r="M27585" s="11"/>
      <c r="N27585" s="11"/>
      <c r="O27585" s="11"/>
      <c r="P27585" s="11"/>
    </row>
    <row r="27586" spans="8:16" x14ac:dyDescent="0.25">
      <c r="H27586" s="12"/>
      <c r="I27586" s="12"/>
      <c r="J27586" s="12"/>
      <c r="K27586" s="12"/>
      <c r="L27586" s="12"/>
      <c r="M27586" s="11"/>
      <c r="N27586" s="11"/>
      <c r="O27586" s="11"/>
      <c r="P27586" s="11"/>
    </row>
    <row r="27587" spans="8:16" x14ac:dyDescent="0.25">
      <c r="H27587" s="12"/>
      <c r="I27587" s="12"/>
      <c r="J27587" s="12"/>
      <c r="K27587" s="12"/>
      <c r="L27587" s="12"/>
      <c r="M27587" s="11"/>
      <c r="N27587" s="11"/>
      <c r="O27587" s="11"/>
      <c r="P27587" s="11"/>
    </row>
    <row r="27588" spans="8:16" x14ac:dyDescent="0.25">
      <c r="H27588" s="12"/>
      <c r="I27588" s="12"/>
      <c r="J27588" s="12"/>
      <c r="K27588" s="12"/>
      <c r="L27588" s="12"/>
      <c r="M27588" s="11"/>
      <c r="N27588" s="11"/>
      <c r="O27588" s="11"/>
      <c r="P27588" s="11"/>
    </row>
    <row r="27589" spans="8:16" x14ac:dyDescent="0.25">
      <c r="H27589" s="12"/>
      <c r="I27589" s="12"/>
      <c r="J27589" s="12"/>
      <c r="K27589" s="12"/>
      <c r="L27589" s="12"/>
      <c r="M27589" s="11"/>
      <c r="N27589" s="11"/>
      <c r="O27589" s="11"/>
      <c r="P27589" s="11"/>
    </row>
    <row r="27590" spans="8:16" x14ac:dyDescent="0.25">
      <c r="H27590" s="12"/>
      <c r="I27590" s="12"/>
      <c r="J27590" s="12"/>
      <c r="K27590" s="12"/>
      <c r="L27590" s="12"/>
      <c r="M27590" s="11"/>
      <c r="N27590" s="11"/>
      <c r="O27590" s="11"/>
      <c r="P27590" s="11"/>
    </row>
    <row r="27591" spans="8:16" x14ac:dyDescent="0.25">
      <c r="H27591" s="12"/>
      <c r="I27591" s="12"/>
      <c r="J27591" s="12"/>
      <c r="K27591" s="12"/>
      <c r="L27591" s="12"/>
      <c r="M27591" s="11"/>
      <c r="N27591" s="11"/>
      <c r="O27591" s="11"/>
      <c r="P27591" s="11"/>
    </row>
    <row r="27592" spans="8:16" x14ac:dyDescent="0.25">
      <c r="H27592" s="12"/>
      <c r="I27592" s="12"/>
      <c r="J27592" s="12"/>
      <c r="K27592" s="12"/>
      <c r="L27592" s="12"/>
      <c r="M27592" s="11"/>
      <c r="N27592" s="11"/>
      <c r="O27592" s="11"/>
      <c r="P27592" s="11"/>
    </row>
    <row r="27593" spans="8:16" x14ac:dyDescent="0.25">
      <c r="H27593" s="12"/>
      <c r="I27593" s="12"/>
      <c r="J27593" s="12"/>
      <c r="K27593" s="12"/>
      <c r="L27593" s="12"/>
      <c r="M27593" s="11"/>
      <c r="N27593" s="11"/>
      <c r="O27593" s="11"/>
      <c r="P27593" s="11"/>
    </row>
    <row r="27594" spans="8:16" x14ac:dyDescent="0.25">
      <c r="H27594" s="12"/>
      <c r="I27594" s="12"/>
      <c r="J27594" s="12"/>
      <c r="K27594" s="12"/>
      <c r="L27594" s="12"/>
      <c r="M27594" s="11"/>
      <c r="N27594" s="11"/>
      <c r="O27594" s="11"/>
      <c r="P27594" s="11"/>
    </row>
    <row r="27595" spans="8:16" x14ac:dyDescent="0.25">
      <c r="H27595" s="12"/>
      <c r="I27595" s="12"/>
      <c r="J27595" s="12"/>
      <c r="K27595" s="12"/>
      <c r="L27595" s="12"/>
      <c r="M27595" s="11"/>
      <c r="N27595" s="11"/>
      <c r="O27595" s="11"/>
      <c r="P27595" s="11"/>
    </row>
    <row r="27596" spans="8:16" x14ac:dyDescent="0.25">
      <c r="H27596" s="12"/>
      <c r="I27596" s="12"/>
      <c r="J27596" s="12"/>
      <c r="K27596" s="12"/>
      <c r="L27596" s="12"/>
      <c r="M27596" s="11"/>
      <c r="N27596" s="11"/>
      <c r="O27596" s="11"/>
      <c r="P27596" s="11"/>
    </row>
    <row r="27597" spans="8:16" x14ac:dyDescent="0.25">
      <c r="H27597" s="12"/>
      <c r="I27597" s="12"/>
      <c r="J27597" s="12"/>
      <c r="K27597" s="12"/>
      <c r="L27597" s="12"/>
      <c r="M27597" s="11"/>
      <c r="N27597" s="11"/>
      <c r="O27597" s="11"/>
      <c r="P27597" s="11"/>
    </row>
    <row r="27598" spans="8:16" x14ac:dyDescent="0.25">
      <c r="H27598" s="12"/>
      <c r="I27598" s="12"/>
      <c r="J27598" s="12"/>
      <c r="K27598" s="12"/>
      <c r="L27598" s="12"/>
      <c r="M27598" s="11"/>
      <c r="N27598" s="11"/>
      <c r="O27598" s="11"/>
      <c r="P27598" s="11"/>
    </row>
    <row r="27599" spans="8:16" x14ac:dyDescent="0.25">
      <c r="H27599" s="12"/>
      <c r="I27599" s="12"/>
      <c r="J27599" s="12"/>
      <c r="K27599" s="12"/>
      <c r="L27599" s="12"/>
      <c r="M27599" s="11"/>
      <c r="N27599" s="11"/>
      <c r="O27599" s="11"/>
      <c r="P27599" s="11"/>
    </row>
    <row r="27600" spans="8:16" x14ac:dyDescent="0.25">
      <c r="H27600" s="12"/>
      <c r="I27600" s="12"/>
      <c r="J27600" s="12"/>
      <c r="K27600" s="12"/>
      <c r="L27600" s="12"/>
      <c r="M27600" s="11"/>
      <c r="N27600" s="11"/>
      <c r="O27600" s="11"/>
      <c r="P27600" s="11"/>
    </row>
    <row r="27601" spans="8:16" x14ac:dyDescent="0.25">
      <c r="H27601" s="12"/>
      <c r="I27601" s="12"/>
      <c r="J27601" s="12"/>
      <c r="K27601" s="12"/>
      <c r="L27601" s="12"/>
      <c r="M27601" s="11"/>
      <c r="N27601" s="11"/>
      <c r="O27601" s="11"/>
      <c r="P27601" s="11"/>
    </row>
    <row r="27602" spans="8:16" x14ac:dyDescent="0.25">
      <c r="H27602" s="12"/>
      <c r="I27602" s="12"/>
      <c r="J27602" s="12"/>
      <c r="K27602" s="12"/>
      <c r="L27602" s="12"/>
      <c r="M27602" s="11"/>
      <c r="N27602" s="11"/>
      <c r="O27602" s="11"/>
      <c r="P27602" s="11"/>
    </row>
    <row r="27603" spans="8:16" x14ac:dyDescent="0.25">
      <c r="H27603" s="12"/>
      <c r="I27603" s="12"/>
      <c r="J27603" s="12"/>
      <c r="K27603" s="12"/>
      <c r="L27603" s="12"/>
      <c r="M27603" s="11"/>
      <c r="N27603" s="11"/>
      <c r="O27603" s="11"/>
      <c r="P27603" s="11"/>
    </row>
    <row r="27604" spans="8:16" x14ac:dyDescent="0.25">
      <c r="H27604" s="12"/>
      <c r="I27604" s="12"/>
      <c r="J27604" s="12"/>
      <c r="K27604" s="12"/>
      <c r="L27604" s="12"/>
      <c r="M27604" s="11"/>
      <c r="N27604" s="11"/>
      <c r="O27604" s="11"/>
      <c r="P27604" s="11"/>
    </row>
    <row r="27605" spans="8:16" x14ac:dyDescent="0.25">
      <c r="H27605" s="12"/>
      <c r="I27605" s="12"/>
      <c r="J27605" s="12"/>
      <c r="K27605" s="12"/>
      <c r="L27605" s="12"/>
      <c r="M27605" s="11"/>
      <c r="N27605" s="11"/>
      <c r="O27605" s="11"/>
      <c r="P27605" s="11"/>
    </row>
    <row r="27606" spans="8:16" x14ac:dyDescent="0.25">
      <c r="H27606" s="12"/>
      <c r="I27606" s="12"/>
      <c r="J27606" s="12"/>
      <c r="K27606" s="12"/>
      <c r="L27606" s="12"/>
      <c r="M27606" s="11"/>
      <c r="N27606" s="11"/>
      <c r="O27606" s="11"/>
      <c r="P27606" s="11"/>
    </row>
    <row r="27607" spans="8:16" x14ac:dyDescent="0.25">
      <c r="H27607" s="12"/>
      <c r="I27607" s="12"/>
      <c r="J27607" s="12"/>
      <c r="K27607" s="12"/>
      <c r="L27607" s="12"/>
      <c r="M27607" s="11"/>
      <c r="N27607" s="11"/>
      <c r="O27607" s="11"/>
      <c r="P27607" s="11"/>
    </row>
    <row r="27608" spans="8:16" x14ac:dyDescent="0.25">
      <c r="H27608" s="12"/>
      <c r="I27608" s="12"/>
      <c r="J27608" s="12"/>
      <c r="K27608" s="12"/>
      <c r="L27608" s="12"/>
      <c r="M27608" s="11"/>
      <c r="N27608" s="11"/>
      <c r="O27608" s="11"/>
      <c r="P27608" s="11"/>
    </row>
    <row r="27609" spans="8:16" x14ac:dyDescent="0.25">
      <c r="H27609" s="12"/>
      <c r="I27609" s="12"/>
      <c r="J27609" s="12"/>
      <c r="K27609" s="12"/>
      <c r="L27609" s="12"/>
      <c r="M27609" s="11"/>
      <c r="N27609" s="11"/>
      <c r="O27609" s="11"/>
      <c r="P27609" s="11"/>
    </row>
    <row r="27610" spans="8:16" x14ac:dyDescent="0.25">
      <c r="H27610" s="12"/>
      <c r="I27610" s="12"/>
      <c r="J27610" s="12"/>
      <c r="K27610" s="12"/>
      <c r="L27610" s="12"/>
      <c r="M27610" s="11"/>
      <c r="N27610" s="11"/>
      <c r="O27610" s="11"/>
      <c r="P27610" s="11"/>
    </row>
    <row r="27611" spans="8:16" x14ac:dyDescent="0.25">
      <c r="H27611" s="12"/>
      <c r="I27611" s="12"/>
      <c r="J27611" s="12"/>
      <c r="K27611" s="12"/>
      <c r="L27611" s="12"/>
      <c r="M27611" s="11"/>
      <c r="N27611" s="11"/>
      <c r="O27611" s="11"/>
      <c r="P27611" s="11"/>
    </row>
    <row r="27612" spans="8:16" x14ac:dyDescent="0.25">
      <c r="H27612" s="12"/>
      <c r="I27612" s="12"/>
      <c r="J27612" s="12"/>
      <c r="K27612" s="12"/>
      <c r="L27612" s="12"/>
      <c r="M27612" s="11"/>
      <c r="N27612" s="11"/>
      <c r="O27612" s="11"/>
      <c r="P27612" s="11"/>
    </row>
    <row r="27613" spans="8:16" x14ac:dyDescent="0.25">
      <c r="H27613" s="12"/>
      <c r="I27613" s="12"/>
      <c r="J27613" s="12"/>
      <c r="K27613" s="12"/>
      <c r="L27613" s="12"/>
      <c r="M27613" s="11"/>
      <c r="N27613" s="11"/>
      <c r="O27613" s="11"/>
      <c r="P27613" s="11"/>
    </row>
    <row r="27614" spans="8:16" x14ac:dyDescent="0.25">
      <c r="H27614" s="12"/>
      <c r="I27614" s="12"/>
      <c r="J27614" s="12"/>
      <c r="K27614" s="12"/>
      <c r="L27614" s="12"/>
      <c r="M27614" s="11"/>
      <c r="N27614" s="11"/>
      <c r="O27614" s="11"/>
      <c r="P27614" s="11"/>
    </row>
    <row r="27615" spans="8:16" x14ac:dyDescent="0.25">
      <c r="H27615" s="12"/>
      <c r="I27615" s="12"/>
      <c r="J27615" s="12"/>
      <c r="K27615" s="12"/>
      <c r="L27615" s="12"/>
      <c r="M27615" s="11"/>
      <c r="N27615" s="11"/>
      <c r="O27615" s="11"/>
      <c r="P27615" s="11"/>
    </row>
    <row r="27616" spans="8:16" x14ac:dyDescent="0.25">
      <c r="H27616" s="12"/>
      <c r="I27616" s="12"/>
      <c r="J27616" s="12"/>
      <c r="K27616" s="12"/>
      <c r="L27616" s="12"/>
      <c r="M27616" s="11"/>
      <c r="N27616" s="11"/>
      <c r="O27616" s="11"/>
      <c r="P27616" s="11"/>
    </row>
    <row r="27617" spans="8:16" x14ac:dyDescent="0.25">
      <c r="H27617" s="12"/>
      <c r="I27617" s="12"/>
      <c r="J27617" s="12"/>
      <c r="K27617" s="12"/>
      <c r="L27617" s="12"/>
      <c r="M27617" s="11"/>
      <c r="N27617" s="11"/>
      <c r="O27617" s="11"/>
      <c r="P27617" s="11"/>
    </row>
    <row r="27618" spans="8:16" x14ac:dyDescent="0.25">
      <c r="H27618" s="12"/>
      <c r="I27618" s="12"/>
      <c r="J27618" s="12"/>
      <c r="K27618" s="12"/>
      <c r="L27618" s="12"/>
      <c r="M27618" s="11"/>
      <c r="N27618" s="11"/>
      <c r="O27618" s="11"/>
      <c r="P27618" s="11"/>
    </row>
    <row r="27619" spans="8:16" x14ac:dyDescent="0.25">
      <c r="H27619" s="12"/>
      <c r="I27619" s="12"/>
      <c r="J27619" s="12"/>
      <c r="K27619" s="12"/>
      <c r="L27619" s="12"/>
      <c r="M27619" s="11"/>
      <c r="N27619" s="11"/>
      <c r="O27619" s="11"/>
      <c r="P27619" s="11"/>
    </row>
    <row r="27620" spans="8:16" x14ac:dyDescent="0.25">
      <c r="H27620" s="12"/>
      <c r="I27620" s="12"/>
      <c r="J27620" s="12"/>
      <c r="K27620" s="12"/>
      <c r="L27620" s="12"/>
      <c r="M27620" s="11"/>
      <c r="N27620" s="11"/>
      <c r="O27620" s="11"/>
      <c r="P27620" s="11"/>
    </row>
    <row r="27621" spans="8:16" x14ac:dyDescent="0.25">
      <c r="H27621" s="12"/>
      <c r="I27621" s="12"/>
      <c r="J27621" s="12"/>
      <c r="K27621" s="12"/>
      <c r="L27621" s="12"/>
      <c r="M27621" s="11"/>
      <c r="N27621" s="11"/>
      <c r="O27621" s="11"/>
      <c r="P27621" s="11"/>
    </row>
    <row r="27622" spans="8:16" x14ac:dyDescent="0.25">
      <c r="H27622" s="12"/>
      <c r="I27622" s="12"/>
      <c r="J27622" s="12"/>
      <c r="K27622" s="12"/>
      <c r="L27622" s="12"/>
      <c r="M27622" s="11"/>
      <c r="N27622" s="11"/>
      <c r="O27622" s="11"/>
      <c r="P27622" s="11"/>
    </row>
    <row r="27623" spans="8:16" x14ac:dyDescent="0.25">
      <c r="H27623" s="12"/>
      <c r="I27623" s="12"/>
      <c r="J27623" s="12"/>
      <c r="K27623" s="12"/>
      <c r="L27623" s="12"/>
      <c r="M27623" s="11"/>
      <c r="N27623" s="11"/>
      <c r="O27623" s="11"/>
      <c r="P27623" s="11"/>
    </row>
    <row r="27624" spans="8:16" x14ac:dyDescent="0.25">
      <c r="H27624" s="12"/>
      <c r="I27624" s="12"/>
      <c r="J27624" s="12"/>
      <c r="K27624" s="12"/>
      <c r="L27624" s="12"/>
      <c r="M27624" s="11"/>
      <c r="N27624" s="11"/>
      <c r="O27624" s="11"/>
      <c r="P27624" s="11"/>
    </row>
    <row r="27625" spans="8:16" x14ac:dyDescent="0.25">
      <c r="H27625" s="12"/>
      <c r="I27625" s="12"/>
      <c r="J27625" s="12"/>
      <c r="K27625" s="12"/>
      <c r="L27625" s="12"/>
      <c r="M27625" s="11"/>
      <c r="N27625" s="11"/>
      <c r="O27625" s="11"/>
      <c r="P27625" s="11"/>
    </row>
    <row r="27626" spans="8:16" x14ac:dyDescent="0.25">
      <c r="H27626" s="12"/>
      <c r="I27626" s="12"/>
      <c r="J27626" s="12"/>
      <c r="K27626" s="12"/>
      <c r="L27626" s="12"/>
      <c r="M27626" s="11"/>
      <c r="N27626" s="11"/>
      <c r="O27626" s="11"/>
      <c r="P27626" s="11"/>
    </row>
    <row r="27627" spans="8:16" x14ac:dyDescent="0.25">
      <c r="H27627" s="12"/>
      <c r="I27627" s="12"/>
      <c r="J27627" s="12"/>
      <c r="K27627" s="12"/>
      <c r="L27627" s="12"/>
      <c r="M27627" s="11"/>
      <c r="N27627" s="11"/>
      <c r="O27627" s="11"/>
      <c r="P27627" s="11"/>
    </row>
    <row r="27628" spans="8:16" x14ac:dyDescent="0.25">
      <c r="H27628" s="12"/>
      <c r="I27628" s="12"/>
      <c r="J27628" s="12"/>
      <c r="K27628" s="12"/>
      <c r="L27628" s="12"/>
      <c r="M27628" s="11"/>
      <c r="N27628" s="11"/>
      <c r="O27628" s="11"/>
      <c r="P27628" s="11"/>
    </row>
    <row r="27629" spans="8:16" x14ac:dyDescent="0.25">
      <c r="H27629" s="12"/>
      <c r="I27629" s="12"/>
      <c r="J27629" s="12"/>
      <c r="K27629" s="12"/>
      <c r="L27629" s="12"/>
      <c r="M27629" s="11"/>
      <c r="N27629" s="11"/>
      <c r="O27629" s="11"/>
      <c r="P27629" s="11"/>
    </row>
    <row r="27630" spans="8:16" x14ac:dyDescent="0.25">
      <c r="H27630" s="12"/>
      <c r="I27630" s="12"/>
      <c r="J27630" s="12"/>
      <c r="K27630" s="12"/>
      <c r="L27630" s="12"/>
      <c r="M27630" s="11"/>
      <c r="N27630" s="11"/>
      <c r="O27630" s="11"/>
      <c r="P27630" s="11"/>
    </row>
    <row r="27631" spans="8:16" x14ac:dyDescent="0.25">
      <c r="H27631" s="12"/>
      <c r="I27631" s="12"/>
      <c r="J27631" s="12"/>
      <c r="K27631" s="12"/>
      <c r="L27631" s="12"/>
      <c r="M27631" s="11"/>
      <c r="N27631" s="11"/>
      <c r="O27631" s="11"/>
      <c r="P27631" s="11"/>
    </row>
    <row r="27632" spans="8:16" x14ac:dyDescent="0.25">
      <c r="H27632" s="12"/>
      <c r="I27632" s="12"/>
      <c r="J27632" s="12"/>
      <c r="K27632" s="12"/>
      <c r="L27632" s="12"/>
      <c r="M27632" s="11"/>
      <c r="N27632" s="11"/>
      <c r="O27632" s="11"/>
      <c r="P27632" s="11"/>
    </row>
    <row r="27633" spans="8:16" x14ac:dyDescent="0.25">
      <c r="H27633" s="12"/>
      <c r="I27633" s="12"/>
      <c r="J27633" s="12"/>
      <c r="K27633" s="12"/>
      <c r="L27633" s="12"/>
      <c r="M27633" s="11"/>
      <c r="N27633" s="11"/>
      <c r="O27633" s="11"/>
      <c r="P27633" s="11"/>
    </row>
    <row r="27634" spans="8:16" x14ac:dyDescent="0.25">
      <c r="H27634" s="12"/>
      <c r="I27634" s="12"/>
      <c r="J27634" s="12"/>
      <c r="K27634" s="12"/>
      <c r="L27634" s="12"/>
      <c r="M27634" s="11"/>
      <c r="N27634" s="11"/>
      <c r="O27634" s="11"/>
      <c r="P27634" s="11"/>
    </row>
    <row r="27635" spans="8:16" x14ac:dyDescent="0.25">
      <c r="H27635" s="12"/>
      <c r="I27635" s="12"/>
      <c r="J27635" s="12"/>
      <c r="K27635" s="12"/>
      <c r="L27635" s="12"/>
      <c r="M27635" s="11"/>
      <c r="N27635" s="11"/>
      <c r="O27635" s="11"/>
      <c r="P27635" s="11"/>
    </row>
    <row r="27636" spans="8:16" x14ac:dyDescent="0.25">
      <c r="H27636" s="12"/>
      <c r="I27636" s="12"/>
      <c r="J27636" s="12"/>
      <c r="K27636" s="12"/>
      <c r="L27636" s="12"/>
      <c r="M27636" s="11"/>
      <c r="N27636" s="11"/>
      <c r="O27636" s="11"/>
      <c r="P27636" s="11"/>
    </row>
    <row r="27637" spans="8:16" x14ac:dyDescent="0.25">
      <c r="H27637" s="12"/>
      <c r="I27637" s="12"/>
      <c r="J27637" s="12"/>
      <c r="K27637" s="12"/>
      <c r="L27637" s="12"/>
      <c r="M27637" s="11"/>
      <c r="N27637" s="11"/>
      <c r="O27637" s="11"/>
      <c r="P27637" s="11"/>
    </row>
    <row r="27638" spans="8:16" x14ac:dyDescent="0.25">
      <c r="H27638" s="12"/>
      <c r="I27638" s="12"/>
      <c r="J27638" s="12"/>
      <c r="K27638" s="12"/>
      <c r="L27638" s="12"/>
      <c r="M27638" s="11"/>
      <c r="N27638" s="11"/>
      <c r="O27638" s="11"/>
      <c r="P27638" s="11"/>
    </row>
    <row r="27639" spans="8:16" x14ac:dyDescent="0.25">
      <c r="H27639" s="12"/>
      <c r="I27639" s="12"/>
      <c r="J27639" s="12"/>
      <c r="K27639" s="12"/>
      <c r="L27639" s="12"/>
      <c r="M27639" s="11"/>
      <c r="N27639" s="11"/>
      <c r="O27639" s="11"/>
      <c r="P27639" s="11"/>
    </row>
    <row r="27640" spans="8:16" x14ac:dyDescent="0.25">
      <c r="H27640" s="12"/>
      <c r="I27640" s="12"/>
      <c r="J27640" s="12"/>
      <c r="K27640" s="12"/>
      <c r="L27640" s="12"/>
      <c r="M27640" s="11"/>
      <c r="N27640" s="11"/>
      <c r="O27640" s="11"/>
      <c r="P27640" s="11"/>
    </row>
    <row r="27641" spans="8:16" x14ac:dyDescent="0.25">
      <c r="H27641" s="12"/>
      <c r="I27641" s="12"/>
      <c r="J27641" s="12"/>
      <c r="K27641" s="12"/>
      <c r="L27641" s="12"/>
      <c r="M27641" s="11"/>
      <c r="N27641" s="11"/>
      <c r="O27641" s="11"/>
      <c r="P27641" s="11"/>
    </row>
    <row r="27642" spans="8:16" x14ac:dyDescent="0.25">
      <c r="H27642" s="12"/>
      <c r="I27642" s="12"/>
      <c r="J27642" s="12"/>
      <c r="K27642" s="12"/>
      <c r="L27642" s="12"/>
      <c r="M27642" s="11"/>
      <c r="N27642" s="11"/>
      <c r="O27642" s="11"/>
      <c r="P27642" s="11"/>
    </row>
    <row r="27643" spans="8:16" x14ac:dyDescent="0.25">
      <c r="H27643" s="12"/>
      <c r="I27643" s="12"/>
      <c r="J27643" s="12"/>
      <c r="K27643" s="12"/>
      <c r="L27643" s="12"/>
      <c r="M27643" s="11"/>
      <c r="N27643" s="11"/>
      <c r="O27643" s="11"/>
      <c r="P27643" s="11"/>
    </row>
    <row r="27644" spans="8:16" x14ac:dyDescent="0.25">
      <c r="H27644" s="12"/>
      <c r="I27644" s="12"/>
      <c r="J27644" s="12"/>
      <c r="K27644" s="12"/>
      <c r="L27644" s="12"/>
      <c r="M27644" s="11"/>
      <c r="N27644" s="11"/>
      <c r="O27644" s="11"/>
      <c r="P27644" s="11"/>
    </row>
    <row r="27645" spans="8:16" x14ac:dyDescent="0.25">
      <c r="H27645" s="12"/>
      <c r="I27645" s="12"/>
      <c r="J27645" s="12"/>
      <c r="K27645" s="12"/>
      <c r="L27645" s="12"/>
      <c r="M27645" s="11"/>
      <c r="N27645" s="11"/>
      <c r="O27645" s="11"/>
      <c r="P27645" s="11"/>
    </row>
    <row r="27646" spans="8:16" x14ac:dyDescent="0.25">
      <c r="H27646" s="12"/>
      <c r="I27646" s="12"/>
      <c r="J27646" s="12"/>
      <c r="K27646" s="12"/>
      <c r="L27646" s="12"/>
      <c r="M27646" s="11"/>
      <c r="N27646" s="11"/>
      <c r="O27646" s="11"/>
      <c r="P27646" s="11"/>
    </row>
    <row r="27647" spans="8:16" x14ac:dyDescent="0.25">
      <c r="H27647" s="12"/>
      <c r="I27647" s="12"/>
      <c r="J27647" s="12"/>
      <c r="K27647" s="12"/>
      <c r="L27647" s="12"/>
      <c r="M27647" s="11"/>
      <c r="N27647" s="11"/>
      <c r="O27647" s="11"/>
      <c r="P27647" s="11"/>
    </row>
    <row r="27648" spans="8:16" x14ac:dyDescent="0.25">
      <c r="H27648" s="12"/>
      <c r="I27648" s="12"/>
      <c r="J27648" s="12"/>
      <c r="K27648" s="12"/>
      <c r="L27648" s="12"/>
      <c r="M27648" s="11"/>
      <c r="N27648" s="11"/>
      <c r="O27648" s="11"/>
      <c r="P27648" s="11"/>
    </row>
    <row r="27649" spans="8:16" x14ac:dyDescent="0.25">
      <c r="H27649" s="12"/>
      <c r="I27649" s="12"/>
      <c r="J27649" s="12"/>
      <c r="K27649" s="12"/>
      <c r="L27649" s="12"/>
      <c r="M27649" s="11"/>
      <c r="N27649" s="11"/>
      <c r="O27649" s="11"/>
      <c r="P27649" s="11"/>
    </row>
    <row r="27650" spans="8:16" x14ac:dyDescent="0.25">
      <c r="H27650" s="12"/>
      <c r="I27650" s="12"/>
      <c r="J27650" s="12"/>
      <c r="K27650" s="12"/>
      <c r="L27650" s="12"/>
      <c r="M27650" s="11"/>
      <c r="N27650" s="11"/>
      <c r="O27650" s="11"/>
      <c r="P27650" s="11"/>
    </row>
    <row r="27651" spans="8:16" x14ac:dyDescent="0.25">
      <c r="H27651" s="12"/>
      <c r="I27651" s="12"/>
      <c r="J27651" s="12"/>
      <c r="K27651" s="12"/>
      <c r="L27651" s="12"/>
      <c r="M27651" s="11"/>
      <c r="N27651" s="11"/>
      <c r="O27651" s="11"/>
      <c r="P27651" s="11"/>
    </row>
    <row r="27652" spans="8:16" x14ac:dyDescent="0.25">
      <c r="H27652" s="12"/>
      <c r="I27652" s="12"/>
      <c r="J27652" s="12"/>
      <c r="K27652" s="12"/>
      <c r="L27652" s="12"/>
      <c r="M27652" s="11"/>
      <c r="N27652" s="11"/>
      <c r="O27652" s="11"/>
      <c r="P27652" s="11"/>
    </row>
    <row r="27653" spans="8:16" x14ac:dyDescent="0.25">
      <c r="H27653" s="12"/>
      <c r="I27653" s="12"/>
      <c r="J27653" s="12"/>
      <c r="K27653" s="12"/>
      <c r="L27653" s="12"/>
      <c r="M27653" s="11"/>
      <c r="N27653" s="11"/>
      <c r="O27653" s="11"/>
      <c r="P27653" s="11"/>
    </row>
    <row r="27654" spans="8:16" x14ac:dyDescent="0.25">
      <c r="H27654" s="12"/>
      <c r="I27654" s="12"/>
      <c r="J27654" s="12"/>
      <c r="K27654" s="12"/>
      <c r="L27654" s="12"/>
      <c r="M27654" s="11"/>
      <c r="N27654" s="11"/>
      <c r="O27654" s="11"/>
      <c r="P27654" s="11"/>
    </row>
    <row r="27655" spans="8:16" x14ac:dyDescent="0.25">
      <c r="H27655" s="12"/>
      <c r="I27655" s="12"/>
      <c r="J27655" s="12"/>
      <c r="K27655" s="12"/>
      <c r="L27655" s="12"/>
      <c r="M27655" s="11"/>
      <c r="N27655" s="11"/>
      <c r="O27655" s="11"/>
      <c r="P27655" s="11"/>
    </row>
    <row r="27656" spans="8:16" x14ac:dyDescent="0.25">
      <c r="H27656" s="12"/>
      <c r="I27656" s="12"/>
      <c r="J27656" s="12"/>
      <c r="K27656" s="12"/>
      <c r="L27656" s="12"/>
      <c r="M27656" s="11"/>
      <c r="N27656" s="11"/>
      <c r="O27656" s="11"/>
      <c r="P27656" s="11"/>
    </row>
    <row r="27657" spans="8:16" x14ac:dyDescent="0.25">
      <c r="H27657" s="12"/>
      <c r="I27657" s="12"/>
      <c r="J27657" s="12"/>
      <c r="K27657" s="12"/>
      <c r="L27657" s="12"/>
      <c r="M27657" s="11"/>
      <c r="N27657" s="11"/>
      <c r="O27657" s="11"/>
      <c r="P27657" s="11"/>
    </row>
    <row r="27658" spans="8:16" x14ac:dyDescent="0.25">
      <c r="H27658" s="12"/>
      <c r="I27658" s="12"/>
      <c r="J27658" s="12"/>
      <c r="K27658" s="12"/>
      <c r="L27658" s="12"/>
      <c r="M27658" s="11"/>
      <c r="N27658" s="11"/>
      <c r="O27658" s="11"/>
      <c r="P27658" s="11"/>
    </row>
    <row r="27659" spans="8:16" x14ac:dyDescent="0.25">
      <c r="H27659" s="12"/>
      <c r="I27659" s="12"/>
      <c r="J27659" s="12"/>
      <c r="K27659" s="12"/>
      <c r="L27659" s="12"/>
      <c r="M27659" s="11"/>
      <c r="N27659" s="11"/>
      <c r="O27659" s="11"/>
      <c r="P27659" s="11"/>
    </row>
    <row r="27660" spans="8:16" x14ac:dyDescent="0.25">
      <c r="H27660" s="12"/>
      <c r="I27660" s="12"/>
      <c r="J27660" s="12"/>
      <c r="K27660" s="12"/>
      <c r="L27660" s="12"/>
      <c r="M27660" s="11"/>
      <c r="N27660" s="11"/>
      <c r="O27660" s="11"/>
      <c r="P27660" s="11"/>
    </row>
    <row r="27661" spans="8:16" x14ac:dyDescent="0.25">
      <c r="H27661" s="12"/>
      <c r="I27661" s="12"/>
      <c r="J27661" s="12"/>
      <c r="K27661" s="12"/>
      <c r="L27661" s="12"/>
      <c r="M27661" s="11"/>
      <c r="N27661" s="11"/>
      <c r="O27661" s="11"/>
      <c r="P27661" s="11"/>
    </row>
    <row r="27662" spans="8:16" x14ac:dyDescent="0.25">
      <c r="H27662" s="12"/>
      <c r="I27662" s="12"/>
      <c r="J27662" s="12"/>
      <c r="K27662" s="12"/>
      <c r="L27662" s="12"/>
      <c r="M27662" s="11"/>
      <c r="N27662" s="11"/>
      <c r="O27662" s="11"/>
      <c r="P27662" s="11"/>
    </row>
    <row r="27663" spans="8:16" x14ac:dyDescent="0.25">
      <c r="H27663" s="12"/>
      <c r="I27663" s="12"/>
      <c r="J27663" s="12"/>
      <c r="K27663" s="12"/>
      <c r="L27663" s="12"/>
      <c r="M27663" s="11"/>
      <c r="N27663" s="11"/>
      <c r="O27663" s="11"/>
      <c r="P27663" s="11"/>
    </row>
    <row r="27664" spans="8:16" x14ac:dyDescent="0.25">
      <c r="H27664" s="12"/>
      <c r="I27664" s="12"/>
      <c r="J27664" s="12"/>
      <c r="K27664" s="12"/>
      <c r="L27664" s="12"/>
      <c r="M27664" s="11"/>
      <c r="N27664" s="11"/>
      <c r="O27664" s="11"/>
      <c r="P27664" s="11"/>
    </row>
    <row r="27665" spans="8:16" x14ac:dyDescent="0.25">
      <c r="H27665" s="12"/>
      <c r="I27665" s="12"/>
      <c r="J27665" s="12"/>
      <c r="K27665" s="12"/>
      <c r="L27665" s="12"/>
      <c r="M27665" s="11"/>
      <c r="N27665" s="11"/>
      <c r="O27665" s="11"/>
      <c r="P27665" s="11"/>
    </row>
    <row r="27666" spans="8:16" x14ac:dyDescent="0.25">
      <c r="H27666" s="12"/>
      <c r="I27666" s="12"/>
      <c r="J27666" s="12"/>
      <c r="K27666" s="12"/>
      <c r="L27666" s="12"/>
      <c r="M27666" s="11"/>
      <c r="N27666" s="11"/>
      <c r="O27666" s="11"/>
      <c r="P27666" s="11"/>
    </row>
    <row r="27667" spans="8:16" x14ac:dyDescent="0.25">
      <c r="H27667" s="12"/>
      <c r="I27667" s="12"/>
      <c r="J27667" s="12"/>
      <c r="K27667" s="12"/>
      <c r="L27667" s="12"/>
      <c r="M27667" s="11"/>
      <c r="N27667" s="11"/>
      <c r="O27667" s="11"/>
      <c r="P27667" s="11"/>
    </row>
    <row r="27668" spans="8:16" x14ac:dyDescent="0.25">
      <c r="H27668" s="12"/>
      <c r="I27668" s="12"/>
      <c r="J27668" s="12"/>
      <c r="K27668" s="12"/>
      <c r="L27668" s="12"/>
      <c r="M27668" s="11"/>
      <c r="N27668" s="11"/>
      <c r="O27668" s="11"/>
      <c r="P27668" s="11"/>
    </row>
    <row r="27669" spans="8:16" x14ac:dyDescent="0.25">
      <c r="H27669" s="12"/>
      <c r="I27669" s="12"/>
      <c r="J27669" s="12"/>
      <c r="K27669" s="12"/>
      <c r="L27669" s="12"/>
      <c r="M27669" s="11"/>
      <c r="N27669" s="11"/>
      <c r="O27669" s="11"/>
      <c r="P27669" s="11"/>
    </row>
    <row r="27670" spans="8:16" x14ac:dyDescent="0.25">
      <c r="H27670" s="12"/>
      <c r="I27670" s="12"/>
      <c r="J27670" s="12"/>
      <c r="K27670" s="12"/>
      <c r="L27670" s="12"/>
      <c r="M27670" s="11"/>
      <c r="N27670" s="11"/>
      <c r="O27670" s="11"/>
      <c r="P27670" s="11"/>
    </row>
    <row r="27671" spans="8:16" x14ac:dyDescent="0.25">
      <c r="H27671" s="12"/>
      <c r="I27671" s="12"/>
      <c r="J27671" s="12"/>
      <c r="K27671" s="12"/>
      <c r="L27671" s="12"/>
      <c r="M27671" s="11"/>
      <c r="N27671" s="11"/>
      <c r="O27671" s="11"/>
      <c r="P27671" s="11"/>
    </row>
    <row r="27672" spans="8:16" x14ac:dyDescent="0.25">
      <c r="H27672" s="12"/>
      <c r="I27672" s="12"/>
      <c r="J27672" s="12"/>
      <c r="K27672" s="12"/>
      <c r="L27672" s="12"/>
      <c r="M27672" s="11"/>
      <c r="N27672" s="11"/>
      <c r="O27672" s="11"/>
      <c r="P27672" s="11"/>
    </row>
    <row r="27673" spans="8:16" x14ac:dyDescent="0.25">
      <c r="H27673" s="12"/>
      <c r="I27673" s="12"/>
      <c r="J27673" s="12"/>
      <c r="K27673" s="12"/>
      <c r="L27673" s="12"/>
      <c r="M27673" s="11"/>
      <c r="N27673" s="11"/>
      <c r="O27673" s="11"/>
      <c r="P27673" s="11"/>
    </row>
    <row r="27674" spans="8:16" x14ac:dyDescent="0.25">
      <c r="H27674" s="12"/>
      <c r="I27674" s="12"/>
      <c r="J27674" s="12"/>
      <c r="K27674" s="12"/>
      <c r="L27674" s="12"/>
      <c r="M27674" s="11"/>
      <c r="N27674" s="11"/>
      <c r="O27674" s="11"/>
      <c r="P27674" s="11"/>
    </row>
    <row r="27675" spans="8:16" x14ac:dyDescent="0.25">
      <c r="H27675" s="12"/>
      <c r="I27675" s="12"/>
      <c r="J27675" s="12"/>
      <c r="K27675" s="12"/>
      <c r="L27675" s="12"/>
      <c r="M27675" s="11"/>
      <c r="N27675" s="11"/>
      <c r="O27675" s="11"/>
      <c r="P27675" s="11"/>
    </row>
    <row r="27676" spans="8:16" x14ac:dyDescent="0.25">
      <c r="H27676" s="12"/>
      <c r="I27676" s="12"/>
      <c r="J27676" s="12"/>
      <c r="K27676" s="12"/>
      <c r="L27676" s="12"/>
      <c r="M27676" s="11"/>
      <c r="N27676" s="11"/>
      <c r="O27676" s="11"/>
      <c r="P27676" s="11"/>
    </row>
    <row r="27677" spans="8:16" x14ac:dyDescent="0.25">
      <c r="H27677" s="12"/>
      <c r="I27677" s="12"/>
      <c r="J27677" s="12"/>
      <c r="K27677" s="12"/>
      <c r="L27677" s="12"/>
      <c r="M27677" s="11"/>
      <c r="N27677" s="11"/>
      <c r="O27677" s="11"/>
      <c r="P27677" s="11"/>
    </row>
    <row r="27678" spans="8:16" x14ac:dyDescent="0.25">
      <c r="H27678" s="12"/>
      <c r="I27678" s="12"/>
      <c r="J27678" s="12"/>
      <c r="K27678" s="12"/>
      <c r="L27678" s="12"/>
      <c r="M27678" s="11"/>
      <c r="N27678" s="11"/>
      <c r="O27678" s="11"/>
      <c r="P27678" s="11"/>
    </row>
    <row r="27679" spans="8:16" x14ac:dyDescent="0.25">
      <c r="H27679" s="12"/>
      <c r="I27679" s="12"/>
      <c r="J27679" s="12"/>
      <c r="K27679" s="12"/>
      <c r="L27679" s="12"/>
      <c r="M27679" s="11"/>
      <c r="N27679" s="11"/>
      <c r="O27679" s="11"/>
      <c r="P27679" s="11"/>
    </row>
    <row r="27680" spans="8:16" x14ac:dyDescent="0.25">
      <c r="H27680" s="12"/>
      <c r="I27680" s="12"/>
      <c r="J27680" s="12"/>
      <c r="K27680" s="12"/>
      <c r="L27680" s="12"/>
      <c r="M27680" s="11"/>
      <c r="N27680" s="11"/>
      <c r="O27680" s="11"/>
      <c r="P27680" s="11"/>
    </row>
    <row r="27681" spans="8:16" x14ac:dyDescent="0.25">
      <c r="H27681" s="12"/>
      <c r="I27681" s="12"/>
      <c r="J27681" s="12"/>
      <c r="K27681" s="12"/>
      <c r="L27681" s="12"/>
      <c r="M27681" s="11"/>
      <c r="N27681" s="11"/>
      <c r="O27681" s="11"/>
      <c r="P27681" s="11"/>
    </row>
    <row r="27682" spans="8:16" x14ac:dyDescent="0.25">
      <c r="H27682" s="12"/>
      <c r="I27682" s="12"/>
      <c r="J27682" s="12"/>
      <c r="K27682" s="12"/>
      <c r="L27682" s="12"/>
      <c r="M27682" s="11"/>
      <c r="N27682" s="11"/>
      <c r="O27682" s="11"/>
      <c r="P27682" s="11"/>
    </row>
    <row r="27683" spans="8:16" x14ac:dyDescent="0.25">
      <c r="H27683" s="12"/>
      <c r="I27683" s="12"/>
      <c r="J27683" s="12"/>
      <c r="K27683" s="12"/>
      <c r="L27683" s="12"/>
      <c r="M27683" s="11"/>
      <c r="N27683" s="11"/>
      <c r="O27683" s="11"/>
      <c r="P27683" s="11"/>
    </row>
    <row r="27684" spans="8:16" x14ac:dyDescent="0.25">
      <c r="H27684" s="12"/>
      <c r="I27684" s="12"/>
      <c r="J27684" s="12"/>
      <c r="K27684" s="12"/>
      <c r="L27684" s="12"/>
      <c r="M27684" s="11"/>
      <c r="N27684" s="11"/>
      <c r="O27684" s="11"/>
      <c r="P27684" s="11"/>
    </row>
    <row r="27685" spans="8:16" x14ac:dyDescent="0.25">
      <c r="H27685" s="12"/>
      <c r="I27685" s="12"/>
      <c r="J27685" s="12"/>
      <c r="K27685" s="12"/>
      <c r="L27685" s="12"/>
      <c r="M27685" s="11"/>
      <c r="N27685" s="11"/>
      <c r="O27685" s="11"/>
      <c r="P27685" s="11"/>
    </row>
    <row r="27686" spans="8:16" x14ac:dyDescent="0.25">
      <c r="H27686" s="12"/>
      <c r="I27686" s="12"/>
      <c r="J27686" s="12"/>
      <c r="K27686" s="12"/>
      <c r="L27686" s="12"/>
      <c r="M27686" s="11"/>
      <c r="N27686" s="11"/>
      <c r="O27686" s="11"/>
      <c r="P27686" s="11"/>
    </row>
    <row r="27687" spans="8:16" x14ac:dyDescent="0.25">
      <c r="H27687" s="12"/>
      <c r="I27687" s="12"/>
      <c r="J27687" s="12"/>
      <c r="K27687" s="12"/>
      <c r="L27687" s="12"/>
      <c r="M27687" s="11"/>
      <c r="N27687" s="11"/>
      <c r="O27687" s="11"/>
      <c r="P27687" s="11"/>
    </row>
    <row r="27688" spans="8:16" x14ac:dyDescent="0.25">
      <c r="H27688" s="12"/>
      <c r="I27688" s="12"/>
      <c r="J27688" s="12"/>
      <c r="K27688" s="12"/>
      <c r="L27688" s="12"/>
      <c r="M27688" s="11"/>
      <c r="N27688" s="11"/>
      <c r="O27688" s="11"/>
      <c r="P27688" s="11"/>
    </row>
    <row r="27689" spans="8:16" x14ac:dyDescent="0.25">
      <c r="H27689" s="12"/>
      <c r="I27689" s="12"/>
      <c r="J27689" s="12"/>
      <c r="K27689" s="12"/>
      <c r="L27689" s="12"/>
      <c r="M27689" s="11"/>
      <c r="N27689" s="11"/>
      <c r="O27689" s="11"/>
      <c r="P27689" s="11"/>
    </row>
    <row r="27690" spans="8:16" x14ac:dyDescent="0.25">
      <c r="H27690" s="12"/>
      <c r="I27690" s="12"/>
      <c r="J27690" s="12"/>
      <c r="K27690" s="12"/>
      <c r="L27690" s="12"/>
      <c r="M27690" s="11"/>
      <c r="N27690" s="11"/>
      <c r="O27690" s="11"/>
      <c r="P27690" s="11"/>
    </row>
    <row r="27691" spans="8:16" x14ac:dyDescent="0.25">
      <c r="H27691" s="12"/>
      <c r="I27691" s="12"/>
      <c r="J27691" s="12"/>
      <c r="K27691" s="12"/>
      <c r="L27691" s="12"/>
      <c r="M27691" s="11"/>
      <c r="N27691" s="11"/>
      <c r="O27691" s="11"/>
      <c r="P27691" s="11"/>
    </row>
    <row r="27692" spans="8:16" x14ac:dyDescent="0.25">
      <c r="H27692" s="12"/>
      <c r="I27692" s="12"/>
      <c r="J27692" s="12"/>
      <c r="K27692" s="12"/>
      <c r="L27692" s="12"/>
      <c r="M27692" s="11"/>
      <c r="N27692" s="11"/>
      <c r="O27692" s="11"/>
      <c r="P27692" s="11"/>
    </row>
    <row r="27693" spans="8:16" x14ac:dyDescent="0.25">
      <c r="H27693" s="12"/>
      <c r="I27693" s="12"/>
      <c r="J27693" s="12"/>
      <c r="K27693" s="12"/>
      <c r="L27693" s="12"/>
      <c r="M27693" s="11"/>
      <c r="N27693" s="11"/>
      <c r="O27693" s="11"/>
      <c r="P27693" s="11"/>
    </row>
    <row r="27694" spans="8:16" x14ac:dyDescent="0.25">
      <c r="H27694" s="12"/>
      <c r="I27694" s="12"/>
      <c r="J27694" s="12"/>
      <c r="K27694" s="12"/>
      <c r="L27694" s="12"/>
      <c r="M27694" s="11"/>
      <c r="N27694" s="11"/>
      <c r="O27694" s="11"/>
      <c r="P27694" s="11"/>
    </row>
    <row r="27695" spans="8:16" x14ac:dyDescent="0.25">
      <c r="H27695" s="12"/>
      <c r="I27695" s="12"/>
      <c r="J27695" s="12"/>
      <c r="K27695" s="12"/>
      <c r="L27695" s="12"/>
      <c r="M27695" s="11"/>
      <c r="N27695" s="11"/>
      <c r="O27695" s="11"/>
      <c r="P27695" s="11"/>
    </row>
    <row r="27696" spans="8:16" x14ac:dyDescent="0.25">
      <c r="H27696" s="12"/>
      <c r="I27696" s="12"/>
      <c r="J27696" s="12"/>
      <c r="K27696" s="12"/>
      <c r="L27696" s="12"/>
      <c r="M27696" s="11"/>
      <c r="N27696" s="11"/>
      <c r="O27696" s="11"/>
      <c r="P27696" s="11"/>
    </row>
    <row r="27697" spans="8:16" x14ac:dyDescent="0.25">
      <c r="H27697" s="12"/>
      <c r="I27697" s="12"/>
      <c r="J27697" s="12"/>
      <c r="K27697" s="12"/>
      <c r="L27697" s="12"/>
      <c r="M27697" s="11"/>
      <c r="N27697" s="11"/>
      <c r="O27697" s="11"/>
      <c r="P27697" s="11"/>
    </row>
    <row r="27698" spans="8:16" x14ac:dyDescent="0.25">
      <c r="H27698" s="12"/>
      <c r="I27698" s="12"/>
      <c r="J27698" s="12"/>
      <c r="K27698" s="12"/>
      <c r="L27698" s="12"/>
      <c r="M27698" s="11"/>
      <c r="N27698" s="11"/>
      <c r="O27698" s="11"/>
      <c r="P27698" s="11"/>
    </row>
    <row r="27699" spans="8:16" x14ac:dyDescent="0.25">
      <c r="H27699" s="12"/>
      <c r="I27699" s="12"/>
      <c r="J27699" s="12"/>
      <c r="K27699" s="12"/>
      <c r="L27699" s="12"/>
      <c r="M27699" s="11"/>
      <c r="N27699" s="11"/>
      <c r="O27699" s="11"/>
      <c r="P27699" s="11"/>
    </row>
    <row r="27700" spans="8:16" x14ac:dyDescent="0.25">
      <c r="H27700" s="12"/>
      <c r="I27700" s="12"/>
      <c r="J27700" s="12"/>
      <c r="K27700" s="12"/>
      <c r="L27700" s="12"/>
      <c r="M27700" s="11"/>
      <c r="N27700" s="11"/>
      <c r="O27700" s="11"/>
      <c r="P27700" s="11"/>
    </row>
    <row r="27701" spans="8:16" x14ac:dyDescent="0.25">
      <c r="H27701" s="12"/>
      <c r="I27701" s="12"/>
      <c r="J27701" s="12"/>
      <c r="K27701" s="12"/>
      <c r="L27701" s="12"/>
      <c r="M27701" s="11"/>
      <c r="N27701" s="11"/>
      <c r="O27701" s="11"/>
      <c r="P27701" s="11"/>
    </row>
    <row r="27702" spans="8:16" x14ac:dyDescent="0.25">
      <c r="H27702" s="12"/>
      <c r="I27702" s="12"/>
      <c r="J27702" s="12"/>
      <c r="K27702" s="12"/>
      <c r="L27702" s="12"/>
      <c r="M27702" s="11"/>
      <c r="N27702" s="11"/>
      <c r="O27702" s="11"/>
      <c r="P27702" s="11"/>
    </row>
    <row r="27703" spans="8:16" x14ac:dyDescent="0.25">
      <c r="H27703" s="12"/>
      <c r="I27703" s="12"/>
      <c r="J27703" s="12"/>
      <c r="K27703" s="12"/>
      <c r="L27703" s="12"/>
      <c r="M27703" s="11"/>
      <c r="N27703" s="11"/>
      <c r="O27703" s="11"/>
      <c r="P27703" s="11"/>
    </row>
    <row r="27704" spans="8:16" x14ac:dyDescent="0.25">
      <c r="H27704" s="12"/>
      <c r="I27704" s="12"/>
      <c r="J27704" s="12"/>
      <c r="K27704" s="12"/>
      <c r="L27704" s="12"/>
      <c r="M27704" s="11"/>
      <c r="N27704" s="11"/>
      <c r="O27704" s="11"/>
      <c r="P27704" s="11"/>
    </row>
    <row r="27705" spans="8:16" x14ac:dyDescent="0.25">
      <c r="H27705" s="12"/>
      <c r="I27705" s="12"/>
      <c r="J27705" s="12"/>
      <c r="K27705" s="12"/>
      <c r="L27705" s="12"/>
      <c r="M27705" s="11"/>
      <c r="N27705" s="11"/>
      <c r="O27705" s="11"/>
      <c r="P27705" s="11"/>
    </row>
    <row r="27706" spans="8:16" x14ac:dyDescent="0.25">
      <c r="H27706" s="12"/>
      <c r="I27706" s="12"/>
      <c r="J27706" s="12"/>
      <c r="K27706" s="12"/>
      <c r="L27706" s="12"/>
      <c r="M27706" s="11"/>
      <c r="N27706" s="11"/>
      <c r="O27706" s="11"/>
      <c r="P27706" s="11"/>
    </row>
    <row r="27707" spans="8:16" x14ac:dyDescent="0.25">
      <c r="H27707" s="12"/>
      <c r="I27707" s="12"/>
      <c r="J27707" s="12"/>
      <c r="K27707" s="12"/>
      <c r="L27707" s="12"/>
      <c r="M27707" s="11"/>
      <c r="N27707" s="11"/>
      <c r="O27707" s="11"/>
      <c r="P27707" s="11"/>
    </row>
    <row r="27708" spans="8:16" x14ac:dyDescent="0.25">
      <c r="H27708" s="12"/>
      <c r="I27708" s="12"/>
      <c r="J27708" s="12"/>
      <c r="K27708" s="12"/>
      <c r="L27708" s="12"/>
      <c r="M27708" s="11"/>
      <c r="N27708" s="11"/>
      <c r="O27708" s="11"/>
      <c r="P27708" s="11"/>
    </row>
    <row r="27709" spans="8:16" x14ac:dyDescent="0.25">
      <c r="H27709" s="12"/>
      <c r="I27709" s="12"/>
      <c r="J27709" s="12"/>
      <c r="K27709" s="12"/>
      <c r="L27709" s="12"/>
      <c r="M27709" s="11"/>
      <c r="N27709" s="11"/>
      <c r="O27709" s="11"/>
      <c r="P27709" s="11"/>
    </row>
    <row r="27710" spans="8:16" x14ac:dyDescent="0.25">
      <c r="H27710" s="12"/>
      <c r="I27710" s="12"/>
      <c r="J27710" s="12"/>
      <c r="K27710" s="12"/>
      <c r="L27710" s="12"/>
      <c r="M27710" s="11"/>
      <c r="N27710" s="11"/>
      <c r="O27710" s="11"/>
      <c r="P27710" s="11"/>
    </row>
    <row r="27711" spans="8:16" x14ac:dyDescent="0.25">
      <c r="H27711" s="12"/>
      <c r="I27711" s="12"/>
      <c r="J27711" s="12"/>
      <c r="K27711" s="12"/>
      <c r="L27711" s="12"/>
      <c r="M27711" s="11"/>
      <c r="N27711" s="11"/>
      <c r="O27711" s="11"/>
      <c r="P27711" s="11"/>
    </row>
    <row r="27712" spans="8:16" x14ac:dyDescent="0.25">
      <c r="H27712" s="12"/>
      <c r="I27712" s="12"/>
      <c r="J27712" s="12"/>
      <c r="K27712" s="12"/>
      <c r="L27712" s="12"/>
      <c r="M27712" s="11"/>
      <c r="N27712" s="11"/>
      <c r="O27712" s="11"/>
      <c r="P27712" s="11"/>
    </row>
    <row r="27713" spans="8:16" x14ac:dyDescent="0.25">
      <c r="H27713" s="12"/>
      <c r="I27713" s="12"/>
      <c r="J27713" s="12"/>
      <c r="K27713" s="12"/>
      <c r="L27713" s="12"/>
      <c r="M27713" s="11"/>
      <c r="N27713" s="11"/>
      <c r="O27713" s="11"/>
      <c r="P27713" s="11"/>
    </row>
    <row r="27714" spans="8:16" x14ac:dyDescent="0.25">
      <c r="H27714" s="12"/>
      <c r="I27714" s="12"/>
      <c r="J27714" s="12"/>
      <c r="K27714" s="12"/>
      <c r="L27714" s="12"/>
      <c r="M27714" s="11"/>
      <c r="N27714" s="11"/>
      <c r="O27714" s="11"/>
      <c r="P27714" s="11"/>
    </row>
    <row r="27715" spans="8:16" x14ac:dyDescent="0.25">
      <c r="H27715" s="12"/>
      <c r="I27715" s="12"/>
      <c r="J27715" s="12"/>
      <c r="K27715" s="12"/>
      <c r="L27715" s="12"/>
      <c r="M27715" s="11"/>
      <c r="N27715" s="11"/>
      <c r="O27715" s="11"/>
      <c r="P27715" s="11"/>
    </row>
    <row r="27716" spans="8:16" x14ac:dyDescent="0.25">
      <c r="H27716" s="12"/>
      <c r="I27716" s="12"/>
      <c r="J27716" s="12"/>
      <c r="K27716" s="12"/>
      <c r="L27716" s="12"/>
      <c r="M27716" s="11"/>
      <c r="N27716" s="11"/>
      <c r="O27716" s="11"/>
      <c r="P27716" s="11"/>
    </row>
    <row r="27717" spans="8:16" x14ac:dyDescent="0.25">
      <c r="H27717" s="12"/>
      <c r="I27717" s="12"/>
      <c r="J27717" s="12"/>
      <c r="K27717" s="12"/>
      <c r="L27717" s="12"/>
      <c r="M27717" s="11"/>
      <c r="N27717" s="11"/>
      <c r="O27717" s="11"/>
      <c r="P27717" s="11"/>
    </row>
    <row r="27718" spans="8:16" x14ac:dyDescent="0.25">
      <c r="H27718" s="12"/>
      <c r="I27718" s="12"/>
      <c r="J27718" s="12"/>
      <c r="K27718" s="12"/>
      <c r="L27718" s="12"/>
      <c r="M27718" s="11"/>
      <c r="N27718" s="11"/>
      <c r="O27718" s="11"/>
      <c r="P27718" s="11"/>
    </row>
    <row r="27719" spans="8:16" x14ac:dyDescent="0.25">
      <c r="H27719" s="12"/>
      <c r="I27719" s="12"/>
      <c r="J27719" s="12"/>
      <c r="K27719" s="12"/>
      <c r="L27719" s="12"/>
      <c r="M27719" s="11"/>
      <c r="N27719" s="11"/>
      <c r="O27719" s="11"/>
      <c r="P27719" s="11"/>
    </row>
    <row r="27720" spans="8:16" x14ac:dyDescent="0.25">
      <c r="H27720" s="12"/>
      <c r="I27720" s="12"/>
      <c r="J27720" s="12"/>
      <c r="K27720" s="12"/>
      <c r="L27720" s="12"/>
      <c r="M27720" s="11"/>
      <c r="N27720" s="11"/>
      <c r="O27720" s="11"/>
      <c r="P27720" s="11"/>
    </row>
    <row r="27721" spans="8:16" x14ac:dyDescent="0.25">
      <c r="H27721" s="12"/>
      <c r="I27721" s="12"/>
      <c r="J27721" s="12"/>
      <c r="K27721" s="12"/>
      <c r="L27721" s="12"/>
      <c r="M27721" s="11"/>
      <c r="N27721" s="11"/>
      <c r="O27721" s="11"/>
      <c r="P27721" s="11"/>
    </row>
    <row r="27722" spans="8:16" x14ac:dyDescent="0.25">
      <c r="H27722" s="12"/>
      <c r="I27722" s="12"/>
      <c r="J27722" s="12"/>
      <c r="K27722" s="12"/>
      <c r="L27722" s="12"/>
      <c r="M27722" s="11"/>
      <c r="N27722" s="11"/>
      <c r="O27722" s="11"/>
      <c r="P27722" s="11"/>
    </row>
    <row r="27723" spans="8:16" x14ac:dyDescent="0.25">
      <c r="H27723" s="12"/>
      <c r="I27723" s="12"/>
      <c r="J27723" s="12"/>
      <c r="K27723" s="12"/>
      <c r="L27723" s="12"/>
      <c r="M27723" s="11"/>
      <c r="N27723" s="11"/>
      <c r="O27723" s="11"/>
      <c r="P27723" s="11"/>
    </row>
    <row r="27724" spans="8:16" x14ac:dyDescent="0.25">
      <c r="H27724" s="12"/>
      <c r="I27724" s="12"/>
      <c r="J27724" s="12"/>
      <c r="K27724" s="12"/>
      <c r="L27724" s="12"/>
      <c r="M27724" s="11"/>
      <c r="N27724" s="11"/>
      <c r="O27724" s="11"/>
      <c r="P27724" s="11"/>
    </row>
    <row r="27725" spans="8:16" x14ac:dyDescent="0.25">
      <c r="H27725" s="12"/>
      <c r="I27725" s="12"/>
      <c r="J27725" s="12"/>
      <c r="K27725" s="12"/>
      <c r="L27725" s="12"/>
      <c r="M27725" s="11"/>
      <c r="N27725" s="11"/>
      <c r="O27725" s="11"/>
      <c r="P27725" s="11"/>
    </row>
    <row r="27726" spans="8:16" x14ac:dyDescent="0.25">
      <c r="H27726" s="12"/>
      <c r="I27726" s="12"/>
      <c r="J27726" s="12"/>
      <c r="K27726" s="12"/>
      <c r="L27726" s="12"/>
      <c r="M27726" s="11"/>
      <c r="N27726" s="11"/>
      <c r="O27726" s="11"/>
      <c r="P27726" s="11"/>
    </row>
    <row r="27727" spans="8:16" x14ac:dyDescent="0.25">
      <c r="H27727" s="12"/>
      <c r="I27727" s="12"/>
      <c r="J27727" s="12"/>
      <c r="K27727" s="12"/>
      <c r="L27727" s="12"/>
      <c r="M27727" s="11"/>
      <c r="N27727" s="11"/>
      <c r="O27727" s="11"/>
      <c r="P27727" s="11"/>
    </row>
    <row r="27728" spans="8:16" x14ac:dyDescent="0.25">
      <c r="H27728" s="12"/>
      <c r="I27728" s="12"/>
      <c r="J27728" s="12"/>
      <c r="K27728" s="12"/>
      <c r="L27728" s="12"/>
      <c r="M27728" s="11"/>
      <c r="N27728" s="11"/>
      <c r="O27728" s="11"/>
      <c r="P27728" s="11"/>
    </row>
    <row r="27729" spans="8:16" x14ac:dyDescent="0.25">
      <c r="H27729" s="12"/>
      <c r="I27729" s="12"/>
      <c r="J27729" s="12"/>
      <c r="K27729" s="12"/>
      <c r="L27729" s="12"/>
      <c r="M27729" s="11"/>
      <c r="N27729" s="11"/>
      <c r="O27729" s="11"/>
      <c r="P27729" s="11"/>
    </row>
    <row r="27730" spans="8:16" x14ac:dyDescent="0.25">
      <c r="H27730" s="12"/>
      <c r="I27730" s="12"/>
      <c r="J27730" s="12"/>
      <c r="K27730" s="12"/>
      <c r="L27730" s="12"/>
      <c r="M27730" s="11"/>
      <c r="N27730" s="11"/>
      <c r="O27730" s="11"/>
      <c r="P27730" s="11"/>
    </row>
    <row r="27731" spans="8:16" x14ac:dyDescent="0.25">
      <c r="H27731" s="12"/>
      <c r="I27731" s="12"/>
      <c r="J27731" s="12"/>
      <c r="K27731" s="12"/>
      <c r="L27731" s="12"/>
      <c r="M27731" s="11"/>
      <c r="N27731" s="11"/>
      <c r="O27731" s="11"/>
      <c r="P27731" s="11"/>
    </row>
    <row r="27732" spans="8:16" x14ac:dyDescent="0.25">
      <c r="H27732" s="12"/>
      <c r="I27732" s="12"/>
      <c r="J27732" s="12"/>
      <c r="K27732" s="12"/>
      <c r="L27732" s="12"/>
      <c r="M27732" s="11"/>
      <c r="N27732" s="11"/>
      <c r="O27732" s="11"/>
      <c r="P27732" s="11"/>
    </row>
    <row r="27733" spans="8:16" x14ac:dyDescent="0.25">
      <c r="H27733" s="12"/>
      <c r="I27733" s="12"/>
      <c r="J27733" s="12"/>
      <c r="K27733" s="12"/>
      <c r="L27733" s="12"/>
      <c r="M27733" s="11"/>
      <c r="N27733" s="11"/>
      <c r="O27733" s="11"/>
      <c r="P27733" s="11"/>
    </row>
    <row r="27734" spans="8:16" x14ac:dyDescent="0.25">
      <c r="H27734" s="12"/>
      <c r="I27734" s="12"/>
      <c r="J27734" s="12"/>
      <c r="K27734" s="12"/>
      <c r="L27734" s="12"/>
      <c r="M27734" s="11"/>
      <c r="N27734" s="11"/>
      <c r="O27734" s="11"/>
      <c r="P27734" s="11"/>
    </row>
    <row r="27735" spans="8:16" x14ac:dyDescent="0.25">
      <c r="H27735" s="12"/>
      <c r="I27735" s="12"/>
      <c r="J27735" s="12"/>
      <c r="K27735" s="12"/>
      <c r="L27735" s="12"/>
      <c r="M27735" s="11"/>
      <c r="N27735" s="11"/>
      <c r="O27735" s="11"/>
      <c r="P27735" s="11"/>
    </row>
    <row r="27736" spans="8:16" x14ac:dyDescent="0.25">
      <c r="H27736" s="12"/>
      <c r="I27736" s="12"/>
      <c r="J27736" s="12"/>
      <c r="K27736" s="12"/>
      <c r="L27736" s="12"/>
      <c r="M27736" s="11"/>
      <c r="N27736" s="11"/>
      <c r="O27736" s="11"/>
      <c r="P27736" s="11"/>
    </row>
    <row r="27737" spans="8:16" x14ac:dyDescent="0.25">
      <c r="H27737" s="12"/>
      <c r="I27737" s="12"/>
      <c r="J27737" s="12"/>
      <c r="K27737" s="12"/>
      <c r="L27737" s="12"/>
      <c r="M27737" s="11"/>
      <c r="N27737" s="11"/>
      <c r="O27737" s="11"/>
      <c r="P27737" s="11"/>
    </row>
    <row r="27738" spans="8:16" x14ac:dyDescent="0.25">
      <c r="H27738" s="12"/>
      <c r="I27738" s="12"/>
      <c r="J27738" s="12"/>
      <c r="K27738" s="12"/>
      <c r="L27738" s="12"/>
      <c r="M27738" s="11"/>
      <c r="N27738" s="11"/>
      <c r="O27738" s="11"/>
      <c r="P27738" s="11"/>
    </row>
    <row r="27739" spans="8:16" x14ac:dyDescent="0.25">
      <c r="H27739" s="12"/>
      <c r="I27739" s="12"/>
      <c r="J27739" s="12"/>
      <c r="K27739" s="12"/>
      <c r="L27739" s="12"/>
      <c r="M27739" s="11"/>
      <c r="N27739" s="11"/>
      <c r="O27739" s="11"/>
      <c r="P27739" s="11"/>
    </row>
    <row r="27740" spans="8:16" x14ac:dyDescent="0.25">
      <c r="H27740" s="12"/>
      <c r="I27740" s="12"/>
      <c r="J27740" s="12"/>
      <c r="K27740" s="12"/>
      <c r="L27740" s="12"/>
      <c r="M27740" s="11"/>
      <c r="N27740" s="11"/>
      <c r="O27740" s="11"/>
      <c r="P27740" s="11"/>
    </row>
    <row r="27741" spans="8:16" x14ac:dyDescent="0.25">
      <c r="H27741" s="12"/>
      <c r="I27741" s="12"/>
      <c r="J27741" s="12"/>
      <c r="K27741" s="12"/>
      <c r="L27741" s="12"/>
      <c r="M27741" s="11"/>
      <c r="N27741" s="11"/>
      <c r="O27741" s="11"/>
      <c r="P27741" s="11"/>
    </row>
    <row r="27742" spans="8:16" x14ac:dyDescent="0.25">
      <c r="H27742" s="12"/>
      <c r="I27742" s="12"/>
      <c r="J27742" s="12"/>
      <c r="K27742" s="12"/>
      <c r="L27742" s="12"/>
      <c r="M27742" s="11"/>
      <c r="N27742" s="11"/>
      <c r="O27742" s="11"/>
      <c r="P27742" s="11"/>
    </row>
    <row r="27743" spans="8:16" x14ac:dyDescent="0.25">
      <c r="H27743" s="12"/>
      <c r="I27743" s="12"/>
      <c r="J27743" s="12"/>
      <c r="K27743" s="12"/>
      <c r="L27743" s="12"/>
      <c r="M27743" s="11"/>
      <c r="N27743" s="11"/>
      <c r="O27743" s="11"/>
      <c r="P27743" s="11"/>
    </row>
    <row r="27744" spans="8:16" x14ac:dyDescent="0.25">
      <c r="H27744" s="12"/>
      <c r="I27744" s="12"/>
      <c r="J27744" s="12"/>
      <c r="K27744" s="12"/>
      <c r="L27744" s="12"/>
      <c r="M27744" s="11"/>
      <c r="N27744" s="11"/>
      <c r="O27744" s="11"/>
      <c r="P27744" s="11"/>
    </row>
    <row r="27745" spans="8:16" x14ac:dyDescent="0.25">
      <c r="H27745" s="12"/>
      <c r="I27745" s="12"/>
      <c r="J27745" s="12"/>
      <c r="K27745" s="12"/>
      <c r="L27745" s="12"/>
      <c r="M27745" s="11"/>
      <c r="N27745" s="11"/>
      <c r="O27745" s="11"/>
      <c r="P27745" s="11"/>
    </row>
    <row r="27746" spans="8:16" x14ac:dyDescent="0.25">
      <c r="H27746" s="12"/>
      <c r="I27746" s="12"/>
      <c r="J27746" s="12"/>
      <c r="K27746" s="12"/>
      <c r="L27746" s="12"/>
      <c r="M27746" s="11"/>
      <c r="N27746" s="11"/>
      <c r="O27746" s="11"/>
      <c r="P27746" s="11"/>
    </row>
    <row r="27747" spans="8:16" x14ac:dyDescent="0.25">
      <c r="H27747" s="12"/>
      <c r="I27747" s="12"/>
      <c r="J27747" s="12"/>
      <c r="K27747" s="12"/>
      <c r="L27747" s="12"/>
      <c r="M27747" s="11"/>
      <c r="N27747" s="11"/>
      <c r="O27747" s="11"/>
      <c r="P27747" s="11"/>
    </row>
    <row r="27748" spans="8:16" x14ac:dyDescent="0.25">
      <c r="H27748" s="12"/>
      <c r="I27748" s="12"/>
      <c r="J27748" s="12"/>
      <c r="K27748" s="12"/>
      <c r="L27748" s="12"/>
      <c r="M27748" s="11"/>
      <c r="N27748" s="11"/>
      <c r="O27748" s="11"/>
      <c r="P27748" s="11"/>
    </row>
    <row r="27749" spans="8:16" x14ac:dyDescent="0.25">
      <c r="H27749" s="12"/>
      <c r="I27749" s="12"/>
      <c r="J27749" s="12"/>
      <c r="K27749" s="12"/>
      <c r="L27749" s="12"/>
      <c r="M27749" s="11"/>
      <c r="N27749" s="11"/>
      <c r="O27749" s="11"/>
      <c r="P27749" s="11"/>
    </row>
    <row r="27750" spans="8:16" x14ac:dyDescent="0.25">
      <c r="H27750" s="12"/>
      <c r="I27750" s="12"/>
      <c r="J27750" s="12"/>
      <c r="K27750" s="12"/>
      <c r="L27750" s="12"/>
      <c r="M27750" s="11"/>
      <c r="N27750" s="11"/>
      <c r="O27750" s="11"/>
      <c r="P27750" s="11"/>
    </row>
    <row r="27751" spans="8:16" x14ac:dyDescent="0.25">
      <c r="H27751" s="12"/>
      <c r="I27751" s="12"/>
      <c r="J27751" s="12"/>
      <c r="K27751" s="12"/>
      <c r="L27751" s="12"/>
      <c r="M27751" s="11"/>
      <c r="N27751" s="11"/>
      <c r="O27751" s="11"/>
      <c r="P27751" s="11"/>
    </row>
    <row r="27752" spans="8:16" x14ac:dyDescent="0.25">
      <c r="H27752" s="12"/>
      <c r="I27752" s="12"/>
      <c r="J27752" s="12"/>
      <c r="K27752" s="12"/>
      <c r="L27752" s="12"/>
      <c r="M27752" s="11"/>
      <c r="N27752" s="11"/>
      <c r="O27752" s="11"/>
      <c r="P27752" s="11"/>
    </row>
    <row r="27753" spans="8:16" x14ac:dyDescent="0.25">
      <c r="H27753" s="12"/>
      <c r="I27753" s="12"/>
      <c r="J27753" s="12"/>
      <c r="K27753" s="12"/>
      <c r="L27753" s="12"/>
      <c r="M27753" s="11"/>
      <c r="N27753" s="11"/>
      <c r="O27753" s="11"/>
      <c r="P27753" s="11"/>
    </row>
    <row r="27754" spans="8:16" x14ac:dyDescent="0.25">
      <c r="H27754" s="12"/>
      <c r="I27754" s="12"/>
      <c r="J27754" s="12"/>
      <c r="K27754" s="12"/>
      <c r="L27754" s="12"/>
      <c r="M27754" s="11"/>
      <c r="N27754" s="11"/>
      <c r="O27754" s="11"/>
      <c r="P27754" s="11"/>
    </row>
    <row r="27755" spans="8:16" x14ac:dyDescent="0.25">
      <c r="H27755" s="12"/>
      <c r="I27755" s="12"/>
      <c r="J27755" s="12"/>
      <c r="K27755" s="12"/>
      <c r="L27755" s="12"/>
      <c r="M27755" s="11"/>
      <c r="N27755" s="11"/>
      <c r="O27755" s="11"/>
      <c r="P27755" s="11"/>
    </row>
    <row r="27756" spans="8:16" x14ac:dyDescent="0.25">
      <c r="H27756" s="12"/>
      <c r="I27756" s="12"/>
      <c r="J27756" s="12"/>
      <c r="K27756" s="12"/>
      <c r="L27756" s="12"/>
      <c r="M27756" s="11"/>
      <c r="N27756" s="11"/>
      <c r="O27756" s="11"/>
      <c r="P27756" s="11"/>
    </row>
    <row r="27757" spans="8:16" x14ac:dyDescent="0.25">
      <c r="H27757" s="12"/>
      <c r="I27757" s="12"/>
      <c r="J27757" s="12"/>
      <c r="K27757" s="12"/>
      <c r="L27757" s="12"/>
      <c r="M27757" s="11"/>
      <c r="N27757" s="11"/>
      <c r="O27757" s="11"/>
      <c r="P27757" s="11"/>
    </row>
    <row r="27758" spans="8:16" x14ac:dyDescent="0.25">
      <c r="H27758" s="12"/>
      <c r="I27758" s="12"/>
      <c r="J27758" s="12"/>
      <c r="K27758" s="12"/>
      <c r="L27758" s="12"/>
      <c r="M27758" s="11"/>
      <c r="N27758" s="11"/>
      <c r="O27758" s="11"/>
      <c r="P27758" s="11"/>
    </row>
    <row r="27759" spans="8:16" x14ac:dyDescent="0.25">
      <c r="H27759" s="12"/>
      <c r="I27759" s="12"/>
      <c r="J27759" s="12"/>
      <c r="K27759" s="12"/>
      <c r="L27759" s="12"/>
      <c r="M27759" s="11"/>
      <c r="N27759" s="11"/>
      <c r="O27759" s="11"/>
      <c r="P27759" s="11"/>
    </row>
    <row r="27760" spans="8:16" x14ac:dyDescent="0.25">
      <c r="H27760" s="12"/>
      <c r="I27760" s="12"/>
      <c r="J27760" s="12"/>
      <c r="K27760" s="12"/>
      <c r="L27760" s="12"/>
      <c r="M27760" s="11"/>
      <c r="N27760" s="11"/>
      <c r="O27760" s="11"/>
      <c r="P27760" s="11"/>
    </row>
    <row r="27761" spans="8:16" x14ac:dyDescent="0.25">
      <c r="H27761" s="12"/>
      <c r="I27761" s="12"/>
      <c r="J27761" s="12"/>
      <c r="K27761" s="12"/>
      <c r="L27761" s="12"/>
      <c r="M27761" s="11"/>
      <c r="N27761" s="11"/>
      <c r="O27761" s="11"/>
      <c r="P27761" s="11"/>
    </row>
    <row r="27762" spans="8:16" x14ac:dyDescent="0.25">
      <c r="H27762" s="12"/>
      <c r="I27762" s="12"/>
      <c r="J27762" s="12"/>
      <c r="K27762" s="12"/>
      <c r="L27762" s="12"/>
      <c r="M27762" s="11"/>
      <c r="N27762" s="11"/>
      <c r="O27762" s="11"/>
      <c r="P27762" s="11"/>
    </row>
    <row r="27763" spans="8:16" x14ac:dyDescent="0.25">
      <c r="H27763" s="12"/>
      <c r="I27763" s="12"/>
      <c r="J27763" s="12"/>
      <c r="K27763" s="12"/>
      <c r="L27763" s="12"/>
      <c r="M27763" s="11"/>
      <c r="N27763" s="11"/>
      <c r="O27763" s="11"/>
      <c r="P27763" s="11"/>
    </row>
    <row r="27764" spans="8:16" x14ac:dyDescent="0.25">
      <c r="H27764" s="12"/>
      <c r="I27764" s="12"/>
      <c r="J27764" s="12"/>
      <c r="K27764" s="12"/>
      <c r="L27764" s="12"/>
      <c r="M27764" s="11"/>
      <c r="N27764" s="11"/>
      <c r="O27764" s="11"/>
      <c r="P27764" s="11"/>
    </row>
    <row r="27765" spans="8:16" x14ac:dyDescent="0.25">
      <c r="H27765" s="12"/>
      <c r="I27765" s="12"/>
      <c r="J27765" s="12"/>
      <c r="K27765" s="12"/>
      <c r="L27765" s="12"/>
      <c r="M27765" s="11"/>
      <c r="N27765" s="11"/>
      <c r="O27765" s="11"/>
      <c r="P27765" s="11"/>
    </row>
    <row r="27766" spans="8:16" x14ac:dyDescent="0.25">
      <c r="H27766" s="12"/>
      <c r="I27766" s="12"/>
      <c r="J27766" s="12"/>
      <c r="K27766" s="12"/>
      <c r="L27766" s="12"/>
      <c r="M27766" s="11"/>
      <c r="N27766" s="11"/>
      <c r="O27766" s="11"/>
      <c r="P27766" s="11"/>
    </row>
    <row r="27767" spans="8:16" x14ac:dyDescent="0.25">
      <c r="H27767" s="12"/>
      <c r="I27767" s="12"/>
      <c r="J27767" s="12"/>
      <c r="K27767" s="12"/>
      <c r="L27767" s="12"/>
      <c r="M27767" s="11"/>
      <c r="N27767" s="11"/>
      <c r="O27767" s="11"/>
      <c r="P27767" s="11"/>
    </row>
    <row r="27768" spans="8:16" x14ac:dyDescent="0.25">
      <c r="H27768" s="12"/>
      <c r="I27768" s="12"/>
      <c r="J27768" s="12"/>
      <c r="K27768" s="12"/>
      <c r="L27768" s="12"/>
      <c r="M27768" s="11"/>
      <c r="N27768" s="11"/>
      <c r="O27768" s="11"/>
      <c r="P27768" s="11"/>
    </row>
    <row r="27769" spans="8:16" x14ac:dyDescent="0.25">
      <c r="H27769" s="12"/>
      <c r="I27769" s="12"/>
      <c r="J27769" s="12"/>
      <c r="K27769" s="12"/>
      <c r="L27769" s="12"/>
      <c r="M27769" s="11"/>
      <c r="N27769" s="11"/>
      <c r="O27769" s="11"/>
      <c r="P27769" s="11"/>
    </row>
    <row r="27770" spans="8:16" x14ac:dyDescent="0.25">
      <c r="H27770" s="12"/>
      <c r="I27770" s="12"/>
      <c r="J27770" s="12"/>
      <c r="K27770" s="12"/>
      <c r="L27770" s="12"/>
      <c r="M27770" s="11"/>
      <c r="N27770" s="11"/>
      <c r="O27770" s="11"/>
      <c r="P27770" s="11"/>
    </row>
    <row r="27771" spans="8:16" x14ac:dyDescent="0.25">
      <c r="H27771" s="12"/>
      <c r="I27771" s="12"/>
      <c r="J27771" s="12"/>
      <c r="K27771" s="12"/>
      <c r="L27771" s="12"/>
      <c r="M27771" s="11"/>
      <c r="N27771" s="11"/>
      <c r="O27771" s="11"/>
      <c r="P27771" s="11"/>
    </row>
    <row r="27772" spans="8:16" x14ac:dyDescent="0.25">
      <c r="H27772" s="12"/>
      <c r="I27772" s="12"/>
      <c r="J27772" s="12"/>
      <c r="K27772" s="12"/>
      <c r="L27772" s="12"/>
      <c r="M27772" s="11"/>
      <c r="N27772" s="11"/>
      <c r="O27772" s="11"/>
      <c r="P27772" s="11"/>
    </row>
    <row r="27773" spans="8:16" x14ac:dyDescent="0.25">
      <c r="H27773" s="12"/>
      <c r="I27773" s="12"/>
      <c r="J27773" s="12"/>
      <c r="K27773" s="12"/>
      <c r="L27773" s="12"/>
      <c r="M27773" s="11"/>
      <c r="N27773" s="11"/>
      <c r="O27773" s="11"/>
      <c r="P27773" s="11"/>
    </row>
    <row r="27774" spans="8:16" x14ac:dyDescent="0.25">
      <c r="H27774" s="12"/>
      <c r="I27774" s="12"/>
      <c r="J27774" s="12"/>
      <c r="K27774" s="12"/>
      <c r="L27774" s="12"/>
      <c r="M27774" s="11"/>
      <c r="N27774" s="11"/>
      <c r="O27774" s="11"/>
      <c r="P27774" s="11"/>
    </row>
    <row r="27775" spans="8:16" x14ac:dyDescent="0.25">
      <c r="H27775" s="12"/>
      <c r="I27775" s="12"/>
      <c r="J27775" s="12"/>
      <c r="K27775" s="12"/>
      <c r="L27775" s="12"/>
      <c r="M27775" s="11"/>
      <c r="N27775" s="11"/>
      <c r="O27775" s="11"/>
      <c r="P27775" s="11"/>
    </row>
    <row r="27776" spans="8:16" x14ac:dyDescent="0.25">
      <c r="H27776" s="12"/>
      <c r="I27776" s="12"/>
      <c r="J27776" s="12"/>
      <c r="K27776" s="12"/>
      <c r="L27776" s="12"/>
      <c r="M27776" s="11"/>
      <c r="N27776" s="11"/>
      <c r="O27776" s="11"/>
      <c r="P27776" s="11"/>
    </row>
    <row r="27777" spans="8:16" x14ac:dyDescent="0.25">
      <c r="H27777" s="12"/>
      <c r="I27777" s="12"/>
      <c r="J27777" s="12"/>
      <c r="K27777" s="12"/>
      <c r="L27777" s="12"/>
      <c r="M27777" s="11"/>
      <c r="N27777" s="11"/>
      <c r="O27777" s="11"/>
      <c r="P27777" s="11"/>
    </row>
    <row r="27778" spans="8:16" x14ac:dyDescent="0.25">
      <c r="H27778" s="12"/>
      <c r="I27778" s="12"/>
      <c r="J27778" s="12"/>
      <c r="K27778" s="12"/>
      <c r="L27778" s="12"/>
      <c r="M27778" s="11"/>
      <c r="N27778" s="11"/>
      <c r="O27778" s="11"/>
      <c r="P27778" s="11"/>
    </row>
    <row r="27779" spans="8:16" x14ac:dyDescent="0.25">
      <c r="H27779" s="12"/>
      <c r="I27779" s="12"/>
      <c r="J27779" s="12"/>
      <c r="K27779" s="12"/>
      <c r="L27779" s="12"/>
      <c r="M27779" s="11"/>
      <c r="N27779" s="11"/>
      <c r="O27779" s="11"/>
      <c r="P27779" s="11"/>
    </row>
    <row r="27780" spans="8:16" x14ac:dyDescent="0.25">
      <c r="H27780" s="12"/>
      <c r="I27780" s="12"/>
      <c r="J27780" s="12"/>
      <c r="K27780" s="12"/>
      <c r="L27780" s="12"/>
      <c r="M27780" s="11"/>
      <c r="N27780" s="11"/>
      <c r="O27780" s="11"/>
      <c r="P27780" s="11"/>
    </row>
    <row r="27781" spans="8:16" x14ac:dyDescent="0.25">
      <c r="H27781" s="12"/>
      <c r="I27781" s="12"/>
      <c r="J27781" s="12"/>
      <c r="K27781" s="12"/>
      <c r="L27781" s="12"/>
      <c r="M27781" s="11"/>
      <c r="N27781" s="11"/>
      <c r="O27781" s="11"/>
      <c r="P27781" s="11"/>
    </row>
    <row r="27782" spans="8:16" x14ac:dyDescent="0.25">
      <c r="H27782" s="12"/>
      <c r="I27782" s="12"/>
      <c r="J27782" s="12"/>
      <c r="K27782" s="12"/>
      <c r="L27782" s="12"/>
      <c r="M27782" s="11"/>
      <c r="N27782" s="11"/>
      <c r="O27782" s="11"/>
      <c r="P27782" s="11"/>
    </row>
    <row r="27783" spans="8:16" x14ac:dyDescent="0.25">
      <c r="H27783" s="12"/>
      <c r="I27783" s="12"/>
      <c r="J27783" s="12"/>
      <c r="K27783" s="12"/>
      <c r="L27783" s="12"/>
      <c r="M27783" s="11"/>
      <c r="N27783" s="11"/>
      <c r="O27783" s="11"/>
      <c r="P27783" s="11"/>
    </row>
    <row r="27784" spans="8:16" x14ac:dyDescent="0.25">
      <c r="H27784" s="12"/>
      <c r="I27784" s="12"/>
      <c r="J27784" s="12"/>
      <c r="K27784" s="12"/>
      <c r="L27784" s="12"/>
      <c r="M27784" s="11"/>
      <c r="N27784" s="11"/>
      <c r="O27784" s="11"/>
      <c r="P27784" s="11"/>
    </row>
    <row r="27785" spans="8:16" x14ac:dyDescent="0.25">
      <c r="H27785" s="12"/>
      <c r="I27785" s="12"/>
      <c r="J27785" s="12"/>
      <c r="K27785" s="12"/>
      <c r="L27785" s="12"/>
      <c r="M27785" s="11"/>
      <c r="N27785" s="11"/>
      <c r="O27785" s="11"/>
      <c r="P27785" s="11"/>
    </row>
    <row r="27786" spans="8:16" x14ac:dyDescent="0.25">
      <c r="H27786" s="12"/>
      <c r="I27786" s="12"/>
      <c r="J27786" s="12"/>
      <c r="K27786" s="12"/>
      <c r="L27786" s="12"/>
      <c r="M27786" s="11"/>
      <c r="N27786" s="11"/>
      <c r="O27786" s="11"/>
      <c r="P27786" s="11"/>
    </row>
    <row r="27787" spans="8:16" x14ac:dyDescent="0.25">
      <c r="H27787" s="12"/>
      <c r="I27787" s="12"/>
      <c r="J27787" s="12"/>
      <c r="K27787" s="12"/>
      <c r="L27787" s="12"/>
      <c r="M27787" s="11"/>
      <c r="N27787" s="11"/>
      <c r="O27787" s="11"/>
      <c r="P27787" s="11"/>
    </row>
    <row r="27788" spans="8:16" x14ac:dyDescent="0.25">
      <c r="H27788" s="12"/>
      <c r="I27788" s="12"/>
      <c r="J27788" s="12"/>
      <c r="K27788" s="12"/>
      <c r="L27788" s="12"/>
      <c r="M27788" s="11"/>
      <c r="N27788" s="11"/>
      <c r="O27788" s="11"/>
      <c r="P27788" s="11"/>
    </row>
    <row r="27789" spans="8:16" x14ac:dyDescent="0.25">
      <c r="H27789" s="12"/>
      <c r="I27789" s="12"/>
      <c r="J27789" s="12"/>
      <c r="K27789" s="12"/>
      <c r="L27789" s="12"/>
      <c r="M27789" s="11"/>
      <c r="N27789" s="11"/>
      <c r="O27789" s="11"/>
      <c r="P27789" s="11"/>
    </row>
    <row r="27790" spans="8:16" x14ac:dyDescent="0.25">
      <c r="H27790" s="12"/>
      <c r="I27790" s="12"/>
      <c r="J27790" s="12"/>
      <c r="K27790" s="12"/>
      <c r="L27790" s="12"/>
      <c r="M27790" s="11"/>
      <c r="N27790" s="11"/>
      <c r="O27790" s="11"/>
      <c r="P27790" s="11"/>
    </row>
    <row r="27791" spans="8:16" x14ac:dyDescent="0.25">
      <c r="H27791" s="12"/>
      <c r="I27791" s="12"/>
      <c r="J27791" s="12"/>
      <c r="K27791" s="12"/>
      <c r="L27791" s="12"/>
      <c r="M27791" s="11"/>
      <c r="N27791" s="11"/>
      <c r="O27791" s="11"/>
      <c r="P27791" s="11"/>
    </row>
    <row r="27792" spans="8:16" x14ac:dyDescent="0.25">
      <c r="H27792" s="12"/>
      <c r="I27792" s="12"/>
      <c r="J27792" s="12"/>
      <c r="K27792" s="12"/>
      <c r="L27792" s="12"/>
      <c r="M27792" s="11"/>
      <c r="N27792" s="11"/>
      <c r="O27792" s="11"/>
      <c r="P27792" s="11"/>
    </row>
    <row r="27793" spans="8:16" x14ac:dyDescent="0.25">
      <c r="H27793" s="12"/>
      <c r="I27793" s="12"/>
      <c r="J27793" s="12"/>
      <c r="K27793" s="12"/>
      <c r="L27793" s="12"/>
      <c r="M27793" s="11"/>
      <c r="N27793" s="11"/>
      <c r="O27793" s="11"/>
      <c r="P27793" s="11"/>
    </row>
    <row r="27794" spans="8:16" x14ac:dyDescent="0.25">
      <c r="H27794" s="12"/>
      <c r="I27794" s="12"/>
      <c r="J27794" s="12"/>
      <c r="K27794" s="12"/>
      <c r="L27794" s="12"/>
      <c r="M27794" s="11"/>
      <c r="N27794" s="11"/>
      <c r="O27794" s="11"/>
      <c r="P27794" s="11"/>
    </row>
    <row r="27795" spans="8:16" x14ac:dyDescent="0.25">
      <c r="H27795" s="12"/>
      <c r="I27795" s="12"/>
      <c r="J27795" s="12"/>
      <c r="K27795" s="12"/>
      <c r="L27795" s="12"/>
      <c r="M27795" s="11"/>
      <c r="N27795" s="11"/>
      <c r="O27795" s="11"/>
      <c r="P27795" s="11"/>
    </row>
    <row r="27796" spans="8:16" x14ac:dyDescent="0.25">
      <c r="H27796" s="12"/>
      <c r="I27796" s="12"/>
      <c r="J27796" s="12"/>
      <c r="K27796" s="12"/>
      <c r="L27796" s="12"/>
      <c r="M27796" s="11"/>
      <c r="N27796" s="11"/>
      <c r="O27796" s="11"/>
      <c r="P27796" s="11"/>
    </row>
    <row r="27797" spans="8:16" x14ac:dyDescent="0.25">
      <c r="H27797" s="12"/>
      <c r="I27797" s="12"/>
      <c r="J27797" s="12"/>
      <c r="K27797" s="12"/>
      <c r="L27797" s="12"/>
      <c r="M27797" s="11"/>
      <c r="N27797" s="11"/>
      <c r="O27797" s="11"/>
      <c r="P27797" s="11"/>
    </row>
    <row r="27798" spans="8:16" x14ac:dyDescent="0.25">
      <c r="H27798" s="12"/>
      <c r="I27798" s="12"/>
      <c r="J27798" s="12"/>
      <c r="K27798" s="12"/>
      <c r="L27798" s="12"/>
      <c r="M27798" s="11"/>
      <c r="N27798" s="11"/>
      <c r="O27798" s="11"/>
      <c r="P27798" s="11"/>
    </row>
    <row r="27799" spans="8:16" x14ac:dyDescent="0.25">
      <c r="H27799" s="12"/>
      <c r="I27799" s="12"/>
      <c r="J27799" s="12"/>
      <c r="K27799" s="12"/>
      <c r="L27799" s="12"/>
      <c r="M27799" s="11"/>
      <c r="N27799" s="11"/>
      <c r="O27799" s="11"/>
      <c r="P27799" s="11"/>
    </row>
    <row r="27800" spans="8:16" x14ac:dyDescent="0.25">
      <c r="H27800" s="12"/>
      <c r="I27800" s="12"/>
      <c r="J27800" s="12"/>
      <c r="K27800" s="12"/>
      <c r="L27800" s="12"/>
      <c r="M27800" s="11"/>
      <c r="N27800" s="11"/>
      <c r="O27800" s="11"/>
      <c r="P27800" s="11"/>
    </row>
    <row r="27801" spans="8:16" x14ac:dyDescent="0.25">
      <c r="H27801" s="12"/>
      <c r="I27801" s="12"/>
      <c r="J27801" s="12"/>
      <c r="K27801" s="12"/>
      <c r="L27801" s="12"/>
      <c r="M27801" s="11"/>
      <c r="N27801" s="11"/>
      <c r="O27801" s="11"/>
      <c r="P27801" s="11"/>
    </row>
    <row r="27802" spans="8:16" x14ac:dyDescent="0.25">
      <c r="H27802" s="12"/>
      <c r="I27802" s="12"/>
      <c r="J27802" s="12"/>
      <c r="K27802" s="12"/>
      <c r="L27802" s="12"/>
      <c r="M27802" s="11"/>
      <c r="N27802" s="11"/>
      <c r="O27802" s="11"/>
      <c r="P27802" s="11"/>
    </row>
    <row r="27803" spans="8:16" x14ac:dyDescent="0.25">
      <c r="H27803" s="12"/>
      <c r="I27803" s="12"/>
      <c r="J27803" s="12"/>
      <c r="K27803" s="12"/>
      <c r="L27803" s="12"/>
      <c r="M27803" s="11"/>
      <c r="N27803" s="11"/>
      <c r="O27803" s="11"/>
      <c r="P27803" s="11"/>
    </row>
    <row r="27804" spans="8:16" x14ac:dyDescent="0.25">
      <c r="H27804" s="12"/>
      <c r="I27804" s="12"/>
      <c r="J27804" s="12"/>
      <c r="K27804" s="12"/>
      <c r="L27804" s="12"/>
      <c r="M27804" s="11"/>
      <c r="N27804" s="11"/>
      <c r="O27804" s="11"/>
      <c r="P27804" s="11"/>
    </row>
    <row r="27805" spans="8:16" x14ac:dyDescent="0.25">
      <c r="H27805" s="12"/>
      <c r="I27805" s="12"/>
      <c r="J27805" s="12"/>
      <c r="K27805" s="12"/>
      <c r="L27805" s="12"/>
      <c r="M27805" s="11"/>
      <c r="N27805" s="11"/>
      <c r="O27805" s="11"/>
      <c r="P27805" s="11"/>
    </row>
    <row r="27806" spans="8:16" x14ac:dyDescent="0.25">
      <c r="H27806" s="12"/>
      <c r="I27806" s="12"/>
      <c r="J27806" s="12"/>
      <c r="K27806" s="12"/>
      <c r="L27806" s="12"/>
      <c r="M27806" s="11"/>
      <c r="N27806" s="11"/>
      <c r="O27806" s="11"/>
      <c r="P27806" s="11"/>
    </row>
    <row r="27807" spans="8:16" x14ac:dyDescent="0.25">
      <c r="H27807" s="12"/>
      <c r="I27807" s="12"/>
      <c r="J27807" s="12"/>
      <c r="K27807" s="12"/>
      <c r="L27807" s="12"/>
      <c r="M27807" s="11"/>
      <c r="N27807" s="11"/>
      <c r="O27807" s="11"/>
      <c r="P27807" s="11"/>
    </row>
    <row r="27808" spans="8:16" x14ac:dyDescent="0.25">
      <c r="H27808" s="12"/>
      <c r="I27808" s="12"/>
      <c r="J27808" s="12"/>
      <c r="K27808" s="12"/>
      <c r="L27808" s="12"/>
      <c r="M27808" s="11"/>
      <c r="N27808" s="11"/>
      <c r="O27808" s="11"/>
      <c r="P27808" s="11"/>
    </row>
    <row r="27809" spans="8:16" x14ac:dyDescent="0.25">
      <c r="H27809" s="12"/>
      <c r="I27809" s="12"/>
      <c r="J27809" s="12"/>
      <c r="K27809" s="12"/>
      <c r="L27809" s="12"/>
      <c r="M27809" s="11"/>
      <c r="N27809" s="11"/>
      <c r="O27809" s="11"/>
      <c r="P27809" s="11"/>
    </row>
    <row r="27810" spans="8:16" x14ac:dyDescent="0.25">
      <c r="H27810" s="12"/>
      <c r="I27810" s="12"/>
      <c r="J27810" s="12"/>
      <c r="K27810" s="12"/>
      <c r="L27810" s="12"/>
      <c r="M27810" s="11"/>
      <c r="N27810" s="11"/>
      <c r="O27810" s="11"/>
      <c r="P27810" s="11"/>
    </row>
    <row r="27811" spans="8:16" x14ac:dyDescent="0.25">
      <c r="H27811" s="12"/>
      <c r="I27811" s="12"/>
      <c r="J27811" s="12"/>
      <c r="K27811" s="12"/>
      <c r="L27811" s="12"/>
      <c r="M27811" s="11"/>
      <c r="N27811" s="11"/>
      <c r="O27811" s="11"/>
      <c r="P27811" s="11"/>
    </row>
    <row r="27812" spans="8:16" x14ac:dyDescent="0.25">
      <c r="H27812" s="12"/>
      <c r="I27812" s="12"/>
      <c r="J27812" s="12"/>
      <c r="K27812" s="12"/>
      <c r="L27812" s="12"/>
      <c r="M27812" s="11"/>
      <c r="N27812" s="11"/>
      <c r="O27812" s="11"/>
      <c r="P27812" s="11"/>
    </row>
    <row r="27813" spans="8:16" x14ac:dyDescent="0.25">
      <c r="H27813" s="12"/>
      <c r="I27813" s="12"/>
      <c r="J27813" s="12"/>
      <c r="K27813" s="12"/>
      <c r="L27813" s="12"/>
      <c r="M27813" s="11"/>
      <c r="N27813" s="11"/>
      <c r="O27813" s="11"/>
      <c r="P27813" s="11"/>
    </row>
    <row r="27814" spans="8:16" x14ac:dyDescent="0.25">
      <c r="H27814" s="12"/>
      <c r="I27814" s="12"/>
      <c r="J27814" s="12"/>
      <c r="K27814" s="12"/>
      <c r="L27814" s="12"/>
      <c r="M27814" s="11"/>
      <c r="N27814" s="11"/>
      <c r="O27814" s="11"/>
      <c r="P27814" s="11"/>
    </row>
    <row r="27815" spans="8:16" x14ac:dyDescent="0.25">
      <c r="H27815" s="12"/>
      <c r="I27815" s="12"/>
      <c r="J27815" s="12"/>
      <c r="K27815" s="12"/>
      <c r="L27815" s="12"/>
      <c r="M27815" s="11"/>
      <c r="N27815" s="11"/>
      <c r="O27815" s="11"/>
      <c r="P27815" s="11"/>
    </row>
    <row r="27816" spans="8:16" x14ac:dyDescent="0.25">
      <c r="H27816" s="12"/>
      <c r="I27816" s="12"/>
      <c r="J27816" s="12"/>
      <c r="K27816" s="12"/>
      <c r="L27816" s="12"/>
      <c r="M27816" s="11"/>
      <c r="N27816" s="11"/>
      <c r="O27816" s="11"/>
      <c r="P27816" s="11"/>
    </row>
    <row r="27817" spans="8:16" x14ac:dyDescent="0.25">
      <c r="H27817" s="12"/>
      <c r="I27817" s="12"/>
      <c r="J27817" s="12"/>
      <c r="K27817" s="12"/>
      <c r="L27817" s="12"/>
      <c r="M27817" s="11"/>
      <c r="N27817" s="11"/>
      <c r="O27817" s="11"/>
      <c r="P27817" s="11"/>
    </row>
    <row r="27818" spans="8:16" x14ac:dyDescent="0.25">
      <c r="H27818" s="12"/>
      <c r="I27818" s="12"/>
      <c r="J27818" s="12"/>
      <c r="K27818" s="12"/>
      <c r="L27818" s="12"/>
      <c r="M27818" s="11"/>
      <c r="N27818" s="11"/>
      <c r="O27818" s="11"/>
      <c r="P27818" s="11"/>
    </row>
    <row r="27819" spans="8:16" x14ac:dyDescent="0.25">
      <c r="H27819" s="12"/>
      <c r="I27819" s="12"/>
      <c r="J27819" s="12"/>
      <c r="K27819" s="12"/>
      <c r="L27819" s="12"/>
      <c r="M27819" s="11"/>
      <c r="N27819" s="11"/>
      <c r="O27819" s="11"/>
      <c r="P27819" s="11"/>
    </row>
    <row r="27820" spans="8:16" x14ac:dyDescent="0.25">
      <c r="H27820" s="12"/>
      <c r="I27820" s="12"/>
      <c r="J27820" s="12"/>
      <c r="K27820" s="12"/>
      <c r="L27820" s="12"/>
      <c r="M27820" s="11"/>
      <c r="N27820" s="11"/>
      <c r="O27820" s="11"/>
      <c r="P27820" s="11"/>
    </row>
    <row r="27821" spans="8:16" x14ac:dyDescent="0.25">
      <c r="H27821" s="12"/>
      <c r="I27821" s="12"/>
      <c r="J27821" s="12"/>
      <c r="K27821" s="12"/>
      <c r="L27821" s="12"/>
      <c r="M27821" s="11"/>
      <c r="N27821" s="11"/>
      <c r="O27821" s="11"/>
      <c r="P27821" s="11"/>
    </row>
    <row r="27822" spans="8:16" x14ac:dyDescent="0.25">
      <c r="H27822" s="12"/>
      <c r="I27822" s="12"/>
      <c r="J27822" s="12"/>
      <c r="K27822" s="12"/>
      <c r="L27822" s="12"/>
      <c r="M27822" s="11"/>
      <c r="N27822" s="11"/>
      <c r="O27822" s="11"/>
      <c r="P27822" s="11"/>
    </row>
    <row r="27823" spans="8:16" x14ac:dyDescent="0.25">
      <c r="H27823" s="12"/>
      <c r="I27823" s="12"/>
      <c r="J27823" s="12"/>
      <c r="K27823" s="12"/>
      <c r="L27823" s="12"/>
      <c r="M27823" s="11"/>
      <c r="N27823" s="11"/>
      <c r="O27823" s="11"/>
      <c r="P27823" s="11"/>
    </row>
    <row r="27824" spans="8:16" x14ac:dyDescent="0.25">
      <c r="H27824" s="12"/>
      <c r="I27824" s="12"/>
      <c r="J27824" s="12"/>
      <c r="K27824" s="12"/>
      <c r="L27824" s="12"/>
      <c r="M27824" s="11"/>
      <c r="N27824" s="11"/>
      <c r="O27824" s="11"/>
      <c r="P27824" s="11"/>
    </row>
    <row r="27825" spans="8:16" x14ac:dyDescent="0.25">
      <c r="H27825" s="12"/>
      <c r="I27825" s="12"/>
      <c r="J27825" s="12"/>
      <c r="K27825" s="12"/>
      <c r="L27825" s="12"/>
      <c r="M27825" s="11"/>
      <c r="N27825" s="11"/>
      <c r="O27825" s="11"/>
      <c r="P27825" s="11"/>
    </row>
    <row r="27826" spans="8:16" x14ac:dyDescent="0.25">
      <c r="H27826" s="12"/>
      <c r="I27826" s="12"/>
      <c r="J27826" s="12"/>
      <c r="K27826" s="12"/>
      <c r="L27826" s="12"/>
      <c r="M27826" s="11"/>
      <c r="N27826" s="11"/>
      <c r="O27826" s="11"/>
      <c r="P27826" s="11"/>
    </row>
    <row r="27827" spans="8:16" x14ac:dyDescent="0.25">
      <c r="H27827" s="12"/>
      <c r="I27827" s="12"/>
      <c r="J27827" s="12"/>
      <c r="K27827" s="12"/>
      <c r="L27827" s="12"/>
      <c r="M27827" s="11"/>
      <c r="N27827" s="11"/>
      <c r="O27827" s="11"/>
      <c r="P27827" s="11"/>
    </row>
    <row r="27828" spans="8:16" x14ac:dyDescent="0.25">
      <c r="H27828" s="12"/>
      <c r="I27828" s="12"/>
      <c r="J27828" s="12"/>
      <c r="K27828" s="12"/>
      <c r="L27828" s="12"/>
      <c r="M27828" s="11"/>
      <c r="N27828" s="11"/>
      <c r="O27828" s="11"/>
      <c r="P27828" s="11"/>
    </row>
    <row r="27829" spans="8:16" x14ac:dyDescent="0.25">
      <c r="H27829" s="12"/>
      <c r="I27829" s="12"/>
      <c r="J27829" s="12"/>
      <c r="K27829" s="12"/>
      <c r="L27829" s="12"/>
      <c r="M27829" s="11"/>
      <c r="N27829" s="11"/>
      <c r="O27829" s="11"/>
      <c r="P27829" s="11"/>
    </row>
    <row r="27830" spans="8:16" x14ac:dyDescent="0.25">
      <c r="H27830" s="12"/>
      <c r="I27830" s="12"/>
      <c r="J27830" s="12"/>
      <c r="K27830" s="12"/>
      <c r="L27830" s="12"/>
      <c r="M27830" s="11"/>
      <c r="N27830" s="11"/>
      <c r="O27830" s="11"/>
      <c r="P27830" s="11"/>
    </row>
    <row r="27831" spans="8:16" x14ac:dyDescent="0.25">
      <c r="H27831" s="12"/>
      <c r="I27831" s="12"/>
      <c r="J27831" s="12"/>
      <c r="K27831" s="12"/>
      <c r="L27831" s="12"/>
      <c r="M27831" s="11"/>
      <c r="N27831" s="11"/>
      <c r="O27831" s="11"/>
      <c r="P27831" s="11"/>
    </row>
    <row r="27832" spans="8:16" x14ac:dyDescent="0.25">
      <c r="H27832" s="12"/>
      <c r="I27832" s="12"/>
      <c r="J27832" s="12"/>
      <c r="K27832" s="12"/>
      <c r="L27832" s="12"/>
      <c r="M27832" s="11"/>
      <c r="N27832" s="11"/>
      <c r="O27832" s="11"/>
      <c r="P27832" s="11"/>
    </row>
    <row r="27833" spans="8:16" x14ac:dyDescent="0.25">
      <c r="H27833" s="12"/>
      <c r="I27833" s="12"/>
      <c r="J27833" s="12"/>
      <c r="K27833" s="12"/>
      <c r="L27833" s="12"/>
      <c r="M27833" s="11"/>
      <c r="N27833" s="11"/>
      <c r="O27833" s="11"/>
      <c r="P27833" s="11"/>
    </row>
    <row r="27834" spans="8:16" x14ac:dyDescent="0.25">
      <c r="H27834" s="12"/>
      <c r="I27834" s="12"/>
      <c r="J27834" s="12"/>
      <c r="K27834" s="12"/>
      <c r="L27834" s="12"/>
      <c r="M27834" s="11"/>
      <c r="N27834" s="11"/>
      <c r="O27834" s="11"/>
      <c r="P27834" s="11"/>
    </row>
    <row r="27835" spans="8:16" x14ac:dyDescent="0.25">
      <c r="H27835" s="12"/>
      <c r="I27835" s="12"/>
      <c r="J27835" s="12"/>
      <c r="K27835" s="12"/>
      <c r="L27835" s="12"/>
      <c r="M27835" s="11"/>
      <c r="N27835" s="11"/>
      <c r="O27835" s="11"/>
      <c r="P27835" s="11"/>
    </row>
    <row r="27836" spans="8:16" x14ac:dyDescent="0.25">
      <c r="H27836" s="12"/>
      <c r="I27836" s="12"/>
      <c r="J27836" s="12"/>
      <c r="K27836" s="12"/>
      <c r="L27836" s="12"/>
      <c r="M27836" s="11"/>
      <c r="N27836" s="11"/>
      <c r="O27836" s="11"/>
      <c r="P27836" s="11"/>
    </row>
    <row r="27837" spans="8:16" x14ac:dyDescent="0.25">
      <c r="H27837" s="12"/>
      <c r="I27837" s="12"/>
      <c r="J27837" s="12"/>
      <c r="K27837" s="12"/>
      <c r="L27837" s="12"/>
      <c r="M27837" s="11"/>
      <c r="N27837" s="11"/>
      <c r="O27837" s="11"/>
      <c r="P27837" s="11"/>
    </row>
    <row r="27838" spans="8:16" x14ac:dyDescent="0.25">
      <c r="H27838" s="12"/>
      <c r="I27838" s="12"/>
      <c r="J27838" s="12"/>
      <c r="K27838" s="12"/>
      <c r="L27838" s="12"/>
      <c r="M27838" s="11"/>
      <c r="N27838" s="11"/>
      <c r="O27838" s="11"/>
      <c r="P27838" s="11"/>
    </row>
    <row r="27839" spans="8:16" x14ac:dyDescent="0.25">
      <c r="H27839" s="12"/>
      <c r="I27839" s="12"/>
      <c r="J27839" s="12"/>
      <c r="K27839" s="12"/>
      <c r="L27839" s="12"/>
      <c r="M27839" s="11"/>
      <c r="N27839" s="11"/>
      <c r="O27839" s="11"/>
      <c r="P27839" s="11"/>
    </row>
    <row r="27840" spans="8:16" x14ac:dyDescent="0.25">
      <c r="H27840" s="12"/>
      <c r="I27840" s="12"/>
      <c r="J27840" s="12"/>
      <c r="K27840" s="12"/>
      <c r="L27840" s="12"/>
      <c r="M27840" s="11"/>
      <c r="N27840" s="11"/>
      <c r="O27840" s="11"/>
      <c r="P27840" s="11"/>
    </row>
    <row r="27841" spans="8:16" x14ac:dyDescent="0.25">
      <c r="H27841" s="12"/>
      <c r="I27841" s="12"/>
      <c r="J27841" s="12"/>
      <c r="K27841" s="12"/>
      <c r="L27841" s="12"/>
      <c r="M27841" s="11"/>
      <c r="N27841" s="11"/>
      <c r="O27841" s="11"/>
      <c r="P27841" s="11"/>
    </row>
    <row r="27842" spans="8:16" x14ac:dyDescent="0.25">
      <c r="H27842" s="12"/>
      <c r="I27842" s="12"/>
      <c r="J27842" s="12"/>
      <c r="K27842" s="12"/>
      <c r="L27842" s="12"/>
      <c r="M27842" s="11"/>
      <c r="N27842" s="11"/>
      <c r="O27842" s="11"/>
      <c r="P27842" s="11"/>
    </row>
    <row r="27843" spans="8:16" x14ac:dyDescent="0.25">
      <c r="H27843" s="12"/>
      <c r="I27843" s="12"/>
      <c r="J27843" s="12"/>
      <c r="K27843" s="12"/>
      <c r="L27843" s="12"/>
      <c r="M27843" s="11"/>
      <c r="N27843" s="11"/>
      <c r="O27843" s="11"/>
      <c r="P27843" s="11"/>
    </row>
    <row r="27844" spans="8:16" x14ac:dyDescent="0.25">
      <c r="H27844" s="12"/>
      <c r="I27844" s="12"/>
      <c r="J27844" s="12"/>
      <c r="K27844" s="12"/>
      <c r="L27844" s="12"/>
      <c r="M27844" s="11"/>
      <c r="N27844" s="11"/>
      <c r="O27844" s="11"/>
      <c r="P27844" s="11"/>
    </row>
    <row r="27845" spans="8:16" x14ac:dyDescent="0.25">
      <c r="H27845" s="12"/>
      <c r="I27845" s="12"/>
      <c r="J27845" s="12"/>
      <c r="K27845" s="12"/>
      <c r="L27845" s="12"/>
      <c r="M27845" s="11"/>
      <c r="N27845" s="11"/>
      <c r="O27845" s="11"/>
      <c r="P27845" s="11"/>
    </row>
    <row r="27846" spans="8:16" x14ac:dyDescent="0.25">
      <c r="H27846" s="12"/>
      <c r="I27846" s="12"/>
      <c r="J27846" s="12"/>
      <c r="K27846" s="12"/>
      <c r="L27846" s="12"/>
      <c r="M27846" s="11"/>
      <c r="N27846" s="11"/>
      <c r="O27846" s="11"/>
      <c r="P27846" s="11"/>
    </row>
    <row r="27847" spans="8:16" x14ac:dyDescent="0.25">
      <c r="H27847" s="12"/>
      <c r="I27847" s="12"/>
      <c r="J27847" s="12"/>
      <c r="K27847" s="12"/>
      <c r="L27847" s="12"/>
      <c r="M27847" s="11"/>
      <c r="N27847" s="11"/>
      <c r="O27847" s="11"/>
      <c r="P27847" s="11"/>
    </row>
    <row r="27848" spans="8:16" x14ac:dyDescent="0.25">
      <c r="H27848" s="12"/>
      <c r="I27848" s="12"/>
      <c r="J27848" s="12"/>
      <c r="K27848" s="12"/>
      <c r="L27848" s="12"/>
      <c r="M27848" s="11"/>
      <c r="N27848" s="11"/>
      <c r="O27848" s="11"/>
      <c r="P27848" s="11"/>
    </row>
    <row r="27849" spans="8:16" x14ac:dyDescent="0.25">
      <c r="H27849" s="12"/>
      <c r="I27849" s="12"/>
      <c r="J27849" s="12"/>
      <c r="K27849" s="12"/>
      <c r="L27849" s="12"/>
      <c r="M27849" s="11"/>
      <c r="N27849" s="11"/>
      <c r="O27849" s="11"/>
      <c r="P27849" s="11"/>
    </row>
    <row r="27850" spans="8:16" x14ac:dyDescent="0.25">
      <c r="H27850" s="12"/>
      <c r="I27850" s="12"/>
      <c r="J27850" s="12"/>
      <c r="K27850" s="12"/>
      <c r="L27850" s="12"/>
      <c r="M27850" s="11"/>
      <c r="N27850" s="11"/>
      <c r="O27850" s="11"/>
      <c r="P27850" s="11"/>
    </row>
    <row r="27851" spans="8:16" x14ac:dyDescent="0.25">
      <c r="H27851" s="12"/>
      <c r="I27851" s="12"/>
      <c r="J27851" s="12"/>
      <c r="K27851" s="12"/>
      <c r="L27851" s="12"/>
      <c r="M27851" s="11"/>
      <c r="N27851" s="11"/>
      <c r="O27851" s="11"/>
      <c r="P27851" s="11"/>
    </row>
    <row r="27852" spans="8:16" x14ac:dyDescent="0.25">
      <c r="H27852" s="12"/>
      <c r="I27852" s="12"/>
      <c r="J27852" s="12"/>
      <c r="K27852" s="12"/>
      <c r="L27852" s="12"/>
      <c r="M27852" s="11"/>
      <c r="N27852" s="11"/>
      <c r="O27852" s="11"/>
      <c r="P27852" s="11"/>
    </row>
    <row r="27853" spans="8:16" x14ac:dyDescent="0.25">
      <c r="H27853" s="12"/>
      <c r="I27853" s="12"/>
      <c r="J27853" s="12"/>
      <c r="K27853" s="12"/>
      <c r="L27853" s="12"/>
      <c r="M27853" s="11"/>
      <c r="N27853" s="11"/>
      <c r="O27853" s="11"/>
      <c r="P27853" s="11"/>
    </row>
    <row r="27854" spans="8:16" x14ac:dyDescent="0.25">
      <c r="H27854" s="12"/>
      <c r="I27854" s="12"/>
      <c r="J27854" s="12"/>
      <c r="K27854" s="12"/>
      <c r="L27854" s="12"/>
      <c r="M27854" s="11"/>
      <c r="N27854" s="11"/>
      <c r="O27854" s="11"/>
      <c r="P27854" s="11"/>
    </row>
    <row r="27855" spans="8:16" x14ac:dyDescent="0.25">
      <c r="H27855" s="12"/>
      <c r="I27855" s="12"/>
      <c r="J27855" s="12"/>
      <c r="K27855" s="12"/>
      <c r="L27855" s="12"/>
      <c r="M27855" s="11"/>
      <c r="N27855" s="11"/>
      <c r="O27855" s="11"/>
      <c r="P27855" s="11"/>
    </row>
    <row r="27856" spans="8:16" x14ac:dyDescent="0.25">
      <c r="H27856" s="12"/>
      <c r="I27856" s="12"/>
      <c r="J27856" s="12"/>
      <c r="K27856" s="12"/>
      <c r="L27856" s="12"/>
      <c r="M27856" s="11"/>
      <c r="N27856" s="11"/>
      <c r="O27856" s="11"/>
      <c r="P27856" s="11"/>
    </row>
    <row r="27857" spans="8:16" x14ac:dyDescent="0.25">
      <c r="H27857" s="12"/>
      <c r="I27857" s="12"/>
      <c r="J27857" s="12"/>
      <c r="K27857" s="12"/>
      <c r="L27857" s="12"/>
      <c r="M27857" s="11"/>
      <c r="N27857" s="11"/>
      <c r="O27857" s="11"/>
      <c r="P27857" s="11"/>
    </row>
    <row r="27858" spans="8:16" x14ac:dyDescent="0.25">
      <c r="H27858" s="12"/>
      <c r="I27858" s="12"/>
      <c r="J27858" s="12"/>
      <c r="K27858" s="12"/>
      <c r="L27858" s="12"/>
      <c r="M27858" s="11"/>
      <c r="N27858" s="11"/>
      <c r="O27858" s="11"/>
      <c r="P27858" s="11"/>
    </row>
    <row r="27859" spans="8:16" x14ac:dyDescent="0.25">
      <c r="H27859" s="12"/>
      <c r="I27859" s="12"/>
      <c r="J27859" s="12"/>
      <c r="K27859" s="12"/>
      <c r="L27859" s="12"/>
      <c r="M27859" s="11"/>
      <c r="N27859" s="11"/>
      <c r="O27859" s="11"/>
      <c r="P27859" s="11"/>
    </row>
    <row r="27860" spans="8:16" x14ac:dyDescent="0.25">
      <c r="H27860" s="12"/>
      <c r="I27860" s="12"/>
      <c r="J27860" s="12"/>
      <c r="K27860" s="12"/>
      <c r="L27860" s="12"/>
      <c r="M27860" s="11"/>
      <c r="N27860" s="11"/>
      <c r="O27860" s="11"/>
      <c r="P27860" s="11"/>
    </row>
    <row r="27861" spans="8:16" x14ac:dyDescent="0.25">
      <c r="H27861" s="12"/>
      <c r="I27861" s="12"/>
      <c r="J27861" s="12"/>
      <c r="K27861" s="12"/>
      <c r="L27861" s="12"/>
      <c r="M27861" s="11"/>
      <c r="N27861" s="11"/>
      <c r="O27861" s="11"/>
      <c r="P27861" s="11"/>
    </row>
    <row r="27862" spans="8:16" x14ac:dyDescent="0.25">
      <c r="H27862" s="12"/>
      <c r="I27862" s="12"/>
      <c r="J27862" s="12"/>
      <c r="K27862" s="12"/>
      <c r="L27862" s="12"/>
      <c r="M27862" s="11"/>
      <c r="N27862" s="11"/>
      <c r="O27862" s="11"/>
      <c r="P27862" s="11"/>
    </row>
    <row r="27863" spans="8:16" x14ac:dyDescent="0.25">
      <c r="H27863" s="12"/>
      <c r="I27863" s="12"/>
      <c r="J27863" s="12"/>
      <c r="K27863" s="12"/>
      <c r="L27863" s="12"/>
      <c r="M27863" s="11"/>
      <c r="N27863" s="11"/>
      <c r="O27863" s="11"/>
      <c r="P27863" s="11"/>
    </row>
    <row r="27864" spans="8:16" x14ac:dyDescent="0.25">
      <c r="H27864" s="12"/>
      <c r="I27864" s="12"/>
      <c r="J27864" s="12"/>
      <c r="K27864" s="12"/>
      <c r="L27864" s="12"/>
      <c r="M27864" s="11"/>
      <c r="N27864" s="11"/>
      <c r="O27864" s="11"/>
      <c r="P27864" s="11"/>
    </row>
    <row r="27865" spans="8:16" x14ac:dyDescent="0.25">
      <c r="H27865" s="12"/>
      <c r="I27865" s="12"/>
      <c r="J27865" s="12"/>
      <c r="K27865" s="12"/>
      <c r="L27865" s="12"/>
      <c r="M27865" s="11"/>
      <c r="N27865" s="11"/>
      <c r="O27865" s="11"/>
      <c r="P27865" s="11"/>
    </row>
    <row r="27866" spans="8:16" x14ac:dyDescent="0.25">
      <c r="H27866" s="12"/>
      <c r="I27866" s="12"/>
      <c r="J27866" s="12"/>
      <c r="K27866" s="12"/>
      <c r="L27866" s="12"/>
      <c r="M27866" s="11"/>
      <c r="N27866" s="11"/>
      <c r="O27866" s="11"/>
      <c r="P27866" s="11"/>
    </row>
    <row r="27867" spans="8:16" x14ac:dyDescent="0.25">
      <c r="H27867" s="12"/>
      <c r="I27867" s="12"/>
      <c r="J27867" s="12"/>
      <c r="K27867" s="12"/>
      <c r="L27867" s="12"/>
      <c r="M27867" s="11"/>
      <c r="N27867" s="11"/>
      <c r="O27867" s="11"/>
      <c r="P27867" s="11"/>
    </row>
    <row r="27868" spans="8:16" x14ac:dyDescent="0.25">
      <c r="H27868" s="12"/>
      <c r="I27868" s="12"/>
      <c r="J27868" s="12"/>
      <c r="K27868" s="12"/>
      <c r="L27868" s="12"/>
      <c r="M27868" s="11"/>
      <c r="N27868" s="11"/>
      <c r="O27868" s="11"/>
      <c r="P27868" s="11"/>
    </row>
    <row r="27869" spans="8:16" x14ac:dyDescent="0.25">
      <c r="H27869" s="12"/>
      <c r="I27869" s="12"/>
      <c r="J27869" s="12"/>
      <c r="K27869" s="12"/>
      <c r="L27869" s="12"/>
      <c r="M27869" s="11"/>
      <c r="N27869" s="11"/>
      <c r="O27869" s="11"/>
      <c r="P27869" s="11"/>
    </row>
    <row r="27870" spans="8:16" x14ac:dyDescent="0.25">
      <c r="H27870" s="12"/>
      <c r="I27870" s="12"/>
      <c r="J27870" s="12"/>
      <c r="K27870" s="12"/>
      <c r="L27870" s="12"/>
      <c r="M27870" s="11"/>
      <c r="N27870" s="11"/>
      <c r="O27870" s="11"/>
      <c r="P27870" s="11"/>
    </row>
    <row r="27871" spans="8:16" x14ac:dyDescent="0.25">
      <c r="H27871" s="12"/>
      <c r="I27871" s="12"/>
      <c r="J27871" s="12"/>
      <c r="K27871" s="12"/>
      <c r="L27871" s="12"/>
      <c r="M27871" s="11"/>
      <c r="N27871" s="11"/>
      <c r="O27871" s="11"/>
      <c r="P27871" s="11"/>
    </row>
    <row r="27872" spans="8:16" x14ac:dyDescent="0.25">
      <c r="H27872" s="12"/>
      <c r="I27872" s="12"/>
      <c r="J27872" s="12"/>
      <c r="K27872" s="12"/>
      <c r="L27872" s="12"/>
      <c r="M27872" s="11"/>
      <c r="N27872" s="11"/>
      <c r="O27872" s="11"/>
      <c r="P27872" s="11"/>
    </row>
    <row r="27873" spans="8:16" x14ac:dyDescent="0.25">
      <c r="H27873" s="12"/>
      <c r="I27873" s="12"/>
      <c r="J27873" s="12"/>
      <c r="K27873" s="12"/>
      <c r="L27873" s="12"/>
      <c r="M27873" s="11"/>
      <c r="N27873" s="11"/>
      <c r="O27873" s="11"/>
      <c r="P27873" s="11"/>
    </row>
    <row r="27874" spans="8:16" x14ac:dyDescent="0.25">
      <c r="H27874" s="12"/>
      <c r="I27874" s="12"/>
      <c r="J27874" s="12"/>
      <c r="K27874" s="12"/>
      <c r="L27874" s="12"/>
      <c r="M27874" s="11"/>
      <c r="N27874" s="11"/>
      <c r="O27874" s="11"/>
      <c r="P27874" s="11"/>
    </row>
    <row r="27875" spans="8:16" x14ac:dyDescent="0.25">
      <c r="H27875" s="12"/>
      <c r="I27875" s="12"/>
      <c r="J27875" s="12"/>
      <c r="K27875" s="12"/>
      <c r="L27875" s="12"/>
      <c r="M27875" s="11"/>
      <c r="N27875" s="11"/>
      <c r="O27875" s="11"/>
      <c r="P27875" s="11"/>
    </row>
    <row r="27876" spans="8:16" x14ac:dyDescent="0.25">
      <c r="H27876" s="12"/>
      <c r="I27876" s="12"/>
      <c r="J27876" s="12"/>
      <c r="K27876" s="12"/>
      <c r="L27876" s="12"/>
      <c r="M27876" s="11"/>
      <c r="N27876" s="11"/>
      <c r="O27876" s="11"/>
      <c r="P27876" s="11"/>
    </row>
    <row r="27877" spans="8:16" x14ac:dyDescent="0.25">
      <c r="H27877" s="12"/>
      <c r="I27877" s="12"/>
      <c r="J27877" s="12"/>
      <c r="K27877" s="12"/>
      <c r="L27877" s="12"/>
      <c r="M27877" s="11"/>
      <c r="N27877" s="11"/>
      <c r="O27877" s="11"/>
      <c r="P27877" s="11"/>
    </row>
    <row r="27878" spans="8:16" x14ac:dyDescent="0.25">
      <c r="H27878" s="12"/>
      <c r="I27878" s="12"/>
      <c r="J27878" s="12"/>
      <c r="K27878" s="12"/>
      <c r="L27878" s="12"/>
      <c r="M27878" s="11"/>
      <c r="N27878" s="11"/>
      <c r="O27878" s="11"/>
      <c r="P27878" s="11"/>
    </row>
    <row r="27879" spans="8:16" x14ac:dyDescent="0.25">
      <c r="H27879" s="12"/>
      <c r="I27879" s="12"/>
      <c r="J27879" s="12"/>
      <c r="K27879" s="12"/>
      <c r="L27879" s="12"/>
      <c r="M27879" s="11"/>
      <c r="N27879" s="11"/>
      <c r="O27879" s="11"/>
      <c r="P27879" s="11"/>
    </row>
    <row r="27880" spans="8:16" x14ac:dyDescent="0.25">
      <c r="H27880" s="12"/>
      <c r="I27880" s="12"/>
      <c r="J27880" s="12"/>
      <c r="K27880" s="12"/>
      <c r="L27880" s="12"/>
      <c r="M27880" s="11"/>
      <c r="N27880" s="11"/>
      <c r="O27880" s="11"/>
      <c r="P27880" s="11"/>
    </row>
    <row r="27881" spans="8:16" x14ac:dyDescent="0.25">
      <c r="H27881" s="12"/>
      <c r="I27881" s="12"/>
      <c r="J27881" s="12"/>
      <c r="K27881" s="12"/>
      <c r="L27881" s="12"/>
      <c r="M27881" s="11"/>
      <c r="N27881" s="11"/>
      <c r="O27881" s="11"/>
      <c r="P27881" s="11"/>
    </row>
    <row r="27882" spans="8:16" x14ac:dyDescent="0.25">
      <c r="H27882" s="12"/>
      <c r="I27882" s="12"/>
      <c r="J27882" s="12"/>
      <c r="K27882" s="12"/>
      <c r="L27882" s="12"/>
      <c r="M27882" s="11"/>
      <c r="N27882" s="11"/>
      <c r="O27882" s="11"/>
      <c r="P27882" s="11"/>
    </row>
    <row r="27883" spans="8:16" x14ac:dyDescent="0.25">
      <c r="H27883" s="12"/>
      <c r="I27883" s="12"/>
      <c r="J27883" s="12"/>
      <c r="K27883" s="12"/>
      <c r="L27883" s="12"/>
      <c r="M27883" s="11"/>
      <c r="N27883" s="11"/>
      <c r="O27883" s="11"/>
      <c r="P27883" s="11"/>
    </row>
    <row r="27884" spans="8:16" x14ac:dyDescent="0.25">
      <c r="H27884" s="12"/>
      <c r="I27884" s="12"/>
      <c r="J27884" s="12"/>
      <c r="K27884" s="12"/>
      <c r="L27884" s="12"/>
      <c r="M27884" s="11"/>
      <c r="N27884" s="11"/>
      <c r="O27884" s="11"/>
      <c r="P27884" s="11"/>
    </row>
    <row r="27885" spans="8:16" x14ac:dyDescent="0.25">
      <c r="H27885" s="12"/>
      <c r="I27885" s="12"/>
      <c r="J27885" s="12"/>
      <c r="K27885" s="12"/>
      <c r="L27885" s="12"/>
      <c r="M27885" s="11"/>
      <c r="N27885" s="11"/>
      <c r="O27885" s="11"/>
      <c r="P27885" s="11"/>
    </row>
    <row r="27886" spans="8:16" x14ac:dyDescent="0.25">
      <c r="H27886" s="12"/>
      <c r="I27886" s="12"/>
      <c r="J27886" s="12"/>
      <c r="K27886" s="12"/>
      <c r="L27886" s="12"/>
      <c r="M27886" s="11"/>
      <c r="N27886" s="11"/>
      <c r="O27886" s="11"/>
      <c r="P27886" s="11"/>
    </row>
    <row r="27887" spans="8:16" x14ac:dyDescent="0.25">
      <c r="H27887" s="12"/>
      <c r="I27887" s="12"/>
      <c r="J27887" s="12"/>
      <c r="K27887" s="12"/>
      <c r="L27887" s="12"/>
      <c r="M27887" s="11"/>
      <c r="N27887" s="11"/>
      <c r="O27887" s="11"/>
      <c r="P27887" s="11"/>
    </row>
    <row r="27888" spans="8:16" x14ac:dyDescent="0.25">
      <c r="H27888" s="12"/>
      <c r="I27888" s="12"/>
      <c r="J27888" s="12"/>
      <c r="K27888" s="12"/>
      <c r="L27888" s="12"/>
      <c r="M27888" s="11"/>
      <c r="N27888" s="11"/>
      <c r="O27888" s="11"/>
      <c r="P27888" s="11"/>
    </row>
    <row r="27889" spans="8:16" x14ac:dyDescent="0.25">
      <c r="H27889" s="12"/>
      <c r="I27889" s="12"/>
      <c r="J27889" s="12"/>
      <c r="K27889" s="12"/>
      <c r="L27889" s="12"/>
      <c r="M27889" s="11"/>
      <c r="N27889" s="11"/>
      <c r="O27889" s="11"/>
      <c r="P27889" s="11"/>
    </row>
    <row r="27890" spans="8:16" x14ac:dyDescent="0.25">
      <c r="H27890" s="12"/>
      <c r="I27890" s="12"/>
      <c r="J27890" s="12"/>
      <c r="K27890" s="12"/>
      <c r="L27890" s="12"/>
      <c r="M27890" s="11"/>
      <c r="N27890" s="11"/>
      <c r="O27890" s="11"/>
      <c r="P27890" s="11"/>
    </row>
    <row r="27891" spans="8:16" x14ac:dyDescent="0.25">
      <c r="H27891" s="12"/>
      <c r="I27891" s="12"/>
      <c r="J27891" s="12"/>
      <c r="K27891" s="12"/>
      <c r="L27891" s="12"/>
      <c r="M27891" s="11"/>
      <c r="N27891" s="11"/>
      <c r="O27891" s="11"/>
      <c r="P27891" s="11"/>
    </row>
    <row r="27892" spans="8:16" x14ac:dyDescent="0.25">
      <c r="H27892" s="12"/>
      <c r="I27892" s="12"/>
      <c r="J27892" s="12"/>
      <c r="K27892" s="12"/>
      <c r="L27892" s="12"/>
      <c r="M27892" s="11"/>
      <c r="N27892" s="11"/>
      <c r="O27892" s="11"/>
      <c r="P27892" s="11"/>
    </row>
    <row r="27893" spans="8:16" x14ac:dyDescent="0.25">
      <c r="H27893" s="12"/>
      <c r="I27893" s="12"/>
      <c r="J27893" s="12"/>
      <c r="K27893" s="12"/>
      <c r="L27893" s="12"/>
      <c r="M27893" s="11"/>
      <c r="N27893" s="11"/>
      <c r="O27893" s="11"/>
      <c r="P27893" s="11"/>
    </row>
    <row r="27894" spans="8:16" x14ac:dyDescent="0.25">
      <c r="H27894" s="12"/>
      <c r="I27894" s="12"/>
      <c r="J27894" s="12"/>
      <c r="K27894" s="12"/>
      <c r="L27894" s="12"/>
      <c r="M27894" s="11"/>
      <c r="N27894" s="11"/>
      <c r="O27894" s="11"/>
      <c r="P27894" s="11"/>
    </row>
    <row r="27895" spans="8:16" x14ac:dyDescent="0.25">
      <c r="H27895" s="12"/>
      <c r="I27895" s="12"/>
      <c r="J27895" s="12"/>
      <c r="K27895" s="12"/>
      <c r="L27895" s="12"/>
      <c r="M27895" s="11"/>
      <c r="N27895" s="11"/>
      <c r="O27895" s="11"/>
      <c r="P27895" s="11"/>
    </row>
    <row r="27896" spans="8:16" x14ac:dyDescent="0.25">
      <c r="H27896" s="12"/>
      <c r="I27896" s="12"/>
      <c r="J27896" s="12"/>
      <c r="K27896" s="12"/>
      <c r="L27896" s="12"/>
      <c r="M27896" s="11"/>
      <c r="N27896" s="11"/>
      <c r="O27896" s="11"/>
      <c r="P27896" s="11"/>
    </row>
    <row r="27897" spans="8:16" x14ac:dyDescent="0.25">
      <c r="H27897" s="12"/>
      <c r="I27897" s="12"/>
      <c r="J27897" s="12"/>
      <c r="K27897" s="12"/>
      <c r="L27897" s="12"/>
      <c r="M27897" s="11"/>
      <c r="N27897" s="11"/>
      <c r="O27897" s="11"/>
      <c r="P27897" s="11"/>
    </row>
    <row r="27898" spans="8:16" x14ac:dyDescent="0.25">
      <c r="H27898" s="12"/>
      <c r="I27898" s="12"/>
      <c r="J27898" s="12"/>
      <c r="K27898" s="12"/>
      <c r="L27898" s="12"/>
      <c r="M27898" s="11"/>
      <c r="N27898" s="11"/>
      <c r="O27898" s="11"/>
      <c r="P27898" s="11"/>
    </row>
    <row r="27899" spans="8:16" x14ac:dyDescent="0.25">
      <c r="H27899" s="12"/>
      <c r="I27899" s="12"/>
      <c r="J27899" s="12"/>
      <c r="K27899" s="12"/>
      <c r="L27899" s="12"/>
      <c r="M27899" s="11"/>
      <c r="N27899" s="11"/>
      <c r="O27899" s="11"/>
      <c r="P27899" s="11"/>
    </row>
    <row r="27900" spans="8:16" x14ac:dyDescent="0.25">
      <c r="H27900" s="12"/>
      <c r="I27900" s="12"/>
      <c r="J27900" s="12"/>
      <c r="K27900" s="12"/>
      <c r="L27900" s="12"/>
      <c r="M27900" s="11"/>
      <c r="N27900" s="11"/>
      <c r="O27900" s="11"/>
      <c r="P27900" s="11"/>
    </row>
    <row r="27901" spans="8:16" x14ac:dyDescent="0.25">
      <c r="H27901" s="12"/>
      <c r="I27901" s="12"/>
      <c r="J27901" s="12"/>
      <c r="K27901" s="12"/>
      <c r="L27901" s="12"/>
      <c r="M27901" s="11"/>
      <c r="N27901" s="11"/>
      <c r="O27901" s="11"/>
      <c r="P27901" s="11"/>
    </row>
    <row r="27902" spans="8:16" x14ac:dyDescent="0.25">
      <c r="H27902" s="12"/>
      <c r="I27902" s="12"/>
      <c r="J27902" s="12"/>
      <c r="K27902" s="12"/>
      <c r="L27902" s="12"/>
      <c r="M27902" s="11"/>
      <c r="N27902" s="11"/>
      <c r="O27902" s="11"/>
      <c r="P27902" s="11"/>
    </row>
    <row r="27903" spans="8:16" x14ac:dyDescent="0.25">
      <c r="H27903" s="12"/>
      <c r="I27903" s="12"/>
      <c r="J27903" s="12"/>
      <c r="K27903" s="12"/>
      <c r="L27903" s="12"/>
      <c r="M27903" s="11"/>
      <c r="N27903" s="11"/>
      <c r="O27903" s="11"/>
      <c r="P27903" s="11"/>
    </row>
    <row r="27904" spans="8:16" x14ac:dyDescent="0.25">
      <c r="H27904" s="12"/>
      <c r="I27904" s="12"/>
      <c r="J27904" s="12"/>
      <c r="K27904" s="12"/>
      <c r="L27904" s="12"/>
      <c r="M27904" s="11"/>
      <c r="N27904" s="11"/>
      <c r="O27904" s="11"/>
      <c r="P27904" s="11"/>
    </row>
    <row r="27905" spans="8:16" x14ac:dyDescent="0.25">
      <c r="H27905" s="12"/>
      <c r="I27905" s="12"/>
      <c r="J27905" s="12"/>
      <c r="K27905" s="12"/>
      <c r="L27905" s="12"/>
      <c r="M27905" s="11"/>
      <c r="N27905" s="11"/>
      <c r="O27905" s="11"/>
      <c r="P27905" s="11"/>
    </row>
    <row r="27906" spans="8:16" x14ac:dyDescent="0.25">
      <c r="H27906" s="12"/>
      <c r="I27906" s="12"/>
      <c r="J27906" s="12"/>
      <c r="K27906" s="12"/>
      <c r="L27906" s="12"/>
      <c r="M27906" s="11"/>
      <c r="N27906" s="11"/>
      <c r="O27906" s="11"/>
      <c r="P27906" s="11"/>
    </row>
    <row r="27907" spans="8:16" x14ac:dyDescent="0.25">
      <c r="H27907" s="12"/>
      <c r="I27907" s="12"/>
      <c r="J27907" s="12"/>
      <c r="K27907" s="12"/>
      <c r="L27907" s="12"/>
      <c r="M27907" s="11"/>
      <c r="N27907" s="11"/>
      <c r="O27907" s="11"/>
      <c r="P27907" s="11"/>
    </row>
    <row r="27908" spans="8:16" x14ac:dyDescent="0.25">
      <c r="H27908" s="12"/>
      <c r="I27908" s="12"/>
      <c r="J27908" s="12"/>
      <c r="K27908" s="12"/>
      <c r="L27908" s="12"/>
      <c r="M27908" s="11"/>
      <c r="N27908" s="11"/>
      <c r="O27908" s="11"/>
      <c r="P27908" s="11"/>
    </row>
    <row r="27909" spans="8:16" x14ac:dyDescent="0.25">
      <c r="H27909" s="12"/>
      <c r="I27909" s="12"/>
      <c r="J27909" s="12"/>
      <c r="K27909" s="12"/>
      <c r="L27909" s="12"/>
      <c r="M27909" s="11"/>
      <c r="N27909" s="11"/>
      <c r="O27909" s="11"/>
      <c r="P27909" s="11"/>
    </row>
    <row r="27910" spans="8:16" x14ac:dyDescent="0.25">
      <c r="H27910" s="12"/>
      <c r="I27910" s="12"/>
      <c r="J27910" s="12"/>
      <c r="K27910" s="12"/>
      <c r="L27910" s="12"/>
      <c r="M27910" s="11"/>
      <c r="N27910" s="11"/>
      <c r="O27910" s="11"/>
      <c r="P27910" s="11"/>
    </row>
    <row r="27911" spans="8:16" x14ac:dyDescent="0.25">
      <c r="H27911" s="12"/>
      <c r="I27911" s="12"/>
      <c r="J27911" s="12"/>
      <c r="K27911" s="12"/>
      <c r="L27911" s="12"/>
      <c r="M27911" s="11"/>
      <c r="N27911" s="11"/>
      <c r="O27911" s="11"/>
      <c r="P27911" s="11"/>
    </row>
    <row r="27912" spans="8:16" x14ac:dyDescent="0.25">
      <c r="H27912" s="12"/>
      <c r="I27912" s="12"/>
      <c r="J27912" s="12"/>
      <c r="K27912" s="12"/>
      <c r="L27912" s="12"/>
      <c r="M27912" s="11"/>
      <c r="N27912" s="11"/>
      <c r="O27912" s="11"/>
      <c r="P27912" s="11"/>
    </row>
    <row r="27913" spans="8:16" x14ac:dyDescent="0.25">
      <c r="H27913" s="12"/>
      <c r="I27913" s="12"/>
      <c r="J27913" s="12"/>
      <c r="K27913" s="12"/>
      <c r="L27913" s="12"/>
      <c r="M27913" s="11"/>
      <c r="N27913" s="11"/>
      <c r="O27913" s="11"/>
      <c r="P27913" s="11"/>
    </row>
    <row r="27914" spans="8:16" x14ac:dyDescent="0.25">
      <c r="H27914" s="12"/>
      <c r="I27914" s="12"/>
      <c r="J27914" s="12"/>
      <c r="K27914" s="12"/>
      <c r="L27914" s="12"/>
      <c r="M27914" s="11"/>
      <c r="N27914" s="11"/>
      <c r="O27914" s="11"/>
      <c r="P27914" s="11"/>
    </row>
    <row r="27915" spans="8:16" x14ac:dyDescent="0.25">
      <c r="H27915" s="12"/>
      <c r="I27915" s="12"/>
      <c r="J27915" s="12"/>
      <c r="K27915" s="12"/>
      <c r="L27915" s="12"/>
      <c r="M27915" s="11"/>
      <c r="N27915" s="11"/>
      <c r="O27915" s="11"/>
      <c r="P27915" s="11"/>
    </row>
    <row r="27916" spans="8:16" x14ac:dyDescent="0.25">
      <c r="H27916" s="12"/>
      <c r="I27916" s="12"/>
      <c r="J27916" s="12"/>
      <c r="K27916" s="12"/>
      <c r="L27916" s="12"/>
      <c r="M27916" s="11"/>
      <c r="N27916" s="11"/>
      <c r="O27916" s="11"/>
      <c r="P27916" s="11"/>
    </row>
    <row r="27917" spans="8:16" x14ac:dyDescent="0.25">
      <c r="H27917" s="12"/>
      <c r="I27917" s="12"/>
      <c r="J27917" s="12"/>
      <c r="K27917" s="12"/>
      <c r="L27917" s="12"/>
      <c r="M27917" s="11"/>
      <c r="N27917" s="11"/>
      <c r="O27917" s="11"/>
      <c r="P27917" s="11"/>
    </row>
    <row r="27918" spans="8:16" x14ac:dyDescent="0.25">
      <c r="H27918" s="12"/>
      <c r="I27918" s="12"/>
      <c r="J27918" s="12"/>
      <c r="K27918" s="12"/>
      <c r="L27918" s="12"/>
      <c r="M27918" s="11"/>
      <c r="N27918" s="11"/>
      <c r="O27918" s="11"/>
      <c r="P27918" s="11"/>
    </row>
    <row r="27919" spans="8:16" x14ac:dyDescent="0.25">
      <c r="H27919" s="12"/>
      <c r="I27919" s="12"/>
      <c r="J27919" s="12"/>
      <c r="K27919" s="12"/>
      <c r="L27919" s="12"/>
      <c r="M27919" s="11"/>
      <c r="N27919" s="11"/>
      <c r="O27919" s="11"/>
      <c r="P27919" s="11"/>
    </row>
    <row r="27920" spans="8:16" x14ac:dyDescent="0.25">
      <c r="H27920" s="12"/>
      <c r="I27920" s="12"/>
      <c r="J27920" s="12"/>
      <c r="K27920" s="12"/>
      <c r="L27920" s="12"/>
      <c r="M27920" s="11"/>
      <c r="N27920" s="11"/>
      <c r="O27920" s="11"/>
      <c r="P27920" s="11"/>
    </row>
    <row r="27921" spans="8:16" x14ac:dyDescent="0.25">
      <c r="H27921" s="12"/>
      <c r="I27921" s="12"/>
      <c r="J27921" s="12"/>
      <c r="K27921" s="12"/>
      <c r="L27921" s="12"/>
      <c r="M27921" s="11"/>
      <c r="N27921" s="11"/>
      <c r="O27921" s="11"/>
      <c r="P27921" s="11"/>
    </row>
    <row r="27922" spans="8:16" x14ac:dyDescent="0.25">
      <c r="H27922" s="12"/>
      <c r="I27922" s="12"/>
      <c r="J27922" s="12"/>
      <c r="K27922" s="12"/>
      <c r="L27922" s="12"/>
      <c r="M27922" s="11"/>
      <c r="N27922" s="11"/>
      <c r="O27922" s="11"/>
      <c r="P27922" s="11"/>
    </row>
    <row r="27923" spans="8:16" x14ac:dyDescent="0.25">
      <c r="H27923" s="12"/>
      <c r="I27923" s="12"/>
      <c r="J27923" s="12"/>
      <c r="K27923" s="12"/>
      <c r="L27923" s="12"/>
      <c r="M27923" s="11"/>
      <c r="N27923" s="11"/>
      <c r="O27923" s="11"/>
      <c r="P27923" s="11"/>
    </row>
    <row r="27924" spans="8:16" x14ac:dyDescent="0.25">
      <c r="H27924" s="12"/>
      <c r="I27924" s="12"/>
      <c r="J27924" s="12"/>
      <c r="K27924" s="12"/>
      <c r="L27924" s="12"/>
      <c r="M27924" s="11"/>
      <c r="N27924" s="11"/>
      <c r="O27924" s="11"/>
      <c r="P27924" s="11"/>
    </row>
    <row r="27925" spans="8:16" x14ac:dyDescent="0.25">
      <c r="H27925" s="12"/>
      <c r="I27925" s="12"/>
      <c r="J27925" s="12"/>
      <c r="K27925" s="12"/>
      <c r="L27925" s="12"/>
      <c r="M27925" s="11"/>
      <c r="N27925" s="11"/>
      <c r="O27925" s="11"/>
      <c r="P27925" s="11"/>
    </row>
    <row r="27926" spans="8:16" x14ac:dyDescent="0.25">
      <c r="H27926" s="12"/>
      <c r="I27926" s="12"/>
      <c r="J27926" s="12"/>
      <c r="K27926" s="12"/>
      <c r="L27926" s="12"/>
      <c r="M27926" s="11"/>
      <c r="N27926" s="11"/>
      <c r="O27926" s="11"/>
      <c r="P27926" s="11"/>
    </row>
    <row r="27927" spans="8:16" x14ac:dyDescent="0.25">
      <c r="H27927" s="12"/>
      <c r="I27927" s="12"/>
      <c r="J27927" s="12"/>
      <c r="K27927" s="12"/>
      <c r="L27927" s="12"/>
      <c r="M27927" s="11"/>
      <c r="N27927" s="11"/>
      <c r="O27927" s="11"/>
      <c r="P27927" s="11"/>
    </row>
    <row r="27928" spans="8:16" x14ac:dyDescent="0.25">
      <c r="H27928" s="12"/>
      <c r="I27928" s="12"/>
      <c r="J27928" s="12"/>
      <c r="K27928" s="12"/>
      <c r="L27928" s="12"/>
      <c r="M27928" s="11"/>
      <c r="N27928" s="11"/>
      <c r="O27928" s="11"/>
      <c r="P27928" s="11"/>
    </row>
    <row r="27929" spans="8:16" x14ac:dyDescent="0.25">
      <c r="H27929" s="12"/>
      <c r="I27929" s="12"/>
      <c r="J27929" s="12"/>
      <c r="K27929" s="12"/>
      <c r="L27929" s="12"/>
      <c r="M27929" s="11"/>
      <c r="N27929" s="11"/>
      <c r="O27929" s="11"/>
      <c r="P27929" s="11"/>
    </row>
    <row r="27930" spans="8:16" x14ac:dyDescent="0.25">
      <c r="H27930" s="12"/>
      <c r="I27930" s="12"/>
      <c r="J27930" s="12"/>
      <c r="K27930" s="12"/>
      <c r="L27930" s="12"/>
      <c r="M27930" s="11"/>
      <c r="N27930" s="11"/>
      <c r="O27930" s="11"/>
      <c r="P27930" s="11"/>
    </row>
    <row r="27931" spans="8:16" x14ac:dyDescent="0.25">
      <c r="H27931" s="12"/>
      <c r="I27931" s="12"/>
      <c r="J27931" s="12"/>
      <c r="K27931" s="12"/>
      <c r="L27931" s="12"/>
      <c r="M27931" s="11"/>
      <c r="N27931" s="11"/>
      <c r="O27931" s="11"/>
      <c r="P27931" s="11"/>
    </row>
    <row r="27932" spans="8:16" x14ac:dyDescent="0.25">
      <c r="H27932" s="12"/>
      <c r="I27932" s="12"/>
      <c r="J27932" s="12"/>
      <c r="K27932" s="12"/>
      <c r="L27932" s="12"/>
      <c r="M27932" s="11"/>
      <c r="N27932" s="11"/>
      <c r="O27932" s="11"/>
      <c r="P27932" s="11"/>
    </row>
    <row r="27933" spans="8:16" x14ac:dyDescent="0.25">
      <c r="H27933" s="12"/>
      <c r="I27933" s="12"/>
      <c r="J27933" s="12"/>
      <c r="K27933" s="12"/>
      <c r="L27933" s="12"/>
      <c r="M27933" s="11"/>
      <c r="N27933" s="11"/>
      <c r="O27933" s="11"/>
      <c r="P27933" s="11"/>
    </row>
    <row r="27934" spans="8:16" x14ac:dyDescent="0.25">
      <c r="H27934" s="12"/>
      <c r="I27934" s="12"/>
      <c r="J27934" s="12"/>
      <c r="K27934" s="12"/>
      <c r="L27934" s="12"/>
      <c r="M27934" s="11"/>
      <c r="N27934" s="11"/>
      <c r="O27934" s="11"/>
      <c r="P27934" s="11"/>
    </row>
    <row r="27935" spans="8:16" x14ac:dyDescent="0.25">
      <c r="H27935" s="12"/>
      <c r="I27935" s="12"/>
      <c r="J27935" s="12"/>
      <c r="K27935" s="12"/>
      <c r="L27935" s="12"/>
      <c r="M27935" s="11"/>
      <c r="N27935" s="11"/>
      <c r="O27935" s="11"/>
      <c r="P27935" s="11"/>
    </row>
    <row r="27936" spans="8:16" x14ac:dyDescent="0.25">
      <c r="H27936" s="12"/>
      <c r="I27936" s="12"/>
      <c r="J27936" s="12"/>
      <c r="K27936" s="12"/>
      <c r="L27936" s="12"/>
      <c r="M27936" s="11"/>
      <c r="N27936" s="11"/>
      <c r="O27936" s="11"/>
      <c r="P27936" s="11"/>
    </row>
    <row r="27937" spans="8:16" x14ac:dyDescent="0.25">
      <c r="H27937" s="12"/>
      <c r="I27937" s="12"/>
      <c r="J27937" s="12"/>
      <c r="K27937" s="12"/>
      <c r="L27937" s="12"/>
      <c r="M27937" s="11"/>
      <c r="N27937" s="11"/>
      <c r="O27937" s="11"/>
      <c r="P27937" s="11"/>
    </row>
    <row r="27938" spans="8:16" x14ac:dyDescent="0.25">
      <c r="H27938" s="12"/>
      <c r="I27938" s="12"/>
      <c r="J27938" s="12"/>
      <c r="K27938" s="12"/>
      <c r="L27938" s="12"/>
      <c r="M27938" s="11"/>
      <c r="N27938" s="11"/>
      <c r="O27938" s="11"/>
      <c r="P27938" s="11"/>
    </row>
    <row r="27939" spans="8:16" x14ac:dyDescent="0.25">
      <c r="H27939" s="12"/>
      <c r="I27939" s="12"/>
      <c r="J27939" s="12"/>
      <c r="K27939" s="12"/>
      <c r="L27939" s="12"/>
      <c r="M27939" s="11"/>
      <c r="N27939" s="11"/>
      <c r="O27939" s="11"/>
      <c r="P27939" s="11"/>
    </row>
    <row r="27940" spans="8:16" x14ac:dyDescent="0.25">
      <c r="H27940" s="12"/>
      <c r="I27940" s="12"/>
      <c r="J27940" s="12"/>
      <c r="K27940" s="12"/>
      <c r="L27940" s="12"/>
      <c r="M27940" s="11"/>
      <c r="N27940" s="11"/>
      <c r="O27940" s="11"/>
      <c r="P27940" s="11"/>
    </row>
    <row r="27941" spans="8:16" x14ac:dyDescent="0.25">
      <c r="H27941" s="12"/>
      <c r="I27941" s="12"/>
      <c r="J27941" s="12"/>
      <c r="K27941" s="12"/>
      <c r="L27941" s="12"/>
      <c r="M27941" s="11"/>
      <c r="N27941" s="11"/>
      <c r="O27941" s="11"/>
      <c r="P27941" s="11"/>
    </row>
    <row r="27942" spans="8:16" x14ac:dyDescent="0.25">
      <c r="H27942" s="12"/>
      <c r="I27942" s="12"/>
      <c r="J27942" s="12"/>
      <c r="K27942" s="12"/>
      <c r="L27942" s="12"/>
      <c r="M27942" s="11"/>
      <c r="N27942" s="11"/>
      <c r="O27942" s="11"/>
      <c r="P27942" s="11"/>
    </row>
    <row r="27943" spans="8:16" x14ac:dyDescent="0.25">
      <c r="H27943" s="12"/>
      <c r="I27943" s="12"/>
      <c r="J27943" s="12"/>
      <c r="K27943" s="12"/>
      <c r="L27943" s="12"/>
      <c r="M27943" s="11"/>
      <c r="N27943" s="11"/>
      <c r="O27943" s="11"/>
      <c r="P27943" s="11"/>
    </row>
    <row r="27944" spans="8:16" x14ac:dyDescent="0.25">
      <c r="H27944" s="12"/>
      <c r="I27944" s="12"/>
      <c r="J27944" s="12"/>
      <c r="K27944" s="12"/>
      <c r="L27944" s="12"/>
      <c r="M27944" s="11"/>
      <c r="N27944" s="11"/>
      <c r="O27944" s="11"/>
      <c r="P27944" s="11"/>
    </row>
    <row r="27945" spans="8:16" x14ac:dyDescent="0.25">
      <c r="H27945" s="12"/>
      <c r="I27945" s="12"/>
      <c r="J27945" s="12"/>
      <c r="K27945" s="12"/>
      <c r="L27945" s="12"/>
      <c r="M27945" s="11"/>
      <c r="N27945" s="11"/>
      <c r="O27945" s="11"/>
      <c r="P27945" s="11"/>
    </row>
    <row r="27946" spans="8:16" x14ac:dyDescent="0.25">
      <c r="H27946" s="12"/>
      <c r="I27946" s="12"/>
      <c r="J27946" s="12"/>
      <c r="K27946" s="12"/>
      <c r="L27946" s="12"/>
      <c r="M27946" s="11"/>
      <c r="N27946" s="11"/>
      <c r="O27946" s="11"/>
      <c r="P27946" s="11"/>
    </row>
    <row r="27947" spans="8:16" x14ac:dyDescent="0.25">
      <c r="H27947" s="12"/>
      <c r="I27947" s="12"/>
      <c r="J27947" s="12"/>
      <c r="K27947" s="12"/>
      <c r="L27947" s="12"/>
      <c r="M27947" s="11"/>
      <c r="N27947" s="11"/>
      <c r="O27947" s="11"/>
      <c r="P27947" s="11"/>
    </row>
    <row r="27948" spans="8:16" x14ac:dyDescent="0.25">
      <c r="H27948" s="12"/>
      <c r="I27948" s="12"/>
      <c r="J27948" s="12"/>
      <c r="K27948" s="12"/>
      <c r="L27948" s="12"/>
      <c r="M27948" s="11"/>
      <c r="N27948" s="11"/>
      <c r="O27948" s="11"/>
      <c r="P27948" s="11"/>
    </row>
    <row r="27949" spans="8:16" x14ac:dyDescent="0.25">
      <c r="H27949" s="12"/>
      <c r="I27949" s="12"/>
      <c r="J27949" s="12"/>
      <c r="K27949" s="12"/>
      <c r="L27949" s="12"/>
      <c r="M27949" s="11"/>
      <c r="N27949" s="11"/>
      <c r="O27949" s="11"/>
      <c r="P27949" s="11"/>
    </row>
    <row r="27950" spans="8:16" x14ac:dyDescent="0.25">
      <c r="H27950" s="12"/>
      <c r="I27950" s="12"/>
      <c r="J27950" s="12"/>
      <c r="K27950" s="12"/>
      <c r="L27950" s="12"/>
      <c r="M27950" s="11"/>
      <c r="N27950" s="11"/>
      <c r="O27950" s="11"/>
      <c r="P27950" s="11"/>
    </row>
    <row r="27951" spans="8:16" x14ac:dyDescent="0.25">
      <c r="H27951" s="12"/>
      <c r="I27951" s="12"/>
      <c r="J27951" s="12"/>
      <c r="K27951" s="12"/>
      <c r="L27951" s="12"/>
      <c r="M27951" s="11"/>
      <c r="N27951" s="11"/>
      <c r="O27951" s="11"/>
      <c r="P27951" s="11"/>
    </row>
    <row r="27952" spans="8:16" x14ac:dyDescent="0.25">
      <c r="H27952" s="12"/>
      <c r="I27952" s="12"/>
      <c r="J27952" s="12"/>
      <c r="K27952" s="12"/>
      <c r="L27952" s="12"/>
      <c r="M27952" s="11"/>
      <c r="N27952" s="11"/>
      <c r="O27952" s="11"/>
      <c r="P27952" s="11"/>
    </row>
    <row r="27953" spans="8:16" x14ac:dyDescent="0.25">
      <c r="H27953" s="12"/>
      <c r="I27953" s="12"/>
      <c r="J27953" s="12"/>
      <c r="K27953" s="12"/>
      <c r="L27953" s="12"/>
      <c r="M27953" s="11"/>
      <c r="N27953" s="11"/>
      <c r="O27953" s="11"/>
      <c r="P27953" s="11"/>
    </row>
    <row r="27954" spans="8:16" x14ac:dyDescent="0.25">
      <c r="H27954" s="12"/>
      <c r="I27954" s="12"/>
      <c r="J27954" s="12"/>
      <c r="K27954" s="12"/>
      <c r="L27954" s="12"/>
      <c r="M27954" s="11"/>
      <c r="N27954" s="11"/>
      <c r="O27954" s="11"/>
      <c r="P27954" s="11"/>
    </row>
    <row r="27955" spans="8:16" x14ac:dyDescent="0.25">
      <c r="H27955" s="12"/>
      <c r="I27955" s="12"/>
      <c r="J27955" s="12"/>
      <c r="K27955" s="12"/>
      <c r="L27955" s="12"/>
      <c r="M27955" s="11"/>
      <c r="N27955" s="11"/>
      <c r="O27955" s="11"/>
      <c r="P27955" s="11"/>
    </row>
    <row r="27956" spans="8:16" x14ac:dyDescent="0.25">
      <c r="H27956" s="12"/>
      <c r="I27956" s="12"/>
      <c r="J27956" s="12"/>
      <c r="K27956" s="12"/>
      <c r="L27956" s="12"/>
      <c r="M27956" s="11"/>
      <c r="N27956" s="11"/>
      <c r="O27956" s="11"/>
      <c r="P27956" s="11"/>
    </row>
    <row r="27957" spans="8:16" x14ac:dyDescent="0.25">
      <c r="H27957" s="12"/>
      <c r="I27957" s="12"/>
      <c r="J27957" s="12"/>
      <c r="K27957" s="12"/>
      <c r="L27957" s="12"/>
      <c r="M27957" s="11"/>
      <c r="N27957" s="11"/>
      <c r="O27957" s="11"/>
      <c r="P27957" s="11"/>
    </row>
    <row r="27958" spans="8:16" x14ac:dyDescent="0.25">
      <c r="H27958" s="12"/>
      <c r="I27958" s="12"/>
      <c r="J27958" s="12"/>
      <c r="K27958" s="12"/>
      <c r="L27958" s="12"/>
      <c r="M27958" s="11"/>
      <c r="N27958" s="11"/>
      <c r="O27958" s="11"/>
      <c r="P27958" s="11"/>
    </row>
    <row r="27959" spans="8:16" x14ac:dyDescent="0.25">
      <c r="H27959" s="12"/>
      <c r="I27959" s="12"/>
      <c r="J27959" s="12"/>
      <c r="K27959" s="12"/>
      <c r="L27959" s="12"/>
      <c r="M27959" s="11"/>
      <c r="N27959" s="11"/>
      <c r="O27959" s="11"/>
      <c r="P27959" s="11"/>
    </row>
    <row r="27960" spans="8:16" x14ac:dyDescent="0.25">
      <c r="H27960" s="12"/>
      <c r="I27960" s="12"/>
      <c r="J27960" s="12"/>
      <c r="K27960" s="12"/>
      <c r="L27960" s="12"/>
      <c r="M27960" s="11"/>
      <c r="N27960" s="11"/>
      <c r="O27960" s="11"/>
      <c r="P27960" s="11"/>
    </row>
    <row r="27961" spans="8:16" x14ac:dyDescent="0.25">
      <c r="H27961" s="12"/>
      <c r="I27961" s="12"/>
      <c r="J27961" s="12"/>
      <c r="K27961" s="12"/>
      <c r="L27961" s="12"/>
      <c r="M27961" s="11"/>
      <c r="N27961" s="11"/>
      <c r="O27961" s="11"/>
      <c r="P27961" s="11"/>
    </row>
    <row r="27962" spans="8:16" x14ac:dyDescent="0.25">
      <c r="H27962" s="12"/>
      <c r="I27962" s="12"/>
      <c r="J27962" s="12"/>
      <c r="K27962" s="12"/>
      <c r="L27962" s="12"/>
      <c r="M27962" s="11"/>
      <c r="N27962" s="11"/>
      <c r="O27962" s="11"/>
      <c r="P27962" s="11"/>
    </row>
    <row r="27963" spans="8:16" x14ac:dyDescent="0.25">
      <c r="H27963" s="12"/>
      <c r="I27963" s="12"/>
      <c r="J27963" s="12"/>
      <c r="K27963" s="12"/>
      <c r="L27963" s="12"/>
      <c r="M27963" s="11"/>
      <c r="N27963" s="11"/>
      <c r="O27963" s="11"/>
      <c r="P27963" s="11"/>
    </row>
    <row r="27964" spans="8:16" x14ac:dyDescent="0.25">
      <c r="H27964" s="12"/>
      <c r="I27964" s="12"/>
      <c r="J27964" s="12"/>
      <c r="K27964" s="12"/>
      <c r="L27964" s="12"/>
      <c r="M27964" s="11"/>
      <c r="N27964" s="11"/>
      <c r="O27964" s="11"/>
      <c r="P27964" s="11"/>
    </row>
    <row r="27965" spans="8:16" x14ac:dyDescent="0.25">
      <c r="H27965" s="12"/>
      <c r="I27965" s="12"/>
      <c r="J27965" s="12"/>
      <c r="K27965" s="12"/>
      <c r="L27965" s="12"/>
      <c r="M27965" s="11"/>
      <c r="N27965" s="11"/>
      <c r="O27965" s="11"/>
      <c r="P27965" s="11"/>
    </row>
    <row r="27966" spans="8:16" x14ac:dyDescent="0.25">
      <c r="H27966" s="12"/>
      <c r="I27966" s="12"/>
      <c r="J27966" s="12"/>
      <c r="K27966" s="12"/>
      <c r="L27966" s="12"/>
      <c r="M27966" s="11"/>
      <c r="N27966" s="11"/>
      <c r="O27966" s="11"/>
      <c r="P27966" s="11"/>
    </row>
    <row r="27967" spans="8:16" x14ac:dyDescent="0.25">
      <c r="H27967" s="12"/>
      <c r="I27967" s="12"/>
      <c r="J27967" s="12"/>
      <c r="K27967" s="12"/>
      <c r="L27967" s="12"/>
      <c r="M27967" s="11"/>
      <c r="N27967" s="11"/>
      <c r="O27967" s="11"/>
      <c r="P27967" s="11"/>
    </row>
    <row r="27968" spans="8:16" x14ac:dyDescent="0.25">
      <c r="H27968" s="12"/>
      <c r="I27968" s="12"/>
      <c r="J27968" s="12"/>
      <c r="K27968" s="12"/>
      <c r="L27968" s="12"/>
      <c r="M27968" s="11"/>
      <c r="N27968" s="11"/>
      <c r="O27968" s="11"/>
      <c r="P27968" s="11"/>
    </row>
    <row r="27969" spans="8:16" x14ac:dyDescent="0.25">
      <c r="H27969" s="12"/>
      <c r="I27969" s="12"/>
      <c r="J27969" s="12"/>
      <c r="K27969" s="12"/>
      <c r="L27969" s="12"/>
      <c r="M27969" s="11"/>
      <c r="N27969" s="11"/>
      <c r="O27969" s="11"/>
      <c r="P27969" s="11"/>
    </row>
    <row r="27970" spans="8:16" x14ac:dyDescent="0.25">
      <c r="H27970" s="12"/>
      <c r="I27970" s="12"/>
      <c r="J27970" s="12"/>
      <c r="K27970" s="12"/>
      <c r="L27970" s="12"/>
      <c r="M27970" s="11"/>
      <c r="N27970" s="11"/>
      <c r="O27970" s="11"/>
      <c r="P27970" s="11"/>
    </row>
    <row r="27971" spans="8:16" x14ac:dyDescent="0.25">
      <c r="H27971" s="12"/>
      <c r="I27971" s="12"/>
      <c r="J27971" s="12"/>
      <c r="K27971" s="12"/>
      <c r="L27971" s="12"/>
      <c r="M27971" s="11"/>
      <c r="N27971" s="11"/>
      <c r="O27971" s="11"/>
      <c r="P27971" s="11"/>
    </row>
    <row r="27972" spans="8:16" x14ac:dyDescent="0.25">
      <c r="H27972" s="12"/>
      <c r="I27972" s="12"/>
      <c r="J27972" s="12"/>
      <c r="K27972" s="12"/>
      <c r="L27972" s="12"/>
      <c r="M27972" s="11"/>
      <c r="N27972" s="11"/>
      <c r="O27972" s="11"/>
      <c r="P27972" s="11"/>
    </row>
    <row r="27973" spans="8:16" x14ac:dyDescent="0.25">
      <c r="H27973" s="12"/>
      <c r="I27973" s="12"/>
      <c r="J27973" s="12"/>
      <c r="K27973" s="12"/>
      <c r="L27973" s="12"/>
      <c r="M27973" s="11"/>
      <c r="N27973" s="11"/>
      <c r="O27973" s="11"/>
      <c r="P27973" s="11"/>
    </row>
    <row r="27974" spans="8:16" x14ac:dyDescent="0.25">
      <c r="H27974" s="12"/>
      <c r="I27974" s="12"/>
      <c r="J27974" s="12"/>
      <c r="K27974" s="12"/>
      <c r="L27974" s="12"/>
      <c r="M27974" s="11"/>
      <c r="N27974" s="11"/>
      <c r="O27974" s="11"/>
      <c r="P27974" s="11"/>
    </row>
    <row r="27975" spans="8:16" x14ac:dyDescent="0.25">
      <c r="H27975" s="12"/>
      <c r="I27975" s="12"/>
      <c r="J27975" s="12"/>
      <c r="K27975" s="12"/>
      <c r="L27975" s="12"/>
      <c r="M27975" s="11"/>
      <c r="N27975" s="11"/>
      <c r="O27975" s="11"/>
      <c r="P27975" s="11"/>
    </row>
    <row r="27976" spans="8:16" x14ac:dyDescent="0.25">
      <c r="H27976" s="12"/>
      <c r="I27976" s="12"/>
      <c r="J27976" s="12"/>
      <c r="K27976" s="12"/>
      <c r="L27976" s="12"/>
      <c r="M27976" s="11"/>
      <c r="N27976" s="11"/>
      <c r="O27976" s="11"/>
      <c r="P27976" s="11"/>
    </row>
    <row r="27977" spans="8:16" x14ac:dyDescent="0.25">
      <c r="H27977" s="12"/>
      <c r="I27977" s="12"/>
      <c r="J27977" s="12"/>
      <c r="K27977" s="12"/>
      <c r="L27977" s="12"/>
      <c r="M27977" s="11"/>
      <c r="N27977" s="11"/>
      <c r="O27977" s="11"/>
      <c r="P27977" s="11"/>
    </row>
    <row r="27978" spans="8:16" x14ac:dyDescent="0.25">
      <c r="H27978" s="12"/>
      <c r="I27978" s="12"/>
      <c r="J27978" s="12"/>
      <c r="K27978" s="12"/>
      <c r="L27978" s="12"/>
      <c r="M27978" s="11"/>
      <c r="N27978" s="11"/>
      <c r="O27978" s="11"/>
      <c r="P27978" s="11"/>
    </row>
    <row r="27979" spans="8:16" x14ac:dyDescent="0.25">
      <c r="H27979" s="12"/>
      <c r="I27979" s="12"/>
      <c r="J27979" s="12"/>
      <c r="K27979" s="12"/>
      <c r="L27979" s="12"/>
      <c r="M27979" s="11"/>
      <c r="N27979" s="11"/>
      <c r="O27979" s="11"/>
      <c r="P27979" s="11"/>
    </row>
    <row r="27980" spans="8:16" x14ac:dyDescent="0.25">
      <c r="H27980" s="12"/>
      <c r="I27980" s="12"/>
      <c r="J27980" s="12"/>
      <c r="K27980" s="12"/>
      <c r="L27980" s="12"/>
      <c r="M27980" s="11"/>
      <c r="N27980" s="11"/>
      <c r="O27980" s="11"/>
      <c r="P27980" s="11"/>
    </row>
    <row r="27981" spans="8:16" x14ac:dyDescent="0.25">
      <c r="H27981" s="12"/>
      <c r="I27981" s="12"/>
      <c r="J27981" s="12"/>
      <c r="K27981" s="12"/>
      <c r="L27981" s="12"/>
      <c r="M27981" s="11"/>
      <c r="N27981" s="11"/>
      <c r="O27981" s="11"/>
      <c r="P27981" s="11"/>
    </row>
    <row r="27982" spans="8:16" x14ac:dyDescent="0.25">
      <c r="H27982" s="12"/>
      <c r="I27982" s="12"/>
      <c r="J27982" s="12"/>
      <c r="K27982" s="12"/>
      <c r="L27982" s="12"/>
      <c r="M27982" s="11"/>
      <c r="N27982" s="11"/>
      <c r="O27982" s="11"/>
      <c r="P27982" s="11"/>
    </row>
    <row r="27983" spans="8:16" x14ac:dyDescent="0.25">
      <c r="H27983" s="12"/>
      <c r="I27983" s="12"/>
      <c r="J27983" s="12"/>
      <c r="K27983" s="12"/>
      <c r="L27983" s="12"/>
      <c r="M27983" s="11"/>
      <c r="N27983" s="11"/>
      <c r="O27983" s="11"/>
      <c r="P27983" s="11"/>
    </row>
    <row r="27984" spans="8:16" x14ac:dyDescent="0.25">
      <c r="H27984" s="12"/>
      <c r="I27984" s="12"/>
      <c r="J27984" s="12"/>
      <c r="K27984" s="12"/>
      <c r="L27984" s="12"/>
      <c r="M27984" s="11"/>
      <c r="N27984" s="11"/>
      <c r="O27984" s="11"/>
      <c r="P27984" s="11"/>
    </row>
    <row r="27985" spans="8:16" x14ac:dyDescent="0.25">
      <c r="H27985" s="12"/>
      <c r="I27985" s="12"/>
      <c r="J27985" s="12"/>
      <c r="K27985" s="12"/>
      <c r="L27985" s="12"/>
      <c r="M27985" s="11"/>
      <c r="N27985" s="11"/>
      <c r="O27985" s="11"/>
      <c r="P27985" s="11"/>
    </row>
    <row r="27986" spans="8:16" x14ac:dyDescent="0.25">
      <c r="H27986" s="12"/>
      <c r="I27986" s="12"/>
      <c r="J27986" s="12"/>
      <c r="K27986" s="12"/>
      <c r="L27986" s="12"/>
      <c r="M27986" s="11"/>
      <c r="N27986" s="11"/>
      <c r="O27986" s="11"/>
      <c r="P27986" s="11"/>
    </row>
    <row r="27987" spans="8:16" x14ac:dyDescent="0.25">
      <c r="H27987" s="12"/>
      <c r="I27987" s="12"/>
      <c r="J27987" s="12"/>
      <c r="K27987" s="12"/>
      <c r="L27987" s="12"/>
      <c r="M27987" s="11"/>
      <c r="N27987" s="11"/>
      <c r="O27987" s="11"/>
      <c r="P27987" s="11"/>
    </row>
    <row r="27988" spans="8:16" x14ac:dyDescent="0.25">
      <c r="H27988" s="12"/>
      <c r="I27988" s="12"/>
      <c r="J27988" s="12"/>
      <c r="K27988" s="12"/>
      <c r="L27988" s="12"/>
      <c r="M27988" s="11"/>
      <c r="N27988" s="11"/>
      <c r="O27988" s="11"/>
      <c r="P27988" s="11"/>
    </row>
    <row r="27989" spans="8:16" x14ac:dyDescent="0.25">
      <c r="H27989" s="12"/>
      <c r="I27989" s="12"/>
      <c r="J27989" s="12"/>
      <c r="K27989" s="12"/>
      <c r="L27989" s="12"/>
      <c r="M27989" s="11"/>
      <c r="N27989" s="11"/>
      <c r="O27989" s="11"/>
      <c r="P27989" s="11"/>
    </row>
    <row r="27990" spans="8:16" x14ac:dyDescent="0.25">
      <c r="H27990" s="12"/>
      <c r="I27990" s="12"/>
      <c r="J27990" s="12"/>
      <c r="K27990" s="12"/>
      <c r="L27990" s="12"/>
      <c r="M27990" s="11"/>
      <c r="N27990" s="11"/>
      <c r="O27990" s="11"/>
      <c r="P27990" s="11"/>
    </row>
    <row r="27991" spans="8:16" x14ac:dyDescent="0.25">
      <c r="H27991" s="12"/>
      <c r="I27991" s="12"/>
      <c r="J27991" s="12"/>
      <c r="K27991" s="12"/>
      <c r="L27991" s="12"/>
      <c r="M27991" s="11"/>
      <c r="N27991" s="11"/>
      <c r="O27991" s="11"/>
      <c r="P27991" s="11"/>
    </row>
    <row r="27992" spans="8:16" x14ac:dyDescent="0.25">
      <c r="H27992" s="12"/>
      <c r="I27992" s="12"/>
      <c r="J27992" s="12"/>
      <c r="K27992" s="12"/>
      <c r="L27992" s="12"/>
      <c r="M27992" s="11"/>
      <c r="N27992" s="11"/>
      <c r="O27992" s="11"/>
      <c r="P27992" s="11"/>
    </row>
    <row r="27993" spans="8:16" x14ac:dyDescent="0.25">
      <c r="H27993" s="12"/>
      <c r="I27993" s="12"/>
      <c r="J27993" s="12"/>
      <c r="K27993" s="12"/>
      <c r="L27993" s="12"/>
      <c r="M27993" s="11"/>
      <c r="N27993" s="11"/>
      <c r="O27993" s="11"/>
      <c r="P27993" s="11"/>
    </row>
    <row r="27994" spans="8:16" x14ac:dyDescent="0.25">
      <c r="H27994" s="12"/>
      <c r="I27994" s="12"/>
      <c r="J27994" s="12"/>
      <c r="K27994" s="12"/>
      <c r="L27994" s="12"/>
      <c r="M27994" s="11"/>
      <c r="N27994" s="11"/>
      <c r="O27994" s="11"/>
      <c r="P27994" s="11"/>
    </row>
    <row r="27995" spans="8:16" x14ac:dyDescent="0.25">
      <c r="H27995" s="12"/>
      <c r="I27995" s="12"/>
      <c r="J27995" s="12"/>
      <c r="K27995" s="12"/>
      <c r="L27995" s="12"/>
      <c r="M27995" s="11"/>
      <c r="N27995" s="11"/>
      <c r="O27995" s="11"/>
      <c r="P27995" s="11"/>
    </row>
    <row r="27996" spans="8:16" x14ac:dyDescent="0.25">
      <c r="H27996" s="12"/>
      <c r="I27996" s="12"/>
      <c r="J27996" s="12"/>
      <c r="K27996" s="12"/>
      <c r="L27996" s="12"/>
      <c r="M27996" s="11"/>
      <c r="N27996" s="11"/>
      <c r="O27996" s="11"/>
      <c r="P27996" s="11"/>
    </row>
    <row r="27997" spans="8:16" x14ac:dyDescent="0.25">
      <c r="H27997" s="12"/>
      <c r="I27997" s="12"/>
      <c r="J27997" s="12"/>
      <c r="K27997" s="12"/>
      <c r="L27997" s="12"/>
      <c r="M27997" s="11"/>
      <c r="N27997" s="11"/>
      <c r="O27997" s="11"/>
      <c r="P27997" s="11"/>
    </row>
    <row r="27998" spans="8:16" x14ac:dyDescent="0.25">
      <c r="H27998" s="12"/>
      <c r="I27998" s="12"/>
      <c r="J27998" s="12"/>
      <c r="K27998" s="12"/>
      <c r="L27998" s="12"/>
      <c r="M27998" s="11"/>
      <c r="N27998" s="11"/>
      <c r="O27998" s="11"/>
      <c r="P27998" s="11"/>
    </row>
    <row r="27999" spans="8:16" x14ac:dyDescent="0.25">
      <c r="H27999" s="12"/>
      <c r="I27999" s="12"/>
      <c r="J27999" s="12"/>
      <c r="K27999" s="12"/>
      <c r="L27999" s="12"/>
      <c r="M27999" s="11"/>
      <c r="N27999" s="11"/>
      <c r="O27999" s="11"/>
      <c r="P27999" s="11"/>
    </row>
    <row r="28000" spans="8:16" x14ac:dyDescent="0.25">
      <c r="H28000" s="12"/>
      <c r="I28000" s="12"/>
      <c r="J28000" s="12"/>
      <c r="K28000" s="12"/>
      <c r="L28000" s="12"/>
      <c r="M28000" s="11"/>
      <c r="N28000" s="11"/>
      <c r="O28000" s="11"/>
      <c r="P28000" s="11"/>
    </row>
    <row r="28001" spans="8:16" x14ac:dyDescent="0.25">
      <c r="H28001" s="12"/>
      <c r="I28001" s="12"/>
      <c r="J28001" s="12"/>
      <c r="K28001" s="12"/>
      <c r="L28001" s="12"/>
      <c r="M28001" s="11"/>
      <c r="N28001" s="11"/>
      <c r="O28001" s="11"/>
      <c r="P28001" s="11"/>
    </row>
    <row r="28002" spans="8:16" x14ac:dyDescent="0.25">
      <c r="H28002" s="12"/>
      <c r="I28002" s="12"/>
      <c r="J28002" s="12"/>
      <c r="K28002" s="12"/>
      <c r="L28002" s="12"/>
      <c r="M28002" s="11"/>
      <c r="N28002" s="11"/>
      <c r="O28002" s="11"/>
      <c r="P28002" s="11"/>
    </row>
    <row r="28003" spans="8:16" x14ac:dyDescent="0.25">
      <c r="H28003" s="12"/>
      <c r="I28003" s="12"/>
      <c r="J28003" s="12"/>
      <c r="K28003" s="12"/>
      <c r="L28003" s="12"/>
      <c r="M28003" s="11"/>
      <c r="N28003" s="11"/>
      <c r="O28003" s="11"/>
      <c r="P28003" s="11"/>
    </row>
    <row r="28004" spans="8:16" x14ac:dyDescent="0.25">
      <c r="H28004" s="12"/>
      <c r="I28004" s="12"/>
      <c r="J28004" s="12"/>
      <c r="K28004" s="12"/>
      <c r="L28004" s="12"/>
      <c r="M28004" s="11"/>
      <c r="N28004" s="11"/>
      <c r="O28004" s="11"/>
      <c r="P28004" s="11"/>
    </row>
    <row r="28005" spans="8:16" x14ac:dyDescent="0.25">
      <c r="H28005" s="12"/>
      <c r="I28005" s="12"/>
      <c r="J28005" s="12"/>
      <c r="K28005" s="12"/>
      <c r="L28005" s="12"/>
      <c r="M28005" s="11"/>
      <c r="N28005" s="11"/>
      <c r="O28005" s="11"/>
      <c r="P28005" s="11"/>
    </row>
    <row r="28006" spans="8:16" x14ac:dyDescent="0.25">
      <c r="H28006" s="12"/>
      <c r="I28006" s="12"/>
      <c r="J28006" s="12"/>
      <c r="K28006" s="12"/>
      <c r="L28006" s="12"/>
      <c r="M28006" s="11"/>
      <c r="N28006" s="11"/>
      <c r="O28006" s="11"/>
      <c r="P28006" s="11"/>
    </row>
    <row r="28007" spans="8:16" x14ac:dyDescent="0.25">
      <c r="H28007" s="12"/>
      <c r="I28007" s="12"/>
      <c r="J28007" s="12"/>
      <c r="K28007" s="12"/>
      <c r="L28007" s="12"/>
      <c r="M28007" s="11"/>
      <c r="N28007" s="11"/>
      <c r="O28007" s="11"/>
      <c r="P28007" s="11"/>
    </row>
    <row r="28008" spans="8:16" x14ac:dyDescent="0.25">
      <c r="H28008" s="12"/>
      <c r="I28008" s="12"/>
      <c r="J28008" s="12"/>
      <c r="K28008" s="12"/>
      <c r="L28008" s="12"/>
      <c r="M28008" s="11"/>
      <c r="N28008" s="11"/>
      <c r="O28008" s="11"/>
      <c r="P28008" s="11"/>
    </row>
    <row r="28009" spans="8:16" x14ac:dyDescent="0.25">
      <c r="H28009" s="12"/>
      <c r="I28009" s="12"/>
      <c r="J28009" s="12"/>
      <c r="K28009" s="12"/>
      <c r="L28009" s="12"/>
      <c r="M28009" s="11"/>
      <c r="N28009" s="11"/>
      <c r="O28009" s="11"/>
      <c r="P28009" s="11"/>
    </row>
    <row r="28010" spans="8:16" x14ac:dyDescent="0.25">
      <c r="H28010" s="12"/>
      <c r="I28010" s="12"/>
      <c r="J28010" s="12"/>
      <c r="K28010" s="12"/>
      <c r="L28010" s="12"/>
      <c r="M28010" s="11"/>
      <c r="N28010" s="11"/>
      <c r="O28010" s="11"/>
      <c r="P28010" s="11"/>
    </row>
    <row r="28011" spans="8:16" x14ac:dyDescent="0.25">
      <c r="H28011" s="12"/>
      <c r="I28011" s="12"/>
      <c r="J28011" s="12"/>
      <c r="K28011" s="12"/>
      <c r="L28011" s="12"/>
      <c r="M28011" s="11"/>
      <c r="N28011" s="11"/>
      <c r="O28011" s="11"/>
      <c r="P28011" s="11"/>
    </row>
    <row r="28012" spans="8:16" x14ac:dyDescent="0.25">
      <c r="H28012" s="12"/>
      <c r="I28012" s="12"/>
      <c r="J28012" s="12"/>
      <c r="K28012" s="12"/>
      <c r="L28012" s="12"/>
      <c r="M28012" s="11"/>
      <c r="N28012" s="11"/>
      <c r="O28012" s="11"/>
      <c r="P28012" s="11"/>
    </row>
    <row r="28013" spans="8:16" x14ac:dyDescent="0.25">
      <c r="H28013" s="12"/>
      <c r="I28013" s="12"/>
      <c r="J28013" s="12"/>
      <c r="K28013" s="12"/>
      <c r="L28013" s="12"/>
      <c r="M28013" s="11"/>
      <c r="N28013" s="11"/>
      <c r="O28013" s="11"/>
      <c r="P28013" s="11"/>
    </row>
    <row r="28014" spans="8:16" x14ac:dyDescent="0.25">
      <c r="H28014" s="12"/>
      <c r="I28014" s="12"/>
      <c r="J28014" s="12"/>
      <c r="K28014" s="12"/>
      <c r="L28014" s="12"/>
      <c r="M28014" s="11"/>
      <c r="N28014" s="11"/>
      <c r="O28014" s="11"/>
      <c r="P28014" s="11"/>
    </row>
    <row r="28015" spans="8:16" x14ac:dyDescent="0.25">
      <c r="H28015" s="12"/>
      <c r="I28015" s="12"/>
      <c r="J28015" s="12"/>
      <c r="K28015" s="12"/>
      <c r="L28015" s="12"/>
      <c r="M28015" s="11"/>
      <c r="N28015" s="11"/>
      <c r="O28015" s="11"/>
      <c r="P28015" s="11"/>
    </row>
    <row r="28016" spans="8:16" x14ac:dyDescent="0.25">
      <c r="H28016" s="12"/>
      <c r="I28016" s="12"/>
      <c r="J28016" s="12"/>
      <c r="K28016" s="12"/>
      <c r="L28016" s="12"/>
      <c r="M28016" s="11"/>
      <c r="N28016" s="11"/>
      <c r="O28016" s="11"/>
      <c r="P28016" s="11"/>
    </row>
    <row r="28017" spans="8:16" x14ac:dyDescent="0.25">
      <c r="H28017" s="12"/>
      <c r="I28017" s="12"/>
      <c r="J28017" s="12"/>
      <c r="K28017" s="12"/>
      <c r="L28017" s="12"/>
      <c r="M28017" s="11"/>
      <c r="N28017" s="11"/>
      <c r="O28017" s="11"/>
      <c r="P28017" s="11"/>
    </row>
    <row r="28018" spans="8:16" x14ac:dyDescent="0.25">
      <c r="H28018" s="12"/>
      <c r="I28018" s="12"/>
      <c r="J28018" s="12"/>
      <c r="K28018" s="12"/>
      <c r="L28018" s="12"/>
      <c r="M28018" s="11"/>
      <c r="N28018" s="11"/>
      <c r="O28018" s="11"/>
      <c r="P28018" s="11"/>
    </row>
    <row r="28019" spans="8:16" x14ac:dyDescent="0.25">
      <c r="H28019" s="12"/>
      <c r="I28019" s="12"/>
      <c r="J28019" s="12"/>
      <c r="K28019" s="12"/>
      <c r="L28019" s="12"/>
      <c r="M28019" s="11"/>
      <c r="N28019" s="11"/>
      <c r="O28019" s="11"/>
      <c r="P28019" s="11"/>
    </row>
    <row r="28020" spans="8:16" x14ac:dyDescent="0.25">
      <c r="H28020" s="12"/>
      <c r="I28020" s="12"/>
      <c r="J28020" s="12"/>
      <c r="K28020" s="12"/>
      <c r="L28020" s="12"/>
      <c r="M28020" s="11"/>
      <c r="N28020" s="11"/>
      <c r="O28020" s="11"/>
      <c r="P28020" s="11"/>
    </row>
    <row r="28021" spans="8:16" x14ac:dyDescent="0.25">
      <c r="H28021" s="12"/>
      <c r="I28021" s="12"/>
      <c r="J28021" s="12"/>
      <c r="K28021" s="12"/>
      <c r="L28021" s="12"/>
      <c r="M28021" s="11"/>
      <c r="N28021" s="11"/>
      <c r="O28021" s="11"/>
      <c r="P28021" s="11"/>
    </row>
    <row r="28022" spans="8:16" x14ac:dyDescent="0.25">
      <c r="H28022" s="12"/>
      <c r="I28022" s="12"/>
      <c r="J28022" s="12"/>
      <c r="K28022" s="12"/>
      <c r="L28022" s="12"/>
      <c r="M28022" s="11"/>
      <c r="N28022" s="11"/>
      <c r="O28022" s="11"/>
      <c r="P28022" s="11"/>
    </row>
    <row r="28023" spans="8:16" x14ac:dyDescent="0.25">
      <c r="H28023" s="12"/>
      <c r="I28023" s="12"/>
      <c r="J28023" s="12"/>
      <c r="K28023" s="12"/>
      <c r="L28023" s="12"/>
      <c r="M28023" s="11"/>
      <c r="N28023" s="11"/>
      <c r="O28023" s="11"/>
      <c r="P28023" s="11"/>
    </row>
    <row r="28024" spans="8:16" x14ac:dyDescent="0.25">
      <c r="H28024" s="12"/>
      <c r="I28024" s="12"/>
      <c r="J28024" s="12"/>
      <c r="K28024" s="12"/>
      <c r="L28024" s="12"/>
      <c r="M28024" s="11"/>
      <c r="N28024" s="11"/>
      <c r="O28024" s="11"/>
      <c r="P28024" s="11"/>
    </row>
    <row r="28025" spans="8:16" x14ac:dyDescent="0.25">
      <c r="H28025" s="12"/>
      <c r="I28025" s="12"/>
      <c r="J28025" s="12"/>
      <c r="K28025" s="12"/>
      <c r="L28025" s="12"/>
      <c r="M28025" s="11"/>
      <c r="N28025" s="11"/>
      <c r="O28025" s="11"/>
      <c r="P28025" s="11"/>
    </row>
    <row r="28026" spans="8:16" x14ac:dyDescent="0.25">
      <c r="H28026" s="12"/>
      <c r="I28026" s="12"/>
      <c r="J28026" s="12"/>
      <c r="K28026" s="12"/>
      <c r="L28026" s="12"/>
      <c r="M28026" s="11"/>
      <c r="N28026" s="11"/>
      <c r="O28026" s="11"/>
      <c r="P28026" s="11"/>
    </row>
    <row r="28027" spans="8:16" x14ac:dyDescent="0.25">
      <c r="H28027" s="12"/>
      <c r="I28027" s="12"/>
      <c r="J28027" s="12"/>
      <c r="K28027" s="12"/>
      <c r="L28027" s="12"/>
      <c r="M28027" s="11"/>
      <c r="N28027" s="11"/>
      <c r="O28027" s="11"/>
      <c r="P28027" s="11"/>
    </row>
    <row r="28028" spans="8:16" x14ac:dyDescent="0.25">
      <c r="H28028" s="12"/>
      <c r="I28028" s="12"/>
      <c r="J28028" s="12"/>
      <c r="K28028" s="12"/>
      <c r="L28028" s="12"/>
      <c r="M28028" s="11"/>
      <c r="N28028" s="11"/>
      <c r="O28028" s="11"/>
      <c r="P28028" s="11"/>
    </row>
    <row r="28029" spans="8:16" x14ac:dyDescent="0.25">
      <c r="H28029" s="12"/>
      <c r="I28029" s="12"/>
      <c r="J28029" s="12"/>
      <c r="K28029" s="12"/>
      <c r="L28029" s="12"/>
      <c r="M28029" s="11"/>
      <c r="N28029" s="11"/>
      <c r="O28029" s="11"/>
      <c r="P28029" s="11"/>
    </row>
    <row r="28030" spans="8:16" x14ac:dyDescent="0.25">
      <c r="H28030" s="12"/>
      <c r="I28030" s="12"/>
      <c r="J28030" s="12"/>
      <c r="K28030" s="12"/>
      <c r="L28030" s="12"/>
      <c r="M28030" s="11"/>
      <c r="N28030" s="11"/>
      <c r="O28030" s="11"/>
      <c r="P28030" s="11"/>
    </row>
    <row r="28031" spans="8:16" x14ac:dyDescent="0.25">
      <c r="H28031" s="12"/>
      <c r="I28031" s="12"/>
      <c r="J28031" s="12"/>
      <c r="K28031" s="12"/>
      <c r="L28031" s="12"/>
      <c r="M28031" s="11"/>
      <c r="N28031" s="11"/>
      <c r="O28031" s="11"/>
      <c r="P28031" s="11"/>
    </row>
    <row r="28032" spans="8:16" x14ac:dyDescent="0.25">
      <c r="H28032" s="12"/>
      <c r="I28032" s="12"/>
      <c r="J28032" s="12"/>
      <c r="K28032" s="12"/>
      <c r="L28032" s="12"/>
      <c r="M28032" s="11"/>
      <c r="N28032" s="11"/>
      <c r="O28032" s="11"/>
      <c r="P28032" s="11"/>
    </row>
    <row r="28033" spans="8:16" x14ac:dyDescent="0.25">
      <c r="H28033" s="12"/>
      <c r="I28033" s="12"/>
      <c r="J28033" s="12"/>
      <c r="K28033" s="12"/>
      <c r="L28033" s="12"/>
      <c r="M28033" s="11"/>
      <c r="N28033" s="11"/>
      <c r="O28033" s="11"/>
      <c r="P28033" s="11"/>
    </row>
    <row r="28034" spans="8:16" x14ac:dyDescent="0.25">
      <c r="H28034" s="12"/>
      <c r="I28034" s="12"/>
      <c r="J28034" s="12"/>
      <c r="K28034" s="12"/>
      <c r="L28034" s="12"/>
      <c r="M28034" s="11"/>
      <c r="N28034" s="11"/>
      <c r="O28034" s="11"/>
      <c r="P28034" s="11"/>
    </row>
    <row r="28035" spans="8:16" x14ac:dyDescent="0.25">
      <c r="H28035" s="12"/>
      <c r="I28035" s="12"/>
      <c r="J28035" s="12"/>
      <c r="K28035" s="12"/>
      <c r="L28035" s="12"/>
      <c r="M28035" s="11"/>
      <c r="N28035" s="11"/>
      <c r="O28035" s="11"/>
      <c r="P28035" s="11"/>
    </row>
    <row r="28036" spans="8:16" x14ac:dyDescent="0.25">
      <c r="H28036" s="12"/>
      <c r="I28036" s="12"/>
      <c r="J28036" s="12"/>
      <c r="K28036" s="12"/>
      <c r="L28036" s="12"/>
      <c r="M28036" s="11"/>
      <c r="N28036" s="11"/>
      <c r="O28036" s="11"/>
      <c r="P28036" s="11"/>
    </row>
    <row r="28037" spans="8:16" x14ac:dyDescent="0.25">
      <c r="H28037" s="12"/>
      <c r="I28037" s="12"/>
      <c r="J28037" s="12"/>
      <c r="K28037" s="12"/>
      <c r="L28037" s="12"/>
      <c r="M28037" s="11"/>
      <c r="N28037" s="11"/>
      <c r="O28037" s="11"/>
      <c r="P28037" s="11"/>
    </row>
    <row r="28038" spans="8:16" x14ac:dyDescent="0.25">
      <c r="H28038" s="12"/>
      <c r="I28038" s="12"/>
      <c r="J28038" s="12"/>
      <c r="K28038" s="12"/>
      <c r="L28038" s="12"/>
      <c r="M28038" s="11"/>
      <c r="N28038" s="11"/>
      <c r="O28038" s="11"/>
      <c r="P28038" s="11"/>
    </row>
    <row r="28039" spans="8:16" x14ac:dyDescent="0.25">
      <c r="H28039" s="12"/>
      <c r="I28039" s="12"/>
      <c r="J28039" s="12"/>
      <c r="K28039" s="12"/>
      <c r="L28039" s="12"/>
      <c r="M28039" s="11"/>
      <c r="N28039" s="11"/>
      <c r="O28039" s="11"/>
      <c r="P28039" s="11"/>
    </row>
    <row r="28040" spans="8:16" x14ac:dyDescent="0.25">
      <c r="H28040" s="12"/>
      <c r="I28040" s="12"/>
      <c r="J28040" s="12"/>
      <c r="K28040" s="12"/>
      <c r="L28040" s="12"/>
      <c r="M28040" s="11"/>
      <c r="N28040" s="11"/>
      <c r="O28040" s="11"/>
      <c r="P28040" s="11"/>
    </row>
    <row r="28041" spans="8:16" x14ac:dyDescent="0.25">
      <c r="H28041" s="12"/>
      <c r="I28041" s="12"/>
      <c r="J28041" s="12"/>
      <c r="K28041" s="12"/>
      <c r="L28041" s="12"/>
      <c r="M28041" s="11"/>
      <c r="N28041" s="11"/>
      <c r="O28041" s="11"/>
      <c r="P28041" s="11"/>
    </row>
    <row r="28042" spans="8:16" x14ac:dyDescent="0.25">
      <c r="H28042" s="12"/>
      <c r="I28042" s="12"/>
      <c r="J28042" s="12"/>
      <c r="K28042" s="12"/>
      <c r="L28042" s="12"/>
      <c r="M28042" s="11"/>
      <c r="N28042" s="11"/>
      <c r="O28042" s="11"/>
      <c r="P28042" s="11"/>
    </row>
    <row r="28043" spans="8:16" x14ac:dyDescent="0.25">
      <c r="H28043" s="12"/>
      <c r="I28043" s="12"/>
      <c r="J28043" s="12"/>
      <c r="K28043" s="12"/>
      <c r="L28043" s="12"/>
      <c r="M28043" s="11"/>
      <c r="N28043" s="11"/>
      <c r="O28043" s="11"/>
      <c r="P28043" s="11"/>
    </row>
    <row r="28044" spans="8:16" x14ac:dyDescent="0.25">
      <c r="H28044" s="12"/>
      <c r="I28044" s="12"/>
      <c r="J28044" s="12"/>
      <c r="K28044" s="12"/>
      <c r="L28044" s="12"/>
      <c r="M28044" s="11"/>
      <c r="N28044" s="11"/>
      <c r="O28044" s="11"/>
      <c r="P28044" s="11"/>
    </row>
    <row r="28045" spans="8:16" x14ac:dyDescent="0.25">
      <c r="H28045" s="12"/>
      <c r="I28045" s="12"/>
      <c r="J28045" s="12"/>
      <c r="K28045" s="12"/>
      <c r="L28045" s="12"/>
      <c r="M28045" s="11"/>
      <c r="N28045" s="11"/>
      <c r="O28045" s="11"/>
      <c r="P28045" s="11"/>
    </row>
    <row r="28046" spans="8:16" x14ac:dyDescent="0.25">
      <c r="H28046" s="12"/>
      <c r="I28046" s="12"/>
      <c r="J28046" s="12"/>
      <c r="K28046" s="12"/>
      <c r="L28046" s="12"/>
      <c r="M28046" s="11"/>
      <c r="N28046" s="11"/>
      <c r="O28046" s="11"/>
      <c r="P28046" s="11"/>
    </row>
    <row r="28047" spans="8:16" x14ac:dyDescent="0.25">
      <c r="H28047" s="12"/>
      <c r="I28047" s="12"/>
      <c r="J28047" s="12"/>
      <c r="K28047" s="12"/>
      <c r="L28047" s="12"/>
      <c r="M28047" s="11"/>
      <c r="N28047" s="11"/>
      <c r="O28047" s="11"/>
      <c r="P28047" s="11"/>
    </row>
    <row r="28048" spans="8:16" x14ac:dyDescent="0.25">
      <c r="H28048" s="12"/>
      <c r="I28048" s="12"/>
      <c r="J28048" s="12"/>
      <c r="K28048" s="12"/>
      <c r="L28048" s="12"/>
      <c r="M28048" s="11"/>
      <c r="N28048" s="11"/>
      <c r="O28048" s="11"/>
      <c r="P28048" s="11"/>
    </row>
    <row r="28049" spans="8:16" x14ac:dyDescent="0.25">
      <c r="H28049" s="12"/>
      <c r="I28049" s="12"/>
      <c r="J28049" s="12"/>
      <c r="K28049" s="12"/>
      <c r="L28049" s="12"/>
      <c r="M28049" s="11"/>
      <c r="N28049" s="11"/>
      <c r="O28049" s="11"/>
      <c r="P28049" s="11"/>
    </row>
    <row r="28050" spans="8:16" x14ac:dyDescent="0.25">
      <c r="H28050" s="12"/>
      <c r="I28050" s="12"/>
      <c r="J28050" s="12"/>
      <c r="K28050" s="12"/>
      <c r="L28050" s="12"/>
      <c r="M28050" s="11"/>
      <c r="N28050" s="11"/>
      <c r="O28050" s="11"/>
      <c r="P28050" s="11"/>
    </row>
    <row r="28051" spans="8:16" x14ac:dyDescent="0.25">
      <c r="H28051" s="12"/>
      <c r="I28051" s="12"/>
      <c r="J28051" s="12"/>
      <c r="K28051" s="12"/>
      <c r="L28051" s="12"/>
      <c r="M28051" s="11"/>
      <c r="N28051" s="11"/>
      <c r="O28051" s="11"/>
      <c r="P28051" s="11"/>
    </row>
    <row r="28052" spans="8:16" x14ac:dyDescent="0.25">
      <c r="H28052" s="12"/>
      <c r="I28052" s="12"/>
      <c r="J28052" s="12"/>
      <c r="K28052" s="12"/>
      <c r="L28052" s="12"/>
      <c r="M28052" s="11"/>
      <c r="N28052" s="11"/>
      <c r="O28052" s="11"/>
      <c r="P28052" s="11"/>
    </row>
    <row r="28053" spans="8:16" x14ac:dyDescent="0.25">
      <c r="H28053" s="12"/>
      <c r="I28053" s="12"/>
      <c r="J28053" s="12"/>
      <c r="K28053" s="12"/>
      <c r="L28053" s="12"/>
      <c r="M28053" s="11"/>
      <c r="N28053" s="11"/>
      <c r="O28053" s="11"/>
      <c r="P28053" s="11"/>
    </row>
    <row r="28054" spans="8:16" x14ac:dyDescent="0.25">
      <c r="H28054" s="12"/>
      <c r="I28054" s="12"/>
      <c r="J28054" s="12"/>
      <c r="K28054" s="12"/>
      <c r="L28054" s="12"/>
      <c r="M28054" s="11"/>
      <c r="N28054" s="11"/>
      <c r="O28054" s="11"/>
      <c r="P28054" s="11"/>
    </row>
    <row r="28055" spans="8:16" x14ac:dyDescent="0.25">
      <c r="H28055" s="12"/>
      <c r="I28055" s="12"/>
      <c r="J28055" s="12"/>
      <c r="K28055" s="12"/>
      <c r="L28055" s="12"/>
      <c r="M28055" s="11"/>
      <c r="N28055" s="11"/>
      <c r="O28055" s="11"/>
      <c r="P28055" s="11"/>
    </row>
    <row r="28056" spans="8:16" x14ac:dyDescent="0.25">
      <c r="H28056" s="12"/>
      <c r="I28056" s="12"/>
      <c r="J28056" s="12"/>
      <c r="K28056" s="12"/>
      <c r="L28056" s="12"/>
      <c r="M28056" s="11"/>
      <c r="N28056" s="11"/>
      <c r="O28056" s="11"/>
      <c r="P28056" s="11"/>
    </row>
    <row r="28057" spans="8:16" x14ac:dyDescent="0.25">
      <c r="H28057" s="12"/>
      <c r="I28057" s="12"/>
      <c r="J28057" s="12"/>
      <c r="K28057" s="12"/>
      <c r="L28057" s="12"/>
      <c r="M28057" s="11"/>
      <c r="N28057" s="11"/>
      <c r="O28057" s="11"/>
      <c r="P28057" s="11"/>
    </row>
    <row r="28058" spans="8:16" x14ac:dyDescent="0.25">
      <c r="H28058" s="12"/>
      <c r="I28058" s="12"/>
      <c r="J28058" s="12"/>
      <c r="K28058" s="12"/>
      <c r="L28058" s="12"/>
      <c r="M28058" s="11"/>
      <c r="N28058" s="11"/>
      <c r="O28058" s="11"/>
      <c r="P28058" s="11"/>
    </row>
    <row r="28059" spans="8:16" x14ac:dyDescent="0.25">
      <c r="H28059" s="12"/>
      <c r="I28059" s="12"/>
      <c r="J28059" s="12"/>
      <c r="K28059" s="12"/>
      <c r="L28059" s="12"/>
      <c r="M28059" s="11"/>
      <c r="N28059" s="11"/>
      <c r="O28059" s="11"/>
      <c r="P28059" s="11"/>
    </row>
    <row r="28060" spans="8:16" x14ac:dyDescent="0.25">
      <c r="H28060" s="12"/>
      <c r="I28060" s="12"/>
      <c r="J28060" s="12"/>
      <c r="K28060" s="12"/>
      <c r="L28060" s="12"/>
      <c r="M28060" s="11"/>
      <c r="N28060" s="11"/>
      <c r="O28060" s="11"/>
      <c r="P28060" s="11"/>
    </row>
    <row r="28061" spans="8:16" x14ac:dyDescent="0.25">
      <c r="H28061" s="12"/>
      <c r="I28061" s="12"/>
      <c r="J28061" s="12"/>
      <c r="K28061" s="12"/>
      <c r="L28061" s="12"/>
      <c r="M28061" s="11"/>
      <c r="N28061" s="11"/>
      <c r="O28061" s="11"/>
      <c r="P28061" s="11"/>
    </row>
    <row r="28062" spans="8:16" x14ac:dyDescent="0.25">
      <c r="H28062" s="12"/>
      <c r="I28062" s="12"/>
      <c r="J28062" s="12"/>
      <c r="K28062" s="12"/>
      <c r="L28062" s="12"/>
      <c r="M28062" s="11"/>
      <c r="N28062" s="11"/>
      <c r="O28062" s="11"/>
      <c r="P28062" s="11"/>
    </row>
    <row r="28063" spans="8:16" x14ac:dyDescent="0.25">
      <c r="H28063" s="12"/>
      <c r="I28063" s="12"/>
      <c r="J28063" s="12"/>
      <c r="K28063" s="12"/>
      <c r="L28063" s="12"/>
      <c r="M28063" s="11"/>
      <c r="N28063" s="11"/>
      <c r="O28063" s="11"/>
      <c r="P28063" s="11"/>
    </row>
    <row r="28064" spans="8:16" x14ac:dyDescent="0.25">
      <c r="H28064" s="12"/>
      <c r="I28064" s="12"/>
      <c r="J28064" s="12"/>
      <c r="K28064" s="12"/>
      <c r="L28064" s="12"/>
      <c r="M28064" s="11"/>
      <c r="N28064" s="11"/>
      <c r="O28064" s="11"/>
      <c r="P28064" s="11"/>
    </row>
    <row r="28065" spans="8:16" x14ac:dyDescent="0.25">
      <c r="H28065" s="12"/>
      <c r="I28065" s="12"/>
      <c r="J28065" s="12"/>
      <c r="K28065" s="12"/>
      <c r="L28065" s="12"/>
      <c r="M28065" s="11"/>
      <c r="N28065" s="11"/>
      <c r="O28065" s="11"/>
      <c r="P28065" s="11"/>
    </row>
    <row r="28066" spans="8:16" x14ac:dyDescent="0.25">
      <c r="H28066" s="12"/>
      <c r="I28066" s="12"/>
      <c r="J28066" s="12"/>
      <c r="K28066" s="12"/>
      <c r="L28066" s="12"/>
      <c r="M28066" s="11"/>
      <c r="N28066" s="11"/>
      <c r="O28066" s="11"/>
      <c r="P28066" s="11"/>
    </row>
    <row r="28067" spans="8:16" x14ac:dyDescent="0.25">
      <c r="H28067" s="12"/>
      <c r="I28067" s="12"/>
      <c r="J28067" s="12"/>
      <c r="K28067" s="12"/>
      <c r="L28067" s="12"/>
      <c r="M28067" s="11"/>
      <c r="N28067" s="11"/>
      <c r="O28067" s="11"/>
      <c r="P28067" s="11"/>
    </row>
    <row r="28068" spans="8:16" x14ac:dyDescent="0.25">
      <c r="H28068" s="12"/>
      <c r="I28068" s="12"/>
      <c r="J28068" s="12"/>
      <c r="K28068" s="12"/>
      <c r="L28068" s="12"/>
      <c r="M28068" s="11"/>
      <c r="N28068" s="11"/>
      <c r="O28068" s="11"/>
      <c r="P28068" s="11"/>
    </row>
    <row r="28069" spans="8:16" x14ac:dyDescent="0.25">
      <c r="H28069" s="12"/>
      <c r="I28069" s="12"/>
      <c r="J28069" s="12"/>
      <c r="K28069" s="12"/>
      <c r="L28069" s="12"/>
      <c r="M28069" s="11"/>
      <c r="N28069" s="11"/>
      <c r="O28069" s="11"/>
      <c r="P28069" s="11"/>
    </row>
    <row r="28070" spans="8:16" x14ac:dyDescent="0.25">
      <c r="H28070" s="12"/>
      <c r="I28070" s="12"/>
      <c r="J28070" s="12"/>
      <c r="K28070" s="12"/>
      <c r="L28070" s="12"/>
      <c r="M28070" s="11"/>
      <c r="N28070" s="11"/>
      <c r="O28070" s="11"/>
      <c r="P28070" s="11"/>
    </row>
    <row r="28071" spans="8:16" x14ac:dyDescent="0.25">
      <c r="H28071" s="12"/>
      <c r="I28071" s="12"/>
      <c r="J28071" s="12"/>
      <c r="K28071" s="12"/>
      <c r="L28071" s="12"/>
      <c r="M28071" s="11"/>
      <c r="N28071" s="11"/>
      <c r="O28071" s="11"/>
      <c r="P28071" s="11"/>
    </row>
    <row r="28072" spans="8:16" x14ac:dyDescent="0.25">
      <c r="H28072" s="12"/>
      <c r="I28072" s="12"/>
      <c r="J28072" s="12"/>
      <c r="K28072" s="12"/>
      <c r="L28072" s="12"/>
      <c r="M28072" s="11"/>
      <c r="N28072" s="11"/>
      <c r="O28072" s="11"/>
      <c r="P28072" s="11"/>
    </row>
    <row r="28073" spans="8:16" x14ac:dyDescent="0.25">
      <c r="H28073" s="12"/>
      <c r="I28073" s="12"/>
      <c r="J28073" s="12"/>
      <c r="K28073" s="12"/>
      <c r="L28073" s="12"/>
      <c r="M28073" s="11"/>
      <c r="N28073" s="11"/>
      <c r="O28073" s="11"/>
      <c r="P28073" s="11"/>
    </row>
    <row r="28074" spans="8:16" x14ac:dyDescent="0.25">
      <c r="H28074" s="12"/>
      <c r="I28074" s="12"/>
      <c r="J28074" s="12"/>
      <c r="K28074" s="12"/>
      <c r="L28074" s="12"/>
      <c r="M28074" s="11"/>
      <c r="N28074" s="11"/>
      <c r="O28074" s="11"/>
      <c r="P28074" s="11"/>
    </row>
    <row r="28075" spans="8:16" x14ac:dyDescent="0.25">
      <c r="H28075" s="12"/>
      <c r="I28075" s="12"/>
      <c r="J28075" s="12"/>
      <c r="K28075" s="12"/>
      <c r="L28075" s="12"/>
      <c r="M28075" s="11"/>
      <c r="N28075" s="11"/>
      <c r="O28075" s="11"/>
      <c r="P28075" s="11"/>
    </row>
    <row r="28076" spans="8:16" x14ac:dyDescent="0.25">
      <c r="H28076" s="12"/>
      <c r="I28076" s="12"/>
      <c r="J28076" s="12"/>
      <c r="K28076" s="12"/>
      <c r="L28076" s="12"/>
      <c r="M28076" s="11"/>
      <c r="N28076" s="11"/>
      <c r="O28076" s="11"/>
      <c r="P28076" s="11"/>
    </row>
    <row r="28077" spans="8:16" x14ac:dyDescent="0.25">
      <c r="H28077" s="12"/>
      <c r="I28077" s="12"/>
      <c r="J28077" s="12"/>
      <c r="K28077" s="12"/>
      <c r="L28077" s="12"/>
      <c r="M28077" s="11"/>
      <c r="N28077" s="11"/>
      <c r="O28077" s="11"/>
      <c r="P28077" s="11"/>
    </row>
    <row r="28078" spans="8:16" x14ac:dyDescent="0.25">
      <c r="H28078" s="12"/>
      <c r="I28078" s="12"/>
      <c r="J28078" s="12"/>
      <c r="K28078" s="12"/>
      <c r="L28078" s="12"/>
      <c r="M28078" s="11"/>
      <c r="N28078" s="11"/>
      <c r="O28078" s="11"/>
      <c r="P28078" s="11"/>
    </row>
    <row r="28079" spans="8:16" x14ac:dyDescent="0.25">
      <c r="H28079" s="12"/>
      <c r="I28079" s="12"/>
      <c r="J28079" s="12"/>
      <c r="K28079" s="12"/>
      <c r="L28079" s="12"/>
      <c r="M28079" s="11"/>
      <c r="N28079" s="11"/>
      <c r="O28079" s="11"/>
      <c r="P28079" s="11"/>
    </row>
    <row r="28080" spans="8:16" x14ac:dyDescent="0.25">
      <c r="H28080" s="12"/>
      <c r="I28080" s="12"/>
      <c r="J28080" s="12"/>
      <c r="K28080" s="12"/>
      <c r="L28080" s="12"/>
      <c r="M28080" s="11"/>
      <c r="N28080" s="11"/>
      <c r="O28080" s="11"/>
      <c r="P28080" s="11"/>
    </row>
    <row r="28081" spans="8:16" x14ac:dyDescent="0.25">
      <c r="H28081" s="12"/>
      <c r="I28081" s="12"/>
      <c r="J28081" s="12"/>
      <c r="K28081" s="12"/>
      <c r="L28081" s="12"/>
      <c r="M28081" s="11"/>
      <c r="N28081" s="11"/>
      <c r="O28081" s="11"/>
      <c r="P28081" s="11"/>
    </row>
    <row r="28082" spans="8:16" x14ac:dyDescent="0.25">
      <c r="H28082" s="12"/>
      <c r="I28082" s="12"/>
      <c r="J28082" s="12"/>
      <c r="K28082" s="12"/>
      <c r="L28082" s="12"/>
      <c r="M28082" s="11"/>
      <c r="N28082" s="11"/>
      <c r="O28082" s="11"/>
      <c r="P28082" s="11"/>
    </row>
    <row r="28083" spans="8:16" x14ac:dyDescent="0.25">
      <c r="H28083" s="12"/>
      <c r="I28083" s="12"/>
      <c r="J28083" s="12"/>
      <c r="K28083" s="12"/>
      <c r="L28083" s="12"/>
      <c r="M28083" s="11"/>
      <c r="N28083" s="11"/>
      <c r="O28083" s="11"/>
      <c r="P28083" s="11"/>
    </row>
    <row r="28084" spans="8:16" x14ac:dyDescent="0.25">
      <c r="H28084" s="12"/>
      <c r="I28084" s="12"/>
      <c r="J28084" s="12"/>
      <c r="K28084" s="12"/>
      <c r="L28084" s="12"/>
      <c r="M28084" s="11"/>
      <c r="N28084" s="11"/>
      <c r="O28084" s="11"/>
      <c r="P28084" s="11"/>
    </row>
    <row r="28085" spans="8:16" x14ac:dyDescent="0.25">
      <c r="H28085" s="12"/>
      <c r="I28085" s="12"/>
      <c r="J28085" s="12"/>
      <c r="K28085" s="12"/>
      <c r="L28085" s="12"/>
      <c r="M28085" s="11"/>
      <c r="N28085" s="11"/>
      <c r="O28085" s="11"/>
      <c r="P28085" s="11"/>
    </row>
    <row r="28086" spans="8:16" x14ac:dyDescent="0.25">
      <c r="H28086" s="12"/>
      <c r="I28086" s="12"/>
      <c r="J28086" s="12"/>
      <c r="K28086" s="12"/>
      <c r="L28086" s="12"/>
      <c r="M28086" s="11"/>
      <c r="N28086" s="11"/>
      <c r="O28086" s="11"/>
      <c r="P28086" s="11"/>
    </row>
    <row r="28087" spans="8:16" x14ac:dyDescent="0.25">
      <c r="H28087" s="12"/>
      <c r="I28087" s="12"/>
      <c r="J28087" s="12"/>
      <c r="K28087" s="12"/>
      <c r="L28087" s="12"/>
      <c r="M28087" s="11"/>
      <c r="N28087" s="11"/>
      <c r="O28087" s="11"/>
      <c r="P28087" s="11"/>
    </row>
    <row r="28088" spans="8:16" x14ac:dyDescent="0.25">
      <c r="H28088" s="12"/>
      <c r="I28088" s="12"/>
      <c r="J28088" s="12"/>
      <c r="K28088" s="12"/>
      <c r="L28088" s="12"/>
      <c r="M28088" s="11"/>
      <c r="N28088" s="11"/>
      <c r="O28088" s="11"/>
      <c r="P28088" s="11"/>
    </row>
    <row r="28089" spans="8:16" x14ac:dyDescent="0.25">
      <c r="H28089" s="12"/>
      <c r="I28089" s="12"/>
      <c r="J28089" s="12"/>
      <c r="K28089" s="12"/>
      <c r="L28089" s="12"/>
      <c r="M28089" s="11"/>
      <c r="N28089" s="11"/>
      <c r="O28089" s="11"/>
      <c r="P28089" s="11"/>
    </row>
    <row r="28090" spans="8:16" x14ac:dyDescent="0.25">
      <c r="H28090" s="12"/>
      <c r="I28090" s="12"/>
      <c r="J28090" s="12"/>
      <c r="K28090" s="12"/>
      <c r="L28090" s="12"/>
      <c r="M28090" s="11"/>
      <c r="N28090" s="11"/>
      <c r="O28090" s="11"/>
      <c r="P28090" s="11"/>
    </row>
    <row r="28091" spans="8:16" x14ac:dyDescent="0.25">
      <c r="H28091" s="12"/>
      <c r="I28091" s="12"/>
      <c r="J28091" s="12"/>
      <c r="K28091" s="12"/>
      <c r="L28091" s="12"/>
      <c r="M28091" s="11"/>
      <c r="N28091" s="11"/>
      <c r="O28091" s="11"/>
      <c r="P28091" s="11"/>
    </row>
    <row r="28092" spans="8:16" x14ac:dyDescent="0.25">
      <c r="H28092" s="12"/>
      <c r="I28092" s="12"/>
      <c r="J28092" s="12"/>
      <c r="K28092" s="12"/>
      <c r="L28092" s="12"/>
      <c r="M28092" s="11"/>
      <c r="N28092" s="11"/>
      <c r="O28092" s="11"/>
      <c r="P28092" s="11"/>
    </row>
    <row r="28093" spans="8:16" x14ac:dyDescent="0.25">
      <c r="H28093" s="12"/>
      <c r="I28093" s="12"/>
      <c r="J28093" s="12"/>
      <c r="K28093" s="12"/>
      <c r="L28093" s="12"/>
      <c r="M28093" s="11"/>
      <c r="N28093" s="11"/>
      <c r="O28093" s="11"/>
      <c r="P28093" s="11"/>
    </row>
    <row r="28094" spans="8:16" x14ac:dyDescent="0.25">
      <c r="H28094" s="12"/>
      <c r="I28094" s="12"/>
      <c r="J28094" s="12"/>
      <c r="K28094" s="12"/>
      <c r="L28094" s="12"/>
      <c r="M28094" s="11"/>
      <c r="N28094" s="11"/>
      <c r="O28094" s="11"/>
      <c r="P28094" s="11"/>
    </row>
    <row r="28095" spans="8:16" x14ac:dyDescent="0.25">
      <c r="H28095" s="12"/>
      <c r="I28095" s="12"/>
      <c r="J28095" s="12"/>
      <c r="K28095" s="12"/>
      <c r="L28095" s="12"/>
      <c r="M28095" s="11"/>
      <c r="N28095" s="11"/>
      <c r="O28095" s="11"/>
      <c r="P28095" s="11"/>
    </row>
    <row r="28096" spans="8:16" x14ac:dyDescent="0.25">
      <c r="H28096" s="12"/>
      <c r="I28096" s="12"/>
      <c r="J28096" s="12"/>
      <c r="K28096" s="12"/>
      <c r="L28096" s="12"/>
      <c r="M28096" s="11"/>
      <c r="N28096" s="11"/>
      <c r="O28096" s="11"/>
      <c r="P28096" s="11"/>
    </row>
    <row r="28097" spans="8:16" x14ac:dyDescent="0.25">
      <c r="H28097" s="12"/>
      <c r="I28097" s="12"/>
      <c r="J28097" s="12"/>
      <c r="K28097" s="12"/>
      <c r="L28097" s="12"/>
      <c r="M28097" s="11"/>
      <c r="N28097" s="11"/>
      <c r="O28097" s="11"/>
      <c r="P28097" s="11"/>
    </row>
    <row r="28098" spans="8:16" x14ac:dyDescent="0.25">
      <c r="H28098" s="12"/>
      <c r="I28098" s="12"/>
      <c r="J28098" s="12"/>
      <c r="K28098" s="12"/>
      <c r="L28098" s="12"/>
      <c r="M28098" s="11"/>
      <c r="N28098" s="11"/>
      <c r="O28098" s="11"/>
      <c r="P28098" s="11"/>
    </row>
    <row r="28099" spans="8:16" x14ac:dyDescent="0.25">
      <c r="H28099" s="12"/>
      <c r="I28099" s="12"/>
      <c r="J28099" s="12"/>
      <c r="K28099" s="12"/>
      <c r="L28099" s="12"/>
      <c r="M28099" s="11"/>
      <c r="N28099" s="11"/>
      <c r="O28099" s="11"/>
      <c r="P28099" s="11"/>
    </row>
    <row r="28100" spans="8:16" x14ac:dyDescent="0.25">
      <c r="H28100" s="12"/>
      <c r="I28100" s="12"/>
      <c r="J28100" s="12"/>
      <c r="K28100" s="12"/>
      <c r="L28100" s="12"/>
      <c r="M28100" s="11"/>
      <c r="N28100" s="11"/>
      <c r="O28100" s="11"/>
      <c r="P28100" s="11"/>
    </row>
    <row r="28101" spans="8:16" x14ac:dyDescent="0.25">
      <c r="H28101" s="12"/>
      <c r="I28101" s="12"/>
      <c r="J28101" s="12"/>
      <c r="K28101" s="12"/>
      <c r="L28101" s="12"/>
      <c r="M28101" s="11"/>
      <c r="N28101" s="11"/>
      <c r="O28101" s="11"/>
      <c r="P28101" s="11"/>
    </row>
    <row r="28102" spans="8:16" x14ac:dyDescent="0.25">
      <c r="H28102" s="12"/>
      <c r="I28102" s="12"/>
      <c r="J28102" s="12"/>
      <c r="K28102" s="12"/>
      <c r="L28102" s="12"/>
      <c r="M28102" s="11"/>
      <c r="N28102" s="11"/>
      <c r="O28102" s="11"/>
      <c r="P28102" s="11"/>
    </row>
    <row r="28103" spans="8:16" x14ac:dyDescent="0.25">
      <c r="H28103" s="12"/>
      <c r="I28103" s="12"/>
      <c r="J28103" s="12"/>
      <c r="K28103" s="12"/>
      <c r="L28103" s="12"/>
      <c r="M28103" s="11"/>
      <c r="N28103" s="11"/>
      <c r="O28103" s="11"/>
      <c r="P28103" s="11"/>
    </row>
    <row r="28104" spans="8:16" x14ac:dyDescent="0.25">
      <c r="H28104" s="12"/>
      <c r="I28104" s="12"/>
      <c r="J28104" s="12"/>
      <c r="K28104" s="12"/>
      <c r="L28104" s="12"/>
      <c r="M28104" s="11"/>
      <c r="N28104" s="11"/>
      <c r="O28104" s="11"/>
      <c r="P28104" s="11"/>
    </row>
    <row r="28105" spans="8:16" x14ac:dyDescent="0.25">
      <c r="H28105" s="12"/>
      <c r="I28105" s="12"/>
      <c r="J28105" s="12"/>
      <c r="K28105" s="12"/>
      <c r="L28105" s="12"/>
      <c r="M28105" s="11"/>
      <c r="N28105" s="11"/>
      <c r="O28105" s="11"/>
      <c r="P28105" s="11"/>
    </row>
    <row r="28106" spans="8:16" x14ac:dyDescent="0.25">
      <c r="H28106" s="12"/>
      <c r="I28106" s="12"/>
      <c r="J28106" s="12"/>
      <c r="K28106" s="12"/>
      <c r="L28106" s="12"/>
      <c r="M28106" s="11"/>
      <c r="N28106" s="11"/>
      <c r="O28106" s="11"/>
      <c r="P28106" s="11"/>
    </row>
    <row r="28107" spans="8:16" x14ac:dyDescent="0.25">
      <c r="H28107" s="12"/>
      <c r="I28107" s="12"/>
      <c r="J28107" s="12"/>
      <c r="K28107" s="12"/>
      <c r="L28107" s="12"/>
      <c r="M28107" s="11"/>
      <c r="N28107" s="11"/>
      <c r="O28107" s="11"/>
      <c r="P28107" s="11"/>
    </row>
    <row r="28108" spans="8:16" x14ac:dyDescent="0.25">
      <c r="H28108" s="12"/>
      <c r="I28108" s="12"/>
      <c r="J28108" s="12"/>
      <c r="K28108" s="12"/>
      <c r="L28108" s="12"/>
      <c r="M28108" s="11"/>
      <c r="N28108" s="11"/>
      <c r="O28108" s="11"/>
      <c r="P28108" s="11"/>
    </row>
    <row r="28109" spans="8:16" x14ac:dyDescent="0.25">
      <c r="H28109" s="12"/>
      <c r="I28109" s="12"/>
      <c r="J28109" s="12"/>
      <c r="K28109" s="12"/>
      <c r="L28109" s="12"/>
      <c r="M28109" s="11"/>
      <c r="N28109" s="11"/>
      <c r="O28109" s="11"/>
      <c r="P28109" s="11"/>
    </row>
    <row r="28110" spans="8:16" x14ac:dyDescent="0.25">
      <c r="H28110" s="12"/>
      <c r="I28110" s="12"/>
      <c r="J28110" s="12"/>
      <c r="K28110" s="12"/>
      <c r="L28110" s="12"/>
      <c r="M28110" s="11"/>
      <c r="N28110" s="11"/>
      <c r="O28110" s="11"/>
      <c r="P28110" s="11"/>
    </row>
    <row r="28111" spans="8:16" x14ac:dyDescent="0.25">
      <c r="H28111" s="12"/>
      <c r="I28111" s="12"/>
      <c r="J28111" s="12"/>
      <c r="K28111" s="12"/>
      <c r="L28111" s="12"/>
      <c r="M28111" s="11"/>
      <c r="N28111" s="11"/>
      <c r="O28111" s="11"/>
      <c r="P28111" s="11"/>
    </row>
    <row r="28112" spans="8:16" x14ac:dyDescent="0.25">
      <c r="H28112" s="12"/>
      <c r="I28112" s="12"/>
      <c r="J28112" s="12"/>
      <c r="K28112" s="12"/>
      <c r="L28112" s="12"/>
      <c r="M28112" s="11"/>
      <c r="N28112" s="11"/>
      <c r="O28112" s="11"/>
      <c r="P28112" s="11"/>
    </row>
    <row r="28113" spans="8:16" x14ac:dyDescent="0.25">
      <c r="H28113" s="12"/>
      <c r="I28113" s="12"/>
      <c r="J28113" s="12"/>
      <c r="K28113" s="12"/>
      <c r="L28113" s="12"/>
      <c r="M28113" s="11"/>
      <c r="N28113" s="11"/>
      <c r="O28113" s="11"/>
      <c r="P28113" s="11"/>
    </row>
    <row r="28114" spans="8:16" x14ac:dyDescent="0.25">
      <c r="H28114" s="12"/>
      <c r="I28114" s="12"/>
      <c r="J28114" s="12"/>
      <c r="K28114" s="12"/>
      <c r="L28114" s="12"/>
      <c r="M28114" s="11"/>
      <c r="N28114" s="11"/>
      <c r="O28114" s="11"/>
      <c r="P28114" s="11"/>
    </row>
    <row r="28115" spans="8:16" x14ac:dyDescent="0.25">
      <c r="H28115" s="12"/>
      <c r="I28115" s="12"/>
      <c r="J28115" s="12"/>
      <c r="K28115" s="12"/>
      <c r="L28115" s="12"/>
      <c r="M28115" s="11"/>
      <c r="N28115" s="11"/>
      <c r="O28115" s="11"/>
      <c r="P28115" s="11"/>
    </row>
    <row r="28116" spans="8:16" x14ac:dyDescent="0.25">
      <c r="H28116" s="12"/>
      <c r="I28116" s="12"/>
      <c r="J28116" s="12"/>
      <c r="K28116" s="12"/>
      <c r="L28116" s="12"/>
      <c r="M28116" s="11"/>
      <c r="N28116" s="11"/>
      <c r="O28116" s="11"/>
      <c r="P28116" s="11"/>
    </row>
    <row r="28117" spans="8:16" x14ac:dyDescent="0.25">
      <c r="H28117" s="12"/>
      <c r="I28117" s="12"/>
      <c r="J28117" s="12"/>
      <c r="K28117" s="12"/>
      <c r="L28117" s="12"/>
      <c r="M28117" s="11"/>
      <c r="N28117" s="11"/>
      <c r="O28117" s="11"/>
      <c r="P28117" s="11"/>
    </row>
    <row r="28118" spans="8:16" x14ac:dyDescent="0.25">
      <c r="H28118" s="12"/>
      <c r="I28118" s="12"/>
      <c r="J28118" s="12"/>
      <c r="K28118" s="12"/>
      <c r="L28118" s="12"/>
      <c r="M28118" s="11"/>
      <c r="N28118" s="11"/>
      <c r="O28118" s="11"/>
      <c r="P28118" s="11"/>
    </row>
    <row r="28119" spans="8:16" x14ac:dyDescent="0.25">
      <c r="H28119" s="12"/>
      <c r="I28119" s="12"/>
      <c r="J28119" s="12"/>
      <c r="K28119" s="12"/>
      <c r="L28119" s="12"/>
      <c r="M28119" s="11"/>
      <c r="N28119" s="11"/>
      <c r="O28119" s="11"/>
      <c r="P28119" s="11"/>
    </row>
    <row r="28120" spans="8:16" x14ac:dyDescent="0.25">
      <c r="H28120" s="12"/>
      <c r="I28120" s="12"/>
      <c r="J28120" s="12"/>
      <c r="K28120" s="12"/>
      <c r="L28120" s="12"/>
      <c r="M28120" s="11"/>
      <c r="N28120" s="11"/>
      <c r="O28120" s="11"/>
      <c r="P28120" s="11"/>
    </row>
    <row r="28121" spans="8:16" x14ac:dyDescent="0.25">
      <c r="H28121" s="12"/>
      <c r="I28121" s="12"/>
      <c r="J28121" s="12"/>
      <c r="K28121" s="12"/>
      <c r="L28121" s="12"/>
      <c r="M28121" s="11"/>
      <c r="N28121" s="11"/>
      <c r="O28121" s="11"/>
      <c r="P28121" s="11"/>
    </row>
    <row r="28122" spans="8:16" x14ac:dyDescent="0.25">
      <c r="H28122" s="12"/>
      <c r="I28122" s="12"/>
      <c r="J28122" s="12"/>
      <c r="K28122" s="12"/>
      <c r="L28122" s="12"/>
      <c r="M28122" s="11"/>
      <c r="N28122" s="11"/>
      <c r="O28122" s="11"/>
      <c r="P28122" s="11"/>
    </row>
    <row r="28123" spans="8:16" x14ac:dyDescent="0.25">
      <c r="H28123" s="12"/>
      <c r="I28123" s="12"/>
      <c r="J28123" s="12"/>
      <c r="K28123" s="12"/>
      <c r="L28123" s="12"/>
      <c r="M28123" s="11"/>
      <c r="N28123" s="11"/>
      <c r="O28123" s="11"/>
      <c r="P28123" s="11"/>
    </row>
    <row r="28124" spans="8:16" x14ac:dyDescent="0.25">
      <c r="H28124" s="12"/>
      <c r="I28124" s="12"/>
      <c r="J28124" s="12"/>
      <c r="K28124" s="12"/>
      <c r="L28124" s="12"/>
      <c r="M28124" s="11"/>
      <c r="N28124" s="11"/>
      <c r="O28124" s="11"/>
      <c r="P28124" s="11"/>
    </row>
    <row r="28125" spans="8:16" x14ac:dyDescent="0.25">
      <c r="H28125" s="12"/>
      <c r="I28125" s="12"/>
      <c r="J28125" s="12"/>
      <c r="K28125" s="12"/>
      <c r="L28125" s="12"/>
      <c r="M28125" s="11"/>
      <c r="N28125" s="11"/>
      <c r="O28125" s="11"/>
      <c r="P28125" s="11"/>
    </row>
    <row r="28126" spans="8:16" x14ac:dyDescent="0.25">
      <c r="H28126" s="12"/>
      <c r="I28126" s="12"/>
      <c r="J28126" s="12"/>
      <c r="K28126" s="12"/>
      <c r="L28126" s="12"/>
      <c r="M28126" s="11"/>
      <c r="N28126" s="11"/>
      <c r="O28126" s="11"/>
      <c r="P28126" s="11"/>
    </row>
    <row r="28127" spans="8:16" x14ac:dyDescent="0.25">
      <c r="H28127" s="12"/>
      <c r="I28127" s="12"/>
      <c r="J28127" s="12"/>
      <c r="K28127" s="12"/>
      <c r="L28127" s="12"/>
      <c r="M28127" s="11"/>
      <c r="N28127" s="11"/>
      <c r="O28127" s="11"/>
      <c r="P28127" s="11"/>
    </row>
    <row r="28128" spans="8:16" x14ac:dyDescent="0.25">
      <c r="H28128" s="12"/>
      <c r="I28128" s="12"/>
      <c r="J28128" s="12"/>
      <c r="K28128" s="12"/>
      <c r="L28128" s="12"/>
      <c r="M28128" s="11"/>
      <c r="N28128" s="11"/>
      <c r="O28128" s="11"/>
      <c r="P28128" s="11"/>
    </row>
    <row r="28129" spans="8:16" x14ac:dyDescent="0.25">
      <c r="H28129" s="12"/>
      <c r="I28129" s="12"/>
      <c r="J28129" s="12"/>
      <c r="K28129" s="12"/>
      <c r="L28129" s="12"/>
      <c r="M28129" s="11"/>
      <c r="N28129" s="11"/>
      <c r="O28129" s="11"/>
      <c r="P28129" s="11"/>
    </row>
    <row r="28130" spans="8:16" x14ac:dyDescent="0.25">
      <c r="H28130" s="12"/>
      <c r="I28130" s="12"/>
      <c r="J28130" s="12"/>
      <c r="K28130" s="12"/>
      <c r="L28130" s="12"/>
      <c r="M28130" s="11"/>
      <c r="N28130" s="11"/>
      <c r="O28130" s="11"/>
      <c r="P28130" s="11"/>
    </row>
    <row r="28131" spans="8:16" x14ac:dyDescent="0.25">
      <c r="H28131" s="12"/>
      <c r="I28131" s="12"/>
      <c r="J28131" s="12"/>
      <c r="K28131" s="12"/>
      <c r="L28131" s="12"/>
      <c r="M28131" s="11"/>
      <c r="N28131" s="11"/>
      <c r="O28131" s="11"/>
      <c r="P28131" s="11"/>
    </row>
    <row r="28132" spans="8:16" x14ac:dyDescent="0.25">
      <c r="H28132" s="12"/>
      <c r="I28132" s="12"/>
      <c r="J28132" s="12"/>
      <c r="K28132" s="12"/>
      <c r="L28132" s="12"/>
      <c r="M28132" s="11"/>
      <c r="N28132" s="11"/>
      <c r="O28132" s="11"/>
      <c r="P28132" s="11"/>
    </row>
    <row r="28133" spans="8:16" x14ac:dyDescent="0.25">
      <c r="H28133" s="12"/>
      <c r="I28133" s="12"/>
      <c r="J28133" s="12"/>
      <c r="K28133" s="12"/>
      <c r="L28133" s="12"/>
      <c r="M28133" s="11"/>
      <c r="N28133" s="11"/>
      <c r="O28133" s="11"/>
      <c r="P28133" s="11"/>
    </row>
    <row r="28134" spans="8:16" x14ac:dyDescent="0.25">
      <c r="H28134" s="12"/>
      <c r="I28134" s="12"/>
      <c r="J28134" s="12"/>
      <c r="K28134" s="12"/>
      <c r="L28134" s="12"/>
      <c r="M28134" s="11"/>
      <c r="N28134" s="11"/>
      <c r="O28134" s="11"/>
      <c r="P28134" s="11"/>
    </row>
    <row r="28135" spans="8:16" x14ac:dyDescent="0.25">
      <c r="H28135" s="12"/>
      <c r="I28135" s="12"/>
      <c r="J28135" s="12"/>
      <c r="K28135" s="12"/>
      <c r="L28135" s="12"/>
      <c r="M28135" s="11"/>
      <c r="N28135" s="11"/>
      <c r="O28135" s="11"/>
      <c r="P28135" s="11"/>
    </row>
    <row r="28136" spans="8:16" x14ac:dyDescent="0.25">
      <c r="H28136" s="12"/>
      <c r="I28136" s="12"/>
      <c r="J28136" s="12"/>
      <c r="K28136" s="12"/>
      <c r="L28136" s="12"/>
      <c r="M28136" s="11"/>
      <c r="N28136" s="11"/>
      <c r="O28136" s="11"/>
      <c r="P28136" s="11"/>
    </row>
    <row r="28137" spans="8:16" x14ac:dyDescent="0.25">
      <c r="H28137" s="12"/>
      <c r="I28137" s="12"/>
      <c r="J28137" s="12"/>
      <c r="K28137" s="12"/>
      <c r="L28137" s="12"/>
      <c r="M28137" s="11"/>
      <c r="N28137" s="11"/>
      <c r="O28137" s="11"/>
      <c r="P28137" s="11"/>
    </row>
    <row r="28138" spans="8:16" x14ac:dyDescent="0.25">
      <c r="H28138" s="12"/>
      <c r="I28138" s="12"/>
      <c r="J28138" s="12"/>
      <c r="K28138" s="12"/>
      <c r="L28138" s="12"/>
      <c r="M28138" s="11"/>
      <c r="N28138" s="11"/>
      <c r="O28138" s="11"/>
      <c r="P28138" s="11"/>
    </row>
    <row r="28139" spans="8:16" x14ac:dyDescent="0.25">
      <c r="H28139" s="12"/>
      <c r="I28139" s="12"/>
      <c r="J28139" s="12"/>
      <c r="K28139" s="12"/>
      <c r="L28139" s="12"/>
      <c r="M28139" s="11"/>
      <c r="N28139" s="11"/>
      <c r="O28139" s="11"/>
      <c r="P28139" s="11"/>
    </row>
    <row r="28140" spans="8:16" x14ac:dyDescent="0.25">
      <c r="H28140" s="12"/>
      <c r="I28140" s="12"/>
      <c r="J28140" s="12"/>
      <c r="K28140" s="12"/>
      <c r="L28140" s="12"/>
      <c r="M28140" s="11"/>
      <c r="N28140" s="11"/>
      <c r="O28140" s="11"/>
      <c r="P28140" s="11"/>
    </row>
    <row r="28141" spans="8:16" x14ac:dyDescent="0.25">
      <c r="H28141" s="12"/>
      <c r="I28141" s="12"/>
      <c r="J28141" s="12"/>
      <c r="K28141" s="12"/>
      <c r="L28141" s="12"/>
      <c r="M28141" s="11"/>
      <c r="N28141" s="11"/>
      <c r="O28141" s="11"/>
      <c r="P28141" s="11"/>
    </row>
    <row r="28142" spans="8:16" x14ac:dyDescent="0.25">
      <c r="H28142" s="12"/>
      <c r="I28142" s="12"/>
      <c r="J28142" s="12"/>
      <c r="K28142" s="12"/>
      <c r="L28142" s="12"/>
      <c r="M28142" s="11"/>
      <c r="N28142" s="11"/>
      <c r="O28142" s="11"/>
      <c r="P28142" s="11"/>
    </row>
    <row r="28143" spans="8:16" x14ac:dyDescent="0.25">
      <c r="H28143" s="12"/>
      <c r="I28143" s="12"/>
      <c r="J28143" s="12"/>
      <c r="K28143" s="12"/>
      <c r="L28143" s="12"/>
      <c r="M28143" s="11"/>
      <c r="N28143" s="11"/>
      <c r="O28143" s="11"/>
      <c r="P28143" s="11"/>
    </row>
    <row r="28144" spans="8:16" x14ac:dyDescent="0.25">
      <c r="H28144" s="12"/>
      <c r="I28144" s="12"/>
      <c r="J28144" s="12"/>
      <c r="K28144" s="12"/>
      <c r="L28144" s="12"/>
      <c r="M28144" s="11"/>
      <c r="N28144" s="11"/>
      <c r="O28144" s="11"/>
      <c r="P28144" s="11"/>
    </row>
    <row r="28145" spans="8:16" x14ac:dyDescent="0.25">
      <c r="H28145" s="12"/>
      <c r="I28145" s="12"/>
      <c r="J28145" s="12"/>
      <c r="K28145" s="12"/>
      <c r="L28145" s="12"/>
      <c r="M28145" s="11"/>
      <c r="N28145" s="11"/>
      <c r="O28145" s="11"/>
      <c r="P28145" s="11"/>
    </row>
    <row r="28146" spans="8:16" x14ac:dyDescent="0.25">
      <c r="H28146" s="12"/>
      <c r="I28146" s="12"/>
      <c r="J28146" s="12"/>
      <c r="K28146" s="12"/>
      <c r="L28146" s="12"/>
      <c r="M28146" s="11"/>
      <c r="N28146" s="11"/>
      <c r="O28146" s="11"/>
      <c r="P28146" s="11"/>
    </row>
    <row r="28147" spans="8:16" x14ac:dyDescent="0.25">
      <c r="H28147" s="12"/>
      <c r="I28147" s="12"/>
      <c r="J28147" s="12"/>
      <c r="K28147" s="12"/>
      <c r="L28147" s="12"/>
      <c r="M28147" s="11"/>
      <c r="N28147" s="11"/>
      <c r="O28147" s="11"/>
      <c r="P28147" s="11"/>
    </row>
    <row r="28148" spans="8:16" x14ac:dyDescent="0.25">
      <c r="H28148" s="12"/>
      <c r="I28148" s="12"/>
      <c r="J28148" s="12"/>
      <c r="K28148" s="12"/>
      <c r="L28148" s="12"/>
      <c r="M28148" s="11"/>
      <c r="N28148" s="11"/>
      <c r="O28148" s="11"/>
      <c r="P28148" s="11"/>
    </row>
    <row r="28149" spans="8:16" x14ac:dyDescent="0.25">
      <c r="H28149" s="12"/>
      <c r="I28149" s="12"/>
      <c r="J28149" s="12"/>
      <c r="K28149" s="12"/>
      <c r="L28149" s="12"/>
      <c r="M28149" s="11"/>
      <c r="N28149" s="11"/>
      <c r="O28149" s="11"/>
      <c r="P28149" s="11"/>
    </row>
    <row r="28150" spans="8:16" x14ac:dyDescent="0.25">
      <c r="H28150" s="12"/>
      <c r="I28150" s="12"/>
      <c r="J28150" s="12"/>
      <c r="K28150" s="12"/>
      <c r="L28150" s="12"/>
      <c r="M28150" s="11"/>
      <c r="N28150" s="11"/>
      <c r="O28150" s="11"/>
      <c r="P28150" s="11"/>
    </row>
    <row r="28151" spans="8:16" x14ac:dyDescent="0.25">
      <c r="H28151" s="12"/>
      <c r="I28151" s="12"/>
      <c r="J28151" s="12"/>
      <c r="K28151" s="12"/>
      <c r="L28151" s="12"/>
      <c r="M28151" s="11"/>
      <c r="N28151" s="11"/>
      <c r="O28151" s="11"/>
      <c r="P28151" s="11"/>
    </row>
    <row r="28152" spans="8:16" x14ac:dyDescent="0.25">
      <c r="H28152" s="12"/>
      <c r="I28152" s="12"/>
      <c r="J28152" s="12"/>
      <c r="K28152" s="12"/>
      <c r="L28152" s="12"/>
      <c r="M28152" s="11"/>
      <c r="N28152" s="11"/>
      <c r="O28152" s="11"/>
      <c r="P28152" s="11"/>
    </row>
    <row r="28153" spans="8:16" x14ac:dyDescent="0.25">
      <c r="H28153" s="12"/>
      <c r="I28153" s="12"/>
      <c r="J28153" s="12"/>
      <c r="K28153" s="12"/>
      <c r="L28153" s="12"/>
      <c r="M28153" s="11"/>
      <c r="N28153" s="11"/>
      <c r="O28153" s="11"/>
      <c r="P28153" s="11"/>
    </row>
    <row r="28154" spans="8:16" x14ac:dyDescent="0.25">
      <c r="H28154" s="12"/>
      <c r="I28154" s="12"/>
      <c r="J28154" s="12"/>
      <c r="K28154" s="12"/>
      <c r="L28154" s="12"/>
      <c r="M28154" s="11"/>
      <c r="N28154" s="11"/>
      <c r="O28154" s="11"/>
      <c r="P28154" s="11"/>
    </row>
    <row r="28155" spans="8:16" x14ac:dyDescent="0.25">
      <c r="H28155" s="12"/>
      <c r="I28155" s="12"/>
      <c r="J28155" s="12"/>
      <c r="K28155" s="12"/>
      <c r="L28155" s="12"/>
      <c r="M28155" s="11"/>
      <c r="N28155" s="11"/>
      <c r="O28155" s="11"/>
      <c r="P28155" s="11"/>
    </row>
    <row r="28156" spans="8:16" x14ac:dyDescent="0.25">
      <c r="H28156" s="12"/>
      <c r="I28156" s="12"/>
      <c r="J28156" s="12"/>
      <c r="K28156" s="12"/>
      <c r="L28156" s="12"/>
      <c r="M28156" s="11"/>
      <c r="N28156" s="11"/>
      <c r="O28156" s="11"/>
      <c r="P28156" s="11"/>
    </row>
    <row r="28157" spans="8:16" x14ac:dyDescent="0.25">
      <c r="H28157" s="12"/>
      <c r="I28157" s="12"/>
      <c r="J28157" s="12"/>
      <c r="K28157" s="12"/>
      <c r="L28157" s="12"/>
      <c r="M28157" s="11"/>
      <c r="N28157" s="11"/>
      <c r="O28157" s="11"/>
      <c r="P28157" s="11"/>
    </row>
    <row r="28158" spans="8:16" x14ac:dyDescent="0.25">
      <c r="H28158" s="12"/>
      <c r="I28158" s="12"/>
      <c r="J28158" s="12"/>
      <c r="K28158" s="12"/>
      <c r="L28158" s="12"/>
      <c r="M28158" s="11"/>
      <c r="N28158" s="11"/>
      <c r="O28158" s="11"/>
      <c r="P28158" s="11"/>
    </row>
    <row r="28159" spans="8:16" x14ac:dyDescent="0.25">
      <c r="H28159" s="12"/>
      <c r="I28159" s="12"/>
      <c r="J28159" s="12"/>
      <c r="K28159" s="12"/>
      <c r="L28159" s="12"/>
      <c r="M28159" s="11"/>
      <c r="N28159" s="11"/>
      <c r="O28159" s="11"/>
      <c r="P28159" s="11"/>
    </row>
    <row r="28160" spans="8:16" x14ac:dyDescent="0.25">
      <c r="H28160" s="12"/>
      <c r="I28160" s="12"/>
      <c r="J28160" s="12"/>
      <c r="K28160" s="12"/>
      <c r="L28160" s="12"/>
      <c r="M28160" s="11"/>
      <c r="N28160" s="11"/>
      <c r="O28160" s="11"/>
      <c r="P28160" s="11"/>
    </row>
    <row r="28161" spans="8:16" x14ac:dyDescent="0.25">
      <c r="H28161" s="12"/>
      <c r="I28161" s="12"/>
      <c r="J28161" s="12"/>
      <c r="K28161" s="12"/>
      <c r="L28161" s="12"/>
      <c r="M28161" s="11"/>
      <c r="N28161" s="11"/>
      <c r="O28161" s="11"/>
      <c r="P28161" s="11"/>
    </row>
    <row r="28162" spans="8:16" x14ac:dyDescent="0.25">
      <c r="H28162" s="12"/>
      <c r="I28162" s="12"/>
      <c r="J28162" s="12"/>
      <c r="K28162" s="12"/>
      <c r="L28162" s="12"/>
      <c r="M28162" s="11"/>
      <c r="N28162" s="11"/>
      <c r="O28162" s="11"/>
      <c r="P28162" s="11"/>
    </row>
    <row r="28163" spans="8:16" x14ac:dyDescent="0.25">
      <c r="H28163" s="12"/>
      <c r="I28163" s="12"/>
      <c r="J28163" s="12"/>
      <c r="K28163" s="12"/>
      <c r="L28163" s="12"/>
      <c r="M28163" s="11"/>
      <c r="N28163" s="11"/>
      <c r="O28163" s="11"/>
      <c r="P28163" s="11"/>
    </row>
    <row r="28164" spans="8:16" x14ac:dyDescent="0.25">
      <c r="H28164" s="12"/>
      <c r="I28164" s="12"/>
      <c r="J28164" s="12"/>
      <c r="K28164" s="12"/>
      <c r="L28164" s="12"/>
      <c r="M28164" s="11"/>
      <c r="N28164" s="11"/>
      <c r="O28164" s="11"/>
      <c r="P28164" s="11"/>
    </row>
    <row r="28165" spans="8:16" x14ac:dyDescent="0.25">
      <c r="H28165" s="12"/>
      <c r="I28165" s="12"/>
      <c r="J28165" s="12"/>
      <c r="K28165" s="12"/>
      <c r="L28165" s="12"/>
      <c r="M28165" s="11"/>
      <c r="N28165" s="11"/>
      <c r="O28165" s="11"/>
      <c r="P28165" s="11"/>
    </row>
    <row r="28166" spans="8:16" x14ac:dyDescent="0.25">
      <c r="H28166" s="12"/>
      <c r="I28166" s="12"/>
      <c r="J28166" s="12"/>
      <c r="K28166" s="12"/>
      <c r="L28166" s="12"/>
      <c r="M28166" s="11"/>
      <c r="N28166" s="11"/>
      <c r="O28166" s="11"/>
      <c r="P28166" s="11"/>
    </row>
    <row r="28167" spans="8:16" x14ac:dyDescent="0.25">
      <c r="H28167" s="12"/>
      <c r="I28167" s="12"/>
      <c r="J28167" s="12"/>
      <c r="K28167" s="12"/>
      <c r="L28167" s="12"/>
      <c r="M28167" s="11"/>
      <c r="N28167" s="11"/>
      <c r="O28167" s="11"/>
      <c r="P28167" s="11"/>
    </row>
    <row r="28168" spans="8:16" x14ac:dyDescent="0.25">
      <c r="H28168" s="12"/>
      <c r="I28168" s="12"/>
      <c r="J28168" s="12"/>
      <c r="K28168" s="12"/>
      <c r="L28168" s="12"/>
      <c r="M28168" s="11"/>
      <c r="N28168" s="11"/>
      <c r="O28168" s="11"/>
      <c r="P28168" s="11"/>
    </row>
    <row r="28169" spans="8:16" x14ac:dyDescent="0.25">
      <c r="H28169" s="12"/>
      <c r="I28169" s="12"/>
      <c r="J28169" s="12"/>
      <c r="K28169" s="12"/>
      <c r="L28169" s="12"/>
      <c r="M28169" s="11"/>
      <c r="N28169" s="11"/>
      <c r="O28169" s="11"/>
      <c r="P28169" s="11"/>
    </row>
    <row r="28170" spans="8:16" x14ac:dyDescent="0.25">
      <c r="H28170" s="12"/>
      <c r="I28170" s="12"/>
      <c r="J28170" s="12"/>
      <c r="K28170" s="12"/>
      <c r="L28170" s="12"/>
      <c r="M28170" s="11"/>
      <c r="N28170" s="11"/>
      <c r="O28170" s="11"/>
      <c r="P28170" s="11"/>
    </row>
    <row r="28171" spans="8:16" x14ac:dyDescent="0.25">
      <c r="H28171" s="12"/>
      <c r="I28171" s="12"/>
      <c r="J28171" s="12"/>
      <c r="K28171" s="12"/>
      <c r="L28171" s="12"/>
      <c r="M28171" s="11"/>
      <c r="N28171" s="11"/>
      <c r="O28171" s="11"/>
      <c r="P28171" s="11"/>
    </row>
    <row r="28172" spans="8:16" x14ac:dyDescent="0.25">
      <c r="H28172" s="12"/>
      <c r="I28172" s="12"/>
      <c r="J28172" s="12"/>
      <c r="K28172" s="12"/>
      <c r="L28172" s="12"/>
      <c r="M28172" s="11"/>
      <c r="N28172" s="11"/>
      <c r="O28172" s="11"/>
      <c r="P28172" s="11"/>
    </row>
    <row r="28173" spans="8:16" x14ac:dyDescent="0.25">
      <c r="H28173" s="12"/>
      <c r="I28173" s="12"/>
      <c r="J28173" s="12"/>
      <c r="K28173" s="12"/>
      <c r="L28173" s="12"/>
      <c r="M28173" s="11"/>
      <c r="N28173" s="11"/>
      <c r="O28173" s="11"/>
      <c r="P28173" s="11"/>
    </row>
    <row r="28174" spans="8:16" x14ac:dyDescent="0.25">
      <c r="H28174" s="12"/>
      <c r="I28174" s="12"/>
      <c r="J28174" s="12"/>
      <c r="K28174" s="12"/>
      <c r="L28174" s="12"/>
      <c r="M28174" s="11"/>
      <c r="N28174" s="11"/>
      <c r="O28174" s="11"/>
      <c r="P28174" s="11"/>
    </row>
    <row r="28175" spans="8:16" x14ac:dyDescent="0.25">
      <c r="H28175" s="12"/>
      <c r="I28175" s="12"/>
      <c r="J28175" s="12"/>
      <c r="K28175" s="12"/>
      <c r="L28175" s="12"/>
      <c r="M28175" s="11"/>
      <c r="N28175" s="11"/>
      <c r="O28175" s="11"/>
      <c r="P28175" s="11"/>
    </row>
    <row r="28176" spans="8:16" x14ac:dyDescent="0.25">
      <c r="H28176" s="12"/>
      <c r="I28176" s="12"/>
      <c r="J28176" s="12"/>
      <c r="K28176" s="12"/>
      <c r="L28176" s="12"/>
      <c r="M28176" s="11"/>
      <c r="N28176" s="11"/>
      <c r="O28176" s="11"/>
      <c r="P28176" s="11"/>
    </row>
    <row r="28177" spans="8:16" x14ac:dyDescent="0.25">
      <c r="H28177" s="12"/>
      <c r="I28177" s="12"/>
      <c r="J28177" s="12"/>
      <c r="K28177" s="12"/>
      <c r="L28177" s="12"/>
      <c r="M28177" s="11"/>
      <c r="N28177" s="11"/>
      <c r="O28177" s="11"/>
      <c r="P28177" s="11"/>
    </row>
    <row r="28178" spans="8:16" x14ac:dyDescent="0.25">
      <c r="H28178" s="12"/>
      <c r="I28178" s="12"/>
      <c r="J28178" s="12"/>
      <c r="K28178" s="12"/>
      <c r="L28178" s="12"/>
      <c r="M28178" s="11"/>
      <c r="N28178" s="11"/>
      <c r="O28178" s="11"/>
      <c r="P28178" s="11"/>
    </row>
    <row r="28179" spans="8:16" x14ac:dyDescent="0.25">
      <c r="H28179" s="12"/>
      <c r="I28179" s="12"/>
      <c r="J28179" s="12"/>
      <c r="K28179" s="12"/>
      <c r="L28179" s="12"/>
      <c r="M28179" s="11"/>
      <c r="N28179" s="11"/>
      <c r="O28179" s="11"/>
      <c r="P28179" s="11"/>
    </row>
    <row r="28180" spans="8:16" x14ac:dyDescent="0.25">
      <c r="H28180" s="12"/>
      <c r="I28180" s="12"/>
      <c r="J28180" s="12"/>
      <c r="K28180" s="12"/>
      <c r="L28180" s="12"/>
      <c r="M28180" s="11"/>
      <c r="N28180" s="11"/>
      <c r="O28180" s="11"/>
      <c r="P28180" s="11"/>
    </row>
    <row r="28181" spans="8:16" x14ac:dyDescent="0.25">
      <c r="H28181" s="12"/>
      <c r="I28181" s="12"/>
      <c r="J28181" s="12"/>
      <c r="K28181" s="12"/>
      <c r="L28181" s="12"/>
      <c r="M28181" s="11"/>
      <c r="N28181" s="11"/>
      <c r="O28181" s="11"/>
      <c r="P28181" s="11"/>
    </row>
    <row r="28182" spans="8:16" x14ac:dyDescent="0.25">
      <c r="H28182" s="12"/>
      <c r="I28182" s="12"/>
      <c r="J28182" s="12"/>
      <c r="K28182" s="12"/>
      <c r="L28182" s="12"/>
      <c r="M28182" s="11"/>
      <c r="N28182" s="11"/>
      <c r="O28182" s="11"/>
      <c r="P28182" s="11"/>
    </row>
    <row r="28183" spans="8:16" x14ac:dyDescent="0.25">
      <c r="H28183" s="12"/>
      <c r="I28183" s="12"/>
      <c r="J28183" s="12"/>
      <c r="K28183" s="12"/>
      <c r="L28183" s="12"/>
      <c r="M28183" s="11"/>
      <c r="N28183" s="11"/>
      <c r="O28183" s="11"/>
      <c r="P28183" s="11"/>
    </row>
    <row r="28184" spans="8:16" x14ac:dyDescent="0.25">
      <c r="H28184" s="12"/>
      <c r="I28184" s="12"/>
      <c r="J28184" s="12"/>
      <c r="K28184" s="12"/>
      <c r="L28184" s="12"/>
      <c r="M28184" s="11"/>
      <c r="N28184" s="11"/>
      <c r="O28184" s="11"/>
      <c r="P28184" s="11"/>
    </row>
    <row r="28185" spans="8:16" x14ac:dyDescent="0.25">
      <c r="H28185" s="12"/>
      <c r="I28185" s="12"/>
      <c r="J28185" s="12"/>
      <c r="K28185" s="12"/>
      <c r="L28185" s="12"/>
      <c r="M28185" s="11"/>
      <c r="N28185" s="11"/>
      <c r="O28185" s="11"/>
      <c r="P28185" s="11"/>
    </row>
    <row r="28186" spans="8:16" x14ac:dyDescent="0.25">
      <c r="H28186" s="12"/>
      <c r="I28186" s="12"/>
      <c r="J28186" s="12"/>
      <c r="K28186" s="12"/>
      <c r="L28186" s="12"/>
      <c r="M28186" s="11"/>
      <c r="N28186" s="11"/>
      <c r="O28186" s="11"/>
      <c r="P28186" s="11"/>
    </row>
    <row r="28187" spans="8:16" x14ac:dyDescent="0.25">
      <c r="H28187" s="12"/>
      <c r="I28187" s="12"/>
      <c r="J28187" s="12"/>
      <c r="K28187" s="12"/>
      <c r="L28187" s="12"/>
      <c r="M28187" s="11"/>
      <c r="N28187" s="11"/>
      <c r="O28187" s="11"/>
      <c r="P28187" s="11"/>
    </row>
    <row r="28188" spans="8:16" x14ac:dyDescent="0.25">
      <c r="H28188" s="12"/>
      <c r="I28188" s="12"/>
      <c r="J28188" s="12"/>
      <c r="K28188" s="12"/>
      <c r="L28188" s="12"/>
      <c r="M28188" s="11"/>
      <c r="N28188" s="11"/>
      <c r="O28188" s="11"/>
      <c r="P28188" s="11"/>
    </row>
    <row r="28189" spans="8:16" x14ac:dyDescent="0.25">
      <c r="H28189" s="12"/>
      <c r="I28189" s="12"/>
      <c r="J28189" s="12"/>
      <c r="K28189" s="12"/>
      <c r="L28189" s="12"/>
      <c r="M28189" s="11"/>
      <c r="N28189" s="11"/>
      <c r="O28189" s="11"/>
      <c r="P28189" s="11"/>
    </row>
    <row r="28190" spans="8:16" x14ac:dyDescent="0.25">
      <c r="H28190" s="12"/>
      <c r="I28190" s="12"/>
      <c r="J28190" s="12"/>
      <c r="K28190" s="12"/>
      <c r="L28190" s="12"/>
      <c r="M28190" s="11"/>
      <c r="N28190" s="11"/>
      <c r="O28190" s="11"/>
      <c r="P28190" s="11"/>
    </row>
    <row r="28191" spans="8:16" x14ac:dyDescent="0.25">
      <c r="H28191" s="12"/>
      <c r="I28191" s="12"/>
      <c r="J28191" s="12"/>
      <c r="K28191" s="12"/>
      <c r="L28191" s="12"/>
      <c r="M28191" s="11"/>
      <c r="N28191" s="11"/>
      <c r="O28191" s="11"/>
      <c r="P28191" s="11"/>
    </row>
    <row r="28192" spans="8:16" x14ac:dyDescent="0.25">
      <c r="H28192" s="12"/>
      <c r="I28192" s="12"/>
      <c r="J28192" s="12"/>
      <c r="K28192" s="12"/>
      <c r="L28192" s="12"/>
      <c r="M28192" s="11"/>
      <c r="N28192" s="11"/>
      <c r="O28192" s="11"/>
      <c r="P28192" s="11"/>
    </row>
    <row r="28193" spans="8:16" x14ac:dyDescent="0.25">
      <c r="H28193" s="12"/>
      <c r="I28193" s="12"/>
      <c r="J28193" s="12"/>
      <c r="K28193" s="12"/>
      <c r="L28193" s="12"/>
      <c r="M28193" s="11"/>
      <c r="N28193" s="11"/>
      <c r="O28193" s="11"/>
      <c r="P28193" s="11"/>
    </row>
    <row r="28194" spans="8:16" x14ac:dyDescent="0.25">
      <c r="H28194" s="12"/>
      <c r="I28194" s="12"/>
      <c r="J28194" s="12"/>
      <c r="K28194" s="12"/>
      <c r="L28194" s="12"/>
      <c r="M28194" s="11"/>
      <c r="N28194" s="11"/>
      <c r="O28194" s="11"/>
      <c r="P28194" s="11"/>
    </row>
    <row r="28195" spans="8:16" x14ac:dyDescent="0.25">
      <c r="H28195" s="12"/>
      <c r="I28195" s="12"/>
      <c r="J28195" s="12"/>
      <c r="K28195" s="12"/>
      <c r="L28195" s="12"/>
      <c r="M28195" s="11"/>
      <c r="N28195" s="11"/>
      <c r="O28195" s="11"/>
      <c r="P28195" s="11"/>
    </row>
    <row r="28196" spans="8:16" x14ac:dyDescent="0.25">
      <c r="H28196" s="12"/>
      <c r="I28196" s="12"/>
      <c r="J28196" s="12"/>
      <c r="K28196" s="12"/>
      <c r="L28196" s="12"/>
      <c r="M28196" s="11"/>
      <c r="N28196" s="11"/>
      <c r="O28196" s="11"/>
      <c r="P28196" s="11"/>
    </row>
    <row r="28197" spans="8:16" x14ac:dyDescent="0.25">
      <c r="H28197" s="12"/>
      <c r="I28197" s="12"/>
      <c r="J28197" s="12"/>
      <c r="K28197" s="12"/>
      <c r="L28197" s="12"/>
      <c r="M28197" s="11"/>
      <c r="N28197" s="11"/>
      <c r="O28197" s="11"/>
      <c r="P28197" s="11"/>
    </row>
    <row r="28198" spans="8:16" x14ac:dyDescent="0.25">
      <c r="H28198" s="12"/>
      <c r="I28198" s="12"/>
      <c r="J28198" s="12"/>
      <c r="K28198" s="12"/>
      <c r="L28198" s="12"/>
      <c r="M28198" s="11"/>
      <c r="N28198" s="11"/>
      <c r="O28198" s="11"/>
      <c r="P28198" s="11"/>
    </row>
    <row r="28199" spans="8:16" x14ac:dyDescent="0.25">
      <c r="H28199" s="12"/>
      <c r="I28199" s="12"/>
      <c r="J28199" s="12"/>
      <c r="K28199" s="12"/>
      <c r="L28199" s="12"/>
      <c r="M28199" s="11"/>
      <c r="N28199" s="11"/>
      <c r="O28199" s="11"/>
      <c r="P28199" s="11"/>
    </row>
    <row r="28200" spans="8:16" x14ac:dyDescent="0.25">
      <c r="H28200" s="12"/>
      <c r="I28200" s="12"/>
      <c r="J28200" s="12"/>
      <c r="K28200" s="12"/>
      <c r="L28200" s="12"/>
      <c r="M28200" s="11"/>
      <c r="N28200" s="11"/>
      <c r="O28200" s="11"/>
      <c r="P28200" s="11"/>
    </row>
    <row r="28201" spans="8:16" x14ac:dyDescent="0.25">
      <c r="H28201" s="12"/>
      <c r="I28201" s="12"/>
      <c r="J28201" s="12"/>
      <c r="K28201" s="12"/>
      <c r="L28201" s="12"/>
      <c r="M28201" s="11"/>
      <c r="N28201" s="11"/>
      <c r="O28201" s="11"/>
      <c r="P28201" s="11"/>
    </row>
    <row r="28202" spans="8:16" x14ac:dyDescent="0.25">
      <c r="H28202" s="12"/>
      <c r="I28202" s="12"/>
      <c r="J28202" s="12"/>
      <c r="K28202" s="12"/>
      <c r="L28202" s="12"/>
      <c r="M28202" s="11"/>
      <c r="N28202" s="11"/>
      <c r="O28202" s="11"/>
      <c r="P28202" s="11"/>
    </row>
    <row r="28203" spans="8:16" x14ac:dyDescent="0.25">
      <c r="H28203" s="12"/>
      <c r="I28203" s="12"/>
      <c r="J28203" s="12"/>
      <c r="K28203" s="12"/>
      <c r="L28203" s="12"/>
      <c r="M28203" s="11"/>
      <c r="N28203" s="11"/>
      <c r="O28203" s="11"/>
      <c r="P28203" s="11"/>
    </row>
    <row r="28204" spans="8:16" x14ac:dyDescent="0.25">
      <c r="H28204" s="12"/>
      <c r="I28204" s="12"/>
      <c r="J28204" s="12"/>
      <c r="K28204" s="12"/>
      <c r="L28204" s="12"/>
      <c r="M28204" s="11"/>
      <c r="N28204" s="11"/>
      <c r="O28204" s="11"/>
      <c r="P28204" s="11"/>
    </row>
    <row r="28205" spans="8:16" x14ac:dyDescent="0.25">
      <c r="H28205" s="12"/>
      <c r="I28205" s="12"/>
      <c r="J28205" s="12"/>
      <c r="K28205" s="12"/>
      <c r="L28205" s="12"/>
      <c r="M28205" s="11"/>
      <c r="N28205" s="11"/>
      <c r="O28205" s="11"/>
      <c r="P28205" s="11"/>
    </row>
    <row r="28206" spans="8:16" x14ac:dyDescent="0.25">
      <c r="H28206" s="12"/>
      <c r="I28206" s="12"/>
      <c r="J28206" s="12"/>
      <c r="K28206" s="12"/>
      <c r="L28206" s="12"/>
      <c r="M28206" s="11"/>
      <c r="N28206" s="11"/>
      <c r="O28206" s="11"/>
      <c r="P28206" s="11"/>
    </row>
    <row r="28207" spans="8:16" x14ac:dyDescent="0.25">
      <c r="H28207" s="12"/>
      <c r="I28207" s="12"/>
      <c r="J28207" s="12"/>
      <c r="K28207" s="12"/>
      <c r="L28207" s="12"/>
      <c r="M28207" s="11"/>
      <c r="N28207" s="11"/>
      <c r="O28207" s="11"/>
      <c r="P28207" s="11"/>
    </row>
    <row r="28208" spans="8:16" x14ac:dyDescent="0.25">
      <c r="H28208" s="12"/>
      <c r="I28208" s="12"/>
      <c r="J28208" s="12"/>
      <c r="K28208" s="12"/>
      <c r="L28208" s="12"/>
      <c r="M28208" s="11"/>
      <c r="N28208" s="11"/>
      <c r="O28208" s="11"/>
      <c r="P28208" s="11"/>
    </row>
    <row r="28209" spans="8:16" x14ac:dyDescent="0.25">
      <c r="H28209" s="12"/>
      <c r="I28209" s="12"/>
      <c r="J28209" s="12"/>
      <c r="K28209" s="12"/>
      <c r="L28209" s="12"/>
      <c r="M28209" s="11"/>
      <c r="N28209" s="11"/>
      <c r="O28209" s="11"/>
      <c r="P28209" s="11"/>
    </row>
    <row r="28210" spans="8:16" x14ac:dyDescent="0.25">
      <c r="H28210" s="12"/>
      <c r="I28210" s="12"/>
      <c r="J28210" s="12"/>
      <c r="K28210" s="12"/>
      <c r="L28210" s="12"/>
      <c r="M28210" s="11"/>
      <c r="N28210" s="11"/>
      <c r="O28210" s="11"/>
      <c r="P28210" s="11"/>
    </row>
    <row r="28211" spans="8:16" x14ac:dyDescent="0.25">
      <c r="H28211" s="12"/>
      <c r="I28211" s="12"/>
      <c r="J28211" s="12"/>
      <c r="K28211" s="12"/>
      <c r="L28211" s="12"/>
      <c r="M28211" s="11"/>
      <c r="N28211" s="11"/>
      <c r="O28211" s="11"/>
      <c r="P28211" s="11"/>
    </row>
    <row r="28212" spans="8:16" x14ac:dyDescent="0.25">
      <c r="H28212" s="12"/>
      <c r="I28212" s="12"/>
      <c r="J28212" s="12"/>
      <c r="K28212" s="12"/>
      <c r="L28212" s="12"/>
      <c r="M28212" s="11"/>
      <c r="N28212" s="11"/>
      <c r="O28212" s="11"/>
      <c r="P28212" s="11"/>
    </row>
    <row r="28213" spans="8:16" x14ac:dyDescent="0.25">
      <c r="H28213" s="12"/>
      <c r="I28213" s="12"/>
      <c r="J28213" s="12"/>
      <c r="K28213" s="12"/>
      <c r="L28213" s="12"/>
      <c r="M28213" s="11"/>
      <c r="N28213" s="11"/>
      <c r="O28213" s="11"/>
      <c r="P28213" s="11"/>
    </row>
    <row r="28214" spans="8:16" x14ac:dyDescent="0.25">
      <c r="H28214" s="12"/>
      <c r="I28214" s="12"/>
      <c r="J28214" s="12"/>
      <c r="K28214" s="12"/>
      <c r="L28214" s="12"/>
      <c r="M28214" s="11"/>
      <c r="N28214" s="11"/>
      <c r="O28214" s="11"/>
      <c r="P28214" s="11"/>
    </row>
    <row r="28215" spans="8:16" x14ac:dyDescent="0.25">
      <c r="H28215" s="12"/>
      <c r="I28215" s="12"/>
      <c r="J28215" s="12"/>
      <c r="K28215" s="12"/>
      <c r="L28215" s="12"/>
      <c r="M28215" s="11"/>
      <c r="N28215" s="11"/>
      <c r="O28215" s="11"/>
      <c r="P28215" s="11"/>
    </row>
    <row r="28216" spans="8:16" x14ac:dyDescent="0.25">
      <c r="H28216" s="12"/>
      <c r="I28216" s="12"/>
      <c r="J28216" s="12"/>
      <c r="K28216" s="12"/>
      <c r="L28216" s="12"/>
      <c r="M28216" s="11"/>
      <c r="N28216" s="11"/>
      <c r="O28216" s="11"/>
      <c r="P28216" s="11"/>
    </row>
    <row r="28217" spans="8:16" x14ac:dyDescent="0.25">
      <c r="H28217" s="12"/>
      <c r="I28217" s="12"/>
      <c r="J28217" s="12"/>
      <c r="K28217" s="12"/>
      <c r="L28217" s="12"/>
      <c r="M28217" s="11"/>
      <c r="N28217" s="11"/>
      <c r="O28217" s="11"/>
      <c r="P28217" s="11"/>
    </row>
    <row r="28218" spans="8:16" x14ac:dyDescent="0.25">
      <c r="H28218" s="12"/>
      <c r="I28218" s="12"/>
      <c r="J28218" s="12"/>
      <c r="K28218" s="12"/>
      <c r="L28218" s="12"/>
      <c r="M28218" s="11"/>
      <c r="N28218" s="11"/>
      <c r="O28218" s="11"/>
      <c r="P28218" s="11"/>
    </row>
    <row r="28219" spans="8:16" x14ac:dyDescent="0.25">
      <c r="H28219" s="12"/>
      <c r="I28219" s="12"/>
      <c r="J28219" s="12"/>
      <c r="K28219" s="12"/>
      <c r="L28219" s="12"/>
      <c r="M28219" s="11"/>
      <c r="N28219" s="11"/>
      <c r="O28219" s="11"/>
      <c r="P28219" s="11"/>
    </row>
    <row r="28220" spans="8:16" x14ac:dyDescent="0.25">
      <c r="H28220" s="12"/>
      <c r="I28220" s="12"/>
      <c r="J28220" s="12"/>
      <c r="K28220" s="12"/>
      <c r="L28220" s="12"/>
      <c r="M28220" s="11"/>
      <c r="N28220" s="11"/>
      <c r="O28220" s="11"/>
      <c r="P28220" s="11"/>
    </row>
    <row r="28221" spans="8:16" x14ac:dyDescent="0.25">
      <c r="H28221" s="12"/>
      <c r="I28221" s="12"/>
      <c r="J28221" s="12"/>
      <c r="K28221" s="12"/>
      <c r="L28221" s="12"/>
      <c r="M28221" s="11"/>
      <c r="N28221" s="11"/>
      <c r="O28221" s="11"/>
      <c r="P28221" s="11"/>
    </row>
    <row r="28222" spans="8:16" x14ac:dyDescent="0.25">
      <c r="H28222" s="12"/>
      <c r="I28222" s="12"/>
      <c r="J28222" s="12"/>
      <c r="K28222" s="12"/>
      <c r="L28222" s="12"/>
      <c r="M28222" s="11"/>
      <c r="N28222" s="11"/>
      <c r="O28222" s="11"/>
      <c r="P28222" s="11"/>
    </row>
    <row r="28223" spans="8:16" x14ac:dyDescent="0.25">
      <c r="H28223" s="12"/>
      <c r="I28223" s="12"/>
      <c r="J28223" s="12"/>
      <c r="K28223" s="12"/>
      <c r="L28223" s="12"/>
      <c r="M28223" s="11"/>
      <c r="N28223" s="11"/>
      <c r="O28223" s="11"/>
      <c r="P28223" s="11"/>
    </row>
    <row r="28224" spans="8:16" x14ac:dyDescent="0.25">
      <c r="H28224" s="12"/>
      <c r="I28224" s="12"/>
      <c r="J28224" s="12"/>
      <c r="K28224" s="12"/>
      <c r="L28224" s="12"/>
      <c r="M28224" s="11"/>
      <c r="N28224" s="11"/>
      <c r="O28224" s="11"/>
      <c r="P28224" s="11"/>
    </row>
    <row r="28225" spans="8:16" x14ac:dyDescent="0.25">
      <c r="H28225" s="12"/>
      <c r="I28225" s="12"/>
      <c r="J28225" s="12"/>
      <c r="K28225" s="12"/>
      <c r="L28225" s="12"/>
      <c r="M28225" s="11"/>
      <c r="N28225" s="11"/>
      <c r="O28225" s="11"/>
      <c r="P28225" s="11"/>
    </row>
    <row r="28226" spans="8:16" x14ac:dyDescent="0.25">
      <c r="H28226" s="12"/>
      <c r="I28226" s="12"/>
      <c r="J28226" s="12"/>
      <c r="K28226" s="12"/>
      <c r="L28226" s="12"/>
      <c r="M28226" s="11"/>
      <c r="N28226" s="11"/>
      <c r="O28226" s="11"/>
      <c r="P28226" s="11"/>
    </row>
    <row r="28227" spans="8:16" x14ac:dyDescent="0.25">
      <c r="H28227" s="12"/>
      <c r="I28227" s="12"/>
      <c r="J28227" s="12"/>
      <c r="K28227" s="12"/>
      <c r="L28227" s="12"/>
      <c r="M28227" s="11"/>
      <c r="N28227" s="11"/>
      <c r="O28227" s="11"/>
      <c r="P28227" s="11"/>
    </row>
    <row r="28228" spans="8:16" x14ac:dyDescent="0.25">
      <c r="H28228" s="12"/>
      <c r="I28228" s="12"/>
      <c r="J28228" s="12"/>
      <c r="K28228" s="12"/>
      <c r="L28228" s="12"/>
      <c r="M28228" s="11"/>
      <c r="N28228" s="11"/>
      <c r="O28228" s="11"/>
      <c r="P28228" s="11"/>
    </row>
    <row r="28229" spans="8:16" x14ac:dyDescent="0.25">
      <c r="H28229" s="12"/>
      <c r="I28229" s="12"/>
      <c r="J28229" s="12"/>
      <c r="K28229" s="12"/>
      <c r="L28229" s="12"/>
      <c r="M28229" s="11"/>
      <c r="N28229" s="11"/>
      <c r="O28229" s="11"/>
      <c r="P28229" s="11"/>
    </row>
    <row r="28230" spans="8:16" x14ac:dyDescent="0.25">
      <c r="H28230" s="12"/>
      <c r="I28230" s="12"/>
      <c r="J28230" s="12"/>
      <c r="K28230" s="12"/>
      <c r="L28230" s="12"/>
      <c r="M28230" s="11"/>
      <c r="N28230" s="11"/>
      <c r="O28230" s="11"/>
      <c r="P28230" s="11"/>
    </row>
    <row r="28231" spans="8:16" x14ac:dyDescent="0.25">
      <c r="H28231" s="12"/>
      <c r="I28231" s="12"/>
      <c r="J28231" s="12"/>
      <c r="K28231" s="12"/>
      <c r="L28231" s="12"/>
      <c r="M28231" s="11"/>
      <c r="N28231" s="11"/>
      <c r="O28231" s="11"/>
      <c r="P28231" s="11"/>
    </row>
    <row r="28232" spans="8:16" x14ac:dyDescent="0.25">
      <c r="H28232" s="12"/>
      <c r="I28232" s="12"/>
      <c r="J28232" s="12"/>
      <c r="K28232" s="12"/>
      <c r="L28232" s="12"/>
      <c r="M28232" s="11"/>
      <c r="N28232" s="11"/>
      <c r="O28232" s="11"/>
      <c r="P28232" s="11"/>
    </row>
    <row r="28233" spans="8:16" x14ac:dyDescent="0.25">
      <c r="H28233" s="12"/>
      <c r="I28233" s="12"/>
      <c r="J28233" s="12"/>
      <c r="K28233" s="12"/>
      <c r="L28233" s="12"/>
      <c r="M28233" s="11"/>
      <c r="N28233" s="11"/>
      <c r="O28233" s="11"/>
      <c r="P28233" s="11"/>
    </row>
    <row r="28234" spans="8:16" x14ac:dyDescent="0.25">
      <c r="H28234" s="12"/>
      <c r="I28234" s="12"/>
      <c r="J28234" s="12"/>
      <c r="K28234" s="12"/>
      <c r="L28234" s="12"/>
      <c r="M28234" s="11"/>
      <c r="N28234" s="11"/>
      <c r="O28234" s="11"/>
      <c r="P28234" s="11"/>
    </row>
    <row r="28235" spans="8:16" x14ac:dyDescent="0.25">
      <c r="H28235" s="12"/>
      <c r="I28235" s="12"/>
      <c r="J28235" s="12"/>
      <c r="K28235" s="12"/>
      <c r="L28235" s="12"/>
      <c r="M28235" s="11"/>
      <c r="N28235" s="11"/>
      <c r="O28235" s="11"/>
      <c r="P28235" s="11"/>
    </row>
    <row r="28236" spans="8:16" x14ac:dyDescent="0.25">
      <c r="H28236" s="12"/>
      <c r="I28236" s="12"/>
      <c r="J28236" s="12"/>
      <c r="K28236" s="12"/>
      <c r="L28236" s="12"/>
      <c r="M28236" s="11"/>
      <c r="N28236" s="11"/>
      <c r="O28236" s="11"/>
      <c r="P28236" s="11"/>
    </row>
    <row r="28237" spans="8:16" x14ac:dyDescent="0.25">
      <c r="H28237" s="12"/>
      <c r="I28237" s="12"/>
      <c r="J28237" s="12"/>
      <c r="K28237" s="12"/>
      <c r="L28237" s="12"/>
      <c r="M28237" s="11"/>
      <c r="N28237" s="11"/>
      <c r="O28237" s="11"/>
      <c r="P28237" s="11"/>
    </row>
    <row r="28238" spans="8:16" x14ac:dyDescent="0.25">
      <c r="H28238" s="12"/>
      <c r="I28238" s="12"/>
      <c r="J28238" s="12"/>
      <c r="K28238" s="12"/>
      <c r="L28238" s="12"/>
      <c r="M28238" s="11"/>
      <c r="N28238" s="11"/>
      <c r="O28238" s="11"/>
      <c r="P28238" s="11"/>
    </row>
    <row r="28239" spans="8:16" x14ac:dyDescent="0.25">
      <c r="H28239" s="12"/>
      <c r="I28239" s="12"/>
      <c r="J28239" s="12"/>
      <c r="K28239" s="12"/>
      <c r="L28239" s="12"/>
      <c r="M28239" s="11"/>
      <c r="N28239" s="11"/>
      <c r="O28239" s="11"/>
      <c r="P28239" s="11"/>
    </row>
    <row r="28240" spans="8:16" x14ac:dyDescent="0.25">
      <c r="H28240" s="12"/>
      <c r="I28240" s="12"/>
      <c r="J28240" s="12"/>
      <c r="K28240" s="12"/>
      <c r="L28240" s="12"/>
      <c r="M28240" s="11"/>
      <c r="N28240" s="11"/>
      <c r="O28240" s="11"/>
      <c r="P28240" s="11"/>
    </row>
    <row r="28241" spans="8:16" x14ac:dyDescent="0.25">
      <c r="H28241" s="12"/>
      <c r="I28241" s="12"/>
      <c r="J28241" s="12"/>
      <c r="K28241" s="12"/>
      <c r="L28241" s="12"/>
      <c r="M28241" s="11"/>
      <c r="N28241" s="11"/>
      <c r="O28241" s="11"/>
      <c r="P28241" s="11"/>
    </row>
    <row r="28242" spans="8:16" x14ac:dyDescent="0.25">
      <c r="H28242" s="12"/>
      <c r="I28242" s="12"/>
      <c r="J28242" s="12"/>
      <c r="K28242" s="12"/>
      <c r="L28242" s="12"/>
      <c r="M28242" s="11"/>
      <c r="N28242" s="11"/>
      <c r="O28242" s="11"/>
      <c r="P28242" s="11"/>
    </row>
    <row r="28243" spans="8:16" x14ac:dyDescent="0.25">
      <c r="H28243" s="12"/>
      <c r="I28243" s="12"/>
      <c r="J28243" s="12"/>
      <c r="K28243" s="12"/>
      <c r="L28243" s="12"/>
      <c r="M28243" s="11"/>
      <c r="N28243" s="11"/>
      <c r="O28243" s="11"/>
      <c r="P28243" s="11"/>
    </row>
    <row r="28244" spans="8:16" x14ac:dyDescent="0.25">
      <c r="H28244" s="12"/>
      <c r="I28244" s="12"/>
      <c r="J28244" s="12"/>
      <c r="K28244" s="12"/>
      <c r="L28244" s="12"/>
      <c r="M28244" s="11"/>
      <c r="N28244" s="11"/>
      <c r="O28244" s="11"/>
      <c r="P28244" s="11"/>
    </row>
    <row r="28245" spans="8:16" x14ac:dyDescent="0.25">
      <c r="H28245" s="12"/>
      <c r="I28245" s="12"/>
      <c r="J28245" s="12"/>
      <c r="K28245" s="12"/>
      <c r="L28245" s="12"/>
      <c r="M28245" s="11"/>
      <c r="N28245" s="11"/>
      <c r="O28245" s="11"/>
      <c r="P28245" s="11"/>
    </row>
    <row r="28246" spans="8:16" x14ac:dyDescent="0.25">
      <c r="H28246" s="12"/>
      <c r="I28246" s="12"/>
      <c r="J28246" s="12"/>
      <c r="K28246" s="12"/>
      <c r="L28246" s="12"/>
      <c r="M28246" s="11"/>
      <c r="N28246" s="11"/>
      <c r="O28246" s="11"/>
      <c r="P28246" s="11"/>
    </row>
    <row r="28247" spans="8:16" x14ac:dyDescent="0.25">
      <c r="H28247" s="12"/>
      <c r="I28247" s="12"/>
      <c r="J28247" s="12"/>
      <c r="K28247" s="12"/>
      <c r="L28247" s="12"/>
      <c r="M28247" s="11"/>
      <c r="N28247" s="11"/>
      <c r="O28247" s="11"/>
      <c r="P28247" s="11"/>
    </row>
    <row r="28248" spans="8:16" x14ac:dyDescent="0.25">
      <c r="H28248" s="12"/>
      <c r="I28248" s="12"/>
      <c r="J28248" s="12"/>
      <c r="K28248" s="12"/>
      <c r="L28248" s="12"/>
      <c r="M28248" s="11"/>
      <c r="N28248" s="11"/>
      <c r="O28248" s="11"/>
      <c r="P28248" s="11"/>
    </row>
    <row r="28249" spans="8:16" x14ac:dyDescent="0.25">
      <c r="H28249" s="12"/>
      <c r="I28249" s="12"/>
      <c r="J28249" s="12"/>
      <c r="K28249" s="12"/>
      <c r="L28249" s="12"/>
      <c r="M28249" s="11"/>
      <c r="N28249" s="11"/>
      <c r="O28249" s="11"/>
      <c r="P28249" s="11"/>
    </row>
    <row r="28250" spans="8:16" x14ac:dyDescent="0.25">
      <c r="H28250" s="12"/>
      <c r="I28250" s="12"/>
      <c r="J28250" s="12"/>
      <c r="K28250" s="12"/>
      <c r="L28250" s="12"/>
      <c r="M28250" s="11"/>
      <c r="N28250" s="11"/>
      <c r="O28250" s="11"/>
      <c r="P28250" s="11"/>
    </row>
    <row r="28251" spans="8:16" x14ac:dyDescent="0.25">
      <c r="H28251" s="12"/>
      <c r="I28251" s="12"/>
      <c r="J28251" s="12"/>
      <c r="K28251" s="12"/>
      <c r="L28251" s="12"/>
      <c r="M28251" s="11"/>
      <c r="N28251" s="11"/>
      <c r="O28251" s="11"/>
      <c r="P28251" s="11"/>
    </row>
    <row r="28252" spans="8:16" x14ac:dyDescent="0.25">
      <c r="H28252" s="12"/>
      <c r="I28252" s="12"/>
      <c r="J28252" s="12"/>
      <c r="K28252" s="12"/>
      <c r="L28252" s="12"/>
      <c r="M28252" s="11"/>
      <c r="N28252" s="11"/>
      <c r="O28252" s="11"/>
      <c r="P28252" s="11"/>
    </row>
    <row r="28253" spans="8:16" x14ac:dyDescent="0.25">
      <c r="H28253" s="12"/>
      <c r="I28253" s="12"/>
      <c r="J28253" s="12"/>
      <c r="K28253" s="12"/>
      <c r="L28253" s="12"/>
      <c r="M28253" s="11"/>
      <c r="N28253" s="11"/>
      <c r="O28253" s="11"/>
      <c r="P28253" s="11"/>
    </row>
    <row r="28254" spans="8:16" x14ac:dyDescent="0.25">
      <c r="H28254" s="12"/>
      <c r="I28254" s="12"/>
      <c r="J28254" s="12"/>
      <c r="K28254" s="12"/>
      <c r="L28254" s="12"/>
      <c r="M28254" s="11"/>
      <c r="N28254" s="11"/>
      <c r="O28254" s="11"/>
      <c r="P28254" s="11"/>
    </row>
    <row r="28255" spans="8:16" x14ac:dyDescent="0.25">
      <c r="H28255" s="12"/>
      <c r="I28255" s="12"/>
      <c r="J28255" s="12"/>
      <c r="K28255" s="12"/>
      <c r="L28255" s="12"/>
      <c r="M28255" s="11"/>
      <c r="N28255" s="11"/>
      <c r="O28255" s="11"/>
      <c r="P28255" s="11"/>
    </row>
    <row r="28256" spans="8:16" x14ac:dyDescent="0.25">
      <c r="H28256" s="12"/>
      <c r="I28256" s="12"/>
      <c r="J28256" s="12"/>
      <c r="K28256" s="12"/>
      <c r="L28256" s="12"/>
      <c r="M28256" s="11"/>
      <c r="N28256" s="11"/>
      <c r="O28256" s="11"/>
      <c r="P28256" s="11"/>
    </row>
    <row r="28257" spans="8:16" x14ac:dyDescent="0.25">
      <c r="H28257" s="12"/>
      <c r="I28257" s="12"/>
      <c r="J28257" s="12"/>
      <c r="K28257" s="12"/>
      <c r="L28257" s="12"/>
      <c r="M28257" s="11"/>
      <c r="N28257" s="11"/>
      <c r="O28257" s="11"/>
      <c r="P28257" s="11"/>
    </row>
    <row r="28258" spans="8:16" x14ac:dyDescent="0.25">
      <c r="H28258" s="12"/>
      <c r="I28258" s="12"/>
      <c r="J28258" s="12"/>
      <c r="K28258" s="12"/>
      <c r="L28258" s="12"/>
      <c r="M28258" s="11"/>
      <c r="N28258" s="11"/>
      <c r="O28258" s="11"/>
      <c r="P28258" s="11"/>
    </row>
    <row r="28259" spans="8:16" x14ac:dyDescent="0.25">
      <c r="H28259" s="12"/>
      <c r="I28259" s="12"/>
      <c r="J28259" s="12"/>
      <c r="K28259" s="12"/>
      <c r="L28259" s="12"/>
      <c r="M28259" s="11"/>
      <c r="N28259" s="11"/>
      <c r="O28259" s="11"/>
      <c r="P28259" s="11"/>
    </row>
    <row r="28260" spans="8:16" x14ac:dyDescent="0.25">
      <c r="H28260" s="12"/>
      <c r="I28260" s="12"/>
      <c r="J28260" s="12"/>
      <c r="K28260" s="12"/>
      <c r="L28260" s="12"/>
      <c r="M28260" s="11"/>
      <c r="N28260" s="11"/>
      <c r="O28260" s="11"/>
      <c r="P28260" s="11"/>
    </row>
    <row r="28261" spans="8:16" x14ac:dyDescent="0.25">
      <c r="H28261" s="12"/>
      <c r="I28261" s="12"/>
      <c r="J28261" s="12"/>
      <c r="K28261" s="12"/>
      <c r="L28261" s="12"/>
      <c r="M28261" s="11"/>
      <c r="N28261" s="11"/>
      <c r="O28261" s="11"/>
      <c r="P28261" s="11"/>
    </row>
    <row r="28262" spans="8:16" x14ac:dyDescent="0.25">
      <c r="H28262" s="12"/>
      <c r="I28262" s="12"/>
      <c r="J28262" s="12"/>
      <c r="K28262" s="12"/>
      <c r="L28262" s="12"/>
      <c r="M28262" s="11"/>
      <c r="N28262" s="11"/>
      <c r="O28262" s="11"/>
      <c r="P28262" s="11"/>
    </row>
    <row r="28263" spans="8:16" x14ac:dyDescent="0.25">
      <c r="H28263" s="12"/>
      <c r="I28263" s="12"/>
      <c r="J28263" s="12"/>
      <c r="K28263" s="12"/>
      <c r="L28263" s="12"/>
      <c r="M28263" s="11"/>
      <c r="N28263" s="11"/>
      <c r="O28263" s="11"/>
      <c r="P28263" s="11"/>
    </row>
    <row r="28264" spans="8:16" x14ac:dyDescent="0.25">
      <c r="H28264" s="12"/>
      <c r="I28264" s="12"/>
      <c r="J28264" s="12"/>
      <c r="K28264" s="12"/>
      <c r="L28264" s="12"/>
      <c r="M28264" s="11"/>
      <c r="N28264" s="11"/>
      <c r="O28264" s="11"/>
      <c r="P28264" s="11"/>
    </row>
    <row r="28265" spans="8:16" x14ac:dyDescent="0.25">
      <c r="H28265" s="12"/>
      <c r="I28265" s="12"/>
      <c r="J28265" s="12"/>
      <c r="K28265" s="12"/>
      <c r="L28265" s="12"/>
      <c r="M28265" s="11"/>
      <c r="N28265" s="11"/>
      <c r="O28265" s="11"/>
      <c r="P28265" s="11"/>
    </row>
    <row r="28266" spans="8:16" x14ac:dyDescent="0.25">
      <c r="H28266" s="12"/>
      <c r="I28266" s="12"/>
      <c r="J28266" s="12"/>
      <c r="K28266" s="12"/>
      <c r="L28266" s="12"/>
      <c r="M28266" s="11"/>
      <c r="N28266" s="11"/>
      <c r="O28266" s="11"/>
      <c r="P28266" s="11"/>
    </row>
    <row r="28267" spans="8:16" x14ac:dyDescent="0.25">
      <c r="H28267" s="12"/>
      <c r="I28267" s="12"/>
      <c r="J28267" s="12"/>
      <c r="K28267" s="12"/>
      <c r="L28267" s="12"/>
      <c r="M28267" s="11"/>
      <c r="N28267" s="11"/>
      <c r="O28267" s="11"/>
      <c r="P28267" s="11"/>
    </row>
    <row r="28268" spans="8:16" x14ac:dyDescent="0.25">
      <c r="H28268" s="12"/>
      <c r="I28268" s="12"/>
      <c r="J28268" s="12"/>
      <c r="K28268" s="12"/>
      <c r="L28268" s="12"/>
      <c r="M28268" s="11"/>
      <c r="N28268" s="11"/>
      <c r="O28268" s="11"/>
      <c r="P28268" s="11"/>
    </row>
    <row r="28269" spans="8:16" x14ac:dyDescent="0.25">
      <c r="H28269" s="12"/>
      <c r="I28269" s="12"/>
      <c r="J28269" s="12"/>
      <c r="K28269" s="12"/>
      <c r="L28269" s="12"/>
      <c r="M28269" s="11"/>
      <c r="N28269" s="11"/>
      <c r="O28269" s="11"/>
      <c r="P28269" s="11"/>
    </row>
    <row r="28270" spans="8:16" x14ac:dyDescent="0.25">
      <c r="H28270" s="12"/>
      <c r="I28270" s="12"/>
      <c r="J28270" s="12"/>
      <c r="K28270" s="12"/>
      <c r="L28270" s="12"/>
      <c r="M28270" s="11"/>
      <c r="N28270" s="11"/>
      <c r="O28270" s="11"/>
      <c r="P28270" s="11"/>
    </row>
    <row r="28271" spans="8:16" x14ac:dyDescent="0.25">
      <c r="H28271" s="12"/>
      <c r="I28271" s="12"/>
      <c r="J28271" s="12"/>
      <c r="K28271" s="12"/>
      <c r="L28271" s="12"/>
      <c r="M28271" s="11"/>
      <c r="N28271" s="11"/>
      <c r="O28271" s="11"/>
      <c r="P28271" s="11"/>
    </row>
    <row r="28272" spans="8:16" x14ac:dyDescent="0.25">
      <c r="H28272" s="12"/>
      <c r="I28272" s="12"/>
      <c r="J28272" s="12"/>
      <c r="K28272" s="12"/>
      <c r="L28272" s="12"/>
      <c r="M28272" s="11"/>
      <c r="N28272" s="11"/>
      <c r="O28272" s="11"/>
      <c r="P28272" s="11"/>
    </row>
    <row r="28273" spans="8:16" x14ac:dyDescent="0.25">
      <c r="H28273" s="12"/>
      <c r="I28273" s="12"/>
      <c r="J28273" s="12"/>
      <c r="K28273" s="12"/>
      <c r="L28273" s="12"/>
      <c r="M28273" s="11"/>
      <c r="N28273" s="11"/>
      <c r="O28273" s="11"/>
      <c r="P28273" s="11"/>
    </row>
    <row r="28274" spans="8:16" x14ac:dyDescent="0.25">
      <c r="H28274" s="12"/>
      <c r="I28274" s="12"/>
      <c r="J28274" s="12"/>
      <c r="K28274" s="12"/>
      <c r="L28274" s="12"/>
      <c r="M28274" s="11"/>
      <c r="N28274" s="11"/>
      <c r="O28274" s="11"/>
      <c r="P28274" s="11"/>
    </row>
    <row r="28275" spans="8:16" x14ac:dyDescent="0.25">
      <c r="H28275" s="12"/>
      <c r="I28275" s="12"/>
      <c r="J28275" s="12"/>
      <c r="K28275" s="12"/>
      <c r="L28275" s="12"/>
      <c r="M28275" s="11"/>
      <c r="N28275" s="11"/>
      <c r="O28275" s="11"/>
      <c r="P28275" s="11"/>
    </row>
    <row r="28276" spans="8:16" x14ac:dyDescent="0.25">
      <c r="H28276" s="12"/>
      <c r="I28276" s="12"/>
      <c r="J28276" s="12"/>
      <c r="K28276" s="12"/>
      <c r="L28276" s="12"/>
      <c r="M28276" s="11"/>
      <c r="N28276" s="11"/>
      <c r="O28276" s="11"/>
      <c r="P28276" s="11"/>
    </row>
    <row r="28277" spans="8:16" x14ac:dyDescent="0.25">
      <c r="H28277" s="12"/>
      <c r="I28277" s="12"/>
      <c r="J28277" s="12"/>
      <c r="K28277" s="12"/>
      <c r="L28277" s="12"/>
      <c r="M28277" s="11"/>
      <c r="N28277" s="11"/>
      <c r="O28277" s="11"/>
      <c r="P28277" s="11"/>
    </row>
    <row r="28278" spans="8:16" x14ac:dyDescent="0.25">
      <c r="H28278" s="12"/>
      <c r="I28278" s="12"/>
      <c r="J28278" s="12"/>
      <c r="K28278" s="12"/>
      <c r="L28278" s="12"/>
      <c r="M28278" s="11"/>
      <c r="N28278" s="11"/>
      <c r="O28278" s="11"/>
      <c r="P28278" s="11"/>
    </row>
    <row r="28279" spans="8:16" x14ac:dyDescent="0.25">
      <c r="H28279" s="12"/>
      <c r="I28279" s="12"/>
      <c r="J28279" s="12"/>
      <c r="K28279" s="12"/>
      <c r="L28279" s="12"/>
      <c r="M28279" s="11"/>
      <c r="N28279" s="11"/>
      <c r="O28279" s="11"/>
      <c r="P28279" s="11"/>
    </row>
    <row r="28280" spans="8:16" x14ac:dyDescent="0.25">
      <c r="H28280" s="12"/>
      <c r="I28280" s="12"/>
      <c r="J28280" s="12"/>
      <c r="K28280" s="12"/>
      <c r="L28280" s="12"/>
      <c r="M28280" s="11"/>
      <c r="N28280" s="11"/>
      <c r="O28280" s="11"/>
      <c r="P28280" s="11"/>
    </row>
    <row r="28281" spans="8:16" x14ac:dyDescent="0.25">
      <c r="H28281" s="12"/>
      <c r="I28281" s="12"/>
      <c r="J28281" s="12"/>
      <c r="K28281" s="12"/>
      <c r="L28281" s="12"/>
      <c r="M28281" s="11"/>
      <c r="N28281" s="11"/>
      <c r="O28281" s="11"/>
      <c r="P28281" s="11"/>
    </row>
    <row r="28282" spans="8:16" x14ac:dyDescent="0.25">
      <c r="H28282" s="12"/>
      <c r="I28282" s="12"/>
      <c r="J28282" s="12"/>
      <c r="K28282" s="12"/>
      <c r="L28282" s="12"/>
      <c r="M28282" s="11"/>
      <c r="N28282" s="11"/>
      <c r="O28282" s="11"/>
      <c r="P28282" s="11"/>
    </row>
    <row r="28283" spans="8:16" x14ac:dyDescent="0.25">
      <c r="H28283" s="12"/>
      <c r="I28283" s="12"/>
      <c r="J28283" s="12"/>
      <c r="K28283" s="12"/>
      <c r="L28283" s="12"/>
      <c r="M28283" s="11"/>
      <c r="N28283" s="11"/>
      <c r="O28283" s="11"/>
      <c r="P28283" s="11"/>
    </row>
    <row r="28284" spans="8:16" x14ac:dyDescent="0.25">
      <c r="H28284" s="12"/>
      <c r="I28284" s="12"/>
      <c r="J28284" s="12"/>
      <c r="K28284" s="12"/>
      <c r="L28284" s="12"/>
      <c r="M28284" s="11"/>
      <c r="N28284" s="11"/>
      <c r="O28284" s="11"/>
      <c r="P28284" s="11"/>
    </row>
    <row r="28285" spans="8:16" x14ac:dyDescent="0.25">
      <c r="H28285" s="12"/>
      <c r="I28285" s="12"/>
      <c r="J28285" s="12"/>
      <c r="K28285" s="12"/>
      <c r="L28285" s="12"/>
      <c r="M28285" s="11"/>
      <c r="N28285" s="11"/>
      <c r="O28285" s="11"/>
      <c r="P28285" s="11"/>
    </row>
    <row r="28286" spans="8:16" x14ac:dyDescent="0.25">
      <c r="H28286" s="12"/>
      <c r="I28286" s="12"/>
      <c r="J28286" s="12"/>
      <c r="K28286" s="12"/>
      <c r="L28286" s="12"/>
      <c r="M28286" s="11"/>
      <c r="N28286" s="11"/>
      <c r="O28286" s="11"/>
      <c r="P28286" s="11"/>
    </row>
    <row r="28287" spans="8:16" x14ac:dyDescent="0.25">
      <c r="H28287" s="12"/>
      <c r="I28287" s="12"/>
      <c r="J28287" s="12"/>
      <c r="K28287" s="12"/>
      <c r="L28287" s="12"/>
      <c r="M28287" s="11"/>
      <c r="N28287" s="11"/>
      <c r="O28287" s="11"/>
      <c r="P28287" s="11"/>
    </row>
    <row r="28288" spans="8:16" x14ac:dyDescent="0.25">
      <c r="H28288" s="12"/>
      <c r="I28288" s="12"/>
      <c r="J28288" s="12"/>
      <c r="K28288" s="12"/>
      <c r="L28288" s="12"/>
      <c r="M28288" s="11"/>
      <c r="N28288" s="11"/>
      <c r="O28288" s="11"/>
      <c r="P28288" s="11"/>
    </row>
    <row r="28289" spans="8:16" x14ac:dyDescent="0.25">
      <c r="H28289" s="12"/>
      <c r="I28289" s="12"/>
      <c r="J28289" s="12"/>
      <c r="K28289" s="12"/>
      <c r="L28289" s="12"/>
      <c r="M28289" s="11"/>
      <c r="N28289" s="11"/>
      <c r="O28289" s="11"/>
      <c r="P28289" s="11"/>
    </row>
    <row r="28290" spans="8:16" x14ac:dyDescent="0.25">
      <c r="H28290" s="12"/>
      <c r="I28290" s="12"/>
      <c r="J28290" s="12"/>
      <c r="K28290" s="12"/>
      <c r="L28290" s="12"/>
      <c r="M28290" s="11"/>
      <c r="N28290" s="11"/>
      <c r="O28290" s="11"/>
      <c r="P28290" s="11"/>
    </row>
    <row r="28291" spans="8:16" x14ac:dyDescent="0.25">
      <c r="H28291" s="12"/>
      <c r="I28291" s="12"/>
      <c r="J28291" s="12"/>
      <c r="K28291" s="12"/>
      <c r="L28291" s="12"/>
      <c r="M28291" s="11"/>
      <c r="N28291" s="11"/>
      <c r="O28291" s="11"/>
      <c r="P28291" s="11"/>
    </row>
    <row r="28292" spans="8:16" x14ac:dyDescent="0.25">
      <c r="H28292" s="12"/>
      <c r="I28292" s="12"/>
      <c r="J28292" s="12"/>
      <c r="K28292" s="12"/>
      <c r="L28292" s="12"/>
      <c r="M28292" s="11"/>
      <c r="N28292" s="11"/>
      <c r="O28292" s="11"/>
      <c r="P28292" s="11"/>
    </row>
    <row r="28293" spans="8:16" x14ac:dyDescent="0.25">
      <c r="H28293" s="12"/>
      <c r="I28293" s="12"/>
      <c r="J28293" s="12"/>
      <c r="K28293" s="12"/>
      <c r="L28293" s="12"/>
      <c r="M28293" s="11"/>
      <c r="N28293" s="11"/>
      <c r="O28293" s="11"/>
      <c r="P28293" s="11"/>
    </row>
    <row r="28294" spans="8:16" x14ac:dyDescent="0.25">
      <c r="H28294" s="12"/>
      <c r="I28294" s="12"/>
      <c r="J28294" s="12"/>
      <c r="K28294" s="12"/>
      <c r="L28294" s="12"/>
      <c r="M28294" s="11"/>
      <c r="N28294" s="11"/>
      <c r="O28294" s="11"/>
      <c r="P28294" s="11"/>
    </row>
    <row r="28295" spans="8:16" x14ac:dyDescent="0.25">
      <c r="H28295" s="12"/>
      <c r="I28295" s="12"/>
      <c r="J28295" s="12"/>
      <c r="K28295" s="12"/>
      <c r="L28295" s="12"/>
      <c r="M28295" s="11"/>
      <c r="N28295" s="11"/>
      <c r="O28295" s="11"/>
      <c r="P28295" s="11"/>
    </row>
    <row r="28296" spans="8:16" x14ac:dyDescent="0.25">
      <c r="H28296" s="12"/>
      <c r="I28296" s="12"/>
      <c r="J28296" s="12"/>
      <c r="K28296" s="12"/>
      <c r="L28296" s="12"/>
      <c r="M28296" s="11"/>
      <c r="N28296" s="11"/>
      <c r="O28296" s="11"/>
      <c r="P28296" s="11"/>
    </row>
    <row r="28297" spans="8:16" x14ac:dyDescent="0.25">
      <c r="H28297" s="12"/>
      <c r="I28297" s="12"/>
      <c r="J28297" s="12"/>
      <c r="K28297" s="12"/>
      <c r="L28297" s="12"/>
      <c r="M28297" s="11"/>
      <c r="N28297" s="11"/>
      <c r="O28297" s="11"/>
      <c r="P28297" s="11"/>
    </row>
    <row r="28298" spans="8:16" x14ac:dyDescent="0.25">
      <c r="H28298" s="12"/>
      <c r="I28298" s="12"/>
      <c r="J28298" s="12"/>
      <c r="K28298" s="12"/>
      <c r="L28298" s="12"/>
      <c r="M28298" s="11"/>
      <c r="N28298" s="11"/>
      <c r="O28298" s="11"/>
      <c r="P28298" s="11"/>
    </row>
    <row r="28299" spans="8:16" x14ac:dyDescent="0.25">
      <c r="H28299" s="12"/>
      <c r="I28299" s="12"/>
      <c r="J28299" s="12"/>
      <c r="K28299" s="12"/>
      <c r="L28299" s="12"/>
      <c r="M28299" s="11"/>
      <c r="N28299" s="11"/>
      <c r="O28299" s="11"/>
      <c r="P28299" s="11"/>
    </row>
    <row r="28300" spans="8:16" x14ac:dyDescent="0.25">
      <c r="H28300" s="12"/>
      <c r="I28300" s="12"/>
      <c r="J28300" s="12"/>
      <c r="K28300" s="12"/>
      <c r="L28300" s="12"/>
      <c r="M28300" s="11"/>
      <c r="N28300" s="11"/>
      <c r="O28300" s="11"/>
      <c r="P28300" s="11"/>
    </row>
    <row r="28301" spans="8:16" x14ac:dyDescent="0.25">
      <c r="H28301" s="12"/>
      <c r="I28301" s="12"/>
      <c r="J28301" s="12"/>
      <c r="K28301" s="12"/>
      <c r="L28301" s="12"/>
      <c r="M28301" s="11"/>
      <c r="N28301" s="11"/>
      <c r="O28301" s="11"/>
      <c r="P28301" s="11"/>
    </row>
    <row r="28302" spans="8:16" x14ac:dyDescent="0.25">
      <c r="H28302" s="12"/>
      <c r="I28302" s="12"/>
      <c r="J28302" s="12"/>
      <c r="K28302" s="12"/>
      <c r="L28302" s="12"/>
      <c r="M28302" s="11"/>
      <c r="N28302" s="11"/>
      <c r="O28302" s="11"/>
      <c r="P28302" s="11"/>
    </row>
    <row r="28303" spans="8:16" x14ac:dyDescent="0.25">
      <c r="H28303" s="12"/>
      <c r="I28303" s="12"/>
      <c r="J28303" s="12"/>
      <c r="K28303" s="12"/>
      <c r="L28303" s="12"/>
      <c r="M28303" s="11"/>
      <c r="N28303" s="11"/>
      <c r="O28303" s="11"/>
      <c r="P28303" s="11"/>
    </row>
    <row r="28304" spans="8:16" x14ac:dyDescent="0.25">
      <c r="H28304" s="12"/>
      <c r="I28304" s="12"/>
      <c r="J28304" s="12"/>
      <c r="K28304" s="12"/>
      <c r="L28304" s="12"/>
      <c r="M28304" s="11"/>
      <c r="N28304" s="11"/>
      <c r="O28304" s="11"/>
      <c r="P28304" s="11"/>
    </row>
    <row r="28305" spans="8:16" x14ac:dyDescent="0.25">
      <c r="H28305" s="12"/>
      <c r="I28305" s="12"/>
      <c r="J28305" s="12"/>
      <c r="K28305" s="12"/>
      <c r="L28305" s="12"/>
      <c r="M28305" s="11"/>
      <c r="N28305" s="11"/>
      <c r="O28305" s="11"/>
      <c r="P28305" s="11"/>
    </row>
    <row r="28306" spans="8:16" x14ac:dyDescent="0.25">
      <c r="H28306" s="12"/>
      <c r="I28306" s="12"/>
      <c r="J28306" s="12"/>
      <c r="K28306" s="12"/>
      <c r="L28306" s="12"/>
      <c r="M28306" s="11"/>
      <c r="N28306" s="11"/>
      <c r="O28306" s="11"/>
      <c r="P28306" s="11"/>
    </row>
    <row r="28307" spans="8:16" x14ac:dyDescent="0.25">
      <c r="H28307" s="12"/>
      <c r="I28307" s="12"/>
      <c r="J28307" s="12"/>
      <c r="K28307" s="12"/>
      <c r="L28307" s="12"/>
      <c r="M28307" s="11"/>
      <c r="N28307" s="11"/>
      <c r="O28307" s="11"/>
      <c r="P28307" s="11"/>
    </row>
    <row r="28308" spans="8:16" x14ac:dyDescent="0.25">
      <c r="H28308" s="12"/>
      <c r="I28308" s="12"/>
      <c r="J28308" s="12"/>
      <c r="K28308" s="12"/>
      <c r="L28308" s="12"/>
      <c r="M28308" s="11"/>
      <c r="N28308" s="11"/>
      <c r="O28308" s="11"/>
      <c r="P28308" s="11"/>
    </row>
    <row r="28309" spans="8:16" x14ac:dyDescent="0.25">
      <c r="H28309" s="12"/>
      <c r="I28309" s="12"/>
      <c r="J28309" s="12"/>
      <c r="K28309" s="12"/>
      <c r="L28309" s="12"/>
      <c r="M28309" s="11"/>
      <c r="N28309" s="11"/>
      <c r="O28309" s="11"/>
      <c r="P28309" s="11"/>
    </row>
    <row r="28310" spans="8:16" x14ac:dyDescent="0.25">
      <c r="H28310" s="12"/>
      <c r="I28310" s="12"/>
      <c r="J28310" s="12"/>
      <c r="K28310" s="12"/>
      <c r="L28310" s="12"/>
      <c r="M28310" s="11"/>
      <c r="N28310" s="11"/>
      <c r="O28310" s="11"/>
      <c r="P28310" s="11"/>
    </row>
    <row r="28311" spans="8:16" x14ac:dyDescent="0.25">
      <c r="H28311" s="12"/>
      <c r="I28311" s="12"/>
      <c r="J28311" s="12"/>
      <c r="K28311" s="12"/>
      <c r="L28311" s="12"/>
      <c r="M28311" s="11"/>
      <c r="N28311" s="11"/>
      <c r="O28311" s="11"/>
      <c r="P28311" s="11"/>
    </row>
    <row r="28312" spans="8:16" x14ac:dyDescent="0.25">
      <c r="H28312" s="12"/>
      <c r="I28312" s="12"/>
      <c r="J28312" s="12"/>
      <c r="K28312" s="12"/>
      <c r="L28312" s="12"/>
      <c r="M28312" s="11"/>
      <c r="N28312" s="11"/>
      <c r="O28312" s="11"/>
      <c r="P28312" s="11"/>
    </row>
    <row r="28313" spans="8:16" x14ac:dyDescent="0.25">
      <c r="H28313" s="12"/>
      <c r="I28313" s="12"/>
      <c r="J28313" s="12"/>
      <c r="K28313" s="12"/>
      <c r="L28313" s="12"/>
      <c r="M28313" s="11"/>
      <c r="N28313" s="11"/>
      <c r="O28313" s="11"/>
      <c r="P28313" s="11"/>
    </row>
    <row r="28314" spans="8:16" x14ac:dyDescent="0.25">
      <c r="H28314" s="12"/>
      <c r="I28314" s="12"/>
      <c r="J28314" s="12"/>
      <c r="K28314" s="12"/>
      <c r="L28314" s="12"/>
      <c r="M28314" s="11"/>
      <c r="N28314" s="11"/>
      <c r="O28314" s="11"/>
      <c r="P28314" s="11"/>
    </row>
    <row r="28315" spans="8:16" x14ac:dyDescent="0.25">
      <c r="H28315" s="12"/>
      <c r="I28315" s="12"/>
      <c r="J28315" s="12"/>
      <c r="K28315" s="12"/>
      <c r="L28315" s="12"/>
      <c r="M28315" s="11"/>
      <c r="N28315" s="11"/>
      <c r="O28315" s="11"/>
      <c r="P28315" s="11"/>
    </row>
    <row r="28316" spans="8:16" x14ac:dyDescent="0.25">
      <c r="H28316" s="12"/>
      <c r="I28316" s="12"/>
      <c r="J28316" s="12"/>
      <c r="K28316" s="12"/>
      <c r="L28316" s="12"/>
      <c r="M28316" s="11"/>
      <c r="N28316" s="11"/>
      <c r="O28316" s="11"/>
      <c r="P28316" s="11"/>
    </row>
    <row r="28317" spans="8:16" x14ac:dyDescent="0.25">
      <c r="H28317" s="12"/>
      <c r="I28317" s="12"/>
      <c r="J28317" s="12"/>
      <c r="K28317" s="12"/>
      <c r="L28317" s="12"/>
      <c r="M28317" s="11"/>
      <c r="N28317" s="11"/>
      <c r="O28317" s="11"/>
      <c r="P28317" s="11"/>
    </row>
    <row r="28318" spans="8:16" x14ac:dyDescent="0.25">
      <c r="H28318" s="12"/>
      <c r="I28318" s="12"/>
      <c r="J28318" s="12"/>
      <c r="K28318" s="12"/>
      <c r="L28318" s="12"/>
      <c r="M28318" s="11"/>
      <c r="N28318" s="11"/>
      <c r="O28318" s="11"/>
      <c r="P28318" s="11"/>
    </row>
    <row r="28319" spans="8:16" x14ac:dyDescent="0.25">
      <c r="H28319" s="12"/>
      <c r="I28319" s="12"/>
      <c r="J28319" s="12"/>
      <c r="K28319" s="12"/>
      <c r="L28319" s="12"/>
      <c r="M28319" s="11"/>
      <c r="N28319" s="11"/>
      <c r="O28319" s="11"/>
      <c r="P28319" s="11"/>
    </row>
    <row r="28320" spans="8:16" x14ac:dyDescent="0.25">
      <c r="H28320" s="12"/>
      <c r="I28320" s="12"/>
      <c r="J28320" s="12"/>
      <c r="K28320" s="12"/>
      <c r="L28320" s="12"/>
      <c r="M28320" s="11"/>
      <c r="N28320" s="11"/>
      <c r="O28320" s="11"/>
      <c r="P28320" s="11"/>
    </row>
    <row r="28321" spans="8:16" x14ac:dyDescent="0.25">
      <c r="H28321" s="12"/>
      <c r="I28321" s="12"/>
      <c r="J28321" s="12"/>
      <c r="K28321" s="12"/>
      <c r="L28321" s="12"/>
      <c r="M28321" s="11"/>
      <c r="N28321" s="11"/>
      <c r="O28321" s="11"/>
      <c r="P28321" s="11"/>
    </row>
    <row r="28322" spans="8:16" x14ac:dyDescent="0.25">
      <c r="H28322" s="12"/>
      <c r="I28322" s="12"/>
      <c r="J28322" s="12"/>
      <c r="K28322" s="12"/>
      <c r="L28322" s="12"/>
      <c r="M28322" s="11"/>
      <c r="N28322" s="11"/>
      <c r="O28322" s="11"/>
      <c r="P28322" s="11"/>
    </row>
    <row r="28323" spans="8:16" x14ac:dyDescent="0.25">
      <c r="H28323" s="12"/>
      <c r="I28323" s="12"/>
      <c r="J28323" s="12"/>
      <c r="K28323" s="12"/>
      <c r="L28323" s="12"/>
      <c r="M28323" s="11"/>
      <c r="N28323" s="11"/>
      <c r="O28323" s="11"/>
      <c r="P28323" s="11"/>
    </row>
    <row r="28324" spans="8:16" x14ac:dyDescent="0.25">
      <c r="H28324" s="12"/>
      <c r="I28324" s="12"/>
      <c r="J28324" s="12"/>
      <c r="K28324" s="12"/>
      <c r="L28324" s="12"/>
      <c r="M28324" s="11"/>
      <c r="N28324" s="11"/>
      <c r="O28324" s="11"/>
      <c r="P28324" s="11"/>
    </row>
    <row r="28325" spans="8:16" x14ac:dyDescent="0.25">
      <c r="H28325" s="12"/>
      <c r="I28325" s="12"/>
      <c r="J28325" s="12"/>
      <c r="K28325" s="12"/>
      <c r="L28325" s="12"/>
      <c r="M28325" s="11"/>
      <c r="N28325" s="11"/>
      <c r="O28325" s="11"/>
      <c r="P28325" s="11"/>
    </row>
    <row r="28326" spans="8:16" x14ac:dyDescent="0.25">
      <c r="H28326" s="12"/>
      <c r="I28326" s="12"/>
      <c r="J28326" s="12"/>
      <c r="K28326" s="12"/>
      <c r="L28326" s="12"/>
      <c r="M28326" s="11"/>
      <c r="N28326" s="11"/>
      <c r="O28326" s="11"/>
      <c r="P28326" s="11"/>
    </row>
    <row r="28327" spans="8:16" x14ac:dyDescent="0.25">
      <c r="H28327" s="12"/>
      <c r="I28327" s="12"/>
      <c r="J28327" s="12"/>
      <c r="K28327" s="12"/>
      <c r="L28327" s="12"/>
      <c r="M28327" s="11"/>
      <c r="N28327" s="11"/>
      <c r="O28327" s="11"/>
      <c r="P28327" s="11"/>
    </row>
    <row r="28328" spans="8:16" x14ac:dyDescent="0.25">
      <c r="H28328" s="12"/>
      <c r="I28328" s="12"/>
      <c r="J28328" s="12"/>
      <c r="K28328" s="12"/>
      <c r="L28328" s="12"/>
      <c r="M28328" s="11"/>
      <c r="N28328" s="11"/>
      <c r="O28328" s="11"/>
      <c r="P28328" s="11"/>
    </row>
    <row r="28329" spans="8:16" x14ac:dyDescent="0.25">
      <c r="H28329" s="12"/>
      <c r="I28329" s="12"/>
      <c r="J28329" s="12"/>
      <c r="K28329" s="12"/>
      <c r="L28329" s="12"/>
      <c r="M28329" s="11"/>
      <c r="N28329" s="11"/>
      <c r="O28329" s="11"/>
      <c r="P28329" s="11"/>
    </row>
    <row r="28330" spans="8:16" x14ac:dyDescent="0.25">
      <c r="H28330" s="12"/>
      <c r="I28330" s="12"/>
      <c r="J28330" s="12"/>
      <c r="K28330" s="12"/>
      <c r="L28330" s="12"/>
      <c r="M28330" s="11"/>
      <c r="N28330" s="11"/>
      <c r="O28330" s="11"/>
      <c r="P28330" s="11"/>
    </row>
    <row r="28331" spans="8:16" x14ac:dyDescent="0.25">
      <c r="H28331" s="12"/>
      <c r="I28331" s="12"/>
      <c r="J28331" s="12"/>
      <c r="K28331" s="12"/>
      <c r="L28331" s="12"/>
      <c r="M28331" s="11"/>
      <c r="N28331" s="11"/>
      <c r="O28331" s="11"/>
      <c r="P28331" s="11"/>
    </row>
    <row r="28332" spans="8:16" x14ac:dyDescent="0.25">
      <c r="H28332" s="12"/>
      <c r="I28332" s="12"/>
      <c r="J28332" s="12"/>
      <c r="K28332" s="12"/>
      <c r="L28332" s="12"/>
      <c r="M28332" s="11"/>
      <c r="N28332" s="11"/>
      <c r="O28332" s="11"/>
      <c r="P28332" s="11"/>
    </row>
    <row r="28333" spans="8:16" x14ac:dyDescent="0.25">
      <c r="H28333" s="12"/>
      <c r="I28333" s="12"/>
      <c r="J28333" s="12"/>
      <c r="K28333" s="12"/>
      <c r="L28333" s="12"/>
      <c r="M28333" s="11"/>
      <c r="N28333" s="11"/>
      <c r="O28333" s="11"/>
      <c r="P28333" s="11"/>
    </row>
    <row r="28334" spans="8:16" x14ac:dyDescent="0.25">
      <c r="H28334" s="12"/>
      <c r="I28334" s="12"/>
      <c r="J28334" s="12"/>
      <c r="K28334" s="12"/>
      <c r="L28334" s="12"/>
      <c r="M28334" s="11"/>
      <c r="N28334" s="11"/>
      <c r="O28334" s="11"/>
      <c r="P28334" s="11"/>
    </row>
    <row r="28335" spans="8:16" x14ac:dyDescent="0.25">
      <c r="H28335" s="12"/>
      <c r="I28335" s="12"/>
      <c r="J28335" s="12"/>
      <c r="K28335" s="12"/>
      <c r="L28335" s="12"/>
      <c r="M28335" s="11"/>
      <c r="N28335" s="11"/>
      <c r="O28335" s="11"/>
      <c r="P28335" s="11"/>
    </row>
    <row r="28336" spans="8:16" x14ac:dyDescent="0.25">
      <c r="H28336" s="12"/>
      <c r="I28336" s="12"/>
      <c r="J28336" s="12"/>
      <c r="K28336" s="12"/>
      <c r="L28336" s="12"/>
      <c r="M28336" s="11"/>
      <c r="N28336" s="11"/>
      <c r="O28336" s="11"/>
      <c r="P28336" s="11"/>
    </row>
    <row r="28337" spans="8:16" x14ac:dyDescent="0.25">
      <c r="H28337" s="12"/>
      <c r="I28337" s="12"/>
      <c r="J28337" s="12"/>
      <c r="K28337" s="12"/>
      <c r="L28337" s="12"/>
      <c r="M28337" s="11"/>
      <c r="N28337" s="11"/>
      <c r="O28337" s="11"/>
      <c r="P28337" s="11"/>
    </row>
    <row r="28338" spans="8:16" x14ac:dyDescent="0.25">
      <c r="H28338" s="12"/>
      <c r="I28338" s="12"/>
      <c r="J28338" s="12"/>
      <c r="K28338" s="12"/>
      <c r="L28338" s="12"/>
      <c r="M28338" s="11"/>
      <c r="N28338" s="11"/>
      <c r="O28338" s="11"/>
      <c r="P28338" s="11"/>
    </row>
    <row r="28339" spans="8:16" x14ac:dyDescent="0.25">
      <c r="H28339" s="12"/>
      <c r="I28339" s="12"/>
      <c r="J28339" s="12"/>
      <c r="K28339" s="12"/>
      <c r="L28339" s="12"/>
      <c r="M28339" s="11"/>
      <c r="N28339" s="11"/>
      <c r="O28339" s="11"/>
      <c r="P28339" s="11"/>
    </row>
    <row r="28340" spans="8:16" x14ac:dyDescent="0.25">
      <c r="H28340" s="12"/>
      <c r="I28340" s="12"/>
      <c r="J28340" s="12"/>
      <c r="K28340" s="12"/>
      <c r="L28340" s="12"/>
      <c r="M28340" s="11"/>
      <c r="N28340" s="11"/>
      <c r="O28340" s="11"/>
      <c r="P28340" s="11"/>
    </row>
    <row r="28341" spans="8:16" x14ac:dyDescent="0.25">
      <c r="H28341" s="12"/>
      <c r="I28341" s="12"/>
      <c r="J28341" s="12"/>
      <c r="K28341" s="12"/>
      <c r="L28341" s="12"/>
      <c r="M28341" s="11"/>
      <c r="N28341" s="11"/>
      <c r="O28341" s="11"/>
      <c r="P28341" s="11"/>
    </row>
    <row r="28342" spans="8:16" x14ac:dyDescent="0.25">
      <c r="H28342" s="12"/>
      <c r="I28342" s="12"/>
      <c r="J28342" s="12"/>
      <c r="K28342" s="12"/>
      <c r="L28342" s="12"/>
      <c r="M28342" s="11"/>
      <c r="N28342" s="11"/>
      <c r="O28342" s="11"/>
      <c r="P28342" s="11"/>
    </row>
    <row r="28343" spans="8:16" x14ac:dyDescent="0.25">
      <c r="H28343" s="12"/>
      <c r="I28343" s="12"/>
      <c r="J28343" s="12"/>
      <c r="K28343" s="12"/>
      <c r="L28343" s="12"/>
      <c r="M28343" s="11"/>
      <c r="N28343" s="11"/>
      <c r="O28343" s="11"/>
      <c r="P28343" s="11"/>
    </row>
    <row r="28344" spans="8:16" x14ac:dyDescent="0.25">
      <c r="H28344" s="12"/>
      <c r="I28344" s="12"/>
      <c r="J28344" s="12"/>
      <c r="K28344" s="12"/>
      <c r="L28344" s="12"/>
      <c r="M28344" s="11"/>
      <c r="N28344" s="11"/>
      <c r="O28344" s="11"/>
      <c r="P28344" s="11"/>
    </row>
    <row r="28345" spans="8:16" x14ac:dyDescent="0.25">
      <c r="H28345" s="12"/>
      <c r="I28345" s="12"/>
      <c r="J28345" s="12"/>
      <c r="K28345" s="12"/>
      <c r="L28345" s="12"/>
      <c r="M28345" s="11"/>
      <c r="N28345" s="11"/>
      <c r="O28345" s="11"/>
      <c r="P28345" s="11"/>
    </row>
    <row r="28346" spans="8:16" x14ac:dyDescent="0.25">
      <c r="H28346" s="12"/>
      <c r="I28346" s="12"/>
      <c r="J28346" s="12"/>
      <c r="K28346" s="12"/>
      <c r="L28346" s="12"/>
      <c r="M28346" s="11"/>
      <c r="N28346" s="11"/>
      <c r="O28346" s="11"/>
      <c r="P28346" s="11"/>
    </row>
    <row r="28347" spans="8:16" x14ac:dyDescent="0.25">
      <c r="H28347" s="12"/>
      <c r="I28347" s="12"/>
      <c r="J28347" s="12"/>
      <c r="K28347" s="12"/>
      <c r="L28347" s="12"/>
      <c r="M28347" s="11"/>
      <c r="N28347" s="11"/>
      <c r="O28347" s="11"/>
      <c r="P28347" s="11"/>
    </row>
    <row r="28348" spans="8:16" x14ac:dyDescent="0.25">
      <c r="H28348" s="12"/>
      <c r="I28348" s="12"/>
      <c r="J28348" s="12"/>
      <c r="K28348" s="12"/>
      <c r="L28348" s="12"/>
      <c r="M28348" s="11"/>
      <c r="N28348" s="11"/>
      <c r="O28348" s="11"/>
      <c r="P28348" s="11"/>
    </row>
    <row r="28349" spans="8:16" x14ac:dyDescent="0.25">
      <c r="H28349" s="12"/>
      <c r="I28349" s="12"/>
      <c r="J28349" s="12"/>
      <c r="K28349" s="12"/>
      <c r="L28349" s="12"/>
      <c r="M28349" s="11"/>
      <c r="N28349" s="11"/>
      <c r="O28349" s="11"/>
      <c r="P28349" s="11"/>
    </row>
    <row r="28350" spans="8:16" x14ac:dyDescent="0.25">
      <c r="H28350" s="12"/>
      <c r="I28350" s="12"/>
      <c r="J28350" s="12"/>
      <c r="K28350" s="12"/>
      <c r="L28350" s="12"/>
      <c r="M28350" s="11"/>
      <c r="N28350" s="11"/>
      <c r="O28350" s="11"/>
      <c r="P28350" s="11"/>
    </row>
    <row r="28351" spans="8:16" x14ac:dyDescent="0.25">
      <c r="H28351" s="12"/>
      <c r="I28351" s="12"/>
      <c r="J28351" s="12"/>
      <c r="K28351" s="12"/>
      <c r="L28351" s="12"/>
      <c r="M28351" s="11"/>
      <c r="N28351" s="11"/>
      <c r="O28351" s="11"/>
      <c r="P28351" s="11"/>
    </row>
    <row r="28352" spans="8:16" x14ac:dyDescent="0.25">
      <c r="H28352" s="12"/>
      <c r="I28352" s="12"/>
      <c r="J28352" s="12"/>
      <c r="K28352" s="12"/>
      <c r="L28352" s="12"/>
      <c r="M28352" s="11"/>
      <c r="N28352" s="11"/>
      <c r="O28352" s="11"/>
      <c r="P28352" s="11"/>
    </row>
    <row r="28353" spans="8:16" x14ac:dyDescent="0.25">
      <c r="H28353" s="12"/>
      <c r="I28353" s="12"/>
      <c r="J28353" s="12"/>
      <c r="K28353" s="12"/>
      <c r="L28353" s="12"/>
      <c r="M28353" s="11"/>
      <c r="N28353" s="11"/>
      <c r="O28353" s="11"/>
      <c r="P28353" s="11"/>
    </row>
    <row r="28354" spans="8:16" x14ac:dyDescent="0.25">
      <c r="H28354" s="12"/>
      <c r="I28354" s="12"/>
      <c r="J28354" s="12"/>
      <c r="K28354" s="12"/>
      <c r="L28354" s="12"/>
      <c r="M28354" s="11"/>
      <c r="N28354" s="11"/>
      <c r="O28354" s="11"/>
      <c r="P28354" s="11"/>
    </row>
    <row r="28355" spans="8:16" x14ac:dyDescent="0.25">
      <c r="H28355" s="12"/>
      <c r="I28355" s="12"/>
      <c r="J28355" s="12"/>
      <c r="K28355" s="12"/>
      <c r="L28355" s="12"/>
      <c r="M28355" s="11"/>
      <c r="N28355" s="11"/>
      <c r="O28355" s="11"/>
      <c r="P28355" s="11"/>
    </row>
    <row r="28356" spans="8:16" x14ac:dyDescent="0.25">
      <c r="H28356" s="12"/>
      <c r="I28356" s="12"/>
      <c r="J28356" s="12"/>
      <c r="K28356" s="12"/>
      <c r="L28356" s="12"/>
      <c r="M28356" s="11"/>
      <c r="N28356" s="11"/>
      <c r="O28356" s="11"/>
      <c r="P28356" s="11"/>
    </row>
    <row r="28357" spans="8:16" x14ac:dyDescent="0.25">
      <c r="H28357" s="12"/>
      <c r="I28357" s="12"/>
      <c r="J28357" s="12"/>
      <c r="K28357" s="12"/>
      <c r="L28357" s="12"/>
      <c r="M28357" s="11"/>
      <c r="N28357" s="11"/>
      <c r="O28357" s="11"/>
      <c r="P28357" s="11"/>
    </row>
    <row r="28358" spans="8:16" x14ac:dyDescent="0.25">
      <c r="H28358" s="12"/>
      <c r="I28358" s="12"/>
      <c r="J28358" s="12"/>
      <c r="K28358" s="12"/>
      <c r="L28358" s="12"/>
      <c r="M28358" s="11"/>
      <c r="N28358" s="11"/>
      <c r="O28358" s="11"/>
      <c r="P28358" s="11"/>
    </row>
    <row r="28359" spans="8:16" x14ac:dyDescent="0.25">
      <c r="H28359" s="12"/>
      <c r="I28359" s="12"/>
      <c r="J28359" s="12"/>
      <c r="K28359" s="12"/>
      <c r="L28359" s="12"/>
      <c r="M28359" s="11"/>
      <c r="N28359" s="11"/>
      <c r="O28359" s="11"/>
      <c r="P28359" s="11"/>
    </row>
    <row r="28360" spans="8:16" x14ac:dyDescent="0.25">
      <c r="H28360" s="12"/>
      <c r="I28360" s="12"/>
      <c r="J28360" s="12"/>
      <c r="K28360" s="12"/>
      <c r="L28360" s="12"/>
      <c r="M28360" s="11"/>
      <c r="N28360" s="11"/>
      <c r="O28360" s="11"/>
      <c r="P28360" s="11"/>
    </row>
    <row r="28361" spans="8:16" x14ac:dyDescent="0.25">
      <c r="H28361" s="12"/>
      <c r="I28361" s="12"/>
      <c r="J28361" s="12"/>
      <c r="K28361" s="12"/>
      <c r="L28361" s="12"/>
      <c r="M28361" s="11"/>
      <c r="N28361" s="11"/>
      <c r="O28361" s="11"/>
      <c r="P28361" s="11"/>
    </row>
    <row r="28362" spans="8:16" x14ac:dyDescent="0.25">
      <c r="H28362" s="12"/>
      <c r="I28362" s="12"/>
      <c r="J28362" s="12"/>
      <c r="K28362" s="12"/>
      <c r="L28362" s="12"/>
      <c r="M28362" s="11"/>
      <c r="N28362" s="11"/>
      <c r="O28362" s="11"/>
      <c r="P28362" s="11"/>
    </row>
    <row r="28363" spans="8:16" x14ac:dyDescent="0.25">
      <c r="H28363" s="12"/>
      <c r="I28363" s="12"/>
      <c r="J28363" s="12"/>
      <c r="K28363" s="12"/>
      <c r="L28363" s="12"/>
      <c r="M28363" s="11"/>
      <c r="N28363" s="11"/>
      <c r="O28363" s="11"/>
      <c r="P28363" s="11"/>
    </row>
    <row r="28364" spans="8:16" x14ac:dyDescent="0.25">
      <c r="H28364" s="12"/>
      <c r="I28364" s="12"/>
      <c r="J28364" s="12"/>
      <c r="K28364" s="12"/>
      <c r="L28364" s="12"/>
      <c r="M28364" s="11"/>
      <c r="N28364" s="11"/>
      <c r="O28364" s="11"/>
      <c r="P28364" s="11"/>
    </row>
    <row r="28365" spans="8:16" x14ac:dyDescent="0.25">
      <c r="H28365" s="12"/>
      <c r="I28365" s="12"/>
      <c r="J28365" s="12"/>
      <c r="K28365" s="12"/>
      <c r="L28365" s="12"/>
      <c r="M28365" s="11"/>
      <c r="N28365" s="11"/>
      <c r="O28365" s="11"/>
      <c r="P28365" s="11"/>
    </row>
    <row r="28366" spans="8:16" x14ac:dyDescent="0.25">
      <c r="H28366" s="12"/>
      <c r="I28366" s="12"/>
      <c r="J28366" s="12"/>
      <c r="K28366" s="12"/>
      <c r="L28366" s="12"/>
      <c r="M28366" s="11"/>
      <c r="N28366" s="11"/>
      <c r="O28366" s="11"/>
      <c r="P28366" s="11"/>
    </row>
    <row r="28367" spans="8:16" x14ac:dyDescent="0.25">
      <c r="H28367" s="12"/>
      <c r="I28367" s="12"/>
      <c r="J28367" s="12"/>
      <c r="K28367" s="12"/>
      <c r="L28367" s="12"/>
      <c r="M28367" s="11"/>
      <c r="N28367" s="11"/>
      <c r="O28367" s="11"/>
      <c r="P28367" s="11"/>
    </row>
    <row r="28368" spans="8:16" x14ac:dyDescent="0.25">
      <c r="H28368" s="12"/>
      <c r="I28368" s="12"/>
      <c r="J28368" s="12"/>
      <c r="K28368" s="12"/>
      <c r="L28368" s="12"/>
      <c r="M28368" s="11"/>
      <c r="N28368" s="11"/>
      <c r="O28368" s="11"/>
      <c r="P28368" s="11"/>
    </row>
    <row r="28369" spans="8:16" x14ac:dyDescent="0.25">
      <c r="H28369" s="12"/>
      <c r="I28369" s="12"/>
      <c r="J28369" s="12"/>
      <c r="K28369" s="12"/>
      <c r="L28369" s="12"/>
      <c r="M28369" s="11"/>
      <c r="N28369" s="11"/>
      <c r="O28369" s="11"/>
      <c r="P28369" s="11"/>
    </row>
    <row r="28370" spans="8:16" x14ac:dyDescent="0.25">
      <c r="H28370" s="12"/>
      <c r="I28370" s="12"/>
      <c r="J28370" s="12"/>
      <c r="K28370" s="12"/>
      <c r="L28370" s="12"/>
      <c r="M28370" s="11"/>
      <c r="N28370" s="11"/>
      <c r="O28370" s="11"/>
      <c r="P28370" s="11"/>
    </row>
    <row r="28371" spans="8:16" x14ac:dyDescent="0.25">
      <c r="H28371" s="12"/>
      <c r="I28371" s="12"/>
      <c r="J28371" s="12"/>
      <c r="K28371" s="12"/>
      <c r="L28371" s="12"/>
      <c r="M28371" s="11"/>
      <c r="N28371" s="11"/>
      <c r="O28371" s="11"/>
      <c r="P28371" s="11"/>
    </row>
    <row r="28372" spans="8:16" x14ac:dyDescent="0.25">
      <c r="H28372" s="12"/>
      <c r="I28372" s="12"/>
      <c r="J28372" s="12"/>
      <c r="K28372" s="12"/>
      <c r="L28372" s="12"/>
      <c r="M28372" s="11"/>
      <c r="N28372" s="11"/>
      <c r="O28372" s="11"/>
      <c r="P28372" s="11"/>
    </row>
    <row r="28373" spans="8:16" x14ac:dyDescent="0.25">
      <c r="H28373" s="12"/>
      <c r="I28373" s="12"/>
      <c r="J28373" s="12"/>
      <c r="K28373" s="12"/>
      <c r="L28373" s="12"/>
      <c r="M28373" s="11"/>
      <c r="N28373" s="11"/>
      <c r="O28373" s="11"/>
      <c r="P28373" s="11"/>
    </row>
    <row r="28374" spans="8:16" x14ac:dyDescent="0.25">
      <c r="H28374" s="12"/>
      <c r="I28374" s="12"/>
      <c r="J28374" s="12"/>
      <c r="K28374" s="12"/>
      <c r="L28374" s="12"/>
      <c r="M28374" s="11"/>
      <c r="N28374" s="11"/>
      <c r="O28374" s="11"/>
      <c r="P28374" s="11"/>
    </row>
    <row r="28375" spans="8:16" x14ac:dyDescent="0.25">
      <c r="H28375" s="12"/>
      <c r="I28375" s="12"/>
      <c r="J28375" s="12"/>
      <c r="K28375" s="12"/>
      <c r="L28375" s="12"/>
      <c r="M28375" s="11"/>
      <c r="N28375" s="11"/>
      <c r="O28375" s="11"/>
      <c r="P28375" s="11"/>
    </row>
    <row r="28376" spans="8:16" x14ac:dyDescent="0.25">
      <c r="H28376" s="12"/>
      <c r="I28376" s="12"/>
      <c r="J28376" s="12"/>
      <c r="K28376" s="12"/>
      <c r="L28376" s="12"/>
      <c r="M28376" s="11"/>
      <c r="N28376" s="11"/>
      <c r="O28376" s="11"/>
      <c r="P28376" s="11"/>
    </row>
    <row r="28377" spans="8:16" x14ac:dyDescent="0.25">
      <c r="H28377" s="12"/>
      <c r="I28377" s="12"/>
      <c r="J28377" s="12"/>
      <c r="K28377" s="12"/>
      <c r="L28377" s="12"/>
      <c r="M28377" s="11"/>
      <c r="N28377" s="11"/>
      <c r="O28377" s="11"/>
      <c r="P28377" s="11"/>
    </row>
    <row r="28378" spans="8:16" x14ac:dyDescent="0.25">
      <c r="H28378" s="12"/>
      <c r="I28378" s="12"/>
      <c r="J28378" s="12"/>
      <c r="K28378" s="12"/>
      <c r="L28378" s="12"/>
      <c r="M28378" s="11"/>
      <c r="N28378" s="11"/>
      <c r="O28378" s="11"/>
      <c r="P28378" s="11"/>
    </row>
    <row r="28379" spans="8:16" x14ac:dyDescent="0.25">
      <c r="H28379" s="12"/>
      <c r="I28379" s="12"/>
      <c r="J28379" s="12"/>
      <c r="K28379" s="12"/>
      <c r="L28379" s="12"/>
      <c r="M28379" s="11"/>
      <c r="N28379" s="11"/>
      <c r="O28379" s="11"/>
      <c r="P28379" s="11"/>
    </row>
    <row r="28380" spans="8:16" x14ac:dyDescent="0.25">
      <c r="H28380" s="12"/>
      <c r="I28380" s="12"/>
      <c r="J28380" s="12"/>
      <c r="K28380" s="12"/>
      <c r="L28380" s="12"/>
      <c r="M28380" s="11"/>
      <c r="N28380" s="11"/>
      <c r="O28380" s="11"/>
      <c r="P28380" s="11"/>
    </row>
    <row r="28381" spans="8:16" x14ac:dyDescent="0.25">
      <c r="H28381" s="12"/>
      <c r="I28381" s="12"/>
      <c r="J28381" s="12"/>
      <c r="K28381" s="12"/>
      <c r="L28381" s="12"/>
      <c r="M28381" s="11"/>
      <c r="N28381" s="11"/>
      <c r="O28381" s="11"/>
      <c r="P28381" s="11"/>
    </row>
    <row r="28382" spans="8:16" x14ac:dyDescent="0.25">
      <c r="H28382" s="12"/>
      <c r="I28382" s="12"/>
      <c r="J28382" s="12"/>
      <c r="K28382" s="12"/>
      <c r="L28382" s="12"/>
      <c r="M28382" s="11"/>
      <c r="N28382" s="11"/>
      <c r="O28382" s="11"/>
      <c r="P28382" s="11"/>
    </row>
    <row r="28383" spans="8:16" x14ac:dyDescent="0.25">
      <c r="H28383" s="12"/>
      <c r="I28383" s="12"/>
      <c r="J28383" s="12"/>
      <c r="K28383" s="12"/>
      <c r="L28383" s="12"/>
      <c r="M28383" s="11"/>
      <c r="N28383" s="11"/>
      <c r="O28383" s="11"/>
      <c r="P28383" s="11"/>
    </row>
    <row r="28384" spans="8:16" x14ac:dyDescent="0.25">
      <c r="H28384" s="12"/>
      <c r="I28384" s="12"/>
      <c r="J28384" s="12"/>
      <c r="K28384" s="12"/>
      <c r="L28384" s="12"/>
      <c r="M28384" s="11"/>
      <c r="N28384" s="11"/>
      <c r="O28384" s="11"/>
      <c r="P28384" s="11"/>
    </row>
    <row r="28385" spans="8:16" x14ac:dyDescent="0.25">
      <c r="H28385" s="12"/>
      <c r="I28385" s="12"/>
      <c r="J28385" s="12"/>
      <c r="K28385" s="12"/>
      <c r="L28385" s="12"/>
      <c r="M28385" s="11"/>
      <c r="N28385" s="11"/>
      <c r="O28385" s="11"/>
      <c r="P28385" s="11"/>
    </row>
    <row r="28386" spans="8:16" x14ac:dyDescent="0.25">
      <c r="H28386" s="12"/>
      <c r="I28386" s="12"/>
      <c r="J28386" s="12"/>
      <c r="K28386" s="12"/>
      <c r="L28386" s="12"/>
      <c r="M28386" s="11"/>
      <c r="N28386" s="11"/>
      <c r="O28386" s="11"/>
      <c r="P28386" s="11"/>
    </row>
    <row r="28387" spans="8:16" x14ac:dyDescent="0.25">
      <c r="H28387" s="12"/>
      <c r="I28387" s="12"/>
      <c r="J28387" s="12"/>
      <c r="K28387" s="12"/>
      <c r="L28387" s="12"/>
      <c r="M28387" s="11"/>
      <c r="N28387" s="11"/>
      <c r="O28387" s="11"/>
      <c r="P28387" s="11"/>
    </row>
    <row r="28388" spans="8:16" x14ac:dyDescent="0.25">
      <c r="H28388" s="12"/>
      <c r="I28388" s="12"/>
      <c r="J28388" s="12"/>
      <c r="K28388" s="12"/>
      <c r="L28388" s="12"/>
      <c r="M28388" s="11"/>
      <c r="N28388" s="11"/>
      <c r="O28388" s="11"/>
      <c r="P28388" s="11"/>
    </row>
    <row r="28389" spans="8:16" x14ac:dyDescent="0.25">
      <c r="H28389" s="12"/>
      <c r="I28389" s="12"/>
      <c r="J28389" s="12"/>
      <c r="K28389" s="12"/>
      <c r="L28389" s="12"/>
      <c r="M28389" s="11"/>
      <c r="N28389" s="11"/>
      <c r="O28389" s="11"/>
      <c r="P28389" s="11"/>
    </row>
    <row r="28390" spans="8:16" x14ac:dyDescent="0.25">
      <c r="H28390" s="12"/>
      <c r="I28390" s="12"/>
      <c r="J28390" s="12"/>
      <c r="K28390" s="12"/>
      <c r="L28390" s="12"/>
      <c r="M28390" s="11"/>
      <c r="N28390" s="11"/>
      <c r="O28390" s="11"/>
      <c r="P28390" s="11"/>
    </row>
    <row r="28391" spans="8:16" x14ac:dyDescent="0.25">
      <c r="H28391" s="12"/>
      <c r="I28391" s="12"/>
      <c r="J28391" s="12"/>
      <c r="K28391" s="12"/>
      <c r="L28391" s="12"/>
      <c r="M28391" s="11"/>
      <c r="N28391" s="11"/>
      <c r="O28391" s="11"/>
      <c r="P28391" s="11"/>
    </row>
    <row r="28392" spans="8:16" x14ac:dyDescent="0.25">
      <c r="H28392" s="12"/>
      <c r="I28392" s="12"/>
      <c r="J28392" s="12"/>
      <c r="K28392" s="12"/>
      <c r="L28392" s="12"/>
      <c r="M28392" s="11"/>
      <c r="N28392" s="11"/>
      <c r="O28392" s="11"/>
      <c r="P28392" s="11"/>
    </row>
    <row r="28393" spans="8:16" x14ac:dyDescent="0.25">
      <c r="H28393" s="12"/>
      <c r="I28393" s="12"/>
      <c r="J28393" s="12"/>
      <c r="K28393" s="12"/>
      <c r="L28393" s="12"/>
      <c r="M28393" s="11"/>
      <c r="N28393" s="11"/>
      <c r="O28393" s="11"/>
      <c r="P28393" s="11"/>
    </row>
    <row r="28394" spans="8:16" x14ac:dyDescent="0.25">
      <c r="H28394" s="12"/>
      <c r="I28394" s="12"/>
      <c r="J28394" s="12"/>
      <c r="K28394" s="12"/>
      <c r="L28394" s="12"/>
      <c r="M28394" s="11"/>
      <c r="N28394" s="11"/>
      <c r="O28394" s="11"/>
      <c r="P28394" s="11"/>
    </row>
    <row r="28395" spans="8:16" x14ac:dyDescent="0.25">
      <c r="H28395" s="12"/>
      <c r="I28395" s="12"/>
      <c r="J28395" s="12"/>
      <c r="K28395" s="12"/>
      <c r="L28395" s="12"/>
      <c r="M28395" s="11"/>
      <c r="N28395" s="11"/>
      <c r="O28395" s="11"/>
      <c r="P28395" s="11"/>
    </row>
    <row r="28396" spans="8:16" x14ac:dyDescent="0.25">
      <c r="H28396" s="12"/>
      <c r="I28396" s="12"/>
      <c r="J28396" s="12"/>
      <c r="K28396" s="12"/>
      <c r="L28396" s="12"/>
      <c r="M28396" s="11"/>
      <c r="N28396" s="11"/>
      <c r="O28396" s="11"/>
      <c r="P28396" s="11"/>
    </row>
    <row r="28397" spans="8:16" x14ac:dyDescent="0.25">
      <c r="H28397" s="12"/>
      <c r="I28397" s="12"/>
      <c r="J28397" s="12"/>
      <c r="K28397" s="12"/>
      <c r="L28397" s="12"/>
      <c r="M28397" s="11"/>
      <c r="N28397" s="11"/>
      <c r="O28397" s="11"/>
      <c r="P28397" s="11"/>
    </row>
    <row r="28398" spans="8:16" x14ac:dyDescent="0.25">
      <c r="H28398" s="12"/>
      <c r="I28398" s="12"/>
      <c r="J28398" s="12"/>
      <c r="K28398" s="12"/>
      <c r="L28398" s="12"/>
      <c r="M28398" s="11"/>
      <c r="N28398" s="11"/>
      <c r="O28398" s="11"/>
      <c r="P28398" s="11"/>
    </row>
    <row r="28399" spans="8:16" x14ac:dyDescent="0.25">
      <c r="H28399" s="12"/>
      <c r="I28399" s="12"/>
      <c r="J28399" s="12"/>
      <c r="K28399" s="12"/>
      <c r="L28399" s="12"/>
      <c r="M28399" s="11"/>
      <c r="N28399" s="11"/>
      <c r="O28399" s="11"/>
      <c r="P28399" s="11"/>
    </row>
    <row r="28400" spans="8:16" x14ac:dyDescent="0.25">
      <c r="H28400" s="12"/>
      <c r="I28400" s="12"/>
      <c r="J28400" s="12"/>
      <c r="K28400" s="12"/>
      <c r="L28400" s="12"/>
      <c r="M28400" s="11"/>
      <c r="N28400" s="11"/>
      <c r="O28400" s="11"/>
      <c r="P28400" s="11"/>
    </row>
    <row r="28401" spans="8:16" x14ac:dyDescent="0.25">
      <c r="H28401" s="12"/>
      <c r="I28401" s="12"/>
      <c r="J28401" s="12"/>
      <c r="K28401" s="12"/>
      <c r="L28401" s="12"/>
      <c r="M28401" s="11"/>
      <c r="N28401" s="11"/>
      <c r="O28401" s="11"/>
      <c r="P28401" s="11"/>
    </row>
    <row r="28402" spans="8:16" x14ac:dyDescent="0.25">
      <c r="H28402" s="12"/>
      <c r="I28402" s="12"/>
      <c r="J28402" s="12"/>
      <c r="K28402" s="12"/>
      <c r="L28402" s="12"/>
      <c r="M28402" s="11"/>
      <c r="N28402" s="11"/>
      <c r="O28402" s="11"/>
      <c r="P28402" s="11"/>
    </row>
    <row r="28403" spans="8:16" x14ac:dyDescent="0.25">
      <c r="H28403" s="12"/>
      <c r="I28403" s="12"/>
      <c r="J28403" s="12"/>
      <c r="K28403" s="12"/>
      <c r="L28403" s="12"/>
      <c r="M28403" s="11"/>
      <c r="N28403" s="11"/>
      <c r="O28403" s="11"/>
      <c r="P28403" s="11"/>
    </row>
    <row r="28404" spans="8:16" x14ac:dyDescent="0.25">
      <c r="H28404" s="12"/>
      <c r="I28404" s="12"/>
      <c r="J28404" s="12"/>
      <c r="K28404" s="12"/>
      <c r="L28404" s="12"/>
      <c r="M28404" s="11"/>
      <c r="N28404" s="11"/>
      <c r="O28404" s="11"/>
      <c r="P28404" s="11"/>
    </row>
    <row r="28405" spans="8:16" x14ac:dyDescent="0.25">
      <c r="H28405" s="12"/>
      <c r="I28405" s="12"/>
      <c r="J28405" s="12"/>
      <c r="K28405" s="12"/>
      <c r="L28405" s="12"/>
      <c r="M28405" s="11"/>
      <c r="N28405" s="11"/>
      <c r="O28405" s="11"/>
      <c r="P28405" s="11"/>
    </row>
    <row r="28406" spans="8:16" x14ac:dyDescent="0.25">
      <c r="H28406" s="12"/>
      <c r="I28406" s="12"/>
      <c r="J28406" s="12"/>
      <c r="K28406" s="12"/>
      <c r="L28406" s="12"/>
      <c r="M28406" s="11"/>
      <c r="N28406" s="11"/>
      <c r="O28406" s="11"/>
      <c r="P28406" s="11"/>
    </row>
    <row r="28407" spans="8:16" x14ac:dyDescent="0.25">
      <c r="H28407" s="12"/>
      <c r="I28407" s="12"/>
      <c r="J28407" s="12"/>
      <c r="K28407" s="12"/>
      <c r="L28407" s="12"/>
      <c r="M28407" s="11"/>
      <c r="N28407" s="11"/>
      <c r="O28407" s="11"/>
      <c r="P28407" s="11"/>
    </row>
    <row r="28408" spans="8:16" x14ac:dyDescent="0.25">
      <c r="H28408" s="12"/>
      <c r="I28408" s="12"/>
      <c r="J28408" s="12"/>
      <c r="K28408" s="12"/>
      <c r="L28408" s="12"/>
      <c r="M28408" s="11"/>
      <c r="N28408" s="11"/>
      <c r="O28408" s="11"/>
      <c r="P28408" s="11"/>
    </row>
    <row r="28409" spans="8:16" x14ac:dyDescent="0.25">
      <c r="H28409" s="12"/>
      <c r="I28409" s="12"/>
      <c r="J28409" s="12"/>
      <c r="K28409" s="12"/>
      <c r="L28409" s="12"/>
      <c r="M28409" s="11"/>
      <c r="N28409" s="11"/>
      <c r="O28409" s="11"/>
      <c r="P28409" s="11"/>
    </row>
    <row r="28410" spans="8:16" x14ac:dyDescent="0.25">
      <c r="H28410" s="12"/>
      <c r="I28410" s="12"/>
      <c r="J28410" s="12"/>
      <c r="K28410" s="12"/>
      <c r="L28410" s="12"/>
      <c r="M28410" s="11"/>
      <c r="N28410" s="11"/>
      <c r="O28410" s="11"/>
      <c r="P28410" s="11"/>
    </row>
    <row r="28411" spans="8:16" x14ac:dyDescent="0.25">
      <c r="H28411" s="12"/>
      <c r="I28411" s="12"/>
      <c r="J28411" s="12"/>
      <c r="K28411" s="12"/>
      <c r="L28411" s="12"/>
      <c r="M28411" s="11"/>
      <c r="N28411" s="11"/>
      <c r="O28411" s="11"/>
      <c r="P28411" s="11"/>
    </row>
    <row r="28412" spans="8:16" x14ac:dyDescent="0.25">
      <c r="H28412" s="12"/>
      <c r="I28412" s="12"/>
      <c r="J28412" s="12"/>
      <c r="K28412" s="12"/>
      <c r="L28412" s="12"/>
      <c r="M28412" s="11"/>
      <c r="N28412" s="11"/>
      <c r="O28412" s="11"/>
      <c r="P28412" s="11"/>
    </row>
    <row r="28413" spans="8:16" x14ac:dyDescent="0.25">
      <c r="H28413" s="12"/>
      <c r="I28413" s="12"/>
      <c r="J28413" s="12"/>
      <c r="K28413" s="12"/>
      <c r="L28413" s="12"/>
      <c r="M28413" s="11"/>
      <c r="N28413" s="11"/>
      <c r="O28413" s="11"/>
      <c r="P28413" s="11"/>
    </row>
    <row r="28414" spans="8:16" x14ac:dyDescent="0.25">
      <c r="H28414" s="12"/>
      <c r="I28414" s="12"/>
      <c r="J28414" s="12"/>
      <c r="K28414" s="12"/>
      <c r="L28414" s="12"/>
      <c r="M28414" s="11"/>
      <c r="N28414" s="11"/>
      <c r="O28414" s="11"/>
      <c r="P28414" s="11"/>
    </row>
    <row r="28415" spans="8:16" x14ac:dyDescent="0.25">
      <c r="H28415" s="12"/>
      <c r="I28415" s="12"/>
      <c r="J28415" s="12"/>
      <c r="K28415" s="12"/>
      <c r="L28415" s="12"/>
      <c r="M28415" s="11"/>
      <c r="N28415" s="11"/>
      <c r="O28415" s="11"/>
      <c r="P28415" s="11"/>
    </row>
    <row r="28416" spans="8:16" x14ac:dyDescent="0.25">
      <c r="H28416" s="12"/>
      <c r="I28416" s="12"/>
      <c r="J28416" s="12"/>
      <c r="K28416" s="12"/>
      <c r="L28416" s="12"/>
      <c r="M28416" s="11"/>
      <c r="N28416" s="11"/>
      <c r="O28416" s="11"/>
      <c r="P28416" s="11"/>
    </row>
    <row r="28417" spans="8:16" x14ac:dyDescent="0.25">
      <c r="H28417" s="12"/>
      <c r="I28417" s="12"/>
      <c r="J28417" s="12"/>
      <c r="K28417" s="12"/>
      <c r="L28417" s="12"/>
      <c r="M28417" s="11"/>
      <c r="N28417" s="11"/>
      <c r="O28417" s="11"/>
      <c r="P28417" s="11"/>
    </row>
    <row r="28418" spans="8:16" x14ac:dyDescent="0.25">
      <c r="H28418" s="12"/>
      <c r="I28418" s="12"/>
      <c r="J28418" s="12"/>
      <c r="K28418" s="12"/>
      <c r="L28418" s="12"/>
      <c r="M28418" s="11"/>
      <c r="N28418" s="11"/>
      <c r="O28418" s="11"/>
      <c r="P28418" s="11"/>
    </row>
    <row r="28419" spans="8:16" x14ac:dyDescent="0.25">
      <c r="H28419" s="12"/>
      <c r="I28419" s="12"/>
      <c r="J28419" s="12"/>
      <c r="K28419" s="12"/>
      <c r="L28419" s="12"/>
      <c r="M28419" s="11"/>
      <c r="N28419" s="11"/>
      <c r="O28419" s="11"/>
      <c r="P28419" s="11"/>
    </row>
    <row r="28420" spans="8:16" x14ac:dyDescent="0.25">
      <c r="H28420" s="12"/>
      <c r="I28420" s="12"/>
      <c r="J28420" s="12"/>
      <c r="K28420" s="12"/>
      <c r="L28420" s="12"/>
      <c r="M28420" s="11"/>
      <c r="N28420" s="11"/>
      <c r="O28420" s="11"/>
      <c r="P28420" s="11"/>
    </row>
    <row r="28421" spans="8:16" x14ac:dyDescent="0.25">
      <c r="H28421" s="12"/>
      <c r="I28421" s="12"/>
      <c r="J28421" s="12"/>
      <c r="K28421" s="12"/>
      <c r="L28421" s="12"/>
      <c r="M28421" s="11"/>
      <c r="N28421" s="11"/>
      <c r="O28421" s="11"/>
      <c r="P28421" s="11"/>
    </row>
    <row r="28422" spans="8:16" x14ac:dyDescent="0.25">
      <c r="H28422" s="12"/>
      <c r="I28422" s="12"/>
      <c r="J28422" s="12"/>
      <c r="K28422" s="12"/>
      <c r="L28422" s="12"/>
      <c r="M28422" s="11"/>
      <c r="N28422" s="11"/>
      <c r="O28422" s="11"/>
      <c r="P28422" s="11"/>
    </row>
    <row r="28423" spans="8:16" x14ac:dyDescent="0.25">
      <c r="H28423" s="12"/>
      <c r="I28423" s="12"/>
      <c r="J28423" s="12"/>
      <c r="K28423" s="12"/>
      <c r="L28423" s="12"/>
      <c r="M28423" s="11"/>
      <c r="N28423" s="11"/>
      <c r="O28423" s="11"/>
      <c r="P28423" s="11"/>
    </row>
    <row r="28424" spans="8:16" x14ac:dyDescent="0.25">
      <c r="H28424" s="12"/>
      <c r="I28424" s="12"/>
      <c r="J28424" s="12"/>
      <c r="K28424" s="12"/>
      <c r="L28424" s="12"/>
      <c r="M28424" s="11"/>
      <c r="N28424" s="11"/>
      <c r="O28424" s="11"/>
      <c r="P28424" s="11"/>
    </row>
    <row r="28425" spans="8:16" x14ac:dyDescent="0.25">
      <c r="H28425" s="12"/>
      <c r="I28425" s="12"/>
      <c r="J28425" s="12"/>
      <c r="K28425" s="12"/>
      <c r="L28425" s="12"/>
      <c r="M28425" s="11"/>
      <c r="N28425" s="11"/>
      <c r="O28425" s="11"/>
      <c r="P28425" s="11"/>
    </row>
    <row r="28426" spans="8:16" x14ac:dyDescent="0.25">
      <c r="H28426" s="12"/>
      <c r="I28426" s="12"/>
      <c r="J28426" s="12"/>
      <c r="K28426" s="12"/>
      <c r="L28426" s="12"/>
      <c r="M28426" s="11"/>
      <c r="N28426" s="11"/>
      <c r="O28426" s="11"/>
      <c r="P28426" s="11"/>
    </row>
    <row r="28427" spans="8:16" x14ac:dyDescent="0.25">
      <c r="H28427" s="12"/>
      <c r="I28427" s="12"/>
      <c r="J28427" s="12"/>
      <c r="K28427" s="12"/>
      <c r="L28427" s="12"/>
      <c r="M28427" s="11"/>
      <c r="N28427" s="11"/>
      <c r="O28427" s="11"/>
      <c r="P28427" s="11"/>
    </row>
    <row r="28428" spans="8:16" x14ac:dyDescent="0.25">
      <c r="H28428" s="12"/>
      <c r="I28428" s="12"/>
      <c r="J28428" s="12"/>
      <c r="K28428" s="12"/>
      <c r="L28428" s="12"/>
      <c r="M28428" s="11"/>
      <c r="N28428" s="11"/>
      <c r="O28428" s="11"/>
      <c r="P28428" s="11"/>
    </row>
    <row r="28429" spans="8:16" x14ac:dyDescent="0.25">
      <c r="H28429" s="12"/>
      <c r="I28429" s="12"/>
      <c r="J28429" s="12"/>
      <c r="K28429" s="12"/>
      <c r="L28429" s="12"/>
      <c r="M28429" s="11"/>
      <c r="N28429" s="11"/>
      <c r="O28429" s="11"/>
      <c r="P28429" s="11"/>
    </row>
    <row r="28430" spans="8:16" x14ac:dyDescent="0.25">
      <c r="H28430" s="12"/>
      <c r="I28430" s="12"/>
      <c r="J28430" s="12"/>
      <c r="K28430" s="12"/>
      <c r="L28430" s="12"/>
      <c r="M28430" s="11"/>
      <c r="N28430" s="11"/>
      <c r="O28430" s="11"/>
      <c r="P28430" s="11"/>
    </row>
    <row r="28431" spans="8:16" x14ac:dyDescent="0.25">
      <c r="H28431" s="12"/>
      <c r="I28431" s="12"/>
      <c r="J28431" s="12"/>
      <c r="K28431" s="12"/>
      <c r="L28431" s="12"/>
      <c r="M28431" s="11"/>
      <c r="N28431" s="11"/>
      <c r="O28431" s="11"/>
      <c r="P28431" s="11"/>
    </row>
    <row r="28432" spans="8:16" x14ac:dyDescent="0.25">
      <c r="H28432" s="12"/>
      <c r="I28432" s="12"/>
      <c r="J28432" s="12"/>
      <c r="K28432" s="12"/>
      <c r="L28432" s="12"/>
      <c r="M28432" s="11"/>
      <c r="N28432" s="11"/>
      <c r="O28432" s="11"/>
      <c r="P28432" s="11"/>
    </row>
    <row r="28433" spans="8:16" x14ac:dyDescent="0.25">
      <c r="H28433" s="12"/>
      <c r="I28433" s="12"/>
      <c r="J28433" s="12"/>
      <c r="K28433" s="12"/>
      <c r="L28433" s="12"/>
      <c r="M28433" s="11"/>
      <c r="N28433" s="11"/>
      <c r="O28433" s="11"/>
      <c r="P28433" s="11"/>
    </row>
    <row r="28434" spans="8:16" x14ac:dyDescent="0.25">
      <c r="H28434" s="12"/>
      <c r="I28434" s="12"/>
      <c r="J28434" s="12"/>
      <c r="K28434" s="12"/>
      <c r="L28434" s="12"/>
      <c r="M28434" s="11"/>
      <c r="N28434" s="11"/>
      <c r="O28434" s="11"/>
      <c r="P28434" s="11"/>
    </row>
    <row r="28435" spans="8:16" x14ac:dyDescent="0.25">
      <c r="H28435" s="12"/>
      <c r="I28435" s="12"/>
      <c r="J28435" s="12"/>
      <c r="K28435" s="12"/>
      <c r="L28435" s="12"/>
      <c r="M28435" s="11"/>
      <c r="N28435" s="11"/>
      <c r="O28435" s="11"/>
      <c r="P28435" s="11"/>
    </row>
    <row r="28436" spans="8:16" x14ac:dyDescent="0.25">
      <c r="H28436" s="12"/>
      <c r="I28436" s="12"/>
      <c r="J28436" s="12"/>
      <c r="K28436" s="12"/>
      <c r="L28436" s="12"/>
      <c r="M28436" s="11"/>
      <c r="N28436" s="11"/>
      <c r="O28436" s="11"/>
      <c r="P28436" s="11"/>
    </row>
    <row r="28437" spans="8:16" x14ac:dyDescent="0.25">
      <c r="H28437" s="12"/>
      <c r="I28437" s="12"/>
      <c r="J28437" s="12"/>
      <c r="K28437" s="12"/>
      <c r="L28437" s="12"/>
      <c r="M28437" s="11"/>
      <c r="N28437" s="11"/>
      <c r="O28437" s="11"/>
      <c r="P28437" s="11"/>
    </row>
    <row r="28438" spans="8:16" x14ac:dyDescent="0.25">
      <c r="H28438" s="12"/>
      <c r="I28438" s="12"/>
      <c r="J28438" s="12"/>
      <c r="K28438" s="12"/>
      <c r="L28438" s="12"/>
      <c r="M28438" s="11"/>
      <c r="N28438" s="11"/>
      <c r="O28438" s="11"/>
      <c r="P28438" s="11"/>
    </row>
    <row r="28439" spans="8:16" x14ac:dyDescent="0.25">
      <c r="H28439" s="12"/>
      <c r="I28439" s="12"/>
      <c r="J28439" s="12"/>
      <c r="K28439" s="12"/>
      <c r="L28439" s="12"/>
      <c r="M28439" s="11"/>
      <c r="N28439" s="11"/>
      <c r="O28439" s="11"/>
      <c r="P28439" s="11"/>
    </row>
    <row r="28440" spans="8:16" x14ac:dyDescent="0.25">
      <c r="H28440" s="12"/>
      <c r="I28440" s="12"/>
      <c r="J28440" s="12"/>
      <c r="K28440" s="12"/>
      <c r="L28440" s="12"/>
      <c r="M28440" s="11"/>
      <c r="N28440" s="11"/>
      <c r="O28440" s="11"/>
      <c r="P28440" s="11"/>
    </row>
    <row r="28441" spans="8:16" x14ac:dyDescent="0.25">
      <c r="H28441" s="12"/>
      <c r="I28441" s="12"/>
      <c r="J28441" s="12"/>
      <c r="K28441" s="12"/>
      <c r="L28441" s="12"/>
      <c r="M28441" s="11"/>
      <c r="N28441" s="11"/>
      <c r="O28441" s="11"/>
      <c r="P28441" s="11"/>
    </row>
    <row r="28442" spans="8:16" x14ac:dyDescent="0.25">
      <c r="H28442" s="12"/>
      <c r="I28442" s="12"/>
      <c r="J28442" s="12"/>
      <c r="K28442" s="12"/>
      <c r="L28442" s="12"/>
      <c r="M28442" s="11"/>
      <c r="N28442" s="11"/>
      <c r="O28442" s="11"/>
      <c r="P28442" s="11"/>
    </row>
    <row r="28443" spans="8:16" x14ac:dyDescent="0.25">
      <c r="H28443" s="12"/>
      <c r="I28443" s="12"/>
      <c r="J28443" s="12"/>
      <c r="K28443" s="12"/>
      <c r="L28443" s="12"/>
      <c r="M28443" s="11"/>
      <c r="N28443" s="11"/>
      <c r="O28443" s="11"/>
      <c r="P28443" s="11"/>
    </row>
    <row r="28444" spans="8:16" x14ac:dyDescent="0.25">
      <c r="H28444" s="12"/>
      <c r="I28444" s="12"/>
      <c r="J28444" s="12"/>
      <c r="K28444" s="12"/>
      <c r="L28444" s="12"/>
      <c r="M28444" s="11"/>
      <c r="N28444" s="11"/>
      <c r="O28444" s="11"/>
      <c r="P28444" s="11"/>
    </row>
    <row r="28445" spans="8:16" x14ac:dyDescent="0.25">
      <c r="H28445" s="12"/>
      <c r="I28445" s="12"/>
      <c r="J28445" s="12"/>
      <c r="K28445" s="12"/>
      <c r="L28445" s="12"/>
      <c r="M28445" s="11"/>
      <c r="N28445" s="11"/>
      <c r="O28445" s="11"/>
      <c r="P28445" s="11"/>
    </row>
    <row r="28446" spans="8:16" x14ac:dyDescent="0.25">
      <c r="H28446" s="12"/>
      <c r="I28446" s="12"/>
      <c r="J28446" s="12"/>
      <c r="K28446" s="12"/>
      <c r="L28446" s="12"/>
      <c r="M28446" s="11"/>
      <c r="N28446" s="11"/>
      <c r="O28446" s="11"/>
      <c r="P28446" s="11"/>
    </row>
    <row r="28447" spans="8:16" x14ac:dyDescent="0.25">
      <c r="H28447" s="12"/>
      <c r="I28447" s="12"/>
      <c r="J28447" s="12"/>
      <c r="K28447" s="12"/>
      <c r="L28447" s="12"/>
      <c r="M28447" s="11"/>
      <c r="N28447" s="11"/>
      <c r="O28447" s="11"/>
      <c r="P28447" s="11"/>
    </row>
    <row r="28448" spans="8:16" x14ac:dyDescent="0.25">
      <c r="H28448" s="12"/>
      <c r="I28448" s="12"/>
      <c r="J28448" s="12"/>
      <c r="K28448" s="12"/>
      <c r="L28448" s="12"/>
      <c r="M28448" s="11"/>
      <c r="N28448" s="11"/>
      <c r="O28448" s="11"/>
      <c r="P28448" s="11"/>
    </row>
    <row r="28449" spans="8:16" x14ac:dyDescent="0.25">
      <c r="H28449" s="12"/>
      <c r="I28449" s="12"/>
      <c r="J28449" s="12"/>
      <c r="K28449" s="12"/>
      <c r="L28449" s="12"/>
      <c r="M28449" s="11"/>
      <c r="N28449" s="11"/>
      <c r="O28449" s="11"/>
      <c r="P28449" s="11"/>
    </row>
    <row r="28450" spans="8:16" x14ac:dyDescent="0.25">
      <c r="H28450" s="12"/>
      <c r="I28450" s="12"/>
      <c r="J28450" s="12"/>
      <c r="K28450" s="12"/>
      <c r="L28450" s="12"/>
      <c r="M28450" s="11"/>
      <c r="N28450" s="11"/>
      <c r="O28450" s="11"/>
      <c r="P28450" s="11"/>
    </row>
    <row r="28451" spans="8:16" x14ac:dyDescent="0.25">
      <c r="H28451" s="12"/>
      <c r="I28451" s="12"/>
      <c r="J28451" s="12"/>
      <c r="K28451" s="12"/>
      <c r="L28451" s="12"/>
      <c r="M28451" s="11"/>
      <c r="N28451" s="11"/>
      <c r="O28451" s="11"/>
      <c r="P28451" s="11"/>
    </row>
    <row r="28452" spans="8:16" x14ac:dyDescent="0.25">
      <c r="H28452" s="12"/>
      <c r="I28452" s="12"/>
      <c r="J28452" s="12"/>
      <c r="K28452" s="12"/>
      <c r="L28452" s="12"/>
      <c r="M28452" s="11"/>
      <c r="N28452" s="11"/>
      <c r="O28452" s="11"/>
      <c r="P28452" s="11"/>
    </row>
    <row r="28453" spans="8:16" x14ac:dyDescent="0.25">
      <c r="H28453" s="12"/>
      <c r="I28453" s="12"/>
      <c r="J28453" s="12"/>
      <c r="K28453" s="12"/>
      <c r="L28453" s="12"/>
      <c r="M28453" s="11"/>
      <c r="N28453" s="11"/>
      <c r="O28453" s="11"/>
      <c r="P28453" s="11"/>
    </row>
    <row r="28454" spans="8:16" x14ac:dyDescent="0.25">
      <c r="H28454" s="12"/>
      <c r="I28454" s="12"/>
      <c r="J28454" s="12"/>
      <c r="K28454" s="12"/>
      <c r="L28454" s="12"/>
      <c r="M28454" s="11"/>
      <c r="N28454" s="11"/>
      <c r="O28454" s="11"/>
      <c r="P28454" s="11"/>
    </row>
    <row r="28455" spans="8:16" x14ac:dyDescent="0.25">
      <c r="H28455" s="12"/>
      <c r="I28455" s="12"/>
      <c r="J28455" s="12"/>
      <c r="K28455" s="12"/>
      <c r="L28455" s="12"/>
      <c r="M28455" s="11"/>
      <c r="N28455" s="11"/>
      <c r="O28455" s="11"/>
      <c r="P28455" s="11"/>
    </row>
    <row r="28456" spans="8:16" x14ac:dyDescent="0.25">
      <c r="H28456" s="12"/>
      <c r="I28456" s="12"/>
      <c r="J28456" s="12"/>
      <c r="K28456" s="12"/>
      <c r="L28456" s="12"/>
      <c r="M28456" s="11"/>
      <c r="N28456" s="11"/>
      <c r="O28456" s="11"/>
      <c r="P28456" s="11"/>
    </row>
    <row r="28457" spans="8:16" x14ac:dyDescent="0.25">
      <c r="H28457" s="12"/>
      <c r="I28457" s="12"/>
      <c r="J28457" s="12"/>
      <c r="K28457" s="12"/>
      <c r="L28457" s="12"/>
      <c r="M28457" s="11"/>
      <c r="N28457" s="11"/>
      <c r="O28457" s="11"/>
      <c r="P28457" s="11"/>
    </row>
    <row r="28458" spans="8:16" x14ac:dyDescent="0.25">
      <c r="H28458" s="12"/>
      <c r="I28458" s="12"/>
      <c r="J28458" s="12"/>
      <c r="K28458" s="12"/>
      <c r="L28458" s="12"/>
      <c r="M28458" s="11"/>
      <c r="N28458" s="11"/>
      <c r="O28458" s="11"/>
      <c r="P28458" s="11"/>
    </row>
    <row r="28459" spans="8:16" x14ac:dyDescent="0.25">
      <c r="H28459" s="12"/>
      <c r="I28459" s="12"/>
      <c r="J28459" s="12"/>
      <c r="K28459" s="12"/>
      <c r="L28459" s="12"/>
      <c r="M28459" s="11"/>
      <c r="N28459" s="11"/>
      <c r="O28459" s="11"/>
      <c r="P28459" s="11"/>
    </row>
    <row r="28460" spans="8:16" x14ac:dyDescent="0.25">
      <c r="H28460" s="12"/>
      <c r="I28460" s="12"/>
      <c r="J28460" s="12"/>
      <c r="K28460" s="12"/>
      <c r="L28460" s="12"/>
      <c r="M28460" s="11"/>
      <c r="N28460" s="11"/>
      <c r="O28460" s="11"/>
      <c r="P28460" s="11"/>
    </row>
    <row r="28461" spans="8:16" x14ac:dyDescent="0.25">
      <c r="H28461" s="12"/>
      <c r="I28461" s="12"/>
      <c r="J28461" s="12"/>
      <c r="K28461" s="12"/>
      <c r="L28461" s="12"/>
      <c r="M28461" s="11"/>
      <c r="N28461" s="11"/>
      <c r="O28461" s="11"/>
      <c r="P28461" s="11"/>
    </row>
    <row r="28462" spans="8:16" x14ac:dyDescent="0.25">
      <c r="H28462" s="12"/>
      <c r="I28462" s="12"/>
      <c r="J28462" s="12"/>
      <c r="K28462" s="12"/>
      <c r="L28462" s="12"/>
      <c r="M28462" s="11"/>
      <c r="N28462" s="11"/>
      <c r="O28462" s="11"/>
      <c r="P28462" s="11"/>
    </row>
    <row r="28463" spans="8:16" x14ac:dyDescent="0.25">
      <c r="H28463" s="12"/>
      <c r="I28463" s="12"/>
      <c r="J28463" s="12"/>
      <c r="K28463" s="12"/>
      <c r="L28463" s="12"/>
      <c r="M28463" s="11"/>
      <c r="N28463" s="11"/>
      <c r="O28463" s="11"/>
      <c r="P28463" s="11"/>
    </row>
    <row r="28464" spans="8:16" x14ac:dyDescent="0.25">
      <c r="H28464" s="12"/>
      <c r="I28464" s="12"/>
      <c r="J28464" s="12"/>
      <c r="K28464" s="12"/>
      <c r="L28464" s="12"/>
      <c r="M28464" s="11"/>
      <c r="N28464" s="11"/>
      <c r="O28464" s="11"/>
      <c r="P28464" s="11"/>
    </row>
    <row r="28465" spans="8:16" x14ac:dyDescent="0.25">
      <c r="H28465" s="12"/>
      <c r="I28465" s="12"/>
      <c r="J28465" s="12"/>
      <c r="K28465" s="12"/>
      <c r="L28465" s="12"/>
      <c r="M28465" s="11"/>
      <c r="N28465" s="11"/>
      <c r="O28465" s="11"/>
      <c r="P28465" s="11"/>
    </row>
    <row r="28466" spans="8:16" x14ac:dyDescent="0.25">
      <c r="H28466" s="12"/>
      <c r="I28466" s="12"/>
      <c r="J28466" s="12"/>
      <c r="K28466" s="12"/>
      <c r="L28466" s="12"/>
      <c r="M28466" s="11"/>
      <c r="N28466" s="11"/>
      <c r="O28466" s="11"/>
      <c r="P28466" s="11"/>
    </row>
    <row r="28467" spans="8:16" x14ac:dyDescent="0.25">
      <c r="H28467" s="12"/>
      <c r="I28467" s="12"/>
      <c r="J28467" s="12"/>
      <c r="K28467" s="12"/>
      <c r="L28467" s="12"/>
      <c r="M28467" s="11"/>
      <c r="N28467" s="11"/>
      <c r="O28467" s="11"/>
      <c r="P28467" s="11"/>
    </row>
    <row r="28468" spans="8:16" x14ac:dyDescent="0.25">
      <c r="H28468" s="12"/>
      <c r="I28468" s="12"/>
      <c r="J28468" s="12"/>
      <c r="K28468" s="12"/>
      <c r="L28468" s="12"/>
      <c r="M28468" s="11"/>
      <c r="N28468" s="11"/>
      <c r="O28468" s="11"/>
      <c r="P28468" s="11"/>
    </row>
    <row r="28469" spans="8:16" x14ac:dyDescent="0.25">
      <c r="H28469" s="12"/>
      <c r="I28469" s="12"/>
      <c r="J28469" s="12"/>
      <c r="K28469" s="12"/>
      <c r="L28469" s="12"/>
      <c r="M28469" s="11"/>
      <c r="N28469" s="11"/>
      <c r="O28469" s="11"/>
      <c r="P28469" s="11"/>
    </row>
    <row r="28470" spans="8:16" x14ac:dyDescent="0.25">
      <c r="H28470" s="12"/>
      <c r="I28470" s="12"/>
      <c r="J28470" s="12"/>
      <c r="K28470" s="12"/>
      <c r="L28470" s="12"/>
      <c r="M28470" s="11"/>
      <c r="N28470" s="11"/>
      <c r="O28470" s="11"/>
      <c r="P28470" s="11"/>
    </row>
    <row r="28471" spans="8:16" x14ac:dyDescent="0.25">
      <c r="H28471" s="12"/>
      <c r="I28471" s="12"/>
      <c r="J28471" s="12"/>
      <c r="K28471" s="12"/>
      <c r="L28471" s="12"/>
      <c r="M28471" s="11"/>
      <c r="N28471" s="11"/>
      <c r="O28471" s="11"/>
      <c r="P28471" s="11"/>
    </row>
    <row r="28472" spans="8:16" x14ac:dyDescent="0.25">
      <c r="H28472" s="12"/>
      <c r="I28472" s="12"/>
      <c r="J28472" s="12"/>
      <c r="K28472" s="12"/>
      <c r="L28472" s="12"/>
      <c r="M28472" s="11"/>
      <c r="N28472" s="11"/>
      <c r="O28472" s="11"/>
      <c r="P28472" s="11"/>
    </row>
    <row r="28473" spans="8:16" x14ac:dyDescent="0.25">
      <c r="H28473" s="12"/>
      <c r="I28473" s="12"/>
      <c r="J28473" s="12"/>
      <c r="K28473" s="12"/>
      <c r="L28473" s="12"/>
      <c r="M28473" s="11"/>
      <c r="N28473" s="11"/>
      <c r="O28473" s="11"/>
      <c r="P28473" s="11"/>
    </row>
    <row r="28474" spans="8:16" x14ac:dyDescent="0.25">
      <c r="H28474" s="12"/>
      <c r="I28474" s="12"/>
      <c r="J28474" s="12"/>
      <c r="K28474" s="12"/>
      <c r="L28474" s="12"/>
      <c r="M28474" s="11"/>
      <c r="N28474" s="11"/>
      <c r="O28474" s="11"/>
      <c r="P28474" s="11"/>
    </row>
    <row r="28475" spans="8:16" x14ac:dyDescent="0.25">
      <c r="H28475" s="12"/>
      <c r="I28475" s="12"/>
      <c r="J28475" s="12"/>
      <c r="K28475" s="12"/>
      <c r="L28475" s="12"/>
      <c r="M28475" s="11"/>
      <c r="N28475" s="11"/>
      <c r="O28475" s="11"/>
      <c r="P28475" s="11"/>
    </row>
    <row r="28476" spans="8:16" x14ac:dyDescent="0.25">
      <c r="H28476" s="12"/>
      <c r="I28476" s="12"/>
      <c r="J28476" s="12"/>
      <c r="K28476" s="12"/>
      <c r="L28476" s="12"/>
      <c r="M28476" s="11"/>
      <c r="N28476" s="11"/>
      <c r="O28476" s="11"/>
      <c r="P28476" s="11"/>
    </row>
    <row r="28477" spans="8:16" x14ac:dyDescent="0.25">
      <c r="H28477" s="12"/>
      <c r="I28477" s="12"/>
      <c r="J28477" s="12"/>
      <c r="K28477" s="12"/>
      <c r="L28477" s="12"/>
      <c r="M28477" s="11"/>
      <c r="N28477" s="11"/>
      <c r="O28477" s="11"/>
      <c r="P28477" s="11"/>
    </row>
    <row r="28478" spans="8:16" x14ac:dyDescent="0.25">
      <c r="H28478" s="12"/>
      <c r="I28478" s="12"/>
      <c r="J28478" s="12"/>
      <c r="K28478" s="12"/>
      <c r="L28478" s="12"/>
      <c r="M28478" s="11"/>
      <c r="N28478" s="11"/>
      <c r="O28478" s="11"/>
      <c r="P28478" s="11"/>
    </row>
    <row r="28479" spans="8:16" x14ac:dyDescent="0.25">
      <c r="H28479" s="12"/>
      <c r="I28479" s="12"/>
      <c r="J28479" s="12"/>
      <c r="K28479" s="12"/>
      <c r="L28479" s="12"/>
      <c r="M28479" s="11"/>
      <c r="N28479" s="11"/>
      <c r="O28479" s="11"/>
      <c r="P28479" s="11"/>
    </row>
    <row r="28480" spans="8:16" x14ac:dyDescent="0.25">
      <c r="H28480" s="12"/>
      <c r="I28480" s="12"/>
      <c r="J28480" s="12"/>
      <c r="K28480" s="12"/>
      <c r="L28480" s="12"/>
      <c r="M28480" s="11"/>
      <c r="N28480" s="11"/>
      <c r="O28480" s="11"/>
      <c r="P28480" s="11"/>
    </row>
    <row r="28481" spans="8:16" x14ac:dyDescent="0.25">
      <c r="H28481" s="12"/>
      <c r="I28481" s="12"/>
      <c r="J28481" s="12"/>
      <c r="K28481" s="12"/>
      <c r="L28481" s="12"/>
      <c r="M28481" s="11"/>
      <c r="N28481" s="11"/>
      <c r="O28481" s="11"/>
      <c r="P28481" s="11"/>
    </row>
    <row r="28482" spans="8:16" x14ac:dyDescent="0.25">
      <c r="H28482" s="12"/>
      <c r="I28482" s="12"/>
      <c r="J28482" s="12"/>
      <c r="K28482" s="12"/>
      <c r="L28482" s="12"/>
      <c r="M28482" s="11"/>
      <c r="N28482" s="11"/>
      <c r="O28482" s="11"/>
      <c r="P28482" s="11"/>
    </row>
    <row r="28483" spans="8:16" x14ac:dyDescent="0.25">
      <c r="H28483" s="12"/>
      <c r="I28483" s="12"/>
      <c r="J28483" s="12"/>
      <c r="K28483" s="12"/>
      <c r="L28483" s="12"/>
      <c r="M28483" s="11"/>
      <c r="N28483" s="11"/>
      <c r="O28483" s="11"/>
      <c r="P28483" s="11"/>
    </row>
    <row r="28484" spans="8:16" x14ac:dyDescent="0.25">
      <c r="H28484" s="12"/>
      <c r="I28484" s="12"/>
      <c r="J28484" s="12"/>
      <c r="K28484" s="12"/>
      <c r="L28484" s="12"/>
      <c r="M28484" s="11"/>
      <c r="N28484" s="11"/>
      <c r="O28484" s="11"/>
      <c r="P28484" s="11"/>
    </row>
    <row r="28485" spans="8:16" x14ac:dyDescent="0.25">
      <c r="H28485" s="12"/>
      <c r="I28485" s="12"/>
      <c r="J28485" s="12"/>
      <c r="K28485" s="12"/>
      <c r="L28485" s="12"/>
      <c r="M28485" s="11"/>
      <c r="N28485" s="11"/>
      <c r="O28485" s="11"/>
      <c r="P28485" s="11"/>
    </row>
    <row r="28486" spans="8:16" x14ac:dyDescent="0.25">
      <c r="H28486" s="12"/>
      <c r="I28486" s="12"/>
      <c r="J28486" s="12"/>
      <c r="K28486" s="12"/>
      <c r="L28486" s="12"/>
      <c r="M28486" s="11"/>
      <c r="N28486" s="11"/>
      <c r="O28486" s="11"/>
      <c r="P28486" s="11"/>
    </row>
    <row r="28487" spans="8:16" x14ac:dyDescent="0.25">
      <c r="H28487" s="12"/>
      <c r="I28487" s="12"/>
      <c r="J28487" s="12"/>
      <c r="K28487" s="12"/>
      <c r="L28487" s="12"/>
      <c r="M28487" s="11"/>
      <c r="N28487" s="11"/>
      <c r="O28487" s="11"/>
      <c r="P28487" s="11"/>
    </row>
    <row r="28488" spans="8:16" x14ac:dyDescent="0.25">
      <c r="H28488" s="12"/>
      <c r="I28488" s="12"/>
      <c r="J28488" s="12"/>
      <c r="K28488" s="12"/>
      <c r="L28488" s="12"/>
      <c r="M28488" s="11"/>
      <c r="N28488" s="11"/>
      <c r="O28488" s="11"/>
      <c r="P28488" s="11"/>
    </row>
    <row r="28489" spans="8:16" x14ac:dyDescent="0.25">
      <c r="H28489" s="12"/>
      <c r="I28489" s="12"/>
      <c r="J28489" s="12"/>
      <c r="K28489" s="12"/>
      <c r="L28489" s="12"/>
      <c r="M28489" s="11"/>
      <c r="N28489" s="11"/>
      <c r="O28489" s="11"/>
      <c r="P28489" s="11"/>
    </row>
    <row r="28490" spans="8:16" x14ac:dyDescent="0.25">
      <c r="H28490" s="12"/>
      <c r="I28490" s="12"/>
      <c r="J28490" s="12"/>
      <c r="K28490" s="12"/>
      <c r="L28490" s="12"/>
      <c r="M28490" s="11"/>
      <c r="N28490" s="11"/>
      <c r="O28490" s="11"/>
      <c r="P28490" s="11"/>
    </row>
    <row r="28491" spans="8:16" x14ac:dyDescent="0.25">
      <c r="H28491" s="12"/>
      <c r="I28491" s="12"/>
      <c r="J28491" s="12"/>
      <c r="K28491" s="12"/>
      <c r="L28491" s="12"/>
      <c r="M28491" s="11"/>
      <c r="N28491" s="11"/>
      <c r="O28491" s="11"/>
      <c r="P28491" s="11"/>
    </row>
    <row r="28492" spans="8:16" x14ac:dyDescent="0.25">
      <c r="H28492" s="12"/>
      <c r="I28492" s="12"/>
      <c r="J28492" s="12"/>
      <c r="K28492" s="12"/>
      <c r="L28492" s="12"/>
      <c r="M28492" s="11"/>
      <c r="N28492" s="11"/>
      <c r="O28492" s="11"/>
      <c r="P28492" s="11"/>
    </row>
    <row r="28493" spans="8:16" x14ac:dyDescent="0.25">
      <c r="H28493" s="12"/>
      <c r="I28493" s="12"/>
      <c r="J28493" s="12"/>
      <c r="K28493" s="12"/>
      <c r="L28493" s="12"/>
      <c r="M28493" s="11"/>
      <c r="N28493" s="11"/>
      <c r="O28493" s="11"/>
      <c r="P28493" s="11"/>
    </row>
    <row r="28494" spans="8:16" x14ac:dyDescent="0.25">
      <c r="H28494" s="12"/>
      <c r="I28494" s="12"/>
      <c r="J28494" s="12"/>
      <c r="K28494" s="12"/>
      <c r="L28494" s="12"/>
      <c r="M28494" s="11"/>
      <c r="N28494" s="11"/>
      <c r="O28494" s="11"/>
      <c r="P28494" s="11"/>
    </row>
    <row r="28495" spans="8:16" x14ac:dyDescent="0.25">
      <c r="H28495" s="12"/>
      <c r="I28495" s="12"/>
      <c r="J28495" s="12"/>
      <c r="K28495" s="12"/>
      <c r="L28495" s="12"/>
      <c r="M28495" s="11"/>
      <c r="N28495" s="11"/>
      <c r="O28495" s="11"/>
      <c r="P28495" s="11"/>
    </row>
    <row r="28496" spans="8:16" x14ac:dyDescent="0.25">
      <c r="H28496" s="12"/>
      <c r="I28496" s="12"/>
      <c r="J28496" s="12"/>
      <c r="K28496" s="12"/>
      <c r="L28496" s="12"/>
      <c r="M28496" s="11"/>
      <c r="N28496" s="11"/>
      <c r="O28496" s="11"/>
      <c r="P28496" s="11"/>
    </row>
    <row r="28497" spans="8:16" x14ac:dyDescent="0.25">
      <c r="H28497" s="12"/>
      <c r="I28497" s="12"/>
      <c r="J28497" s="12"/>
      <c r="K28497" s="12"/>
      <c r="L28497" s="12"/>
      <c r="M28497" s="11"/>
      <c r="N28497" s="11"/>
      <c r="O28497" s="11"/>
      <c r="P28497" s="11"/>
    </row>
    <row r="28498" spans="8:16" x14ac:dyDescent="0.25">
      <c r="H28498" s="12"/>
      <c r="I28498" s="12"/>
      <c r="J28498" s="12"/>
      <c r="K28498" s="12"/>
      <c r="L28498" s="12"/>
      <c r="M28498" s="11"/>
      <c r="N28498" s="11"/>
      <c r="O28498" s="11"/>
      <c r="P28498" s="11"/>
    </row>
    <row r="28499" spans="8:16" x14ac:dyDescent="0.25">
      <c r="H28499" s="12"/>
      <c r="I28499" s="12"/>
      <c r="J28499" s="12"/>
      <c r="K28499" s="12"/>
      <c r="L28499" s="12"/>
      <c r="M28499" s="11"/>
      <c r="N28499" s="11"/>
      <c r="O28499" s="11"/>
      <c r="P28499" s="11"/>
    </row>
    <row r="28500" spans="8:16" x14ac:dyDescent="0.25">
      <c r="H28500" s="12"/>
      <c r="I28500" s="12"/>
      <c r="J28500" s="12"/>
      <c r="K28500" s="12"/>
      <c r="L28500" s="12"/>
      <c r="M28500" s="11"/>
      <c r="N28500" s="11"/>
      <c r="O28500" s="11"/>
      <c r="P28500" s="11"/>
    </row>
    <row r="28501" spans="8:16" x14ac:dyDescent="0.25">
      <c r="H28501" s="12"/>
      <c r="I28501" s="12"/>
      <c r="J28501" s="12"/>
      <c r="K28501" s="12"/>
      <c r="L28501" s="12"/>
      <c r="M28501" s="11"/>
      <c r="N28501" s="11"/>
      <c r="O28501" s="11"/>
      <c r="P28501" s="11"/>
    </row>
    <row r="28502" spans="8:16" x14ac:dyDescent="0.25">
      <c r="H28502" s="12"/>
      <c r="I28502" s="12"/>
      <c r="J28502" s="12"/>
      <c r="K28502" s="12"/>
      <c r="L28502" s="12"/>
      <c r="M28502" s="11"/>
      <c r="N28502" s="11"/>
      <c r="O28502" s="11"/>
      <c r="P28502" s="11"/>
    </row>
    <row r="28503" spans="8:16" x14ac:dyDescent="0.25">
      <c r="H28503" s="12"/>
      <c r="I28503" s="12"/>
      <c r="J28503" s="12"/>
      <c r="K28503" s="12"/>
      <c r="L28503" s="12"/>
      <c r="M28503" s="11"/>
      <c r="N28503" s="11"/>
      <c r="O28503" s="11"/>
      <c r="P28503" s="11"/>
    </row>
    <row r="28504" spans="8:16" x14ac:dyDescent="0.25">
      <c r="H28504" s="12"/>
      <c r="I28504" s="12"/>
      <c r="J28504" s="12"/>
      <c r="K28504" s="12"/>
      <c r="L28504" s="12"/>
      <c r="M28504" s="11"/>
      <c r="N28504" s="11"/>
      <c r="O28504" s="11"/>
      <c r="P28504" s="11"/>
    </row>
    <row r="28505" spans="8:16" x14ac:dyDescent="0.25">
      <c r="H28505" s="12"/>
      <c r="I28505" s="12"/>
      <c r="J28505" s="12"/>
      <c r="K28505" s="12"/>
      <c r="L28505" s="12"/>
      <c r="M28505" s="11"/>
      <c r="N28505" s="11"/>
      <c r="O28505" s="11"/>
      <c r="P28505" s="11"/>
    </row>
    <row r="28506" spans="8:16" x14ac:dyDescent="0.25">
      <c r="H28506" s="12"/>
      <c r="I28506" s="12"/>
      <c r="J28506" s="12"/>
      <c r="K28506" s="12"/>
      <c r="L28506" s="12"/>
      <c r="M28506" s="11"/>
      <c r="N28506" s="11"/>
      <c r="O28506" s="11"/>
      <c r="P28506" s="11"/>
    </row>
    <row r="28507" spans="8:16" x14ac:dyDescent="0.25">
      <c r="H28507" s="12"/>
      <c r="I28507" s="12"/>
      <c r="J28507" s="12"/>
      <c r="K28507" s="12"/>
      <c r="L28507" s="12"/>
      <c r="M28507" s="11"/>
      <c r="N28507" s="11"/>
      <c r="O28507" s="11"/>
      <c r="P28507" s="11"/>
    </row>
    <row r="28508" spans="8:16" x14ac:dyDescent="0.25">
      <c r="H28508" s="12"/>
      <c r="I28508" s="12"/>
      <c r="J28508" s="12"/>
      <c r="K28508" s="12"/>
      <c r="L28508" s="12"/>
      <c r="M28508" s="11"/>
      <c r="N28508" s="11"/>
      <c r="O28508" s="11"/>
      <c r="P28508" s="11"/>
    </row>
    <row r="28509" spans="8:16" x14ac:dyDescent="0.25">
      <c r="H28509" s="12"/>
      <c r="I28509" s="12"/>
      <c r="J28509" s="12"/>
      <c r="K28509" s="12"/>
      <c r="L28509" s="12"/>
      <c r="M28509" s="11"/>
      <c r="N28509" s="11"/>
      <c r="O28509" s="11"/>
      <c r="P28509" s="11"/>
    </row>
    <row r="28510" spans="8:16" x14ac:dyDescent="0.25">
      <c r="H28510" s="12"/>
      <c r="I28510" s="12"/>
      <c r="J28510" s="12"/>
      <c r="K28510" s="12"/>
      <c r="L28510" s="12"/>
      <c r="M28510" s="11"/>
      <c r="N28510" s="11"/>
      <c r="O28510" s="11"/>
      <c r="P28510" s="11"/>
    </row>
    <row r="28511" spans="8:16" x14ac:dyDescent="0.25">
      <c r="H28511" s="12"/>
      <c r="I28511" s="12"/>
      <c r="J28511" s="12"/>
      <c r="K28511" s="12"/>
      <c r="L28511" s="12"/>
      <c r="M28511" s="11"/>
      <c r="N28511" s="11"/>
      <c r="O28511" s="11"/>
      <c r="P28511" s="11"/>
    </row>
    <row r="28512" spans="8:16" x14ac:dyDescent="0.25">
      <c r="H28512" s="12"/>
      <c r="I28512" s="12"/>
      <c r="J28512" s="12"/>
      <c r="K28512" s="12"/>
      <c r="L28512" s="12"/>
      <c r="M28512" s="11"/>
      <c r="N28512" s="11"/>
      <c r="O28512" s="11"/>
      <c r="P28512" s="11"/>
    </row>
    <row r="28513" spans="8:16" x14ac:dyDescent="0.25">
      <c r="H28513" s="12"/>
      <c r="I28513" s="12"/>
      <c r="J28513" s="12"/>
      <c r="K28513" s="12"/>
      <c r="L28513" s="12"/>
      <c r="M28513" s="11"/>
      <c r="N28513" s="11"/>
      <c r="O28513" s="11"/>
      <c r="P28513" s="11"/>
    </row>
    <row r="28514" spans="8:16" x14ac:dyDescent="0.25">
      <c r="H28514" s="12"/>
      <c r="I28514" s="12"/>
      <c r="J28514" s="12"/>
      <c r="K28514" s="12"/>
      <c r="L28514" s="12"/>
      <c r="M28514" s="11"/>
      <c r="N28514" s="11"/>
      <c r="O28514" s="11"/>
      <c r="P28514" s="11"/>
    </row>
    <row r="28515" spans="8:16" x14ac:dyDescent="0.25">
      <c r="H28515" s="12"/>
      <c r="I28515" s="12"/>
      <c r="J28515" s="12"/>
      <c r="K28515" s="12"/>
      <c r="L28515" s="12"/>
      <c r="M28515" s="11"/>
      <c r="N28515" s="11"/>
      <c r="O28515" s="11"/>
      <c r="P28515" s="11"/>
    </row>
    <row r="28516" spans="8:16" x14ac:dyDescent="0.25">
      <c r="H28516" s="12"/>
      <c r="I28516" s="12"/>
      <c r="J28516" s="12"/>
      <c r="K28516" s="12"/>
      <c r="L28516" s="12"/>
      <c r="M28516" s="11"/>
      <c r="N28516" s="11"/>
      <c r="O28516" s="11"/>
      <c r="P28516" s="11"/>
    </row>
    <row r="28517" spans="8:16" x14ac:dyDescent="0.25">
      <c r="H28517" s="12"/>
      <c r="I28517" s="12"/>
      <c r="J28517" s="12"/>
      <c r="K28517" s="12"/>
      <c r="L28517" s="12"/>
      <c r="M28517" s="11"/>
      <c r="N28517" s="11"/>
      <c r="O28517" s="11"/>
      <c r="P28517" s="11"/>
    </row>
    <row r="28518" spans="8:16" x14ac:dyDescent="0.25">
      <c r="H28518" s="12"/>
      <c r="I28518" s="12"/>
      <c r="J28518" s="12"/>
      <c r="K28518" s="12"/>
      <c r="L28518" s="12"/>
      <c r="M28518" s="11"/>
      <c r="N28518" s="11"/>
      <c r="O28518" s="11"/>
      <c r="P28518" s="11"/>
    </row>
    <row r="28519" spans="8:16" x14ac:dyDescent="0.25">
      <c r="H28519" s="12"/>
      <c r="I28519" s="12"/>
      <c r="J28519" s="12"/>
      <c r="K28519" s="12"/>
      <c r="L28519" s="12"/>
      <c r="M28519" s="11"/>
      <c r="N28519" s="11"/>
      <c r="O28519" s="11"/>
      <c r="P28519" s="11"/>
    </row>
    <row r="28520" spans="8:16" x14ac:dyDescent="0.25">
      <c r="H28520" s="12"/>
      <c r="I28520" s="12"/>
      <c r="J28520" s="12"/>
      <c r="K28520" s="12"/>
      <c r="L28520" s="12"/>
      <c r="M28520" s="11"/>
      <c r="N28520" s="11"/>
      <c r="O28520" s="11"/>
      <c r="P28520" s="11"/>
    </row>
    <row r="28521" spans="8:16" x14ac:dyDescent="0.25">
      <c r="H28521" s="12"/>
      <c r="I28521" s="12"/>
      <c r="J28521" s="12"/>
      <c r="K28521" s="12"/>
      <c r="L28521" s="12"/>
      <c r="M28521" s="11"/>
      <c r="N28521" s="11"/>
      <c r="O28521" s="11"/>
      <c r="P28521" s="11"/>
    </row>
    <row r="28522" spans="8:16" x14ac:dyDescent="0.25">
      <c r="H28522" s="12"/>
      <c r="I28522" s="12"/>
      <c r="J28522" s="12"/>
      <c r="K28522" s="12"/>
      <c r="L28522" s="12"/>
      <c r="M28522" s="11"/>
      <c r="N28522" s="11"/>
      <c r="O28522" s="11"/>
      <c r="P28522" s="11"/>
    </row>
    <row r="28523" spans="8:16" x14ac:dyDescent="0.25">
      <c r="H28523" s="12"/>
      <c r="I28523" s="12"/>
      <c r="J28523" s="12"/>
      <c r="K28523" s="12"/>
      <c r="L28523" s="12"/>
      <c r="M28523" s="11"/>
      <c r="N28523" s="11"/>
      <c r="O28523" s="11"/>
      <c r="P28523" s="11"/>
    </row>
    <row r="28524" spans="8:16" x14ac:dyDescent="0.25">
      <c r="H28524" s="12"/>
      <c r="I28524" s="12"/>
      <c r="J28524" s="12"/>
      <c r="K28524" s="12"/>
      <c r="L28524" s="12"/>
      <c r="M28524" s="11"/>
      <c r="N28524" s="11"/>
      <c r="O28524" s="11"/>
      <c r="P28524" s="11"/>
    </row>
    <row r="28525" spans="8:16" x14ac:dyDescent="0.25">
      <c r="H28525" s="12"/>
      <c r="I28525" s="12"/>
      <c r="J28525" s="12"/>
      <c r="K28525" s="12"/>
      <c r="L28525" s="12"/>
      <c r="M28525" s="11"/>
      <c r="N28525" s="11"/>
      <c r="O28525" s="11"/>
      <c r="P28525" s="11"/>
    </row>
    <row r="28526" spans="8:16" x14ac:dyDescent="0.25">
      <c r="H28526" s="12"/>
      <c r="I28526" s="12"/>
      <c r="J28526" s="12"/>
      <c r="K28526" s="12"/>
      <c r="L28526" s="12"/>
      <c r="M28526" s="11"/>
      <c r="N28526" s="11"/>
      <c r="O28526" s="11"/>
      <c r="P28526" s="11"/>
    </row>
    <row r="28527" spans="8:16" x14ac:dyDescent="0.25">
      <c r="H28527" s="12"/>
      <c r="I28527" s="12"/>
      <c r="J28527" s="12"/>
      <c r="K28527" s="12"/>
      <c r="L28527" s="12"/>
      <c r="M28527" s="11"/>
      <c r="N28527" s="11"/>
      <c r="O28527" s="11"/>
      <c r="P28527" s="11"/>
    </row>
    <row r="28528" spans="8:16" x14ac:dyDescent="0.25">
      <c r="H28528" s="12"/>
      <c r="I28528" s="12"/>
      <c r="J28528" s="12"/>
      <c r="K28528" s="12"/>
      <c r="L28528" s="12"/>
      <c r="M28528" s="11"/>
      <c r="N28528" s="11"/>
      <c r="O28528" s="11"/>
      <c r="P28528" s="11"/>
    </row>
    <row r="28529" spans="8:16" x14ac:dyDescent="0.25">
      <c r="H28529" s="12"/>
      <c r="I28529" s="12"/>
      <c r="J28529" s="12"/>
      <c r="K28529" s="12"/>
      <c r="L28529" s="12"/>
      <c r="M28529" s="11"/>
      <c r="N28529" s="11"/>
      <c r="O28529" s="11"/>
      <c r="P28529" s="11"/>
    </row>
    <row r="28530" spans="8:16" x14ac:dyDescent="0.25">
      <c r="H28530" s="12"/>
      <c r="I28530" s="12"/>
      <c r="J28530" s="12"/>
      <c r="K28530" s="12"/>
      <c r="L28530" s="12"/>
      <c r="M28530" s="11"/>
      <c r="N28530" s="11"/>
      <c r="O28530" s="11"/>
      <c r="P28530" s="11"/>
    </row>
    <row r="28531" spans="8:16" x14ac:dyDescent="0.25">
      <c r="H28531" s="12"/>
      <c r="I28531" s="12"/>
      <c r="J28531" s="12"/>
      <c r="K28531" s="12"/>
      <c r="L28531" s="12"/>
      <c r="M28531" s="11"/>
      <c r="N28531" s="11"/>
      <c r="O28531" s="11"/>
      <c r="P28531" s="11"/>
    </row>
    <row r="28532" spans="8:16" x14ac:dyDescent="0.25">
      <c r="H28532" s="12"/>
      <c r="I28532" s="12"/>
      <c r="J28532" s="12"/>
      <c r="K28532" s="12"/>
      <c r="L28532" s="12"/>
      <c r="M28532" s="11"/>
      <c r="N28532" s="11"/>
      <c r="O28532" s="11"/>
      <c r="P28532" s="11"/>
    </row>
    <row r="28533" spans="8:16" x14ac:dyDescent="0.25">
      <c r="H28533" s="12"/>
      <c r="I28533" s="12"/>
      <c r="J28533" s="12"/>
      <c r="K28533" s="12"/>
      <c r="L28533" s="12"/>
      <c r="M28533" s="11"/>
      <c r="N28533" s="11"/>
      <c r="O28533" s="11"/>
      <c r="P28533" s="11"/>
    </row>
    <row r="28534" spans="8:16" x14ac:dyDescent="0.25">
      <c r="H28534" s="12"/>
      <c r="I28534" s="12"/>
      <c r="J28534" s="12"/>
      <c r="K28534" s="12"/>
      <c r="L28534" s="12"/>
      <c r="M28534" s="11"/>
      <c r="N28534" s="11"/>
      <c r="O28534" s="11"/>
      <c r="P28534" s="11"/>
    </row>
    <row r="28535" spans="8:16" x14ac:dyDescent="0.25">
      <c r="H28535" s="12"/>
      <c r="I28535" s="12"/>
      <c r="J28535" s="12"/>
      <c r="K28535" s="12"/>
      <c r="L28535" s="12"/>
      <c r="M28535" s="11"/>
      <c r="N28535" s="11"/>
      <c r="O28535" s="11"/>
      <c r="P28535" s="11"/>
    </row>
    <row r="28536" spans="8:16" x14ac:dyDescent="0.25">
      <c r="H28536" s="12"/>
      <c r="I28536" s="12"/>
      <c r="J28536" s="12"/>
      <c r="K28536" s="12"/>
      <c r="L28536" s="12"/>
      <c r="M28536" s="11"/>
      <c r="N28536" s="11"/>
      <c r="O28536" s="11"/>
      <c r="P28536" s="11"/>
    </row>
    <row r="28537" spans="8:16" x14ac:dyDescent="0.25">
      <c r="H28537" s="12"/>
      <c r="I28537" s="12"/>
      <c r="J28537" s="12"/>
      <c r="K28537" s="12"/>
      <c r="L28537" s="12"/>
      <c r="M28537" s="11"/>
      <c r="N28537" s="11"/>
      <c r="O28537" s="11"/>
      <c r="P28537" s="11"/>
    </row>
    <row r="28538" spans="8:16" x14ac:dyDescent="0.25">
      <c r="H28538" s="12"/>
      <c r="I28538" s="12"/>
      <c r="J28538" s="12"/>
      <c r="K28538" s="12"/>
      <c r="L28538" s="12"/>
      <c r="M28538" s="11"/>
      <c r="N28538" s="11"/>
      <c r="O28538" s="11"/>
      <c r="P28538" s="11"/>
    </row>
    <row r="28539" spans="8:16" x14ac:dyDescent="0.25">
      <c r="H28539" s="12"/>
      <c r="I28539" s="12"/>
      <c r="J28539" s="12"/>
      <c r="K28539" s="12"/>
      <c r="L28539" s="12"/>
      <c r="M28539" s="11"/>
      <c r="N28539" s="11"/>
      <c r="O28539" s="11"/>
      <c r="P28539" s="11"/>
    </row>
    <row r="28540" spans="8:16" x14ac:dyDescent="0.25">
      <c r="H28540" s="12"/>
      <c r="I28540" s="12"/>
      <c r="J28540" s="12"/>
      <c r="K28540" s="12"/>
      <c r="L28540" s="12"/>
      <c r="M28540" s="11"/>
      <c r="N28540" s="11"/>
      <c r="O28540" s="11"/>
      <c r="P28540" s="11"/>
    </row>
    <row r="28541" spans="8:16" x14ac:dyDescent="0.25">
      <c r="H28541" s="12"/>
      <c r="I28541" s="12"/>
      <c r="J28541" s="12"/>
      <c r="K28541" s="12"/>
      <c r="L28541" s="12"/>
      <c r="M28541" s="11"/>
      <c r="N28541" s="11"/>
      <c r="O28541" s="11"/>
      <c r="P28541" s="11"/>
    </row>
    <row r="28542" spans="8:16" x14ac:dyDescent="0.25">
      <c r="H28542" s="12"/>
      <c r="I28542" s="12"/>
      <c r="J28542" s="12"/>
      <c r="K28542" s="12"/>
      <c r="L28542" s="12"/>
      <c r="M28542" s="11"/>
      <c r="N28542" s="11"/>
      <c r="O28542" s="11"/>
      <c r="P28542" s="11"/>
    </row>
    <row r="28543" spans="8:16" x14ac:dyDescent="0.25">
      <c r="H28543" s="12"/>
      <c r="I28543" s="12"/>
      <c r="J28543" s="12"/>
      <c r="K28543" s="12"/>
      <c r="L28543" s="12"/>
      <c r="M28543" s="11"/>
      <c r="N28543" s="11"/>
      <c r="O28543" s="11"/>
      <c r="P28543" s="11"/>
    </row>
    <row r="28544" spans="8:16" x14ac:dyDescent="0.25">
      <c r="H28544" s="12"/>
      <c r="I28544" s="12"/>
      <c r="J28544" s="12"/>
      <c r="K28544" s="12"/>
      <c r="L28544" s="12"/>
      <c r="M28544" s="11"/>
      <c r="N28544" s="11"/>
      <c r="O28544" s="11"/>
      <c r="P28544" s="11"/>
    </row>
    <row r="28545" spans="8:16" x14ac:dyDescent="0.25">
      <c r="H28545" s="12"/>
      <c r="I28545" s="12"/>
      <c r="J28545" s="12"/>
      <c r="K28545" s="12"/>
      <c r="L28545" s="12"/>
      <c r="M28545" s="11"/>
      <c r="N28545" s="11"/>
      <c r="O28545" s="11"/>
      <c r="P28545" s="11"/>
    </row>
    <row r="28546" spans="8:16" x14ac:dyDescent="0.25">
      <c r="H28546" s="12"/>
      <c r="I28546" s="12"/>
      <c r="J28546" s="12"/>
      <c r="K28546" s="12"/>
      <c r="L28546" s="12"/>
      <c r="M28546" s="11"/>
      <c r="N28546" s="11"/>
      <c r="O28546" s="11"/>
      <c r="P28546" s="11"/>
    </row>
    <row r="28547" spans="8:16" x14ac:dyDescent="0.25">
      <c r="H28547" s="12"/>
      <c r="I28547" s="12"/>
      <c r="J28547" s="12"/>
      <c r="K28547" s="12"/>
      <c r="L28547" s="12"/>
      <c r="M28547" s="11"/>
      <c r="N28547" s="11"/>
      <c r="O28547" s="11"/>
      <c r="P28547" s="11"/>
    </row>
    <row r="28548" spans="8:16" x14ac:dyDescent="0.25">
      <c r="H28548" s="12"/>
      <c r="I28548" s="12"/>
      <c r="J28548" s="12"/>
      <c r="K28548" s="12"/>
      <c r="L28548" s="12"/>
      <c r="M28548" s="11"/>
      <c r="N28548" s="11"/>
      <c r="O28548" s="11"/>
      <c r="P28548" s="11"/>
    </row>
    <row r="28549" spans="8:16" x14ac:dyDescent="0.25">
      <c r="H28549" s="12"/>
      <c r="I28549" s="12"/>
      <c r="J28549" s="12"/>
      <c r="K28549" s="12"/>
      <c r="L28549" s="12"/>
      <c r="M28549" s="11"/>
      <c r="N28549" s="11"/>
      <c r="O28549" s="11"/>
      <c r="P28549" s="11"/>
    </row>
    <row r="28550" spans="8:16" x14ac:dyDescent="0.25">
      <c r="H28550" s="12"/>
      <c r="I28550" s="12"/>
      <c r="J28550" s="12"/>
      <c r="K28550" s="12"/>
      <c r="L28550" s="12"/>
      <c r="M28550" s="11"/>
      <c r="N28550" s="11"/>
      <c r="O28550" s="11"/>
      <c r="P28550" s="11"/>
    </row>
    <row r="28551" spans="8:16" x14ac:dyDescent="0.25">
      <c r="H28551" s="12"/>
      <c r="I28551" s="12"/>
      <c r="J28551" s="12"/>
      <c r="K28551" s="12"/>
      <c r="L28551" s="12"/>
      <c r="M28551" s="11"/>
      <c r="N28551" s="11"/>
      <c r="O28551" s="11"/>
      <c r="P28551" s="11"/>
    </row>
    <row r="28552" spans="8:16" x14ac:dyDescent="0.25">
      <c r="H28552" s="12"/>
      <c r="I28552" s="12"/>
      <c r="J28552" s="12"/>
      <c r="K28552" s="12"/>
      <c r="L28552" s="12"/>
      <c r="M28552" s="11"/>
      <c r="N28552" s="11"/>
      <c r="O28552" s="11"/>
      <c r="P28552" s="11"/>
    </row>
    <row r="28553" spans="8:16" x14ac:dyDescent="0.25">
      <c r="H28553" s="12"/>
      <c r="I28553" s="12"/>
      <c r="J28553" s="12"/>
      <c r="K28553" s="12"/>
      <c r="L28553" s="12"/>
      <c r="M28553" s="11"/>
      <c r="N28553" s="11"/>
      <c r="O28553" s="11"/>
      <c r="P28553" s="11"/>
    </row>
    <row r="28554" spans="8:16" x14ac:dyDescent="0.25">
      <c r="H28554" s="12"/>
      <c r="I28554" s="12"/>
      <c r="J28554" s="12"/>
      <c r="K28554" s="12"/>
      <c r="L28554" s="12"/>
      <c r="M28554" s="11"/>
      <c r="N28554" s="11"/>
      <c r="O28554" s="11"/>
      <c r="P28554" s="11"/>
    </row>
    <row r="28555" spans="8:16" x14ac:dyDescent="0.25">
      <c r="H28555" s="12"/>
      <c r="I28555" s="12"/>
      <c r="J28555" s="12"/>
      <c r="K28555" s="12"/>
      <c r="L28555" s="12"/>
      <c r="M28555" s="11"/>
      <c r="N28555" s="11"/>
      <c r="O28555" s="11"/>
      <c r="P28555" s="11"/>
    </row>
    <row r="28556" spans="8:16" x14ac:dyDescent="0.25">
      <c r="H28556" s="12"/>
      <c r="I28556" s="12"/>
      <c r="J28556" s="12"/>
      <c r="K28556" s="12"/>
      <c r="L28556" s="12"/>
      <c r="M28556" s="11"/>
      <c r="N28556" s="11"/>
      <c r="O28556" s="11"/>
      <c r="P28556" s="11"/>
    </row>
    <row r="28557" spans="8:16" x14ac:dyDescent="0.25">
      <c r="H28557" s="12"/>
      <c r="I28557" s="12"/>
      <c r="J28557" s="12"/>
      <c r="K28557" s="12"/>
      <c r="L28557" s="12"/>
      <c r="M28557" s="11"/>
      <c r="N28557" s="11"/>
      <c r="O28557" s="11"/>
      <c r="P28557" s="11"/>
    </row>
    <row r="28558" spans="8:16" x14ac:dyDescent="0.25">
      <c r="H28558" s="12"/>
      <c r="I28558" s="12"/>
      <c r="J28558" s="12"/>
      <c r="K28558" s="12"/>
      <c r="L28558" s="12"/>
      <c r="M28558" s="11"/>
      <c r="N28558" s="11"/>
      <c r="O28558" s="11"/>
      <c r="P28558" s="11"/>
    </row>
    <row r="28559" spans="8:16" x14ac:dyDescent="0.25">
      <c r="H28559" s="12"/>
      <c r="I28559" s="12"/>
      <c r="J28559" s="12"/>
      <c r="K28559" s="12"/>
      <c r="L28559" s="12"/>
      <c r="M28559" s="11"/>
      <c r="N28559" s="11"/>
      <c r="O28559" s="11"/>
      <c r="P28559" s="11"/>
    </row>
    <row r="28560" spans="8:16" x14ac:dyDescent="0.25">
      <c r="H28560" s="12"/>
      <c r="I28560" s="12"/>
      <c r="J28560" s="12"/>
      <c r="K28560" s="12"/>
      <c r="L28560" s="12"/>
      <c r="M28560" s="11"/>
      <c r="N28560" s="11"/>
      <c r="O28560" s="11"/>
      <c r="P28560" s="11"/>
    </row>
    <row r="28561" spans="8:16" x14ac:dyDescent="0.25">
      <c r="H28561" s="12"/>
      <c r="I28561" s="12"/>
      <c r="J28561" s="12"/>
      <c r="K28561" s="12"/>
      <c r="L28561" s="12"/>
      <c r="M28561" s="11"/>
      <c r="N28561" s="11"/>
      <c r="O28561" s="11"/>
      <c r="P28561" s="11"/>
    </row>
    <row r="28562" spans="8:16" x14ac:dyDescent="0.25">
      <c r="H28562" s="12"/>
      <c r="I28562" s="12"/>
      <c r="J28562" s="12"/>
      <c r="K28562" s="12"/>
      <c r="L28562" s="12"/>
      <c r="M28562" s="11"/>
      <c r="N28562" s="11"/>
      <c r="O28562" s="11"/>
      <c r="P28562" s="11"/>
    </row>
    <row r="28563" spans="8:16" x14ac:dyDescent="0.25">
      <c r="H28563" s="12"/>
      <c r="I28563" s="12"/>
      <c r="J28563" s="12"/>
      <c r="K28563" s="12"/>
      <c r="L28563" s="12"/>
      <c r="M28563" s="11"/>
      <c r="N28563" s="11"/>
      <c r="O28563" s="11"/>
      <c r="P28563" s="11"/>
    </row>
    <row r="28564" spans="8:16" x14ac:dyDescent="0.25">
      <c r="H28564" s="12"/>
      <c r="I28564" s="12"/>
      <c r="J28564" s="12"/>
      <c r="K28564" s="12"/>
      <c r="L28564" s="12"/>
      <c r="M28564" s="11"/>
      <c r="N28564" s="11"/>
      <c r="O28564" s="11"/>
      <c r="P28564" s="11"/>
    </row>
    <row r="28565" spans="8:16" x14ac:dyDescent="0.25">
      <c r="H28565" s="12"/>
      <c r="I28565" s="12"/>
      <c r="J28565" s="12"/>
      <c r="K28565" s="12"/>
      <c r="L28565" s="12"/>
      <c r="M28565" s="11"/>
      <c r="N28565" s="11"/>
      <c r="O28565" s="11"/>
      <c r="P28565" s="11"/>
    </row>
    <row r="28566" spans="8:16" x14ac:dyDescent="0.25">
      <c r="H28566" s="12"/>
      <c r="I28566" s="12"/>
      <c r="J28566" s="12"/>
      <c r="K28566" s="12"/>
      <c r="L28566" s="12"/>
      <c r="M28566" s="11"/>
      <c r="N28566" s="11"/>
      <c r="O28566" s="11"/>
      <c r="P28566" s="11"/>
    </row>
    <row r="28567" spans="8:16" x14ac:dyDescent="0.25">
      <c r="H28567" s="12"/>
      <c r="I28567" s="12"/>
      <c r="J28567" s="12"/>
      <c r="K28567" s="12"/>
      <c r="L28567" s="12"/>
      <c r="M28567" s="11"/>
      <c r="N28567" s="11"/>
      <c r="O28567" s="11"/>
      <c r="P28567" s="11"/>
    </row>
    <row r="28568" spans="8:16" x14ac:dyDescent="0.25">
      <c r="H28568" s="12"/>
      <c r="I28568" s="12"/>
      <c r="J28568" s="12"/>
      <c r="K28568" s="12"/>
      <c r="L28568" s="12"/>
      <c r="M28568" s="11"/>
      <c r="N28568" s="11"/>
      <c r="O28568" s="11"/>
      <c r="P28568" s="11"/>
    </row>
    <row r="28569" spans="8:16" x14ac:dyDescent="0.25">
      <c r="H28569" s="12"/>
      <c r="I28569" s="12"/>
      <c r="J28569" s="12"/>
      <c r="K28569" s="12"/>
      <c r="L28569" s="12"/>
      <c r="M28569" s="11"/>
      <c r="N28569" s="11"/>
      <c r="O28569" s="11"/>
      <c r="P28569" s="11"/>
    </row>
    <row r="28570" spans="8:16" x14ac:dyDescent="0.25">
      <c r="H28570" s="12"/>
      <c r="I28570" s="12"/>
      <c r="J28570" s="12"/>
      <c r="K28570" s="12"/>
      <c r="L28570" s="12"/>
      <c r="M28570" s="11"/>
      <c r="N28570" s="11"/>
      <c r="O28570" s="11"/>
      <c r="P28570" s="11"/>
    </row>
    <row r="28571" spans="8:16" x14ac:dyDescent="0.25">
      <c r="H28571" s="12"/>
      <c r="I28571" s="12"/>
      <c r="J28571" s="12"/>
      <c r="K28571" s="12"/>
      <c r="L28571" s="12"/>
      <c r="M28571" s="11"/>
      <c r="N28571" s="11"/>
      <c r="O28571" s="11"/>
      <c r="P28571" s="11"/>
    </row>
    <row r="28572" spans="8:16" x14ac:dyDescent="0.25">
      <c r="H28572" s="12"/>
      <c r="I28572" s="12"/>
      <c r="J28572" s="12"/>
      <c r="K28572" s="12"/>
      <c r="L28572" s="12"/>
      <c r="M28572" s="11"/>
      <c r="N28572" s="11"/>
      <c r="O28572" s="11"/>
      <c r="P28572" s="11"/>
    </row>
    <row r="28573" spans="8:16" x14ac:dyDescent="0.25">
      <c r="H28573" s="12"/>
      <c r="I28573" s="12"/>
      <c r="J28573" s="12"/>
      <c r="K28573" s="12"/>
      <c r="L28573" s="12"/>
      <c r="M28573" s="11"/>
      <c r="N28573" s="11"/>
      <c r="O28573" s="11"/>
      <c r="P28573" s="11"/>
    </row>
    <row r="28574" spans="8:16" x14ac:dyDescent="0.25">
      <c r="H28574" s="12"/>
      <c r="I28574" s="12"/>
      <c r="J28574" s="12"/>
      <c r="K28574" s="12"/>
      <c r="L28574" s="12"/>
      <c r="M28574" s="11"/>
      <c r="N28574" s="11"/>
      <c r="O28574" s="11"/>
      <c r="P28574" s="11"/>
    </row>
    <row r="28575" spans="8:16" x14ac:dyDescent="0.25">
      <c r="H28575" s="12"/>
      <c r="I28575" s="12"/>
      <c r="J28575" s="12"/>
      <c r="K28575" s="12"/>
      <c r="L28575" s="12"/>
      <c r="M28575" s="11"/>
      <c r="N28575" s="11"/>
      <c r="O28575" s="11"/>
      <c r="P28575" s="11"/>
    </row>
    <row r="28576" spans="8:16" x14ac:dyDescent="0.25">
      <c r="H28576" s="12"/>
      <c r="I28576" s="12"/>
      <c r="J28576" s="12"/>
      <c r="K28576" s="12"/>
      <c r="L28576" s="12"/>
      <c r="M28576" s="11"/>
      <c r="N28576" s="11"/>
      <c r="O28576" s="11"/>
      <c r="P28576" s="11"/>
    </row>
    <row r="28577" spans="8:16" x14ac:dyDescent="0.25">
      <c r="H28577" s="12"/>
      <c r="I28577" s="12"/>
      <c r="J28577" s="12"/>
      <c r="K28577" s="12"/>
      <c r="L28577" s="12"/>
      <c r="M28577" s="11"/>
      <c r="N28577" s="11"/>
      <c r="O28577" s="11"/>
      <c r="P28577" s="11"/>
    </row>
    <row r="28578" spans="8:16" x14ac:dyDescent="0.25">
      <c r="H28578" s="12"/>
      <c r="I28578" s="12"/>
      <c r="J28578" s="12"/>
      <c r="K28578" s="12"/>
      <c r="L28578" s="12"/>
      <c r="M28578" s="11"/>
      <c r="N28578" s="11"/>
      <c r="O28578" s="11"/>
      <c r="P28578" s="11"/>
    </row>
    <row r="28579" spans="8:16" x14ac:dyDescent="0.25">
      <c r="H28579" s="12"/>
      <c r="I28579" s="12"/>
      <c r="J28579" s="12"/>
      <c r="K28579" s="12"/>
      <c r="L28579" s="12"/>
      <c r="M28579" s="11"/>
      <c r="N28579" s="11"/>
      <c r="O28579" s="11"/>
      <c r="P28579" s="11"/>
    </row>
    <row r="28580" spans="8:16" x14ac:dyDescent="0.25">
      <c r="H28580" s="12"/>
      <c r="I28580" s="12"/>
      <c r="J28580" s="12"/>
      <c r="K28580" s="12"/>
      <c r="L28580" s="12"/>
      <c r="M28580" s="11"/>
      <c r="N28580" s="11"/>
      <c r="O28580" s="11"/>
      <c r="P28580" s="11"/>
    </row>
    <row r="28581" spans="8:16" x14ac:dyDescent="0.25">
      <c r="H28581" s="12"/>
      <c r="I28581" s="12"/>
      <c r="J28581" s="12"/>
      <c r="K28581" s="12"/>
      <c r="L28581" s="12"/>
      <c r="M28581" s="11"/>
      <c r="N28581" s="11"/>
      <c r="O28581" s="11"/>
      <c r="P28581" s="11"/>
    </row>
    <row r="28582" spans="8:16" x14ac:dyDescent="0.25">
      <c r="H28582" s="12"/>
      <c r="I28582" s="12"/>
      <c r="J28582" s="12"/>
      <c r="K28582" s="12"/>
      <c r="L28582" s="12"/>
      <c r="M28582" s="11"/>
      <c r="N28582" s="11"/>
      <c r="O28582" s="11"/>
      <c r="P28582" s="11"/>
    </row>
    <row r="28583" spans="8:16" x14ac:dyDescent="0.25">
      <c r="H28583" s="12"/>
      <c r="I28583" s="12"/>
      <c r="J28583" s="12"/>
      <c r="K28583" s="12"/>
      <c r="L28583" s="12"/>
      <c r="M28583" s="11"/>
      <c r="N28583" s="11"/>
      <c r="O28583" s="11"/>
      <c r="P28583" s="11"/>
    </row>
    <row r="28584" spans="8:16" x14ac:dyDescent="0.25">
      <c r="H28584" s="12"/>
      <c r="I28584" s="12"/>
      <c r="J28584" s="12"/>
      <c r="K28584" s="12"/>
      <c r="L28584" s="12"/>
      <c r="M28584" s="11"/>
      <c r="N28584" s="11"/>
      <c r="O28584" s="11"/>
      <c r="P28584" s="11"/>
    </row>
    <row r="28585" spans="8:16" x14ac:dyDescent="0.25">
      <c r="H28585" s="12"/>
      <c r="I28585" s="12"/>
      <c r="J28585" s="12"/>
      <c r="K28585" s="12"/>
      <c r="L28585" s="12"/>
      <c r="M28585" s="11"/>
      <c r="N28585" s="11"/>
      <c r="O28585" s="11"/>
      <c r="P28585" s="11"/>
    </row>
    <row r="28586" spans="8:16" x14ac:dyDescent="0.25">
      <c r="H28586" s="12"/>
      <c r="I28586" s="12"/>
      <c r="J28586" s="12"/>
      <c r="K28586" s="12"/>
      <c r="L28586" s="12"/>
      <c r="M28586" s="11"/>
      <c r="N28586" s="11"/>
      <c r="O28586" s="11"/>
      <c r="P28586" s="11"/>
    </row>
    <row r="28587" spans="8:16" x14ac:dyDescent="0.25">
      <c r="H28587" s="12"/>
      <c r="I28587" s="12"/>
      <c r="J28587" s="12"/>
      <c r="K28587" s="12"/>
      <c r="L28587" s="12"/>
      <c r="M28587" s="11"/>
      <c r="N28587" s="11"/>
      <c r="O28587" s="11"/>
      <c r="P28587" s="11"/>
    </row>
    <row r="28588" spans="8:16" x14ac:dyDescent="0.25">
      <c r="H28588" s="12"/>
      <c r="I28588" s="12"/>
      <c r="J28588" s="12"/>
      <c r="K28588" s="12"/>
      <c r="L28588" s="12"/>
      <c r="M28588" s="11"/>
      <c r="N28588" s="11"/>
      <c r="O28588" s="11"/>
      <c r="P28588" s="11"/>
    </row>
    <row r="28589" spans="8:16" x14ac:dyDescent="0.25">
      <c r="H28589" s="12"/>
      <c r="I28589" s="12"/>
      <c r="J28589" s="12"/>
      <c r="K28589" s="12"/>
      <c r="L28589" s="12"/>
      <c r="M28589" s="11"/>
      <c r="N28589" s="11"/>
      <c r="O28589" s="11"/>
      <c r="P28589" s="11"/>
    </row>
    <row r="28590" spans="8:16" x14ac:dyDescent="0.25">
      <c r="H28590" s="12"/>
      <c r="I28590" s="12"/>
      <c r="J28590" s="12"/>
      <c r="K28590" s="12"/>
      <c r="L28590" s="12"/>
      <c r="M28590" s="11"/>
      <c r="N28590" s="11"/>
      <c r="O28590" s="11"/>
      <c r="P28590" s="11"/>
    </row>
    <row r="28591" spans="8:16" x14ac:dyDescent="0.25">
      <c r="H28591" s="12"/>
      <c r="I28591" s="12"/>
      <c r="J28591" s="12"/>
      <c r="K28591" s="12"/>
      <c r="L28591" s="12"/>
      <c r="M28591" s="11"/>
      <c r="N28591" s="11"/>
      <c r="O28591" s="11"/>
      <c r="P28591" s="11"/>
    </row>
    <row r="28592" spans="8:16" x14ac:dyDescent="0.25">
      <c r="H28592" s="12"/>
      <c r="I28592" s="12"/>
      <c r="J28592" s="12"/>
      <c r="K28592" s="12"/>
      <c r="L28592" s="12"/>
      <c r="M28592" s="11"/>
      <c r="N28592" s="11"/>
      <c r="O28592" s="11"/>
      <c r="P28592" s="11"/>
    </row>
    <row r="28593" spans="8:16" x14ac:dyDescent="0.25">
      <c r="H28593" s="12"/>
      <c r="I28593" s="12"/>
      <c r="J28593" s="12"/>
      <c r="K28593" s="12"/>
      <c r="L28593" s="12"/>
      <c r="M28593" s="11"/>
      <c r="N28593" s="11"/>
      <c r="O28593" s="11"/>
      <c r="P28593" s="11"/>
    </row>
    <row r="28594" spans="8:16" x14ac:dyDescent="0.25">
      <c r="H28594" s="12"/>
      <c r="I28594" s="12"/>
      <c r="J28594" s="12"/>
      <c r="K28594" s="12"/>
      <c r="L28594" s="12"/>
      <c r="M28594" s="11"/>
      <c r="N28594" s="11"/>
      <c r="O28594" s="11"/>
      <c r="P28594" s="11"/>
    </row>
    <row r="28595" spans="8:16" x14ac:dyDescent="0.25">
      <c r="H28595" s="12"/>
      <c r="I28595" s="12"/>
      <c r="J28595" s="12"/>
      <c r="K28595" s="12"/>
      <c r="L28595" s="12"/>
      <c r="M28595" s="11"/>
      <c r="N28595" s="11"/>
      <c r="O28595" s="11"/>
      <c r="P28595" s="11"/>
    </row>
    <row r="28596" spans="8:16" x14ac:dyDescent="0.25">
      <c r="H28596" s="12"/>
      <c r="I28596" s="12"/>
      <c r="J28596" s="12"/>
      <c r="K28596" s="12"/>
      <c r="L28596" s="12"/>
      <c r="M28596" s="11"/>
      <c r="N28596" s="11"/>
      <c r="O28596" s="11"/>
      <c r="P28596" s="11"/>
    </row>
    <row r="28597" spans="8:16" x14ac:dyDescent="0.25">
      <c r="H28597" s="12"/>
      <c r="I28597" s="12"/>
      <c r="J28597" s="12"/>
      <c r="K28597" s="12"/>
      <c r="L28597" s="12"/>
      <c r="M28597" s="11"/>
      <c r="N28597" s="11"/>
      <c r="O28597" s="11"/>
      <c r="P28597" s="11"/>
    </row>
    <row r="28598" spans="8:16" x14ac:dyDescent="0.25">
      <c r="H28598" s="12"/>
      <c r="I28598" s="12"/>
      <c r="J28598" s="12"/>
      <c r="K28598" s="12"/>
      <c r="L28598" s="12"/>
      <c r="M28598" s="11"/>
      <c r="N28598" s="11"/>
      <c r="O28598" s="11"/>
      <c r="P28598" s="11"/>
    </row>
    <row r="28599" spans="8:16" x14ac:dyDescent="0.25">
      <c r="H28599" s="12"/>
      <c r="I28599" s="12"/>
      <c r="J28599" s="12"/>
      <c r="K28599" s="12"/>
      <c r="L28599" s="12"/>
      <c r="M28599" s="11"/>
      <c r="N28599" s="11"/>
      <c r="O28599" s="11"/>
      <c r="P28599" s="11"/>
    </row>
    <row r="28600" spans="8:16" x14ac:dyDescent="0.25">
      <c r="H28600" s="12"/>
      <c r="I28600" s="12"/>
      <c r="J28600" s="12"/>
      <c r="K28600" s="12"/>
      <c r="L28600" s="12"/>
      <c r="M28600" s="11"/>
      <c r="N28600" s="11"/>
      <c r="O28600" s="11"/>
      <c r="P28600" s="11"/>
    </row>
    <row r="28601" spans="8:16" x14ac:dyDescent="0.25">
      <c r="H28601" s="12"/>
      <c r="I28601" s="12"/>
      <c r="J28601" s="12"/>
      <c r="K28601" s="12"/>
      <c r="L28601" s="12"/>
      <c r="M28601" s="11"/>
      <c r="N28601" s="11"/>
      <c r="O28601" s="11"/>
      <c r="P28601" s="11"/>
    </row>
    <row r="28602" spans="8:16" x14ac:dyDescent="0.25">
      <c r="H28602" s="12"/>
      <c r="I28602" s="12"/>
      <c r="J28602" s="12"/>
      <c r="K28602" s="12"/>
      <c r="L28602" s="12"/>
      <c r="M28602" s="11"/>
      <c r="N28602" s="11"/>
      <c r="O28602" s="11"/>
      <c r="P28602" s="11"/>
    </row>
    <row r="28603" spans="8:16" x14ac:dyDescent="0.25">
      <c r="H28603" s="12"/>
      <c r="I28603" s="12"/>
      <c r="J28603" s="12"/>
      <c r="K28603" s="12"/>
      <c r="L28603" s="12"/>
      <c r="M28603" s="11"/>
      <c r="N28603" s="11"/>
      <c r="O28603" s="11"/>
      <c r="P28603" s="11"/>
    </row>
    <row r="28604" spans="8:16" x14ac:dyDescent="0.25">
      <c r="H28604" s="12"/>
      <c r="I28604" s="12"/>
      <c r="J28604" s="12"/>
      <c r="K28604" s="12"/>
      <c r="L28604" s="12"/>
      <c r="M28604" s="11"/>
      <c r="N28604" s="11"/>
      <c r="O28604" s="11"/>
      <c r="P28604" s="11"/>
    </row>
    <row r="28605" spans="8:16" x14ac:dyDescent="0.25">
      <c r="H28605" s="12"/>
      <c r="I28605" s="12"/>
      <c r="J28605" s="12"/>
      <c r="K28605" s="12"/>
      <c r="L28605" s="12"/>
      <c r="M28605" s="11"/>
      <c r="N28605" s="11"/>
      <c r="O28605" s="11"/>
      <c r="P28605" s="11"/>
    </row>
    <row r="28606" spans="8:16" x14ac:dyDescent="0.25">
      <c r="H28606" s="12"/>
      <c r="I28606" s="12"/>
      <c r="J28606" s="12"/>
      <c r="K28606" s="12"/>
      <c r="L28606" s="12"/>
      <c r="M28606" s="11"/>
      <c r="N28606" s="11"/>
      <c r="O28606" s="11"/>
      <c r="P28606" s="11"/>
    </row>
    <row r="28607" spans="8:16" x14ac:dyDescent="0.25">
      <c r="H28607" s="12"/>
      <c r="I28607" s="12"/>
      <c r="J28607" s="12"/>
      <c r="K28607" s="12"/>
      <c r="L28607" s="12"/>
      <c r="M28607" s="11"/>
      <c r="N28607" s="11"/>
      <c r="O28607" s="11"/>
      <c r="P28607" s="11"/>
    </row>
    <row r="28608" spans="8:16" x14ac:dyDescent="0.25">
      <c r="H28608" s="12"/>
      <c r="I28608" s="12"/>
      <c r="J28608" s="12"/>
      <c r="K28608" s="12"/>
      <c r="L28608" s="12"/>
      <c r="M28608" s="11"/>
      <c r="N28608" s="11"/>
      <c r="O28608" s="11"/>
      <c r="P28608" s="11"/>
    </row>
    <row r="28609" spans="8:16" x14ac:dyDescent="0.25">
      <c r="H28609" s="12"/>
      <c r="I28609" s="12"/>
      <c r="J28609" s="12"/>
      <c r="K28609" s="12"/>
      <c r="L28609" s="12"/>
      <c r="M28609" s="11"/>
      <c r="N28609" s="11"/>
      <c r="O28609" s="11"/>
      <c r="P28609" s="11"/>
    </row>
    <row r="28610" spans="8:16" x14ac:dyDescent="0.25">
      <c r="H28610" s="12"/>
      <c r="I28610" s="12"/>
      <c r="J28610" s="12"/>
      <c r="K28610" s="12"/>
      <c r="L28610" s="12"/>
      <c r="M28610" s="11"/>
      <c r="N28610" s="11"/>
      <c r="O28610" s="11"/>
      <c r="P28610" s="11"/>
    </row>
    <row r="28611" spans="8:16" x14ac:dyDescent="0.25">
      <c r="H28611" s="12"/>
      <c r="I28611" s="12"/>
      <c r="J28611" s="12"/>
      <c r="K28611" s="12"/>
      <c r="L28611" s="12"/>
      <c r="M28611" s="11"/>
      <c r="N28611" s="11"/>
      <c r="O28611" s="11"/>
      <c r="P28611" s="11"/>
    </row>
    <row r="28612" spans="8:16" x14ac:dyDescent="0.25">
      <c r="H28612" s="12"/>
      <c r="I28612" s="12"/>
      <c r="J28612" s="12"/>
      <c r="K28612" s="12"/>
      <c r="L28612" s="12"/>
      <c r="M28612" s="11"/>
      <c r="N28612" s="11"/>
      <c r="O28612" s="11"/>
      <c r="P28612" s="11"/>
    </row>
    <row r="28613" spans="8:16" x14ac:dyDescent="0.25">
      <c r="H28613" s="12"/>
      <c r="I28613" s="12"/>
      <c r="J28613" s="12"/>
      <c r="K28613" s="12"/>
      <c r="L28613" s="12"/>
      <c r="M28613" s="11"/>
      <c r="N28613" s="11"/>
      <c r="O28613" s="11"/>
      <c r="P28613" s="11"/>
    </row>
    <row r="28614" spans="8:16" x14ac:dyDescent="0.25">
      <c r="H28614" s="12"/>
      <c r="I28614" s="12"/>
      <c r="J28614" s="12"/>
      <c r="K28614" s="12"/>
      <c r="L28614" s="12"/>
      <c r="M28614" s="11"/>
      <c r="N28614" s="11"/>
      <c r="O28614" s="11"/>
      <c r="P28614" s="11"/>
    </row>
    <row r="28615" spans="8:16" x14ac:dyDescent="0.25">
      <c r="H28615" s="12"/>
      <c r="I28615" s="12"/>
      <c r="J28615" s="12"/>
      <c r="K28615" s="12"/>
      <c r="L28615" s="12"/>
      <c r="M28615" s="11"/>
      <c r="N28615" s="11"/>
      <c r="O28615" s="11"/>
      <c r="P28615" s="11"/>
    </row>
    <row r="28616" spans="8:16" x14ac:dyDescent="0.25">
      <c r="H28616" s="12"/>
      <c r="I28616" s="12"/>
      <c r="J28616" s="12"/>
      <c r="K28616" s="12"/>
      <c r="L28616" s="12"/>
      <c r="M28616" s="11"/>
      <c r="N28616" s="11"/>
      <c r="O28616" s="11"/>
      <c r="P28616" s="11"/>
    </row>
    <row r="28617" spans="8:16" x14ac:dyDescent="0.25">
      <c r="H28617" s="12"/>
      <c r="I28617" s="12"/>
      <c r="J28617" s="12"/>
      <c r="K28617" s="12"/>
      <c r="L28617" s="12"/>
      <c r="M28617" s="11"/>
      <c r="N28617" s="11"/>
      <c r="O28617" s="11"/>
      <c r="P28617" s="11"/>
    </row>
    <row r="28618" spans="8:16" x14ac:dyDescent="0.25">
      <c r="H28618" s="12"/>
      <c r="I28618" s="12"/>
      <c r="J28618" s="12"/>
      <c r="K28618" s="12"/>
      <c r="L28618" s="12"/>
      <c r="M28618" s="11"/>
      <c r="N28618" s="11"/>
      <c r="O28618" s="11"/>
      <c r="P28618" s="11"/>
    </row>
    <row r="28619" spans="8:16" x14ac:dyDescent="0.25">
      <c r="H28619" s="12"/>
      <c r="I28619" s="12"/>
      <c r="J28619" s="12"/>
      <c r="K28619" s="12"/>
      <c r="L28619" s="12"/>
      <c r="M28619" s="11"/>
      <c r="N28619" s="11"/>
      <c r="O28619" s="11"/>
      <c r="P28619" s="11"/>
    </row>
    <row r="28620" spans="8:16" x14ac:dyDescent="0.25">
      <c r="H28620" s="12"/>
      <c r="I28620" s="12"/>
      <c r="J28620" s="12"/>
      <c r="K28620" s="12"/>
      <c r="L28620" s="12"/>
      <c r="M28620" s="11"/>
      <c r="N28620" s="11"/>
      <c r="O28620" s="11"/>
      <c r="P28620" s="11"/>
    </row>
    <row r="28621" spans="8:16" x14ac:dyDescent="0.25">
      <c r="H28621" s="12"/>
      <c r="I28621" s="12"/>
      <c r="J28621" s="12"/>
      <c r="K28621" s="12"/>
      <c r="L28621" s="12"/>
      <c r="M28621" s="11"/>
      <c r="N28621" s="11"/>
      <c r="O28621" s="11"/>
      <c r="P28621" s="11"/>
    </row>
    <row r="28622" spans="8:16" x14ac:dyDescent="0.25">
      <c r="H28622" s="12"/>
      <c r="I28622" s="12"/>
      <c r="J28622" s="12"/>
      <c r="K28622" s="12"/>
      <c r="L28622" s="12"/>
      <c r="M28622" s="11"/>
      <c r="N28622" s="11"/>
      <c r="O28622" s="11"/>
      <c r="P28622" s="11"/>
    </row>
    <row r="28623" spans="8:16" x14ac:dyDescent="0.25">
      <c r="H28623" s="12"/>
      <c r="I28623" s="12"/>
      <c r="J28623" s="12"/>
      <c r="K28623" s="12"/>
      <c r="L28623" s="12"/>
      <c r="M28623" s="11"/>
      <c r="N28623" s="11"/>
      <c r="O28623" s="11"/>
      <c r="P28623" s="11"/>
    </row>
    <row r="28624" spans="8:16" x14ac:dyDescent="0.25">
      <c r="H28624" s="12"/>
      <c r="I28624" s="12"/>
      <c r="J28624" s="12"/>
      <c r="K28624" s="12"/>
      <c r="L28624" s="12"/>
      <c r="M28624" s="11"/>
      <c r="N28624" s="11"/>
      <c r="O28624" s="11"/>
      <c r="P28624" s="11"/>
    </row>
    <row r="28625" spans="8:16" x14ac:dyDescent="0.25">
      <c r="H28625" s="12"/>
      <c r="I28625" s="12"/>
      <c r="J28625" s="12"/>
      <c r="K28625" s="12"/>
      <c r="L28625" s="12"/>
      <c r="M28625" s="11"/>
      <c r="N28625" s="11"/>
      <c r="O28625" s="11"/>
      <c r="P28625" s="11"/>
    </row>
    <row r="28626" spans="8:16" x14ac:dyDescent="0.25">
      <c r="H28626" s="12"/>
      <c r="I28626" s="12"/>
      <c r="J28626" s="12"/>
      <c r="K28626" s="12"/>
      <c r="L28626" s="12"/>
      <c r="M28626" s="11"/>
      <c r="N28626" s="11"/>
      <c r="O28626" s="11"/>
      <c r="P28626" s="11"/>
    </row>
    <row r="28627" spans="8:16" x14ac:dyDescent="0.25">
      <c r="H28627" s="12"/>
      <c r="I28627" s="12"/>
      <c r="J28627" s="12"/>
      <c r="K28627" s="12"/>
      <c r="L28627" s="12"/>
      <c r="M28627" s="11"/>
      <c r="N28627" s="11"/>
      <c r="O28627" s="11"/>
      <c r="P28627" s="11"/>
    </row>
    <row r="28628" spans="8:16" x14ac:dyDescent="0.25">
      <c r="H28628" s="12"/>
      <c r="I28628" s="12"/>
      <c r="J28628" s="12"/>
      <c r="K28628" s="12"/>
      <c r="L28628" s="12"/>
      <c r="M28628" s="11"/>
      <c r="N28628" s="11"/>
      <c r="O28628" s="11"/>
      <c r="P28628" s="11"/>
    </row>
    <row r="28629" spans="8:16" x14ac:dyDescent="0.25">
      <c r="H28629" s="12"/>
      <c r="I28629" s="12"/>
      <c r="J28629" s="12"/>
      <c r="K28629" s="12"/>
      <c r="L28629" s="12"/>
      <c r="M28629" s="11"/>
      <c r="N28629" s="11"/>
      <c r="O28629" s="11"/>
      <c r="P28629" s="11"/>
    </row>
    <row r="28630" spans="8:16" x14ac:dyDescent="0.25">
      <c r="H28630" s="12"/>
      <c r="I28630" s="12"/>
      <c r="J28630" s="12"/>
      <c r="K28630" s="12"/>
      <c r="L28630" s="12"/>
      <c r="M28630" s="11"/>
      <c r="N28630" s="11"/>
      <c r="O28630" s="11"/>
      <c r="P28630" s="11"/>
    </row>
    <row r="28631" spans="8:16" x14ac:dyDescent="0.25">
      <c r="H28631" s="12"/>
      <c r="I28631" s="12"/>
      <c r="J28631" s="12"/>
      <c r="K28631" s="12"/>
      <c r="L28631" s="12"/>
      <c r="M28631" s="11"/>
      <c r="N28631" s="11"/>
      <c r="O28631" s="11"/>
      <c r="P28631" s="11"/>
    </row>
    <row r="28632" spans="8:16" x14ac:dyDescent="0.25">
      <c r="H28632" s="12"/>
      <c r="I28632" s="12"/>
      <c r="J28632" s="12"/>
      <c r="K28632" s="12"/>
      <c r="L28632" s="12"/>
      <c r="M28632" s="11"/>
      <c r="N28632" s="11"/>
      <c r="O28632" s="11"/>
      <c r="P28632" s="11"/>
    </row>
    <row r="28633" spans="8:16" x14ac:dyDescent="0.25">
      <c r="H28633" s="12"/>
      <c r="I28633" s="12"/>
      <c r="J28633" s="12"/>
      <c r="K28633" s="12"/>
      <c r="L28633" s="12"/>
      <c r="M28633" s="11"/>
      <c r="N28633" s="11"/>
      <c r="O28633" s="11"/>
      <c r="P28633" s="11"/>
    </row>
    <row r="28634" spans="8:16" x14ac:dyDescent="0.25">
      <c r="H28634" s="12"/>
      <c r="I28634" s="12"/>
      <c r="J28634" s="12"/>
      <c r="K28634" s="12"/>
      <c r="L28634" s="12"/>
      <c r="M28634" s="11"/>
      <c r="N28634" s="11"/>
      <c r="O28634" s="11"/>
      <c r="P28634" s="11"/>
    </row>
    <row r="28635" spans="8:16" x14ac:dyDescent="0.25">
      <c r="H28635" s="12"/>
      <c r="I28635" s="12"/>
      <c r="J28635" s="12"/>
      <c r="K28635" s="12"/>
      <c r="L28635" s="12"/>
      <c r="M28635" s="11"/>
      <c r="N28635" s="11"/>
      <c r="O28635" s="11"/>
      <c r="P28635" s="11"/>
    </row>
    <row r="28636" spans="8:16" x14ac:dyDescent="0.25">
      <c r="H28636" s="12"/>
      <c r="I28636" s="12"/>
      <c r="J28636" s="12"/>
      <c r="K28636" s="12"/>
      <c r="L28636" s="12"/>
      <c r="M28636" s="11"/>
      <c r="N28636" s="11"/>
      <c r="O28636" s="11"/>
      <c r="P28636" s="11"/>
    </row>
    <row r="28637" spans="8:16" x14ac:dyDescent="0.25">
      <c r="H28637" s="12"/>
      <c r="I28637" s="12"/>
      <c r="J28637" s="12"/>
      <c r="K28637" s="12"/>
      <c r="L28637" s="12"/>
      <c r="M28637" s="11"/>
      <c r="N28637" s="11"/>
      <c r="O28637" s="11"/>
      <c r="P28637" s="11"/>
    </row>
    <row r="28638" spans="8:16" x14ac:dyDescent="0.25">
      <c r="H28638" s="12"/>
      <c r="I28638" s="12"/>
      <c r="J28638" s="12"/>
      <c r="K28638" s="12"/>
      <c r="L28638" s="12"/>
      <c r="M28638" s="11"/>
      <c r="N28638" s="11"/>
      <c r="O28638" s="11"/>
      <c r="P28638" s="11"/>
    </row>
    <row r="28639" spans="8:16" x14ac:dyDescent="0.25">
      <c r="H28639" s="12"/>
      <c r="I28639" s="12"/>
      <c r="J28639" s="12"/>
      <c r="K28639" s="12"/>
      <c r="L28639" s="12"/>
      <c r="M28639" s="11"/>
      <c r="N28639" s="11"/>
      <c r="O28639" s="11"/>
      <c r="P28639" s="11"/>
    </row>
    <row r="28640" spans="8:16" x14ac:dyDescent="0.25">
      <c r="H28640" s="12"/>
      <c r="I28640" s="12"/>
      <c r="J28640" s="12"/>
      <c r="K28640" s="12"/>
      <c r="L28640" s="12"/>
      <c r="M28640" s="11"/>
      <c r="N28640" s="11"/>
      <c r="O28640" s="11"/>
      <c r="P28640" s="11"/>
    </row>
    <row r="28641" spans="8:16" x14ac:dyDescent="0.25">
      <c r="H28641" s="12"/>
      <c r="I28641" s="12"/>
      <c r="J28641" s="12"/>
      <c r="K28641" s="12"/>
      <c r="L28641" s="12"/>
      <c r="M28641" s="11"/>
      <c r="N28641" s="11"/>
      <c r="O28641" s="11"/>
      <c r="P28641" s="11"/>
    </row>
    <row r="28642" spans="8:16" x14ac:dyDescent="0.25">
      <c r="H28642" s="12"/>
      <c r="I28642" s="12"/>
      <c r="J28642" s="12"/>
      <c r="K28642" s="12"/>
      <c r="L28642" s="12"/>
      <c r="M28642" s="11"/>
      <c r="N28642" s="11"/>
      <c r="O28642" s="11"/>
      <c r="P28642" s="11"/>
    </row>
    <row r="28643" spans="8:16" x14ac:dyDescent="0.25">
      <c r="H28643" s="12"/>
      <c r="I28643" s="12"/>
      <c r="J28643" s="12"/>
      <c r="K28643" s="12"/>
      <c r="L28643" s="12"/>
      <c r="M28643" s="11"/>
      <c r="N28643" s="11"/>
      <c r="O28643" s="11"/>
      <c r="P28643" s="11"/>
    </row>
    <row r="28644" spans="8:16" x14ac:dyDescent="0.25">
      <c r="H28644" s="12"/>
      <c r="I28644" s="12"/>
      <c r="J28644" s="12"/>
      <c r="K28644" s="12"/>
      <c r="L28644" s="12"/>
      <c r="M28644" s="11"/>
      <c r="N28644" s="11"/>
      <c r="O28644" s="11"/>
      <c r="P28644" s="11"/>
    </row>
    <row r="28645" spans="8:16" x14ac:dyDescent="0.25">
      <c r="H28645" s="12"/>
      <c r="I28645" s="12"/>
      <c r="J28645" s="12"/>
      <c r="K28645" s="12"/>
      <c r="L28645" s="12"/>
      <c r="M28645" s="11"/>
      <c r="N28645" s="11"/>
      <c r="O28645" s="11"/>
      <c r="P28645" s="11"/>
    </row>
    <row r="28646" spans="8:16" x14ac:dyDescent="0.25">
      <c r="H28646" s="12"/>
      <c r="I28646" s="12"/>
      <c r="J28646" s="12"/>
      <c r="K28646" s="12"/>
      <c r="L28646" s="12"/>
      <c r="M28646" s="11"/>
      <c r="N28646" s="11"/>
      <c r="O28646" s="11"/>
      <c r="P28646" s="11"/>
    </row>
    <row r="28647" spans="8:16" x14ac:dyDescent="0.25">
      <c r="H28647" s="12"/>
      <c r="I28647" s="12"/>
      <c r="J28647" s="12"/>
      <c r="K28647" s="12"/>
      <c r="L28647" s="12"/>
      <c r="M28647" s="11"/>
      <c r="N28647" s="11"/>
      <c r="O28647" s="11"/>
      <c r="P28647" s="11"/>
    </row>
    <row r="28648" spans="8:16" x14ac:dyDescent="0.25">
      <c r="H28648" s="12"/>
      <c r="I28648" s="12"/>
      <c r="J28648" s="12"/>
      <c r="K28648" s="12"/>
      <c r="L28648" s="12"/>
      <c r="M28648" s="11"/>
      <c r="N28648" s="11"/>
      <c r="O28648" s="11"/>
      <c r="P28648" s="11"/>
    </row>
    <row r="28649" spans="8:16" x14ac:dyDescent="0.25">
      <c r="H28649" s="12"/>
      <c r="I28649" s="12"/>
      <c r="J28649" s="12"/>
      <c r="K28649" s="12"/>
      <c r="L28649" s="12"/>
      <c r="M28649" s="11"/>
      <c r="N28649" s="11"/>
      <c r="O28649" s="11"/>
      <c r="P28649" s="11"/>
    </row>
    <row r="28650" spans="8:16" x14ac:dyDescent="0.25">
      <c r="H28650" s="12"/>
      <c r="I28650" s="12"/>
      <c r="J28650" s="12"/>
      <c r="K28650" s="12"/>
      <c r="L28650" s="12"/>
      <c r="M28650" s="11"/>
      <c r="N28650" s="11"/>
      <c r="O28650" s="11"/>
      <c r="P28650" s="11"/>
    </row>
    <row r="28651" spans="8:16" x14ac:dyDescent="0.25">
      <c r="H28651" s="12"/>
      <c r="I28651" s="12"/>
      <c r="J28651" s="12"/>
      <c r="K28651" s="12"/>
      <c r="L28651" s="12"/>
      <c r="M28651" s="11"/>
      <c r="N28651" s="11"/>
      <c r="O28651" s="11"/>
      <c r="P28651" s="11"/>
    </row>
    <row r="28652" spans="8:16" x14ac:dyDescent="0.25">
      <c r="H28652" s="12"/>
      <c r="I28652" s="12"/>
      <c r="J28652" s="12"/>
      <c r="K28652" s="12"/>
      <c r="L28652" s="12"/>
      <c r="M28652" s="11"/>
      <c r="N28652" s="11"/>
      <c r="O28652" s="11"/>
      <c r="P28652" s="11"/>
    </row>
    <row r="28653" spans="8:16" x14ac:dyDescent="0.25">
      <c r="H28653" s="12"/>
      <c r="I28653" s="12"/>
      <c r="J28653" s="12"/>
      <c r="K28653" s="12"/>
      <c r="L28653" s="12"/>
      <c r="M28653" s="11"/>
      <c r="N28653" s="11"/>
      <c r="O28653" s="11"/>
      <c r="P28653" s="11"/>
    </row>
    <row r="28654" spans="8:16" x14ac:dyDescent="0.25">
      <c r="H28654" s="12"/>
      <c r="I28654" s="12"/>
      <c r="J28654" s="12"/>
      <c r="K28654" s="12"/>
      <c r="L28654" s="12"/>
      <c r="M28654" s="11"/>
      <c r="N28654" s="11"/>
      <c r="O28654" s="11"/>
      <c r="P28654" s="11"/>
    </row>
    <row r="28655" spans="8:16" x14ac:dyDescent="0.25">
      <c r="H28655" s="12"/>
      <c r="I28655" s="12"/>
      <c r="J28655" s="12"/>
      <c r="K28655" s="12"/>
      <c r="L28655" s="12"/>
      <c r="M28655" s="11"/>
      <c r="N28655" s="11"/>
      <c r="O28655" s="11"/>
      <c r="P28655" s="11"/>
    </row>
    <row r="28656" spans="8:16" x14ac:dyDescent="0.25">
      <c r="H28656" s="12"/>
      <c r="I28656" s="12"/>
      <c r="J28656" s="12"/>
      <c r="K28656" s="12"/>
      <c r="L28656" s="12"/>
      <c r="M28656" s="11"/>
      <c r="N28656" s="11"/>
      <c r="O28656" s="11"/>
      <c r="P28656" s="11"/>
    </row>
    <row r="28657" spans="8:16" x14ac:dyDescent="0.25">
      <c r="H28657" s="12"/>
      <c r="I28657" s="12"/>
      <c r="J28657" s="12"/>
      <c r="K28657" s="12"/>
      <c r="L28657" s="12"/>
      <c r="M28657" s="11"/>
      <c r="N28657" s="11"/>
      <c r="O28657" s="11"/>
      <c r="P28657" s="11"/>
    </row>
    <row r="28658" spans="8:16" x14ac:dyDescent="0.25">
      <c r="H28658" s="12"/>
      <c r="I28658" s="12"/>
      <c r="J28658" s="12"/>
      <c r="K28658" s="12"/>
      <c r="L28658" s="12"/>
      <c r="M28658" s="11"/>
      <c r="N28658" s="11"/>
      <c r="O28658" s="11"/>
      <c r="P28658" s="11"/>
    </row>
    <row r="28659" spans="8:16" x14ac:dyDescent="0.25">
      <c r="H28659" s="12"/>
      <c r="I28659" s="12"/>
      <c r="J28659" s="12"/>
      <c r="K28659" s="12"/>
      <c r="L28659" s="12"/>
      <c r="M28659" s="11"/>
      <c r="N28659" s="11"/>
      <c r="O28659" s="11"/>
      <c r="P28659" s="11"/>
    </row>
    <row r="28660" spans="8:16" x14ac:dyDescent="0.25">
      <c r="H28660" s="12"/>
      <c r="I28660" s="12"/>
      <c r="J28660" s="12"/>
      <c r="K28660" s="12"/>
      <c r="L28660" s="12"/>
      <c r="M28660" s="11"/>
      <c r="N28660" s="11"/>
      <c r="O28660" s="11"/>
      <c r="P28660" s="11"/>
    </row>
    <row r="28661" spans="8:16" x14ac:dyDescent="0.25">
      <c r="H28661" s="12"/>
      <c r="I28661" s="12"/>
      <c r="J28661" s="12"/>
      <c r="K28661" s="12"/>
      <c r="L28661" s="12"/>
      <c r="M28661" s="11"/>
      <c r="N28661" s="11"/>
      <c r="O28661" s="11"/>
      <c r="P28661" s="11"/>
    </row>
    <row r="28662" spans="8:16" x14ac:dyDescent="0.25">
      <c r="H28662" s="12"/>
      <c r="I28662" s="12"/>
      <c r="J28662" s="12"/>
      <c r="K28662" s="12"/>
      <c r="L28662" s="12"/>
      <c r="M28662" s="11"/>
      <c r="N28662" s="11"/>
      <c r="O28662" s="11"/>
      <c r="P28662" s="11"/>
    </row>
    <row r="28663" spans="8:16" x14ac:dyDescent="0.25">
      <c r="H28663" s="12"/>
      <c r="I28663" s="12"/>
      <c r="J28663" s="12"/>
      <c r="K28663" s="12"/>
      <c r="L28663" s="12"/>
      <c r="M28663" s="11"/>
      <c r="N28663" s="11"/>
      <c r="O28663" s="11"/>
      <c r="P28663" s="11"/>
    </row>
    <row r="28664" spans="8:16" x14ac:dyDescent="0.25">
      <c r="H28664" s="12"/>
      <c r="I28664" s="12"/>
      <c r="J28664" s="12"/>
      <c r="K28664" s="12"/>
      <c r="L28664" s="12"/>
      <c r="M28664" s="11"/>
      <c r="N28664" s="11"/>
      <c r="O28664" s="11"/>
      <c r="P28664" s="11"/>
    </row>
    <row r="28665" spans="8:16" x14ac:dyDescent="0.25">
      <c r="H28665" s="12"/>
      <c r="I28665" s="12"/>
      <c r="J28665" s="12"/>
      <c r="K28665" s="12"/>
      <c r="L28665" s="12"/>
      <c r="M28665" s="11"/>
      <c r="N28665" s="11"/>
      <c r="O28665" s="11"/>
      <c r="P28665" s="11"/>
    </row>
    <row r="28666" spans="8:16" x14ac:dyDescent="0.25">
      <c r="H28666" s="12"/>
      <c r="I28666" s="12"/>
      <c r="J28666" s="12"/>
      <c r="K28666" s="12"/>
      <c r="L28666" s="12"/>
      <c r="M28666" s="11"/>
      <c r="N28666" s="11"/>
      <c r="O28666" s="11"/>
      <c r="P28666" s="11"/>
    </row>
    <row r="28667" spans="8:16" x14ac:dyDescent="0.25">
      <c r="H28667" s="12"/>
      <c r="I28667" s="12"/>
      <c r="J28667" s="12"/>
      <c r="K28667" s="12"/>
      <c r="L28667" s="12"/>
      <c r="M28667" s="11"/>
      <c r="N28667" s="11"/>
      <c r="O28667" s="11"/>
      <c r="P28667" s="11"/>
    </row>
    <row r="28668" spans="8:16" x14ac:dyDescent="0.25">
      <c r="H28668" s="12"/>
      <c r="I28668" s="12"/>
      <c r="J28668" s="12"/>
      <c r="K28668" s="12"/>
      <c r="L28668" s="12"/>
      <c r="M28668" s="11"/>
      <c r="N28668" s="11"/>
      <c r="O28668" s="11"/>
      <c r="P28668" s="11"/>
    </row>
    <row r="28669" spans="8:16" x14ac:dyDescent="0.25">
      <c r="H28669" s="12"/>
      <c r="I28669" s="12"/>
      <c r="J28669" s="12"/>
      <c r="K28669" s="12"/>
      <c r="L28669" s="12"/>
      <c r="M28669" s="11"/>
      <c r="N28669" s="11"/>
      <c r="O28669" s="11"/>
      <c r="P28669" s="11"/>
    </row>
    <row r="28670" spans="8:16" x14ac:dyDescent="0.25">
      <c r="H28670" s="12"/>
      <c r="I28670" s="12"/>
      <c r="J28670" s="12"/>
      <c r="K28670" s="12"/>
      <c r="L28670" s="12"/>
      <c r="M28670" s="11"/>
      <c r="N28670" s="11"/>
      <c r="O28670" s="11"/>
      <c r="P28670" s="11"/>
    </row>
    <row r="28671" spans="8:16" x14ac:dyDescent="0.25">
      <c r="H28671" s="12"/>
      <c r="I28671" s="12"/>
      <c r="J28671" s="12"/>
      <c r="K28671" s="12"/>
      <c r="L28671" s="12"/>
      <c r="M28671" s="11"/>
      <c r="N28671" s="11"/>
      <c r="O28671" s="11"/>
      <c r="P28671" s="11"/>
    </row>
    <row r="28672" spans="8:16" x14ac:dyDescent="0.25">
      <c r="H28672" s="12"/>
      <c r="I28672" s="12"/>
      <c r="J28672" s="12"/>
      <c r="K28672" s="12"/>
      <c r="L28672" s="12"/>
      <c r="M28672" s="11"/>
      <c r="N28672" s="11"/>
      <c r="O28672" s="11"/>
      <c r="P28672" s="11"/>
    </row>
    <row r="28673" spans="8:16" x14ac:dyDescent="0.25">
      <c r="H28673" s="12"/>
      <c r="I28673" s="12"/>
      <c r="J28673" s="12"/>
      <c r="K28673" s="12"/>
      <c r="L28673" s="12"/>
      <c r="M28673" s="11"/>
      <c r="N28673" s="11"/>
      <c r="O28673" s="11"/>
      <c r="P28673" s="11"/>
    </row>
    <row r="28674" spans="8:16" x14ac:dyDescent="0.25">
      <c r="H28674" s="12"/>
      <c r="I28674" s="12"/>
      <c r="J28674" s="12"/>
      <c r="K28674" s="12"/>
      <c r="L28674" s="12"/>
      <c r="M28674" s="11"/>
      <c r="N28674" s="11"/>
      <c r="O28674" s="11"/>
      <c r="P28674" s="11"/>
    </row>
    <row r="28675" spans="8:16" x14ac:dyDescent="0.25">
      <c r="H28675" s="12"/>
      <c r="I28675" s="12"/>
      <c r="J28675" s="12"/>
      <c r="K28675" s="12"/>
      <c r="L28675" s="12"/>
      <c r="M28675" s="11"/>
      <c r="N28675" s="11"/>
      <c r="O28675" s="11"/>
      <c r="P28675" s="11"/>
    </row>
    <row r="28676" spans="8:16" x14ac:dyDescent="0.25">
      <c r="H28676" s="12"/>
      <c r="I28676" s="12"/>
      <c r="J28676" s="12"/>
      <c r="K28676" s="12"/>
      <c r="L28676" s="12"/>
      <c r="M28676" s="11"/>
      <c r="N28676" s="11"/>
      <c r="O28676" s="11"/>
      <c r="P28676" s="11"/>
    </row>
    <row r="28677" spans="8:16" x14ac:dyDescent="0.25">
      <c r="H28677" s="12"/>
      <c r="I28677" s="12"/>
      <c r="J28677" s="12"/>
      <c r="K28677" s="12"/>
      <c r="L28677" s="12"/>
      <c r="M28677" s="11"/>
      <c r="N28677" s="11"/>
      <c r="O28677" s="11"/>
      <c r="P28677" s="11"/>
    </row>
    <row r="28678" spans="8:16" x14ac:dyDescent="0.25">
      <c r="H28678" s="12"/>
      <c r="I28678" s="12"/>
      <c r="J28678" s="12"/>
      <c r="K28678" s="12"/>
      <c r="L28678" s="12"/>
      <c r="M28678" s="11"/>
      <c r="N28678" s="11"/>
      <c r="O28678" s="11"/>
      <c r="P28678" s="11"/>
    </row>
    <row r="28679" spans="8:16" x14ac:dyDescent="0.25">
      <c r="H28679" s="12"/>
      <c r="I28679" s="12"/>
      <c r="J28679" s="12"/>
      <c r="K28679" s="12"/>
      <c r="L28679" s="12"/>
      <c r="M28679" s="11"/>
      <c r="N28679" s="11"/>
      <c r="O28679" s="11"/>
      <c r="P28679" s="11"/>
    </row>
    <row r="28680" spans="8:16" x14ac:dyDescent="0.25">
      <c r="H28680" s="12"/>
      <c r="I28680" s="12"/>
      <c r="J28680" s="12"/>
      <c r="K28680" s="12"/>
      <c r="L28680" s="12"/>
      <c r="M28680" s="11"/>
      <c r="N28680" s="11"/>
      <c r="O28680" s="11"/>
      <c r="P28680" s="11"/>
    </row>
    <row r="28681" spans="8:16" x14ac:dyDescent="0.25">
      <c r="H28681" s="12"/>
      <c r="I28681" s="12"/>
      <c r="J28681" s="12"/>
      <c r="K28681" s="12"/>
      <c r="L28681" s="12"/>
      <c r="M28681" s="11"/>
      <c r="N28681" s="11"/>
      <c r="O28681" s="11"/>
      <c r="P28681" s="11"/>
    </row>
    <row r="28682" spans="8:16" x14ac:dyDescent="0.25">
      <c r="H28682" s="12"/>
      <c r="I28682" s="12"/>
      <c r="J28682" s="12"/>
      <c r="K28682" s="12"/>
      <c r="L28682" s="12"/>
      <c r="M28682" s="11"/>
      <c r="N28682" s="11"/>
      <c r="O28682" s="11"/>
      <c r="P28682" s="11"/>
    </row>
    <row r="28683" spans="8:16" x14ac:dyDescent="0.25">
      <c r="H28683" s="12"/>
      <c r="I28683" s="12"/>
      <c r="J28683" s="12"/>
      <c r="K28683" s="12"/>
      <c r="L28683" s="12"/>
      <c r="M28683" s="11"/>
      <c r="N28683" s="11"/>
      <c r="O28683" s="11"/>
      <c r="P28683" s="11"/>
    </row>
    <row r="28684" spans="8:16" x14ac:dyDescent="0.25">
      <c r="H28684" s="12"/>
      <c r="I28684" s="12"/>
      <c r="J28684" s="12"/>
      <c r="K28684" s="12"/>
      <c r="L28684" s="12"/>
      <c r="M28684" s="11"/>
      <c r="N28684" s="11"/>
      <c r="O28684" s="11"/>
      <c r="P28684" s="11"/>
    </row>
    <row r="28685" spans="8:16" x14ac:dyDescent="0.25">
      <c r="H28685" s="12"/>
      <c r="I28685" s="12"/>
      <c r="J28685" s="12"/>
      <c r="K28685" s="12"/>
      <c r="L28685" s="12"/>
      <c r="M28685" s="11"/>
      <c r="N28685" s="11"/>
      <c r="O28685" s="11"/>
      <c r="P28685" s="11"/>
    </row>
    <row r="28686" spans="8:16" x14ac:dyDescent="0.25">
      <c r="H28686" s="12"/>
      <c r="I28686" s="12"/>
      <c r="J28686" s="12"/>
      <c r="K28686" s="12"/>
      <c r="L28686" s="12"/>
      <c r="M28686" s="11"/>
      <c r="N28686" s="11"/>
      <c r="O28686" s="11"/>
      <c r="P28686" s="11"/>
    </row>
    <row r="28687" spans="8:16" x14ac:dyDescent="0.25">
      <c r="H28687" s="12"/>
      <c r="I28687" s="12"/>
      <c r="J28687" s="12"/>
      <c r="K28687" s="12"/>
      <c r="L28687" s="12"/>
      <c r="M28687" s="11"/>
      <c r="N28687" s="11"/>
      <c r="O28687" s="11"/>
      <c r="P28687" s="11"/>
    </row>
    <row r="28688" spans="8:16" x14ac:dyDescent="0.25">
      <c r="H28688" s="12"/>
      <c r="I28688" s="12"/>
      <c r="J28688" s="12"/>
      <c r="K28688" s="12"/>
      <c r="L28688" s="12"/>
      <c r="M28688" s="11"/>
      <c r="N28688" s="11"/>
      <c r="O28688" s="11"/>
      <c r="P28688" s="11"/>
    </row>
    <row r="28689" spans="8:16" x14ac:dyDescent="0.25">
      <c r="H28689" s="12"/>
      <c r="I28689" s="12"/>
      <c r="J28689" s="12"/>
      <c r="K28689" s="12"/>
      <c r="L28689" s="12"/>
      <c r="M28689" s="11"/>
      <c r="N28689" s="11"/>
      <c r="O28689" s="11"/>
      <c r="P28689" s="11"/>
    </row>
    <row r="28690" spans="8:16" x14ac:dyDescent="0.25">
      <c r="H28690" s="12"/>
      <c r="I28690" s="12"/>
      <c r="J28690" s="12"/>
      <c r="K28690" s="12"/>
      <c r="L28690" s="12"/>
      <c r="M28690" s="11"/>
      <c r="N28690" s="11"/>
      <c r="O28690" s="11"/>
      <c r="P28690" s="11"/>
    </row>
    <row r="28691" spans="8:16" x14ac:dyDescent="0.25">
      <c r="H28691" s="12"/>
      <c r="I28691" s="12"/>
      <c r="J28691" s="12"/>
      <c r="K28691" s="12"/>
      <c r="L28691" s="12"/>
      <c r="M28691" s="11"/>
      <c r="N28691" s="11"/>
      <c r="O28691" s="11"/>
      <c r="P28691" s="11"/>
    </row>
    <row r="28692" spans="8:16" x14ac:dyDescent="0.25">
      <c r="H28692" s="12"/>
      <c r="I28692" s="12"/>
      <c r="J28692" s="12"/>
      <c r="K28692" s="12"/>
      <c r="L28692" s="12"/>
      <c r="M28692" s="11"/>
      <c r="N28692" s="11"/>
      <c r="O28692" s="11"/>
      <c r="P28692" s="11"/>
    </row>
    <row r="28693" spans="8:16" x14ac:dyDescent="0.25">
      <c r="H28693" s="12"/>
      <c r="I28693" s="12"/>
      <c r="J28693" s="12"/>
      <c r="K28693" s="12"/>
      <c r="L28693" s="12"/>
      <c r="M28693" s="11"/>
      <c r="N28693" s="11"/>
      <c r="O28693" s="11"/>
      <c r="P28693" s="11"/>
    </row>
    <row r="28694" spans="8:16" x14ac:dyDescent="0.25">
      <c r="H28694" s="12"/>
      <c r="I28694" s="12"/>
      <c r="J28694" s="12"/>
      <c r="K28694" s="12"/>
      <c r="L28694" s="12"/>
      <c r="M28694" s="11"/>
      <c r="N28694" s="11"/>
      <c r="O28694" s="11"/>
      <c r="P28694" s="11"/>
    </row>
    <row r="28695" spans="8:16" x14ac:dyDescent="0.25">
      <c r="H28695" s="12"/>
      <c r="I28695" s="12"/>
      <c r="J28695" s="12"/>
      <c r="K28695" s="12"/>
      <c r="L28695" s="12"/>
      <c r="M28695" s="11"/>
      <c r="N28695" s="11"/>
      <c r="O28695" s="11"/>
      <c r="P28695" s="11"/>
    </row>
    <row r="28696" spans="8:16" x14ac:dyDescent="0.25">
      <c r="H28696" s="12"/>
      <c r="I28696" s="12"/>
      <c r="J28696" s="12"/>
      <c r="K28696" s="12"/>
      <c r="L28696" s="12"/>
      <c r="M28696" s="11"/>
      <c r="N28696" s="11"/>
      <c r="O28696" s="11"/>
      <c r="P28696" s="11"/>
    </row>
    <row r="28697" spans="8:16" x14ac:dyDescent="0.25">
      <c r="H28697" s="12"/>
      <c r="I28697" s="12"/>
      <c r="J28697" s="12"/>
      <c r="K28697" s="12"/>
      <c r="L28697" s="12"/>
      <c r="M28697" s="11"/>
      <c r="N28697" s="11"/>
      <c r="O28697" s="11"/>
      <c r="P28697" s="11"/>
    </row>
    <row r="28698" spans="8:16" x14ac:dyDescent="0.25">
      <c r="H28698" s="12"/>
      <c r="I28698" s="12"/>
      <c r="J28698" s="12"/>
      <c r="K28698" s="12"/>
      <c r="L28698" s="12"/>
      <c r="M28698" s="11"/>
      <c r="N28698" s="11"/>
      <c r="O28698" s="11"/>
      <c r="P28698" s="11"/>
    </row>
    <row r="28699" spans="8:16" x14ac:dyDescent="0.25">
      <c r="H28699" s="12"/>
      <c r="I28699" s="12"/>
      <c r="J28699" s="12"/>
      <c r="K28699" s="12"/>
      <c r="L28699" s="12"/>
      <c r="M28699" s="11"/>
      <c r="N28699" s="11"/>
      <c r="O28699" s="11"/>
      <c r="P28699" s="11"/>
    </row>
    <row r="28700" spans="8:16" x14ac:dyDescent="0.25">
      <c r="H28700" s="12"/>
      <c r="I28700" s="12"/>
      <c r="J28700" s="12"/>
      <c r="K28700" s="12"/>
      <c r="L28700" s="12"/>
      <c r="M28700" s="11"/>
      <c r="N28700" s="11"/>
      <c r="O28700" s="11"/>
      <c r="P28700" s="11"/>
    </row>
    <row r="28701" spans="8:16" x14ac:dyDescent="0.25">
      <c r="H28701" s="12"/>
      <c r="I28701" s="12"/>
      <c r="J28701" s="12"/>
      <c r="K28701" s="12"/>
      <c r="L28701" s="12"/>
      <c r="M28701" s="11"/>
      <c r="N28701" s="11"/>
      <c r="O28701" s="11"/>
      <c r="P28701" s="11"/>
    </row>
    <row r="28702" spans="8:16" x14ac:dyDescent="0.25">
      <c r="H28702" s="12"/>
      <c r="I28702" s="12"/>
      <c r="J28702" s="12"/>
      <c r="K28702" s="12"/>
      <c r="L28702" s="12"/>
      <c r="M28702" s="11"/>
      <c r="N28702" s="11"/>
      <c r="O28702" s="11"/>
      <c r="P28702" s="11"/>
    </row>
    <row r="28703" spans="8:16" x14ac:dyDescent="0.25">
      <c r="H28703" s="12"/>
      <c r="I28703" s="12"/>
      <c r="J28703" s="12"/>
      <c r="K28703" s="12"/>
      <c r="L28703" s="12"/>
      <c r="M28703" s="11"/>
      <c r="N28703" s="11"/>
      <c r="O28703" s="11"/>
      <c r="P28703" s="11"/>
    </row>
    <row r="28704" spans="8:16" x14ac:dyDescent="0.25">
      <c r="H28704" s="12"/>
      <c r="I28704" s="12"/>
      <c r="J28704" s="12"/>
      <c r="K28704" s="12"/>
      <c r="L28704" s="12"/>
      <c r="M28704" s="11"/>
      <c r="N28704" s="11"/>
      <c r="O28704" s="11"/>
      <c r="P28704" s="11"/>
    </row>
    <row r="28705" spans="8:16" x14ac:dyDescent="0.25">
      <c r="H28705" s="12"/>
      <c r="I28705" s="12"/>
      <c r="J28705" s="12"/>
      <c r="K28705" s="12"/>
      <c r="L28705" s="12"/>
      <c r="M28705" s="11"/>
      <c r="N28705" s="11"/>
      <c r="O28705" s="11"/>
      <c r="P28705" s="11"/>
    </row>
    <row r="28706" spans="8:16" x14ac:dyDescent="0.25">
      <c r="H28706" s="12"/>
      <c r="I28706" s="12"/>
      <c r="J28706" s="12"/>
      <c r="K28706" s="12"/>
      <c r="L28706" s="12"/>
      <c r="M28706" s="11"/>
      <c r="N28706" s="11"/>
      <c r="O28706" s="11"/>
      <c r="P28706" s="11"/>
    </row>
    <row r="28707" spans="8:16" x14ac:dyDescent="0.25">
      <c r="H28707" s="12"/>
      <c r="I28707" s="12"/>
      <c r="J28707" s="12"/>
      <c r="K28707" s="12"/>
      <c r="L28707" s="12"/>
      <c r="M28707" s="11"/>
      <c r="N28707" s="11"/>
      <c r="O28707" s="11"/>
      <c r="P28707" s="11"/>
    </row>
    <row r="28708" spans="8:16" x14ac:dyDescent="0.25">
      <c r="H28708" s="12"/>
      <c r="I28708" s="12"/>
      <c r="J28708" s="12"/>
      <c r="K28708" s="12"/>
      <c r="L28708" s="12"/>
      <c r="M28708" s="11"/>
      <c r="N28708" s="11"/>
      <c r="O28708" s="11"/>
      <c r="P28708" s="11"/>
    </row>
    <row r="28709" spans="8:16" x14ac:dyDescent="0.25">
      <c r="H28709" s="12"/>
      <c r="I28709" s="12"/>
      <c r="J28709" s="12"/>
      <c r="K28709" s="12"/>
      <c r="L28709" s="12"/>
      <c r="M28709" s="11"/>
      <c r="N28709" s="11"/>
      <c r="O28709" s="11"/>
      <c r="P28709" s="11"/>
    </row>
    <row r="28710" spans="8:16" x14ac:dyDescent="0.25">
      <c r="H28710" s="12"/>
      <c r="I28710" s="12"/>
      <c r="J28710" s="12"/>
      <c r="K28710" s="12"/>
      <c r="L28710" s="12"/>
      <c r="M28710" s="11"/>
      <c r="N28710" s="11"/>
      <c r="O28710" s="11"/>
      <c r="P28710" s="11"/>
    </row>
    <row r="28711" spans="8:16" x14ac:dyDescent="0.25">
      <c r="H28711" s="12"/>
      <c r="I28711" s="12"/>
      <c r="J28711" s="12"/>
      <c r="K28711" s="12"/>
      <c r="L28711" s="12"/>
      <c r="M28711" s="11"/>
      <c r="N28711" s="11"/>
      <c r="O28711" s="11"/>
      <c r="P28711" s="11"/>
    </row>
    <row r="28712" spans="8:16" x14ac:dyDescent="0.25">
      <c r="H28712" s="12"/>
      <c r="I28712" s="12"/>
      <c r="J28712" s="12"/>
      <c r="K28712" s="12"/>
      <c r="L28712" s="12"/>
      <c r="M28712" s="11"/>
      <c r="N28712" s="11"/>
      <c r="O28712" s="11"/>
      <c r="P28712" s="11"/>
    </row>
    <row r="28713" spans="8:16" x14ac:dyDescent="0.25">
      <c r="H28713" s="12"/>
      <c r="I28713" s="12"/>
      <c r="J28713" s="12"/>
      <c r="K28713" s="12"/>
      <c r="L28713" s="12"/>
      <c r="M28713" s="11"/>
      <c r="N28713" s="11"/>
      <c r="O28713" s="11"/>
      <c r="P28713" s="11"/>
    </row>
    <row r="28714" spans="8:16" x14ac:dyDescent="0.25">
      <c r="H28714" s="12"/>
      <c r="I28714" s="12"/>
      <c r="J28714" s="12"/>
      <c r="K28714" s="12"/>
      <c r="L28714" s="12"/>
      <c r="M28714" s="11"/>
      <c r="N28714" s="11"/>
      <c r="O28714" s="11"/>
      <c r="P28714" s="11"/>
    </row>
    <row r="28715" spans="8:16" x14ac:dyDescent="0.25">
      <c r="H28715" s="12"/>
      <c r="I28715" s="12"/>
      <c r="J28715" s="12"/>
      <c r="K28715" s="12"/>
      <c r="L28715" s="12"/>
      <c r="M28715" s="11"/>
      <c r="N28715" s="11"/>
      <c r="O28715" s="11"/>
      <c r="P28715" s="11"/>
    </row>
    <row r="28716" spans="8:16" x14ac:dyDescent="0.25">
      <c r="H28716" s="12"/>
      <c r="I28716" s="12"/>
      <c r="J28716" s="12"/>
      <c r="K28716" s="12"/>
      <c r="L28716" s="12"/>
      <c r="M28716" s="11"/>
      <c r="N28716" s="11"/>
      <c r="O28716" s="11"/>
      <c r="P28716" s="11"/>
    </row>
    <row r="28717" spans="8:16" x14ac:dyDescent="0.25">
      <c r="H28717" s="12"/>
      <c r="I28717" s="12"/>
      <c r="J28717" s="12"/>
      <c r="K28717" s="12"/>
      <c r="L28717" s="12"/>
      <c r="M28717" s="11"/>
      <c r="N28717" s="11"/>
      <c r="O28717" s="11"/>
      <c r="P28717" s="11"/>
    </row>
    <row r="28718" spans="8:16" x14ac:dyDescent="0.25">
      <c r="H28718" s="12"/>
      <c r="I28718" s="12"/>
      <c r="J28718" s="12"/>
      <c r="K28718" s="12"/>
      <c r="L28718" s="12"/>
      <c r="M28718" s="11"/>
      <c r="N28718" s="11"/>
      <c r="O28718" s="11"/>
      <c r="P28718" s="11"/>
    </row>
    <row r="28719" spans="8:16" x14ac:dyDescent="0.25">
      <c r="H28719" s="12"/>
      <c r="I28719" s="12"/>
      <c r="J28719" s="12"/>
      <c r="K28719" s="12"/>
      <c r="L28719" s="12"/>
      <c r="M28719" s="11"/>
      <c r="N28719" s="11"/>
      <c r="O28719" s="11"/>
      <c r="P28719" s="11"/>
    </row>
    <row r="28720" spans="8:16" x14ac:dyDescent="0.25">
      <c r="H28720" s="12"/>
      <c r="I28720" s="12"/>
      <c r="J28720" s="12"/>
      <c r="K28720" s="12"/>
      <c r="L28720" s="12"/>
      <c r="M28720" s="11"/>
      <c r="N28720" s="11"/>
      <c r="O28720" s="11"/>
      <c r="P28720" s="11"/>
    </row>
    <row r="28721" spans="8:16" x14ac:dyDescent="0.25">
      <c r="H28721" s="12"/>
      <c r="I28721" s="12"/>
      <c r="J28721" s="12"/>
      <c r="K28721" s="12"/>
      <c r="L28721" s="12"/>
      <c r="M28721" s="11"/>
      <c r="N28721" s="11"/>
      <c r="O28721" s="11"/>
      <c r="P28721" s="11"/>
    </row>
    <row r="28722" spans="8:16" x14ac:dyDescent="0.25">
      <c r="H28722" s="12"/>
      <c r="I28722" s="12"/>
      <c r="J28722" s="12"/>
      <c r="K28722" s="12"/>
      <c r="L28722" s="12"/>
      <c r="M28722" s="11"/>
      <c r="N28722" s="11"/>
      <c r="O28722" s="11"/>
      <c r="P28722" s="11"/>
    </row>
    <row r="28723" spans="8:16" x14ac:dyDescent="0.25">
      <c r="H28723" s="12"/>
      <c r="I28723" s="12"/>
      <c r="J28723" s="12"/>
      <c r="K28723" s="12"/>
      <c r="L28723" s="12"/>
      <c r="M28723" s="11"/>
      <c r="N28723" s="11"/>
      <c r="O28723" s="11"/>
      <c r="P28723" s="11"/>
    </row>
    <row r="28724" spans="8:16" x14ac:dyDescent="0.25">
      <c r="H28724" s="12"/>
      <c r="I28724" s="12"/>
      <c r="J28724" s="12"/>
      <c r="K28724" s="12"/>
      <c r="L28724" s="12"/>
      <c r="M28724" s="11"/>
      <c r="N28724" s="11"/>
      <c r="O28724" s="11"/>
      <c r="P28724" s="11"/>
    </row>
    <row r="28725" spans="8:16" x14ac:dyDescent="0.25">
      <c r="H28725" s="12"/>
      <c r="I28725" s="12"/>
      <c r="J28725" s="12"/>
      <c r="K28725" s="12"/>
      <c r="L28725" s="12"/>
      <c r="M28725" s="11"/>
      <c r="N28725" s="11"/>
      <c r="O28725" s="11"/>
      <c r="P28725" s="11"/>
    </row>
    <row r="28726" spans="8:16" x14ac:dyDescent="0.25">
      <c r="H28726" s="12"/>
      <c r="I28726" s="12"/>
      <c r="J28726" s="12"/>
      <c r="K28726" s="12"/>
      <c r="L28726" s="12"/>
      <c r="M28726" s="11"/>
      <c r="N28726" s="11"/>
      <c r="O28726" s="11"/>
      <c r="P28726" s="11"/>
    </row>
    <row r="28727" spans="8:16" x14ac:dyDescent="0.25">
      <c r="H28727" s="12"/>
      <c r="I28727" s="12"/>
      <c r="J28727" s="12"/>
      <c r="K28727" s="12"/>
      <c r="L28727" s="12"/>
      <c r="M28727" s="11"/>
      <c r="N28727" s="11"/>
      <c r="O28727" s="11"/>
      <c r="P28727" s="11"/>
    </row>
    <row r="28728" spans="8:16" x14ac:dyDescent="0.25">
      <c r="H28728" s="12"/>
      <c r="I28728" s="12"/>
      <c r="J28728" s="12"/>
      <c r="K28728" s="12"/>
      <c r="L28728" s="12"/>
      <c r="M28728" s="11"/>
      <c r="N28728" s="11"/>
      <c r="O28728" s="11"/>
      <c r="P28728" s="11"/>
    </row>
    <row r="28729" spans="8:16" x14ac:dyDescent="0.25">
      <c r="H28729" s="12"/>
      <c r="I28729" s="12"/>
      <c r="J28729" s="12"/>
      <c r="K28729" s="12"/>
      <c r="L28729" s="12"/>
      <c r="M28729" s="11"/>
      <c r="N28729" s="11"/>
      <c r="O28729" s="11"/>
      <c r="P28729" s="11"/>
    </row>
    <row r="28730" spans="8:16" x14ac:dyDescent="0.25">
      <c r="H28730" s="12"/>
      <c r="I28730" s="12"/>
      <c r="J28730" s="12"/>
      <c r="K28730" s="12"/>
      <c r="L28730" s="12"/>
      <c r="M28730" s="11"/>
      <c r="N28730" s="11"/>
      <c r="O28730" s="11"/>
      <c r="P28730" s="11"/>
    </row>
    <row r="28731" spans="8:16" x14ac:dyDescent="0.25">
      <c r="H28731" s="12"/>
      <c r="I28731" s="12"/>
      <c r="J28731" s="12"/>
      <c r="K28731" s="12"/>
      <c r="L28731" s="12"/>
      <c r="M28731" s="11"/>
      <c r="N28731" s="11"/>
      <c r="O28731" s="11"/>
      <c r="P28731" s="11"/>
    </row>
    <row r="28732" spans="8:16" x14ac:dyDescent="0.25">
      <c r="H28732" s="12"/>
      <c r="I28732" s="12"/>
      <c r="J28732" s="12"/>
      <c r="K28732" s="12"/>
      <c r="L28732" s="12"/>
      <c r="M28732" s="11"/>
      <c r="N28732" s="11"/>
      <c r="O28732" s="11"/>
      <c r="P28732" s="11"/>
    </row>
    <row r="28733" spans="8:16" x14ac:dyDescent="0.25">
      <c r="H28733" s="12"/>
      <c r="I28733" s="12"/>
      <c r="J28733" s="12"/>
      <c r="K28733" s="12"/>
      <c r="L28733" s="12"/>
      <c r="M28733" s="11"/>
      <c r="N28733" s="11"/>
      <c r="O28733" s="11"/>
      <c r="P28733" s="11"/>
    </row>
    <row r="28734" spans="8:16" x14ac:dyDescent="0.25">
      <c r="H28734" s="12"/>
      <c r="I28734" s="12"/>
      <c r="J28734" s="12"/>
      <c r="K28734" s="12"/>
      <c r="L28734" s="12"/>
      <c r="M28734" s="11"/>
      <c r="N28734" s="11"/>
      <c r="O28734" s="11"/>
      <c r="P28734" s="11"/>
    </row>
    <row r="28735" spans="8:16" x14ac:dyDescent="0.25">
      <c r="H28735" s="12"/>
      <c r="I28735" s="12"/>
      <c r="J28735" s="12"/>
      <c r="K28735" s="12"/>
      <c r="L28735" s="12"/>
      <c r="M28735" s="11"/>
      <c r="N28735" s="11"/>
      <c r="O28735" s="11"/>
      <c r="P28735" s="11"/>
    </row>
    <row r="28736" spans="8:16" x14ac:dyDescent="0.25">
      <c r="H28736" s="12"/>
      <c r="I28736" s="12"/>
      <c r="J28736" s="12"/>
      <c r="K28736" s="12"/>
      <c r="L28736" s="12"/>
      <c r="M28736" s="11"/>
      <c r="N28736" s="11"/>
      <c r="O28736" s="11"/>
      <c r="P28736" s="11"/>
    </row>
    <row r="28737" spans="8:16" x14ac:dyDescent="0.25">
      <c r="H28737" s="12"/>
      <c r="I28737" s="12"/>
      <c r="J28737" s="12"/>
      <c r="K28737" s="12"/>
      <c r="L28737" s="12"/>
      <c r="M28737" s="11"/>
      <c r="N28737" s="11"/>
      <c r="O28737" s="11"/>
      <c r="P28737" s="11"/>
    </row>
    <row r="28738" spans="8:16" x14ac:dyDescent="0.25">
      <c r="H28738" s="12"/>
      <c r="I28738" s="12"/>
      <c r="J28738" s="12"/>
      <c r="K28738" s="12"/>
      <c r="L28738" s="12"/>
      <c r="M28738" s="11"/>
      <c r="N28738" s="11"/>
      <c r="O28738" s="11"/>
      <c r="P28738" s="11"/>
    </row>
    <row r="28739" spans="8:16" x14ac:dyDescent="0.25">
      <c r="H28739" s="12"/>
      <c r="I28739" s="12"/>
      <c r="J28739" s="12"/>
      <c r="K28739" s="12"/>
      <c r="L28739" s="12"/>
      <c r="M28739" s="11"/>
      <c r="N28739" s="11"/>
      <c r="O28739" s="11"/>
      <c r="P28739" s="11"/>
    </row>
    <row r="28740" spans="8:16" x14ac:dyDescent="0.25">
      <c r="H28740" s="12"/>
      <c r="I28740" s="12"/>
      <c r="J28740" s="12"/>
      <c r="K28740" s="12"/>
      <c r="L28740" s="12"/>
      <c r="M28740" s="11"/>
      <c r="N28740" s="11"/>
      <c r="O28740" s="11"/>
      <c r="P28740" s="11"/>
    </row>
    <row r="28741" spans="8:16" x14ac:dyDescent="0.25">
      <c r="H28741" s="12"/>
      <c r="I28741" s="12"/>
      <c r="J28741" s="12"/>
      <c r="K28741" s="12"/>
      <c r="L28741" s="12"/>
      <c r="M28741" s="11"/>
      <c r="N28741" s="11"/>
      <c r="O28741" s="11"/>
      <c r="P28741" s="11"/>
    </row>
    <row r="28742" spans="8:16" x14ac:dyDescent="0.25">
      <c r="H28742" s="12"/>
      <c r="I28742" s="12"/>
      <c r="J28742" s="12"/>
      <c r="K28742" s="12"/>
      <c r="L28742" s="12"/>
      <c r="M28742" s="11"/>
      <c r="N28742" s="11"/>
      <c r="O28742" s="11"/>
      <c r="P28742" s="11"/>
    </row>
    <row r="28743" spans="8:16" x14ac:dyDescent="0.25">
      <c r="H28743" s="12"/>
      <c r="I28743" s="12"/>
      <c r="J28743" s="12"/>
      <c r="K28743" s="12"/>
      <c r="L28743" s="12"/>
      <c r="M28743" s="11"/>
      <c r="N28743" s="11"/>
      <c r="O28743" s="11"/>
      <c r="P28743" s="11"/>
    </row>
    <row r="28744" spans="8:16" x14ac:dyDescent="0.25">
      <c r="H28744" s="12"/>
      <c r="I28744" s="12"/>
      <c r="J28744" s="12"/>
      <c r="K28744" s="12"/>
      <c r="L28744" s="12"/>
      <c r="M28744" s="11"/>
      <c r="N28744" s="11"/>
      <c r="O28744" s="11"/>
      <c r="P28744" s="11"/>
    </row>
    <row r="28745" spans="8:16" x14ac:dyDescent="0.25">
      <c r="H28745" s="12"/>
      <c r="I28745" s="12"/>
      <c r="J28745" s="12"/>
      <c r="K28745" s="12"/>
      <c r="L28745" s="12"/>
      <c r="M28745" s="11"/>
      <c r="N28745" s="11"/>
      <c r="O28745" s="11"/>
      <c r="P28745" s="11"/>
    </row>
    <row r="28746" spans="8:16" x14ac:dyDescent="0.25">
      <c r="H28746" s="12"/>
      <c r="I28746" s="12"/>
      <c r="J28746" s="12"/>
      <c r="K28746" s="12"/>
      <c r="L28746" s="12"/>
      <c r="M28746" s="11"/>
      <c r="N28746" s="11"/>
      <c r="O28746" s="11"/>
      <c r="P28746" s="11"/>
    </row>
    <row r="28747" spans="8:16" x14ac:dyDescent="0.25">
      <c r="H28747" s="12"/>
      <c r="I28747" s="12"/>
      <c r="J28747" s="12"/>
      <c r="K28747" s="12"/>
      <c r="L28747" s="12"/>
      <c r="M28747" s="11"/>
      <c r="N28747" s="11"/>
      <c r="O28747" s="11"/>
      <c r="P28747" s="11"/>
    </row>
    <row r="28748" spans="8:16" x14ac:dyDescent="0.25">
      <c r="H28748" s="12"/>
      <c r="I28748" s="12"/>
      <c r="J28748" s="12"/>
      <c r="K28748" s="12"/>
      <c r="L28748" s="12"/>
      <c r="M28748" s="11"/>
      <c r="N28748" s="11"/>
      <c r="O28748" s="11"/>
      <c r="P28748" s="11"/>
    </row>
    <row r="28749" spans="8:16" x14ac:dyDescent="0.25">
      <c r="H28749" s="12"/>
      <c r="I28749" s="12"/>
      <c r="J28749" s="12"/>
      <c r="K28749" s="12"/>
      <c r="L28749" s="12"/>
      <c r="M28749" s="11"/>
      <c r="N28749" s="11"/>
      <c r="O28749" s="11"/>
      <c r="P28749" s="11"/>
    </row>
    <row r="28750" spans="8:16" x14ac:dyDescent="0.25">
      <c r="H28750" s="12"/>
      <c r="I28750" s="12"/>
      <c r="J28750" s="12"/>
      <c r="K28750" s="12"/>
      <c r="L28750" s="12"/>
      <c r="M28750" s="11"/>
      <c r="N28750" s="11"/>
      <c r="O28750" s="11"/>
      <c r="P28750" s="11"/>
    </row>
    <row r="28751" spans="8:16" x14ac:dyDescent="0.25">
      <c r="H28751" s="12"/>
      <c r="I28751" s="12"/>
      <c r="J28751" s="12"/>
      <c r="K28751" s="12"/>
      <c r="L28751" s="12"/>
      <c r="M28751" s="11"/>
      <c r="N28751" s="11"/>
      <c r="O28751" s="11"/>
      <c r="P28751" s="11"/>
    </row>
    <row r="28752" spans="8:16" x14ac:dyDescent="0.25">
      <c r="H28752" s="12"/>
      <c r="I28752" s="12"/>
      <c r="J28752" s="12"/>
      <c r="K28752" s="12"/>
      <c r="L28752" s="12"/>
      <c r="M28752" s="11"/>
      <c r="N28752" s="11"/>
      <c r="O28752" s="11"/>
      <c r="P28752" s="11"/>
    </row>
    <row r="28753" spans="8:16" x14ac:dyDescent="0.25">
      <c r="H28753" s="12"/>
      <c r="I28753" s="12"/>
      <c r="J28753" s="12"/>
      <c r="K28753" s="12"/>
      <c r="L28753" s="12"/>
      <c r="M28753" s="11"/>
      <c r="N28753" s="11"/>
      <c r="O28753" s="11"/>
      <c r="P28753" s="11"/>
    </row>
    <row r="28754" spans="8:16" x14ac:dyDescent="0.25">
      <c r="H28754" s="12"/>
      <c r="I28754" s="12"/>
      <c r="J28754" s="12"/>
      <c r="K28754" s="12"/>
      <c r="L28754" s="12"/>
      <c r="M28754" s="11"/>
      <c r="N28754" s="11"/>
      <c r="O28754" s="11"/>
      <c r="P28754" s="11"/>
    </row>
    <row r="28755" spans="8:16" x14ac:dyDescent="0.25">
      <c r="H28755" s="12"/>
      <c r="I28755" s="12"/>
      <c r="J28755" s="12"/>
      <c r="K28755" s="12"/>
      <c r="L28755" s="12"/>
      <c r="M28755" s="11"/>
      <c r="N28755" s="11"/>
      <c r="O28755" s="11"/>
      <c r="P28755" s="11"/>
    </row>
    <row r="28756" spans="8:16" x14ac:dyDescent="0.25">
      <c r="H28756" s="12"/>
      <c r="I28756" s="12"/>
      <c r="J28756" s="12"/>
      <c r="K28756" s="12"/>
      <c r="L28756" s="12"/>
      <c r="M28756" s="11"/>
      <c r="N28756" s="11"/>
      <c r="O28756" s="11"/>
      <c r="P28756" s="11"/>
    </row>
    <row r="28757" spans="8:16" x14ac:dyDescent="0.25">
      <c r="H28757" s="12"/>
      <c r="I28757" s="12"/>
      <c r="J28757" s="12"/>
      <c r="K28757" s="12"/>
      <c r="L28757" s="12"/>
      <c r="M28757" s="11"/>
      <c r="N28757" s="11"/>
      <c r="O28757" s="11"/>
      <c r="P28757" s="11"/>
    </row>
    <row r="28758" spans="8:16" x14ac:dyDescent="0.25">
      <c r="H28758" s="12"/>
      <c r="I28758" s="12"/>
      <c r="J28758" s="12"/>
      <c r="K28758" s="12"/>
      <c r="L28758" s="12"/>
      <c r="M28758" s="11"/>
      <c r="N28758" s="11"/>
      <c r="O28758" s="11"/>
      <c r="P28758" s="11"/>
    </row>
    <row r="28759" spans="8:16" x14ac:dyDescent="0.25">
      <c r="H28759" s="12"/>
      <c r="I28759" s="12"/>
      <c r="J28759" s="12"/>
      <c r="K28759" s="12"/>
      <c r="L28759" s="12"/>
      <c r="M28759" s="11"/>
      <c r="N28759" s="11"/>
      <c r="O28759" s="11"/>
      <c r="P28759" s="11"/>
    </row>
    <row r="28760" spans="8:16" x14ac:dyDescent="0.25">
      <c r="H28760" s="12"/>
      <c r="I28760" s="12"/>
      <c r="J28760" s="12"/>
      <c r="K28760" s="12"/>
      <c r="L28760" s="12"/>
      <c r="M28760" s="11"/>
      <c r="N28760" s="11"/>
      <c r="O28760" s="11"/>
      <c r="P28760" s="11"/>
    </row>
    <row r="28761" spans="8:16" x14ac:dyDescent="0.25">
      <c r="H28761" s="12"/>
      <c r="I28761" s="12"/>
      <c r="J28761" s="12"/>
      <c r="K28761" s="12"/>
      <c r="L28761" s="12"/>
      <c r="M28761" s="11"/>
      <c r="N28761" s="11"/>
      <c r="O28761" s="11"/>
      <c r="P28761" s="11"/>
    </row>
    <row r="28762" spans="8:16" x14ac:dyDescent="0.25">
      <c r="H28762" s="12"/>
      <c r="I28762" s="12"/>
      <c r="J28762" s="12"/>
      <c r="K28762" s="12"/>
      <c r="L28762" s="12"/>
      <c r="M28762" s="11"/>
      <c r="N28762" s="11"/>
      <c r="O28762" s="11"/>
      <c r="P28762" s="11"/>
    </row>
    <row r="28763" spans="8:16" x14ac:dyDescent="0.25">
      <c r="H28763" s="12"/>
      <c r="I28763" s="12"/>
      <c r="J28763" s="12"/>
      <c r="K28763" s="12"/>
      <c r="L28763" s="12"/>
      <c r="M28763" s="11"/>
      <c r="N28763" s="11"/>
      <c r="O28763" s="11"/>
      <c r="P28763" s="11"/>
    </row>
    <row r="28764" spans="8:16" x14ac:dyDescent="0.25">
      <c r="H28764" s="12"/>
      <c r="I28764" s="12"/>
      <c r="J28764" s="12"/>
      <c r="K28764" s="12"/>
      <c r="L28764" s="12"/>
      <c r="M28764" s="11"/>
      <c r="N28764" s="11"/>
      <c r="O28764" s="11"/>
      <c r="P28764" s="11"/>
    </row>
    <row r="28765" spans="8:16" x14ac:dyDescent="0.25">
      <c r="H28765" s="12"/>
      <c r="I28765" s="12"/>
      <c r="J28765" s="12"/>
      <c r="K28765" s="12"/>
      <c r="L28765" s="12"/>
      <c r="M28765" s="11"/>
      <c r="N28765" s="11"/>
      <c r="O28765" s="11"/>
      <c r="P28765" s="11"/>
    </row>
    <row r="28766" spans="8:16" x14ac:dyDescent="0.25">
      <c r="H28766" s="12"/>
      <c r="I28766" s="12"/>
      <c r="J28766" s="12"/>
      <c r="K28766" s="12"/>
      <c r="L28766" s="12"/>
      <c r="M28766" s="11"/>
      <c r="N28766" s="11"/>
      <c r="O28766" s="11"/>
      <c r="P28766" s="11"/>
    </row>
    <row r="28767" spans="8:16" x14ac:dyDescent="0.25">
      <c r="H28767" s="12"/>
      <c r="I28767" s="12"/>
      <c r="J28767" s="12"/>
      <c r="K28767" s="12"/>
      <c r="L28767" s="12"/>
      <c r="M28767" s="11"/>
      <c r="N28767" s="11"/>
      <c r="O28767" s="11"/>
      <c r="P28767" s="11"/>
    </row>
    <row r="28768" spans="8:16" x14ac:dyDescent="0.25">
      <c r="H28768" s="12"/>
      <c r="I28768" s="12"/>
      <c r="J28768" s="12"/>
      <c r="K28768" s="12"/>
      <c r="L28768" s="12"/>
      <c r="M28768" s="11"/>
      <c r="N28768" s="11"/>
      <c r="O28768" s="11"/>
      <c r="P28768" s="11"/>
    </row>
    <row r="28769" spans="8:16" x14ac:dyDescent="0.25">
      <c r="H28769" s="12"/>
      <c r="I28769" s="12"/>
      <c r="J28769" s="12"/>
      <c r="K28769" s="12"/>
      <c r="L28769" s="12"/>
      <c r="M28769" s="11"/>
      <c r="N28769" s="11"/>
      <c r="O28769" s="11"/>
      <c r="P28769" s="11"/>
    </row>
    <row r="28770" spans="8:16" x14ac:dyDescent="0.25">
      <c r="H28770" s="12"/>
      <c r="I28770" s="12"/>
      <c r="J28770" s="12"/>
      <c r="K28770" s="12"/>
      <c r="L28770" s="12"/>
      <c r="M28770" s="11"/>
      <c r="N28770" s="11"/>
      <c r="O28770" s="11"/>
      <c r="P28770" s="11"/>
    </row>
    <row r="28771" spans="8:16" x14ac:dyDescent="0.25">
      <c r="H28771" s="12"/>
      <c r="I28771" s="12"/>
      <c r="J28771" s="12"/>
      <c r="K28771" s="12"/>
      <c r="L28771" s="12"/>
      <c r="M28771" s="11"/>
      <c r="N28771" s="11"/>
      <c r="O28771" s="11"/>
      <c r="P28771" s="11"/>
    </row>
    <row r="28772" spans="8:16" x14ac:dyDescent="0.25">
      <c r="H28772" s="12"/>
      <c r="I28772" s="12"/>
      <c r="J28772" s="12"/>
      <c r="K28772" s="12"/>
      <c r="L28772" s="12"/>
      <c r="M28772" s="11"/>
      <c r="N28772" s="11"/>
      <c r="O28772" s="11"/>
      <c r="P28772" s="11"/>
    </row>
    <row r="28773" spans="8:16" x14ac:dyDescent="0.25">
      <c r="H28773" s="12"/>
      <c r="I28773" s="12"/>
      <c r="J28773" s="12"/>
      <c r="K28773" s="12"/>
      <c r="L28773" s="12"/>
      <c r="M28773" s="11"/>
      <c r="N28773" s="11"/>
      <c r="O28773" s="11"/>
      <c r="P28773" s="11"/>
    </row>
    <row r="28774" spans="8:16" x14ac:dyDescent="0.25">
      <c r="H28774" s="12"/>
      <c r="I28774" s="12"/>
      <c r="J28774" s="12"/>
      <c r="K28774" s="12"/>
      <c r="L28774" s="12"/>
      <c r="M28774" s="11"/>
      <c r="N28774" s="11"/>
      <c r="O28774" s="11"/>
      <c r="P28774" s="11"/>
    </row>
    <row r="28775" spans="8:16" x14ac:dyDescent="0.25">
      <c r="H28775" s="12"/>
      <c r="I28775" s="12"/>
      <c r="J28775" s="12"/>
      <c r="K28775" s="12"/>
      <c r="L28775" s="12"/>
      <c r="M28775" s="11"/>
      <c r="N28775" s="11"/>
      <c r="O28775" s="11"/>
      <c r="P28775" s="11"/>
    </row>
    <row r="28776" spans="8:16" x14ac:dyDescent="0.25">
      <c r="H28776" s="12"/>
      <c r="I28776" s="12"/>
      <c r="J28776" s="12"/>
      <c r="K28776" s="12"/>
      <c r="L28776" s="12"/>
      <c r="M28776" s="11"/>
      <c r="N28776" s="11"/>
      <c r="O28776" s="11"/>
      <c r="P28776" s="11"/>
    </row>
    <row r="28777" spans="8:16" x14ac:dyDescent="0.25">
      <c r="H28777" s="12"/>
      <c r="I28777" s="12"/>
      <c r="J28777" s="12"/>
      <c r="K28777" s="12"/>
      <c r="L28777" s="12"/>
      <c r="M28777" s="11"/>
      <c r="N28777" s="11"/>
      <c r="O28777" s="11"/>
      <c r="P28777" s="11"/>
    </row>
    <row r="28778" spans="8:16" x14ac:dyDescent="0.25">
      <c r="H28778" s="12"/>
      <c r="I28778" s="12"/>
      <c r="J28778" s="12"/>
      <c r="K28778" s="12"/>
      <c r="L28778" s="12"/>
      <c r="M28778" s="11"/>
      <c r="N28778" s="11"/>
      <c r="O28778" s="11"/>
      <c r="P28778" s="11"/>
    </row>
    <row r="28779" spans="8:16" x14ac:dyDescent="0.25">
      <c r="H28779" s="12"/>
      <c r="I28779" s="12"/>
      <c r="J28779" s="12"/>
      <c r="K28779" s="12"/>
      <c r="L28779" s="12"/>
      <c r="M28779" s="11"/>
      <c r="N28779" s="11"/>
      <c r="O28779" s="11"/>
      <c r="P28779" s="11"/>
    </row>
    <row r="28780" spans="8:16" x14ac:dyDescent="0.25">
      <c r="H28780" s="12"/>
      <c r="I28780" s="12"/>
      <c r="J28780" s="12"/>
      <c r="K28780" s="12"/>
      <c r="L28780" s="12"/>
      <c r="M28780" s="11"/>
      <c r="N28780" s="11"/>
      <c r="O28780" s="11"/>
      <c r="P28780" s="11"/>
    </row>
    <row r="28781" spans="8:16" x14ac:dyDescent="0.25">
      <c r="H28781" s="12"/>
      <c r="I28781" s="12"/>
      <c r="J28781" s="12"/>
      <c r="K28781" s="12"/>
      <c r="L28781" s="12"/>
      <c r="M28781" s="11"/>
      <c r="N28781" s="11"/>
      <c r="O28781" s="11"/>
      <c r="P28781" s="11"/>
    </row>
    <row r="28782" spans="8:16" x14ac:dyDescent="0.25">
      <c r="H28782" s="12"/>
      <c r="I28782" s="12"/>
      <c r="J28782" s="12"/>
      <c r="K28782" s="12"/>
      <c r="L28782" s="12"/>
      <c r="M28782" s="11"/>
      <c r="N28782" s="11"/>
      <c r="O28782" s="11"/>
      <c r="P28782" s="11"/>
    </row>
    <row r="28783" spans="8:16" x14ac:dyDescent="0.25">
      <c r="H28783" s="12"/>
      <c r="I28783" s="12"/>
      <c r="J28783" s="12"/>
      <c r="K28783" s="12"/>
      <c r="L28783" s="12"/>
      <c r="M28783" s="11"/>
      <c r="N28783" s="11"/>
      <c r="O28783" s="11"/>
      <c r="P28783" s="11"/>
    </row>
    <row r="28784" spans="8:16" x14ac:dyDescent="0.25">
      <c r="H28784" s="12"/>
      <c r="I28784" s="12"/>
      <c r="J28784" s="12"/>
      <c r="K28784" s="12"/>
      <c r="L28784" s="12"/>
      <c r="M28784" s="11"/>
      <c r="N28784" s="11"/>
      <c r="O28784" s="11"/>
      <c r="P28784" s="11"/>
    </row>
    <row r="28785" spans="8:16" x14ac:dyDescent="0.25">
      <c r="H28785" s="12"/>
      <c r="I28785" s="12"/>
      <c r="J28785" s="12"/>
      <c r="K28785" s="12"/>
      <c r="L28785" s="12"/>
      <c r="M28785" s="11"/>
      <c r="N28785" s="11"/>
      <c r="O28785" s="11"/>
      <c r="P28785" s="11"/>
    </row>
    <row r="28786" spans="8:16" x14ac:dyDescent="0.25">
      <c r="H28786" s="12"/>
      <c r="I28786" s="12"/>
      <c r="J28786" s="12"/>
      <c r="K28786" s="12"/>
      <c r="L28786" s="12"/>
      <c r="M28786" s="11"/>
      <c r="N28786" s="11"/>
      <c r="O28786" s="11"/>
      <c r="P28786" s="11"/>
    </row>
    <row r="28787" spans="8:16" x14ac:dyDescent="0.25">
      <c r="H28787" s="12"/>
      <c r="I28787" s="12"/>
      <c r="J28787" s="12"/>
      <c r="K28787" s="12"/>
      <c r="L28787" s="12"/>
      <c r="M28787" s="11"/>
      <c r="N28787" s="11"/>
      <c r="O28787" s="11"/>
      <c r="P28787" s="11"/>
    </row>
    <row r="28788" spans="8:16" x14ac:dyDescent="0.25">
      <c r="H28788" s="12"/>
      <c r="I28788" s="12"/>
      <c r="J28788" s="12"/>
      <c r="K28788" s="12"/>
      <c r="L28788" s="12"/>
      <c r="M28788" s="11"/>
      <c r="N28788" s="11"/>
      <c r="O28788" s="11"/>
      <c r="P28788" s="11"/>
    </row>
    <row r="28789" spans="8:16" x14ac:dyDescent="0.25">
      <c r="H28789" s="12"/>
      <c r="I28789" s="12"/>
      <c r="J28789" s="12"/>
      <c r="K28789" s="12"/>
      <c r="L28789" s="12"/>
      <c r="M28789" s="11"/>
      <c r="N28789" s="11"/>
      <c r="O28789" s="11"/>
      <c r="P28789" s="11"/>
    </row>
    <row r="28790" spans="8:16" x14ac:dyDescent="0.25">
      <c r="H28790" s="12"/>
      <c r="I28790" s="12"/>
      <c r="J28790" s="12"/>
      <c r="K28790" s="12"/>
      <c r="L28790" s="12"/>
      <c r="M28790" s="11"/>
      <c r="N28790" s="11"/>
      <c r="O28790" s="11"/>
      <c r="P28790" s="11"/>
    </row>
    <row r="28791" spans="8:16" x14ac:dyDescent="0.25">
      <c r="H28791" s="12"/>
      <c r="I28791" s="12"/>
      <c r="J28791" s="12"/>
      <c r="K28791" s="12"/>
      <c r="L28791" s="12"/>
      <c r="M28791" s="11"/>
      <c r="N28791" s="11"/>
      <c r="O28791" s="11"/>
      <c r="P28791" s="11"/>
    </row>
    <row r="28792" spans="8:16" x14ac:dyDescent="0.25">
      <c r="H28792" s="12"/>
      <c r="I28792" s="12"/>
      <c r="J28792" s="12"/>
      <c r="K28792" s="12"/>
      <c r="L28792" s="12"/>
      <c r="M28792" s="11"/>
      <c r="N28792" s="11"/>
      <c r="O28792" s="11"/>
      <c r="P28792" s="11"/>
    </row>
    <row r="28793" spans="8:16" x14ac:dyDescent="0.25">
      <c r="H28793" s="12"/>
      <c r="I28793" s="12"/>
      <c r="J28793" s="12"/>
      <c r="K28793" s="12"/>
      <c r="L28793" s="12"/>
      <c r="M28793" s="11"/>
      <c r="N28793" s="11"/>
      <c r="O28793" s="11"/>
      <c r="P28793" s="11"/>
    </row>
    <row r="28794" spans="8:16" x14ac:dyDescent="0.25">
      <c r="H28794" s="12"/>
      <c r="I28794" s="12"/>
      <c r="J28794" s="12"/>
      <c r="K28794" s="12"/>
      <c r="L28794" s="12"/>
      <c r="M28794" s="11"/>
      <c r="N28794" s="11"/>
      <c r="O28794" s="11"/>
      <c r="P28794" s="11"/>
    </row>
    <row r="28795" spans="8:16" x14ac:dyDescent="0.25">
      <c r="H28795" s="12"/>
      <c r="I28795" s="12"/>
      <c r="J28795" s="12"/>
      <c r="K28795" s="12"/>
      <c r="L28795" s="12"/>
      <c r="M28795" s="11"/>
      <c r="N28795" s="11"/>
      <c r="O28795" s="11"/>
      <c r="P28795" s="11"/>
    </row>
    <row r="28796" spans="8:16" x14ac:dyDescent="0.25">
      <c r="H28796" s="12"/>
      <c r="I28796" s="12"/>
      <c r="J28796" s="12"/>
      <c r="K28796" s="12"/>
      <c r="L28796" s="12"/>
      <c r="M28796" s="11"/>
      <c r="N28796" s="11"/>
      <c r="O28796" s="11"/>
      <c r="P28796" s="11"/>
    </row>
    <row r="28797" spans="8:16" x14ac:dyDescent="0.25">
      <c r="H28797" s="12"/>
      <c r="I28797" s="12"/>
      <c r="J28797" s="12"/>
      <c r="K28797" s="12"/>
      <c r="L28797" s="12"/>
      <c r="M28797" s="11"/>
      <c r="N28797" s="11"/>
      <c r="O28797" s="11"/>
      <c r="P28797" s="11"/>
    </row>
    <row r="28798" spans="8:16" x14ac:dyDescent="0.25">
      <c r="H28798" s="12"/>
      <c r="I28798" s="12"/>
      <c r="J28798" s="12"/>
      <c r="K28798" s="12"/>
      <c r="L28798" s="12"/>
      <c r="M28798" s="11"/>
      <c r="N28798" s="11"/>
      <c r="O28798" s="11"/>
      <c r="P28798" s="11"/>
    </row>
    <row r="28799" spans="8:16" x14ac:dyDescent="0.25">
      <c r="H28799" s="12"/>
      <c r="I28799" s="12"/>
      <c r="J28799" s="12"/>
      <c r="K28799" s="12"/>
      <c r="L28799" s="12"/>
      <c r="M28799" s="11"/>
      <c r="N28799" s="11"/>
      <c r="O28799" s="11"/>
      <c r="P28799" s="11"/>
    </row>
    <row r="28800" spans="8:16" x14ac:dyDescent="0.25">
      <c r="H28800" s="12"/>
      <c r="I28800" s="12"/>
      <c r="J28800" s="12"/>
      <c r="K28800" s="12"/>
      <c r="L28800" s="12"/>
      <c r="M28800" s="11"/>
      <c r="N28800" s="11"/>
      <c r="O28800" s="11"/>
      <c r="P28800" s="11"/>
    </row>
    <row r="28801" spans="8:16" x14ac:dyDescent="0.25">
      <c r="H28801" s="12"/>
      <c r="I28801" s="12"/>
      <c r="J28801" s="12"/>
      <c r="K28801" s="12"/>
      <c r="L28801" s="12"/>
      <c r="M28801" s="11"/>
      <c r="N28801" s="11"/>
      <c r="O28801" s="11"/>
      <c r="P28801" s="11"/>
    </row>
    <row r="28802" spans="8:16" x14ac:dyDescent="0.25">
      <c r="H28802" s="12"/>
      <c r="I28802" s="12"/>
      <c r="J28802" s="12"/>
      <c r="K28802" s="12"/>
      <c r="L28802" s="12"/>
      <c r="M28802" s="11"/>
      <c r="N28802" s="11"/>
      <c r="O28802" s="11"/>
      <c r="P28802" s="11"/>
    </row>
    <row r="28803" spans="8:16" x14ac:dyDescent="0.25">
      <c r="H28803" s="12"/>
      <c r="I28803" s="12"/>
      <c r="J28803" s="12"/>
      <c r="K28803" s="12"/>
      <c r="L28803" s="12"/>
      <c r="M28803" s="11"/>
      <c r="N28803" s="11"/>
      <c r="O28803" s="11"/>
      <c r="P28803" s="11"/>
    </row>
    <row r="28804" spans="8:16" x14ac:dyDescent="0.25">
      <c r="H28804" s="12"/>
      <c r="I28804" s="12"/>
      <c r="J28804" s="12"/>
      <c r="K28804" s="12"/>
      <c r="L28804" s="12"/>
      <c r="M28804" s="11"/>
      <c r="N28804" s="11"/>
      <c r="O28804" s="11"/>
      <c r="P28804" s="11"/>
    </row>
    <row r="28805" spans="8:16" x14ac:dyDescent="0.25">
      <c r="H28805" s="12"/>
      <c r="I28805" s="12"/>
      <c r="J28805" s="12"/>
      <c r="K28805" s="12"/>
      <c r="L28805" s="12"/>
      <c r="M28805" s="11"/>
      <c r="N28805" s="11"/>
      <c r="O28805" s="11"/>
      <c r="P28805" s="11"/>
    </row>
    <row r="28806" spans="8:16" x14ac:dyDescent="0.25">
      <c r="H28806" s="12"/>
      <c r="I28806" s="12"/>
      <c r="J28806" s="12"/>
      <c r="K28806" s="12"/>
      <c r="L28806" s="12"/>
      <c r="M28806" s="11"/>
      <c r="N28806" s="11"/>
      <c r="O28806" s="11"/>
      <c r="P28806" s="11"/>
    </row>
    <row r="28807" spans="8:16" x14ac:dyDescent="0.25">
      <c r="H28807" s="12"/>
      <c r="I28807" s="12"/>
      <c r="J28807" s="12"/>
      <c r="K28807" s="12"/>
      <c r="L28807" s="12"/>
      <c r="M28807" s="11"/>
      <c r="N28807" s="11"/>
      <c r="O28807" s="11"/>
      <c r="P28807" s="11"/>
    </row>
    <row r="28808" spans="8:16" x14ac:dyDescent="0.25">
      <c r="H28808" s="12"/>
      <c r="I28808" s="12"/>
      <c r="J28808" s="12"/>
      <c r="K28808" s="12"/>
      <c r="L28808" s="12"/>
      <c r="M28808" s="11"/>
      <c r="N28808" s="11"/>
      <c r="O28808" s="11"/>
      <c r="P28808" s="11"/>
    </row>
    <row r="28809" spans="8:16" x14ac:dyDescent="0.25">
      <c r="H28809" s="12"/>
      <c r="I28809" s="12"/>
      <c r="J28809" s="12"/>
      <c r="K28809" s="12"/>
      <c r="L28809" s="12"/>
      <c r="M28809" s="11"/>
      <c r="N28809" s="11"/>
      <c r="O28809" s="11"/>
      <c r="P28809" s="11"/>
    </row>
    <row r="28810" spans="8:16" x14ac:dyDescent="0.25">
      <c r="H28810" s="12"/>
      <c r="I28810" s="12"/>
      <c r="J28810" s="12"/>
      <c r="K28810" s="12"/>
      <c r="L28810" s="12"/>
      <c r="M28810" s="11"/>
      <c r="N28810" s="11"/>
      <c r="O28810" s="11"/>
      <c r="P28810" s="11"/>
    </row>
    <row r="28811" spans="8:16" x14ac:dyDescent="0.25">
      <c r="H28811" s="12"/>
      <c r="I28811" s="12"/>
      <c r="J28811" s="12"/>
      <c r="K28811" s="12"/>
      <c r="L28811" s="12"/>
      <c r="M28811" s="11"/>
      <c r="N28811" s="11"/>
      <c r="O28811" s="11"/>
      <c r="P28811" s="11"/>
    </row>
    <row r="28812" spans="8:16" x14ac:dyDescent="0.25">
      <c r="H28812" s="12"/>
      <c r="I28812" s="12"/>
      <c r="J28812" s="12"/>
      <c r="K28812" s="12"/>
      <c r="L28812" s="12"/>
      <c r="M28812" s="11"/>
      <c r="N28812" s="11"/>
      <c r="O28812" s="11"/>
      <c r="P28812" s="11"/>
    </row>
    <row r="28813" spans="8:16" x14ac:dyDescent="0.25">
      <c r="H28813" s="12"/>
      <c r="I28813" s="12"/>
      <c r="J28813" s="12"/>
      <c r="K28813" s="12"/>
      <c r="L28813" s="12"/>
      <c r="M28813" s="11"/>
      <c r="N28813" s="11"/>
      <c r="O28813" s="11"/>
      <c r="P28813" s="11"/>
    </row>
    <row r="28814" spans="8:16" x14ac:dyDescent="0.25">
      <c r="H28814" s="12"/>
      <c r="I28814" s="12"/>
      <c r="J28814" s="12"/>
      <c r="K28814" s="12"/>
      <c r="L28814" s="12"/>
      <c r="M28814" s="11"/>
      <c r="N28814" s="11"/>
      <c r="O28814" s="11"/>
      <c r="P28814" s="11"/>
    </row>
    <row r="28815" spans="8:16" x14ac:dyDescent="0.25">
      <c r="H28815" s="12"/>
      <c r="I28815" s="12"/>
      <c r="J28815" s="12"/>
      <c r="K28815" s="12"/>
      <c r="L28815" s="12"/>
      <c r="M28815" s="11"/>
      <c r="N28815" s="11"/>
      <c r="O28815" s="11"/>
      <c r="P28815" s="11"/>
    </row>
    <row r="28816" spans="8:16" x14ac:dyDescent="0.25">
      <c r="H28816" s="12"/>
      <c r="I28816" s="12"/>
      <c r="J28816" s="12"/>
      <c r="K28816" s="12"/>
      <c r="L28816" s="12"/>
      <c r="M28816" s="11"/>
      <c r="N28816" s="11"/>
      <c r="O28816" s="11"/>
      <c r="P28816" s="11"/>
    </row>
    <row r="28817" spans="8:16" x14ac:dyDescent="0.25">
      <c r="H28817" s="12"/>
      <c r="I28817" s="12"/>
      <c r="J28817" s="12"/>
      <c r="K28817" s="12"/>
      <c r="L28817" s="12"/>
      <c r="M28817" s="11"/>
      <c r="N28817" s="11"/>
      <c r="O28817" s="11"/>
      <c r="P28817" s="11"/>
    </row>
    <row r="28818" spans="8:16" x14ac:dyDescent="0.25">
      <c r="H28818" s="12"/>
      <c r="I28818" s="12"/>
      <c r="J28818" s="12"/>
      <c r="K28818" s="12"/>
      <c r="L28818" s="12"/>
      <c r="M28818" s="11"/>
      <c r="N28818" s="11"/>
      <c r="O28818" s="11"/>
      <c r="P28818" s="11"/>
    </row>
    <row r="28819" spans="8:16" x14ac:dyDescent="0.25">
      <c r="H28819" s="12"/>
      <c r="I28819" s="12"/>
      <c r="J28819" s="12"/>
      <c r="K28819" s="12"/>
      <c r="L28819" s="12"/>
      <c r="M28819" s="11"/>
      <c r="N28819" s="11"/>
      <c r="O28819" s="11"/>
      <c r="P28819" s="11"/>
    </row>
    <row r="28820" spans="8:16" x14ac:dyDescent="0.25">
      <c r="H28820" s="12"/>
      <c r="I28820" s="12"/>
      <c r="J28820" s="12"/>
      <c r="K28820" s="12"/>
      <c r="L28820" s="12"/>
      <c r="M28820" s="11"/>
      <c r="N28820" s="11"/>
      <c r="O28820" s="11"/>
      <c r="P28820" s="11"/>
    </row>
    <row r="28821" spans="8:16" x14ac:dyDescent="0.25">
      <c r="H28821" s="12"/>
      <c r="I28821" s="12"/>
      <c r="J28821" s="12"/>
      <c r="K28821" s="12"/>
      <c r="L28821" s="12"/>
      <c r="M28821" s="11"/>
      <c r="N28821" s="11"/>
      <c r="O28821" s="11"/>
      <c r="P28821" s="11"/>
    </row>
    <row r="28822" spans="8:16" x14ac:dyDescent="0.25">
      <c r="H28822" s="12"/>
      <c r="I28822" s="12"/>
      <c r="J28822" s="12"/>
      <c r="K28822" s="12"/>
      <c r="L28822" s="12"/>
      <c r="M28822" s="11"/>
      <c r="N28822" s="11"/>
      <c r="O28822" s="11"/>
      <c r="P28822" s="11"/>
    </row>
    <row r="28823" spans="8:16" x14ac:dyDescent="0.25">
      <c r="H28823" s="12"/>
      <c r="I28823" s="12"/>
      <c r="J28823" s="12"/>
      <c r="K28823" s="12"/>
      <c r="L28823" s="12"/>
      <c r="M28823" s="11"/>
      <c r="N28823" s="11"/>
      <c r="O28823" s="11"/>
      <c r="P28823" s="11"/>
    </row>
    <row r="28824" spans="8:16" x14ac:dyDescent="0.25">
      <c r="H28824" s="12"/>
      <c r="I28824" s="12"/>
      <c r="J28824" s="12"/>
      <c r="K28824" s="12"/>
      <c r="L28824" s="12"/>
      <c r="M28824" s="11"/>
      <c r="N28824" s="11"/>
      <c r="O28824" s="11"/>
      <c r="P28824" s="11"/>
    </row>
    <row r="28825" spans="8:16" x14ac:dyDescent="0.25">
      <c r="H28825" s="12"/>
      <c r="I28825" s="12"/>
      <c r="J28825" s="12"/>
      <c r="K28825" s="12"/>
      <c r="L28825" s="12"/>
      <c r="M28825" s="11"/>
      <c r="N28825" s="11"/>
      <c r="O28825" s="11"/>
      <c r="P28825" s="11"/>
    </row>
    <row r="28826" spans="8:16" x14ac:dyDescent="0.25">
      <c r="H28826" s="12"/>
      <c r="I28826" s="12"/>
      <c r="J28826" s="12"/>
      <c r="K28826" s="12"/>
      <c r="L28826" s="12"/>
      <c r="M28826" s="11"/>
      <c r="N28826" s="11"/>
      <c r="O28826" s="11"/>
      <c r="P28826" s="11"/>
    </row>
    <row r="28827" spans="8:16" x14ac:dyDescent="0.25">
      <c r="H28827" s="12"/>
      <c r="I28827" s="12"/>
      <c r="J28827" s="12"/>
      <c r="K28827" s="12"/>
      <c r="L28827" s="12"/>
      <c r="M28827" s="11"/>
      <c r="N28827" s="11"/>
      <c r="O28827" s="11"/>
      <c r="P28827" s="11"/>
    </row>
    <row r="28828" spans="8:16" x14ac:dyDescent="0.25">
      <c r="H28828" s="12"/>
      <c r="I28828" s="12"/>
      <c r="J28828" s="12"/>
      <c r="K28828" s="12"/>
      <c r="L28828" s="12"/>
      <c r="M28828" s="11"/>
      <c r="N28828" s="11"/>
      <c r="O28828" s="11"/>
      <c r="P28828" s="11"/>
    </row>
    <row r="28829" spans="8:16" x14ac:dyDescent="0.25">
      <c r="H28829" s="12"/>
      <c r="I28829" s="12"/>
      <c r="J28829" s="12"/>
      <c r="K28829" s="12"/>
      <c r="L28829" s="12"/>
      <c r="M28829" s="11"/>
      <c r="N28829" s="11"/>
      <c r="O28829" s="11"/>
      <c r="P28829" s="11"/>
    </row>
    <row r="28830" spans="8:16" x14ac:dyDescent="0.25">
      <c r="H28830" s="12"/>
      <c r="I28830" s="12"/>
      <c r="J28830" s="12"/>
      <c r="K28830" s="12"/>
      <c r="L28830" s="12"/>
      <c r="M28830" s="11"/>
      <c r="N28830" s="11"/>
      <c r="O28830" s="11"/>
      <c r="P28830" s="11"/>
    </row>
    <row r="28831" spans="8:16" x14ac:dyDescent="0.25">
      <c r="H28831" s="12"/>
      <c r="I28831" s="12"/>
      <c r="J28831" s="12"/>
      <c r="K28831" s="12"/>
      <c r="L28831" s="12"/>
      <c r="M28831" s="11"/>
      <c r="N28831" s="11"/>
      <c r="O28831" s="11"/>
      <c r="P28831" s="11"/>
    </row>
    <row r="28832" spans="8:16" x14ac:dyDescent="0.25">
      <c r="H28832" s="12"/>
      <c r="I28832" s="12"/>
      <c r="J28832" s="12"/>
      <c r="K28832" s="12"/>
      <c r="L28832" s="12"/>
      <c r="M28832" s="11"/>
      <c r="N28832" s="11"/>
      <c r="O28832" s="11"/>
      <c r="P28832" s="11"/>
    </row>
    <row r="28833" spans="8:16" x14ac:dyDescent="0.25">
      <c r="H28833" s="12"/>
      <c r="I28833" s="12"/>
      <c r="J28833" s="12"/>
      <c r="K28833" s="12"/>
      <c r="L28833" s="12"/>
      <c r="M28833" s="11"/>
      <c r="N28833" s="11"/>
      <c r="O28833" s="11"/>
      <c r="P28833" s="11"/>
    </row>
    <row r="28834" spans="8:16" x14ac:dyDescent="0.25">
      <c r="H28834" s="12"/>
      <c r="I28834" s="12"/>
      <c r="J28834" s="12"/>
      <c r="K28834" s="12"/>
      <c r="L28834" s="12"/>
      <c r="M28834" s="11"/>
      <c r="N28834" s="11"/>
      <c r="O28834" s="11"/>
      <c r="P28834" s="11"/>
    </row>
    <row r="28835" spans="8:16" x14ac:dyDescent="0.25">
      <c r="H28835" s="12"/>
      <c r="I28835" s="12"/>
      <c r="J28835" s="12"/>
      <c r="K28835" s="12"/>
      <c r="L28835" s="12"/>
      <c r="M28835" s="11"/>
      <c r="N28835" s="11"/>
      <c r="O28835" s="11"/>
      <c r="P28835" s="11"/>
    </row>
    <row r="28836" spans="8:16" x14ac:dyDescent="0.25">
      <c r="H28836" s="12"/>
      <c r="I28836" s="12"/>
      <c r="J28836" s="12"/>
      <c r="K28836" s="12"/>
      <c r="L28836" s="12"/>
      <c r="M28836" s="11"/>
      <c r="N28836" s="11"/>
      <c r="O28836" s="11"/>
      <c r="P28836" s="11"/>
    </row>
    <row r="28837" spans="8:16" x14ac:dyDescent="0.25">
      <c r="H28837" s="12"/>
      <c r="I28837" s="12"/>
      <c r="J28837" s="12"/>
      <c r="K28837" s="12"/>
      <c r="L28837" s="12"/>
      <c r="M28837" s="11"/>
      <c r="N28837" s="11"/>
      <c r="O28837" s="11"/>
      <c r="P28837" s="11"/>
    </row>
    <row r="28838" spans="8:16" x14ac:dyDescent="0.25">
      <c r="H28838" s="12"/>
      <c r="I28838" s="12"/>
      <c r="J28838" s="12"/>
      <c r="K28838" s="12"/>
      <c r="L28838" s="12"/>
      <c r="M28838" s="11"/>
      <c r="N28838" s="11"/>
      <c r="O28838" s="11"/>
      <c r="P28838" s="11"/>
    </row>
    <row r="28839" spans="8:16" x14ac:dyDescent="0.25">
      <c r="H28839" s="12"/>
      <c r="I28839" s="12"/>
      <c r="J28839" s="12"/>
      <c r="K28839" s="12"/>
      <c r="L28839" s="12"/>
      <c r="M28839" s="11"/>
      <c r="N28839" s="11"/>
      <c r="O28839" s="11"/>
      <c r="P28839" s="11"/>
    </row>
    <row r="28840" spans="8:16" x14ac:dyDescent="0.25">
      <c r="H28840" s="12"/>
      <c r="I28840" s="12"/>
      <c r="J28840" s="12"/>
      <c r="K28840" s="12"/>
      <c r="L28840" s="12"/>
      <c r="M28840" s="11"/>
      <c r="N28840" s="11"/>
      <c r="O28840" s="11"/>
      <c r="P28840" s="11"/>
    </row>
    <row r="28841" spans="8:16" x14ac:dyDescent="0.25">
      <c r="H28841" s="12"/>
      <c r="I28841" s="12"/>
      <c r="J28841" s="12"/>
      <c r="K28841" s="12"/>
      <c r="L28841" s="12"/>
      <c r="M28841" s="11"/>
      <c r="N28841" s="11"/>
      <c r="O28841" s="11"/>
      <c r="P28841" s="11"/>
    </row>
    <row r="28842" spans="8:16" x14ac:dyDescent="0.25">
      <c r="H28842" s="12"/>
      <c r="I28842" s="12"/>
      <c r="J28842" s="12"/>
      <c r="K28842" s="12"/>
      <c r="L28842" s="12"/>
      <c r="M28842" s="11"/>
      <c r="N28842" s="11"/>
      <c r="O28842" s="11"/>
      <c r="P28842" s="11"/>
    </row>
    <row r="28843" spans="8:16" x14ac:dyDescent="0.25">
      <c r="H28843" s="12"/>
      <c r="I28843" s="12"/>
      <c r="J28843" s="12"/>
      <c r="K28843" s="12"/>
      <c r="L28843" s="12"/>
      <c r="M28843" s="11"/>
      <c r="N28843" s="11"/>
      <c r="O28843" s="11"/>
      <c r="P28843" s="11"/>
    </row>
    <row r="28844" spans="8:16" x14ac:dyDescent="0.25">
      <c r="H28844" s="12"/>
      <c r="I28844" s="12"/>
      <c r="J28844" s="12"/>
      <c r="K28844" s="12"/>
      <c r="L28844" s="12"/>
      <c r="M28844" s="11"/>
      <c r="N28844" s="11"/>
      <c r="O28844" s="11"/>
      <c r="P28844" s="11"/>
    </row>
    <row r="28845" spans="8:16" x14ac:dyDescent="0.25">
      <c r="H28845" s="12"/>
      <c r="I28845" s="12"/>
      <c r="J28845" s="12"/>
      <c r="K28845" s="12"/>
      <c r="L28845" s="12"/>
      <c r="M28845" s="11"/>
      <c r="N28845" s="11"/>
      <c r="O28845" s="11"/>
      <c r="P28845" s="11"/>
    </row>
    <row r="28846" spans="8:16" x14ac:dyDescent="0.25">
      <c r="H28846" s="12"/>
      <c r="I28846" s="12"/>
      <c r="J28846" s="12"/>
      <c r="K28846" s="12"/>
      <c r="L28846" s="12"/>
      <c r="M28846" s="11"/>
      <c r="N28846" s="11"/>
      <c r="O28846" s="11"/>
      <c r="P28846" s="11"/>
    </row>
    <row r="28847" spans="8:16" x14ac:dyDescent="0.25">
      <c r="H28847" s="12"/>
      <c r="I28847" s="12"/>
      <c r="J28847" s="12"/>
      <c r="K28847" s="12"/>
      <c r="L28847" s="12"/>
      <c r="M28847" s="11"/>
      <c r="N28847" s="11"/>
      <c r="O28847" s="11"/>
      <c r="P28847" s="11"/>
    </row>
    <row r="28848" spans="8:16" x14ac:dyDescent="0.25">
      <c r="H28848" s="12"/>
      <c r="I28848" s="12"/>
      <c r="J28848" s="12"/>
      <c r="K28848" s="12"/>
      <c r="L28848" s="12"/>
      <c r="M28848" s="11"/>
      <c r="N28848" s="11"/>
      <c r="O28848" s="11"/>
      <c r="P28848" s="11"/>
    </row>
    <row r="28849" spans="8:16" x14ac:dyDescent="0.25">
      <c r="H28849" s="12"/>
      <c r="I28849" s="12"/>
      <c r="J28849" s="12"/>
      <c r="K28849" s="12"/>
      <c r="L28849" s="12"/>
      <c r="M28849" s="11"/>
      <c r="N28849" s="11"/>
      <c r="O28849" s="11"/>
      <c r="P28849" s="11"/>
    </row>
    <row r="28850" spans="8:16" x14ac:dyDescent="0.25">
      <c r="H28850" s="12"/>
      <c r="I28850" s="12"/>
      <c r="J28850" s="12"/>
      <c r="K28850" s="12"/>
      <c r="L28850" s="12"/>
      <c r="M28850" s="11"/>
      <c r="N28850" s="11"/>
      <c r="O28850" s="11"/>
      <c r="P28850" s="11"/>
    </row>
    <row r="28851" spans="8:16" x14ac:dyDescent="0.25">
      <c r="H28851" s="12"/>
      <c r="I28851" s="12"/>
      <c r="J28851" s="12"/>
      <c r="K28851" s="12"/>
      <c r="L28851" s="12"/>
      <c r="M28851" s="11"/>
      <c r="N28851" s="11"/>
      <c r="O28851" s="11"/>
      <c r="P28851" s="11"/>
    </row>
    <row r="28852" spans="8:16" x14ac:dyDescent="0.25">
      <c r="H28852" s="12"/>
      <c r="I28852" s="12"/>
      <c r="J28852" s="12"/>
      <c r="K28852" s="12"/>
      <c r="L28852" s="12"/>
      <c r="M28852" s="11"/>
      <c r="N28852" s="11"/>
      <c r="O28852" s="11"/>
      <c r="P28852" s="11"/>
    </row>
    <row r="28853" spans="8:16" x14ac:dyDescent="0.25">
      <c r="H28853" s="12"/>
      <c r="I28853" s="12"/>
      <c r="J28853" s="12"/>
      <c r="K28853" s="12"/>
      <c r="L28853" s="12"/>
      <c r="M28853" s="11"/>
      <c r="N28853" s="11"/>
      <c r="O28853" s="11"/>
      <c r="P28853" s="11"/>
    </row>
    <row r="28854" spans="8:16" x14ac:dyDescent="0.25">
      <c r="H28854" s="12"/>
      <c r="I28854" s="12"/>
      <c r="J28854" s="12"/>
      <c r="K28854" s="12"/>
      <c r="L28854" s="12"/>
      <c r="M28854" s="11"/>
      <c r="N28854" s="11"/>
      <c r="O28854" s="11"/>
      <c r="P28854" s="11"/>
    </row>
    <row r="28855" spans="8:16" x14ac:dyDescent="0.25">
      <c r="H28855" s="12"/>
      <c r="I28855" s="12"/>
      <c r="J28855" s="12"/>
      <c r="K28855" s="12"/>
      <c r="L28855" s="12"/>
      <c r="M28855" s="11"/>
      <c r="N28855" s="11"/>
      <c r="O28855" s="11"/>
      <c r="P28855" s="11"/>
    </row>
    <row r="28856" spans="8:16" x14ac:dyDescent="0.25">
      <c r="H28856" s="12"/>
      <c r="I28856" s="12"/>
      <c r="J28856" s="12"/>
      <c r="K28856" s="12"/>
      <c r="L28856" s="12"/>
      <c r="M28856" s="11"/>
      <c r="N28856" s="11"/>
      <c r="O28856" s="11"/>
      <c r="P28856" s="11"/>
    </row>
    <row r="28857" spans="8:16" x14ac:dyDescent="0.25">
      <c r="H28857" s="12"/>
      <c r="I28857" s="12"/>
      <c r="J28857" s="12"/>
      <c r="K28857" s="12"/>
      <c r="L28857" s="12"/>
      <c r="M28857" s="11"/>
      <c r="N28857" s="11"/>
      <c r="O28857" s="11"/>
      <c r="P28857" s="11"/>
    </row>
    <row r="28858" spans="8:16" x14ac:dyDescent="0.25">
      <c r="H28858" s="12"/>
      <c r="I28858" s="12"/>
      <c r="J28858" s="12"/>
      <c r="K28858" s="12"/>
      <c r="L28858" s="12"/>
      <c r="M28858" s="11"/>
      <c r="N28858" s="11"/>
      <c r="O28858" s="11"/>
      <c r="P28858" s="11"/>
    </row>
    <row r="28859" spans="8:16" x14ac:dyDescent="0.25">
      <c r="H28859" s="12"/>
      <c r="I28859" s="12"/>
      <c r="J28859" s="12"/>
      <c r="K28859" s="12"/>
      <c r="L28859" s="12"/>
      <c r="M28859" s="11"/>
      <c r="N28859" s="11"/>
      <c r="O28859" s="11"/>
      <c r="P28859" s="11"/>
    </row>
    <row r="28860" spans="8:16" x14ac:dyDescent="0.25">
      <c r="H28860" s="12"/>
      <c r="I28860" s="12"/>
      <c r="J28860" s="12"/>
      <c r="K28860" s="12"/>
      <c r="L28860" s="12"/>
      <c r="M28860" s="11"/>
      <c r="N28860" s="11"/>
      <c r="O28860" s="11"/>
      <c r="P28860" s="11"/>
    </row>
    <row r="28861" spans="8:16" x14ac:dyDescent="0.25">
      <c r="H28861" s="12"/>
      <c r="I28861" s="12"/>
      <c r="J28861" s="12"/>
      <c r="K28861" s="12"/>
      <c r="L28861" s="12"/>
      <c r="M28861" s="11"/>
      <c r="N28861" s="11"/>
      <c r="O28861" s="11"/>
      <c r="P28861" s="11"/>
    </row>
    <row r="28862" spans="8:16" x14ac:dyDescent="0.25">
      <c r="H28862" s="12"/>
      <c r="I28862" s="12"/>
      <c r="J28862" s="12"/>
      <c r="K28862" s="12"/>
      <c r="L28862" s="12"/>
      <c r="M28862" s="11"/>
      <c r="N28862" s="11"/>
      <c r="O28862" s="11"/>
      <c r="P28862" s="11"/>
    </row>
    <row r="28863" spans="8:16" x14ac:dyDescent="0.25">
      <c r="H28863" s="12"/>
      <c r="I28863" s="12"/>
      <c r="J28863" s="12"/>
      <c r="K28863" s="12"/>
      <c r="L28863" s="12"/>
      <c r="M28863" s="11"/>
      <c r="N28863" s="11"/>
      <c r="O28863" s="11"/>
      <c r="P28863" s="11"/>
    </row>
    <row r="28864" spans="8:16" x14ac:dyDescent="0.25">
      <c r="H28864" s="12"/>
      <c r="I28864" s="12"/>
      <c r="J28864" s="12"/>
      <c r="K28864" s="12"/>
      <c r="L28864" s="12"/>
      <c r="M28864" s="11"/>
      <c r="N28864" s="11"/>
      <c r="O28864" s="11"/>
      <c r="P28864" s="11"/>
    </row>
    <row r="28865" spans="8:16" x14ac:dyDescent="0.25">
      <c r="H28865" s="12"/>
      <c r="I28865" s="12"/>
      <c r="J28865" s="12"/>
      <c r="K28865" s="12"/>
      <c r="L28865" s="12"/>
      <c r="M28865" s="11"/>
      <c r="N28865" s="11"/>
      <c r="O28865" s="11"/>
      <c r="P28865" s="11"/>
    </row>
    <row r="28866" spans="8:16" x14ac:dyDescent="0.25">
      <c r="H28866" s="12"/>
      <c r="I28866" s="12"/>
      <c r="J28866" s="12"/>
      <c r="K28866" s="12"/>
      <c r="L28866" s="12"/>
      <c r="M28866" s="11"/>
      <c r="N28866" s="11"/>
      <c r="O28866" s="11"/>
      <c r="P28866" s="11"/>
    </row>
    <row r="28867" spans="8:16" x14ac:dyDescent="0.25">
      <c r="H28867" s="12"/>
      <c r="I28867" s="12"/>
      <c r="J28867" s="12"/>
      <c r="K28867" s="12"/>
      <c r="L28867" s="12"/>
      <c r="M28867" s="11"/>
      <c r="N28867" s="11"/>
      <c r="O28867" s="11"/>
      <c r="P28867" s="11"/>
    </row>
    <row r="28868" spans="8:16" x14ac:dyDescent="0.25">
      <c r="H28868" s="12"/>
      <c r="I28868" s="12"/>
      <c r="J28868" s="12"/>
      <c r="K28868" s="12"/>
      <c r="L28868" s="12"/>
      <c r="M28868" s="11"/>
      <c r="N28868" s="11"/>
      <c r="O28868" s="11"/>
      <c r="P28868" s="11"/>
    </row>
    <row r="28869" spans="8:16" x14ac:dyDescent="0.25">
      <c r="H28869" s="12"/>
      <c r="I28869" s="12"/>
      <c r="J28869" s="12"/>
      <c r="K28869" s="12"/>
      <c r="L28869" s="12"/>
      <c r="M28869" s="11"/>
      <c r="N28869" s="11"/>
      <c r="O28869" s="11"/>
      <c r="P28869" s="11"/>
    </row>
    <row r="28870" spans="8:16" x14ac:dyDescent="0.25">
      <c r="H28870" s="12"/>
      <c r="I28870" s="12"/>
      <c r="J28870" s="12"/>
      <c r="K28870" s="12"/>
      <c r="L28870" s="12"/>
      <c r="M28870" s="11"/>
      <c r="N28870" s="11"/>
      <c r="O28870" s="11"/>
      <c r="P28870" s="11"/>
    </row>
    <row r="28871" spans="8:16" x14ac:dyDescent="0.25">
      <c r="H28871" s="12"/>
      <c r="I28871" s="12"/>
      <c r="J28871" s="12"/>
      <c r="K28871" s="12"/>
      <c r="L28871" s="12"/>
      <c r="M28871" s="11"/>
      <c r="N28871" s="11"/>
      <c r="O28871" s="11"/>
      <c r="P28871" s="11"/>
    </row>
    <row r="28872" spans="8:16" x14ac:dyDescent="0.25">
      <c r="H28872" s="12"/>
      <c r="I28872" s="12"/>
      <c r="J28872" s="12"/>
      <c r="K28872" s="12"/>
      <c r="L28872" s="12"/>
      <c r="M28872" s="11"/>
      <c r="N28872" s="11"/>
      <c r="O28872" s="11"/>
      <c r="P28872" s="11"/>
    </row>
    <row r="28873" spans="8:16" x14ac:dyDescent="0.25">
      <c r="H28873" s="12"/>
      <c r="I28873" s="12"/>
      <c r="J28873" s="12"/>
      <c r="K28873" s="12"/>
      <c r="L28873" s="12"/>
      <c r="M28873" s="11"/>
      <c r="N28873" s="11"/>
      <c r="O28873" s="11"/>
      <c r="P28873" s="11"/>
    </row>
    <row r="28874" spans="8:16" x14ac:dyDescent="0.25">
      <c r="H28874" s="12"/>
      <c r="I28874" s="12"/>
      <c r="J28874" s="12"/>
      <c r="K28874" s="12"/>
      <c r="L28874" s="12"/>
      <c r="M28874" s="11"/>
      <c r="N28874" s="11"/>
      <c r="O28874" s="11"/>
      <c r="P28874" s="11"/>
    </row>
    <row r="28875" spans="8:16" x14ac:dyDescent="0.25">
      <c r="H28875" s="12"/>
      <c r="I28875" s="12"/>
      <c r="J28875" s="12"/>
      <c r="K28875" s="12"/>
      <c r="L28875" s="12"/>
      <c r="M28875" s="11"/>
      <c r="N28875" s="11"/>
      <c r="O28875" s="11"/>
      <c r="P28875" s="11"/>
    </row>
    <row r="28876" spans="8:16" x14ac:dyDescent="0.25">
      <c r="H28876" s="12"/>
      <c r="I28876" s="12"/>
      <c r="J28876" s="12"/>
      <c r="K28876" s="12"/>
      <c r="L28876" s="12"/>
      <c r="M28876" s="11"/>
      <c r="N28876" s="11"/>
      <c r="O28876" s="11"/>
      <c r="P28876" s="11"/>
    </row>
    <row r="28877" spans="8:16" x14ac:dyDescent="0.25">
      <c r="H28877" s="12"/>
      <c r="I28877" s="12"/>
      <c r="J28877" s="12"/>
      <c r="K28877" s="12"/>
      <c r="L28877" s="12"/>
      <c r="M28877" s="11"/>
      <c r="N28877" s="11"/>
      <c r="O28877" s="11"/>
      <c r="P28877" s="11"/>
    </row>
    <row r="28878" spans="8:16" x14ac:dyDescent="0.25">
      <c r="H28878" s="12"/>
      <c r="I28878" s="12"/>
      <c r="J28878" s="12"/>
      <c r="K28878" s="12"/>
      <c r="L28878" s="12"/>
      <c r="M28878" s="11"/>
      <c r="N28878" s="11"/>
      <c r="O28878" s="11"/>
      <c r="P28878" s="11"/>
    </row>
    <row r="28879" spans="8:16" x14ac:dyDescent="0.25">
      <c r="H28879" s="12"/>
      <c r="I28879" s="12"/>
      <c r="J28879" s="12"/>
      <c r="K28879" s="12"/>
      <c r="L28879" s="12"/>
      <c r="M28879" s="11"/>
      <c r="N28879" s="11"/>
      <c r="O28879" s="11"/>
      <c r="P28879" s="11"/>
    </row>
    <row r="28880" spans="8:16" x14ac:dyDescent="0.25">
      <c r="H28880" s="12"/>
      <c r="I28880" s="12"/>
      <c r="J28880" s="12"/>
      <c r="K28880" s="12"/>
      <c r="L28880" s="12"/>
      <c r="M28880" s="11"/>
      <c r="N28880" s="11"/>
      <c r="O28880" s="11"/>
      <c r="P28880" s="11"/>
    </row>
    <row r="28881" spans="8:16" x14ac:dyDescent="0.25">
      <c r="H28881" s="12"/>
      <c r="I28881" s="12"/>
      <c r="J28881" s="12"/>
      <c r="K28881" s="12"/>
      <c r="L28881" s="12"/>
      <c r="M28881" s="11"/>
      <c r="N28881" s="11"/>
      <c r="O28881" s="11"/>
      <c r="P28881" s="11"/>
    </row>
    <row r="28882" spans="8:16" x14ac:dyDescent="0.25">
      <c r="H28882" s="12"/>
      <c r="I28882" s="12"/>
      <c r="J28882" s="12"/>
      <c r="K28882" s="12"/>
      <c r="L28882" s="12"/>
      <c r="M28882" s="11"/>
      <c r="N28882" s="11"/>
      <c r="O28882" s="11"/>
      <c r="P28882" s="11"/>
    </row>
    <row r="28883" spans="8:16" x14ac:dyDescent="0.25">
      <c r="H28883" s="12"/>
      <c r="I28883" s="12"/>
      <c r="J28883" s="12"/>
      <c r="K28883" s="12"/>
      <c r="L28883" s="12"/>
      <c r="M28883" s="11"/>
      <c r="N28883" s="11"/>
      <c r="O28883" s="11"/>
      <c r="P28883" s="11"/>
    </row>
    <row r="28884" spans="8:16" x14ac:dyDescent="0.25">
      <c r="H28884" s="12"/>
      <c r="I28884" s="12"/>
      <c r="J28884" s="12"/>
      <c r="K28884" s="12"/>
      <c r="L28884" s="12"/>
      <c r="M28884" s="11"/>
      <c r="N28884" s="11"/>
      <c r="O28884" s="11"/>
      <c r="P28884" s="11"/>
    </row>
    <row r="28885" spans="8:16" x14ac:dyDescent="0.25">
      <c r="H28885" s="12"/>
      <c r="I28885" s="12"/>
      <c r="J28885" s="12"/>
      <c r="K28885" s="12"/>
      <c r="L28885" s="12"/>
      <c r="M28885" s="11"/>
      <c r="N28885" s="11"/>
      <c r="O28885" s="11"/>
      <c r="P28885" s="11"/>
    </row>
    <row r="28886" spans="8:16" x14ac:dyDescent="0.25">
      <c r="H28886" s="12"/>
      <c r="I28886" s="12"/>
      <c r="J28886" s="12"/>
      <c r="K28886" s="12"/>
      <c r="L28886" s="12"/>
      <c r="M28886" s="11"/>
      <c r="N28886" s="11"/>
      <c r="O28886" s="11"/>
      <c r="P28886" s="11"/>
    </row>
    <row r="28887" spans="8:16" x14ac:dyDescent="0.25">
      <c r="H28887" s="12"/>
      <c r="I28887" s="12"/>
      <c r="J28887" s="12"/>
      <c r="K28887" s="12"/>
      <c r="L28887" s="12"/>
      <c r="M28887" s="11"/>
      <c r="N28887" s="11"/>
      <c r="O28887" s="11"/>
      <c r="P28887" s="11"/>
    </row>
    <row r="28888" spans="8:16" x14ac:dyDescent="0.25">
      <c r="H28888" s="12"/>
      <c r="I28888" s="12"/>
      <c r="J28888" s="12"/>
      <c r="K28888" s="12"/>
      <c r="L28888" s="12"/>
      <c r="M28888" s="11"/>
      <c r="N28888" s="11"/>
      <c r="O28888" s="11"/>
      <c r="P28888" s="11"/>
    </row>
    <row r="28889" spans="8:16" x14ac:dyDescent="0.25">
      <c r="H28889" s="12"/>
      <c r="I28889" s="12"/>
      <c r="J28889" s="12"/>
      <c r="K28889" s="12"/>
      <c r="L28889" s="12"/>
      <c r="M28889" s="11"/>
      <c r="N28889" s="11"/>
      <c r="O28889" s="11"/>
      <c r="P28889" s="11"/>
    </row>
    <row r="28890" spans="8:16" x14ac:dyDescent="0.25">
      <c r="H28890" s="12"/>
      <c r="I28890" s="12"/>
      <c r="J28890" s="12"/>
      <c r="K28890" s="12"/>
      <c r="L28890" s="12"/>
      <c r="M28890" s="11"/>
      <c r="N28890" s="11"/>
      <c r="O28890" s="11"/>
      <c r="P28890" s="11"/>
    </row>
    <row r="28891" spans="8:16" x14ac:dyDescent="0.25">
      <c r="H28891" s="12"/>
      <c r="I28891" s="12"/>
      <c r="J28891" s="12"/>
      <c r="K28891" s="12"/>
      <c r="L28891" s="12"/>
      <c r="M28891" s="11"/>
      <c r="N28891" s="11"/>
      <c r="O28891" s="11"/>
      <c r="P28891" s="11"/>
    </row>
    <row r="28892" spans="8:16" x14ac:dyDescent="0.25">
      <c r="H28892" s="12"/>
      <c r="I28892" s="12"/>
      <c r="J28892" s="12"/>
      <c r="K28892" s="12"/>
      <c r="L28892" s="12"/>
      <c r="M28892" s="11"/>
      <c r="N28892" s="11"/>
      <c r="O28892" s="11"/>
      <c r="P28892" s="11"/>
    </row>
    <row r="28893" spans="8:16" x14ac:dyDescent="0.25">
      <c r="H28893" s="12"/>
      <c r="I28893" s="12"/>
      <c r="J28893" s="12"/>
      <c r="K28893" s="12"/>
      <c r="L28893" s="12"/>
      <c r="M28893" s="11"/>
      <c r="N28893" s="11"/>
      <c r="O28893" s="11"/>
      <c r="P28893" s="11"/>
    </row>
    <row r="28894" spans="8:16" x14ac:dyDescent="0.25">
      <c r="H28894" s="12"/>
      <c r="I28894" s="12"/>
      <c r="J28894" s="12"/>
      <c r="K28894" s="12"/>
      <c r="L28894" s="12"/>
      <c r="M28894" s="11"/>
      <c r="N28894" s="11"/>
      <c r="O28894" s="11"/>
      <c r="P28894" s="11"/>
    </row>
    <row r="28895" spans="8:16" x14ac:dyDescent="0.25">
      <c r="H28895" s="12"/>
      <c r="I28895" s="12"/>
      <c r="J28895" s="12"/>
      <c r="K28895" s="12"/>
      <c r="L28895" s="12"/>
      <c r="M28895" s="11"/>
      <c r="N28895" s="11"/>
      <c r="O28895" s="11"/>
      <c r="P28895" s="11"/>
    </row>
    <row r="28896" spans="8:16" x14ac:dyDescent="0.25">
      <c r="H28896" s="12"/>
      <c r="I28896" s="12"/>
      <c r="J28896" s="12"/>
      <c r="K28896" s="12"/>
      <c r="L28896" s="12"/>
      <c r="M28896" s="11"/>
      <c r="N28896" s="11"/>
      <c r="O28896" s="11"/>
      <c r="P28896" s="11"/>
    </row>
    <row r="28897" spans="8:16" x14ac:dyDescent="0.25">
      <c r="H28897" s="12"/>
      <c r="I28897" s="12"/>
      <c r="J28897" s="12"/>
      <c r="K28897" s="12"/>
      <c r="L28897" s="12"/>
      <c r="M28897" s="11"/>
      <c r="N28897" s="11"/>
      <c r="O28897" s="11"/>
      <c r="P28897" s="11"/>
    </row>
    <row r="28898" spans="8:16" x14ac:dyDescent="0.25">
      <c r="H28898" s="12"/>
      <c r="I28898" s="12"/>
      <c r="J28898" s="12"/>
      <c r="K28898" s="12"/>
      <c r="L28898" s="12"/>
      <c r="M28898" s="11"/>
      <c r="N28898" s="11"/>
      <c r="O28898" s="11"/>
      <c r="P28898" s="11"/>
    </row>
    <row r="28899" spans="8:16" x14ac:dyDescent="0.25">
      <c r="H28899" s="12"/>
      <c r="I28899" s="12"/>
      <c r="J28899" s="12"/>
      <c r="K28899" s="12"/>
      <c r="L28899" s="12"/>
      <c r="M28899" s="11"/>
      <c r="N28899" s="11"/>
      <c r="O28899" s="11"/>
      <c r="P28899" s="11"/>
    </row>
    <row r="28900" spans="8:16" x14ac:dyDescent="0.25">
      <c r="H28900" s="12"/>
      <c r="I28900" s="12"/>
      <c r="J28900" s="12"/>
      <c r="K28900" s="12"/>
      <c r="L28900" s="12"/>
      <c r="M28900" s="11"/>
      <c r="N28900" s="11"/>
      <c r="O28900" s="11"/>
      <c r="P28900" s="11"/>
    </row>
    <row r="28901" spans="8:16" x14ac:dyDescent="0.25">
      <c r="H28901" s="12"/>
      <c r="I28901" s="12"/>
      <c r="J28901" s="12"/>
      <c r="K28901" s="12"/>
      <c r="L28901" s="12"/>
      <c r="M28901" s="11"/>
      <c r="N28901" s="11"/>
      <c r="O28901" s="11"/>
      <c r="P28901" s="11"/>
    </row>
    <row r="28902" spans="8:16" x14ac:dyDescent="0.25">
      <c r="H28902" s="12"/>
      <c r="I28902" s="12"/>
      <c r="J28902" s="12"/>
      <c r="K28902" s="12"/>
      <c r="L28902" s="12"/>
      <c r="M28902" s="11"/>
      <c r="N28902" s="11"/>
      <c r="O28902" s="11"/>
      <c r="P28902" s="11"/>
    </row>
    <row r="28903" spans="8:16" x14ac:dyDescent="0.25">
      <c r="H28903" s="12"/>
      <c r="I28903" s="12"/>
      <c r="J28903" s="12"/>
      <c r="K28903" s="12"/>
      <c r="L28903" s="12"/>
      <c r="M28903" s="11"/>
      <c r="N28903" s="11"/>
      <c r="O28903" s="11"/>
      <c r="P28903" s="11"/>
    </row>
    <row r="28904" spans="8:16" x14ac:dyDescent="0.25">
      <c r="H28904" s="12"/>
      <c r="I28904" s="12"/>
      <c r="J28904" s="12"/>
      <c r="K28904" s="12"/>
      <c r="L28904" s="12"/>
      <c r="M28904" s="11"/>
      <c r="N28904" s="11"/>
      <c r="O28904" s="11"/>
      <c r="P28904" s="11"/>
    </row>
    <row r="28905" spans="8:16" x14ac:dyDescent="0.25">
      <c r="H28905" s="12"/>
      <c r="I28905" s="12"/>
      <c r="J28905" s="12"/>
      <c r="K28905" s="12"/>
      <c r="L28905" s="12"/>
      <c r="M28905" s="11"/>
      <c r="N28905" s="11"/>
      <c r="O28905" s="11"/>
      <c r="P28905" s="11"/>
    </row>
    <row r="28906" spans="8:16" x14ac:dyDescent="0.25">
      <c r="H28906" s="12"/>
      <c r="I28906" s="12"/>
      <c r="J28906" s="12"/>
      <c r="K28906" s="12"/>
      <c r="L28906" s="12"/>
      <c r="M28906" s="11"/>
      <c r="N28906" s="11"/>
      <c r="O28906" s="11"/>
      <c r="P28906" s="11"/>
    </row>
    <row r="28907" spans="8:16" x14ac:dyDescent="0.25">
      <c r="H28907" s="12"/>
      <c r="I28907" s="12"/>
      <c r="J28907" s="12"/>
      <c r="K28907" s="12"/>
      <c r="L28907" s="12"/>
      <c r="M28907" s="11"/>
      <c r="N28907" s="11"/>
      <c r="O28907" s="11"/>
      <c r="P28907" s="11"/>
    </row>
    <row r="28908" spans="8:16" x14ac:dyDescent="0.25">
      <c r="H28908" s="12"/>
      <c r="I28908" s="12"/>
      <c r="J28908" s="12"/>
      <c r="K28908" s="12"/>
      <c r="L28908" s="12"/>
      <c r="M28908" s="11"/>
      <c r="N28908" s="11"/>
      <c r="O28908" s="11"/>
      <c r="P28908" s="11"/>
    </row>
    <row r="28909" spans="8:16" x14ac:dyDescent="0.25">
      <c r="H28909" s="12"/>
      <c r="I28909" s="12"/>
      <c r="J28909" s="12"/>
      <c r="K28909" s="12"/>
      <c r="L28909" s="12"/>
      <c r="M28909" s="11"/>
      <c r="N28909" s="11"/>
      <c r="O28909" s="11"/>
      <c r="P28909" s="11"/>
    </row>
    <row r="28910" spans="8:16" x14ac:dyDescent="0.25">
      <c r="H28910" s="12"/>
      <c r="I28910" s="12"/>
      <c r="J28910" s="12"/>
      <c r="K28910" s="12"/>
      <c r="L28910" s="12"/>
      <c r="M28910" s="11"/>
      <c r="N28910" s="11"/>
      <c r="O28910" s="11"/>
      <c r="P28910" s="11"/>
    </row>
    <row r="28911" spans="8:16" x14ac:dyDescent="0.25">
      <c r="H28911" s="12"/>
      <c r="I28911" s="12"/>
      <c r="J28911" s="12"/>
      <c r="K28911" s="12"/>
      <c r="L28911" s="12"/>
      <c r="M28911" s="11"/>
      <c r="N28911" s="11"/>
      <c r="O28911" s="11"/>
      <c r="P28911" s="11"/>
    </row>
    <row r="28912" spans="8:16" x14ac:dyDescent="0.25">
      <c r="H28912" s="12"/>
      <c r="I28912" s="12"/>
      <c r="J28912" s="12"/>
      <c r="K28912" s="12"/>
      <c r="L28912" s="12"/>
      <c r="M28912" s="11"/>
      <c r="N28912" s="11"/>
      <c r="O28912" s="11"/>
      <c r="P28912" s="11"/>
    </row>
    <row r="28913" spans="8:16" x14ac:dyDescent="0.25">
      <c r="H28913" s="12"/>
      <c r="I28913" s="12"/>
      <c r="J28913" s="12"/>
      <c r="K28913" s="12"/>
      <c r="L28913" s="12"/>
      <c r="M28913" s="11"/>
      <c r="N28913" s="11"/>
      <c r="O28913" s="11"/>
      <c r="P28913" s="11"/>
    </row>
    <row r="28914" spans="8:16" x14ac:dyDescent="0.25">
      <c r="H28914" s="12"/>
      <c r="I28914" s="12"/>
      <c r="J28914" s="12"/>
      <c r="K28914" s="12"/>
      <c r="L28914" s="12"/>
      <c r="M28914" s="11"/>
      <c r="N28914" s="11"/>
      <c r="O28914" s="11"/>
      <c r="P28914" s="11"/>
    </row>
    <row r="28915" spans="8:16" x14ac:dyDescent="0.25">
      <c r="H28915" s="12"/>
      <c r="I28915" s="12"/>
      <c r="J28915" s="12"/>
      <c r="K28915" s="12"/>
      <c r="L28915" s="12"/>
      <c r="M28915" s="11"/>
      <c r="N28915" s="11"/>
      <c r="O28915" s="11"/>
      <c r="P28915" s="11"/>
    </row>
    <row r="28916" spans="8:16" x14ac:dyDescent="0.25">
      <c r="H28916" s="12"/>
      <c r="I28916" s="12"/>
      <c r="J28916" s="12"/>
      <c r="K28916" s="12"/>
      <c r="L28916" s="12"/>
      <c r="M28916" s="11"/>
      <c r="N28916" s="11"/>
      <c r="O28916" s="11"/>
      <c r="P28916" s="11"/>
    </row>
    <row r="28917" spans="8:16" x14ac:dyDescent="0.25">
      <c r="H28917" s="12"/>
      <c r="I28917" s="12"/>
      <c r="J28917" s="12"/>
      <c r="K28917" s="12"/>
      <c r="L28917" s="12"/>
      <c r="M28917" s="11"/>
      <c r="N28917" s="11"/>
      <c r="O28917" s="11"/>
      <c r="P28917" s="11"/>
    </row>
    <row r="28918" spans="8:16" x14ac:dyDescent="0.25">
      <c r="H28918" s="12"/>
      <c r="I28918" s="12"/>
      <c r="J28918" s="12"/>
      <c r="K28918" s="12"/>
      <c r="L28918" s="12"/>
      <c r="M28918" s="11"/>
      <c r="N28918" s="11"/>
      <c r="O28918" s="11"/>
      <c r="P28918" s="11"/>
    </row>
    <row r="28919" spans="8:16" x14ac:dyDescent="0.25">
      <c r="H28919" s="12"/>
      <c r="I28919" s="12"/>
      <c r="J28919" s="12"/>
      <c r="K28919" s="12"/>
      <c r="L28919" s="12"/>
      <c r="M28919" s="11"/>
      <c r="N28919" s="11"/>
      <c r="O28919" s="11"/>
      <c r="P28919" s="11"/>
    </row>
    <row r="28920" spans="8:16" x14ac:dyDescent="0.25">
      <c r="H28920" s="12"/>
      <c r="I28920" s="12"/>
      <c r="J28920" s="12"/>
      <c r="K28920" s="12"/>
      <c r="L28920" s="12"/>
      <c r="M28920" s="11"/>
      <c r="N28920" s="11"/>
      <c r="O28920" s="11"/>
      <c r="P28920" s="11"/>
    </row>
    <row r="28921" spans="8:16" x14ac:dyDescent="0.25">
      <c r="H28921" s="12"/>
      <c r="I28921" s="12"/>
      <c r="J28921" s="12"/>
      <c r="K28921" s="12"/>
      <c r="L28921" s="12"/>
      <c r="M28921" s="11"/>
      <c r="N28921" s="11"/>
      <c r="O28921" s="11"/>
      <c r="P28921" s="11"/>
    </row>
    <row r="28922" spans="8:16" x14ac:dyDescent="0.25">
      <c r="H28922" s="12"/>
      <c r="I28922" s="12"/>
      <c r="J28922" s="12"/>
      <c r="K28922" s="12"/>
      <c r="L28922" s="12"/>
      <c r="M28922" s="11"/>
      <c r="N28922" s="11"/>
      <c r="O28922" s="11"/>
      <c r="P28922" s="11"/>
    </row>
    <row r="28923" spans="8:16" x14ac:dyDescent="0.25">
      <c r="H28923" s="12"/>
      <c r="I28923" s="12"/>
      <c r="J28923" s="12"/>
      <c r="K28923" s="12"/>
      <c r="L28923" s="12"/>
      <c r="M28923" s="11"/>
      <c r="N28923" s="11"/>
      <c r="O28923" s="11"/>
      <c r="P28923" s="11"/>
    </row>
    <row r="28924" spans="8:16" x14ac:dyDescent="0.25">
      <c r="H28924" s="12"/>
      <c r="I28924" s="12"/>
      <c r="J28924" s="12"/>
      <c r="K28924" s="12"/>
      <c r="L28924" s="12"/>
      <c r="M28924" s="11"/>
      <c r="N28924" s="11"/>
      <c r="O28924" s="11"/>
      <c r="P28924" s="11"/>
    </row>
    <row r="28925" spans="8:16" x14ac:dyDescent="0.25">
      <c r="H28925" s="12"/>
      <c r="I28925" s="12"/>
      <c r="J28925" s="12"/>
      <c r="K28925" s="12"/>
      <c r="L28925" s="12"/>
      <c r="M28925" s="11"/>
      <c r="N28925" s="11"/>
      <c r="O28925" s="11"/>
      <c r="P28925" s="11"/>
    </row>
    <row r="28926" spans="8:16" x14ac:dyDescent="0.25">
      <c r="H28926" s="12"/>
      <c r="I28926" s="12"/>
      <c r="J28926" s="12"/>
      <c r="K28926" s="12"/>
      <c r="L28926" s="12"/>
      <c r="M28926" s="11"/>
      <c r="N28926" s="11"/>
      <c r="O28926" s="11"/>
      <c r="P28926" s="11"/>
    </row>
    <row r="28927" spans="8:16" x14ac:dyDescent="0.25">
      <c r="H28927" s="12"/>
      <c r="I28927" s="12"/>
      <c r="J28927" s="12"/>
      <c r="K28927" s="12"/>
      <c r="L28927" s="12"/>
      <c r="M28927" s="11"/>
      <c r="N28927" s="11"/>
      <c r="O28927" s="11"/>
      <c r="P28927" s="11"/>
    </row>
    <row r="28928" spans="8:16" x14ac:dyDescent="0.25">
      <c r="H28928" s="12"/>
      <c r="I28928" s="12"/>
      <c r="J28928" s="12"/>
      <c r="K28928" s="12"/>
      <c r="L28928" s="12"/>
      <c r="M28928" s="11"/>
      <c r="N28928" s="11"/>
      <c r="O28928" s="11"/>
      <c r="P28928" s="11"/>
    </row>
    <row r="28929" spans="8:16" x14ac:dyDescent="0.25">
      <c r="H28929" s="12"/>
      <c r="I28929" s="12"/>
      <c r="J28929" s="12"/>
      <c r="K28929" s="12"/>
      <c r="L28929" s="12"/>
      <c r="M28929" s="11"/>
      <c r="N28929" s="11"/>
      <c r="O28929" s="11"/>
      <c r="P28929" s="11"/>
    </row>
    <row r="28930" spans="8:16" x14ac:dyDescent="0.25">
      <c r="H28930" s="12"/>
      <c r="I28930" s="12"/>
      <c r="J28930" s="12"/>
      <c r="K28930" s="12"/>
      <c r="L28930" s="12"/>
      <c r="M28930" s="11"/>
      <c r="N28930" s="11"/>
      <c r="O28930" s="11"/>
      <c r="P28930" s="11"/>
    </row>
    <row r="28931" spans="8:16" x14ac:dyDescent="0.25">
      <c r="H28931" s="12"/>
      <c r="I28931" s="12"/>
      <c r="J28931" s="12"/>
      <c r="K28931" s="12"/>
      <c r="L28931" s="12"/>
      <c r="M28931" s="11"/>
      <c r="N28931" s="11"/>
      <c r="O28931" s="11"/>
      <c r="P28931" s="11"/>
    </row>
    <row r="28932" spans="8:16" x14ac:dyDescent="0.25">
      <c r="H28932" s="12"/>
      <c r="I28932" s="12"/>
      <c r="J28932" s="12"/>
      <c r="K28932" s="12"/>
      <c r="L28932" s="12"/>
      <c r="M28932" s="11"/>
      <c r="N28932" s="11"/>
      <c r="O28932" s="11"/>
      <c r="P28932" s="11"/>
    </row>
    <row r="28933" spans="8:16" x14ac:dyDescent="0.25">
      <c r="H28933" s="12"/>
      <c r="I28933" s="12"/>
      <c r="J28933" s="12"/>
      <c r="K28933" s="12"/>
      <c r="L28933" s="12"/>
      <c r="M28933" s="11"/>
      <c r="N28933" s="11"/>
      <c r="O28933" s="11"/>
      <c r="P28933" s="11"/>
    </row>
    <row r="28934" spans="8:16" x14ac:dyDescent="0.25">
      <c r="H28934" s="12"/>
      <c r="I28934" s="12"/>
      <c r="J28934" s="12"/>
      <c r="K28934" s="12"/>
      <c r="L28934" s="12"/>
      <c r="M28934" s="11"/>
      <c r="N28934" s="11"/>
      <c r="O28934" s="11"/>
      <c r="P28934" s="11"/>
    </row>
    <row r="28935" spans="8:16" x14ac:dyDescent="0.25">
      <c r="H28935" s="12"/>
      <c r="I28935" s="12"/>
      <c r="J28935" s="12"/>
      <c r="K28935" s="12"/>
      <c r="L28935" s="12"/>
      <c r="M28935" s="11"/>
      <c r="N28935" s="11"/>
      <c r="O28935" s="11"/>
      <c r="P28935" s="11"/>
    </row>
    <row r="28936" spans="8:16" x14ac:dyDescent="0.25">
      <c r="H28936" s="12"/>
      <c r="I28936" s="12"/>
      <c r="J28936" s="12"/>
      <c r="K28936" s="12"/>
      <c r="L28936" s="12"/>
      <c r="M28936" s="11"/>
      <c r="N28936" s="11"/>
      <c r="O28936" s="11"/>
      <c r="P28936" s="11"/>
    </row>
    <row r="28937" spans="8:16" x14ac:dyDescent="0.25">
      <c r="H28937" s="12"/>
      <c r="I28937" s="12"/>
      <c r="J28937" s="12"/>
      <c r="K28937" s="12"/>
      <c r="L28937" s="12"/>
      <c r="M28937" s="11"/>
      <c r="N28937" s="11"/>
      <c r="O28937" s="11"/>
      <c r="P28937" s="11"/>
    </row>
    <row r="28938" spans="8:16" x14ac:dyDescent="0.25">
      <c r="H28938" s="12"/>
      <c r="I28938" s="12"/>
      <c r="J28938" s="12"/>
      <c r="K28938" s="12"/>
      <c r="L28938" s="12"/>
      <c r="M28938" s="11"/>
      <c r="N28938" s="11"/>
      <c r="O28938" s="11"/>
      <c r="P28938" s="11"/>
    </row>
    <row r="28939" spans="8:16" x14ac:dyDescent="0.25">
      <c r="H28939" s="12"/>
      <c r="I28939" s="12"/>
      <c r="J28939" s="12"/>
      <c r="K28939" s="12"/>
      <c r="L28939" s="12"/>
      <c r="M28939" s="11"/>
      <c r="N28939" s="11"/>
      <c r="O28939" s="11"/>
      <c r="P28939" s="11"/>
    </row>
    <row r="28940" spans="8:16" x14ac:dyDescent="0.25">
      <c r="H28940" s="12"/>
      <c r="I28940" s="12"/>
      <c r="J28940" s="12"/>
      <c r="K28940" s="12"/>
      <c r="L28940" s="12"/>
      <c r="M28940" s="11"/>
      <c r="N28940" s="11"/>
      <c r="O28940" s="11"/>
      <c r="P28940" s="11"/>
    </row>
    <row r="28941" spans="8:16" x14ac:dyDescent="0.25">
      <c r="H28941" s="12"/>
      <c r="I28941" s="12"/>
      <c r="J28941" s="12"/>
      <c r="K28941" s="12"/>
      <c r="L28941" s="12"/>
      <c r="M28941" s="11"/>
      <c r="N28941" s="11"/>
      <c r="O28941" s="11"/>
      <c r="P28941" s="11"/>
    </row>
    <row r="28942" spans="8:16" x14ac:dyDescent="0.25">
      <c r="H28942" s="12"/>
      <c r="I28942" s="12"/>
      <c r="J28942" s="12"/>
      <c r="K28942" s="12"/>
      <c r="L28942" s="12"/>
      <c r="M28942" s="11"/>
      <c r="N28942" s="11"/>
      <c r="O28942" s="11"/>
      <c r="P28942" s="11"/>
    </row>
    <row r="28943" spans="8:16" x14ac:dyDescent="0.25">
      <c r="H28943" s="12"/>
      <c r="I28943" s="12"/>
      <c r="J28943" s="12"/>
      <c r="K28943" s="12"/>
      <c r="L28943" s="12"/>
      <c r="M28943" s="11"/>
      <c r="N28943" s="11"/>
      <c r="O28943" s="11"/>
      <c r="P28943" s="11"/>
    </row>
    <row r="28944" spans="8:16" x14ac:dyDescent="0.25">
      <c r="H28944" s="12"/>
      <c r="I28944" s="12"/>
      <c r="J28944" s="12"/>
      <c r="K28944" s="12"/>
      <c r="L28944" s="12"/>
      <c r="M28944" s="11"/>
      <c r="N28944" s="11"/>
      <c r="O28944" s="11"/>
      <c r="P28944" s="11"/>
    </row>
    <row r="28945" spans="8:16" x14ac:dyDescent="0.25">
      <c r="H28945" s="12"/>
      <c r="I28945" s="12"/>
      <c r="J28945" s="12"/>
      <c r="K28945" s="12"/>
      <c r="L28945" s="12"/>
      <c r="M28945" s="11"/>
      <c r="N28945" s="11"/>
      <c r="O28945" s="11"/>
      <c r="P28945" s="11"/>
    </row>
    <row r="28946" spans="8:16" x14ac:dyDescent="0.25">
      <c r="H28946" s="12"/>
      <c r="I28946" s="12"/>
      <c r="J28946" s="12"/>
      <c r="K28946" s="12"/>
      <c r="L28946" s="12"/>
      <c r="M28946" s="11"/>
      <c r="N28946" s="11"/>
      <c r="O28946" s="11"/>
      <c r="P28946" s="11"/>
    </row>
    <row r="28947" spans="8:16" x14ac:dyDescent="0.25">
      <c r="H28947" s="12"/>
      <c r="I28947" s="12"/>
      <c r="J28947" s="12"/>
      <c r="K28947" s="12"/>
      <c r="L28947" s="12"/>
      <c r="M28947" s="11"/>
      <c r="N28947" s="11"/>
      <c r="O28947" s="11"/>
      <c r="P28947" s="11"/>
    </row>
    <row r="28948" spans="8:16" x14ac:dyDescent="0.25">
      <c r="H28948" s="12"/>
      <c r="I28948" s="12"/>
      <c r="J28948" s="12"/>
      <c r="K28948" s="12"/>
      <c r="L28948" s="12"/>
      <c r="M28948" s="11"/>
      <c r="N28948" s="11"/>
      <c r="O28948" s="11"/>
      <c r="P28948" s="11"/>
    </row>
    <row r="28949" spans="8:16" x14ac:dyDescent="0.25">
      <c r="H28949" s="12"/>
      <c r="I28949" s="12"/>
      <c r="J28949" s="12"/>
      <c r="K28949" s="12"/>
      <c r="L28949" s="12"/>
      <c r="M28949" s="11"/>
      <c r="N28949" s="11"/>
      <c r="O28949" s="11"/>
      <c r="P28949" s="11"/>
    </row>
    <row r="28950" spans="8:16" x14ac:dyDescent="0.25">
      <c r="H28950" s="12"/>
      <c r="I28950" s="12"/>
      <c r="J28950" s="12"/>
      <c r="K28950" s="12"/>
      <c r="L28950" s="12"/>
      <c r="M28950" s="11"/>
      <c r="N28950" s="11"/>
      <c r="O28950" s="11"/>
      <c r="P28950" s="11"/>
    </row>
    <row r="28951" spans="8:16" x14ac:dyDescent="0.25">
      <c r="H28951" s="12"/>
      <c r="I28951" s="12"/>
      <c r="J28951" s="12"/>
      <c r="K28951" s="12"/>
      <c r="L28951" s="12"/>
      <c r="M28951" s="11"/>
      <c r="N28951" s="11"/>
      <c r="O28951" s="11"/>
      <c r="P28951" s="11"/>
    </row>
    <row r="28952" spans="8:16" x14ac:dyDescent="0.25">
      <c r="H28952" s="12"/>
      <c r="I28952" s="12"/>
      <c r="J28952" s="12"/>
      <c r="K28952" s="12"/>
      <c r="L28952" s="12"/>
      <c r="M28952" s="11"/>
      <c r="N28952" s="11"/>
      <c r="O28952" s="11"/>
      <c r="P28952" s="11"/>
    </row>
    <row r="28953" spans="8:16" x14ac:dyDescent="0.25">
      <c r="H28953" s="12"/>
      <c r="I28953" s="12"/>
      <c r="J28953" s="12"/>
      <c r="K28953" s="12"/>
      <c r="L28953" s="12"/>
      <c r="M28953" s="11"/>
      <c r="N28953" s="11"/>
      <c r="O28953" s="11"/>
      <c r="P28953" s="11"/>
    </row>
    <row r="28954" spans="8:16" x14ac:dyDescent="0.25">
      <c r="H28954" s="12"/>
      <c r="I28954" s="12"/>
      <c r="J28954" s="12"/>
      <c r="K28954" s="12"/>
      <c r="L28954" s="12"/>
      <c r="M28954" s="11"/>
      <c r="N28954" s="11"/>
      <c r="O28954" s="11"/>
      <c r="P28954" s="11"/>
    </row>
    <row r="28955" spans="8:16" x14ac:dyDescent="0.25">
      <c r="H28955" s="12"/>
      <c r="I28955" s="12"/>
      <c r="J28955" s="12"/>
      <c r="K28955" s="12"/>
      <c r="L28955" s="12"/>
      <c r="M28955" s="11"/>
      <c r="N28955" s="11"/>
      <c r="O28955" s="11"/>
      <c r="P28955" s="11"/>
    </row>
    <row r="28956" spans="8:16" x14ac:dyDescent="0.25">
      <c r="H28956" s="12"/>
      <c r="I28956" s="12"/>
      <c r="J28956" s="12"/>
      <c r="K28956" s="12"/>
      <c r="L28956" s="12"/>
      <c r="M28956" s="11"/>
      <c r="N28956" s="11"/>
      <c r="O28956" s="11"/>
      <c r="P28956" s="11"/>
    </row>
    <row r="28957" spans="8:16" x14ac:dyDescent="0.25">
      <c r="H28957" s="12"/>
      <c r="I28957" s="12"/>
      <c r="J28957" s="12"/>
      <c r="K28957" s="12"/>
      <c r="L28957" s="12"/>
      <c r="M28957" s="11"/>
      <c r="N28957" s="11"/>
      <c r="O28957" s="11"/>
      <c r="P28957" s="11"/>
    </row>
    <row r="28958" spans="8:16" x14ac:dyDescent="0.25">
      <c r="H28958" s="12"/>
      <c r="I28958" s="12"/>
      <c r="J28958" s="12"/>
      <c r="K28958" s="12"/>
      <c r="L28958" s="12"/>
      <c r="M28958" s="11"/>
      <c r="N28958" s="11"/>
      <c r="O28958" s="11"/>
      <c r="P28958" s="11"/>
    </row>
    <row r="28959" spans="8:16" x14ac:dyDescent="0.25">
      <c r="H28959" s="12"/>
      <c r="I28959" s="12"/>
      <c r="J28959" s="12"/>
      <c r="K28959" s="12"/>
      <c r="L28959" s="12"/>
      <c r="M28959" s="11"/>
      <c r="N28959" s="11"/>
      <c r="O28959" s="11"/>
      <c r="P28959" s="11"/>
    </row>
    <row r="28960" spans="8:16" x14ac:dyDescent="0.25">
      <c r="H28960" s="12"/>
      <c r="I28960" s="12"/>
      <c r="J28960" s="12"/>
      <c r="K28960" s="12"/>
      <c r="L28960" s="12"/>
      <c r="M28960" s="11"/>
      <c r="N28960" s="11"/>
      <c r="O28960" s="11"/>
      <c r="P28960" s="11"/>
    </row>
    <row r="28961" spans="8:16" x14ac:dyDescent="0.25">
      <c r="H28961" s="12"/>
      <c r="I28961" s="12"/>
      <c r="J28961" s="12"/>
      <c r="K28961" s="12"/>
      <c r="L28961" s="12"/>
      <c r="M28961" s="11"/>
      <c r="N28961" s="11"/>
      <c r="O28961" s="11"/>
      <c r="P28961" s="11"/>
    </row>
    <row r="28962" spans="8:16" x14ac:dyDescent="0.25">
      <c r="H28962" s="12"/>
      <c r="I28962" s="12"/>
      <c r="J28962" s="12"/>
      <c r="K28962" s="12"/>
      <c r="L28962" s="12"/>
      <c r="M28962" s="11"/>
      <c r="N28962" s="11"/>
      <c r="O28962" s="11"/>
      <c r="P28962" s="11"/>
    </row>
    <row r="28963" spans="8:16" x14ac:dyDescent="0.25">
      <c r="H28963" s="12"/>
      <c r="I28963" s="12"/>
      <c r="J28963" s="12"/>
      <c r="K28963" s="12"/>
      <c r="L28963" s="12"/>
      <c r="M28963" s="11"/>
      <c r="N28963" s="11"/>
      <c r="O28963" s="11"/>
      <c r="P28963" s="11"/>
    </row>
    <row r="28964" spans="8:16" x14ac:dyDescent="0.25">
      <c r="H28964" s="12"/>
      <c r="I28964" s="12"/>
      <c r="J28964" s="12"/>
      <c r="K28964" s="12"/>
      <c r="L28964" s="12"/>
      <c r="M28964" s="11"/>
      <c r="N28964" s="11"/>
      <c r="O28964" s="11"/>
      <c r="P28964" s="11"/>
    </row>
    <row r="28965" spans="8:16" x14ac:dyDescent="0.25">
      <c r="H28965" s="12"/>
      <c r="I28965" s="12"/>
      <c r="J28965" s="12"/>
      <c r="K28965" s="12"/>
      <c r="L28965" s="12"/>
      <c r="M28965" s="11"/>
      <c r="N28965" s="11"/>
      <c r="O28965" s="11"/>
      <c r="P28965" s="11"/>
    </row>
    <row r="28966" spans="8:16" x14ac:dyDescent="0.25">
      <c r="H28966" s="12"/>
      <c r="I28966" s="12"/>
      <c r="J28966" s="12"/>
      <c r="K28966" s="12"/>
      <c r="L28966" s="12"/>
      <c r="M28966" s="11"/>
      <c r="N28966" s="11"/>
      <c r="O28966" s="11"/>
      <c r="P28966" s="11"/>
    </row>
    <row r="28967" spans="8:16" x14ac:dyDescent="0.25">
      <c r="H28967" s="12"/>
      <c r="I28967" s="12"/>
      <c r="J28967" s="12"/>
      <c r="K28967" s="12"/>
      <c r="L28967" s="12"/>
      <c r="M28967" s="11"/>
      <c r="N28967" s="11"/>
      <c r="O28967" s="11"/>
      <c r="P28967" s="11"/>
    </row>
    <row r="28968" spans="8:16" x14ac:dyDescent="0.25">
      <c r="H28968" s="12"/>
      <c r="I28968" s="12"/>
      <c r="J28968" s="12"/>
      <c r="K28968" s="12"/>
      <c r="L28968" s="12"/>
      <c r="M28968" s="11"/>
      <c r="N28968" s="11"/>
      <c r="O28968" s="11"/>
      <c r="P28968" s="11"/>
    </row>
    <row r="28969" spans="8:16" x14ac:dyDescent="0.25">
      <c r="H28969" s="12"/>
      <c r="I28969" s="12"/>
      <c r="J28969" s="12"/>
      <c r="K28969" s="12"/>
      <c r="L28969" s="12"/>
      <c r="M28969" s="11"/>
      <c r="N28969" s="11"/>
      <c r="O28969" s="11"/>
      <c r="P28969" s="11"/>
    </row>
    <row r="28970" spans="8:16" x14ac:dyDescent="0.25">
      <c r="H28970" s="12"/>
      <c r="I28970" s="12"/>
      <c r="J28970" s="12"/>
      <c r="K28970" s="12"/>
      <c r="L28970" s="12"/>
      <c r="M28970" s="11"/>
      <c r="N28970" s="11"/>
      <c r="O28970" s="11"/>
      <c r="P28970" s="11"/>
    </row>
    <row r="28971" spans="8:16" x14ac:dyDescent="0.25">
      <c r="H28971" s="12"/>
      <c r="I28971" s="12"/>
      <c r="J28971" s="12"/>
      <c r="K28971" s="12"/>
      <c r="L28971" s="12"/>
      <c r="M28971" s="11"/>
      <c r="N28971" s="11"/>
      <c r="O28971" s="11"/>
      <c r="P28971" s="11"/>
    </row>
    <row r="28972" spans="8:16" x14ac:dyDescent="0.25">
      <c r="H28972" s="12"/>
      <c r="I28972" s="12"/>
      <c r="J28972" s="12"/>
      <c r="K28972" s="12"/>
      <c r="L28972" s="12"/>
      <c r="M28972" s="11"/>
      <c r="N28972" s="11"/>
      <c r="O28972" s="11"/>
      <c r="P28972" s="11"/>
    </row>
    <row r="28973" spans="8:16" x14ac:dyDescent="0.25">
      <c r="H28973" s="12"/>
      <c r="I28973" s="12"/>
      <c r="J28973" s="12"/>
      <c r="K28973" s="12"/>
      <c r="L28973" s="12"/>
      <c r="M28973" s="11"/>
      <c r="N28973" s="11"/>
      <c r="O28973" s="11"/>
      <c r="P28973" s="11"/>
    </row>
    <row r="28974" spans="8:16" x14ac:dyDescent="0.25">
      <c r="H28974" s="12"/>
      <c r="I28974" s="12"/>
      <c r="J28974" s="12"/>
      <c r="K28974" s="12"/>
      <c r="L28974" s="12"/>
      <c r="M28974" s="11"/>
      <c r="N28974" s="11"/>
      <c r="O28974" s="11"/>
      <c r="P28974" s="11"/>
    </row>
    <row r="28975" spans="8:16" x14ac:dyDescent="0.25">
      <c r="H28975" s="12"/>
      <c r="I28975" s="12"/>
      <c r="J28975" s="12"/>
      <c r="K28975" s="12"/>
      <c r="L28975" s="12"/>
      <c r="M28975" s="11"/>
      <c r="N28975" s="11"/>
      <c r="O28975" s="11"/>
      <c r="P28975" s="11"/>
    </row>
    <row r="28976" spans="8:16" x14ac:dyDescent="0.25">
      <c r="H28976" s="12"/>
      <c r="I28976" s="12"/>
      <c r="J28976" s="12"/>
      <c r="K28976" s="12"/>
      <c r="L28976" s="12"/>
      <c r="M28976" s="11"/>
      <c r="N28976" s="11"/>
      <c r="O28976" s="11"/>
      <c r="P28976" s="11"/>
    </row>
    <row r="28977" spans="8:16" x14ac:dyDescent="0.25">
      <c r="H28977" s="12"/>
      <c r="I28977" s="12"/>
      <c r="J28977" s="12"/>
      <c r="K28977" s="12"/>
      <c r="L28977" s="12"/>
      <c r="M28977" s="11"/>
      <c r="N28977" s="11"/>
      <c r="O28977" s="11"/>
      <c r="P28977" s="11"/>
    </row>
    <row r="28978" spans="8:16" x14ac:dyDescent="0.25">
      <c r="H28978" s="12"/>
      <c r="I28978" s="12"/>
      <c r="J28978" s="12"/>
      <c r="K28978" s="12"/>
      <c r="L28978" s="12"/>
      <c r="M28978" s="11"/>
      <c r="N28978" s="11"/>
      <c r="O28978" s="11"/>
      <c r="P28978" s="11"/>
    </row>
    <row r="28979" spans="8:16" x14ac:dyDescent="0.25">
      <c r="H28979" s="12"/>
      <c r="I28979" s="12"/>
      <c r="J28979" s="12"/>
      <c r="K28979" s="12"/>
      <c r="L28979" s="12"/>
      <c r="M28979" s="11"/>
      <c r="N28979" s="11"/>
      <c r="O28979" s="11"/>
      <c r="P28979" s="11"/>
    </row>
    <row r="28980" spans="8:16" x14ac:dyDescent="0.25">
      <c r="H28980" s="12"/>
      <c r="I28980" s="12"/>
      <c r="J28980" s="12"/>
      <c r="K28980" s="12"/>
      <c r="L28980" s="12"/>
      <c r="M28980" s="11"/>
      <c r="N28980" s="11"/>
      <c r="O28980" s="11"/>
      <c r="P28980" s="11"/>
    </row>
    <row r="28981" spans="8:16" x14ac:dyDescent="0.25">
      <c r="H28981" s="12"/>
      <c r="I28981" s="12"/>
      <c r="J28981" s="12"/>
      <c r="K28981" s="12"/>
      <c r="L28981" s="12"/>
      <c r="M28981" s="11"/>
      <c r="N28981" s="11"/>
      <c r="O28981" s="11"/>
      <c r="P28981" s="11"/>
    </row>
    <row r="28982" spans="8:16" x14ac:dyDescent="0.25">
      <c r="H28982" s="12"/>
      <c r="I28982" s="12"/>
      <c r="J28982" s="12"/>
      <c r="K28982" s="12"/>
      <c r="L28982" s="12"/>
      <c r="M28982" s="11"/>
      <c r="N28982" s="11"/>
      <c r="O28982" s="11"/>
      <c r="P28982" s="11"/>
    </row>
    <row r="28983" spans="8:16" x14ac:dyDescent="0.25">
      <c r="H28983" s="12"/>
      <c r="I28983" s="12"/>
      <c r="J28983" s="12"/>
      <c r="K28983" s="12"/>
      <c r="L28983" s="12"/>
      <c r="M28983" s="11"/>
      <c r="N28983" s="11"/>
      <c r="O28983" s="11"/>
      <c r="P28983" s="11"/>
    </row>
    <row r="28984" spans="8:16" x14ac:dyDescent="0.25">
      <c r="H28984" s="12"/>
      <c r="I28984" s="12"/>
      <c r="J28984" s="12"/>
      <c r="K28984" s="12"/>
      <c r="L28984" s="12"/>
      <c r="M28984" s="11"/>
      <c r="N28984" s="11"/>
      <c r="O28984" s="11"/>
      <c r="P28984" s="11"/>
    </row>
    <row r="28985" spans="8:16" x14ac:dyDescent="0.25">
      <c r="H28985" s="12"/>
      <c r="I28985" s="12"/>
      <c r="J28985" s="12"/>
      <c r="K28985" s="12"/>
      <c r="L28985" s="12"/>
      <c r="M28985" s="11"/>
      <c r="N28985" s="11"/>
      <c r="O28985" s="11"/>
      <c r="P28985" s="11"/>
    </row>
    <row r="28986" spans="8:16" x14ac:dyDescent="0.25">
      <c r="H28986" s="12"/>
      <c r="I28986" s="12"/>
      <c r="J28986" s="12"/>
      <c r="K28986" s="12"/>
      <c r="L28986" s="12"/>
      <c r="M28986" s="11"/>
      <c r="N28986" s="11"/>
      <c r="O28986" s="11"/>
      <c r="P28986" s="11"/>
    </row>
    <row r="28987" spans="8:16" x14ac:dyDescent="0.25">
      <c r="H28987" s="12"/>
      <c r="I28987" s="12"/>
      <c r="J28987" s="12"/>
      <c r="K28987" s="12"/>
      <c r="L28987" s="12"/>
      <c r="M28987" s="11"/>
      <c r="N28987" s="11"/>
      <c r="O28987" s="11"/>
      <c r="P28987" s="11"/>
    </row>
    <row r="28988" spans="8:16" x14ac:dyDescent="0.25">
      <c r="H28988" s="12"/>
      <c r="I28988" s="12"/>
      <c r="J28988" s="12"/>
      <c r="K28988" s="12"/>
      <c r="L28988" s="12"/>
      <c r="M28988" s="11"/>
      <c r="N28988" s="11"/>
      <c r="O28988" s="11"/>
      <c r="P28988" s="11"/>
    </row>
    <row r="28989" spans="8:16" x14ac:dyDescent="0.25">
      <c r="H28989" s="12"/>
      <c r="I28989" s="12"/>
      <c r="J28989" s="12"/>
      <c r="K28989" s="12"/>
      <c r="L28989" s="12"/>
      <c r="M28989" s="11"/>
      <c r="N28989" s="11"/>
      <c r="O28989" s="11"/>
      <c r="P28989" s="11"/>
    </row>
    <row r="28990" spans="8:16" x14ac:dyDescent="0.25">
      <c r="H28990" s="12"/>
      <c r="I28990" s="12"/>
      <c r="J28990" s="12"/>
      <c r="K28990" s="12"/>
      <c r="L28990" s="12"/>
      <c r="M28990" s="11"/>
      <c r="N28990" s="11"/>
      <c r="O28990" s="11"/>
      <c r="P28990" s="11"/>
    </row>
    <row r="28991" spans="8:16" x14ac:dyDescent="0.25">
      <c r="H28991" s="12"/>
      <c r="I28991" s="12"/>
      <c r="J28991" s="12"/>
      <c r="K28991" s="12"/>
      <c r="L28991" s="12"/>
      <c r="M28991" s="11"/>
      <c r="N28991" s="11"/>
      <c r="O28991" s="11"/>
      <c r="P28991" s="11"/>
    </row>
    <row r="28992" spans="8:16" x14ac:dyDescent="0.25">
      <c r="H28992" s="12"/>
      <c r="I28992" s="12"/>
      <c r="J28992" s="12"/>
      <c r="K28992" s="12"/>
      <c r="L28992" s="12"/>
      <c r="M28992" s="11"/>
      <c r="N28992" s="11"/>
      <c r="O28992" s="11"/>
      <c r="P28992" s="11"/>
    </row>
    <row r="28993" spans="8:16" x14ac:dyDescent="0.25">
      <c r="H28993" s="12"/>
      <c r="I28993" s="12"/>
      <c r="J28993" s="12"/>
      <c r="K28993" s="12"/>
      <c r="L28993" s="12"/>
      <c r="M28993" s="11"/>
      <c r="N28993" s="11"/>
      <c r="O28993" s="11"/>
      <c r="P28993" s="11"/>
    </row>
    <row r="28994" spans="8:16" x14ac:dyDescent="0.25">
      <c r="H28994" s="12"/>
      <c r="I28994" s="12"/>
      <c r="J28994" s="12"/>
      <c r="K28994" s="12"/>
      <c r="L28994" s="12"/>
      <c r="M28994" s="11"/>
      <c r="N28994" s="11"/>
      <c r="O28994" s="11"/>
      <c r="P28994" s="11"/>
    </row>
    <row r="28995" spans="8:16" x14ac:dyDescent="0.25">
      <c r="H28995" s="12"/>
      <c r="I28995" s="12"/>
      <c r="J28995" s="12"/>
      <c r="K28995" s="12"/>
      <c r="L28995" s="12"/>
      <c r="M28995" s="11"/>
      <c r="N28995" s="11"/>
      <c r="O28995" s="11"/>
      <c r="P28995" s="11"/>
    </row>
    <row r="28996" spans="8:16" x14ac:dyDescent="0.25">
      <c r="H28996" s="12"/>
      <c r="I28996" s="12"/>
      <c r="J28996" s="12"/>
      <c r="K28996" s="12"/>
      <c r="L28996" s="12"/>
      <c r="M28996" s="11"/>
      <c r="N28996" s="11"/>
      <c r="O28996" s="11"/>
      <c r="P28996" s="11"/>
    </row>
    <row r="28997" spans="8:16" x14ac:dyDescent="0.25">
      <c r="H28997" s="12"/>
      <c r="I28997" s="12"/>
      <c r="J28997" s="12"/>
      <c r="K28997" s="12"/>
      <c r="L28997" s="12"/>
      <c r="M28997" s="11"/>
      <c r="N28997" s="11"/>
      <c r="O28997" s="11"/>
      <c r="P28997" s="11"/>
    </row>
    <row r="28998" spans="8:16" x14ac:dyDescent="0.25">
      <c r="H28998" s="12"/>
      <c r="I28998" s="12"/>
      <c r="J28998" s="12"/>
      <c r="K28998" s="12"/>
      <c r="L28998" s="12"/>
      <c r="M28998" s="11"/>
      <c r="N28998" s="11"/>
      <c r="O28998" s="11"/>
      <c r="P28998" s="11"/>
    </row>
    <row r="28999" spans="8:16" x14ac:dyDescent="0.25">
      <c r="H28999" s="12"/>
      <c r="I28999" s="12"/>
      <c r="J28999" s="12"/>
      <c r="K28999" s="12"/>
      <c r="L28999" s="12"/>
      <c r="M28999" s="11"/>
      <c r="N28999" s="11"/>
      <c r="O28999" s="11"/>
      <c r="P28999" s="11"/>
    </row>
    <row r="29000" spans="8:16" x14ac:dyDescent="0.25">
      <c r="H29000" s="12"/>
      <c r="I29000" s="12"/>
      <c r="J29000" s="12"/>
      <c r="K29000" s="12"/>
      <c r="L29000" s="12"/>
      <c r="M29000" s="11"/>
      <c r="N29000" s="11"/>
      <c r="O29000" s="11"/>
      <c r="P29000" s="11"/>
    </row>
    <row r="29001" spans="8:16" x14ac:dyDescent="0.25">
      <c r="H29001" s="12"/>
      <c r="I29001" s="12"/>
      <c r="J29001" s="12"/>
      <c r="K29001" s="12"/>
      <c r="L29001" s="12"/>
      <c r="M29001" s="11"/>
      <c r="N29001" s="11"/>
      <c r="O29001" s="11"/>
      <c r="P29001" s="11"/>
    </row>
    <row r="29002" spans="8:16" x14ac:dyDescent="0.25">
      <c r="H29002" s="12"/>
      <c r="I29002" s="12"/>
      <c r="J29002" s="12"/>
      <c r="K29002" s="12"/>
      <c r="L29002" s="12"/>
      <c r="M29002" s="11"/>
      <c r="N29002" s="11"/>
      <c r="O29002" s="11"/>
      <c r="P29002" s="11"/>
    </row>
    <row r="29003" spans="8:16" x14ac:dyDescent="0.25">
      <c r="H29003" s="12"/>
      <c r="I29003" s="12"/>
      <c r="J29003" s="12"/>
      <c r="K29003" s="12"/>
      <c r="L29003" s="12"/>
      <c r="M29003" s="11"/>
      <c r="N29003" s="11"/>
      <c r="O29003" s="11"/>
      <c r="P29003" s="11"/>
    </row>
    <row r="29004" spans="8:16" x14ac:dyDescent="0.25">
      <c r="H29004" s="12"/>
      <c r="I29004" s="12"/>
      <c r="J29004" s="12"/>
      <c r="K29004" s="12"/>
      <c r="L29004" s="12"/>
      <c r="M29004" s="11"/>
      <c r="N29004" s="11"/>
      <c r="O29004" s="11"/>
      <c r="P29004" s="11"/>
    </row>
    <row r="29005" spans="8:16" x14ac:dyDescent="0.25">
      <c r="H29005" s="12"/>
      <c r="I29005" s="12"/>
      <c r="J29005" s="12"/>
      <c r="K29005" s="12"/>
      <c r="L29005" s="12"/>
      <c r="M29005" s="11"/>
      <c r="N29005" s="11"/>
      <c r="O29005" s="11"/>
      <c r="P29005" s="11"/>
    </row>
    <row r="29006" spans="8:16" x14ac:dyDescent="0.25">
      <c r="H29006" s="12"/>
      <c r="I29006" s="12"/>
      <c r="J29006" s="12"/>
      <c r="K29006" s="12"/>
      <c r="L29006" s="12"/>
      <c r="M29006" s="11"/>
      <c r="N29006" s="11"/>
      <c r="O29006" s="11"/>
      <c r="P29006" s="11"/>
    </row>
    <row r="29007" spans="8:16" x14ac:dyDescent="0.25">
      <c r="H29007" s="12"/>
      <c r="I29007" s="12"/>
      <c r="J29007" s="12"/>
      <c r="K29007" s="12"/>
      <c r="L29007" s="12"/>
      <c r="M29007" s="11"/>
      <c r="N29007" s="11"/>
      <c r="O29007" s="11"/>
      <c r="P29007" s="11"/>
    </row>
    <row r="29008" spans="8:16" x14ac:dyDescent="0.25">
      <c r="H29008" s="12"/>
      <c r="I29008" s="12"/>
      <c r="J29008" s="12"/>
      <c r="K29008" s="12"/>
      <c r="L29008" s="12"/>
      <c r="M29008" s="11"/>
      <c r="N29008" s="11"/>
      <c r="O29008" s="11"/>
      <c r="P29008" s="11"/>
    </row>
    <row r="29009" spans="8:16" x14ac:dyDescent="0.25">
      <c r="H29009" s="12"/>
      <c r="I29009" s="12"/>
      <c r="J29009" s="12"/>
      <c r="K29009" s="12"/>
      <c r="L29009" s="12"/>
      <c r="M29009" s="11"/>
      <c r="N29009" s="11"/>
      <c r="O29009" s="11"/>
      <c r="P29009" s="11"/>
    </row>
    <row r="29010" spans="8:16" x14ac:dyDescent="0.25">
      <c r="H29010" s="12"/>
      <c r="I29010" s="12"/>
      <c r="J29010" s="12"/>
      <c r="K29010" s="12"/>
      <c r="L29010" s="12"/>
      <c r="M29010" s="11"/>
      <c r="N29010" s="11"/>
      <c r="O29010" s="11"/>
      <c r="P29010" s="11"/>
    </row>
    <row r="29011" spans="8:16" x14ac:dyDescent="0.25">
      <c r="H29011" s="12"/>
      <c r="I29011" s="12"/>
      <c r="J29011" s="12"/>
      <c r="K29011" s="12"/>
      <c r="L29011" s="12"/>
      <c r="M29011" s="11"/>
      <c r="N29011" s="11"/>
      <c r="O29011" s="11"/>
      <c r="P29011" s="11"/>
    </row>
    <row r="29012" spans="8:16" x14ac:dyDescent="0.25">
      <c r="H29012" s="12"/>
      <c r="I29012" s="12"/>
      <c r="J29012" s="12"/>
      <c r="K29012" s="12"/>
      <c r="L29012" s="12"/>
      <c r="M29012" s="11"/>
      <c r="N29012" s="11"/>
      <c r="O29012" s="11"/>
      <c r="P29012" s="11"/>
    </row>
    <row r="29013" spans="8:16" x14ac:dyDescent="0.25">
      <c r="H29013" s="12"/>
      <c r="I29013" s="12"/>
      <c r="J29013" s="12"/>
      <c r="K29013" s="12"/>
      <c r="L29013" s="12"/>
      <c r="M29013" s="11"/>
      <c r="N29013" s="11"/>
      <c r="O29013" s="11"/>
      <c r="P29013" s="11"/>
    </row>
    <row r="29014" spans="8:16" x14ac:dyDescent="0.25">
      <c r="H29014" s="12"/>
      <c r="I29014" s="12"/>
      <c r="J29014" s="12"/>
      <c r="K29014" s="12"/>
      <c r="L29014" s="12"/>
      <c r="M29014" s="11"/>
      <c r="N29014" s="11"/>
      <c r="O29014" s="11"/>
      <c r="P29014" s="11"/>
    </row>
    <row r="29015" spans="8:16" x14ac:dyDescent="0.25">
      <c r="H29015" s="12"/>
      <c r="I29015" s="12"/>
      <c r="J29015" s="12"/>
      <c r="K29015" s="12"/>
      <c r="L29015" s="12"/>
      <c r="M29015" s="11"/>
      <c r="N29015" s="11"/>
      <c r="O29015" s="11"/>
      <c r="P29015" s="11"/>
    </row>
    <row r="29016" spans="8:16" x14ac:dyDescent="0.25">
      <c r="H29016" s="12"/>
      <c r="I29016" s="12"/>
      <c r="J29016" s="12"/>
      <c r="K29016" s="12"/>
      <c r="L29016" s="12"/>
      <c r="M29016" s="11"/>
      <c r="N29016" s="11"/>
      <c r="O29016" s="11"/>
      <c r="P29016" s="11"/>
    </row>
    <row r="29017" spans="8:16" x14ac:dyDescent="0.25">
      <c r="H29017" s="12"/>
      <c r="I29017" s="12"/>
      <c r="J29017" s="12"/>
      <c r="K29017" s="12"/>
      <c r="L29017" s="12"/>
      <c r="M29017" s="11"/>
      <c r="N29017" s="11"/>
      <c r="O29017" s="11"/>
      <c r="P29017" s="11"/>
    </row>
    <row r="29018" spans="8:16" x14ac:dyDescent="0.25">
      <c r="H29018" s="12"/>
      <c r="I29018" s="12"/>
      <c r="J29018" s="12"/>
      <c r="K29018" s="12"/>
      <c r="L29018" s="12"/>
      <c r="M29018" s="11"/>
      <c r="N29018" s="11"/>
      <c r="O29018" s="11"/>
      <c r="P29018" s="11"/>
    </row>
    <row r="29019" spans="8:16" x14ac:dyDescent="0.25">
      <c r="H29019" s="12"/>
      <c r="I29019" s="12"/>
      <c r="J29019" s="12"/>
      <c r="K29019" s="12"/>
      <c r="L29019" s="12"/>
      <c r="M29019" s="11"/>
      <c r="N29019" s="11"/>
      <c r="O29019" s="11"/>
      <c r="P29019" s="11"/>
    </row>
    <row r="29020" spans="8:16" x14ac:dyDescent="0.25">
      <c r="H29020" s="12"/>
      <c r="I29020" s="12"/>
      <c r="J29020" s="12"/>
      <c r="K29020" s="12"/>
      <c r="L29020" s="12"/>
      <c r="M29020" s="11"/>
      <c r="N29020" s="11"/>
      <c r="O29020" s="11"/>
      <c r="P29020" s="11"/>
    </row>
    <row r="29021" spans="8:16" x14ac:dyDescent="0.25">
      <c r="H29021" s="12"/>
      <c r="I29021" s="12"/>
      <c r="J29021" s="12"/>
      <c r="K29021" s="12"/>
      <c r="L29021" s="12"/>
      <c r="M29021" s="11"/>
      <c r="N29021" s="11"/>
      <c r="O29021" s="11"/>
      <c r="P29021" s="11"/>
    </row>
    <row r="29022" spans="8:16" x14ac:dyDescent="0.25">
      <c r="H29022" s="12"/>
      <c r="I29022" s="12"/>
      <c r="J29022" s="12"/>
      <c r="K29022" s="12"/>
      <c r="L29022" s="12"/>
      <c r="M29022" s="11"/>
      <c r="N29022" s="11"/>
      <c r="O29022" s="11"/>
      <c r="P29022" s="11"/>
    </row>
    <row r="29023" spans="8:16" x14ac:dyDescent="0.25">
      <c r="H29023" s="12"/>
      <c r="I29023" s="12"/>
      <c r="J29023" s="12"/>
      <c r="K29023" s="12"/>
      <c r="L29023" s="12"/>
      <c r="M29023" s="11"/>
      <c r="N29023" s="11"/>
      <c r="O29023" s="11"/>
      <c r="P29023" s="11"/>
    </row>
    <row r="29024" spans="8:16" x14ac:dyDescent="0.25">
      <c r="H29024" s="12"/>
      <c r="I29024" s="12"/>
      <c r="J29024" s="12"/>
      <c r="K29024" s="12"/>
      <c r="L29024" s="12"/>
      <c r="M29024" s="11"/>
      <c r="N29024" s="11"/>
      <c r="O29024" s="11"/>
      <c r="P29024" s="11"/>
    </row>
    <row r="29025" spans="8:16" x14ac:dyDescent="0.25">
      <c r="H29025" s="12"/>
      <c r="I29025" s="12"/>
      <c r="J29025" s="12"/>
      <c r="K29025" s="12"/>
      <c r="L29025" s="12"/>
      <c r="M29025" s="11"/>
      <c r="N29025" s="11"/>
      <c r="O29025" s="11"/>
      <c r="P29025" s="11"/>
    </row>
    <row r="29026" spans="8:16" x14ac:dyDescent="0.25">
      <c r="H29026" s="12"/>
      <c r="I29026" s="12"/>
      <c r="J29026" s="12"/>
      <c r="K29026" s="12"/>
      <c r="L29026" s="12"/>
      <c r="M29026" s="11"/>
      <c r="N29026" s="11"/>
      <c r="O29026" s="11"/>
      <c r="P29026" s="11"/>
    </row>
    <row r="29027" spans="8:16" x14ac:dyDescent="0.25">
      <c r="H29027" s="12"/>
      <c r="I29027" s="12"/>
      <c r="J29027" s="12"/>
      <c r="K29027" s="12"/>
      <c r="L29027" s="12"/>
      <c r="M29027" s="11"/>
      <c r="N29027" s="11"/>
      <c r="O29027" s="11"/>
      <c r="P29027" s="11"/>
    </row>
    <row r="29028" spans="8:16" x14ac:dyDescent="0.25">
      <c r="H29028" s="12"/>
      <c r="I29028" s="12"/>
      <c r="J29028" s="12"/>
      <c r="K29028" s="12"/>
      <c r="L29028" s="12"/>
      <c r="M29028" s="11"/>
      <c r="N29028" s="11"/>
      <c r="O29028" s="11"/>
      <c r="P29028" s="11"/>
    </row>
    <row r="29029" spans="8:16" x14ac:dyDescent="0.25">
      <c r="H29029" s="12"/>
      <c r="I29029" s="12"/>
      <c r="J29029" s="12"/>
      <c r="K29029" s="12"/>
      <c r="L29029" s="12"/>
      <c r="M29029" s="11"/>
      <c r="N29029" s="11"/>
      <c r="O29029" s="11"/>
      <c r="P29029" s="11"/>
    </row>
    <row r="29030" spans="8:16" x14ac:dyDescent="0.25">
      <c r="H29030" s="12"/>
      <c r="I29030" s="12"/>
      <c r="J29030" s="12"/>
      <c r="K29030" s="12"/>
      <c r="L29030" s="12"/>
      <c r="M29030" s="11"/>
      <c r="N29030" s="11"/>
      <c r="O29030" s="11"/>
      <c r="P29030" s="11"/>
    </row>
    <row r="29031" spans="8:16" x14ac:dyDescent="0.25">
      <c r="H29031" s="12"/>
      <c r="I29031" s="12"/>
      <c r="J29031" s="12"/>
      <c r="K29031" s="12"/>
      <c r="L29031" s="12"/>
      <c r="M29031" s="11"/>
      <c r="N29031" s="11"/>
      <c r="O29031" s="11"/>
      <c r="P29031" s="11"/>
    </row>
    <row r="29032" spans="8:16" x14ac:dyDescent="0.25">
      <c r="H29032" s="12"/>
      <c r="I29032" s="12"/>
      <c r="J29032" s="12"/>
      <c r="K29032" s="12"/>
      <c r="L29032" s="12"/>
      <c r="M29032" s="11"/>
      <c r="N29032" s="11"/>
      <c r="O29032" s="11"/>
      <c r="P29032" s="11"/>
    </row>
    <row r="29033" spans="8:16" x14ac:dyDescent="0.25">
      <c r="H29033" s="12"/>
      <c r="I29033" s="12"/>
      <c r="J29033" s="12"/>
      <c r="K29033" s="12"/>
      <c r="L29033" s="12"/>
      <c r="M29033" s="11"/>
      <c r="N29033" s="11"/>
      <c r="O29033" s="11"/>
      <c r="P29033" s="11"/>
    </row>
    <row r="29034" spans="8:16" x14ac:dyDescent="0.25">
      <c r="H29034" s="12"/>
      <c r="I29034" s="12"/>
      <c r="J29034" s="12"/>
      <c r="K29034" s="12"/>
      <c r="L29034" s="12"/>
      <c r="M29034" s="11"/>
      <c r="N29034" s="11"/>
      <c r="O29034" s="11"/>
      <c r="P29034" s="11"/>
    </row>
    <row r="29035" spans="8:16" x14ac:dyDescent="0.25">
      <c r="H29035" s="12"/>
      <c r="I29035" s="12"/>
      <c r="J29035" s="12"/>
      <c r="K29035" s="12"/>
      <c r="L29035" s="12"/>
      <c r="M29035" s="11"/>
      <c r="N29035" s="11"/>
      <c r="O29035" s="11"/>
      <c r="P29035" s="11"/>
    </row>
    <row r="29036" spans="8:16" x14ac:dyDescent="0.25">
      <c r="H29036" s="12"/>
      <c r="I29036" s="12"/>
      <c r="J29036" s="12"/>
      <c r="K29036" s="12"/>
      <c r="L29036" s="12"/>
      <c r="M29036" s="11"/>
      <c r="N29036" s="11"/>
      <c r="O29036" s="11"/>
      <c r="P29036" s="11"/>
    </row>
    <row r="29037" spans="8:16" x14ac:dyDescent="0.25">
      <c r="H29037" s="12"/>
      <c r="I29037" s="12"/>
      <c r="J29037" s="12"/>
      <c r="K29037" s="12"/>
      <c r="L29037" s="12"/>
      <c r="M29037" s="11"/>
      <c r="N29037" s="11"/>
      <c r="O29037" s="11"/>
      <c r="P29037" s="11"/>
    </row>
    <row r="29038" spans="8:16" x14ac:dyDescent="0.25">
      <c r="H29038" s="12"/>
      <c r="I29038" s="12"/>
      <c r="J29038" s="12"/>
      <c r="K29038" s="12"/>
      <c r="L29038" s="12"/>
      <c r="M29038" s="11"/>
      <c r="N29038" s="11"/>
      <c r="O29038" s="11"/>
      <c r="P29038" s="11"/>
    </row>
    <row r="29039" spans="8:16" x14ac:dyDescent="0.25">
      <c r="H29039" s="12"/>
      <c r="I29039" s="12"/>
      <c r="J29039" s="12"/>
      <c r="K29039" s="12"/>
      <c r="L29039" s="12"/>
      <c r="M29039" s="11"/>
      <c r="N29039" s="11"/>
      <c r="O29039" s="11"/>
      <c r="P29039" s="11"/>
    </row>
    <row r="29040" spans="8:16" x14ac:dyDescent="0.25">
      <c r="H29040" s="12"/>
      <c r="I29040" s="12"/>
      <c r="J29040" s="12"/>
      <c r="K29040" s="12"/>
      <c r="L29040" s="12"/>
      <c r="M29040" s="11"/>
      <c r="N29040" s="11"/>
      <c r="O29040" s="11"/>
      <c r="P29040" s="11"/>
    </row>
    <row r="29041" spans="8:16" x14ac:dyDescent="0.25">
      <c r="H29041" s="12"/>
      <c r="I29041" s="12"/>
      <c r="J29041" s="12"/>
      <c r="K29041" s="12"/>
      <c r="L29041" s="12"/>
      <c r="M29041" s="11"/>
      <c r="N29041" s="11"/>
      <c r="O29041" s="11"/>
      <c r="P29041" s="11"/>
    </row>
    <row r="29042" spans="8:16" x14ac:dyDescent="0.25">
      <c r="H29042" s="12"/>
      <c r="I29042" s="12"/>
      <c r="J29042" s="12"/>
      <c r="K29042" s="12"/>
      <c r="L29042" s="12"/>
      <c r="M29042" s="11"/>
      <c r="N29042" s="11"/>
      <c r="O29042" s="11"/>
      <c r="P29042" s="11"/>
    </row>
    <row r="29043" spans="8:16" x14ac:dyDescent="0.25">
      <c r="H29043" s="12"/>
      <c r="I29043" s="12"/>
      <c r="J29043" s="12"/>
      <c r="K29043" s="12"/>
      <c r="L29043" s="12"/>
      <c r="M29043" s="11"/>
      <c r="N29043" s="11"/>
      <c r="O29043" s="11"/>
      <c r="P29043" s="11"/>
    </row>
    <row r="29044" spans="8:16" x14ac:dyDescent="0.25">
      <c r="H29044" s="12"/>
      <c r="I29044" s="12"/>
      <c r="J29044" s="12"/>
      <c r="K29044" s="12"/>
      <c r="L29044" s="12"/>
      <c r="M29044" s="11"/>
      <c r="N29044" s="11"/>
      <c r="O29044" s="11"/>
      <c r="P29044" s="11"/>
    </row>
    <row r="29045" spans="8:16" x14ac:dyDescent="0.25">
      <c r="H29045" s="12"/>
      <c r="I29045" s="12"/>
      <c r="J29045" s="12"/>
      <c r="K29045" s="12"/>
      <c r="L29045" s="12"/>
      <c r="M29045" s="11"/>
      <c r="N29045" s="11"/>
      <c r="O29045" s="11"/>
      <c r="P29045" s="11"/>
    </row>
    <row r="29046" spans="8:16" x14ac:dyDescent="0.25">
      <c r="H29046" s="12"/>
      <c r="I29046" s="12"/>
      <c r="J29046" s="12"/>
      <c r="K29046" s="12"/>
      <c r="L29046" s="12"/>
      <c r="M29046" s="11"/>
      <c r="N29046" s="11"/>
      <c r="O29046" s="11"/>
      <c r="P29046" s="11"/>
    </row>
    <row r="29047" spans="8:16" x14ac:dyDescent="0.25">
      <c r="H29047" s="12"/>
      <c r="I29047" s="12"/>
      <c r="J29047" s="12"/>
      <c r="K29047" s="12"/>
      <c r="L29047" s="12"/>
      <c r="M29047" s="11"/>
      <c r="N29047" s="11"/>
      <c r="O29047" s="11"/>
      <c r="P29047" s="11"/>
    </row>
    <row r="29048" spans="8:16" x14ac:dyDescent="0.25">
      <c r="H29048" s="12"/>
      <c r="I29048" s="12"/>
      <c r="J29048" s="12"/>
      <c r="K29048" s="12"/>
      <c r="L29048" s="12"/>
      <c r="M29048" s="11"/>
      <c r="N29048" s="11"/>
      <c r="O29048" s="11"/>
      <c r="P29048" s="11"/>
    </row>
    <row r="29049" spans="8:16" x14ac:dyDescent="0.25">
      <c r="H29049" s="12"/>
      <c r="I29049" s="12"/>
      <c r="J29049" s="12"/>
      <c r="K29049" s="12"/>
      <c r="L29049" s="12"/>
      <c r="M29049" s="11"/>
      <c r="N29049" s="11"/>
      <c r="O29049" s="11"/>
      <c r="P29049" s="11"/>
    </row>
    <row r="29050" spans="8:16" x14ac:dyDescent="0.25">
      <c r="H29050" s="12"/>
      <c r="I29050" s="12"/>
      <c r="J29050" s="12"/>
      <c r="K29050" s="12"/>
      <c r="L29050" s="12"/>
      <c r="M29050" s="11"/>
      <c r="N29050" s="11"/>
      <c r="O29050" s="11"/>
      <c r="P29050" s="11"/>
    </row>
    <row r="29051" spans="8:16" x14ac:dyDescent="0.25">
      <c r="H29051" s="12"/>
      <c r="I29051" s="12"/>
      <c r="J29051" s="12"/>
      <c r="K29051" s="12"/>
      <c r="L29051" s="12"/>
      <c r="M29051" s="11"/>
      <c r="N29051" s="11"/>
      <c r="O29051" s="11"/>
      <c r="P29051" s="11"/>
    </row>
    <row r="29052" spans="8:16" x14ac:dyDescent="0.25">
      <c r="H29052" s="12"/>
      <c r="I29052" s="12"/>
      <c r="J29052" s="12"/>
      <c r="K29052" s="12"/>
      <c r="L29052" s="12"/>
      <c r="M29052" s="11"/>
      <c r="N29052" s="11"/>
      <c r="O29052" s="11"/>
      <c r="P29052" s="11"/>
    </row>
    <row r="29053" spans="8:16" x14ac:dyDescent="0.25">
      <c r="H29053" s="12"/>
      <c r="I29053" s="12"/>
      <c r="J29053" s="12"/>
      <c r="K29053" s="12"/>
      <c r="L29053" s="12"/>
      <c r="M29053" s="11"/>
      <c r="N29053" s="11"/>
      <c r="O29053" s="11"/>
      <c r="P29053" s="11"/>
    </row>
    <row r="29054" spans="8:16" x14ac:dyDescent="0.25">
      <c r="H29054" s="12"/>
      <c r="I29054" s="12"/>
      <c r="J29054" s="12"/>
      <c r="K29054" s="12"/>
      <c r="L29054" s="12"/>
      <c r="M29054" s="11"/>
      <c r="N29054" s="11"/>
      <c r="O29054" s="11"/>
      <c r="P29054" s="11"/>
    </row>
    <row r="29055" spans="8:16" x14ac:dyDescent="0.25">
      <c r="H29055" s="12"/>
      <c r="I29055" s="12"/>
      <c r="J29055" s="12"/>
      <c r="K29055" s="12"/>
      <c r="L29055" s="12"/>
      <c r="M29055" s="11"/>
      <c r="N29055" s="11"/>
      <c r="O29055" s="11"/>
      <c r="P29055" s="11"/>
    </row>
    <row r="29056" spans="8:16" x14ac:dyDescent="0.25">
      <c r="H29056" s="12"/>
      <c r="I29056" s="12"/>
      <c r="J29056" s="12"/>
      <c r="K29056" s="12"/>
      <c r="L29056" s="12"/>
      <c r="M29056" s="11"/>
      <c r="N29056" s="11"/>
      <c r="O29056" s="11"/>
      <c r="P29056" s="11"/>
    </row>
    <row r="29057" spans="8:16" x14ac:dyDescent="0.25">
      <c r="H29057" s="12"/>
      <c r="I29057" s="12"/>
      <c r="J29057" s="12"/>
      <c r="K29057" s="12"/>
      <c r="L29057" s="12"/>
      <c r="M29057" s="11"/>
      <c r="N29057" s="11"/>
      <c r="O29057" s="11"/>
      <c r="P29057" s="11"/>
    </row>
    <row r="29058" spans="8:16" x14ac:dyDescent="0.25">
      <c r="H29058" s="12"/>
      <c r="I29058" s="12"/>
      <c r="J29058" s="12"/>
      <c r="K29058" s="12"/>
      <c r="L29058" s="12"/>
      <c r="M29058" s="11"/>
      <c r="N29058" s="11"/>
      <c r="O29058" s="11"/>
      <c r="P29058" s="11"/>
    </row>
    <row r="29059" spans="8:16" x14ac:dyDescent="0.25">
      <c r="H29059" s="12"/>
      <c r="I29059" s="12"/>
      <c r="J29059" s="12"/>
      <c r="K29059" s="12"/>
      <c r="L29059" s="12"/>
      <c r="M29059" s="11"/>
      <c r="N29059" s="11"/>
      <c r="O29059" s="11"/>
      <c r="P29059" s="11"/>
    </row>
    <row r="29060" spans="8:16" x14ac:dyDescent="0.25">
      <c r="H29060" s="12"/>
      <c r="I29060" s="12"/>
      <c r="J29060" s="12"/>
      <c r="K29060" s="12"/>
      <c r="L29060" s="12"/>
      <c r="M29060" s="11"/>
      <c r="N29060" s="11"/>
      <c r="O29060" s="11"/>
      <c r="P29060" s="11"/>
    </row>
    <row r="29061" spans="8:16" x14ac:dyDescent="0.25">
      <c r="H29061" s="12"/>
      <c r="I29061" s="12"/>
      <c r="J29061" s="12"/>
      <c r="K29061" s="12"/>
      <c r="L29061" s="12"/>
      <c r="M29061" s="11"/>
      <c r="N29061" s="11"/>
      <c r="O29061" s="11"/>
      <c r="P29061" s="11"/>
    </row>
    <row r="29062" spans="8:16" x14ac:dyDescent="0.25">
      <c r="H29062" s="12"/>
      <c r="I29062" s="12"/>
      <c r="J29062" s="12"/>
      <c r="K29062" s="12"/>
      <c r="L29062" s="12"/>
      <c r="M29062" s="11"/>
      <c r="N29062" s="11"/>
      <c r="O29062" s="11"/>
      <c r="P29062" s="11"/>
    </row>
    <row r="29063" spans="8:16" x14ac:dyDescent="0.25">
      <c r="H29063" s="12"/>
      <c r="I29063" s="12"/>
      <c r="J29063" s="12"/>
      <c r="K29063" s="12"/>
      <c r="L29063" s="12"/>
      <c r="M29063" s="11"/>
      <c r="N29063" s="11"/>
      <c r="O29063" s="11"/>
      <c r="P29063" s="11"/>
    </row>
    <row r="29064" spans="8:16" x14ac:dyDescent="0.25">
      <c r="H29064" s="12"/>
      <c r="I29064" s="12"/>
      <c r="J29064" s="12"/>
      <c r="K29064" s="12"/>
      <c r="L29064" s="12"/>
      <c r="M29064" s="11"/>
      <c r="N29064" s="11"/>
      <c r="O29064" s="11"/>
      <c r="P29064" s="11"/>
    </row>
    <row r="29065" spans="8:16" x14ac:dyDescent="0.25">
      <c r="H29065" s="12"/>
      <c r="I29065" s="12"/>
      <c r="J29065" s="12"/>
      <c r="K29065" s="12"/>
      <c r="L29065" s="12"/>
      <c r="M29065" s="11"/>
      <c r="N29065" s="11"/>
      <c r="O29065" s="11"/>
      <c r="P29065" s="11"/>
    </row>
    <row r="29066" spans="8:16" x14ac:dyDescent="0.25">
      <c r="H29066" s="12"/>
      <c r="I29066" s="12"/>
      <c r="J29066" s="12"/>
      <c r="K29066" s="12"/>
      <c r="L29066" s="12"/>
      <c r="M29066" s="11"/>
      <c r="N29066" s="11"/>
      <c r="O29066" s="11"/>
      <c r="P29066" s="11"/>
    </row>
    <row r="29067" spans="8:16" x14ac:dyDescent="0.25">
      <c r="H29067" s="12"/>
      <c r="I29067" s="12"/>
      <c r="J29067" s="12"/>
      <c r="K29067" s="12"/>
      <c r="L29067" s="12"/>
      <c r="M29067" s="11"/>
      <c r="N29067" s="11"/>
      <c r="O29067" s="11"/>
      <c r="P29067" s="11"/>
    </row>
    <row r="29068" spans="8:16" x14ac:dyDescent="0.25">
      <c r="H29068" s="12"/>
      <c r="I29068" s="12"/>
      <c r="J29068" s="12"/>
      <c r="K29068" s="12"/>
      <c r="L29068" s="12"/>
      <c r="M29068" s="11"/>
      <c r="N29068" s="11"/>
      <c r="O29068" s="11"/>
      <c r="P29068" s="11"/>
    </row>
    <row r="29069" spans="8:16" x14ac:dyDescent="0.25">
      <c r="H29069" s="12"/>
      <c r="I29069" s="12"/>
      <c r="J29069" s="12"/>
      <c r="K29069" s="12"/>
      <c r="L29069" s="12"/>
      <c r="M29069" s="11"/>
      <c r="N29069" s="11"/>
      <c r="O29069" s="11"/>
      <c r="P29069" s="11"/>
    </row>
    <row r="29070" spans="8:16" x14ac:dyDescent="0.25">
      <c r="H29070" s="12"/>
      <c r="I29070" s="12"/>
      <c r="J29070" s="12"/>
      <c r="K29070" s="12"/>
      <c r="L29070" s="12"/>
      <c r="M29070" s="11"/>
      <c r="N29070" s="11"/>
      <c r="O29070" s="11"/>
      <c r="P29070" s="11"/>
    </row>
    <row r="29071" spans="8:16" x14ac:dyDescent="0.25">
      <c r="H29071" s="12"/>
      <c r="I29071" s="12"/>
      <c r="J29071" s="12"/>
      <c r="K29071" s="12"/>
      <c r="L29071" s="12"/>
      <c r="M29071" s="11"/>
      <c r="N29071" s="11"/>
      <c r="O29071" s="11"/>
      <c r="P29071" s="11"/>
    </row>
    <row r="29072" spans="8:16" x14ac:dyDescent="0.25">
      <c r="H29072" s="12"/>
      <c r="I29072" s="12"/>
      <c r="J29072" s="12"/>
      <c r="K29072" s="12"/>
      <c r="L29072" s="12"/>
      <c r="M29072" s="11"/>
      <c r="N29072" s="11"/>
      <c r="O29072" s="11"/>
      <c r="P29072" s="11"/>
    </row>
    <row r="29073" spans="8:16" x14ac:dyDescent="0.25">
      <c r="H29073" s="12"/>
      <c r="I29073" s="12"/>
      <c r="J29073" s="12"/>
      <c r="K29073" s="12"/>
      <c r="L29073" s="12"/>
      <c r="M29073" s="11"/>
      <c r="N29073" s="11"/>
      <c r="O29073" s="11"/>
      <c r="P29073" s="11"/>
    </row>
    <row r="29074" spans="8:16" x14ac:dyDescent="0.25">
      <c r="H29074" s="12"/>
      <c r="I29074" s="12"/>
      <c r="J29074" s="12"/>
      <c r="K29074" s="12"/>
      <c r="L29074" s="12"/>
      <c r="M29074" s="11"/>
      <c r="N29074" s="11"/>
      <c r="O29074" s="11"/>
      <c r="P29074" s="11"/>
    </row>
    <row r="29075" spans="8:16" x14ac:dyDescent="0.25">
      <c r="H29075" s="12"/>
      <c r="I29075" s="12"/>
      <c r="J29075" s="12"/>
      <c r="K29075" s="12"/>
      <c r="L29075" s="12"/>
      <c r="M29075" s="11"/>
      <c r="N29075" s="11"/>
      <c r="O29075" s="11"/>
      <c r="P29075" s="11"/>
    </row>
    <row r="29076" spans="8:16" x14ac:dyDescent="0.25">
      <c r="H29076" s="12"/>
      <c r="I29076" s="12"/>
      <c r="J29076" s="12"/>
      <c r="K29076" s="12"/>
      <c r="L29076" s="12"/>
      <c r="M29076" s="11"/>
      <c r="N29076" s="11"/>
      <c r="O29076" s="11"/>
      <c r="P29076" s="11"/>
    </row>
    <row r="29077" spans="8:16" x14ac:dyDescent="0.25">
      <c r="H29077" s="12"/>
      <c r="I29077" s="12"/>
      <c r="J29077" s="12"/>
      <c r="K29077" s="12"/>
      <c r="L29077" s="12"/>
      <c r="M29077" s="11"/>
      <c r="N29077" s="11"/>
      <c r="O29077" s="11"/>
      <c r="P29077" s="11"/>
    </row>
    <row r="29078" spans="8:16" x14ac:dyDescent="0.25">
      <c r="H29078" s="12"/>
      <c r="I29078" s="12"/>
      <c r="J29078" s="12"/>
      <c r="K29078" s="12"/>
      <c r="L29078" s="12"/>
      <c r="M29078" s="11"/>
      <c r="N29078" s="11"/>
      <c r="O29078" s="11"/>
      <c r="P29078" s="11"/>
    </row>
    <row r="29079" spans="8:16" x14ac:dyDescent="0.25">
      <c r="H29079" s="12"/>
      <c r="I29079" s="12"/>
      <c r="J29079" s="12"/>
      <c r="K29079" s="12"/>
      <c r="L29079" s="12"/>
      <c r="M29079" s="11"/>
      <c r="N29079" s="11"/>
      <c r="O29079" s="11"/>
      <c r="P29079" s="11"/>
    </row>
    <row r="29080" spans="8:16" x14ac:dyDescent="0.25">
      <c r="H29080" s="12"/>
      <c r="I29080" s="12"/>
      <c r="J29080" s="12"/>
      <c r="K29080" s="12"/>
      <c r="L29080" s="12"/>
      <c r="M29080" s="11"/>
      <c r="N29080" s="11"/>
      <c r="O29080" s="11"/>
      <c r="P29080" s="11"/>
    </row>
    <row r="29081" spans="8:16" x14ac:dyDescent="0.25">
      <c r="H29081" s="12"/>
      <c r="I29081" s="12"/>
      <c r="J29081" s="12"/>
      <c r="K29081" s="12"/>
      <c r="L29081" s="12"/>
      <c r="M29081" s="11"/>
      <c r="N29081" s="11"/>
      <c r="O29081" s="11"/>
      <c r="P29081" s="11"/>
    </row>
    <row r="29082" spans="8:16" x14ac:dyDescent="0.25">
      <c r="H29082" s="12"/>
      <c r="I29082" s="12"/>
      <c r="J29082" s="12"/>
      <c r="K29082" s="12"/>
      <c r="L29082" s="12"/>
      <c r="M29082" s="11"/>
      <c r="N29082" s="11"/>
      <c r="O29082" s="11"/>
      <c r="P29082" s="11"/>
    </row>
    <row r="29083" spans="8:16" x14ac:dyDescent="0.25">
      <c r="H29083" s="12"/>
      <c r="I29083" s="12"/>
      <c r="J29083" s="12"/>
      <c r="K29083" s="12"/>
      <c r="L29083" s="12"/>
      <c r="M29083" s="11"/>
      <c r="N29083" s="11"/>
      <c r="O29083" s="11"/>
      <c r="P29083" s="11"/>
    </row>
    <row r="29084" spans="8:16" x14ac:dyDescent="0.25">
      <c r="H29084" s="12"/>
      <c r="I29084" s="12"/>
      <c r="J29084" s="12"/>
      <c r="K29084" s="12"/>
      <c r="L29084" s="12"/>
      <c r="M29084" s="11"/>
      <c r="N29084" s="11"/>
      <c r="O29084" s="11"/>
      <c r="P29084" s="11"/>
    </row>
    <row r="29085" spans="8:16" x14ac:dyDescent="0.25">
      <c r="H29085" s="12"/>
      <c r="I29085" s="12"/>
      <c r="J29085" s="12"/>
      <c r="K29085" s="12"/>
      <c r="L29085" s="12"/>
      <c r="M29085" s="11"/>
      <c r="N29085" s="11"/>
      <c r="O29085" s="11"/>
      <c r="P29085" s="11"/>
    </row>
    <row r="29086" spans="8:16" x14ac:dyDescent="0.25">
      <c r="H29086" s="12"/>
      <c r="I29086" s="12"/>
      <c r="J29086" s="12"/>
      <c r="K29086" s="12"/>
      <c r="L29086" s="12"/>
      <c r="M29086" s="11"/>
      <c r="N29086" s="11"/>
      <c r="O29086" s="11"/>
      <c r="P29086" s="11"/>
    </row>
    <row r="29087" spans="8:16" x14ac:dyDescent="0.25">
      <c r="H29087" s="12"/>
      <c r="I29087" s="12"/>
      <c r="J29087" s="12"/>
      <c r="K29087" s="12"/>
      <c r="L29087" s="12"/>
      <c r="M29087" s="11"/>
      <c r="N29087" s="11"/>
      <c r="O29087" s="11"/>
      <c r="P29087" s="11"/>
    </row>
    <row r="29088" spans="8:16" x14ac:dyDescent="0.25">
      <c r="H29088" s="12"/>
      <c r="I29088" s="12"/>
      <c r="J29088" s="12"/>
      <c r="K29088" s="12"/>
      <c r="L29088" s="12"/>
      <c r="M29088" s="11"/>
      <c r="N29088" s="11"/>
      <c r="O29088" s="11"/>
      <c r="P29088" s="11"/>
    </row>
    <row r="29089" spans="8:16" x14ac:dyDescent="0.25">
      <c r="H29089" s="12"/>
      <c r="I29089" s="12"/>
      <c r="J29089" s="12"/>
      <c r="K29089" s="12"/>
      <c r="L29089" s="12"/>
      <c r="M29089" s="11"/>
      <c r="N29089" s="11"/>
      <c r="O29089" s="11"/>
      <c r="P29089" s="11"/>
    </row>
    <row r="29090" spans="8:16" x14ac:dyDescent="0.25">
      <c r="H29090" s="12"/>
      <c r="I29090" s="12"/>
      <c r="J29090" s="12"/>
      <c r="K29090" s="12"/>
      <c r="L29090" s="12"/>
      <c r="M29090" s="11"/>
      <c r="N29090" s="11"/>
      <c r="O29090" s="11"/>
      <c r="P29090" s="11"/>
    </row>
    <row r="29091" spans="8:16" x14ac:dyDescent="0.25">
      <c r="H29091" s="12"/>
      <c r="I29091" s="12"/>
      <c r="J29091" s="12"/>
      <c r="K29091" s="12"/>
      <c r="L29091" s="12"/>
      <c r="M29091" s="11"/>
      <c r="N29091" s="11"/>
      <c r="O29091" s="11"/>
      <c r="P29091" s="11"/>
    </row>
    <row r="29092" spans="8:16" x14ac:dyDescent="0.25">
      <c r="H29092" s="12"/>
      <c r="I29092" s="12"/>
      <c r="J29092" s="12"/>
      <c r="K29092" s="12"/>
      <c r="L29092" s="12"/>
      <c r="M29092" s="11"/>
      <c r="N29092" s="11"/>
      <c r="O29092" s="11"/>
      <c r="P29092" s="11"/>
    </row>
    <row r="29093" spans="8:16" x14ac:dyDescent="0.25">
      <c r="H29093" s="12"/>
      <c r="I29093" s="12"/>
      <c r="J29093" s="12"/>
      <c r="K29093" s="12"/>
      <c r="L29093" s="12"/>
      <c r="M29093" s="11"/>
      <c r="N29093" s="11"/>
      <c r="O29093" s="11"/>
      <c r="P29093" s="11"/>
    </row>
    <row r="29094" spans="8:16" x14ac:dyDescent="0.25">
      <c r="H29094" s="12"/>
      <c r="I29094" s="12"/>
      <c r="J29094" s="12"/>
      <c r="K29094" s="12"/>
      <c r="L29094" s="12"/>
      <c r="M29094" s="11"/>
      <c r="N29094" s="11"/>
      <c r="O29094" s="11"/>
      <c r="P29094" s="11"/>
    </row>
    <row r="29095" spans="8:16" x14ac:dyDescent="0.25">
      <c r="H29095" s="12"/>
      <c r="I29095" s="12"/>
      <c r="J29095" s="12"/>
      <c r="K29095" s="12"/>
      <c r="L29095" s="12"/>
      <c r="M29095" s="11"/>
      <c r="N29095" s="11"/>
      <c r="O29095" s="11"/>
      <c r="P29095" s="11"/>
    </row>
    <row r="29096" spans="8:16" x14ac:dyDescent="0.25">
      <c r="H29096" s="12"/>
      <c r="I29096" s="12"/>
      <c r="J29096" s="12"/>
      <c r="K29096" s="12"/>
      <c r="L29096" s="12"/>
      <c r="M29096" s="11"/>
      <c r="N29096" s="11"/>
      <c r="O29096" s="11"/>
      <c r="P29096" s="11"/>
    </row>
    <row r="29097" spans="8:16" x14ac:dyDescent="0.25">
      <c r="H29097" s="12"/>
      <c r="I29097" s="12"/>
      <c r="J29097" s="12"/>
      <c r="K29097" s="12"/>
      <c r="L29097" s="12"/>
      <c r="M29097" s="11"/>
      <c r="N29097" s="11"/>
      <c r="O29097" s="11"/>
      <c r="P29097" s="11"/>
    </row>
    <row r="29098" spans="8:16" x14ac:dyDescent="0.25">
      <c r="H29098" s="12"/>
      <c r="I29098" s="12"/>
      <c r="J29098" s="12"/>
      <c r="K29098" s="12"/>
      <c r="L29098" s="12"/>
      <c r="M29098" s="11"/>
      <c r="N29098" s="11"/>
      <c r="O29098" s="11"/>
      <c r="P29098" s="11"/>
    </row>
    <row r="29099" spans="8:16" x14ac:dyDescent="0.25">
      <c r="H29099" s="12"/>
      <c r="I29099" s="12"/>
      <c r="J29099" s="12"/>
      <c r="K29099" s="12"/>
      <c r="L29099" s="12"/>
      <c r="M29099" s="11"/>
      <c r="N29099" s="11"/>
      <c r="O29099" s="11"/>
      <c r="P29099" s="11"/>
    </row>
    <row r="29100" spans="8:16" x14ac:dyDescent="0.25">
      <c r="H29100" s="12"/>
      <c r="I29100" s="12"/>
      <c r="J29100" s="12"/>
      <c r="K29100" s="12"/>
      <c r="L29100" s="12"/>
      <c r="M29100" s="11"/>
      <c r="N29100" s="11"/>
      <c r="O29100" s="11"/>
      <c r="P29100" s="11"/>
    </row>
    <row r="29101" spans="8:16" x14ac:dyDescent="0.25">
      <c r="H29101" s="12"/>
      <c r="I29101" s="12"/>
      <c r="J29101" s="12"/>
      <c r="K29101" s="12"/>
      <c r="L29101" s="12"/>
      <c r="M29101" s="11"/>
      <c r="N29101" s="11"/>
      <c r="O29101" s="11"/>
      <c r="P29101" s="11"/>
    </row>
    <row r="29102" spans="8:16" x14ac:dyDescent="0.25">
      <c r="H29102" s="12"/>
      <c r="I29102" s="12"/>
      <c r="J29102" s="12"/>
      <c r="K29102" s="12"/>
      <c r="L29102" s="12"/>
      <c r="M29102" s="11"/>
      <c r="N29102" s="11"/>
      <c r="O29102" s="11"/>
      <c r="P29102" s="11"/>
    </row>
    <row r="29103" spans="8:16" x14ac:dyDescent="0.25">
      <c r="H29103" s="12"/>
      <c r="I29103" s="12"/>
      <c r="J29103" s="12"/>
      <c r="K29103" s="12"/>
      <c r="L29103" s="12"/>
      <c r="M29103" s="11"/>
      <c r="N29103" s="11"/>
      <c r="O29103" s="11"/>
      <c r="P29103" s="11"/>
    </row>
    <row r="29104" spans="8:16" x14ac:dyDescent="0.25">
      <c r="H29104" s="12"/>
      <c r="I29104" s="12"/>
      <c r="J29104" s="12"/>
      <c r="K29104" s="12"/>
      <c r="L29104" s="12"/>
      <c r="M29104" s="11"/>
      <c r="N29104" s="11"/>
      <c r="O29104" s="11"/>
      <c r="P29104" s="11"/>
    </row>
    <row r="29105" spans="8:16" x14ac:dyDescent="0.25">
      <c r="H29105" s="12"/>
      <c r="I29105" s="12"/>
      <c r="J29105" s="12"/>
      <c r="K29105" s="12"/>
      <c r="L29105" s="12"/>
      <c r="M29105" s="11"/>
      <c r="N29105" s="11"/>
      <c r="O29105" s="11"/>
      <c r="P29105" s="11"/>
    </row>
    <row r="29106" spans="8:16" x14ac:dyDescent="0.25">
      <c r="H29106" s="12"/>
      <c r="I29106" s="12"/>
      <c r="J29106" s="12"/>
      <c r="K29106" s="12"/>
      <c r="L29106" s="12"/>
      <c r="M29106" s="11"/>
      <c r="N29106" s="11"/>
      <c r="O29106" s="11"/>
      <c r="P29106" s="11"/>
    </row>
    <row r="29107" spans="8:16" x14ac:dyDescent="0.25">
      <c r="H29107" s="12"/>
      <c r="I29107" s="12"/>
      <c r="J29107" s="12"/>
      <c r="K29107" s="12"/>
      <c r="L29107" s="12"/>
      <c r="M29107" s="11"/>
      <c r="N29107" s="11"/>
      <c r="O29107" s="11"/>
      <c r="P29107" s="11"/>
    </row>
    <row r="29108" spans="8:16" x14ac:dyDescent="0.25">
      <c r="H29108" s="12"/>
      <c r="I29108" s="12"/>
      <c r="J29108" s="12"/>
      <c r="K29108" s="12"/>
      <c r="L29108" s="12"/>
      <c r="M29108" s="11"/>
      <c r="N29108" s="11"/>
      <c r="O29108" s="11"/>
      <c r="P29108" s="11"/>
    </row>
    <row r="29109" spans="8:16" x14ac:dyDescent="0.25">
      <c r="H29109" s="12"/>
      <c r="I29109" s="12"/>
      <c r="J29109" s="12"/>
      <c r="K29109" s="12"/>
      <c r="L29109" s="12"/>
      <c r="M29109" s="11"/>
      <c r="N29109" s="11"/>
      <c r="O29109" s="11"/>
      <c r="P29109" s="11"/>
    </row>
    <row r="29110" spans="8:16" x14ac:dyDescent="0.25">
      <c r="H29110" s="12"/>
      <c r="I29110" s="12"/>
      <c r="J29110" s="12"/>
      <c r="K29110" s="12"/>
      <c r="L29110" s="12"/>
      <c r="M29110" s="11"/>
      <c r="N29110" s="11"/>
      <c r="O29110" s="11"/>
      <c r="P29110" s="11"/>
    </row>
    <row r="29111" spans="8:16" x14ac:dyDescent="0.25">
      <c r="H29111" s="12"/>
      <c r="I29111" s="12"/>
      <c r="J29111" s="12"/>
      <c r="K29111" s="12"/>
      <c r="L29111" s="12"/>
      <c r="M29111" s="11"/>
      <c r="N29111" s="11"/>
      <c r="O29111" s="11"/>
      <c r="P29111" s="11"/>
    </row>
    <row r="29112" spans="8:16" x14ac:dyDescent="0.25">
      <c r="H29112" s="12"/>
      <c r="I29112" s="12"/>
      <c r="J29112" s="12"/>
      <c r="K29112" s="12"/>
      <c r="L29112" s="12"/>
      <c r="M29112" s="11"/>
      <c r="N29112" s="11"/>
      <c r="O29112" s="11"/>
      <c r="P29112" s="11"/>
    </row>
    <row r="29113" spans="8:16" x14ac:dyDescent="0.25">
      <c r="H29113" s="12"/>
      <c r="I29113" s="12"/>
      <c r="J29113" s="12"/>
      <c r="K29113" s="12"/>
      <c r="L29113" s="12"/>
      <c r="M29113" s="11"/>
      <c r="N29113" s="11"/>
      <c r="O29113" s="11"/>
      <c r="P29113" s="11"/>
    </row>
    <row r="29114" spans="8:16" x14ac:dyDescent="0.25">
      <c r="H29114" s="12"/>
      <c r="I29114" s="12"/>
      <c r="J29114" s="12"/>
      <c r="K29114" s="12"/>
      <c r="L29114" s="12"/>
      <c r="M29114" s="11"/>
      <c r="N29114" s="11"/>
      <c r="O29114" s="11"/>
      <c r="P29114" s="11"/>
    </row>
    <row r="29115" spans="8:16" x14ac:dyDescent="0.25">
      <c r="H29115" s="12"/>
      <c r="I29115" s="12"/>
      <c r="J29115" s="12"/>
      <c r="K29115" s="12"/>
      <c r="L29115" s="12"/>
      <c r="M29115" s="11"/>
      <c r="N29115" s="11"/>
      <c r="O29115" s="11"/>
      <c r="P29115" s="11"/>
    </row>
    <row r="29116" spans="8:16" x14ac:dyDescent="0.25">
      <c r="H29116" s="12"/>
      <c r="I29116" s="12"/>
      <c r="J29116" s="12"/>
      <c r="K29116" s="12"/>
      <c r="L29116" s="12"/>
      <c r="M29116" s="11"/>
      <c r="N29116" s="11"/>
      <c r="O29116" s="11"/>
      <c r="P29116" s="11"/>
    </row>
    <row r="29117" spans="8:16" x14ac:dyDescent="0.25">
      <c r="H29117" s="12"/>
      <c r="I29117" s="12"/>
      <c r="J29117" s="12"/>
      <c r="K29117" s="12"/>
      <c r="L29117" s="12"/>
      <c r="M29117" s="11"/>
      <c r="N29117" s="11"/>
      <c r="O29117" s="11"/>
      <c r="P29117" s="11"/>
    </row>
    <row r="29118" spans="8:16" x14ac:dyDescent="0.25">
      <c r="H29118" s="12"/>
      <c r="I29118" s="12"/>
      <c r="J29118" s="12"/>
      <c r="K29118" s="12"/>
      <c r="L29118" s="12"/>
      <c r="M29118" s="11"/>
      <c r="N29118" s="11"/>
      <c r="O29118" s="11"/>
      <c r="P29118" s="11"/>
    </row>
    <row r="29119" spans="8:16" x14ac:dyDescent="0.25">
      <c r="H29119" s="12"/>
      <c r="I29119" s="12"/>
      <c r="J29119" s="12"/>
      <c r="K29119" s="12"/>
      <c r="L29119" s="12"/>
      <c r="M29119" s="11"/>
      <c r="N29119" s="11"/>
      <c r="O29119" s="11"/>
      <c r="P29119" s="11"/>
    </row>
    <row r="29120" spans="8:16" x14ac:dyDescent="0.25">
      <c r="H29120" s="12"/>
      <c r="I29120" s="12"/>
      <c r="J29120" s="12"/>
      <c r="K29120" s="12"/>
      <c r="L29120" s="12"/>
      <c r="M29120" s="11"/>
      <c r="N29120" s="11"/>
      <c r="O29120" s="11"/>
      <c r="P29120" s="11"/>
    </row>
    <row r="29121" spans="8:16" x14ac:dyDescent="0.25">
      <c r="H29121" s="12"/>
      <c r="I29121" s="12"/>
      <c r="J29121" s="12"/>
      <c r="K29121" s="12"/>
      <c r="L29121" s="12"/>
      <c r="M29121" s="11"/>
      <c r="N29121" s="11"/>
      <c r="O29121" s="11"/>
      <c r="P29121" s="11"/>
    </row>
    <row r="29122" spans="8:16" x14ac:dyDescent="0.25">
      <c r="H29122" s="12"/>
      <c r="I29122" s="12"/>
      <c r="J29122" s="12"/>
      <c r="K29122" s="12"/>
      <c r="L29122" s="12"/>
      <c r="M29122" s="11"/>
      <c r="N29122" s="11"/>
      <c r="O29122" s="11"/>
      <c r="P29122" s="11"/>
    </row>
    <row r="29123" spans="8:16" x14ac:dyDescent="0.25">
      <c r="H29123" s="12"/>
      <c r="I29123" s="12"/>
      <c r="J29123" s="12"/>
      <c r="K29123" s="12"/>
      <c r="L29123" s="12"/>
      <c r="M29123" s="11"/>
      <c r="N29123" s="11"/>
      <c r="O29123" s="11"/>
      <c r="P29123" s="11"/>
    </row>
    <row r="29124" spans="8:16" x14ac:dyDescent="0.25">
      <c r="H29124" s="12"/>
      <c r="I29124" s="12"/>
      <c r="J29124" s="12"/>
      <c r="K29124" s="12"/>
      <c r="L29124" s="12"/>
      <c r="M29124" s="11"/>
      <c r="N29124" s="11"/>
      <c r="O29124" s="11"/>
      <c r="P29124" s="11"/>
    </row>
    <row r="29125" spans="8:16" x14ac:dyDescent="0.25">
      <c r="H29125" s="12"/>
      <c r="I29125" s="12"/>
      <c r="J29125" s="12"/>
      <c r="K29125" s="12"/>
      <c r="L29125" s="12"/>
      <c r="M29125" s="11"/>
      <c r="N29125" s="11"/>
      <c r="O29125" s="11"/>
      <c r="P29125" s="11"/>
    </row>
    <row r="29126" spans="8:16" x14ac:dyDescent="0.25">
      <c r="H29126" s="12"/>
      <c r="I29126" s="12"/>
      <c r="J29126" s="12"/>
      <c r="K29126" s="12"/>
      <c r="L29126" s="12"/>
      <c r="M29126" s="11"/>
      <c r="N29126" s="11"/>
      <c r="O29126" s="11"/>
      <c r="P29126" s="11"/>
    </row>
    <row r="29127" spans="8:16" x14ac:dyDescent="0.25">
      <c r="H29127" s="12"/>
      <c r="I29127" s="12"/>
      <c r="J29127" s="12"/>
      <c r="K29127" s="12"/>
      <c r="L29127" s="12"/>
      <c r="M29127" s="11"/>
      <c r="N29127" s="11"/>
      <c r="O29127" s="11"/>
      <c r="P29127" s="11"/>
    </row>
    <row r="29128" spans="8:16" x14ac:dyDescent="0.25">
      <c r="H29128" s="12"/>
      <c r="I29128" s="12"/>
      <c r="J29128" s="12"/>
      <c r="K29128" s="12"/>
      <c r="L29128" s="12"/>
      <c r="M29128" s="11"/>
      <c r="N29128" s="11"/>
      <c r="O29128" s="11"/>
      <c r="P29128" s="11"/>
    </row>
    <row r="29129" spans="8:16" x14ac:dyDescent="0.25">
      <c r="H29129" s="12"/>
      <c r="I29129" s="12"/>
      <c r="J29129" s="12"/>
      <c r="K29129" s="12"/>
      <c r="L29129" s="12"/>
      <c r="M29129" s="11"/>
      <c r="N29129" s="11"/>
      <c r="O29129" s="11"/>
      <c r="P29129" s="11"/>
    </row>
    <row r="29130" spans="8:16" x14ac:dyDescent="0.25">
      <c r="H29130" s="12"/>
      <c r="I29130" s="12"/>
      <c r="J29130" s="12"/>
      <c r="K29130" s="12"/>
      <c r="L29130" s="12"/>
      <c r="M29130" s="11"/>
      <c r="N29130" s="11"/>
      <c r="O29130" s="11"/>
      <c r="P29130" s="11"/>
    </row>
    <row r="29131" spans="8:16" x14ac:dyDescent="0.25">
      <c r="H29131" s="12"/>
      <c r="I29131" s="12"/>
      <c r="J29131" s="12"/>
      <c r="K29131" s="12"/>
      <c r="L29131" s="12"/>
      <c r="M29131" s="11"/>
      <c r="N29131" s="11"/>
      <c r="O29131" s="11"/>
      <c r="P29131" s="11"/>
    </row>
    <row r="29132" spans="8:16" x14ac:dyDescent="0.25">
      <c r="H29132" s="12"/>
      <c r="I29132" s="12"/>
      <c r="J29132" s="12"/>
      <c r="K29132" s="12"/>
      <c r="L29132" s="12"/>
      <c r="M29132" s="11"/>
      <c r="N29132" s="11"/>
      <c r="O29132" s="11"/>
      <c r="P29132" s="11"/>
    </row>
    <row r="29133" spans="8:16" x14ac:dyDescent="0.25">
      <c r="H29133" s="12"/>
      <c r="I29133" s="12"/>
      <c r="J29133" s="12"/>
      <c r="K29133" s="12"/>
      <c r="L29133" s="12"/>
      <c r="M29133" s="11"/>
      <c r="N29133" s="11"/>
      <c r="O29133" s="11"/>
      <c r="P29133" s="11"/>
    </row>
    <row r="29134" spans="8:16" x14ac:dyDescent="0.25">
      <c r="H29134" s="12"/>
      <c r="I29134" s="12"/>
      <c r="J29134" s="12"/>
      <c r="K29134" s="12"/>
      <c r="L29134" s="12"/>
      <c r="M29134" s="11"/>
      <c r="N29134" s="11"/>
      <c r="O29134" s="11"/>
      <c r="P29134" s="11"/>
    </row>
    <row r="29135" spans="8:16" x14ac:dyDescent="0.25">
      <c r="H29135" s="12"/>
      <c r="I29135" s="12"/>
      <c r="J29135" s="12"/>
      <c r="K29135" s="12"/>
      <c r="L29135" s="12"/>
      <c r="M29135" s="11"/>
      <c r="N29135" s="11"/>
      <c r="O29135" s="11"/>
      <c r="P29135" s="11"/>
    </row>
    <row r="29136" spans="8:16" x14ac:dyDescent="0.25">
      <c r="H29136" s="12"/>
      <c r="I29136" s="12"/>
      <c r="J29136" s="12"/>
      <c r="K29136" s="12"/>
      <c r="L29136" s="12"/>
      <c r="M29136" s="11"/>
      <c r="N29136" s="11"/>
      <c r="O29136" s="11"/>
      <c r="P29136" s="11"/>
    </row>
    <row r="29137" spans="8:16" x14ac:dyDescent="0.25">
      <c r="H29137" s="12"/>
      <c r="I29137" s="12"/>
      <c r="J29137" s="12"/>
      <c r="K29137" s="12"/>
      <c r="L29137" s="12"/>
      <c r="M29137" s="11"/>
      <c r="N29137" s="11"/>
      <c r="O29137" s="11"/>
      <c r="P29137" s="11"/>
    </row>
    <row r="29138" spans="8:16" x14ac:dyDescent="0.25">
      <c r="H29138" s="12"/>
      <c r="I29138" s="12"/>
      <c r="J29138" s="12"/>
      <c r="K29138" s="12"/>
      <c r="L29138" s="12"/>
      <c r="M29138" s="11"/>
      <c r="N29138" s="11"/>
      <c r="O29138" s="11"/>
      <c r="P29138" s="11"/>
    </row>
    <row r="29139" spans="8:16" x14ac:dyDescent="0.25">
      <c r="H29139" s="12"/>
      <c r="I29139" s="12"/>
      <c r="J29139" s="12"/>
      <c r="K29139" s="12"/>
      <c r="L29139" s="12"/>
      <c r="M29139" s="11"/>
      <c r="N29139" s="11"/>
      <c r="O29139" s="11"/>
      <c r="P29139" s="11"/>
    </row>
    <row r="29140" spans="8:16" x14ac:dyDescent="0.25">
      <c r="H29140" s="12"/>
      <c r="I29140" s="12"/>
      <c r="J29140" s="12"/>
      <c r="K29140" s="12"/>
      <c r="L29140" s="12"/>
      <c r="M29140" s="11"/>
      <c r="N29140" s="11"/>
      <c r="O29140" s="11"/>
      <c r="P29140" s="11"/>
    </row>
    <row r="29141" spans="8:16" x14ac:dyDescent="0.25">
      <c r="H29141" s="12"/>
      <c r="I29141" s="12"/>
      <c r="J29141" s="12"/>
      <c r="K29141" s="12"/>
      <c r="L29141" s="12"/>
      <c r="M29141" s="11"/>
      <c r="N29141" s="11"/>
      <c r="O29141" s="11"/>
      <c r="P29141" s="11"/>
    </row>
    <row r="29142" spans="8:16" x14ac:dyDescent="0.25">
      <c r="H29142" s="12"/>
      <c r="I29142" s="12"/>
      <c r="J29142" s="12"/>
      <c r="K29142" s="12"/>
      <c r="L29142" s="12"/>
      <c r="M29142" s="11"/>
      <c r="N29142" s="11"/>
      <c r="O29142" s="11"/>
      <c r="P29142" s="11"/>
    </row>
    <row r="29143" spans="8:16" x14ac:dyDescent="0.25">
      <c r="H29143" s="12"/>
      <c r="I29143" s="12"/>
      <c r="J29143" s="12"/>
      <c r="K29143" s="12"/>
      <c r="L29143" s="12"/>
      <c r="M29143" s="11"/>
      <c r="N29143" s="11"/>
      <c r="O29143" s="11"/>
      <c r="P29143" s="11"/>
    </row>
    <row r="29144" spans="8:16" x14ac:dyDescent="0.25">
      <c r="H29144" s="12"/>
      <c r="I29144" s="12"/>
      <c r="J29144" s="12"/>
      <c r="K29144" s="12"/>
      <c r="L29144" s="12"/>
      <c r="M29144" s="11"/>
      <c r="N29144" s="11"/>
      <c r="O29144" s="11"/>
      <c r="P29144" s="11"/>
    </row>
    <row r="29145" spans="8:16" x14ac:dyDescent="0.25">
      <c r="H29145" s="12"/>
      <c r="I29145" s="12"/>
      <c r="J29145" s="12"/>
      <c r="K29145" s="12"/>
      <c r="L29145" s="12"/>
      <c r="M29145" s="11"/>
      <c r="N29145" s="11"/>
      <c r="O29145" s="11"/>
      <c r="P29145" s="11"/>
    </row>
    <row r="29146" spans="8:16" x14ac:dyDescent="0.25">
      <c r="H29146" s="12"/>
      <c r="I29146" s="12"/>
      <c r="J29146" s="12"/>
      <c r="K29146" s="12"/>
      <c r="L29146" s="12"/>
      <c r="M29146" s="11"/>
      <c r="N29146" s="11"/>
      <c r="O29146" s="11"/>
      <c r="P29146" s="11"/>
    </row>
    <row r="29147" spans="8:16" x14ac:dyDescent="0.25">
      <c r="H29147" s="12"/>
      <c r="I29147" s="12"/>
      <c r="J29147" s="12"/>
      <c r="K29147" s="12"/>
      <c r="L29147" s="12"/>
      <c r="M29147" s="11"/>
      <c r="N29147" s="11"/>
      <c r="O29147" s="11"/>
      <c r="P29147" s="11"/>
    </row>
    <row r="29148" spans="8:16" x14ac:dyDescent="0.25">
      <c r="H29148" s="12"/>
      <c r="I29148" s="12"/>
      <c r="J29148" s="12"/>
      <c r="K29148" s="12"/>
      <c r="L29148" s="12"/>
      <c r="M29148" s="11"/>
      <c r="N29148" s="11"/>
      <c r="O29148" s="11"/>
      <c r="P29148" s="11"/>
    </row>
    <row r="29149" spans="8:16" x14ac:dyDescent="0.25">
      <c r="H29149" s="12"/>
      <c r="I29149" s="12"/>
      <c r="J29149" s="12"/>
      <c r="K29149" s="12"/>
      <c r="L29149" s="12"/>
      <c r="M29149" s="11"/>
      <c r="N29149" s="11"/>
      <c r="O29149" s="11"/>
      <c r="P29149" s="11"/>
    </row>
    <row r="29150" spans="8:16" x14ac:dyDescent="0.25">
      <c r="H29150" s="12"/>
      <c r="I29150" s="12"/>
      <c r="J29150" s="12"/>
      <c r="K29150" s="12"/>
      <c r="L29150" s="12"/>
      <c r="M29150" s="11"/>
      <c r="N29150" s="11"/>
      <c r="O29150" s="11"/>
      <c r="P29150" s="11"/>
    </row>
    <row r="29151" spans="8:16" x14ac:dyDescent="0.25">
      <c r="H29151" s="12"/>
      <c r="I29151" s="12"/>
      <c r="J29151" s="12"/>
      <c r="K29151" s="12"/>
      <c r="L29151" s="12"/>
      <c r="M29151" s="11"/>
      <c r="N29151" s="11"/>
      <c r="O29151" s="11"/>
      <c r="P29151" s="11"/>
    </row>
    <row r="29152" spans="8:16" x14ac:dyDescent="0.25">
      <c r="H29152" s="12"/>
      <c r="I29152" s="12"/>
      <c r="J29152" s="12"/>
      <c r="K29152" s="12"/>
      <c r="L29152" s="12"/>
      <c r="M29152" s="11"/>
      <c r="N29152" s="11"/>
      <c r="O29152" s="11"/>
      <c r="P29152" s="11"/>
    </row>
    <row r="29153" spans="8:16" x14ac:dyDescent="0.25">
      <c r="H29153" s="12"/>
      <c r="I29153" s="12"/>
      <c r="J29153" s="12"/>
      <c r="K29153" s="12"/>
      <c r="L29153" s="12"/>
      <c r="M29153" s="11"/>
      <c r="N29153" s="11"/>
      <c r="O29153" s="11"/>
      <c r="P29153" s="11"/>
    </row>
    <row r="29154" spans="8:16" x14ac:dyDescent="0.25">
      <c r="H29154" s="12"/>
      <c r="I29154" s="12"/>
      <c r="J29154" s="12"/>
      <c r="K29154" s="12"/>
      <c r="L29154" s="12"/>
      <c r="M29154" s="11"/>
      <c r="N29154" s="11"/>
      <c r="O29154" s="11"/>
      <c r="P29154" s="11"/>
    </row>
    <row r="29155" spans="8:16" x14ac:dyDescent="0.25">
      <c r="H29155" s="12"/>
      <c r="I29155" s="12"/>
      <c r="J29155" s="12"/>
      <c r="K29155" s="12"/>
      <c r="L29155" s="12"/>
      <c r="M29155" s="11"/>
      <c r="N29155" s="11"/>
      <c r="O29155" s="11"/>
      <c r="P29155" s="11"/>
    </row>
    <row r="29156" spans="8:16" x14ac:dyDescent="0.25">
      <c r="H29156" s="12"/>
      <c r="I29156" s="12"/>
      <c r="J29156" s="12"/>
      <c r="K29156" s="12"/>
      <c r="L29156" s="12"/>
      <c r="M29156" s="11"/>
      <c r="N29156" s="11"/>
      <c r="O29156" s="11"/>
      <c r="P29156" s="11"/>
    </row>
    <row r="29157" spans="8:16" x14ac:dyDescent="0.25">
      <c r="H29157" s="12"/>
      <c r="I29157" s="12"/>
      <c r="J29157" s="12"/>
      <c r="K29157" s="12"/>
      <c r="L29157" s="12"/>
      <c r="M29157" s="11"/>
      <c r="N29157" s="11"/>
      <c r="O29157" s="11"/>
      <c r="P29157" s="11"/>
    </row>
    <row r="29158" spans="8:16" x14ac:dyDescent="0.25">
      <c r="H29158" s="12"/>
      <c r="I29158" s="12"/>
      <c r="J29158" s="12"/>
      <c r="K29158" s="12"/>
      <c r="L29158" s="12"/>
      <c r="M29158" s="11"/>
      <c r="N29158" s="11"/>
      <c r="O29158" s="11"/>
      <c r="P29158" s="11"/>
    </row>
    <row r="29159" spans="8:16" x14ac:dyDescent="0.25">
      <c r="H29159" s="12"/>
      <c r="I29159" s="12"/>
      <c r="J29159" s="12"/>
      <c r="K29159" s="12"/>
      <c r="L29159" s="12"/>
      <c r="M29159" s="11"/>
      <c r="N29159" s="11"/>
      <c r="O29159" s="11"/>
      <c r="P29159" s="11"/>
    </row>
    <row r="29160" spans="8:16" x14ac:dyDescent="0.25">
      <c r="H29160" s="12"/>
      <c r="I29160" s="12"/>
      <c r="J29160" s="12"/>
      <c r="K29160" s="12"/>
      <c r="L29160" s="12"/>
      <c r="M29160" s="11"/>
      <c r="N29160" s="11"/>
      <c r="O29160" s="11"/>
      <c r="P29160" s="11"/>
    </row>
    <row r="29161" spans="8:16" x14ac:dyDescent="0.25">
      <c r="H29161" s="12"/>
      <c r="I29161" s="12"/>
      <c r="J29161" s="12"/>
      <c r="K29161" s="12"/>
      <c r="L29161" s="12"/>
      <c r="M29161" s="11"/>
      <c r="N29161" s="11"/>
      <c r="O29161" s="11"/>
      <c r="P29161" s="11"/>
    </row>
    <row r="29162" spans="8:16" x14ac:dyDescent="0.25">
      <c r="H29162" s="12"/>
      <c r="I29162" s="12"/>
      <c r="J29162" s="12"/>
      <c r="K29162" s="12"/>
      <c r="L29162" s="12"/>
      <c r="M29162" s="11"/>
      <c r="N29162" s="11"/>
      <c r="O29162" s="11"/>
      <c r="P29162" s="11"/>
    </row>
    <row r="29163" spans="8:16" x14ac:dyDescent="0.25">
      <c r="H29163" s="12"/>
      <c r="I29163" s="12"/>
      <c r="J29163" s="12"/>
      <c r="K29163" s="12"/>
      <c r="L29163" s="12"/>
      <c r="M29163" s="11"/>
      <c r="N29163" s="11"/>
      <c r="O29163" s="11"/>
      <c r="P29163" s="11"/>
    </row>
    <row r="29164" spans="8:16" x14ac:dyDescent="0.25">
      <c r="H29164" s="12"/>
      <c r="I29164" s="12"/>
      <c r="J29164" s="12"/>
      <c r="K29164" s="12"/>
      <c r="L29164" s="12"/>
      <c r="M29164" s="11"/>
      <c r="N29164" s="11"/>
      <c r="O29164" s="11"/>
      <c r="P29164" s="11"/>
    </row>
    <row r="29165" spans="8:16" x14ac:dyDescent="0.25">
      <c r="H29165" s="12"/>
      <c r="I29165" s="12"/>
      <c r="J29165" s="12"/>
      <c r="K29165" s="12"/>
      <c r="L29165" s="12"/>
      <c r="M29165" s="11"/>
      <c r="N29165" s="11"/>
      <c r="O29165" s="11"/>
      <c r="P29165" s="11"/>
    </row>
    <row r="29166" spans="8:16" x14ac:dyDescent="0.25">
      <c r="H29166" s="12"/>
      <c r="I29166" s="12"/>
      <c r="J29166" s="12"/>
      <c r="K29166" s="12"/>
      <c r="L29166" s="12"/>
      <c r="M29166" s="11"/>
      <c r="N29166" s="11"/>
      <c r="O29166" s="11"/>
      <c r="P29166" s="11"/>
    </row>
    <row r="29167" spans="8:16" x14ac:dyDescent="0.25">
      <c r="H29167" s="12"/>
      <c r="I29167" s="12"/>
      <c r="J29167" s="12"/>
      <c r="K29167" s="12"/>
      <c r="L29167" s="12"/>
      <c r="M29167" s="11"/>
      <c r="N29167" s="11"/>
      <c r="O29167" s="11"/>
      <c r="P29167" s="11"/>
    </row>
    <row r="29168" spans="8:16" x14ac:dyDescent="0.25">
      <c r="H29168" s="12"/>
      <c r="I29168" s="12"/>
      <c r="J29168" s="12"/>
      <c r="K29168" s="12"/>
      <c r="L29168" s="12"/>
      <c r="M29168" s="11"/>
      <c r="N29168" s="11"/>
      <c r="O29168" s="11"/>
      <c r="P29168" s="11"/>
    </row>
    <row r="29169" spans="8:16" x14ac:dyDescent="0.25">
      <c r="H29169" s="12"/>
      <c r="I29169" s="12"/>
      <c r="J29169" s="12"/>
      <c r="K29169" s="12"/>
      <c r="L29169" s="12"/>
      <c r="M29169" s="11"/>
      <c r="N29169" s="11"/>
      <c r="O29169" s="11"/>
      <c r="P29169" s="11"/>
    </row>
    <row r="29170" spans="8:16" x14ac:dyDescent="0.25">
      <c r="H29170" s="12"/>
      <c r="I29170" s="12"/>
      <c r="J29170" s="12"/>
      <c r="K29170" s="12"/>
      <c r="L29170" s="12"/>
      <c r="M29170" s="11"/>
      <c r="N29170" s="11"/>
      <c r="O29170" s="11"/>
      <c r="P29170" s="11"/>
    </row>
    <row r="29171" spans="8:16" x14ac:dyDescent="0.25">
      <c r="H29171" s="12"/>
      <c r="I29171" s="12"/>
      <c r="J29171" s="12"/>
      <c r="K29171" s="12"/>
      <c r="L29171" s="12"/>
      <c r="M29171" s="11"/>
      <c r="N29171" s="11"/>
      <c r="O29171" s="11"/>
      <c r="P29171" s="11"/>
    </row>
    <row r="29172" spans="8:16" x14ac:dyDescent="0.25">
      <c r="H29172" s="12"/>
      <c r="I29172" s="12"/>
      <c r="J29172" s="12"/>
      <c r="K29172" s="12"/>
      <c r="L29172" s="12"/>
      <c r="M29172" s="11"/>
      <c r="N29172" s="11"/>
      <c r="O29172" s="11"/>
      <c r="P29172" s="11"/>
    </row>
    <row r="29173" spans="8:16" x14ac:dyDescent="0.25">
      <c r="H29173" s="12"/>
      <c r="I29173" s="12"/>
      <c r="J29173" s="12"/>
      <c r="K29173" s="12"/>
      <c r="L29173" s="12"/>
      <c r="M29173" s="11"/>
      <c r="N29173" s="11"/>
      <c r="O29173" s="11"/>
      <c r="P29173" s="11"/>
    </row>
    <row r="29174" spans="8:16" x14ac:dyDescent="0.25">
      <c r="H29174" s="12"/>
      <c r="I29174" s="12"/>
      <c r="J29174" s="12"/>
      <c r="K29174" s="12"/>
      <c r="L29174" s="12"/>
      <c r="M29174" s="11"/>
      <c r="N29174" s="11"/>
      <c r="O29174" s="11"/>
      <c r="P29174" s="11"/>
    </row>
    <row r="29175" spans="8:16" x14ac:dyDescent="0.25">
      <c r="H29175" s="12"/>
      <c r="I29175" s="12"/>
      <c r="J29175" s="12"/>
      <c r="K29175" s="12"/>
      <c r="L29175" s="12"/>
      <c r="M29175" s="11"/>
      <c r="N29175" s="11"/>
      <c r="O29175" s="11"/>
      <c r="P29175" s="11"/>
    </row>
    <row r="29176" spans="8:16" x14ac:dyDescent="0.25">
      <c r="H29176" s="12"/>
      <c r="I29176" s="12"/>
      <c r="J29176" s="12"/>
      <c r="K29176" s="12"/>
      <c r="L29176" s="12"/>
      <c r="M29176" s="11"/>
      <c r="N29176" s="11"/>
      <c r="O29176" s="11"/>
      <c r="P29176" s="11"/>
    </row>
    <row r="29177" spans="8:16" x14ac:dyDescent="0.25">
      <c r="H29177" s="12"/>
      <c r="I29177" s="12"/>
      <c r="J29177" s="12"/>
      <c r="K29177" s="12"/>
      <c r="L29177" s="12"/>
      <c r="M29177" s="11"/>
      <c r="N29177" s="11"/>
      <c r="O29177" s="11"/>
      <c r="P29177" s="11"/>
    </row>
    <row r="29178" spans="8:16" x14ac:dyDescent="0.25">
      <c r="H29178" s="12"/>
      <c r="I29178" s="12"/>
      <c r="J29178" s="12"/>
      <c r="K29178" s="12"/>
      <c r="L29178" s="12"/>
      <c r="M29178" s="11"/>
      <c r="N29178" s="11"/>
      <c r="O29178" s="11"/>
      <c r="P29178" s="11"/>
    </row>
    <row r="29179" spans="8:16" x14ac:dyDescent="0.25">
      <c r="H29179" s="12"/>
      <c r="I29179" s="12"/>
      <c r="J29179" s="12"/>
      <c r="K29179" s="12"/>
      <c r="L29179" s="12"/>
      <c r="M29179" s="11"/>
      <c r="N29179" s="11"/>
      <c r="O29179" s="11"/>
      <c r="P29179" s="11"/>
    </row>
    <row r="29180" spans="8:16" x14ac:dyDescent="0.25">
      <c r="H29180" s="12"/>
      <c r="I29180" s="12"/>
      <c r="J29180" s="12"/>
      <c r="K29180" s="12"/>
      <c r="L29180" s="12"/>
      <c r="M29180" s="11"/>
      <c r="N29180" s="11"/>
      <c r="O29180" s="11"/>
      <c r="P29180" s="11"/>
    </row>
    <row r="29181" spans="8:16" x14ac:dyDescent="0.25">
      <c r="H29181" s="12"/>
      <c r="I29181" s="12"/>
      <c r="J29181" s="12"/>
      <c r="K29181" s="12"/>
      <c r="L29181" s="12"/>
      <c r="M29181" s="11"/>
      <c r="N29181" s="11"/>
      <c r="O29181" s="11"/>
      <c r="P29181" s="11"/>
    </row>
    <row r="29182" spans="8:16" x14ac:dyDescent="0.25">
      <c r="H29182" s="12"/>
      <c r="I29182" s="12"/>
      <c r="J29182" s="12"/>
      <c r="K29182" s="12"/>
      <c r="L29182" s="12"/>
      <c r="M29182" s="11"/>
      <c r="N29182" s="11"/>
      <c r="O29182" s="11"/>
      <c r="P29182" s="11"/>
    </row>
    <row r="29183" spans="8:16" x14ac:dyDescent="0.25">
      <c r="H29183" s="12"/>
      <c r="I29183" s="12"/>
      <c r="J29183" s="12"/>
      <c r="K29183" s="12"/>
      <c r="L29183" s="12"/>
      <c r="M29183" s="11"/>
      <c r="N29183" s="11"/>
      <c r="O29183" s="11"/>
      <c r="P29183" s="11"/>
    </row>
    <row r="29184" spans="8:16" x14ac:dyDescent="0.25">
      <c r="H29184" s="12"/>
      <c r="I29184" s="12"/>
      <c r="J29184" s="12"/>
      <c r="K29184" s="12"/>
      <c r="L29184" s="12"/>
      <c r="M29184" s="11"/>
      <c r="N29184" s="11"/>
      <c r="O29184" s="11"/>
      <c r="P29184" s="11"/>
    </row>
    <row r="29185" spans="8:16" x14ac:dyDescent="0.25">
      <c r="H29185" s="12"/>
      <c r="I29185" s="12"/>
      <c r="J29185" s="12"/>
      <c r="K29185" s="12"/>
      <c r="L29185" s="12"/>
      <c r="M29185" s="11"/>
      <c r="N29185" s="11"/>
      <c r="O29185" s="11"/>
      <c r="P29185" s="11"/>
    </row>
    <row r="29186" spans="8:16" x14ac:dyDescent="0.25">
      <c r="H29186" s="12"/>
      <c r="I29186" s="12"/>
      <c r="J29186" s="12"/>
      <c r="K29186" s="12"/>
      <c r="L29186" s="12"/>
      <c r="M29186" s="11"/>
      <c r="N29186" s="11"/>
      <c r="O29186" s="11"/>
      <c r="P29186" s="11"/>
    </row>
    <row r="29187" spans="8:16" x14ac:dyDescent="0.25">
      <c r="H29187" s="12"/>
      <c r="I29187" s="12"/>
      <c r="J29187" s="12"/>
      <c r="K29187" s="12"/>
      <c r="L29187" s="12"/>
      <c r="M29187" s="11"/>
      <c r="N29187" s="11"/>
      <c r="O29187" s="11"/>
      <c r="P29187" s="11"/>
    </row>
    <row r="29188" spans="8:16" x14ac:dyDescent="0.25">
      <c r="H29188" s="12"/>
      <c r="I29188" s="12"/>
      <c r="J29188" s="12"/>
      <c r="K29188" s="12"/>
      <c r="L29188" s="12"/>
      <c r="M29188" s="11"/>
      <c r="N29188" s="11"/>
      <c r="O29188" s="11"/>
      <c r="P29188" s="11"/>
    </row>
    <row r="29189" spans="8:16" x14ac:dyDescent="0.25">
      <c r="H29189" s="12"/>
      <c r="I29189" s="12"/>
      <c r="J29189" s="12"/>
      <c r="K29189" s="12"/>
      <c r="L29189" s="12"/>
      <c r="M29189" s="11"/>
      <c r="N29189" s="11"/>
      <c r="O29189" s="11"/>
      <c r="P29189" s="11"/>
    </row>
    <row r="29190" spans="8:16" x14ac:dyDescent="0.25">
      <c r="H29190" s="12"/>
      <c r="I29190" s="12"/>
      <c r="J29190" s="12"/>
      <c r="K29190" s="12"/>
      <c r="L29190" s="12"/>
      <c r="M29190" s="11"/>
      <c r="N29190" s="11"/>
      <c r="O29190" s="11"/>
      <c r="P29190" s="11"/>
    </row>
    <row r="29191" spans="8:16" x14ac:dyDescent="0.25">
      <c r="H29191" s="12"/>
      <c r="I29191" s="12"/>
      <c r="J29191" s="12"/>
      <c r="K29191" s="12"/>
      <c r="L29191" s="12"/>
      <c r="M29191" s="11"/>
      <c r="N29191" s="11"/>
      <c r="O29191" s="11"/>
      <c r="P29191" s="11"/>
    </row>
    <row r="29192" spans="8:16" x14ac:dyDescent="0.25">
      <c r="H29192" s="12"/>
      <c r="I29192" s="12"/>
      <c r="J29192" s="12"/>
      <c r="K29192" s="12"/>
      <c r="L29192" s="12"/>
      <c r="M29192" s="11"/>
      <c r="N29192" s="11"/>
      <c r="O29192" s="11"/>
      <c r="P29192" s="11"/>
    </row>
    <row r="29193" spans="8:16" x14ac:dyDescent="0.25">
      <c r="H29193" s="12"/>
      <c r="I29193" s="12"/>
      <c r="J29193" s="12"/>
      <c r="K29193" s="12"/>
      <c r="L29193" s="12"/>
      <c r="M29193" s="11"/>
      <c r="N29193" s="11"/>
      <c r="O29193" s="11"/>
      <c r="P29193" s="11"/>
    </row>
    <row r="29194" spans="8:16" x14ac:dyDescent="0.25">
      <c r="H29194" s="12"/>
      <c r="I29194" s="12"/>
      <c r="J29194" s="12"/>
      <c r="K29194" s="12"/>
      <c r="L29194" s="12"/>
      <c r="M29194" s="11"/>
      <c r="N29194" s="11"/>
      <c r="O29194" s="11"/>
      <c r="P29194" s="11"/>
    </row>
    <row r="29195" spans="8:16" x14ac:dyDescent="0.25">
      <c r="H29195" s="12"/>
      <c r="I29195" s="12"/>
      <c r="J29195" s="12"/>
      <c r="K29195" s="12"/>
      <c r="L29195" s="12"/>
      <c r="M29195" s="11"/>
      <c r="N29195" s="11"/>
      <c r="O29195" s="11"/>
      <c r="P29195" s="11"/>
    </row>
    <row r="29196" spans="8:16" x14ac:dyDescent="0.25">
      <c r="H29196" s="12"/>
      <c r="I29196" s="12"/>
      <c r="J29196" s="12"/>
      <c r="K29196" s="12"/>
      <c r="L29196" s="12"/>
      <c r="M29196" s="11"/>
      <c r="N29196" s="11"/>
      <c r="O29196" s="11"/>
      <c r="P29196" s="11"/>
    </row>
    <row r="29197" spans="8:16" x14ac:dyDescent="0.25">
      <c r="H29197" s="12"/>
      <c r="I29197" s="12"/>
      <c r="J29197" s="12"/>
      <c r="K29197" s="12"/>
      <c r="L29197" s="12"/>
      <c r="M29197" s="11"/>
      <c r="N29197" s="11"/>
      <c r="O29197" s="11"/>
      <c r="P29197" s="11"/>
    </row>
    <row r="29198" spans="8:16" x14ac:dyDescent="0.25">
      <c r="H29198" s="12"/>
      <c r="I29198" s="12"/>
      <c r="J29198" s="12"/>
      <c r="K29198" s="12"/>
      <c r="L29198" s="12"/>
      <c r="M29198" s="11"/>
      <c r="N29198" s="11"/>
      <c r="O29198" s="11"/>
      <c r="P29198" s="11"/>
    </row>
    <row r="29199" spans="8:16" x14ac:dyDescent="0.25">
      <c r="H29199" s="12"/>
      <c r="I29199" s="12"/>
      <c r="J29199" s="12"/>
      <c r="K29199" s="12"/>
      <c r="L29199" s="12"/>
      <c r="M29199" s="11"/>
      <c r="N29199" s="11"/>
      <c r="O29199" s="11"/>
      <c r="P29199" s="11"/>
    </row>
    <row r="29200" spans="8:16" x14ac:dyDescent="0.25">
      <c r="H29200" s="12"/>
      <c r="I29200" s="12"/>
      <c r="J29200" s="12"/>
      <c r="K29200" s="12"/>
      <c r="L29200" s="12"/>
      <c r="M29200" s="11"/>
      <c r="N29200" s="11"/>
      <c r="O29200" s="11"/>
      <c r="P29200" s="11"/>
    </row>
    <row r="29201" spans="8:16" x14ac:dyDescent="0.25">
      <c r="H29201" s="12"/>
      <c r="I29201" s="12"/>
      <c r="J29201" s="12"/>
      <c r="K29201" s="12"/>
      <c r="L29201" s="12"/>
      <c r="M29201" s="11"/>
      <c r="N29201" s="11"/>
      <c r="O29201" s="11"/>
      <c r="P29201" s="11"/>
    </row>
    <row r="29202" spans="8:16" x14ac:dyDescent="0.25">
      <c r="H29202" s="12"/>
      <c r="I29202" s="12"/>
      <c r="J29202" s="12"/>
      <c r="K29202" s="12"/>
      <c r="L29202" s="12"/>
      <c r="M29202" s="11"/>
      <c r="N29202" s="11"/>
      <c r="O29202" s="11"/>
      <c r="P29202" s="11"/>
    </row>
    <row r="29203" spans="8:16" x14ac:dyDescent="0.25">
      <c r="H29203" s="12"/>
      <c r="I29203" s="12"/>
      <c r="J29203" s="12"/>
      <c r="K29203" s="12"/>
      <c r="L29203" s="12"/>
      <c r="M29203" s="11"/>
      <c r="N29203" s="11"/>
      <c r="O29203" s="11"/>
      <c r="P29203" s="11"/>
    </row>
    <row r="29204" spans="8:16" x14ac:dyDescent="0.25">
      <c r="H29204" s="12"/>
      <c r="I29204" s="12"/>
      <c r="J29204" s="12"/>
      <c r="K29204" s="12"/>
      <c r="L29204" s="12"/>
      <c r="M29204" s="11"/>
      <c r="N29204" s="11"/>
      <c r="O29204" s="11"/>
      <c r="P29204" s="11"/>
    </row>
    <row r="29205" spans="8:16" x14ac:dyDescent="0.25">
      <c r="H29205" s="12"/>
      <c r="I29205" s="12"/>
      <c r="J29205" s="12"/>
      <c r="K29205" s="12"/>
      <c r="L29205" s="12"/>
      <c r="M29205" s="11"/>
      <c r="N29205" s="11"/>
      <c r="O29205" s="11"/>
      <c r="P29205" s="11"/>
    </row>
    <row r="29206" spans="8:16" x14ac:dyDescent="0.25">
      <c r="H29206" s="12"/>
      <c r="I29206" s="12"/>
      <c r="J29206" s="12"/>
      <c r="K29206" s="12"/>
      <c r="L29206" s="12"/>
      <c r="M29206" s="11"/>
      <c r="N29206" s="11"/>
      <c r="O29206" s="11"/>
      <c r="P29206" s="11"/>
    </row>
    <row r="29207" spans="8:16" x14ac:dyDescent="0.25">
      <c r="H29207" s="12"/>
      <c r="I29207" s="12"/>
      <c r="J29207" s="12"/>
      <c r="K29207" s="12"/>
      <c r="L29207" s="12"/>
      <c r="M29207" s="11"/>
      <c r="N29207" s="11"/>
      <c r="O29207" s="11"/>
      <c r="P29207" s="11"/>
    </row>
    <row r="29208" spans="8:16" x14ac:dyDescent="0.25">
      <c r="H29208" s="12"/>
      <c r="I29208" s="12"/>
      <c r="J29208" s="12"/>
      <c r="K29208" s="12"/>
      <c r="L29208" s="12"/>
      <c r="M29208" s="11"/>
      <c r="N29208" s="11"/>
      <c r="O29208" s="11"/>
      <c r="P29208" s="11"/>
    </row>
    <row r="29209" spans="8:16" x14ac:dyDescent="0.25">
      <c r="H29209" s="12"/>
      <c r="I29209" s="12"/>
      <c r="J29209" s="12"/>
      <c r="K29209" s="12"/>
      <c r="L29209" s="12"/>
      <c r="M29209" s="11"/>
      <c r="N29209" s="11"/>
      <c r="O29209" s="11"/>
      <c r="P29209" s="11"/>
    </row>
    <row r="29210" spans="8:16" x14ac:dyDescent="0.25">
      <c r="H29210" s="12"/>
      <c r="I29210" s="12"/>
      <c r="J29210" s="12"/>
      <c r="K29210" s="12"/>
      <c r="L29210" s="12"/>
      <c r="M29210" s="11"/>
      <c r="N29210" s="11"/>
      <c r="O29210" s="11"/>
      <c r="P29210" s="11"/>
    </row>
    <row r="29211" spans="8:16" x14ac:dyDescent="0.25">
      <c r="H29211" s="12"/>
      <c r="I29211" s="12"/>
      <c r="J29211" s="12"/>
      <c r="K29211" s="12"/>
      <c r="L29211" s="12"/>
      <c r="M29211" s="11"/>
      <c r="N29211" s="11"/>
      <c r="O29211" s="11"/>
      <c r="P29211" s="11"/>
    </row>
    <row r="29212" spans="8:16" x14ac:dyDescent="0.25">
      <c r="H29212" s="12"/>
      <c r="I29212" s="12"/>
      <c r="J29212" s="12"/>
      <c r="K29212" s="12"/>
      <c r="L29212" s="12"/>
      <c r="M29212" s="11"/>
      <c r="N29212" s="11"/>
      <c r="O29212" s="11"/>
      <c r="P29212" s="11"/>
    </row>
    <row r="29213" spans="8:16" x14ac:dyDescent="0.25">
      <c r="H29213" s="12"/>
      <c r="I29213" s="12"/>
      <c r="J29213" s="12"/>
      <c r="K29213" s="12"/>
      <c r="L29213" s="12"/>
      <c r="M29213" s="11"/>
      <c r="N29213" s="11"/>
      <c r="O29213" s="11"/>
      <c r="P29213" s="11"/>
    </row>
    <row r="29214" spans="8:16" x14ac:dyDescent="0.25">
      <c r="H29214" s="12"/>
      <c r="I29214" s="12"/>
      <c r="J29214" s="12"/>
      <c r="K29214" s="12"/>
      <c r="L29214" s="12"/>
      <c r="M29214" s="11"/>
      <c r="N29214" s="11"/>
      <c r="O29214" s="11"/>
      <c r="P29214" s="11"/>
    </row>
    <row r="29215" spans="8:16" x14ac:dyDescent="0.25">
      <c r="H29215" s="12"/>
      <c r="I29215" s="12"/>
      <c r="J29215" s="12"/>
      <c r="K29215" s="12"/>
      <c r="L29215" s="12"/>
      <c r="M29215" s="11"/>
      <c r="N29215" s="11"/>
      <c r="O29215" s="11"/>
      <c r="P29215" s="11"/>
    </row>
    <row r="29216" spans="8:16" x14ac:dyDescent="0.25">
      <c r="H29216" s="12"/>
      <c r="I29216" s="12"/>
      <c r="J29216" s="12"/>
      <c r="K29216" s="12"/>
      <c r="L29216" s="12"/>
      <c r="M29216" s="11"/>
      <c r="N29216" s="11"/>
      <c r="O29216" s="11"/>
      <c r="P29216" s="11"/>
    </row>
    <row r="29217" spans="8:16" x14ac:dyDescent="0.25">
      <c r="H29217" s="12"/>
      <c r="I29217" s="12"/>
      <c r="J29217" s="12"/>
      <c r="K29217" s="12"/>
      <c r="L29217" s="12"/>
      <c r="M29217" s="11"/>
      <c r="N29217" s="11"/>
      <c r="O29217" s="11"/>
      <c r="P29217" s="11"/>
    </row>
    <row r="29218" spans="8:16" x14ac:dyDescent="0.25">
      <c r="H29218" s="12"/>
      <c r="I29218" s="12"/>
      <c r="J29218" s="12"/>
      <c r="K29218" s="12"/>
      <c r="L29218" s="12"/>
      <c r="M29218" s="11"/>
      <c r="N29218" s="11"/>
      <c r="O29218" s="11"/>
      <c r="P29218" s="11"/>
    </row>
    <row r="29219" spans="8:16" x14ac:dyDescent="0.25">
      <c r="H29219" s="12"/>
      <c r="I29219" s="12"/>
      <c r="J29219" s="12"/>
      <c r="K29219" s="12"/>
      <c r="L29219" s="12"/>
      <c r="M29219" s="11"/>
      <c r="N29219" s="11"/>
      <c r="O29219" s="11"/>
      <c r="P29219" s="11"/>
    </row>
    <row r="29220" spans="8:16" x14ac:dyDescent="0.25">
      <c r="H29220" s="12"/>
      <c r="I29220" s="12"/>
      <c r="J29220" s="12"/>
      <c r="K29220" s="12"/>
      <c r="L29220" s="12"/>
      <c r="M29220" s="11"/>
      <c r="N29220" s="11"/>
      <c r="O29220" s="11"/>
      <c r="P29220" s="11"/>
    </row>
    <row r="29221" spans="8:16" x14ac:dyDescent="0.25">
      <c r="H29221" s="12"/>
      <c r="I29221" s="12"/>
      <c r="J29221" s="12"/>
      <c r="K29221" s="12"/>
      <c r="L29221" s="12"/>
      <c r="M29221" s="11"/>
      <c r="N29221" s="11"/>
      <c r="O29221" s="11"/>
      <c r="P29221" s="11"/>
    </row>
    <row r="29222" spans="8:16" x14ac:dyDescent="0.25">
      <c r="H29222" s="12"/>
      <c r="I29222" s="12"/>
      <c r="J29222" s="12"/>
      <c r="K29222" s="12"/>
      <c r="L29222" s="12"/>
      <c r="M29222" s="11"/>
      <c r="N29222" s="11"/>
      <c r="O29222" s="11"/>
      <c r="P29222" s="11"/>
    </row>
    <row r="29223" spans="8:16" x14ac:dyDescent="0.25">
      <c r="H29223" s="12"/>
      <c r="I29223" s="12"/>
      <c r="J29223" s="12"/>
      <c r="K29223" s="12"/>
      <c r="L29223" s="12"/>
      <c r="M29223" s="11"/>
      <c r="N29223" s="11"/>
      <c r="O29223" s="11"/>
      <c r="P29223" s="11"/>
    </row>
    <row r="29224" spans="8:16" x14ac:dyDescent="0.25">
      <c r="H29224" s="12"/>
      <c r="I29224" s="12"/>
      <c r="J29224" s="12"/>
      <c r="K29224" s="12"/>
      <c r="L29224" s="12"/>
      <c r="M29224" s="11"/>
      <c r="N29224" s="11"/>
      <c r="O29224" s="11"/>
      <c r="P29224" s="11"/>
    </row>
    <row r="29225" spans="8:16" x14ac:dyDescent="0.25">
      <c r="H29225" s="12"/>
      <c r="I29225" s="12"/>
      <c r="J29225" s="12"/>
      <c r="K29225" s="12"/>
      <c r="L29225" s="12"/>
      <c r="M29225" s="11"/>
      <c r="N29225" s="11"/>
      <c r="O29225" s="11"/>
      <c r="P29225" s="11"/>
    </row>
    <row r="29226" spans="8:16" x14ac:dyDescent="0.25">
      <c r="H29226" s="12"/>
      <c r="I29226" s="12"/>
      <c r="J29226" s="12"/>
      <c r="K29226" s="12"/>
      <c r="L29226" s="12"/>
      <c r="M29226" s="11"/>
      <c r="N29226" s="11"/>
      <c r="O29226" s="11"/>
      <c r="P29226" s="11"/>
    </row>
    <row r="29227" spans="8:16" x14ac:dyDescent="0.25">
      <c r="H29227" s="12"/>
      <c r="I29227" s="12"/>
      <c r="J29227" s="12"/>
      <c r="K29227" s="12"/>
      <c r="L29227" s="12"/>
      <c r="M29227" s="11"/>
      <c r="N29227" s="11"/>
      <c r="O29227" s="11"/>
      <c r="P29227" s="11"/>
    </row>
    <row r="29228" spans="8:16" x14ac:dyDescent="0.25">
      <c r="H29228" s="12"/>
      <c r="I29228" s="12"/>
      <c r="J29228" s="12"/>
      <c r="K29228" s="12"/>
      <c r="L29228" s="12"/>
      <c r="M29228" s="11"/>
      <c r="N29228" s="11"/>
      <c r="O29228" s="11"/>
      <c r="P29228" s="11"/>
    </row>
    <row r="29229" spans="8:16" x14ac:dyDescent="0.25">
      <c r="H29229" s="12"/>
      <c r="I29229" s="12"/>
      <c r="J29229" s="12"/>
      <c r="K29229" s="12"/>
      <c r="L29229" s="12"/>
      <c r="M29229" s="11"/>
      <c r="N29229" s="11"/>
      <c r="O29229" s="11"/>
      <c r="P29229" s="11"/>
    </row>
    <row r="29230" spans="8:16" x14ac:dyDescent="0.25">
      <c r="H29230" s="12"/>
      <c r="I29230" s="12"/>
      <c r="J29230" s="12"/>
      <c r="K29230" s="12"/>
      <c r="L29230" s="12"/>
      <c r="M29230" s="11"/>
      <c r="N29230" s="11"/>
      <c r="O29230" s="11"/>
      <c r="P29230" s="11"/>
    </row>
    <row r="29231" spans="8:16" x14ac:dyDescent="0.25">
      <c r="H29231" s="12"/>
      <c r="I29231" s="12"/>
      <c r="J29231" s="12"/>
      <c r="K29231" s="12"/>
      <c r="L29231" s="12"/>
      <c r="M29231" s="11"/>
      <c r="N29231" s="11"/>
      <c r="O29231" s="11"/>
      <c r="P29231" s="11"/>
    </row>
    <row r="29232" spans="8:16" x14ac:dyDescent="0.25">
      <c r="H29232" s="12"/>
      <c r="I29232" s="12"/>
      <c r="J29232" s="12"/>
      <c r="K29232" s="12"/>
      <c r="L29232" s="12"/>
      <c r="M29232" s="11"/>
      <c r="N29232" s="11"/>
      <c r="O29232" s="11"/>
      <c r="P29232" s="11"/>
    </row>
    <row r="29233" spans="8:16" x14ac:dyDescent="0.25">
      <c r="H29233" s="12"/>
      <c r="I29233" s="12"/>
      <c r="J29233" s="12"/>
      <c r="K29233" s="12"/>
      <c r="L29233" s="12"/>
      <c r="M29233" s="11"/>
      <c r="N29233" s="11"/>
      <c r="O29233" s="11"/>
      <c r="P29233" s="11"/>
    </row>
    <row r="29234" spans="8:16" x14ac:dyDescent="0.25">
      <c r="H29234" s="12"/>
      <c r="I29234" s="12"/>
      <c r="J29234" s="12"/>
      <c r="K29234" s="12"/>
      <c r="L29234" s="12"/>
      <c r="M29234" s="11"/>
      <c r="N29234" s="11"/>
      <c r="O29234" s="11"/>
      <c r="P29234" s="11"/>
    </row>
    <row r="29235" spans="8:16" x14ac:dyDescent="0.25">
      <c r="H29235" s="12"/>
      <c r="I29235" s="12"/>
      <c r="J29235" s="12"/>
      <c r="K29235" s="12"/>
      <c r="L29235" s="12"/>
      <c r="M29235" s="11"/>
      <c r="N29235" s="11"/>
      <c r="O29235" s="11"/>
      <c r="P29235" s="11"/>
    </row>
    <row r="29236" spans="8:16" x14ac:dyDescent="0.25">
      <c r="H29236" s="12"/>
      <c r="I29236" s="12"/>
      <c r="J29236" s="12"/>
      <c r="K29236" s="12"/>
      <c r="L29236" s="12"/>
      <c r="M29236" s="11"/>
      <c r="N29236" s="11"/>
      <c r="O29236" s="11"/>
      <c r="P29236" s="11"/>
    </row>
    <row r="29237" spans="8:16" x14ac:dyDescent="0.25">
      <c r="H29237" s="12"/>
      <c r="I29237" s="12"/>
      <c r="J29237" s="12"/>
      <c r="K29237" s="12"/>
      <c r="L29237" s="12"/>
      <c r="M29237" s="11"/>
      <c r="N29237" s="11"/>
      <c r="O29237" s="11"/>
      <c r="P29237" s="11"/>
    </row>
    <row r="29238" spans="8:16" x14ac:dyDescent="0.25">
      <c r="H29238" s="12"/>
      <c r="I29238" s="12"/>
      <c r="J29238" s="12"/>
      <c r="K29238" s="12"/>
      <c r="L29238" s="12"/>
      <c r="M29238" s="11"/>
      <c r="N29238" s="11"/>
      <c r="O29238" s="11"/>
      <c r="P29238" s="11"/>
    </row>
    <row r="29239" spans="8:16" x14ac:dyDescent="0.25">
      <c r="H29239" s="12"/>
      <c r="I29239" s="12"/>
      <c r="J29239" s="12"/>
      <c r="K29239" s="12"/>
      <c r="L29239" s="12"/>
      <c r="M29239" s="11"/>
      <c r="N29239" s="11"/>
      <c r="O29239" s="11"/>
      <c r="P29239" s="11"/>
    </row>
    <row r="29240" spans="8:16" x14ac:dyDescent="0.25">
      <c r="H29240" s="12"/>
      <c r="I29240" s="12"/>
      <c r="J29240" s="12"/>
      <c r="K29240" s="12"/>
      <c r="L29240" s="12"/>
      <c r="M29240" s="11"/>
      <c r="N29240" s="11"/>
      <c r="O29240" s="11"/>
      <c r="P29240" s="11"/>
    </row>
    <row r="29241" spans="8:16" x14ac:dyDescent="0.25">
      <c r="H29241" s="12"/>
      <c r="I29241" s="12"/>
      <c r="J29241" s="12"/>
      <c r="K29241" s="12"/>
      <c r="L29241" s="12"/>
      <c r="M29241" s="11"/>
      <c r="N29241" s="11"/>
      <c r="O29241" s="11"/>
      <c r="P29241" s="11"/>
    </row>
    <row r="29242" spans="8:16" x14ac:dyDescent="0.25">
      <c r="H29242" s="12"/>
      <c r="I29242" s="12"/>
      <c r="J29242" s="12"/>
      <c r="K29242" s="12"/>
      <c r="L29242" s="12"/>
      <c r="M29242" s="11"/>
      <c r="N29242" s="11"/>
      <c r="O29242" s="11"/>
      <c r="P29242" s="11"/>
    </row>
    <row r="29243" spans="8:16" x14ac:dyDescent="0.25">
      <c r="H29243" s="12"/>
      <c r="I29243" s="12"/>
      <c r="J29243" s="12"/>
      <c r="K29243" s="12"/>
      <c r="L29243" s="12"/>
      <c r="M29243" s="11"/>
      <c r="N29243" s="11"/>
      <c r="O29243" s="11"/>
      <c r="P29243" s="11"/>
    </row>
    <row r="29244" spans="8:16" x14ac:dyDescent="0.25">
      <c r="H29244" s="12"/>
      <c r="I29244" s="12"/>
      <c r="J29244" s="12"/>
      <c r="K29244" s="12"/>
      <c r="L29244" s="12"/>
      <c r="M29244" s="11"/>
      <c r="N29244" s="11"/>
      <c r="O29244" s="11"/>
      <c r="P29244" s="11"/>
    </row>
    <row r="29245" spans="8:16" x14ac:dyDescent="0.25">
      <c r="H29245" s="12"/>
      <c r="I29245" s="12"/>
      <c r="J29245" s="12"/>
      <c r="K29245" s="12"/>
      <c r="L29245" s="12"/>
      <c r="M29245" s="11"/>
      <c r="N29245" s="11"/>
      <c r="O29245" s="11"/>
      <c r="P29245" s="11"/>
    </row>
    <row r="29246" spans="8:16" x14ac:dyDescent="0.25">
      <c r="H29246" s="12"/>
      <c r="I29246" s="12"/>
      <c r="J29246" s="12"/>
      <c r="K29246" s="12"/>
      <c r="L29246" s="12"/>
      <c r="M29246" s="11"/>
      <c r="N29246" s="11"/>
      <c r="O29246" s="11"/>
      <c r="P29246" s="11"/>
    </row>
    <row r="29247" spans="8:16" x14ac:dyDescent="0.25">
      <c r="H29247" s="12"/>
      <c r="I29247" s="12"/>
      <c r="J29247" s="12"/>
      <c r="K29247" s="12"/>
      <c r="L29247" s="12"/>
      <c r="M29247" s="11"/>
      <c r="N29247" s="11"/>
      <c r="O29247" s="11"/>
      <c r="P29247" s="11"/>
    </row>
    <row r="29248" spans="8:16" x14ac:dyDescent="0.25">
      <c r="H29248" s="12"/>
      <c r="I29248" s="12"/>
      <c r="J29248" s="12"/>
      <c r="K29248" s="12"/>
      <c r="L29248" s="12"/>
      <c r="M29248" s="11"/>
      <c r="N29248" s="11"/>
      <c r="O29248" s="11"/>
      <c r="P29248" s="11"/>
    </row>
    <row r="29249" spans="8:16" x14ac:dyDescent="0.25">
      <c r="H29249" s="12"/>
      <c r="I29249" s="12"/>
      <c r="J29249" s="12"/>
      <c r="K29249" s="12"/>
      <c r="L29249" s="12"/>
      <c r="M29249" s="11"/>
      <c r="N29249" s="11"/>
      <c r="O29249" s="11"/>
      <c r="P29249" s="11"/>
    </row>
    <row r="29250" spans="8:16" x14ac:dyDescent="0.25">
      <c r="H29250" s="12"/>
      <c r="I29250" s="12"/>
      <c r="J29250" s="12"/>
      <c r="K29250" s="12"/>
      <c r="L29250" s="12"/>
      <c r="M29250" s="11"/>
      <c r="N29250" s="11"/>
      <c r="O29250" s="11"/>
      <c r="P29250" s="11"/>
    </row>
    <row r="29251" spans="8:16" x14ac:dyDescent="0.25">
      <c r="H29251" s="12"/>
      <c r="I29251" s="12"/>
      <c r="J29251" s="12"/>
      <c r="K29251" s="12"/>
      <c r="L29251" s="12"/>
      <c r="M29251" s="11"/>
      <c r="N29251" s="11"/>
      <c r="O29251" s="11"/>
      <c r="P29251" s="11"/>
    </row>
    <row r="29252" spans="8:16" x14ac:dyDescent="0.25">
      <c r="H29252" s="12"/>
      <c r="I29252" s="12"/>
      <c r="J29252" s="12"/>
      <c r="K29252" s="12"/>
      <c r="L29252" s="12"/>
      <c r="M29252" s="11"/>
      <c r="N29252" s="11"/>
      <c r="O29252" s="11"/>
      <c r="P29252" s="11"/>
    </row>
    <row r="29253" spans="8:16" x14ac:dyDescent="0.25">
      <c r="H29253" s="12"/>
      <c r="I29253" s="12"/>
      <c r="J29253" s="12"/>
      <c r="K29253" s="12"/>
      <c r="L29253" s="12"/>
      <c r="M29253" s="11"/>
      <c r="N29253" s="11"/>
      <c r="O29253" s="11"/>
      <c r="P29253" s="11"/>
    </row>
    <row r="29254" spans="8:16" x14ac:dyDescent="0.25">
      <c r="H29254" s="12"/>
      <c r="I29254" s="12"/>
      <c r="J29254" s="12"/>
      <c r="K29254" s="12"/>
      <c r="L29254" s="12"/>
      <c r="M29254" s="11"/>
      <c r="N29254" s="11"/>
      <c r="O29254" s="11"/>
      <c r="P29254" s="11"/>
    </row>
    <row r="29255" spans="8:16" x14ac:dyDescent="0.25">
      <c r="H29255" s="12"/>
      <c r="I29255" s="12"/>
      <c r="J29255" s="12"/>
      <c r="K29255" s="12"/>
      <c r="L29255" s="12"/>
      <c r="M29255" s="11"/>
      <c r="N29255" s="11"/>
      <c r="O29255" s="11"/>
      <c r="P29255" s="11"/>
    </row>
    <row r="29256" spans="8:16" x14ac:dyDescent="0.25">
      <c r="H29256" s="12"/>
      <c r="I29256" s="12"/>
      <c r="J29256" s="12"/>
      <c r="K29256" s="12"/>
      <c r="L29256" s="12"/>
      <c r="M29256" s="11"/>
      <c r="N29256" s="11"/>
      <c r="O29256" s="11"/>
      <c r="P29256" s="11"/>
    </row>
    <row r="29257" spans="8:16" x14ac:dyDescent="0.25">
      <c r="H29257" s="12"/>
      <c r="I29257" s="12"/>
      <c r="J29257" s="12"/>
      <c r="K29257" s="12"/>
      <c r="L29257" s="12"/>
      <c r="M29257" s="11"/>
      <c r="N29257" s="11"/>
      <c r="O29257" s="11"/>
      <c r="P29257" s="11"/>
    </row>
    <row r="29258" spans="8:16" x14ac:dyDescent="0.25">
      <c r="H29258" s="12"/>
      <c r="I29258" s="12"/>
      <c r="J29258" s="12"/>
      <c r="K29258" s="12"/>
      <c r="L29258" s="12"/>
      <c r="M29258" s="11"/>
      <c r="N29258" s="11"/>
      <c r="O29258" s="11"/>
      <c r="P29258" s="11"/>
    </row>
    <row r="29259" spans="8:16" x14ac:dyDescent="0.25">
      <c r="H29259" s="12"/>
      <c r="I29259" s="12"/>
      <c r="J29259" s="12"/>
      <c r="K29259" s="12"/>
      <c r="L29259" s="12"/>
      <c r="M29259" s="11"/>
      <c r="N29259" s="11"/>
      <c r="O29259" s="11"/>
      <c r="P29259" s="11"/>
    </row>
    <row r="29260" spans="8:16" x14ac:dyDescent="0.25">
      <c r="H29260" s="12"/>
      <c r="I29260" s="12"/>
      <c r="J29260" s="12"/>
      <c r="K29260" s="12"/>
      <c r="L29260" s="12"/>
      <c r="M29260" s="11"/>
      <c r="N29260" s="11"/>
      <c r="O29260" s="11"/>
      <c r="P29260" s="11"/>
    </row>
    <row r="29261" spans="8:16" x14ac:dyDescent="0.25">
      <c r="H29261" s="12"/>
      <c r="I29261" s="12"/>
      <c r="J29261" s="12"/>
      <c r="K29261" s="12"/>
      <c r="L29261" s="12"/>
      <c r="M29261" s="11"/>
      <c r="N29261" s="11"/>
      <c r="O29261" s="11"/>
      <c r="P29261" s="11"/>
    </row>
    <row r="29262" spans="8:16" x14ac:dyDescent="0.25">
      <c r="H29262" s="12"/>
      <c r="I29262" s="12"/>
      <c r="J29262" s="12"/>
      <c r="K29262" s="12"/>
      <c r="L29262" s="12"/>
      <c r="M29262" s="11"/>
      <c r="N29262" s="11"/>
      <c r="O29262" s="11"/>
      <c r="P29262" s="11"/>
    </row>
    <row r="29263" spans="8:16" x14ac:dyDescent="0.25">
      <c r="H29263" s="12"/>
      <c r="I29263" s="12"/>
      <c r="J29263" s="12"/>
      <c r="K29263" s="12"/>
      <c r="L29263" s="12"/>
      <c r="M29263" s="11"/>
      <c r="N29263" s="11"/>
      <c r="O29263" s="11"/>
      <c r="P29263" s="11"/>
    </row>
    <row r="29264" spans="8:16" x14ac:dyDescent="0.25">
      <c r="H29264" s="12"/>
      <c r="I29264" s="12"/>
      <c r="J29264" s="12"/>
      <c r="K29264" s="12"/>
      <c r="L29264" s="12"/>
      <c r="M29264" s="11"/>
      <c r="N29264" s="11"/>
      <c r="O29264" s="11"/>
      <c r="P29264" s="11"/>
    </row>
    <row r="29265" spans="8:16" x14ac:dyDescent="0.25">
      <c r="H29265" s="12"/>
      <c r="I29265" s="12"/>
      <c r="J29265" s="12"/>
      <c r="K29265" s="12"/>
      <c r="L29265" s="12"/>
      <c r="M29265" s="11"/>
      <c r="N29265" s="11"/>
      <c r="O29265" s="11"/>
      <c r="P29265" s="11"/>
    </row>
    <row r="29266" spans="8:16" x14ac:dyDescent="0.25">
      <c r="H29266" s="12"/>
      <c r="I29266" s="12"/>
      <c r="J29266" s="12"/>
      <c r="K29266" s="12"/>
      <c r="L29266" s="12"/>
      <c r="M29266" s="11"/>
      <c r="N29266" s="11"/>
      <c r="O29266" s="11"/>
      <c r="P29266" s="11"/>
    </row>
    <row r="29267" spans="8:16" x14ac:dyDescent="0.25">
      <c r="H29267" s="12"/>
      <c r="I29267" s="12"/>
      <c r="J29267" s="12"/>
      <c r="K29267" s="12"/>
      <c r="L29267" s="12"/>
      <c r="M29267" s="11"/>
      <c r="N29267" s="11"/>
      <c r="O29267" s="11"/>
      <c r="P29267" s="11"/>
    </row>
    <row r="29268" spans="8:16" x14ac:dyDescent="0.25">
      <c r="H29268" s="12"/>
      <c r="I29268" s="12"/>
      <c r="J29268" s="12"/>
      <c r="K29268" s="12"/>
      <c r="L29268" s="12"/>
      <c r="M29268" s="11"/>
      <c r="N29268" s="11"/>
      <c r="O29268" s="11"/>
      <c r="P29268" s="11"/>
    </row>
    <row r="29269" spans="8:16" x14ac:dyDescent="0.25">
      <c r="H29269" s="12"/>
      <c r="I29269" s="12"/>
      <c r="J29269" s="12"/>
      <c r="K29269" s="12"/>
      <c r="L29269" s="12"/>
      <c r="M29269" s="11"/>
      <c r="N29269" s="11"/>
      <c r="O29269" s="11"/>
      <c r="P29269" s="11"/>
    </row>
    <row r="29270" spans="8:16" x14ac:dyDescent="0.25">
      <c r="H29270" s="12"/>
      <c r="I29270" s="12"/>
      <c r="J29270" s="12"/>
      <c r="K29270" s="12"/>
      <c r="L29270" s="12"/>
      <c r="M29270" s="11"/>
      <c r="N29270" s="11"/>
      <c r="O29270" s="11"/>
      <c r="P29270" s="11"/>
    </row>
    <row r="29271" spans="8:16" x14ac:dyDescent="0.25">
      <c r="H29271" s="12"/>
      <c r="I29271" s="12"/>
      <c r="J29271" s="12"/>
      <c r="K29271" s="12"/>
      <c r="L29271" s="12"/>
      <c r="M29271" s="11"/>
      <c r="N29271" s="11"/>
      <c r="O29271" s="11"/>
      <c r="P29271" s="11"/>
    </row>
    <row r="29272" spans="8:16" x14ac:dyDescent="0.25">
      <c r="H29272" s="12"/>
      <c r="I29272" s="12"/>
      <c r="J29272" s="12"/>
      <c r="K29272" s="12"/>
      <c r="L29272" s="12"/>
      <c r="M29272" s="11"/>
      <c r="N29272" s="11"/>
      <c r="O29272" s="11"/>
      <c r="P29272" s="11"/>
    </row>
    <row r="29273" spans="8:16" x14ac:dyDescent="0.25">
      <c r="H29273" s="12"/>
      <c r="I29273" s="12"/>
      <c r="J29273" s="12"/>
      <c r="K29273" s="12"/>
      <c r="L29273" s="12"/>
      <c r="M29273" s="11"/>
      <c r="N29273" s="11"/>
      <c r="O29273" s="11"/>
      <c r="P29273" s="11"/>
    </row>
    <row r="29274" spans="8:16" x14ac:dyDescent="0.25">
      <c r="H29274" s="12"/>
      <c r="I29274" s="12"/>
      <c r="J29274" s="12"/>
      <c r="K29274" s="12"/>
      <c r="L29274" s="12"/>
      <c r="M29274" s="11"/>
      <c r="N29274" s="11"/>
      <c r="O29274" s="11"/>
      <c r="P29274" s="11"/>
    </row>
    <row r="29275" spans="8:16" x14ac:dyDescent="0.25">
      <c r="H29275" s="12"/>
      <c r="I29275" s="12"/>
      <c r="J29275" s="12"/>
      <c r="K29275" s="12"/>
      <c r="L29275" s="12"/>
      <c r="M29275" s="11"/>
      <c r="N29275" s="11"/>
      <c r="O29275" s="11"/>
      <c r="P29275" s="11"/>
    </row>
    <row r="29276" spans="8:16" x14ac:dyDescent="0.25">
      <c r="H29276" s="12"/>
      <c r="I29276" s="12"/>
      <c r="J29276" s="12"/>
      <c r="K29276" s="12"/>
      <c r="L29276" s="12"/>
      <c r="M29276" s="11"/>
      <c r="N29276" s="11"/>
      <c r="O29276" s="11"/>
      <c r="P29276" s="11"/>
    </row>
    <row r="29277" spans="8:16" x14ac:dyDescent="0.25">
      <c r="H29277" s="12"/>
      <c r="I29277" s="12"/>
      <c r="J29277" s="12"/>
      <c r="K29277" s="12"/>
      <c r="L29277" s="12"/>
      <c r="M29277" s="11"/>
      <c r="N29277" s="11"/>
      <c r="O29277" s="11"/>
      <c r="P29277" s="11"/>
    </row>
    <row r="29278" spans="8:16" x14ac:dyDescent="0.25">
      <c r="H29278" s="12"/>
      <c r="I29278" s="12"/>
      <c r="J29278" s="12"/>
      <c r="K29278" s="12"/>
      <c r="L29278" s="12"/>
      <c r="M29278" s="11"/>
      <c r="N29278" s="11"/>
      <c r="O29278" s="11"/>
      <c r="P29278" s="11"/>
    </row>
    <row r="29279" spans="8:16" x14ac:dyDescent="0.25">
      <c r="H29279" s="12"/>
      <c r="I29279" s="12"/>
      <c r="J29279" s="12"/>
      <c r="K29279" s="12"/>
      <c r="L29279" s="12"/>
      <c r="M29279" s="11"/>
      <c r="N29279" s="11"/>
      <c r="O29279" s="11"/>
      <c r="P29279" s="11"/>
    </row>
    <row r="29280" spans="8:16" x14ac:dyDescent="0.25">
      <c r="H29280" s="12"/>
      <c r="I29280" s="12"/>
      <c r="J29280" s="12"/>
      <c r="K29280" s="12"/>
      <c r="L29280" s="12"/>
      <c r="M29280" s="11"/>
      <c r="N29280" s="11"/>
      <c r="O29280" s="11"/>
      <c r="P29280" s="11"/>
    </row>
    <row r="29281" spans="8:16" x14ac:dyDescent="0.25">
      <c r="H29281" s="12"/>
      <c r="I29281" s="12"/>
      <c r="J29281" s="12"/>
      <c r="K29281" s="12"/>
      <c r="L29281" s="12"/>
      <c r="M29281" s="11"/>
      <c r="N29281" s="11"/>
      <c r="O29281" s="11"/>
      <c r="P29281" s="11"/>
    </row>
    <row r="29282" spans="8:16" x14ac:dyDescent="0.25">
      <c r="H29282" s="12"/>
      <c r="I29282" s="12"/>
      <c r="J29282" s="12"/>
      <c r="K29282" s="12"/>
      <c r="L29282" s="12"/>
      <c r="M29282" s="11"/>
      <c r="N29282" s="11"/>
      <c r="O29282" s="11"/>
      <c r="P29282" s="11"/>
    </row>
    <row r="29283" spans="8:16" x14ac:dyDescent="0.25">
      <c r="H29283" s="12"/>
      <c r="I29283" s="12"/>
      <c r="J29283" s="12"/>
      <c r="K29283" s="12"/>
      <c r="L29283" s="12"/>
      <c r="M29283" s="11"/>
      <c r="N29283" s="11"/>
      <c r="O29283" s="11"/>
      <c r="P29283" s="11"/>
    </row>
    <row r="29284" spans="8:16" x14ac:dyDescent="0.25">
      <c r="H29284" s="12"/>
      <c r="I29284" s="12"/>
      <c r="J29284" s="12"/>
      <c r="K29284" s="12"/>
      <c r="L29284" s="12"/>
      <c r="M29284" s="11"/>
      <c r="N29284" s="11"/>
      <c r="O29284" s="11"/>
      <c r="P29284" s="11"/>
    </row>
    <row r="29285" spans="8:16" x14ac:dyDescent="0.25">
      <c r="H29285" s="12"/>
      <c r="I29285" s="12"/>
      <c r="J29285" s="12"/>
      <c r="K29285" s="12"/>
      <c r="L29285" s="12"/>
      <c r="M29285" s="11"/>
      <c r="N29285" s="11"/>
      <c r="O29285" s="11"/>
      <c r="P29285" s="11"/>
    </row>
    <row r="29286" spans="8:16" x14ac:dyDescent="0.25">
      <c r="H29286" s="12"/>
      <c r="I29286" s="12"/>
      <c r="J29286" s="12"/>
      <c r="K29286" s="12"/>
      <c r="L29286" s="12"/>
      <c r="M29286" s="11"/>
      <c r="N29286" s="11"/>
      <c r="O29286" s="11"/>
      <c r="P29286" s="11"/>
    </row>
    <row r="29287" spans="8:16" x14ac:dyDescent="0.25">
      <c r="H29287" s="12"/>
      <c r="I29287" s="12"/>
      <c r="J29287" s="12"/>
      <c r="K29287" s="12"/>
      <c r="L29287" s="12"/>
      <c r="M29287" s="11"/>
      <c r="N29287" s="11"/>
      <c r="O29287" s="11"/>
      <c r="P29287" s="11"/>
    </row>
    <row r="29288" spans="8:16" x14ac:dyDescent="0.25">
      <c r="H29288" s="12"/>
      <c r="I29288" s="12"/>
      <c r="J29288" s="12"/>
      <c r="K29288" s="12"/>
      <c r="L29288" s="12"/>
      <c r="M29288" s="11"/>
      <c r="N29288" s="11"/>
      <c r="O29288" s="11"/>
      <c r="P29288" s="11"/>
    </row>
    <row r="29289" spans="8:16" x14ac:dyDescent="0.25">
      <c r="H29289" s="12"/>
      <c r="I29289" s="12"/>
      <c r="J29289" s="12"/>
      <c r="K29289" s="12"/>
      <c r="L29289" s="12"/>
      <c r="M29289" s="11"/>
      <c r="N29289" s="11"/>
      <c r="O29289" s="11"/>
      <c r="P29289" s="11"/>
    </row>
    <row r="29290" spans="8:16" x14ac:dyDescent="0.25">
      <c r="H29290" s="12"/>
      <c r="I29290" s="12"/>
      <c r="J29290" s="12"/>
      <c r="K29290" s="12"/>
      <c r="L29290" s="12"/>
      <c r="M29290" s="11"/>
      <c r="N29290" s="11"/>
      <c r="O29290" s="11"/>
      <c r="P29290" s="11"/>
    </row>
    <row r="29291" spans="8:16" x14ac:dyDescent="0.25">
      <c r="H29291" s="12"/>
      <c r="I29291" s="12"/>
      <c r="J29291" s="12"/>
      <c r="K29291" s="12"/>
      <c r="L29291" s="12"/>
      <c r="M29291" s="11"/>
      <c r="N29291" s="11"/>
      <c r="O29291" s="11"/>
      <c r="P29291" s="11"/>
    </row>
    <row r="29292" spans="8:16" x14ac:dyDescent="0.25">
      <c r="H29292" s="12"/>
      <c r="I29292" s="12"/>
      <c r="J29292" s="12"/>
      <c r="K29292" s="12"/>
      <c r="L29292" s="12"/>
      <c r="M29292" s="11"/>
      <c r="N29292" s="11"/>
      <c r="O29292" s="11"/>
      <c r="P29292" s="11"/>
    </row>
    <row r="29293" spans="8:16" x14ac:dyDescent="0.25">
      <c r="H29293" s="12"/>
      <c r="I29293" s="12"/>
      <c r="J29293" s="12"/>
      <c r="K29293" s="12"/>
      <c r="L29293" s="12"/>
      <c r="M29293" s="11"/>
      <c r="N29293" s="11"/>
      <c r="O29293" s="11"/>
      <c r="P29293" s="11"/>
    </row>
    <row r="29294" spans="8:16" x14ac:dyDescent="0.25">
      <c r="H29294" s="12"/>
      <c r="I29294" s="12"/>
      <c r="J29294" s="12"/>
      <c r="K29294" s="12"/>
      <c r="L29294" s="12"/>
      <c r="M29294" s="11"/>
      <c r="N29294" s="11"/>
      <c r="O29294" s="11"/>
      <c r="P29294" s="11"/>
    </row>
    <row r="29295" spans="8:16" x14ac:dyDescent="0.25">
      <c r="H29295" s="12"/>
      <c r="I29295" s="12"/>
      <c r="J29295" s="12"/>
      <c r="K29295" s="12"/>
      <c r="L29295" s="12"/>
      <c r="M29295" s="11"/>
      <c r="N29295" s="11"/>
      <c r="O29295" s="11"/>
      <c r="P29295" s="11"/>
    </row>
    <row r="29296" spans="8:16" x14ac:dyDescent="0.25">
      <c r="H29296" s="12"/>
      <c r="I29296" s="12"/>
      <c r="J29296" s="12"/>
      <c r="K29296" s="12"/>
      <c r="L29296" s="12"/>
      <c r="M29296" s="11"/>
      <c r="N29296" s="11"/>
      <c r="O29296" s="11"/>
      <c r="P29296" s="11"/>
    </row>
    <row r="29297" spans="8:16" x14ac:dyDescent="0.25">
      <c r="H29297" s="12"/>
      <c r="I29297" s="12"/>
      <c r="J29297" s="12"/>
      <c r="K29297" s="12"/>
      <c r="L29297" s="12"/>
      <c r="M29297" s="11"/>
      <c r="N29297" s="11"/>
      <c r="O29297" s="11"/>
      <c r="P29297" s="11"/>
    </row>
    <row r="29298" spans="8:16" x14ac:dyDescent="0.25">
      <c r="H29298" s="12"/>
      <c r="I29298" s="12"/>
      <c r="J29298" s="12"/>
      <c r="K29298" s="12"/>
      <c r="L29298" s="12"/>
      <c r="M29298" s="11"/>
      <c r="N29298" s="11"/>
      <c r="O29298" s="11"/>
      <c r="P29298" s="11"/>
    </row>
    <row r="29299" spans="8:16" x14ac:dyDescent="0.25">
      <c r="H29299" s="12"/>
      <c r="I29299" s="12"/>
      <c r="J29299" s="12"/>
      <c r="K29299" s="12"/>
      <c r="L29299" s="12"/>
      <c r="M29299" s="11"/>
      <c r="N29299" s="11"/>
      <c r="O29299" s="11"/>
      <c r="P29299" s="11"/>
    </row>
    <row r="29300" spans="8:16" x14ac:dyDescent="0.25">
      <c r="H29300" s="12"/>
      <c r="I29300" s="12"/>
      <c r="J29300" s="12"/>
      <c r="K29300" s="12"/>
      <c r="L29300" s="12"/>
      <c r="M29300" s="11"/>
      <c r="N29300" s="11"/>
      <c r="O29300" s="11"/>
      <c r="P29300" s="11"/>
    </row>
    <row r="29301" spans="8:16" x14ac:dyDescent="0.25">
      <c r="H29301" s="12"/>
      <c r="I29301" s="12"/>
      <c r="J29301" s="12"/>
      <c r="K29301" s="12"/>
      <c r="L29301" s="12"/>
      <c r="M29301" s="11"/>
      <c r="N29301" s="11"/>
      <c r="O29301" s="11"/>
      <c r="P29301" s="11"/>
    </row>
    <row r="29302" spans="8:16" x14ac:dyDescent="0.25">
      <c r="H29302" s="12"/>
      <c r="I29302" s="12"/>
      <c r="J29302" s="12"/>
      <c r="K29302" s="12"/>
      <c r="L29302" s="12"/>
      <c r="M29302" s="11"/>
      <c r="N29302" s="11"/>
      <c r="O29302" s="11"/>
      <c r="P29302" s="11"/>
    </row>
    <row r="29303" spans="8:16" x14ac:dyDescent="0.25">
      <c r="H29303" s="12"/>
      <c r="I29303" s="12"/>
      <c r="J29303" s="12"/>
      <c r="K29303" s="12"/>
      <c r="L29303" s="12"/>
      <c r="M29303" s="11"/>
      <c r="N29303" s="11"/>
      <c r="O29303" s="11"/>
      <c r="P29303" s="11"/>
    </row>
    <row r="29304" spans="8:16" x14ac:dyDescent="0.25">
      <c r="H29304" s="12"/>
      <c r="I29304" s="12"/>
      <c r="J29304" s="12"/>
      <c r="K29304" s="12"/>
      <c r="L29304" s="12"/>
      <c r="M29304" s="11"/>
      <c r="N29304" s="11"/>
      <c r="O29304" s="11"/>
      <c r="P29304" s="11"/>
    </row>
    <row r="29305" spans="8:16" x14ac:dyDescent="0.25">
      <c r="H29305" s="12"/>
      <c r="I29305" s="12"/>
      <c r="J29305" s="12"/>
      <c r="K29305" s="12"/>
      <c r="L29305" s="12"/>
      <c r="M29305" s="11"/>
      <c r="N29305" s="11"/>
      <c r="O29305" s="11"/>
      <c r="P29305" s="11"/>
    </row>
    <row r="29306" spans="8:16" x14ac:dyDescent="0.25">
      <c r="H29306" s="12"/>
      <c r="I29306" s="12"/>
      <c r="J29306" s="12"/>
      <c r="K29306" s="12"/>
      <c r="L29306" s="12"/>
      <c r="M29306" s="11"/>
      <c r="N29306" s="11"/>
      <c r="O29306" s="11"/>
      <c r="P29306" s="11"/>
    </row>
    <row r="29307" spans="8:16" x14ac:dyDescent="0.25">
      <c r="H29307" s="12"/>
      <c r="I29307" s="12"/>
      <c r="J29307" s="12"/>
      <c r="K29307" s="12"/>
      <c r="L29307" s="12"/>
      <c r="M29307" s="11"/>
      <c r="N29307" s="11"/>
      <c r="O29307" s="11"/>
      <c r="P29307" s="11"/>
    </row>
    <row r="29308" spans="8:16" x14ac:dyDescent="0.25">
      <c r="H29308" s="12"/>
      <c r="I29308" s="12"/>
      <c r="J29308" s="12"/>
      <c r="K29308" s="12"/>
      <c r="L29308" s="12"/>
      <c r="M29308" s="11"/>
      <c r="N29308" s="11"/>
      <c r="O29308" s="11"/>
      <c r="P29308" s="11"/>
    </row>
    <row r="29309" spans="8:16" x14ac:dyDescent="0.25">
      <c r="H29309" s="12"/>
      <c r="I29309" s="12"/>
      <c r="J29309" s="12"/>
      <c r="K29309" s="12"/>
      <c r="L29309" s="12"/>
      <c r="M29309" s="11"/>
      <c r="N29309" s="11"/>
      <c r="O29309" s="11"/>
      <c r="P29309" s="11"/>
    </row>
    <row r="29310" spans="8:16" x14ac:dyDescent="0.25">
      <c r="H29310" s="12"/>
      <c r="I29310" s="12"/>
      <c r="J29310" s="12"/>
      <c r="K29310" s="12"/>
      <c r="L29310" s="12"/>
      <c r="M29310" s="11"/>
      <c r="N29310" s="11"/>
      <c r="O29310" s="11"/>
      <c r="P29310" s="11"/>
    </row>
    <row r="29311" spans="8:16" x14ac:dyDescent="0.25">
      <c r="H29311" s="12"/>
      <c r="I29311" s="12"/>
      <c r="J29311" s="12"/>
      <c r="K29311" s="12"/>
      <c r="L29311" s="12"/>
      <c r="M29311" s="11"/>
      <c r="N29311" s="11"/>
      <c r="O29311" s="11"/>
      <c r="P29311" s="11"/>
    </row>
    <row r="29312" spans="8:16" x14ac:dyDescent="0.25">
      <c r="H29312" s="12"/>
      <c r="I29312" s="12"/>
      <c r="J29312" s="12"/>
      <c r="K29312" s="12"/>
      <c r="L29312" s="12"/>
      <c r="M29312" s="11"/>
      <c r="N29312" s="11"/>
      <c r="O29312" s="11"/>
      <c r="P29312" s="11"/>
    </row>
    <row r="29313" spans="8:16" x14ac:dyDescent="0.25">
      <c r="H29313" s="12"/>
      <c r="I29313" s="12"/>
      <c r="J29313" s="12"/>
      <c r="K29313" s="12"/>
      <c r="L29313" s="12"/>
      <c r="M29313" s="11"/>
      <c r="N29313" s="11"/>
      <c r="O29313" s="11"/>
      <c r="P29313" s="11"/>
    </row>
    <row r="29314" spans="8:16" x14ac:dyDescent="0.25">
      <c r="H29314" s="12"/>
      <c r="I29314" s="12"/>
      <c r="J29314" s="12"/>
      <c r="K29314" s="12"/>
      <c r="L29314" s="12"/>
      <c r="M29314" s="11"/>
      <c r="N29314" s="11"/>
      <c r="O29314" s="11"/>
      <c r="P29314" s="11"/>
    </row>
    <row r="29315" spans="8:16" x14ac:dyDescent="0.25">
      <c r="H29315" s="12"/>
      <c r="I29315" s="12"/>
      <c r="J29315" s="12"/>
      <c r="K29315" s="12"/>
      <c r="L29315" s="12"/>
      <c r="M29315" s="11"/>
      <c r="N29315" s="11"/>
      <c r="O29315" s="11"/>
      <c r="P29315" s="11"/>
    </row>
    <row r="29316" spans="8:16" x14ac:dyDescent="0.25">
      <c r="H29316" s="12"/>
      <c r="I29316" s="12"/>
      <c r="J29316" s="12"/>
      <c r="K29316" s="12"/>
      <c r="L29316" s="12"/>
      <c r="M29316" s="11"/>
      <c r="N29316" s="11"/>
      <c r="O29316" s="11"/>
      <c r="P29316" s="11"/>
    </row>
    <row r="29317" spans="8:16" x14ac:dyDescent="0.25">
      <c r="H29317" s="12"/>
      <c r="I29317" s="12"/>
      <c r="J29317" s="12"/>
      <c r="K29317" s="12"/>
      <c r="L29317" s="12"/>
      <c r="M29317" s="11"/>
      <c r="N29317" s="11"/>
      <c r="O29317" s="11"/>
      <c r="P29317" s="11"/>
    </row>
    <row r="29318" spans="8:16" x14ac:dyDescent="0.25">
      <c r="H29318" s="12"/>
      <c r="I29318" s="12"/>
      <c r="J29318" s="12"/>
      <c r="K29318" s="12"/>
      <c r="L29318" s="12"/>
      <c r="M29318" s="11"/>
      <c r="N29318" s="11"/>
      <c r="O29318" s="11"/>
      <c r="P29318" s="11"/>
    </row>
    <row r="29319" spans="8:16" x14ac:dyDescent="0.25">
      <c r="H29319" s="12"/>
      <c r="I29319" s="12"/>
      <c r="J29319" s="12"/>
      <c r="K29319" s="12"/>
      <c r="L29319" s="12"/>
      <c r="M29319" s="11"/>
      <c r="N29319" s="11"/>
      <c r="O29319" s="11"/>
      <c r="P29319" s="11"/>
    </row>
    <row r="29320" spans="8:16" x14ac:dyDescent="0.25">
      <c r="H29320" s="12"/>
      <c r="I29320" s="12"/>
      <c r="J29320" s="12"/>
      <c r="K29320" s="12"/>
      <c r="L29320" s="12"/>
      <c r="M29320" s="11"/>
      <c r="N29320" s="11"/>
      <c r="O29320" s="11"/>
      <c r="P29320" s="11"/>
    </row>
    <row r="29321" spans="8:16" x14ac:dyDescent="0.25">
      <c r="H29321" s="12"/>
      <c r="I29321" s="12"/>
      <c r="J29321" s="12"/>
      <c r="K29321" s="12"/>
      <c r="L29321" s="12"/>
      <c r="M29321" s="11"/>
      <c r="N29321" s="11"/>
      <c r="O29321" s="11"/>
      <c r="P29321" s="11"/>
    </row>
    <row r="29322" spans="8:16" x14ac:dyDescent="0.25">
      <c r="H29322" s="12"/>
      <c r="I29322" s="12"/>
      <c r="J29322" s="12"/>
      <c r="K29322" s="12"/>
      <c r="L29322" s="12"/>
      <c r="M29322" s="11"/>
      <c r="N29322" s="11"/>
      <c r="O29322" s="11"/>
      <c r="P29322" s="11"/>
    </row>
    <row r="29323" spans="8:16" x14ac:dyDescent="0.25">
      <c r="H29323" s="12"/>
      <c r="I29323" s="12"/>
      <c r="J29323" s="12"/>
      <c r="K29323" s="12"/>
      <c r="L29323" s="12"/>
      <c r="M29323" s="11"/>
      <c r="N29323" s="11"/>
      <c r="O29323" s="11"/>
      <c r="P29323" s="11"/>
    </row>
    <row r="29324" spans="8:16" x14ac:dyDescent="0.25">
      <c r="H29324" s="12"/>
      <c r="I29324" s="12"/>
      <c r="J29324" s="12"/>
      <c r="K29324" s="12"/>
      <c r="L29324" s="12"/>
      <c r="M29324" s="11"/>
      <c r="N29324" s="11"/>
      <c r="O29324" s="11"/>
      <c r="P29324" s="11"/>
    </row>
    <row r="29325" spans="8:16" x14ac:dyDescent="0.25">
      <c r="H29325" s="12"/>
      <c r="I29325" s="12"/>
      <c r="J29325" s="12"/>
      <c r="K29325" s="12"/>
      <c r="L29325" s="12"/>
      <c r="M29325" s="11"/>
      <c r="N29325" s="11"/>
      <c r="O29325" s="11"/>
      <c r="P29325" s="11"/>
    </row>
    <row r="29326" spans="8:16" x14ac:dyDescent="0.25">
      <c r="H29326" s="12"/>
      <c r="I29326" s="12"/>
      <c r="J29326" s="12"/>
      <c r="K29326" s="12"/>
      <c r="L29326" s="12"/>
      <c r="M29326" s="11"/>
      <c r="N29326" s="11"/>
      <c r="O29326" s="11"/>
      <c r="P29326" s="11"/>
    </row>
    <row r="29327" spans="8:16" x14ac:dyDescent="0.25">
      <c r="H29327" s="12"/>
      <c r="I29327" s="12"/>
      <c r="J29327" s="12"/>
      <c r="K29327" s="12"/>
      <c r="L29327" s="12"/>
      <c r="M29327" s="11"/>
      <c r="N29327" s="11"/>
      <c r="O29327" s="11"/>
      <c r="P29327" s="11"/>
    </row>
    <row r="29328" spans="8:16" x14ac:dyDescent="0.25">
      <c r="H29328" s="12"/>
      <c r="I29328" s="12"/>
      <c r="J29328" s="12"/>
      <c r="K29328" s="12"/>
      <c r="L29328" s="12"/>
      <c r="M29328" s="11"/>
      <c r="N29328" s="11"/>
      <c r="O29328" s="11"/>
      <c r="P29328" s="11"/>
    </row>
    <row r="29329" spans="8:16" x14ac:dyDescent="0.25">
      <c r="H29329" s="12"/>
      <c r="I29329" s="12"/>
      <c r="J29329" s="12"/>
      <c r="K29329" s="12"/>
      <c r="L29329" s="12"/>
      <c r="M29329" s="11"/>
      <c r="N29329" s="11"/>
      <c r="O29329" s="11"/>
      <c r="P29329" s="11"/>
    </row>
    <row r="29330" spans="8:16" x14ac:dyDescent="0.25">
      <c r="H29330" s="12"/>
      <c r="I29330" s="12"/>
      <c r="J29330" s="12"/>
      <c r="K29330" s="12"/>
      <c r="L29330" s="12"/>
      <c r="M29330" s="11"/>
      <c r="N29330" s="11"/>
      <c r="O29330" s="11"/>
      <c r="P29330" s="11"/>
    </row>
    <row r="29331" spans="8:16" x14ac:dyDescent="0.25">
      <c r="H29331" s="12"/>
      <c r="I29331" s="12"/>
      <c r="J29331" s="12"/>
      <c r="K29331" s="12"/>
      <c r="L29331" s="12"/>
      <c r="M29331" s="11"/>
      <c r="N29331" s="11"/>
      <c r="O29331" s="11"/>
      <c r="P29331" s="11"/>
    </row>
    <row r="29332" spans="8:16" x14ac:dyDescent="0.25">
      <c r="H29332" s="12"/>
      <c r="I29332" s="12"/>
      <c r="J29332" s="12"/>
      <c r="K29332" s="12"/>
      <c r="L29332" s="12"/>
      <c r="M29332" s="11"/>
      <c r="N29332" s="11"/>
      <c r="O29332" s="11"/>
      <c r="P29332" s="11"/>
    </row>
    <row r="29333" spans="8:16" x14ac:dyDescent="0.25">
      <c r="H29333" s="12"/>
      <c r="I29333" s="12"/>
      <c r="J29333" s="12"/>
      <c r="K29333" s="12"/>
      <c r="L29333" s="12"/>
      <c r="M29333" s="11"/>
      <c r="N29333" s="11"/>
      <c r="O29333" s="11"/>
      <c r="P29333" s="11"/>
    </row>
    <row r="29334" spans="8:16" x14ac:dyDescent="0.25">
      <c r="H29334" s="12"/>
      <c r="I29334" s="12"/>
      <c r="J29334" s="12"/>
      <c r="K29334" s="12"/>
      <c r="L29334" s="12"/>
      <c r="M29334" s="11"/>
      <c r="N29334" s="11"/>
      <c r="O29334" s="11"/>
      <c r="P29334" s="11"/>
    </row>
    <row r="29335" spans="8:16" x14ac:dyDescent="0.25">
      <c r="H29335" s="12"/>
      <c r="I29335" s="12"/>
      <c r="J29335" s="12"/>
      <c r="K29335" s="12"/>
      <c r="L29335" s="12"/>
      <c r="M29335" s="11"/>
      <c r="N29335" s="11"/>
      <c r="O29335" s="11"/>
      <c r="P29335" s="11"/>
    </row>
    <row r="29336" spans="8:16" x14ac:dyDescent="0.25">
      <c r="H29336" s="12"/>
      <c r="I29336" s="12"/>
      <c r="J29336" s="12"/>
      <c r="K29336" s="12"/>
      <c r="L29336" s="12"/>
      <c r="M29336" s="11"/>
      <c r="N29336" s="11"/>
      <c r="O29336" s="11"/>
      <c r="P29336" s="11"/>
    </row>
    <row r="29337" spans="8:16" x14ac:dyDescent="0.25">
      <c r="H29337" s="12"/>
      <c r="I29337" s="12"/>
      <c r="J29337" s="12"/>
      <c r="K29337" s="12"/>
      <c r="L29337" s="12"/>
      <c r="M29337" s="11"/>
      <c r="N29337" s="11"/>
      <c r="O29337" s="11"/>
      <c r="P29337" s="11"/>
    </row>
    <row r="29338" spans="8:16" x14ac:dyDescent="0.25">
      <c r="H29338" s="12"/>
      <c r="I29338" s="12"/>
      <c r="J29338" s="12"/>
      <c r="K29338" s="12"/>
      <c r="L29338" s="12"/>
      <c r="M29338" s="11"/>
      <c r="N29338" s="11"/>
      <c r="O29338" s="11"/>
      <c r="P29338" s="11"/>
    </row>
    <row r="29339" spans="8:16" x14ac:dyDescent="0.25">
      <c r="H29339" s="12"/>
      <c r="I29339" s="12"/>
      <c r="J29339" s="12"/>
      <c r="K29339" s="12"/>
      <c r="L29339" s="12"/>
      <c r="M29339" s="11"/>
      <c r="N29339" s="11"/>
      <c r="O29339" s="11"/>
      <c r="P29339" s="11"/>
    </row>
    <row r="29340" spans="8:16" x14ac:dyDescent="0.25">
      <c r="H29340" s="12"/>
      <c r="I29340" s="12"/>
      <c r="J29340" s="12"/>
      <c r="K29340" s="12"/>
      <c r="L29340" s="12"/>
      <c r="M29340" s="11"/>
      <c r="N29340" s="11"/>
      <c r="O29340" s="11"/>
      <c r="P29340" s="11"/>
    </row>
    <row r="29341" spans="8:16" x14ac:dyDescent="0.25">
      <c r="H29341" s="12"/>
      <c r="I29341" s="12"/>
      <c r="J29341" s="12"/>
      <c r="K29341" s="12"/>
      <c r="L29341" s="12"/>
      <c r="M29341" s="11"/>
      <c r="N29341" s="11"/>
      <c r="O29341" s="11"/>
      <c r="P29341" s="11"/>
    </row>
    <row r="29342" spans="8:16" x14ac:dyDescent="0.25">
      <c r="H29342" s="12"/>
      <c r="I29342" s="12"/>
      <c r="J29342" s="12"/>
      <c r="K29342" s="12"/>
      <c r="L29342" s="12"/>
      <c r="M29342" s="11"/>
      <c r="N29342" s="11"/>
      <c r="O29342" s="11"/>
      <c r="P29342" s="11"/>
    </row>
    <row r="29343" spans="8:16" x14ac:dyDescent="0.25">
      <c r="H29343" s="12"/>
      <c r="I29343" s="12"/>
      <c r="J29343" s="12"/>
      <c r="K29343" s="12"/>
      <c r="L29343" s="12"/>
      <c r="M29343" s="11"/>
      <c r="N29343" s="11"/>
      <c r="O29343" s="11"/>
      <c r="P29343" s="11"/>
    </row>
    <row r="29344" spans="8:16" x14ac:dyDescent="0.25">
      <c r="H29344" s="12"/>
      <c r="I29344" s="12"/>
      <c r="J29344" s="12"/>
      <c r="K29344" s="12"/>
      <c r="L29344" s="12"/>
      <c r="M29344" s="11"/>
      <c r="N29344" s="11"/>
      <c r="O29344" s="11"/>
      <c r="P29344" s="11"/>
    </row>
    <row r="29345" spans="8:16" x14ac:dyDescent="0.25">
      <c r="H29345" s="12"/>
      <c r="I29345" s="12"/>
      <c r="J29345" s="12"/>
      <c r="K29345" s="12"/>
      <c r="L29345" s="12"/>
      <c r="M29345" s="11"/>
      <c r="N29345" s="11"/>
      <c r="O29345" s="11"/>
      <c r="P29345" s="11"/>
    </row>
    <row r="29346" spans="8:16" x14ac:dyDescent="0.25">
      <c r="H29346" s="12"/>
      <c r="I29346" s="12"/>
      <c r="J29346" s="12"/>
      <c r="K29346" s="12"/>
      <c r="L29346" s="12"/>
      <c r="M29346" s="11"/>
      <c r="N29346" s="11"/>
      <c r="O29346" s="11"/>
      <c r="P29346" s="11"/>
    </row>
    <row r="29347" spans="8:16" x14ac:dyDescent="0.25">
      <c r="H29347" s="12"/>
      <c r="I29347" s="12"/>
      <c r="J29347" s="12"/>
      <c r="K29347" s="12"/>
      <c r="L29347" s="12"/>
      <c r="M29347" s="11"/>
      <c r="N29347" s="11"/>
      <c r="O29347" s="11"/>
      <c r="P29347" s="11"/>
    </row>
    <row r="29348" spans="8:16" x14ac:dyDescent="0.25">
      <c r="H29348" s="12"/>
      <c r="I29348" s="12"/>
      <c r="J29348" s="12"/>
      <c r="K29348" s="12"/>
      <c r="L29348" s="12"/>
      <c r="M29348" s="11"/>
      <c r="N29348" s="11"/>
      <c r="O29348" s="11"/>
      <c r="P29348" s="11"/>
    </row>
    <row r="29349" spans="8:16" x14ac:dyDescent="0.25">
      <c r="H29349" s="12"/>
      <c r="I29349" s="12"/>
      <c r="J29349" s="12"/>
      <c r="K29349" s="12"/>
      <c r="L29349" s="12"/>
      <c r="M29349" s="11"/>
      <c r="N29349" s="11"/>
      <c r="O29349" s="11"/>
      <c r="P29349" s="11"/>
    </row>
    <row r="29350" spans="8:16" x14ac:dyDescent="0.25">
      <c r="H29350" s="12"/>
      <c r="I29350" s="12"/>
      <c r="J29350" s="12"/>
      <c r="K29350" s="12"/>
      <c r="L29350" s="12"/>
      <c r="M29350" s="11"/>
      <c r="N29350" s="11"/>
      <c r="O29350" s="11"/>
      <c r="P29350" s="11"/>
    </row>
    <row r="29351" spans="8:16" x14ac:dyDescent="0.25">
      <c r="H29351" s="12"/>
      <c r="I29351" s="12"/>
      <c r="J29351" s="12"/>
      <c r="K29351" s="12"/>
      <c r="L29351" s="12"/>
      <c r="M29351" s="11"/>
      <c r="N29351" s="11"/>
      <c r="O29351" s="11"/>
      <c r="P29351" s="11"/>
    </row>
    <row r="29352" spans="8:16" x14ac:dyDescent="0.25">
      <c r="H29352" s="12"/>
      <c r="I29352" s="12"/>
      <c r="J29352" s="12"/>
      <c r="K29352" s="12"/>
      <c r="L29352" s="12"/>
      <c r="M29352" s="11"/>
      <c r="N29352" s="11"/>
      <c r="O29352" s="11"/>
      <c r="P29352" s="11"/>
    </row>
    <row r="29353" spans="8:16" x14ac:dyDescent="0.25">
      <c r="H29353" s="12"/>
      <c r="I29353" s="12"/>
      <c r="J29353" s="12"/>
      <c r="K29353" s="12"/>
      <c r="L29353" s="12"/>
      <c r="M29353" s="11"/>
      <c r="N29353" s="11"/>
      <c r="O29353" s="11"/>
      <c r="P29353" s="11"/>
    </row>
    <row r="29354" spans="8:16" x14ac:dyDescent="0.25">
      <c r="H29354" s="12"/>
      <c r="I29354" s="12"/>
      <c r="J29354" s="12"/>
      <c r="K29354" s="12"/>
      <c r="L29354" s="12"/>
      <c r="M29354" s="11"/>
      <c r="N29354" s="11"/>
      <c r="O29354" s="11"/>
      <c r="P29354" s="11"/>
    </row>
    <row r="29355" spans="8:16" x14ac:dyDescent="0.25">
      <c r="H29355" s="12"/>
      <c r="I29355" s="12"/>
      <c r="J29355" s="12"/>
      <c r="K29355" s="12"/>
      <c r="L29355" s="12"/>
      <c r="M29355" s="11"/>
      <c r="N29355" s="11"/>
      <c r="O29355" s="11"/>
      <c r="P29355" s="11"/>
    </row>
    <row r="29356" spans="8:16" x14ac:dyDescent="0.25">
      <c r="H29356" s="12"/>
      <c r="I29356" s="12"/>
      <c r="J29356" s="12"/>
      <c r="K29356" s="12"/>
      <c r="L29356" s="12"/>
      <c r="M29356" s="11"/>
      <c r="N29356" s="11"/>
      <c r="O29356" s="11"/>
      <c r="P29356" s="11"/>
    </row>
    <row r="29357" spans="8:16" x14ac:dyDescent="0.25">
      <c r="H29357" s="12"/>
      <c r="I29357" s="12"/>
      <c r="J29357" s="12"/>
      <c r="K29357" s="12"/>
      <c r="L29357" s="12"/>
      <c r="M29357" s="11"/>
      <c r="N29357" s="11"/>
      <c r="O29357" s="11"/>
      <c r="P29357" s="11"/>
    </row>
    <row r="29358" spans="8:16" x14ac:dyDescent="0.25">
      <c r="H29358" s="12"/>
      <c r="I29358" s="12"/>
      <c r="J29358" s="12"/>
      <c r="K29358" s="12"/>
      <c r="L29358" s="12"/>
      <c r="M29358" s="11"/>
      <c r="N29358" s="11"/>
      <c r="O29358" s="11"/>
      <c r="P29358" s="11"/>
    </row>
    <row r="29359" spans="8:16" x14ac:dyDescent="0.25">
      <c r="H29359" s="12"/>
      <c r="I29359" s="12"/>
      <c r="J29359" s="12"/>
      <c r="K29359" s="12"/>
      <c r="L29359" s="12"/>
      <c r="M29359" s="11"/>
      <c r="N29359" s="11"/>
      <c r="O29359" s="11"/>
      <c r="P29359" s="11"/>
    </row>
    <row r="29360" spans="8:16" x14ac:dyDescent="0.25">
      <c r="H29360" s="12"/>
      <c r="I29360" s="12"/>
      <c r="J29360" s="12"/>
      <c r="K29360" s="12"/>
      <c r="L29360" s="12"/>
      <c r="M29360" s="11"/>
      <c r="N29360" s="11"/>
      <c r="O29360" s="11"/>
      <c r="P29360" s="11"/>
    </row>
    <row r="29361" spans="8:16" x14ac:dyDescent="0.25">
      <c r="H29361" s="12"/>
      <c r="I29361" s="12"/>
      <c r="J29361" s="12"/>
      <c r="K29361" s="12"/>
      <c r="L29361" s="12"/>
      <c r="M29361" s="11"/>
      <c r="N29361" s="11"/>
      <c r="O29361" s="11"/>
      <c r="P29361" s="11"/>
    </row>
    <row r="29362" spans="8:16" x14ac:dyDescent="0.25">
      <c r="H29362" s="12"/>
      <c r="I29362" s="12"/>
      <c r="J29362" s="12"/>
      <c r="K29362" s="12"/>
      <c r="L29362" s="12"/>
      <c r="M29362" s="11"/>
      <c r="N29362" s="11"/>
      <c r="O29362" s="11"/>
      <c r="P29362" s="11"/>
    </row>
    <row r="29363" spans="8:16" x14ac:dyDescent="0.25">
      <c r="H29363" s="12"/>
      <c r="I29363" s="12"/>
      <c r="J29363" s="12"/>
      <c r="K29363" s="12"/>
      <c r="L29363" s="12"/>
      <c r="M29363" s="11"/>
      <c r="N29363" s="11"/>
      <c r="O29363" s="11"/>
      <c r="P29363" s="11"/>
    </row>
    <row r="29364" spans="8:16" x14ac:dyDescent="0.25">
      <c r="H29364" s="12"/>
      <c r="I29364" s="12"/>
      <c r="J29364" s="12"/>
      <c r="K29364" s="12"/>
      <c r="L29364" s="12"/>
      <c r="M29364" s="11"/>
      <c r="N29364" s="11"/>
      <c r="O29364" s="11"/>
      <c r="P29364" s="11"/>
    </row>
    <row r="29365" spans="8:16" x14ac:dyDescent="0.25">
      <c r="H29365" s="12"/>
      <c r="I29365" s="12"/>
      <c r="J29365" s="12"/>
      <c r="K29365" s="12"/>
      <c r="L29365" s="12"/>
      <c r="M29365" s="11"/>
      <c r="N29365" s="11"/>
      <c r="O29365" s="11"/>
      <c r="P29365" s="11"/>
    </row>
    <row r="29366" spans="8:16" x14ac:dyDescent="0.25">
      <c r="H29366" s="12"/>
      <c r="I29366" s="12"/>
      <c r="J29366" s="12"/>
      <c r="K29366" s="12"/>
      <c r="L29366" s="12"/>
      <c r="M29366" s="11"/>
      <c r="N29366" s="11"/>
      <c r="O29366" s="11"/>
      <c r="P29366" s="11"/>
    </row>
    <row r="29367" spans="8:16" x14ac:dyDescent="0.25">
      <c r="H29367" s="12"/>
      <c r="I29367" s="12"/>
      <c r="J29367" s="12"/>
      <c r="K29367" s="12"/>
      <c r="L29367" s="12"/>
      <c r="M29367" s="11"/>
      <c r="N29367" s="11"/>
      <c r="O29367" s="11"/>
      <c r="P29367" s="11"/>
    </row>
    <row r="29368" spans="8:16" x14ac:dyDescent="0.25">
      <c r="H29368" s="12"/>
      <c r="I29368" s="12"/>
      <c r="J29368" s="12"/>
      <c r="K29368" s="12"/>
      <c r="L29368" s="12"/>
      <c r="M29368" s="11"/>
      <c r="N29368" s="11"/>
      <c r="O29368" s="11"/>
      <c r="P29368" s="11"/>
    </row>
    <row r="29369" spans="8:16" x14ac:dyDescent="0.25">
      <c r="H29369" s="12"/>
      <c r="I29369" s="12"/>
      <c r="J29369" s="12"/>
      <c r="K29369" s="12"/>
      <c r="L29369" s="12"/>
      <c r="M29369" s="11"/>
      <c r="N29369" s="11"/>
      <c r="O29369" s="11"/>
      <c r="P29369" s="11"/>
    </row>
    <row r="29370" spans="8:16" x14ac:dyDescent="0.25">
      <c r="H29370" s="12"/>
      <c r="I29370" s="12"/>
      <c r="J29370" s="12"/>
      <c r="K29370" s="12"/>
      <c r="L29370" s="12"/>
      <c r="M29370" s="11"/>
      <c r="N29370" s="11"/>
      <c r="O29370" s="11"/>
      <c r="P29370" s="11"/>
    </row>
    <row r="29371" spans="8:16" x14ac:dyDescent="0.25">
      <c r="H29371" s="12"/>
      <c r="I29371" s="12"/>
      <c r="J29371" s="12"/>
      <c r="K29371" s="12"/>
      <c r="L29371" s="12"/>
      <c r="M29371" s="11"/>
      <c r="N29371" s="11"/>
      <c r="O29371" s="11"/>
      <c r="P29371" s="11"/>
    </row>
    <row r="29372" spans="8:16" x14ac:dyDescent="0.25">
      <c r="H29372" s="12"/>
      <c r="I29372" s="12"/>
      <c r="J29372" s="12"/>
      <c r="K29372" s="12"/>
      <c r="L29372" s="12"/>
      <c r="M29372" s="11"/>
      <c r="N29372" s="11"/>
      <c r="O29372" s="11"/>
      <c r="P29372" s="11"/>
    </row>
    <row r="29373" spans="8:16" x14ac:dyDescent="0.25">
      <c r="H29373" s="12"/>
      <c r="I29373" s="12"/>
      <c r="J29373" s="12"/>
      <c r="K29373" s="12"/>
      <c r="L29373" s="12"/>
      <c r="M29373" s="11"/>
      <c r="N29373" s="11"/>
      <c r="O29373" s="11"/>
      <c r="P29373" s="11"/>
    </row>
    <row r="29374" spans="8:16" x14ac:dyDescent="0.25">
      <c r="H29374" s="12"/>
      <c r="I29374" s="12"/>
      <c r="J29374" s="12"/>
      <c r="K29374" s="12"/>
      <c r="L29374" s="12"/>
      <c r="M29374" s="11"/>
      <c r="N29374" s="11"/>
      <c r="O29374" s="11"/>
      <c r="P29374" s="11"/>
    </row>
    <row r="29375" spans="8:16" x14ac:dyDescent="0.25">
      <c r="H29375" s="12"/>
      <c r="I29375" s="12"/>
      <c r="J29375" s="12"/>
      <c r="K29375" s="12"/>
      <c r="L29375" s="12"/>
      <c r="M29375" s="11"/>
      <c r="N29375" s="11"/>
      <c r="O29375" s="11"/>
      <c r="P29375" s="11"/>
    </row>
    <row r="29376" spans="8:16" x14ac:dyDescent="0.25">
      <c r="H29376" s="12"/>
      <c r="I29376" s="12"/>
      <c r="J29376" s="12"/>
      <c r="K29376" s="12"/>
      <c r="L29376" s="12"/>
      <c r="M29376" s="11"/>
      <c r="N29376" s="11"/>
      <c r="O29376" s="11"/>
      <c r="P29376" s="11"/>
    </row>
    <row r="29377" spans="8:16" x14ac:dyDescent="0.25">
      <c r="H29377" s="12"/>
      <c r="I29377" s="12"/>
      <c r="J29377" s="12"/>
      <c r="K29377" s="12"/>
      <c r="L29377" s="12"/>
      <c r="M29377" s="11"/>
      <c r="N29377" s="11"/>
      <c r="O29377" s="11"/>
      <c r="P29377" s="11"/>
    </row>
    <row r="29378" spans="8:16" x14ac:dyDescent="0.25">
      <c r="H29378" s="12"/>
      <c r="I29378" s="12"/>
      <c r="J29378" s="12"/>
      <c r="K29378" s="12"/>
      <c r="L29378" s="12"/>
      <c r="M29378" s="11"/>
      <c r="N29378" s="11"/>
      <c r="O29378" s="11"/>
      <c r="P29378" s="11"/>
    </row>
    <row r="29379" spans="8:16" x14ac:dyDescent="0.25">
      <c r="H29379" s="12"/>
      <c r="I29379" s="12"/>
      <c r="J29379" s="12"/>
      <c r="K29379" s="12"/>
      <c r="L29379" s="12"/>
      <c r="M29379" s="11"/>
      <c r="N29379" s="11"/>
      <c r="O29379" s="11"/>
      <c r="P29379" s="11"/>
    </row>
    <row r="29380" spans="8:16" x14ac:dyDescent="0.25">
      <c r="H29380" s="12"/>
      <c r="I29380" s="12"/>
      <c r="J29380" s="12"/>
      <c r="K29380" s="12"/>
      <c r="L29380" s="12"/>
      <c r="M29380" s="11"/>
      <c r="N29380" s="11"/>
      <c r="O29380" s="11"/>
      <c r="P29380" s="11"/>
    </row>
    <row r="29381" spans="8:16" x14ac:dyDescent="0.25">
      <c r="H29381" s="12"/>
      <c r="I29381" s="12"/>
      <c r="J29381" s="12"/>
      <c r="K29381" s="12"/>
      <c r="L29381" s="12"/>
      <c r="M29381" s="11"/>
      <c r="N29381" s="11"/>
      <c r="O29381" s="11"/>
      <c r="P29381" s="11"/>
    </row>
    <row r="29382" spans="8:16" x14ac:dyDescent="0.25">
      <c r="H29382" s="12"/>
      <c r="I29382" s="12"/>
      <c r="J29382" s="12"/>
      <c r="K29382" s="12"/>
      <c r="L29382" s="12"/>
      <c r="M29382" s="11"/>
      <c r="N29382" s="11"/>
      <c r="O29382" s="11"/>
      <c r="P29382" s="11"/>
    </row>
    <row r="29383" spans="8:16" x14ac:dyDescent="0.25">
      <c r="H29383" s="12"/>
      <c r="I29383" s="12"/>
      <c r="J29383" s="12"/>
      <c r="K29383" s="12"/>
      <c r="L29383" s="12"/>
      <c r="M29383" s="11"/>
      <c r="N29383" s="11"/>
      <c r="O29383" s="11"/>
      <c r="P29383" s="11"/>
    </row>
    <row r="29384" spans="8:16" x14ac:dyDescent="0.25">
      <c r="H29384" s="12"/>
      <c r="I29384" s="12"/>
      <c r="J29384" s="12"/>
      <c r="K29384" s="12"/>
      <c r="L29384" s="12"/>
      <c r="M29384" s="11"/>
      <c r="N29384" s="11"/>
      <c r="O29384" s="11"/>
      <c r="P29384" s="11"/>
    </row>
    <row r="29385" spans="8:16" x14ac:dyDescent="0.25">
      <c r="H29385" s="12"/>
      <c r="I29385" s="12"/>
      <c r="J29385" s="12"/>
      <c r="K29385" s="12"/>
      <c r="L29385" s="12"/>
      <c r="M29385" s="11"/>
      <c r="N29385" s="11"/>
      <c r="O29385" s="11"/>
      <c r="P29385" s="11"/>
    </row>
    <row r="29386" spans="8:16" x14ac:dyDescent="0.25">
      <c r="H29386" s="12"/>
      <c r="I29386" s="12"/>
      <c r="J29386" s="12"/>
      <c r="K29386" s="12"/>
      <c r="L29386" s="12"/>
      <c r="M29386" s="11"/>
      <c r="N29386" s="11"/>
      <c r="O29386" s="11"/>
      <c r="P29386" s="11"/>
    </row>
    <row r="29387" spans="8:16" x14ac:dyDescent="0.25">
      <c r="H29387" s="12"/>
      <c r="I29387" s="12"/>
      <c r="J29387" s="12"/>
      <c r="K29387" s="12"/>
      <c r="L29387" s="12"/>
      <c r="M29387" s="11"/>
      <c r="N29387" s="11"/>
      <c r="O29387" s="11"/>
      <c r="P29387" s="11"/>
    </row>
    <row r="29388" spans="8:16" x14ac:dyDescent="0.25">
      <c r="H29388" s="12"/>
      <c r="I29388" s="12"/>
      <c r="J29388" s="12"/>
      <c r="K29388" s="12"/>
      <c r="L29388" s="12"/>
      <c r="M29388" s="11"/>
      <c r="N29388" s="11"/>
      <c r="O29388" s="11"/>
      <c r="P29388" s="11"/>
    </row>
    <row r="29389" spans="8:16" x14ac:dyDescent="0.25">
      <c r="H29389" s="12"/>
      <c r="I29389" s="12"/>
      <c r="J29389" s="12"/>
      <c r="K29389" s="12"/>
      <c r="L29389" s="12"/>
      <c r="M29389" s="11"/>
      <c r="N29389" s="11"/>
      <c r="O29389" s="11"/>
      <c r="P29389" s="11"/>
    </row>
    <row r="29390" spans="8:16" x14ac:dyDescent="0.25">
      <c r="H29390" s="12"/>
      <c r="I29390" s="12"/>
      <c r="J29390" s="12"/>
      <c r="K29390" s="12"/>
      <c r="L29390" s="12"/>
      <c r="M29390" s="11"/>
      <c r="N29390" s="11"/>
      <c r="O29390" s="11"/>
      <c r="P29390" s="11"/>
    </row>
    <row r="29391" spans="8:16" x14ac:dyDescent="0.25">
      <c r="H29391" s="12"/>
      <c r="I29391" s="12"/>
      <c r="J29391" s="12"/>
      <c r="K29391" s="12"/>
      <c r="L29391" s="12"/>
      <c r="M29391" s="11"/>
      <c r="N29391" s="11"/>
      <c r="O29391" s="11"/>
      <c r="P29391" s="11"/>
    </row>
    <row r="29392" spans="8:16" x14ac:dyDescent="0.25">
      <c r="H29392" s="12"/>
      <c r="I29392" s="12"/>
      <c r="J29392" s="12"/>
      <c r="K29392" s="12"/>
      <c r="L29392" s="12"/>
      <c r="M29392" s="11"/>
      <c r="N29392" s="11"/>
      <c r="O29392" s="11"/>
      <c r="P29392" s="11"/>
    </row>
    <row r="29393" spans="8:16" x14ac:dyDescent="0.25">
      <c r="H29393" s="12"/>
      <c r="I29393" s="12"/>
      <c r="J29393" s="12"/>
      <c r="K29393" s="12"/>
      <c r="L29393" s="12"/>
      <c r="M29393" s="11"/>
      <c r="N29393" s="11"/>
      <c r="O29393" s="11"/>
      <c r="P29393" s="11"/>
    </row>
    <row r="29394" spans="8:16" x14ac:dyDescent="0.25">
      <c r="H29394" s="12"/>
      <c r="I29394" s="12"/>
      <c r="J29394" s="12"/>
      <c r="K29394" s="12"/>
      <c r="L29394" s="12"/>
      <c r="M29394" s="11"/>
      <c r="N29394" s="11"/>
      <c r="O29394" s="11"/>
      <c r="P29394" s="11"/>
    </row>
    <row r="29395" spans="8:16" x14ac:dyDescent="0.25">
      <c r="H29395" s="12"/>
      <c r="I29395" s="12"/>
      <c r="J29395" s="12"/>
      <c r="K29395" s="12"/>
      <c r="L29395" s="12"/>
      <c r="M29395" s="11"/>
      <c r="N29395" s="11"/>
      <c r="O29395" s="11"/>
      <c r="P29395" s="11"/>
    </row>
    <row r="29396" spans="8:16" x14ac:dyDescent="0.25">
      <c r="H29396" s="12"/>
      <c r="I29396" s="12"/>
      <c r="J29396" s="12"/>
      <c r="K29396" s="12"/>
      <c r="L29396" s="12"/>
      <c r="M29396" s="11"/>
      <c r="N29396" s="11"/>
      <c r="O29396" s="11"/>
      <c r="P29396" s="11"/>
    </row>
    <row r="29397" spans="8:16" x14ac:dyDescent="0.25">
      <c r="H29397" s="12"/>
      <c r="I29397" s="12"/>
      <c r="J29397" s="12"/>
      <c r="K29397" s="12"/>
      <c r="L29397" s="12"/>
      <c r="M29397" s="11"/>
      <c r="N29397" s="11"/>
      <c r="O29397" s="11"/>
      <c r="P29397" s="11"/>
    </row>
    <row r="29398" spans="8:16" x14ac:dyDescent="0.25">
      <c r="H29398" s="12"/>
      <c r="I29398" s="12"/>
      <c r="J29398" s="12"/>
      <c r="K29398" s="12"/>
      <c r="L29398" s="12"/>
      <c r="M29398" s="11"/>
      <c r="N29398" s="11"/>
      <c r="O29398" s="11"/>
      <c r="P29398" s="11"/>
    </row>
    <row r="29399" spans="8:16" x14ac:dyDescent="0.25">
      <c r="H29399" s="12"/>
      <c r="I29399" s="12"/>
      <c r="J29399" s="12"/>
      <c r="K29399" s="12"/>
      <c r="L29399" s="12"/>
      <c r="M29399" s="11"/>
      <c r="N29399" s="11"/>
      <c r="O29399" s="11"/>
      <c r="P29399" s="11"/>
    </row>
    <row r="29400" spans="8:16" x14ac:dyDescent="0.25">
      <c r="H29400" s="12"/>
      <c r="I29400" s="12"/>
      <c r="J29400" s="12"/>
      <c r="K29400" s="12"/>
      <c r="L29400" s="12"/>
      <c r="M29400" s="11"/>
      <c r="N29400" s="11"/>
      <c r="O29400" s="11"/>
      <c r="P29400" s="11"/>
    </row>
    <row r="29401" spans="8:16" x14ac:dyDescent="0.25">
      <c r="H29401" s="12"/>
      <c r="I29401" s="12"/>
      <c r="J29401" s="12"/>
      <c r="K29401" s="12"/>
      <c r="L29401" s="12"/>
      <c r="M29401" s="11"/>
      <c r="N29401" s="11"/>
      <c r="O29401" s="11"/>
      <c r="P29401" s="11"/>
    </row>
    <row r="29402" spans="8:16" x14ac:dyDescent="0.25">
      <c r="H29402" s="12"/>
      <c r="I29402" s="12"/>
      <c r="J29402" s="12"/>
      <c r="K29402" s="12"/>
      <c r="L29402" s="12"/>
      <c r="M29402" s="11"/>
      <c r="N29402" s="11"/>
      <c r="O29402" s="11"/>
      <c r="P29402" s="11"/>
    </row>
    <row r="29403" spans="8:16" x14ac:dyDescent="0.25">
      <c r="H29403" s="12"/>
      <c r="I29403" s="12"/>
      <c r="J29403" s="12"/>
      <c r="K29403" s="12"/>
      <c r="L29403" s="12"/>
      <c r="M29403" s="11"/>
      <c r="N29403" s="11"/>
      <c r="O29403" s="11"/>
      <c r="P29403" s="11"/>
    </row>
    <row r="29404" spans="8:16" x14ac:dyDescent="0.25">
      <c r="H29404" s="12"/>
      <c r="I29404" s="12"/>
      <c r="J29404" s="12"/>
      <c r="K29404" s="12"/>
      <c r="L29404" s="12"/>
      <c r="M29404" s="11"/>
      <c r="N29404" s="11"/>
      <c r="O29404" s="11"/>
      <c r="P29404" s="11"/>
    </row>
    <row r="29405" spans="8:16" x14ac:dyDescent="0.25">
      <c r="H29405" s="12"/>
      <c r="I29405" s="12"/>
      <c r="J29405" s="12"/>
      <c r="K29405" s="12"/>
      <c r="L29405" s="12"/>
      <c r="M29405" s="11"/>
      <c r="N29405" s="11"/>
      <c r="O29405" s="11"/>
      <c r="P29405" s="11"/>
    </row>
    <row r="29406" spans="8:16" x14ac:dyDescent="0.25">
      <c r="H29406" s="12"/>
      <c r="I29406" s="12"/>
      <c r="J29406" s="12"/>
      <c r="K29406" s="12"/>
      <c r="L29406" s="12"/>
      <c r="M29406" s="11"/>
      <c r="N29406" s="11"/>
      <c r="O29406" s="11"/>
      <c r="P29406" s="11"/>
    </row>
    <row r="29407" spans="8:16" x14ac:dyDescent="0.25">
      <c r="H29407" s="12"/>
      <c r="I29407" s="12"/>
      <c r="J29407" s="12"/>
      <c r="K29407" s="12"/>
      <c r="L29407" s="12"/>
      <c r="M29407" s="11"/>
      <c r="N29407" s="11"/>
      <c r="O29407" s="11"/>
      <c r="P29407" s="11"/>
    </row>
    <row r="29408" spans="8:16" x14ac:dyDescent="0.25">
      <c r="H29408" s="12"/>
      <c r="I29408" s="12"/>
      <c r="J29408" s="12"/>
      <c r="K29408" s="12"/>
      <c r="L29408" s="12"/>
      <c r="M29408" s="11"/>
      <c r="N29408" s="11"/>
      <c r="O29408" s="11"/>
      <c r="P29408" s="11"/>
    </row>
    <row r="29409" spans="8:16" x14ac:dyDescent="0.25">
      <c r="H29409" s="12"/>
      <c r="I29409" s="12"/>
      <c r="J29409" s="12"/>
      <c r="K29409" s="12"/>
      <c r="L29409" s="12"/>
      <c r="M29409" s="11"/>
      <c r="N29409" s="11"/>
      <c r="O29409" s="11"/>
      <c r="P29409" s="11"/>
    </row>
    <row r="29410" spans="8:16" x14ac:dyDescent="0.25">
      <c r="H29410" s="12"/>
      <c r="I29410" s="12"/>
      <c r="J29410" s="12"/>
      <c r="K29410" s="12"/>
      <c r="L29410" s="12"/>
      <c r="M29410" s="11"/>
      <c r="N29410" s="11"/>
      <c r="O29410" s="11"/>
      <c r="P29410" s="11"/>
    </row>
    <row r="29411" spans="8:16" x14ac:dyDescent="0.25">
      <c r="H29411" s="12"/>
      <c r="I29411" s="12"/>
      <c r="J29411" s="12"/>
      <c r="K29411" s="12"/>
      <c r="L29411" s="12"/>
      <c r="M29411" s="11"/>
      <c r="N29411" s="11"/>
      <c r="O29411" s="11"/>
      <c r="P29411" s="11"/>
    </row>
    <row r="29412" spans="8:16" x14ac:dyDescent="0.25">
      <c r="H29412" s="12"/>
      <c r="I29412" s="12"/>
      <c r="J29412" s="12"/>
      <c r="K29412" s="12"/>
      <c r="L29412" s="12"/>
      <c r="M29412" s="11"/>
      <c r="N29412" s="11"/>
      <c r="O29412" s="11"/>
      <c r="P29412" s="11"/>
    </row>
    <row r="29413" spans="8:16" x14ac:dyDescent="0.25">
      <c r="H29413" s="12"/>
      <c r="I29413" s="12"/>
      <c r="J29413" s="12"/>
      <c r="K29413" s="12"/>
      <c r="L29413" s="12"/>
      <c r="M29413" s="11"/>
      <c r="N29413" s="11"/>
      <c r="O29413" s="11"/>
      <c r="P29413" s="11"/>
    </row>
    <row r="29414" spans="8:16" x14ac:dyDescent="0.25">
      <c r="H29414" s="12"/>
      <c r="I29414" s="12"/>
      <c r="J29414" s="12"/>
      <c r="K29414" s="12"/>
      <c r="L29414" s="12"/>
      <c r="M29414" s="11"/>
      <c r="N29414" s="11"/>
      <c r="O29414" s="11"/>
      <c r="P29414" s="11"/>
    </row>
    <row r="29415" spans="8:16" x14ac:dyDescent="0.25">
      <c r="H29415" s="12"/>
      <c r="I29415" s="12"/>
      <c r="J29415" s="12"/>
      <c r="K29415" s="12"/>
      <c r="L29415" s="12"/>
      <c r="M29415" s="11"/>
      <c r="N29415" s="11"/>
      <c r="O29415" s="11"/>
      <c r="P29415" s="11"/>
    </row>
    <row r="29416" spans="8:16" x14ac:dyDescent="0.25">
      <c r="H29416" s="12"/>
      <c r="I29416" s="12"/>
      <c r="J29416" s="12"/>
      <c r="K29416" s="12"/>
      <c r="L29416" s="12"/>
      <c r="M29416" s="11"/>
      <c r="N29416" s="11"/>
      <c r="O29416" s="11"/>
      <c r="P29416" s="11"/>
    </row>
    <row r="29417" spans="8:16" x14ac:dyDescent="0.25">
      <c r="H29417" s="12"/>
      <c r="I29417" s="12"/>
      <c r="J29417" s="12"/>
      <c r="K29417" s="12"/>
      <c r="L29417" s="12"/>
      <c r="M29417" s="11"/>
      <c r="N29417" s="11"/>
      <c r="O29417" s="11"/>
      <c r="P29417" s="11"/>
    </row>
    <row r="29418" spans="8:16" x14ac:dyDescent="0.25">
      <c r="H29418" s="12"/>
      <c r="I29418" s="12"/>
      <c r="J29418" s="12"/>
      <c r="K29418" s="12"/>
      <c r="L29418" s="12"/>
      <c r="M29418" s="11"/>
      <c r="N29418" s="11"/>
      <c r="O29418" s="11"/>
      <c r="P29418" s="11"/>
    </row>
    <row r="29419" spans="8:16" x14ac:dyDescent="0.25">
      <c r="H29419" s="12"/>
      <c r="I29419" s="12"/>
      <c r="J29419" s="12"/>
      <c r="K29419" s="12"/>
      <c r="L29419" s="12"/>
      <c r="M29419" s="11"/>
      <c r="N29419" s="11"/>
      <c r="O29419" s="11"/>
      <c r="P29419" s="11"/>
    </row>
    <row r="29420" spans="8:16" x14ac:dyDescent="0.25">
      <c r="H29420" s="12"/>
      <c r="I29420" s="12"/>
      <c r="J29420" s="12"/>
      <c r="K29420" s="12"/>
      <c r="L29420" s="12"/>
      <c r="M29420" s="11"/>
      <c r="N29420" s="11"/>
      <c r="O29420" s="11"/>
      <c r="P29420" s="11"/>
    </row>
    <row r="29421" spans="8:16" x14ac:dyDescent="0.25">
      <c r="H29421" s="12"/>
      <c r="I29421" s="12"/>
      <c r="J29421" s="12"/>
      <c r="K29421" s="12"/>
      <c r="L29421" s="12"/>
      <c r="M29421" s="11"/>
      <c r="N29421" s="11"/>
      <c r="O29421" s="11"/>
      <c r="P29421" s="11"/>
    </row>
    <row r="29422" spans="8:16" x14ac:dyDescent="0.25">
      <c r="H29422" s="12"/>
      <c r="I29422" s="12"/>
      <c r="J29422" s="12"/>
      <c r="K29422" s="12"/>
      <c r="L29422" s="12"/>
      <c r="M29422" s="11"/>
      <c r="N29422" s="11"/>
      <c r="O29422" s="11"/>
      <c r="P29422" s="11"/>
    </row>
    <row r="29423" spans="8:16" x14ac:dyDescent="0.25">
      <c r="H29423" s="12"/>
      <c r="I29423" s="12"/>
      <c r="J29423" s="12"/>
      <c r="K29423" s="12"/>
      <c r="L29423" s="12"/>
      <c r="M29423" s="11"/>
      <c r="N29423" s="11"/>
      <c r="O29423" s="11"/>
      <c r="P29423" s="11"/>
    </row>
    <row r="29424" spans="8:16" x14ac:dyDescent="0.25">
      <c r="H29424" s="12"/>
      <c r="I29424" s="12"/>
      <c r="J29424" s="12"/>
      <c r="K29424" s="12"/>
      <c r="L29424" s="12"/>
      <c r="M29424" s="11"/>
      <c r="N29424" s="11"/>
      <c r="O29424" s="11"/>
      <c r="P29424" s="11"/>
    </row>
    <row r="29425" spans="8:16" x14ac:dyDescent="0.25">
      <c r="H29425" s="12"/>
      <c r="I29425" s="12"/>
      <c r="J29425" s="12"/>
      <c r="K29425" s="12"/>
      <c r="L29425" s="12"/>
      <c r="M29425" s="11"/>
      <c r="N29425" s="11"/>
      <c r="O29425" s="11"/>
      <c r="P29425" s="11"/>
    </row>
    <row r="29426" spans="8:16" x14ac:dyDescent="0.25">
      <c r="H29426" s="12"/>
      <c r="I29426" s="12"/>
      <c r="J29426" s="12"/>
      <c r="K29426" s="12"/>
      <c r="L29426" s="12"/>
      <c r="M29426" s="11"/>
      <c r="N29426" s="11"/>
      <c r="O29426" s="11"/>
      <c r="P29426" s="11"/>
    </row>
    <row r="29427" spans="8:16" x14ac:dyDescent="0.25">
      <c r="H29427" s="12"/>
      <c r="I29427" s="12"/>
      <c r="J29427" s="12"/>
      <c r="K29427" s="12"/>
      <c r="L29427" s="12"/>
      <c r="M29427" s="11"/>
      <c r="N29427" s="11"/>
      <c r="O29427" s="11"/>
      <c r="P29427" s="11"/>
    </row>
    <row r="29428" spans="8:16" x14ac:dyDescent="0.25">
      <c r="H29428" s="12"/>
      <c r="I29428" s="12"/>
      <c r="J29428" s="12"/>
      <c r="K29428" s="12"/>
      <c r="L29428" s="12"/>
      <c r="M29428" s="11"/>
      <c r="N29428" s="11"/>
      <c r="O29428" s="11"/>
      <c r="P29428" s="11"/>
    </row>
    <row r="29429" spans="8:16" x14ac:dyDescent="0.25">
      <c r="H29429" s="12"/>
      <c r="I29429" s="12"/>
      <c r="J29429" s="12"/>
      <c r="K29429" s="12"/>
      <c r="L29429" s="12"/>
      <c r="M29429" s="11"/>
      <c r="N29429" s="11"/>
      <c r="O29429" s="11"/>
      <c r="P29429" s="11"/>
    </row>
    <row r="29430" spans="8:16" x14ac:dyDescent="0.25">
      <c r="H29430" s="12"/>
      <c r="I29430" s="12"/>
      <c r="J29430" s="12"/>
      <c r="K29430" s="12"/>
      <c r="L29430" s="12"/>
      <c r="M29430" s="11"/>
      <c r="N29430" s="11"/>
      <c r="O29430" s="11"/>
      <c r="P29430" s="11"/>
    </row>
    <row r="29431" spans="8:16" x14ac:dyDescent="0.25">
      <c r="H29431" s="12"/>
      <c r="I29431" s="12"/>
      <c r="J29431" s="12"/>
      <c r="K29431" s="12"/>
      <c r="L29431" s="12"/>
      <c r="M29431" s="11"/>
      <c r="N29431" s="11"/>
      <c r="O29431" s="11"/>
      <c r="P29431" s="11"/>
    </row>
    <row r="29432" spans="8:16" x14ac:dyDescent="0.25">
      <c r="H29432" s="12"/>
      <c r="I29432" s="12"/>
      <c r="J29432" s="12"/>
      <c r="K29432" s="12"/>
      <c r="L29432" s="12"/>
      <c r="M29432" s="11"/>
      <c r="N29432" s="11"/>
      <c r="O29432" s="11"/>
      <c r="P29432" s="11"/>
    </row>
    <row r="29433" spans="8:16" x14ac:dyDescent="0.25">
      <c r="H29433" s="12"/>
      <c r="I29433" s="12"/>
      <c r="J29433" s="12"/>
      <c r="K29433" s="12"/>
      <c r="L29433" s="12"/>
      <c r="M29433" s="11"/>
      <c r="N29433" s="11"/>
      <c r="O29433" s="11"/>
      <c r="P29433" s="11"/>
    </row>
    <row r="29434" spans="8:16" x14ac:dyDescent="0.25">
      <c r="H29434" s="12"/>
      <c r="I29434" s="12"/>
      <c r="J29434" s="12"/>
      <c r="K29434" s="12"/>
      <c r="L29434" s="12"/>
      <c r="M29434" s="11"/>
      <c r="N29434" s="11"/>
      <c r="O29434" s="11"/>
      <c r="P29434" s="11"/>
    </row>
    <row r="29435" spans="8:16" x14ac:dyDescent="0.25">
      <c r="H29435" s="12"/>
      <c r="I29435" s="12"/>
      <c r="J29435" s="12"/>
      <c r="K29435" s="12"/>
      <c r="L29435" s="12"/>
      <c r="M29435" s="11"/>
      <c r="N29435" s="11"/>
      <c r="O29435" s="11"/>
      <c r="P29435" s="11"/>
    </row>
    <row r="29436" spans="8:16" x14ac:dyDescent="0.25">
      <c r="H29436" s="12"/>
      <c r="I29436" s="12"/>
      <c r="J29436" s="12"/>
      <c r="K29436" s="12"/>
      <c r="L29436" s="12"/>
      <c r="M29436" s="11"/>
      <c r="N29436" s="11"/>
      <c r="O29436" s="11"/>
      <c r="P29436" s="11"/>
    </row>
    <row r="29437" spans="8:16" x14ac:dyDescent="0.25">
      <c r="H29437" s="12"/>
      <c r="I29437" s="12"/>
      <c r="J29437" s="12"/>
      <c r="K29437" s="12"/>
      <c r="L29437" s="12"/>
      <c r="M29437" s="11"/>
      <c r="N29437" s="11"/>
      <c r="O29437" s="11"/>
      <c r="P29437" s="11"/>
    </row>
    <row r="29438" spans="8:16" x14ac:dyDescent="0.25">
      <c r="H29438" s="12"/>
      <c r="I29438" s="12"/>
      <c r="J29438" s="12"/>
      <c r="K29438" s="12"/>
      <c r="L29438" s="12"/>
      <c r="M29438" s="11"/>
      <c r="N29438" s="11"/>
      <c r="O29438" s="11"/>
      <c r="P29438" s="11"/>
    </row>
    <row r="29439" spans="8:16" x14ac:dyDescent="0.25">
      <c r="H29439" s="12"/>
      <c r="I29439" s="12"/>
      <c r="J29439" s="12"/>
      <c r="K29439" s="12"/>
      <c r="L29439" s="12"/>
      <c r="M29439" s="11"/>
      <c r="N29439" s="11"/>
      <c r="O29439" s="11"/>
      <c r="P29439" s="11"/>
    </row>
    <row r="29440" spans="8:16" x14ac:dyDescent="0.25">
      <c r="H29440" s="12"/>
      <c r="I29440" s="12"/>
      <c r="J29440" s="12"/>
      <c r="K29440" s="12"/>
      <c r="L29440" s="12"/>
      <c r="M29440" s="11"/>
      <c r="N29440" s="11"/>
      <c r="O29440" s="11"/>
      <c r="P29440" s="11"/>
    </row>
    <row r="29441" spans="8:16" x14ac:dyDescent="0.25">
      <c r="H29441" s="12"/>
      <c r="I29441" s="12"/>
      <c r="J29441" s="12"/>
      <c r="K29441" s="12"/>
      <c r="L29441" s="12"/>
      <c r="M29441" s="11"/>
      <c r="N29441" s="11"/>
      <c r="O29441" s="11"/>
      <c r="P29441" s="11"/>
    </row>
    <row r="29442" spans="8:16" x14ac:dyDescent="0.25">
      <c r="H29442" s="12"/>
      <c r="I29442" s="12"/>
      <c r="J29442" s="12"/>
      <c r="K29442" s="12"/>
      <c r="L29442" s="12"/>
      <c r="M29442" s="11"/>
      <c r="N29442" s="11"/>
      <c r="O29442" s="11"/>
      <c r="P29442" s="11"/>
    </row>
    <row r="29443" spans="8:16" x14ac:dyDescent="0.25">
      <c r="H29443" s="12"/>
      <c r="I29443" s="12"/>
      <c r="J29443" s="12"/>
      <c r="K29443" s="12"/>
      <c r="L29443" s="12"/>
      <c r="M29443" s="11"/>
      <c r="N29443" s="11"/>
      <c r="O29443" s="11"/>
      <c r="P29443" s="11"/>
    </row>
    <row r="29444" spans="8:16" x14ac:dyDescent="0.25">
      <c r="H29444" s="12"/>
      <c r="I29444" s="12"/>
      <c r="J29444" s="12"/>
      <c r="K29444" s="12"/>
      <c r="L29444" s="12"/>
      <c r="M29444" s="11"/>
      <c r="N29444" s="11"/>
      <c r="O29444" s="11"/>
      <c r="P29444" s="11"/>
    </row>
    <row r="29445" spans="8:16" x14ac:dyDescent="0.25">
      <c r="H29445" s="12"/>
      <c r="I29445" s="12"/>
      <c r="J29445" s="12"/>
      <c r="K29445" s="12"/>
      <c r="L29445" s="12"/>
      <c r="M29445" s="11"/>
      <c r="N29445" s="11"/>
      <c r="O29445" s="11"/>
      <c r="P29445" s="11"/>
    </row>
    <row r="29446" spans="8:16" x14ac:dyDescent="0.25">
      <c r="H29446" s="12"/>
      <c r="I29446" s="12"/>
      <c r="J29446" s="12"/>
      <c r="K29446" s="12"/>
      <c r="L29446" s="12"/>
      <c r="M29446" s="11"/>
      <c r="N29446" s="11"/>
      <c r="O29446" s="11"/>
      <c r="P29446" s="11"/>
    </row>
    <row r="29447" spans="8:16" x14ac:dyDescent="0.25">
      <c r="H29447" s="12"/>
      <c r="I29447" s="12"/>
      <c r="J29447" s="12"/>
      <c r="K29447" s="12"/>
      <c r="L29447" s="12"/>
      <c r="M29447" s="11"/>
      <c r="N29447" s="11"/>
      <c r="O29447" s="11"/>
      <c r="P29447" s="11"/>
    </row>
    <row r="29448" spans="8:16" x14ac:dyDescent="0.25">
      <c r="H29448" s="12"/>
      <c r="I29448" s="12"/>
      <c r="J29448" s="12"/>
      <c r="K29448" s="12"/>
      <c r="L29448" s="12"/>
      <c r="M29448" s="11"/>
      <c r="N29448" s="11"/>
      <c r="O29448" s="11"/>
      <c r="P29448" s="11"/>
    </row>
    <row r="29449" spans="8:16" x14ac:dyDescent="0.25">
      <c r="H29449" s="12"/>
      <c r="I29449" s="12"/>
      <c r="J29449" s="12"/>
      <c r="K29449" s="12"/>
      <c r="L29449" s="12"/>
      <c r="M29449" s="11"/>
      <c r="N29449" s="11"/>
      <c r="O29449" s="11"/>
      <c r="P29449" s="11"/>
    </row>
    <row r="29450" spans="8:16" x14ac:dyDescent="0.25">
      <c r="H29450" s="12"/>
      <c r="I29450" s="12"/>
      <c r="J29450" s="12"/>
      <c r="K29450" s="12"/>
      <c r="L29450" s="12"/>
      <c r="M29450" s="11"/>
      <c r="N29450" s="11"/>
      <c r="O29450" s="11"/>
      <c r="P29450" s="11"/>
    </row>
    <row r="29451" spans="8:16" x14ac:dyDescent="0.25">
      <c r="H29451" s="12"/>
      <c r="I29451" s="12"/>
      <c r="J29451" s="12"/>
      <c r="K29451" s="12"/>
      <c r="L29451" s="12"/>
      <c r="M29451" s="11"/>
      <c r="N29451" s="11"/>
      <c r="O29451" s="11"/>
      <c r="P29451" s="11"/>
    </row>
    <row r="29452" spans="8:16" x14ac:dyDescent="0.25">
      <c r="H29452" s="12"/>
      <c r="I29452" s="12"/>
      <c r="J29452" s="12"/>
      <c r="K29452" s="12"/>
      <c r="L29452" s="12"/>
      <c r="M29452" s="11"/>
      <c r="N29452" s="11"/>
      <c r="O29452" s="11"/>
      <c r="P29452" s="11"/>
    </row>
    <row r="29453" spans="8:16" x14ac:dyDescent="0.25">
      <c r="H29453" s="12"/>
      <c r="I29453" s="12"/>
      <c r="J29453" s="12"/>
      <c r="K29453" s="12"/>
      <c r="L29453" s="12"/>
      <c r="M29453" s="11"/>
      <c r="N29453" s="11"/>
      <c r="O29453" s="11"/>
      <c r="P29453" s="11"/>
    </row>
    <row r="29454" spans="8:16" x14ac:dyDescent="0.25">
      <c r="H29454" s="12"/>
      <c r="I29454" s="12"/>
      <c r="J29454" s="12"/>
      <c r="K29454" s="12"/>
      <c r="L29454" s="12"/>
      <c r="M29454" s="11"/>
      <c r="N29454" s="11"/>
      <c r="O29454" s="11"/>
      <c r="P29454" s="11"/>
    </row>
    <row r="29455" spans="8:16" x14ac:dyDescent="0.25">
      <c r="H29455" s="12"/>
      <c r="I29455" s="12"/>
      <c r="J29455" s="12"/>
      <c r="K29455" s="12"/>
      <c r="L29455" s="12"/>
      <c r="M29455" s="11"/>
      <c r="N29455" s="11"/>
      <c r="O29455" s="11"/>
      <c r="P29455" s="11"/>
    </row>
    <row r="29456" spans="8:16" x14ac:dyDescent="0.25">
      <c r="H29456" s="12"/>
      <c r="I29456" s="12"/>
      <c r="J29456" s="12"/>
      <c r="K29456" s="12"/>
      <c r="L29456" s="12"/>
      <c r="M29456" s="11"/>
      <c r="N29456" s="11"/>
      <c r="O29456" s="11"/>
      <c r="P29456" s="11"/>
    </row>
    <row r="29457" spans="8:16" x14ac:dyDescent="0.25">
      <c r="H29457" s="12"/>
      <c r="I29457" s="12"/>
      <c r="J29457" s="12"/>
      <c r="K29457" s="12"/>
      <c r="L29457" s="12"/>
      <c r="M29457" s="11"/>
      <c r="N29457" s="11"/>
      <c r="O29457" s="11"/>
      <c r="P29457" s="11"/>
    </row>
    <row r="29458" spans="8:16" x14ac:dyDescent="0.25">
      <c r="H29458" s="12"/>
      <c r="I29458" s="12"/>
      <c r="J29458" s="12"/>
      <c r="K29458" s="12"/>
      <c r="L29458" s="12"/>
      <c r="M29458" s="11"/>
      <c r="N29458" s="11"/>
      <c r="O29458" s="11"/>
      <c r="P29458" s="11"/>
    </row>
    <row r="29459" spans="8:16" x14ac:dyDescent="0.25">
      <c r="H29459" s="12"/>
      <c r="I29459" s="12"/>
      <c r="J29459" s="12"/>
      <c r="K29459" s="12"/>
      <c r="L29459" s="12"/>
      <c r="M29459" s="11"/>
      <c r="N29459" s="11"/>
      <c r="O29459" s="11"/>
      <c r="P29459" s="11"/>
    </row>
    <row r="29460" spans="8:16" x14ac:dyDescent="0.25">
      <c r="H29460" s="12"/>
      <c r="I29460" s="12"/>
      <c r="J29460" s="12"/>
      <c r="K29460" s="12"/>
      <c r="L29460" s="12"/>
      <c r="M29460" s="11"/>
      <c r="N29460" s="11"/>
      <c r="O29460" s="11"/>
      <c r="P29460" s="11"/>
    </row>
    <row r="29461" spans="8:16" x14ac:dyDescent="0.25">
      <c r="H29461" s="12"/>
      <c r="I29461" s="12"/>
      <c r="J29461" s="12"/>
      <c r="K29461" s="12"/>
      <c r="L29461" s="12"/>
      <c r="M29461" s="11"/>
      <c r="N29461" s="11"/>
      <c r="O29461" s="11"/>
      <c r="P29461" s="11"/>
    </row>
    <row r="29462" spans="8:16" x14ac:dyDescent="0.25">
      <c r="H29462" s="12"/>
      <c r="I29462" s="12"/>
      <c r="J29462" s="12"/>
      <c r="K29462" s="12"/>
      <c r="L29462" s="12"/>
      <c r="M29462" s="11"/>
      <c r="N29462" s="11"/>
      <c r="O29462" s="11"/>
      <c r="P29462" s="11"/>
    </row>
    <row r="29463" spans="8:16" x14ac:dyDescent="0.25">
      <c r="H29463" s="12"/>
      <c r="I29463" s="12"/>
      <c r="J29463" s="12"/>
      <c r="K29463" s="12"/>
      <c r="L29463" s="12"/>
      <c r="M29463" s="11"/>
      <c r="N29463" s="11"/>
      <c r="O29463" s="11"/>
      <c r="P29463" s="11"/>
    </row>
    <row r="29464" spans="8:16" x14ac:dyDescent="0.25">
      <c r="H29464" s="12"/>
      <c r="I29464" s="12"/>
      <c r="J29464" s="12"/>
      <c r="K29464" s="12"/>
      <c r="L29464" s="12"/>
      <c r="M29464" s="11"/>
      <c r="N29464" s="11"/>
      <c r="O29464" s="11"/>
      <c r="P29464" s="11"/>
    </row>
    <row r="29465" spans="8:16" x14ac:dyDescent="0.25">
      <c r="H29465" s="12"/>
      <c r="I29465" s="12"/>
      <c r="J29465" s="12"/>
      <c r="K29465" s="12"/>
      <c r="L29465" s="12"/>
      <c r="M29465" s="11"/>
      <c r="N29465" s="11"/>
      <c r="O29465" s="11"/>
      <c r="P29465" s="11"/>
    </row>
    <row r="29466" spans="8:16" x14ac:dyDescent="0.25">
      <c r="H29466" s="12"/>
      <c r="I29466" s="12"/>
      <c r="J29466" s="12"/>
      <c r="K29466" s="12"/>
      <c r="L29466" s="12"/>
      <c r="M29466" s="11"/>
      <c r="N29466" s="11"/>
      <c r="O29466" s="11"/>
      <c r="P29466" s="11"/>
    </row>
    <row r="29467" spans="8:16" x14ac:dyDescent="0.25">
      <c r="H29467" s="12"/>
      <c r="I29467" s="12"/>
      <c r="J29467" s="12"/>
      <c r="K29467" s="12"/>
      <c r="L29467" s="12"/>
      <c r="M29467" s="11"/>
      <c r="N29467" s="11"/>
      <c r="O29467" s="11"/>
      <c r="P29467" s="11"/>
    </row>
    <row r="29468" spans="8:16" x14ac:dyDescent="0.25">
      <c r="H29468" s="12"/>
      <c r="I29468" s="12"/>
      <c r="J29468" s="12"/>
      <c r="K29468" s="12"/>
      <c r="L29468" s="12"/>
      <c r="M29468" s="11"/>
      <c r="N29468" s="11"/>
      <c r="O29468" s="11"/>
      <c r="P29468" s="11"/>
    </row>
    <row r="29469" spans="8:16" x14ac:dyDescent="0.25">
      <c r="H29469" s="12"/>
      <c r="I29469" s="12"/>
      <c r="J29469" s="12"/>
      <c r="K29469" s="12"/>
      <c r="L29469" s="12"/>
      <c r="M29469" s="11"/>
      <c r="N29469" s="11"/>
      <c r="O29469" s="11"/>
      <c r="P29469" s="11"/>
    </row>
    <row r="29470" spans="8:16" x14ac:dyDescent="0.25">
      <c r="H29470" s="12"/>
      <c r="I29470" s="12"/>
      <c r="J29470" s="12"/>
      <c r="K29470" s="12"/>
      <c r="L29470" s="12"/>
      <c r="M29470" s="11"/>
      <c r="N29470" s="11"/>
      <c r="O29470" s="11"/>
      <c r="P29470" s="11"/>
    </row>
    <row r="29471" spans="8:16" x14ac:dyDescent="0.25">
      <c r="H29471" s="12"/>
      <c r="I29471" s="12"/>
      <c r="J29471" s="12"/>
      <c r="K29471" s="12"/>
      <c r="L29471" s="12"/>
      <c r="M29471" s="11"/>
      <c r="N29471" s="11"/>
      <c r="O29471" s="11"/>
      <c r="P29471" s="11"/>
    </row>
    <row r="29472" spans="8:16" x14ac:dyDescent="0.25">
      <c r="H29472" s="12"/>
      <c r="I29472" s="12"/>
      <c r="J29472" s="12"/>
      <c r="K29472" s="12"/>
      <c r="L29472" s="12"/>
      <c r="M29472" s="11"/>
      <c r="N29472" s="11"/>
      <c r="O29472" s="11"/>
      <c r="P29472" s="11"/>
    </row>
    <row r="29473" spans="8:16" x14ac:dyDescent="0.25">
      <c r="H29473" s="12"/>
      <c r="I29473" s="12"/>
      <c r="J29473" s="12"/>
      <c r="K29473" s="12"/>
      <c r="L29473" s="12"/>
      <c r="M29473" s="11"/>
      <c r="N29473" s="11"/>
      <c r="O29473" s="11"/>
      <c r="P29473" s="11"/>
    </row>
    <row r="29474" spans="8:16" x14ac:dyDescent="0.25">
      <c r="H29474" s="12"/>
      <c r="I29474" s="12"/>
      <c r="J29474" s="12"/>
      <c r="K29474" s="12"/>
      <c r="L29474" s="12"/>
      <c r="M29474" s="11"/>
      <c r="N29474" s="11"/>
      <c r="O29474" s="11"/>
      <c r="P29474" s="11"/>
    </row>
    <row r="29475" spans="8:16" x14ac:dyDescent="0.25">
      <c r="H29475" s="12"/>
      <c r="I29475" s="12"/>
      <c r="J29475" s="12"/>
      <c r="K29475" s="12"/>
      <c r="L29475" s="12"/>
      <c r="M29475" s="11"/>
      <c r="N29475" s="11"/>
      <c r="O29475" s="11"/>
      <c r="P29475" s="11"/>
    </row>
    <row r="29476" spans="8:16" x14ac:dyDescent="0.25">
      <c r="H29476" s="12"/>
      <c r="I29476" s="12"/>
      <c r="J29476" s="12"/>
      <c r="K29476" s="12"/>
      <c r="L29476" s="12"/>
      <c r="M29476" s="11"/>
      <c r="N29476" s="11"/>
      <c r="O29476" s="11"/>
      <c r="P29476" s="11"/>
    </row>
    <row r="29477" spans="8:16" x14ac:dyDescent="0.25">
      <c r="H29477" s="12"/>
      <c r="I29477" s="12"/>
      <c r="J29477" s="12"/>
      <c r="K29477" s="12"/>
      <c r="L29477" s="12"/>
      <c r="M29477" s="11"/>
      <c r="N29477" s="11"/>
      <c r="O29477" s="11"/>
      <c r="P29477" s="11"/>
    </row>
    <row r="29478" spans="8:16" x14ac:dyDescent="0.25">
      <c r="H29478" s="12"/>
      <c r="I29478" s="12"/>
      <c r="J29478" s="12"/>
      <c r="K29478" s="12"/>
      <c r="L29478" s="12"/>
      <c r="M29478" s="11"/>
      <c r="N29478" s="11"/>
      <c r="O29478" s="11"/>
      <c r="P29478" s="11"/>
    </row>
    <row r="29479" spans="8:16" x14ac:dyDescent="0.25">
      <c r="H29479" s="12"/>
      <c r="I29479" s="12"/>
      <c r="J29479" s="12"/>
      <c r="K29479" s="12"/>
      <c r="L29479" s="12"/>
      <c r="M29479" s="11"/>
      <c r="N29479" s="11"/>
      <c r="O29479" s="11"/>
      <c r="P29479" s="11"/>
    </row>
    <row r="29480" spans="8:16" x14ac:dyDescent="0.25">
      <c r="H29480" s="12"/>
      <c r="I29480" s="12"/>
      <c r="J29480" s="12"/>
      <c r="K29480" s="12"/>
      <c r="L29480" s="12"/>
      <c r="M29480" s="11"/>
      <c r="N29480" s="11"/>
      <c r="O29480" s="11"/>
      <c r="P29480" s="11"/>
    </row>
    <row r="29481" spans="8:16" x14ac:dyDescent="0.25">
      <c r="H29481" s="12"/>
      <c r="I29481" s="12"/>
      <c r="J29481" s="12"/>
      <c r="K29481" s="12"/>
      <c r="L29481" s="12"/>
      <c r="M29481" s="11"/>
      <c r="N29481" s="11"/>
      <c r="O29481" s="11"/>
      <c r="P29481" s="11"/>
    </row>
    <row r="29482" spans="8:16" x14ac:dyDescent="0.25">
      <c r="H29482" s="12"/>
      <c r="I29482" s="12"/>
      <c r="J29482" s="12"/>
      <c r="K29482" s="12"/>
      <c r="L29482" s="12"/>
      <c r="M29482" s="11"/>
      <c r="N29482" s="11"/>
      <c r="O29482" s="11"/>
      <c r="P29482" s="11"/>
    </row>
    <row r="29483" spans="8:16" x14ac:dyDescent="0.25">
      <c r="H29483" s="12"/>
      <c r="I29483" s="12"/>
      <c r="J29483" s="12"/>
      <c r="K29483" s="12"/>
      <c r="L29483" s="12"/>
      <c r="M29483" s="11"/>
      <c r="N29483" s="11"/>
      <c r="O29483" s="11"/>
      <c r="P29483" s="11"/>
    </row>
    <row r="29484" spans="8:16" x14ac:dyDescent="0.25">
      <c r="H29484" s="12"/>
      <c r="I29484" s="12"/>
      <c r="J29484" s="12"/>
      <c r="K29484" s="12"/>
      <c r="L29484" s="12"/>
      <c r="M29484" s="11"/>
      <c r="N29484" s="11"/>
      <c r="O29484" s="11"/>
      <c r="P29484" s="11"/>
    </row>
    <row r="29485" spans="8:16" x14ac:dyDescent="0.25">
      <c r="H29485" s="12"/>
      <c r="I29485" s="12"/>
      <c r="J29485" s="12"/>
      <c r="K29485" s="12"/>
      <c r="L29485" s="12"/>
      <c r="M29485" s="11"/>
      <c r="N29485" s="11"/>
      <c r="O29485" s="11"/>
      <c r="P29485" s="11"/>
    </row>
    <row r="29486" spans="8:16" x14ac:dyDescent="0.25">
      <c r="H29486" s="12"/>
      <c r="I29486" s="12"/>
      <c r="J29486" s="12"/>
      <c r="K29486" s="12"/>
      <c r="L29486" s="12"/>
      <c r="M29486" s="11"/>
      <c r="N29486" s="11"/>
      <c r="O29486" s="11"/>
      <c r="P29486" s="11"/>
    </row>
    <row r="29487" spans="8:16" x14ac:dyDescent="0.25">
      <c r="H29487" s="12"/>
      <c r="I29487" s="12"/>
      <c r="J29487" s="12"/>
      <c r="K29487" s="12"/>
      <c r="L29487" s="12"/>
      <c r="M29487" s="11"/>
      <c r="N29487" s="11"/>
      <c r="O29487" s="11"/>
      <c r="P29487" s="11"/>
    </row>
    <row r="29488" spans="8:16" x14ac:dyDescent="0.25">
      <c r="H29488" s="12"/>
      <c r="I29488" s="12"/>
      <c r="J29488" s="12"/>
      <c r="K29488" s="12"/>
      <c r="L29488" s="12"/>
      <c r="M29488" s="11"/>
      <c r="N29488" s="11"/>
      <c r="O29488" s="11"/>
      <c r="P29488" s="11"/>
    </row>
    <row r="29489" spans="8:16" x14ac:dyDescent="0.25">
      <c r="H29489" s="12"/>
      <c r="I29489" s="12"/>
      <c r="J29489" s="12"/>
      <c r="K29489" s="12"/>
      <c r="L29489" s="12"/>
      <c r="M29489" s="11"/>
      <c r="N29489" s="11"/>
      <c r="O29489" s="11"/>
      <c r="P29489" s="11"/>
    </row>
    <row r="29490" spans="8:16" x14ac:dyDescent="0.25">
      <c r="H29490" s="12"/>
      <c r="I29490" s="12"/>
      <c r="J29490" s="12"/>
      <c r="K29490" s="12"/>
      <c r="L29490" s="12"/>
      <c r="M29490" s="11"/>
      <c r="N29490" s="11"/>
      <c r="O29490" s="11"/>
      <c r="P29490" s="11"/>
    </row>
    <row r="29491" spans="8:16" x14ac:dyDescent="0.25">
      <c r="H29491" s="12"/>
      <c r="I29491" s="12"/>
      <c r="J29491" s="12"/>
      <c r="K29491" s="12"/>
      <c r="L29491" s="12"/>
      <c r="M29491" s="11"/>
      <c r="N29491" s="11"/>
      <c r="O29491" s="11"/>
      <c r="P29491" s="11"/>
    </row>
    <row r="29492" spans="8:16" x14ac:dyDescent="0.25">
      <c r="H29492" s="12"/>
      <c r="I29492" s="12"/>
      <c r="J29492" s="12"/>
      <c r="K29492" s="12"/>
      <c r="L29492" s="12"/>
      <c r="M29492" s="11"/>
      <c r="N29492" s="11"/>
      <c r="O29492" s="11"/>
      <c r="P29492" s="11"/>
    </row>
    <row r="29493" spans="8:16" x14ac:dyDescent="0.25">
      <c r="H29493" s="12"/>
      <c r="I29493" s="12"/>
      <c r="J29493" s="12"/>
      <c r="K29493" s="12"/>
      <c r="L29493" s="12"/>
      <c r="M29493" s="11"/>
      <c r="N29493" s="11"/>
      <c r="O29493" s="11"/>
      <c r="P29493" s="11"/>
    </row>
    <row r="29494" spans="8:16" x14ac:dyDescent="0.25">
      <c r="H29494" s="12"/>
      <c r="I29494" s="12"/>
      <c r="J29494" s="12"/>
      <c r="K29494" s="12"/>
      <c r="L29494" s="12"/>
      <c r="M29494" s="11"/>
      <c r="N29494" s="11"/>
      <c r="O29494" s="11"/>
      <c r="P29494" s="11"/>
    </row>
    <row r="29495" spans="8:16" x14ac:dyDescent="0.25">
      <c r="H29495" s="12"/>
      <c r="I29495" s="12"/>
      <c r="J29495" s="12"/>
      <c r="K29495" s="12"/>
      <c r="L29495" s="12"/>
      <c r="M29495" s="11"/>
      <c r="N29495" s="11"/>
      <c r="O29495" s="11"/>
      <c r="P29495" s="11"/>
    </row>
    <row r="29496" spans="8:16" x14ac:dyDescent="0.25">
      <c r="H29496" s="12"/>
      <c r="I29496" s="12"/>
      <c r="J29496" s="12"/>
      <c r="K29496" s="12"/>
      <c r="L29496" s="12"/>
      <c r="M29496" s="11"/>
      <c r="N29496" s="11"/>
      <c r="O29496" s="11"/>
      <c r="P29496" s="11"/>
    </row>
    <row r="29497" spans="8:16" x14ac:dyDescent="0.25">
      <c r="H29497" s="12"/>
      <c r="I29497" s="12"/>
      <c r="J29497" s="12"/>
      <c r="K29497" s="12"/>
      <c r="L29497" s="12"/>
      <c r="M29497" s="11"/>
      <c r="N29497" s="11"/>
      <c r="O29497" s="11"/>
      <c r="P29497" s="11"/>
    </row>
    <row r="29498" spans="8:16" x14ac:dyDescent="0.25">
      <c r="H29498" s="12"/>
      <c r="I29498" s="12"/>
      <c r="J29498" s="12"/>
      <c r="K29498" s="12"/>
      <c r="L29498" s="12"/>
      <c r="M29498" s="11"/>
      <c r="N29498" s="11"/>
      <c r="O29498" s="11"/>
      <c r="P29498" s="11"/>
    </row>
    <row r="29499" spans="8:16" x14ac:dyDescent="0.25">
      <c r="H29499" s="12"/>
      <c r="I29499" s="12"/>
      <c r="J29499" s="12"/>
      <c r="K29499" s="12"/>
      <c r="L29499" s="12"/>
      <c r="M29499" s="11"/>
      <c r="N29499" s="11"/>
      <c r="O29499" s="11"/>
      <c r="P29499" s="11"/>
    </row>
    <row r="29500" spans="8:16" x14ac:dyDescent="0.25">
      <c r="H29500" s="12"/>
      <c r="I29500" s="12"/>
      <c r="J29500" s="12"/>
      <c r="K29500" s="12"/>
      <c r="L29500" s="12"/>
      <c r="M29500" s="11"/>
      <c r="N29500" s="11"/>
      <c r="O29500" s="11"/>
      <c r="P29500" s="11"/>
    </row>
    <row r="29501" spans="8:16" x14ac:dyDescent="0.25">
      <c r="H29501" s="12"/>
      <c r="I29501" s="12"/>
      <c r="J29501" s="12"/>
      <c r="K29501" s="12"/>
      <c r="L29501" s="12"/>
      <c r="M29501" s="11"/>
      <c r="N29501" s="11"/>
      <c r="O29501" s="11"/>
      <c r="P29501" s="11"/>
    </row>
    <row r="29502" spans="8:16" x14ac:dyDescent="0.25">
      <c r="H29502" s="12"/>
      <c r="I29502" s="12"/>
      <c r="J29502" s="12"/>
      <c r="K29502" s="12"/>
      <c r="L29502" s="12"/>
      <c r="M29502" s="11"/>
      <c r="N29502" s="11"/>
      <c r="O29502" s="11"/>
      <c r="P29502" s="11"/>
    </row>
    <row r="29503" spans="8:16" x14ac:dyDescent="0.25">
      <c r="H29503" s="12"/>
      <c r="I29503" s="12"/>
      <c r="J29503" s="12"/>
      <c r="K29503" s="12"/>
      <c r="L29503" s="12"/>
      <c r="M29503" s="11"/>
      <c r="N29503" s="11"/>
      <c r="O29503" s="11"/>
      <c r="P29503" s="11"/>
    </row>
    <row r="29504" spans="8:16" x14ac:dyDescent="0.25">
      <c r="H29504" s="12"/>
      <c r="I29504" s="12"/>
      <c r="J29504" s="12"/>
      <c r="K29504" s="12"/>
      <c r="L29504" s="12"/>
      <c r="M29504" s="11"/>
      <c r="N29504" s="11"/>
      <c r="O29504" s="11"/>
      <c r="P29504" s="11"/>
    </row>
    <row r="29505" spans="8:16" x14ac:dyDescent="0.25">
      <c r="H29505" s="12"/>
      <c r="I29505" s="12"/>
      <c r="J29505" s="12"/>
      <c r="K29505" s="12"/>
      <c r="L29505" s="12"/>
      <c r="M29505" s="11"/>
      <c r="N29505" s="11"/>
      <c r="O29505" s="11"/>
      <c r="P29505" s="11"/>
    </row>
    <row r="29506" spans="8:16" x14ac:dyDescent="0.25">
      <c r="H29506" s="12"/>
      <c r="I29506" s="12"/>
      <c r="J29506" s="12"/>
      <c r="K29506" s="12"/>
      <c r="L29506" s="12"/>
      <c r="M29506" s="11"/>
      <c r="N29506" s="11"/>
      <c r="O29506" s="11"/>
      <c r="P29506" s="11"/>
    </row>
    <row r="29507" spans="8:16" x14ac:dyDescent="0.25">
      <c r="H29507" s="12"/>
      <c r="I29507" s="12"/>
      <c r="J29507" s="12"/>
      <c r="K29507" s="12"/>
      <c r="L29507" s="12"/>
      <c r="M29507" s="11"/>
      <c r="N29507" s="11"/>
      <c r="O29507" s="11"/>
      <c r="P29507" s="11"/>
    </row>
    <row r="29508" spans="8:16" x14ac:dyDescent="0.25">
      <c r="H29508" s="12"/>
      <c r="I29508" s="12"/>
      <c r="J29508" s="12"/>
      <c r="K29508" s="12"/>
      <c r="L29508" s="12"/>
      <c r="M29508" s="11"/>
      <c r="N29508" s="11"/>
      <c r="O29508" s="11"/>
      <c r="P29508" s="11"/>
    </row>
    <row r="29509" spans="8:16" x14ac:dyDescent="0.25">
      <c r="H29509" s="12"/>
      <c r="I29509" s="12"/>
      <c r="J29509" s="12"/>
      <c r="K29509" s="12"/>
      <c r="L29509" s="12"/>
      <c r="M29509" s="11"/>
      <c r="N29509" s="11"/>
      <c r="O29509" s="11"/>
      <c r="P29509" s="11"/>
    </row>
    <row r="29510" spans="8:16" x14ac:dyDescent="0.25">
      <c r="H29510" s="12"/>
      <c r="I29510" s="12"/>
      <c r="J29510" s="12"/>
      <c r="K29510" s="12"/>
      <c r="L29510" s="12"/>
      <c r="M29510" s="11"/>
      <c r="N29510" s="11"/>
      <c r="O29510" s="11"/>
      <c r="P29510" s="11"/>
    </row>
    <row r="29511" spans="8:16" x14ac:dyDescent="0.25">
      <c r="H29511" s="12"/>
      <c r="I29511" s="12"/>
      <c r="J29511" s="12"/>
      <c r="K29511" s="12"/>
      <c r="L29511" s="12"/>
      <c r="M29511" s="11"/>
      <c r="N29511" s="11"/>
      <c r="O29511" s="11"/>
      <c r="P29511" s="11"/>
    </row>
    <row r="29512" spans="8:16" x14ac:dyDescent="0.25">
      <c r="H29512" s="12"/>
      <c r="I29512" s="12"/>
      <c r="J29512" s="12"/>
      <c r="K29512" s="12"/>
      <c r="L29512" s="12"/>
      <c r="M29512" s="11"/>
      <c r="N29512" s="11"/>
      <c r="O29512" s="11"/>
      <c r="P29512" s="11"/>
    </row>
    <row r="29513" spans="8:16" x14ac:dyDescent="0.25">
      <c r="H29513" s="12"/>
      <c r="I29513" s="12"/>
      <c r="J29513" s="12"/>
      <c r="K29513" s="12"/>
      <c r="L29513" s="12"/>
      <c r="M29513" s="11"/>
      <c r="N29513" s="11"/>
      <c r="O29513" s="11"/>
      <c r="P29513" s="11"/>
    </row>
    <row r="29514" spans="8:16" x14ac:dyDescent="0.25">
      <c r="H29514" s="12"/>
      <c r="I29514" s="12"/>
      <c r="J29514" s="12"/>
      <c r="K29514" s="12"/>
      <c r="L29514" s="12"/>
      <c r="M29514" s="11"/>
      <c r="N29514" s="11"/>
      <c r="O29514" s="11"/>
      <c r="P29514" s="11"/>
    </row>
    <row r="29515" spans="8:16" x14ac:dyDescent="0.25">
      <c r="H29515" s="12"/>
      <c r="I29515" s="12"/>
      <c r="J29515" s="12"/>
      <c r="K29515" s="12"/>
      <c r="L29515" s="12"/>
      <c r="M29515" s="11"/>
      <c r="N29515" s="11"/>
      <c r="O29515" s="11"/>
      <c r="P29515" s="11"/>
    </row>
    <row r="29516" spans="8:16" x14ac:dyDescent="0.25">
      <c r="H29516" s="12"/>
      <c r="I29516" s="12"/>
      <c r="J29516" s="12"/>
      <c r="K29516" s="12"/>
      <c r="L29516" s="12"/>
      <c r="M29516" s="11"/>
      <c r="N29516" s="11"/>
      <c r="O29516" s="11"/>
      <c r="P29516" s="11"/>
    </row>
    <row r="29517" spans="8:16" x14ac:dyDescent="0.25">
      <c r="H29517" s="12"/>
      <c r="I29517" s="12"/>
      <c r="J29517" s="12"/>
      <c r="K29517" s="12"/>
      <c r="L29517" s="12"/>
      <c r="M29517" s="11"/>
      <c r="N29517" s="11"/>
      <c r="O29517" s="11"/>
      <c r="P29517" s="11"/>
    </row>
    <row r="29518" spans="8:16" x14ac:dyDescent="0.25">
      <c r="H29518" s="12"/>
      <c r="I29518" s="12"/>
      <c r="J29518" s="12"/>
      <c r="K29518" s="12"/>
      <c r="L29518" s="12"/>
      <c r="M29518" s="11"/>
      <c r="N29518" s="11"/>
      <c r="O29518" s="11"/>
      <c r="P29518" s="11"/>
    </row>
    <row r="29519" spans="8:16" x14ac:dyDescent="0.25">
      <c r="H29519" s="12"/>
      <c r="I29519" s="12"/>
      <c r="J29519" s="12"/>
      <c r="K29519" s="12"/>
      <c r="L29519" s="12"/>
      <c r="M29519" s="11"/>
      <c r="N29519" s="11"/>
      <c r="O29519" s="11"/>
      <c r="P29519" s="11"/>
    </row>
    <row r="29520" spans="8:16" x14ac:dyDescent="0.25">
      <c r="H29520" s="12"/>
      <c r="I29520" s="12"/>
      <c r="J29520" s="12"/>
      <c r="K29520" s="12"/>
      <c r="L29520" s="12"/>
      <c r="M29520" s="11"/>
      <c r="N29520" s="11"/>
      <c r="O29520" s="11"/>
      <c r="P29520" s="11"/>
    </row>
    <row r="29521" spans="8:16" x14ac:dyDescent="0.25">
      <c r="H29521" s="12"/>
      <c r="I29521" s="12"/>
      <c r="J29521" s="12"/>
      <c r="K29521" s="12"/>
      <c r="L29521" s="12"/>
      <c r="M29521" s="11"/>
      <c r="N29521" s="11"/>
      <c r="O29521" s="11"/>
      <c r="P29521" s="11"/>
    </row>
    <row r="29522" spans="8:16" x14ac:dyDescent="0.25">
      <c r="H29522" s="12"/>
      <c r="I29522" s="12"/>
      <c r="J29522" s="12"/>
      <c r="K29522" s="12"/>
      <c r="L29522" s="12"/>
      <c r="M29522" s="11"/>
      <c r="N29522" s="11"/>
      <c r="O29522" s="11"/>
      <c r="P29522" s="11"/>
    </row>
    <row r="29523" spans="8:16" x14ac:dyDescent="0.25">
      <c r="H29523" s="12"/>
      <c r="I29523" s="12"/>
      <c r="J29523" s="12"/>
      <c r="K29523" s="12"/>
      <c r="L29523" s="12"/>
      <c r="M29523" s="11"/>
      <c r="N29523" s="11"/>
      <c r="O29523" s="11"/>
      <c r="P29523" s="11"/>
    </row>
    <row r="29524" spans="8:16" x14ac:dyDescent="0.25">
      <c r="H29524" s="12"/>
      <c r="I29524" s="12"/>
      <c r="J29524" s="12"/>
      <c r="K29524" s="12"/>
      <c r="L29524" s="12"/>
      <c r="M29524" s="11"/>
      <c r="N29524" s="11"/>
      <c r="O29524" s="11"/>
      <c r="P29524" s="11"/>
    </row>
    <row r="29525" spans="8:16" x14ac:dyDescent="0.25">
      <c r="H29525" s="12"/>
      <c r="I29525" s="12"/>
      <c r="J29525" s="12"/>
      <c r="K29525" s="12"/>
      <c r="L29525" s="12"/>
      <c r="M29525" s="11"/>
      <c r="N29525" s="11"/>
      <c r="O29525" s="11"/>
      <c r="P29525" s="11"/>
    </row>
    <row r="29526" spans="8:16" x14ac:dyDescent="0.25">
      <c r="H29526" s="12"/>
      <c r="I29526" s="12"/>
      <c r="J29526" s="12"/>
      <c r="K29526" s="12"/>
      <c r="L29526" s="12"/>
      <c r="M29526" s="11"/>
      <c r="N29526" s="11"/>
      <c r="O29526" s="11"/>
      <c r="P29526" s="11"/>
    </row>
    <row r="29527" spans="8:16" x14ac:dyDescent="0.25">
      <c r="H29527" s="12"/>
      <c r="I29527" s="12"/>
      <c r="J29527" s="12"/>
      <c r="K29527" s="12"/>
      <c r="L29527" s="12"/>
      <c r="M29527" s="11"/>
      <c r="N29527" s="11"/>
      <c r="O29527" s="11"/>
      <c r="P29527" s="11"/>
    </row>
    <row r="29528" spans="8:16" x14ac:dyDescent="0.25">
      <c r="H29528" s="12"/>
      <c r="I29528" s="12"/>
      <c r="J29528" s="12"/>
      <c r="K29528" s="12"/>
      <c r="L29528" s="12"/>
      <c r="M29528" s="11"/>
      <c r="N29528" s="11"/>
      <c r="O29528" s="11"/>
      <c r="P29528" s="11"/>
    </row>
    <row r="29529" spans="8:16" x14ac:dyDescent="0.25">
      <c r="H29529" s="12"/>
      <c r="I29529" s="12"/>
      <c r="J29529" s="12"/>
      <c r="K29529" s="12"/>
      <c r="L29529" s="12"/>
      <c r="M29529" s="11"/>
      <c r="N29529" s="11"/>
      <c r="O29529" s="11"/>
      <c r="P29529" s="11"/>
    </row>
    <row r="29530" spans="8:16" x14ac:dyDescent="0.25">
      <c r="H29530" s="12"/>
      <c r="I29530" s="12"/>
      <c r="J29530" s="12"/>
      <c r="K29530" s="12"/>
      <c r="L29530" s="12"/>
      <c r="M29530" s="11"/>
      <c r="N29530" s="11"/>
      <c r="O29530" s="11"/>
      <c r="P29530" s="11"/>
    </row>
    <row r="29531" spans="8:16" x14ac:dyDescent="0.25">
      <c r="H29531" s="12"/>
      <c r="I29531" s="12"/>
      <c r="J29531" s="12"/>
      <c r="K29531" s="12"/>
      <c r="L29531" s="12"/>
      <c r="M29531" s="11"/>
      <c r="N29531" s="11"/>
      <c r="O29531" s="11"/>
      <c r="P29531" s="11"/>
    </row>
    <row r="29532" spans="8:16" x14ac:dyDescent="0.25">
      <c r="H29532" s="12"/>
      <c r="I29532" s="12"/>
      <c r="J29532" s="12"/>
      <c r="K29532" s="12"/>
      <c r="L29532" s="12"/>
      <c r="M29532" s="11"/>
      <c r="N29532" s="11"/>
      <c r="O29532" s="11"/>
      <c r="P29532" s="11"/>
    </row>
    <row r="29533" spans="8:16" x14ac:dyDescent="0.25">
      <c r="H29533" s="12"/>
      <c r="I29533" s="12"/>
      <c r="J29533" s="12"/>
      <c r="K29533" s="12"/>
      <c r="L29533" s="12"/>
      <c r="M29533" s="11"/>
      <c r="N29533" s="11"/>
      <c r="O29533" s="11"/>
      <c r="P29533" s="11"/>
    </row>
    <row r="29534" spans="8:16" x14ac:dyDescent="0.25">
      <c r="H29534" s="12"/>
      <c r="I29534" s="12"/>
      <c r="J29534" s="12"/>
      <c r="K29534" s="12"/>
      <c r="L29534" s="12"/>
      <c r="M29534" s="11"/>
      <c r="N29534" s="11"/>
      <c r="O29534" s="11"/>
      <c r="P29534" s="11"/>
    </row>
    <row r="29535" spans="8:16" x14ac:dyDescent="0.25">
      <c r="H29535" s="12"/>
      <c r="I29535" s="12"/>
      <c r="J29535" s="12"/>
      <c r="K29535" s="12"/>
      <c r="L29535" s="12"/>
      <c r="M29535" s="11"/>
      <c r="N29535" s="11"/>
      <c r="O29535" s="11"/>
      <c r="P29535" s="11"/>
    </row>
    <row r="29536" spans="8:16" x14ac:dyDescent="0.25">
      <c r="H29536" s="12"/>
      <c r="I29536" s="12"/>
      <c r="J29536" s="12"/>
      <c r="K29536" s="12"/>
      <c r="L29536" s="12"/>
      <c r="M29536" s="11"/>
      <c r="N29536" s="11"/>
      <c r="O29536" s="11"/>
      <c r="P29536" s="11"/>
    </row>
    <row r="29537" spans="8:16" x14ac:dyDescent="0.25">
      <c r="H29537" s="12"/>
      <c r="I29537" s="12"/>
      <c r="J29537" s="12"/>
      <c r="K29537" s="12"/>
      <c r="L29537" s="12"/>
      <c r="M29537" s="11"/>
      <c r="N29537" s="11"/>
      <c r="O29537" s="11"/>
      <c r="P29537" s="11"/>
    </row>
    <row r="29538" spans="8:16" x14ac:dyDescent="0.25">
      <c r="H29538" s="12"/>
      <c r="I29538" s="12"/>
      <c r="J29538" s="12"/>
      <c r="K29538" s="12"/>
      <c r="L29538" s="12"/>
      <c r="M29538" s="11"/>
      <c r="N29538" s="11"/>
      <c r="O29538" s="11"/>
      <c r="P29538" s="11"/>
    </row>
    <row r="29539" spans="8:16" x14ac:dyDescent="0.25">
      <c r="H29539" s="12"/>
      <c r="I29539" s="12"/>
      <c r="J29539" s="12"/>
      <c r="K29539" s="12"/>
      <c r="L29539" s="12"/>
      <c r="M29539" s="11"/>
      <c r="N29539" s="11"/>
      <c r="O29539" s="11"/>
      <c r="P29539" s="11"/>
    </row>
    <row r="29540" spans="8:16" x14ac:dyDescent="0.25">
      <c r="H29540" s="12"/>
      <c r="I29540" s="12"/>
      <c r="J29540" s="12"/>
      <c r="K29540" s="12"/>
      <c r="L29540" s="12"/>
      <c r="M29540" s="11"/>
      <c r="N29540" s="11"/>
      <c r="O29540" s="11"/>
      <c r="P29540" s="11"/>
    </row>
    <row r="29541" spans="8:16" x14ac:dyDescent="0.25">
      <c r="H29541" s="12"/>
      <c r="I29541" s="12"/>
      <c r="J29541" s="12"/>
      <c r="K29541" s="12"/>
      <c r="L29541" s="12"/>
      <c r="M29541" s="11"/>
      <c r="N29541" s="11"/>
      <c r="O29541" s="11"/>
      <c r="P29541" s="11"/>
    </row>
    <row r="29542" spans="8:16" x14ac:dyDescent="0.25">
      <c r="H29542" s="12"/>
      <c r="I29542" s="12"/>
      <c r="J29542" s="12"/>
      <c r="K29542" s="12"/>
      <c r="L29542" s="12"/>
      <c r="M29542" s="11"/>
      <c r="N29542" s="11"/>
      <c r="O29542" s="11"/>
      <c r="P29542" s="11"/>
    </row>
    <row r="29543" spans="8:16" x14ac:dyDescent="0.25">
      <c r="H29543" s="12"/>
      <c r="I29543" s="12"/>
      <c r="J29543" s="12"/>
      <c r="K29543" s="12"/>
      <c r="L29543" s="12"/>
      <c r="M29543" s="11"/>
      <c r="N29543" s="11"/>
      <c r="O29543" s="11"/>
      <c r="P29543" s="11"/>
    </row>
    <row r="29544" spans="8:16" x14ac:dyDescent="0.25">
      <c r="H29544" s="12"/>
      <c r="I29544" s="12"/>
      <c r="J29544" s="12"/>
      <c r="K29544" s="12"/>
      <c r="L29544" s="12"/>
      <c r="M29544" s="11"/>
      <c r="N29544" s="11"/>
      <c r="O29544" s="11"/>
      <c r="P29544" s="11"/>
    </row>
    <row r="29545" spans="8:16" x14ac:dyDescent="0.25">
      <c r="H29545" s="12"/>
      <c r="I29545" s="12"/>
      <c r="J29545" s="12"/>
      <c r="K29545" s="12"/>
      <c r="L29545" s="12"/>
      <c r="M29545" s="11"/>
      <c r="N29545" s="11"/>
      <c r="O29545" s="11"/>
      <c r="P29545" s="11"/>
    </row>
    <row r="29546" spans="8:16" x14ac:dyDescent="0.25">
      <c r="H29546" s="12"/>
      <c r="I29546" s="12"/>
      <c r="J29546" s="12"/>
      <c r="K29546" s="12"/>
      <c r="L29546" s="12"/>
      <c r="M29546" s="11"/>
      <c r="N29546" s="11"/>
      <c r="O29546" s="11"/>
      <c r="P29546" s="11"/>
    </row>
    <row r="29547" spans="8:16" x14ac:dyDescent="0.25">
      <c r="H29547" s="12"/>
      <c r="I29547" s="12"/>
      <c r="J29547" s="12"/>
      <c r="K29547" s="12"/>
      <c r="L29547" s="12"/>
      <c r="M29547" s="11"/>
      <c r="N29547" s="11"/>
      <c r="O29547" s="11"/>
      <c r="P29547" s="11"/>
    </row>
    <row r="29548" spans="8:16" x14ac:dyDescent="0.25">
      <c r="H29548" s="12"/>
      <c r="I29548" s="12"/>
      <c r="J29548" s="12"/>
      <c r="K29548" s="12"/>
      <c r="L29548" s="12"/>
      <c r="M29548" s="11"/>
      <c r="N29548" s="11"/>
      <c r="O29548" s="11"/>
      <c r="P29548" s="11"/>
    </row>
    <row r="29549" spans="8:16" x14ac:dyDescent="0.25">
      <c r="H29549" s="12"/>
      <c r="I29549" s="12"/>
      <c r="J29549" s="12"/>
      <c r="K29549" s="12"/>
      <c r="L29549" s="12"/>
      <c r="M29549" s="11"/>
      <c r="N29549" s="11"/>
      <c r="O29549" s="11"/>
      <c r="P29549" s="11"/>
    </row>
    <row r="29550" spans="8:16" x14ac:dyDescent="0.25">
      <c r="H29550" s="12"/>
      <c r="I29550" s="12"/>
      <c r="J29550" s="12"/>
      <c r="K29550" s="12"/>
      <c r="L29550" s="12"/>
      <c r="M29550" s="11"/>
      <c r="N29550" s="11"/>
      <c r="O29550" s="11"/>
      <c r="P29550" s="11"/>
    </row>
    <row r="29551" spans="8:16" x14ac:dyDescent="0.25">
      <c r="H29551" s="12"/>
      <c r="I29551" s="12"/>
      <c r="J29551" s="12"/>
      <c r="K29551" s="12"/>
      <c r="L29551" s="12"/>
      <c r="M29551" s="11"/>
      <c r="N29551" s="11"/>
      <c r="O29551" s="11"/>
      <c r="P29551" s="11"/>
    </row>
    <row r="29552" spans="8:16" x14ac:dyDescent="0.25">
      <c r="H29552" s="12"/>
      <c r="I29552" s="12"/>
      <c r="J29552" s="12"/>
      <c r="K29552" s="12"/>
      <c r="L29552" s="12"/>
      <c r="M29552" s="11"/>
      <c r="N29552" s="11"/>
      <c r="O29552" s="11"/>
      <c r="P29552" s="11"/>
    </row>
    <row r="29553" spans="8:16" x14ac:dyDescent="0.25">
      <c r="H29553" s="12"/>
      <c r="I29553" s="12"/>
      <c r="J29553" s="12"/>
      <c r="K29553" s="12"/>
      <c r="L29553" s="12"/>
      <c r="M29553" s="11"/>
      <c r="N29553" s="11"/>
      <c r="O29553" s="11"/>
      <c r="P29553" s="11"/>
    </row>
    <row r="29554" spans="8:16" x14ac:dyDescent="0.25">
      <c r="H29554" s="12"/>
      <c r="I29554" s="12"/>
      <c r="J29554" s="12"/>
      <c r="K29554" s="12"/>
      <c r="L29554" s="12"/>
      <c r="M29554" s="11"/>
      <c r="N29554" s="11"/>
      <c r="O29554" s="11"/>
      <c r="P29554" s="11"/>
    </row>
    <row r="29555" spans="8:16" x14ac:dyDescent="0.25">
      <c r="H29555" s="12"/>
      <c r="I29555" s="12"/>
      <c r="J29555" s="12"/>
      <c r="K29555" s="12"/>
      <c r="L29555" s="12"/>
      <c r="M29555" s="11"/>
      <c r="N29555" s="11"/>
      <c r="O29555" s="11"/>
      <c r="P29555" s="11"/>
    </row>
    <row r="29556" spans="8:16" x14ac:dyDescent="0.25">
      <c r="H29556" s="12"/>
      <c r="I29556" s="12"/>
      <c r="J29556" s="12"/>
      <c r="K29556" s="12"/>
      <c r="L29556" s="12"/>
      <c r="M29556" s="11"/>
      <c r="N29556" s="11"/>
      <c r="O29556" s="11"/>
      <c r="P29556" s="11"/>
    </row>
    <row r="29557" spans="8:16" x14ac:dyDescent="0.25">
      <c r="H29557" s="12"/>
      <c r="I29557" s="12"/>
      <c r="J29557" s="12"/>
      <c r="K29557" s="12"/>
      <c r="L29557" s="12"/>
      <c r="M29557" s="11"/>
      <c r="N29557" s="11"/>
      <c r="O29557" s="11"/>
      <c r="P29557" s="11"/>
    </row>
    <row r="29558" spans="8:16" x14ac:dyDescent="0.25">
      <c r="H29558" s="12"/>
      <c r="I29558" s="12"/>
      <c r="J29558" s="12"/>
      <c r="K29558" s="12"/>
      <c r="L29558" s="12"/>
      <c r="M29558" s="11"/>
      <c r="N29558" s="11"/>
      <c r="O29558" s="11"/>
      <c r="P29558" s="11"/>
    </row>
    <row r="29559" spans="8:16" x14ac:dyDescent="0.25">
      <c r="H29559" s="12"/>
      <c r="I29559" s="12"/>
      <c r="J29559" s="12"/>
      <c r="K29559" s="12"/>
      <c r="L29559" s="12"/>
      <c r="M29559" s="11"/>
      <c r="N29559" s="11"/>
      <c r="O29559" s="11"/>
      <c r="P29559" s="11"/>
    </row>
    <row r="29560" spans="8:16" x14ac:dyDescent="0.25">
      <c r="H29560" s="12"/>
      <c r="I29560" s="12"/>
      <c r="J29560" s="12"/>
      <c r="K29560" s="12"/>
      <c r="L29560" s="12"/>
      <c r="M29560" s="11"/>
      <c r="N29560" s="11"/>
      <c r="O29560" s="11"/>
      <c r="P29560" s="11"/>
    </row>
    <row r="29561" spans="8:16" x14ac:dyDescent="0.25">
      <c r="H29561" s="12"/>
      <c r="I29561" s="12"/>
      <c r="J29561" s="12"/>
      <c r="K29561" s="12"/>
      <c r="L29561" s="12"/>
      <c r="M29561" s="11"/>
      <c r="N29561" s="11"/>
      <c r="O29561" s="11"/>
      <c r="P29561" s="11"/>
    </row>
    <row r="29562" spans="8:16" x14ac:dyDescent="0.25">
      <c r="H29562" s="12"/>
      <c r="I29562" s="12"/>
      <c r="J29562" s="12"/>
      <c r="K29562" s="12"/>
      <c r="L29562" s="12"/>
      <c r="M29562" s="11"/>
      <c r="N29562" s="11"/>
      <c r="O29562" s="11"/>
      <c r="P29562" s="11"/>
    </row>
    <row r="29563" spans="8:16" x14ac:dyDescent="0.25">
      <c r="H29563" s="12"/>
      <c r="I29563" s="12"/>
      <c r="J29563" s="12"/>
      <c r="K29563" s="12"/>
      <c r="L29563" s="12"/>
      <c r="M29563" s="11"/>
      <c r="N29563" s="11"/>
      <c r="O29563" s="11"/>
      <c r="P29563" s="11"/>
    </row>
    <row r="29564" spans="8:16" x14ac:dyDescent="0.25">
      <c r="H29564" s="12"/>
      <c r="I29564" s="12"/>
      <c r="J29564" s="12"/>
      <c r="K29564" s="12"/>
      <c r="L29564" s="12"/>
      <c r="M29564" s="11"/>
      <c r="N29564" s="11"/>
      <c r="O29564" s="11"/>
      <c r="P29564" s="11"/>
    </row>
    <row r="29565" spans="8:16" x14ac:dyDescent="0.25">
      <c r="H29565" s="12"/>
      <c r="I29565" s="12"/>
      <c r="J29565" s="12"/>
      <c r="K29565" s="12"/>
      <c r="L29565" s="12"/>
      <c r="M29565" s="11"/>
      <c r="N29565" s="11"/>
      <c r="O29565" s="11"/>
      <c r="P29565" s="11"/>
    </row>
    <row r="29566" spans="8:16" x14ac:dyDescent="0.25">
      <c r="H29566" s="12"/>
      <c r="I29566" s="12"/>
      <c r="J29566" s="12"/>
      <c r="K29566" s="12"/>
      <c r="L29566" s="12"/>
      <c r="M29566" s="11"/>
      <c r="N29566" s="11"/>
      <c r="O29566" s="11"/>
      <c r="P29566" s="11"/>
    </row>
    <row r="29567" spans="8:16" x14ac:dyDescent="0.25">
      <c r="H29567" s="12"/>
      <c r="I29567" s="12"/>
      <c r="J29567" s="12"/>
      <c r="K29567" s="12"/>
      <c r="L29567" s="12"/>
      <c r="M29567" s="11"/>
      <c r="N29567" s="11"/>
      <c r="O29567" s="11"/>
      <c r="P29567" s="11"/>
    </row>
    <row r="29568" spans="8:16" x14ac:dyDescent="0.25">
      <c r="H29568" s="12"/>
      <c r="I29568" s="12"/>
      <c r="J29568" s="12"/>
      <c r="K29568" s="12"/>
      <c r="L29568" s="12"/>
      <c r="M29568" s="11"/>
      <c r="N29568" s="11"/>
      <c r="O29568" s="11"/>
      <c r="P29568" s="11"/>
    </row>
    <row r="29569" spans="8:16" x14ac:dyDescent="0.25">
      <c r="H29569" s="12"/>
      <c r="I29569" s="12"/>
      <c r="J29569" s="12"/>
      <c r="K29569" s="12"/>
      <c r="L29569" s="12"/>
      <c r="M29569" s="11"/>
      <c r="N29569" s="11"/>
      <c r="O29569" s="11"/>
      <c r="P29569" s="11"/>
    </row>
    <row r="29570" spans="8:16" x14ac:dyDescent="0.25">
      <c r="H29570" s="12"/>
      <c r="I29570" s="12"/>
      <c r="J29570" s="12"/>
      <c r="K29570" s="12"/>
      <c r="L29570" s="12"/>
      <c r="M29570" s="11"/>
      <c r="N29570" s="11"/>
      <c r="O29570" s="11"/>
      <c r="P29570" s="11"/>
    </row>
    <row r="29571" spans="8:16" x14ac:dyDescent="0.25">
      <c r="H29571" s="12"/>
      <c r="I29571" s="12"/>
      <c r="J29571" s="12"/>
      <c r="K29571" s="12"/>
      <c r="L29571" s="12"/>
      <c r="M29571" s="11"/>
      <c r="N29571" s="11"/>
      <c r="O29571" s="11"/>
      <c r="P29571" s="11"/>
    </row>
    <row r="29572" spans="8:16" x14ac:dyDescent="0.25">
      <c r="H29572" s="12"/>
      <c r="I29572" s="12"/>
      <c r="J29572" s="12"/>
      <c r="K29572" s="12"/>
      <c r="L29572" s="12"/>
      <c r="M29572" s="11"/>
      <c r="N29572" s="11"/>
      <c r="O29572" s="11"/>
      <c r="P29572" s="11"/>
    </row>
    <row r="29573" spans="8:16" x14ac:dyDescent="0.25">
      <c r="H29573" s="12"/>
      <c r="I29573" s="12"/>
      <c r="J29573" s="12"/>
      <c r="K29573" s="12"/>
      <c r="L29573" s="12"/>
      <c r="M29573" s="11"/>
      <c r="N29573" s="11"/>
      <c r="O29573" s="11"/>
      <c r="P29573" s="11"/>
    </row>
    <row r="29574" spans="8:16" x14ac:dyDescent="0.25">
      <c r="H29574" s="12"/>
      <c r="I29574" s="12"/>
      <c r="J29574" s="12"/>
      <c r="K29574" s="12"/>
      <c r="L29574" s="12"/>
      <c r="M29574" s="11"/>
      <c r="N29574" s="11"/>
      <c r="O29574" s="11"/>
      <c r="P29574" s="11"/>
    </row>
    <row r="29575" spans="8:16" x14ac:dyDescent="0.25">
      <c r="H29575" s="12"/>
      <c r="I29575" s="12"/>
      <c r="J29575" s="12"/>
      <c r="K29575" s="12"/>
      <c r="L29575" s="12"/>
      <c r="M29575" s="11"/>
      <c r="N29575" s="11"/>
      <c r="O29575" s="11"/>
      <c r="P29575" s="11"/>
    </row>
    <row r="29576" spans="8:16" x14ac:dyDescent="0.25">
      <c r="H29576" s="12"/>
      <c r="I29576" s="12"/>
      <c r="J29576" s="12"/>
      <c r="K29576" s="12"/>
      <c r="L29576" s="12"/>
      <c r="M29576" s="11"/>
      <c r="N29576" s="11"/>
      <c r="O29576" s="11"/>
      <c r="P29576" s="11"/>
    </row>
    <row r="29577" spans="8:16" x14ac:dyDescent="0.25">
      <c r="H29577" s="12"/>
      <c r="I29577" s="12"/>
      <c r="J29577" s="12"/>
      <c r="K29577" s="12"/>
      <c r="L29577" s="12"/>
      <c r="M29577" s="11"/>
      <c r="N29577" s="11"/>
      <c r="O29577" s="11"/>
      <c r="P29577" s="11"/>
    </row>
    <row r="29578" spans="8:16" x14ac:dyDescent="0.25">
      <c r="H29578" s="12"/>
      <c r="I29578" s="12"/>
      <c r="J29578" s="12"/>
      <c r="K29578" s="12"/>
      <c r="L29578" s="12"/>
      <c r="M29578" s="11"/>
      <c r="N29578" s="11"/>
      <c r="O29578" s="11"/>
      <c r="P29578" s="11"/>
    </row>
    <row r="29579" spans="8:16" x14ac:dyDescent="0.25">
      <c r="H29579" s="12"/>
      <c r="I29579" s="12"/>
      <c r="J29579" s="12"/>
      <c r="K29579" s="12"/>
      <c r="L29579" s="12"/>
      <c r="M29579" s="11"/>
      <c r="N29579" s="11"/>
      <c r="O29579" s="11"/>
      <c r="P29579" s="11"/>
    </row>
    <row r="29580" spans="8:16" x14ac:dyDescent="0.25">
      <c r="H29580" s="12"/>
      <c r="I29580" s="12"/>
      <c r="J29580" s="12"/>
      <c r="K29580" s="12"/>
      <c r="L29580" s="12"/>
      <c r="M29580" s="11"/>
      <c r="N29580" s="11"/>
      <c r="O29580" s="11"/>
      <c r="P29580" s="11"/>
    </row>
    <row r="29581" spans="8:16" x14ac:dyDescent="0.25">
      <c r="H29581" s="12"/>
      <c r="I29581" s="12"/>
      <c r="J29581" s="12"/>
      <c r="K29581" s="12"/>
      <c r="L29581" s="12"/>
      <c r="M29581" s="11"/>
      <c r="N29581" s="11"/>
      <c r="O29581" s="11"/>
      <c r="P29581" s="11"/>
    </row>
    <row r="29582" spans="8:16" x14ac:dyDescent="0.25">
      <c r="H29582" s="12"/>
      <c r="I29582" s="12"/>
      <c r="J29582" s="12"/>
      <c r="K29582" s="12"/>
      <c r="L29582" s="12"/>
      <c r="M29582" s="11"/>
      <c r="N29582" s="11"/>
      <c r="O29582" s="11"/>
      <c r="P29582" s="11"/>
    </row>
    <row r="29583" spans="8:16" x14ac:dyDescent="0.25">
      <c r="H29583" s="12"/>
      <c r="I29583" s="12"/>
      <c r="J29583" s="12"/>
      <c r="K29583" s="12"/>
      <c r="L29583" s="12"/>
      <c r="M29583" s="11"/>
      <c r="N29583" s="11"/>
      <c r="O29583" s="11"/>
      <c r="P29583" s="11"/>
    </row>
    <row r="29584" spans="8:16" x14ac:dyDescent="0.25">
      <c r="H29584" s="12"/>
      <c r="I29584" s="12"/>
      <c r="J29584" s="12"/>
      <c r="K29584" s="12"/>
      <c r="L29584" s="12"/>
      <c r="M29584" s="11"/>
      <c r="N29584" s="11"/>
      <c r="O29584" s="11"/>
      <c r="P29584" s="11"/>
    </row>
    <row r="29585" spans="8:16" x14ac:dyDescent="0.25">
      <c r="H29585" s="12"/>
      <c r="I29585" s="12"/>
      <c r="J29585" s="12"/>
      <c r="K29585" s="12"/>
      <c r="L29585" s="12"/>
      <c r="M29585" s="11"/>
      <c r="N29585" s="11"/>
      <c r="O29585" s="11"/>
      <c r="P29585" s="11"/>
    </row>
    <row r="29586" spans="8:16" x14ac:dyDescent="0.25">
      <c r="H29586" s="12"/>
      <c r="I29586" s="12"/>
      <c r="J29586" s="12"/>
      <c r="K29586" s="12"/>
      <c r="L29586" s="12"/>
      <c r="M29586" s="11"/>
      <c r="N29586" s="11"/>
      <c r="O29586" s="11"/>
      <c r="P29586" s="11"/>
    </row>
    <row r="29587" spans="8:16" x14ac:dyDescent="0.25">
      <c r="H29587" s="12"/>
      <c r="I29587" s="12"/>
      <c r="J29587" s="12"/>
      <c r="K29587" s="12"/>
      <c r="L29587" s="12"/>
      <c r="M29587" s="11"/>
      <c r="N29587" s="11"/>
      <c r="O29587" s="11"/>
      <c r="P29587" s="11"/>
    </row>
    <row r="29588" spans="8:16" x14ac:dyDescent="0.25">
      <c r="H29588" s="12"/>
      <c r="I29588" s="12"/>
      <c r="J29588" s="12"/>
      <c r="K29588" s="12"/>
      <c r="L29588" s="12"/>
      <c r="M29588" s="11"/>
      <c r="N29588" s="11"/>
      <c r="O29588" s="11"/>
      <c r="P29588" s="11"/>
    </row>
    <row r="29589" spans="8:16" x14ac:dyDescent="0.25">
      <c r="H29589" s="12"/>
      <c r="I29589" s="12"/>
      <c r="J29589" s="12"/>
      <c r="K29589" s="12"/>
      <c r="L29589" s="12"/>
      <c r="M29589" s="11"/>
      <c r="N29589" s="11"/>
      <c r="O29589" s="11"/>
      <c r="P29589" s="11"/>
    </row>
    <row r="29590" spans="8:16" x14ac:dyDescent="0.25">
      <c r="H29590" s="12"/>
      <c r="I29590" s="12"/>
      <c r="J29590" s="12"/>
      <c r="K29590" s="12"/>
      <c r="L29590" s="12"/>
      <c r="M29590" s="11"/>
      <c r="N29590" s="11"/>
      <c r="O29590" s="11"/>
      <c r="P29590" s="11"/>
    </row>
    <row r="29591" spans="8:16" x14ac:dyDescent="0.25">
      <c r="H29591" s="12"/>
      <c r="I29591" s="12"/>
      <c r="J29591" s="12"/>
      <c r="K29591" s="12"/>
      <c r="L29591" s="12"/>
      <c r="M29591" s="11"/>
      <c r="N29591" s="11"/>
      <c r="O29591" s="11"/>
      <c r="P29591" s="11"/>
    </row>
    <row r="29592" spans="8:16" x14ac:dyDescent="0.25">
      <c r="H29592" s="12"/>
      <c r="I29592" s="12"/>
      <c r="J29592" s="12"/>
      <c r="K29592" s="12"/>
      <c r="L29592" s="12"/>
      <c r="M29592" s="11"/>
      <c r="N29592" s="11"/>
      <c r="O29592" s="11"/>
      <c r="P29592" s="11"/>
    </row>
    <row r="29593" spans="8:16" x14ac:dyDescent="0.25">
      <c r="H29593" s="12"/>
      <c r="I29593" s="12"/>
      <c r="J29593" s="12"/>
      <c r="K29593" s="12"/>
      <c r="L29593" s="12"/>
      <c r="M29593" s="11"/>
      <c r="N29593" s="11"/>
      <c r="O29593" s="11"/>
      <c r="P29593" s="11"/>
    </row>
    <row r="29594" spans="8:16" x14ac:dyDescent="0.25">
      <c r="H29594" s="12"/>
      <c r="I29594" s="12"/>
      <c r="J29594" s="12"/>
      <c r="K29594" s="12"/>
      <c r="L29594" s="12"/>
      <c r="M29594" s="11"/>
      <c r="N29594" s="11"/>
      <c r="O29594" s="11"/>
      <c r="P29594" s="11"/>
    </row>
    <row r="29595" spans="8:16" x14ac:dyDescent="0.25">
      <c r="H29595" s="12"/>
      <c r="I29595" s="12"/>
      <c r="J29595" s="12"/>
      <c r="K29595" s="12"/>
      <c r="L29595" s="12"/>
      <c r="M29595" s="11"/>
      <c r="N29595" s="11"/>
      <c r="O29595" s="11"/>
      <c r="P29595" s="11"/>
    </row>
    <row r="29596" spans="8:16" x14ac:dyDescent="0.25">
      <c r="H29596" s="12"/>
      <c r="I29596" s="12"/>
      <c r="J29596" s="12"/>
      <c r="K29596" s="12"/>
      <c r="L29596" s="12"/>
      <c r="M29596" s="11"/>
      <c r="N29596" s="11"/>
      <c r="O29596" s="11"/>
      <c r="P29596" s="11"/>
    </row>
    <row r="29597" spans="8:16" x14ac:dyDescent="0.25">
      <c r="H29597" s="12"/>
      <c r="I29597" s="12"/>
      <c r="J29597" s="12"/>
      <c r="K29597" s="12"/>
      <c r="L29597" s="12"/>
      <c r="M29597" s="11"/>
      <c r="N29597" s="11"/>
      <c r="O29597" s="11"/>
      <c r="P29597" s="11"/>
    </row>
    <row r="29598" spans="8:16" x14ac:dyDescent="0.25">
      <c r="H29598" s="12"/>
      <c r="I29598" s="12"/>
      <c r="J29598" s="12"/>
      <c r="K29598" s="12"/>
      <c r="L29598" s="12"/>
      <c r="M29598" s="11"/>
      <c r="N29598" s="11"/>
      <c r="O29598" s="11"/>
      <c r="P29598" s="11"/>
    </row>
    <row r="29599" spans="8:16" x14ac:dyDescent="0.25">
      <c r="H29599" s="12"/>
      <c r="I29599" s="12"/>
      <c r="J29599" s="12"/>
      <c r="K29599" s="12"/>
      <c r="L29599" s="12"/>
      <c r="M29599" s="11"/>
      <c r="N29599" s="11"/>
      <c r="O29599" s="11"/>
      <c r="P29599" s="11"/>
    </row>
    <row r="29600" spans="8:16" x14ac:dyDescent="0.25">
      <c r="H29600" s="12"/>
      <c r="I29600" s="12"/>
      <c r="J29600" s="12"/>
      <c r="K29600" s="12"/>
      <c r="L29600" s="12"/>
      <c r="M29600" s="11"/>
      <c r="N29600" s="11"/>
      <c r="O29600" s="11"/>
      <c r="P29600" s="11"/>
    </row>
    <row r="29601" spans="8:16" x14ac:dyDescent="0.25">
      <c r="H29601" s="12"/>
      <c r="I29601" s="12"/>
      <c r="J29601" s="12"/>
      <c r="K29601" s="12"/>
      <c r="L29601" s="12"/>
      <c r="M29601" s="11"/>
      <c r="N29601" s="11"/>
      <c r="O29601" s="11"/>
      <c r="P29601" s="11"/>
    </row>
    <row r="29602" spans="8:16" x14ac:dyDescent="0.25">
      <c r="H29602" s="12"/>
      <c r="I29602" s="12"/>
      <c r="J29602" s="12"/>
      <c r="K29602" s="12"/>
      <c r="L29602" s="12"/>
      <c r="M29602" s="11"/>
      <c r="N29602" s="11"/>
      <c r="O29602" s="11"/>
      <c r="P29602" s="11"/>
    </row>
    <row r="29603" spans="8:16" x14ac:dyDescent="0.25">
      <c r="H29603" s="12"/>
      <c r="I29603" s="12"/>
      <c r="J29603" s="12"/>
      <c r="K29603" s="12"/>
      <c r="L29603" s="12"/>
      <c r="M29603" s="11"/>
      <c r="N29603" s="11"/>
      <c r="O29603" s="11"/>
      <c r="P29603" s="11"/>
    </row>
    <row r="29604" spans="8:16" x14ac:dyDescent="0.25">
      <c r="H29604" s="12"/>
      <c r="I29604" s="12"/>
      <c r="J29604" s="12"/>
      <c r="K29604" s="12"/>
      <c r="L29604" s="12"/>
      <c r="M29604" s="11"/>
      <c r="N29604" s="11"/>
      <c r="O29604" s="11"/>
      <c r="P29604" s="11"/>
    </row>
    <row r="29605" spans="8:16" x14ac:dyDescent="0.25">
      <c r="H29605" s="12"/>
      <c r="I29605" s="12"/>
      <c r="J29605" s="12"/>
      <c r="K29605" s="12"/>
      <c r="L29605" s="12"/>
      <c r="M29605" s="11"/>
      <c r="N29605" s="11"/>
      <c r="O29605" s="11"/>
      <c r="P29605" s="11"/>
    </row>
    <row r="29606" spans="8:16" x14ac:dyDescent="0.25">
      <c r="H29606" s="12"/>
      <c r="I29606" s="12"/>
      <c r="J29606" s="12"/>
      <c r="K29606" s="12"/>
      <c r="L29606" s="12"/>
      <c r="M29606" s="11"/>
      <c r="N29606" s="11"/>
      <c r="O29606" s="11"/>
      <c r="P29606" s="11"/>
    </row>
    <row r="29607" spans="8:16" x14ac:dyDescent="0.25">
      <c r="H29607" s="12"/>
      <c r="I29607" s="12"/>
      <c r="J29607" s="12"/>
      <c r="K29607" s="12"/>
      <c r="L29607" s="12"/>
      <c r="M29607" s="11"/>
      <c r="N29607" s="11"/>
      <c r="O29607" s="11"/>
      <c r="P29607" s="11"/>
    </row>
    <row r="29608" spans="8:16" x14ac:dyDescent="0.25">
      <c r="H29608" s="12"/>
      <c r="I29608" s="12"/>
      <c r="J29608" s="12"/>
      <c r="K29608" s="12"/>
      <c r="L29608" s="12"/>
      <c r="M29608" s="11"/>
      <c r="N29608" s="11"/>
      <c r="O29608" s="11"/>
      <c r="P29608" s="11"/>
    </row>
    <row r="29609" spans="8:16" x14ac:dyDescent="0.25">
      <c r="H29609" s="12"/>
      <c r="I29609" s="12"/>
      <c r="J29609" s="12"/>
      <c r="K29609" s="12"/>
      <c r="L29609" s="12"/>
      <c r="M29609" s="11"/>
      <c r="N29609" s="11"/>
      <c r="O29609" s="11"/>
      <c r="P29609" s="11"/>
    </row>
    <row r="29610" spans="8:16" x14ac:dyDescent="0.25">
      <c r="H29610" s="12"/>
      <c r="I29610" s="12"/>
      <c r="J29610" s="12"/>
      <c r="K29610" s="12"/>
      <c r="L29610" s="12"/>
      <c r="M29610" s="11"/>
      <c r="N29610" s="11"/>
      <c r="O29610" s="11"/>
      <c r="P29610" s="11"/>
    </row>
    <row r="29611" spans="8:16" x14ac:dyDescent="0.25">
      <c r="H29611" s="12"/>
      <c r="I29611" s="12"/>
      <c r="J29611" s="12"/>
      <c r="K29611" s="12"/>
      <c r="L29611" s="12"/>
      <c r="M29611" s="11"/>
      <c r="N29611" s="11"/>
      <c r="O29611" s="11"/>
      <c r="P29611" s="11"/>
    </row>
    <row r="29612" spans="8:16" x14ac:dyDescent="0.25">
      <c r="H29612" s="12"/>
      <c r="I29612" s="12"/>
      <c r="J29612" s="12"/>
      <c r="K29612" s="12"/>
      <c r="L29612" s="12"/>
      <c r="M29612" s="11"/>
      <c r="N29612" s="11"/>
      <c r="O29612" s="11"/>
      <c r="P29612" s="11"/>
    </row>
    <row r="29613" spans="8:16" x14ac:dyDescent="0.25">
      <c r="H29613" s="12"/>
      <c r="I29613" s="12"/>
      <c r="J29613" s="12"/>
      <c r="K29613" s="12"/>
      <c r="L29613" s="12"/>
      <c r="M29613" s="11"/>
      <c r="N29613" s="11"/>
      <c r="O29613" s="11"/>
      <c r="P29613" s="11"/>
    </row>
    <row r="29614" spans="8:16" x14ac:dyDescent="0.25">
      <c r="H29614" s="12"/>
      <c r="I29614" s="12"/>
      <c r="J29614" s="12"/>
      <c r="K29614" s="12"/>
      <c r="L29614" s="12"/>
      <c r="M29614" s="11"/>
      <c r="N29614" s="11"/>
      <c r="O29614" s="11"/>
      <c r="P29614" s="11"/>
    </row>
    <row r="29615" spans="8:16" x14ac:dyDescent="0.25">
      <c r="H29615" s="12"/>
      <c r="I29615" s="12"/>
      <c r="J29615" s="12"/>
      <c r="K29615" s="12"/>
      <c r="L29615" s="12"/>
      <c r="M29615" s="11"/>
      <c r="N29615" s="11"/>
      <c r="O29615" s="11"/>
      <c r="P29615" s="11"/>
    </row>
    <row r="29616" spans="8:16" x14ac:dyDescent="0.25">
      <c r="H29616" s="12"/>
      <c r="I29616" s="12"/>
      <c r="J29616" s="12"/>
      <c r="K29616" s="12"/>
      <c r="L29616" s="12"/>
      <c r="M29616" s="11"/>
      <c r="N29616" s="11"/>
      <c r="O29616" s="11"/>
      <c r="P29616" s="11"/>
    </row>
    <row r="29617" spans="8:16" x14ac:dyDescent="0.25">
      <c r="H29617" s="12"/>
      <c r="I29617" s="12"/>
      <c r="J29617" s="12"/>
      <c r="K29617" s="12"/>
      <c r="L29617" s="12"/>
      <c r="M29617" s="11"/>
      <c r="N29617" s="11"/>
      <c r="O29617" s="11"/>
      <c r="P29617" s="11"/>
    </row>
    <row r="29618" spans="8:16" x14ac:dyDescent="0.25">
      <c r="H29618" s="12"/>
      <c r="I29618" s="12"/>
      <c r="J29618" s="12"/>
      <c r="K29618" s="12"/>
      <c r="L29618" s="12"/>
      <c r="M29618" s="11"/>
      <c r="N29618" s="11"/>
      <c r="O29618" s="11"/>
      <c r="P29618" s="11"/>
    </row>
    <row r="29619" spans="8:16" x14ac:dyDescent="0.25">
      <c r="H29619" s="12"/>
      <c r="I29619" s="12"/>
      <c r="J29619" s="12"/>
      <c r="K29619" s="12"/>
      <c r="L29619" s="12"/>
      <c r="M29619" s="11"/>
      <c r="N29619" s="11"/>
      <c r="O29619" s="11"/>
      <c r="P29619" s="11"/>
    </row>
    <row r="29620" spans="8:16" x14ac:dyDescent="0.25">
      <c r="H29620" s="12"/>
      <c r="I29620" s="12"/>
      <c r="J29620" s="12"/>
      <c r="K29620" s="12"/>
      <c r="L29620" s="12"/>
      <c r="M29620" s="11"/>
      <c r="N29620" s="11"/>
      <c r="O29620" s="11"/>
      <c r="P29620" s="11"/>
    </row>
    <row r="29621" spans="8:16" x14ac:dyDescent="0.25">
      <c r="H29621" s="12"/>
      <c r="I29621" s="12"/>
      <c r="J29621" s="12"/>
      <c r="K29621" s="12"/>
      <c r="L29621" s="12"/>
      <c r="M29621" s="11"/>
      <c r="N29621" s="11"/>
      <c r="O29621" s="11"/>
      <c r="P29621" s="11"/>
    </row>
    <row r="29622" spans="8:16" x14ac:dyDescent="0.25">
      <c r="H29622" s="12"/>
      <c r="I29622" s="12"/>
      <c r="J29622" s="12"/>
      <c r="K29622" s="12"/>
      <c r="L29622" s="12"/>
      <c r="M29622" s="11"/>
      <c r="N29622" s="11"/>
      <c r="O29622" s="11"/>
      <c r="P29622" s="11"/>
    </row>
    <row r="29623" spans="8:16" x14ac:dyDescent="0.25">
      <c r="H29623" s="12"/>
      <c r="I29623" s="12"/>
      <c r="J29623" s="12"/>
      <c r="K29623" s="12"/>
      <c r="L29623" s="12"/>
      <c r="M29623" s="11"/>
      <c r="N29623" s="11"/>
      <c r="O29623" s="11"/>
      <c r="P29623" s="11"/>
    </row>
    <row r="29624" spans="8:16" x14ac:dyDescent="0.25">
      <c r="H29624" s="12"/>
      <c r="I29624" s="12"/>
      <c r="J29624" s="12"/>
      <c r="K29624" s="12"/>
      <c r="L29624" s="12"/>
      <c r="M29624" s="11"/>
      <c r="N29624" s="11"/>
      <c r="O29624" s="11"/>
      <c r="P29624" s="11"/>
    </row>
    <row r="29625" spans="8:16" x14ac:dyDescent="0.25">
      <c r="H29625" s="12"/>
      <c r="I29625" s="12"/>
      <c r="J29625" s="12"/>
      <c r="K29625" s="12"/>
      <c r="L29625" s="12"/>
      <c r="M29625" s="11"/>
      <c r="N29625" s="11"/>
      <c r="O29625" s="11"/>
      <c r="P29625" s="11"/>
    </row>
    <row r="29626" spans="8:16" x14ac:dyDescent="0.25">
      <c r="H29626" s="12"/>
      <c r="I29626" s="12"/>
      <c r="J29626" s="12"/>
      <c r="K29626" s="12"/>
      <c r="L29626" s="12"/>
      <c r="M29626" s="11"/>
      <c r="N29626" s="11"/>
      <c r="O29626" s="11"/>
      <c r="P29626" s="11"/>
    </row>
    <row r="29627" spans="8:16" x14ac:dyDescent="0.25">
      <c r="H29627" s="12"/>
      <c r="I29627" s="12"/>
      <c r="J29627" s="12"/>
      <c r="K29627" s="12"/>
      <c r="L29627" s="12"/>
      <c r="M29627" s="11"/>
      <c r="N29627" s="11"/>
      <c r="O29627" s="11"/>
      <c r="P29627" s="11"/>
    </row>
    <row r="29628" spans="8:16" x14ac:dyDescent="0.25">
      <c r="H29628" s="12"/>
      <c r="I29628" s="12"/>
      <c r="J29628" s="12"/>
      <c r="K29628" s="12"/>
      <c r="L29628" s="12"/>
      <c r="M29628" s="11"/>
      <c r="N29628" s="11"/>
      <c r="O29628" s="11"/>
      <c r="P29628" s="11"/>
    </row>
    <row r="29629" spans="8:16" x14ac:dyDescent="0.25">
      <c r="H29629" s="12"/>
      <c r="I29629" s="12"/>
      <c r="J29629" s="12"/>
      <c r="K29629" s="12"/>
      <c r="L29629" s="12"/>
      <c r="M29629" s="11"/>
      <c r="N29629" s="11"/>
      <c r="O29629" s="11"/>
      <c r="P29629" s="11"/>
    </row>
    <row r="29630" spans="8:16" x14ac:dyDescent="0.25">
      <c r="H29630" s="12"/>
      <c r="I29630" s="12"/>
      <c r="J29630" s="12"/>
      <c r="K29630" s="12"/>
      <c r="L29630" s="12"/>
      <c r="M29630" s="11"/>
      <c r="N29630" s="11"/>
      <c r="O29630" s="11"/>
      <c r="P29630" s="11"/>
    </row>
    <row r="29631" spans="8:16" x14ac:dyDescent="0.25">
      <c r="H29631" s="12"/>
      <c r="I29631" s="12"/>
      <c r="J29631" s="12"/>
      <c r="K29631" s="12"/>
      <c r="L29631" s="12"/>
      <c r="M29631" s="11"/>
      <c r="N29631" s="11"/>
      <c r="O29631" s="11"/>
      <c r="P29631" s="11"/>
    </row>
    <row r="29632" spans="8:16" x14ac:dyDescent="0.25">
      <c r="H29632" s="12"/>
      <c r="I29632" s="12"/>
      <c r="J29632" s="12"/>
      <c r="K29632" s="12"/>
      <c r="L29632" s="12"/>
      <c r="M29632" s="11"/>
      <c r="N29632" s="11"/>
      <c r="O29632" s="11"/>
      <c r="P29632" s="11"/>
    </row>
    <row r="29633" spans="8:16" x14ac:dyDescent="0.25">
      <c r="H29633" s="12"/>
      <c r="I29633" s="12"/>
      <c r="J29633" s="12"/>
      <c r="K29633" s="12"/>
      <c r="L29633" s="12"/>
      <c r="M29633" s="11"/>
      <c r="N29633" s="11"/>
      <c r="O29633" s="11"/>
      <c r="P29633" s="11"/>
    </row>
    <row r="29634" spans="8:16" x14ac:dyDescent="0.25">
      <c r="H29634" s="12"/>
      <c r="I29634" s="12"/>
      <c r="J29634" s="12"/>
      <c r="K29634" s="12"/>
      <c r="L29634" s="12"/>
      <c r="M29634" s="11"/>
      <c r="N29634" s="11"/>
      <c r="O29634" s="11"/>
      <c r="P29634" s="11"/>
    </row>
    <row r="29635" spans="8:16" x14ac:dyDescent="0.25">
      <c r="H29635" s="12"/>
      <c r="I29635" s="12"/>
      <c r="J29635" s="12"/>
      <c r="K29635" s="12"/>
      <c r="L29635" s="12"/>
      <c r="M29635" s="11"/>
      <c r="N29635" s="11"/>
      <c r="O29635" s="11"/>
      <c r="P29635" s="11"/>
    </row>
    <row r="29636" spans="8:16" x14ac:dyDescent="0.25">
      <c r="H29636" s="12"/>
      <c r="I29636" s="12"/>
      <c r="J29636" s="12"/>
      <c r="K29636" s="12"/>
      <c r="L29636" s="12"/>
      <c r="M29636" s="11"/>
      <c r="N29636" s="11"/>
      <c r="O29636" s="11"/>
      <c r="P29636" s="11"/>
    </row>
    <row r="29637" spans="8:16" x14ac:dyDescent="0.25">
      <c r="H29637" s="12"/>
      <c r="I29637" s="12"/>
      <c r="J29637" s="12"/>
      <c r="K29637" s="12"/>
      <c r="L29637" s="12"/>
      <c r="M29637" s="11"/>
      <c r="N29637" s="11"/>
      <c r="O29637" s="11"/>
      <c r="P29637" s="11"/>
    </row>
    <row r="29638" spans="8:16" x14ac:dyDescent="0.25">
      <c r="H29638" s="12"/>
      <c r="I29638" s="12"/>
      <c r="J29638" s="12"/>
      <c r="K29638" s="12"/>
      <c r="L29638" s="12"/>
      <c r="M29638" s="11"/>
      <c r="N29638" s="11"/>
      <c r="O29638" s="11"/>
      <c r="P29638" s="11"/>
    </row>
    <row r="29639" spans="8:16" x14ac:dyDescent="0.25">
      <c r="H29639" s="12"/>
      <c r="I29639" s="12"/>
      <c r="J29639" s="12"/>
      <c r="K29639" s="12"/>
      <c r="L29639" s="12"/>
      <c r="M29639" s="11"/>
      <c r="N29639" s="11"/>
      <c r="O29639" s="11"/>
      <c r="P29639" s="11"/>
    </row>
    <row r="29640" spans="8:16" x14ac:dyDescent="0.25">
      <c r="H29640" s="12"/>
      <c r="I29640" s="12"/>
      <c r="J29640" s="12"/>
      <c r="K29640" s="12"/>
      <c r="L29640" s="12"/>
      <c r="M29640" s="11"/>
      <c r="N29640" s="11"/>
      <c r="O29640" s="11"/>
      <c r="P29640" s="11"/>
    </row>
    <row r="29641" spans="8:16" x14ac:dyDescent="0.25">
      <c r="H29641" s="12"/>
      <c r="I29641" s="12"/>
      <c r="J29641" s="12"/>
      <c r="K29641" s="12"/>
      <c r="L29641" s="12"/>
      <c r="M29641" s="11"/>
      <c r="N29641" s="11"/>
      <c r="O29641" s="11"/>
      <c r="P29641" s="11"/>
    </row>
    <row r="29642" spans="8:16" x14ac:dyDescent="0.25">
      <c r="H29642" s="12"/>
      <c r="I29642" s="12"/>
      <c r="J29642" s="12"/>
      <c r="K29642" s="12"/>
      <c r="L29642" s="12"/>
      <c r="M29642" s="11"/>
      <c r="N29642" s="11"/>
      <c r="O29642" s="11"/>
      <c r="P29642" s="11"/>
    </row>
    <row r="29643" spans="8:16" x14ac:dyDescent="0.25">
      <c r="H29643" s="12"/>
      <c r="I29643" s="12"/>
      <c r="J29643" s="12"/>
      <c r="K29643" s="12"/>
      <c r="L29643" s="12"/>
      <c r="M29643" s="11"/>
      <c r="N29643" s="11"/>
      <c r="O29643" s="11"/>
      <c r="P29643" s="11"/>
    </row>
    <row r="29644" spans="8:16" x14ac:dyDescent="0.25">
      <c r="H29644" s="12"/>
      <c r="I29644" s="12"/>
      <c r="J29644" s="12"/>
      <c r="K29644" s="12"/>
      <c r="L29644" s="12"/>
      <c r="M29644" s="11"/>
      <c r="N29644" s="11"/>
      <c r="O29644" s="11"/>
      <c r="P29644" s="11"/>
    </row>
    <row r="29645" spans="8:16" x14ac:dyDescent="0.25">
      <c r="H29645" s="12"/>
      <c r="I29645" s="12"/>
      <c r="J29645" s="12"/>
      <c r="K29645" s="12"/>
      <c r="L29645" s="12"/>
      <c r="M29645" s="11"/>
      <c r="N29645" s="11"/>
      <c r="O29645" s="11"/>
      <c r="P29645" s="11"/>
    </row>
    <row r="29646" spans="8:16" x14ac:dyDescent="0.25">
      <c r="H29646" s="12"/>
      <c r="I29646" s="12"/>
      <c r="J29646" s="12"/>
      <c r="K29646" s="12"/>
      <c r="L29646" s="12"/>
      <c r="M29646" s="11"/>
      <c r="N29646" s="11"/>
      <c r="O29646" s="11"/>
      <c r="P29646" s="11"/>
    </row>
    <row r="29647" spans="8:16" x14ac:dyDescent="0.25">
      <c r="H29647" s="12"/>
      <c r="I29647" s="12"/>
      <c r="J29647" s="12"/>
      <c r="K29647" s="12"/>
      <c r="L29647" s="12"/>
      <c r="M29647" s="11"/>
      <c r="N29647" s="11"/>
      <c r="O29647" s="11"/>
      <c r="P29647" s="11"/>
    </row>
    <row r="29648" spans="8:16" x14ac:dyDescent="0.25">
      <c r="H29648" s="12"/>
      <c r="I29648" s="12"/>
      <c r="J29648" s="12"/>
      <c r="K29648" s="12"/>
      <c r="L29648" s="12"/>
      <c r="M29648" s="11"/>
      <c r="N29648" s="11"/>
      <c r="O29648" s="11"/>
      <c r="P29648" s="11"/>
    </row>
    <row r="29649" spans="8:16" x14ac:dyDescent="0.25">
      <c r="H29649" s="12"/>
      <c r="I29649" s="12"/>
      <c r="J29649" s="12"/>
      <c r="K29649" s="12"/>
      <c r="L29649" s="12"/>
      <c r="M29649" s="11"/>
      <c r="N29649" s="11"/>
      <c r="O29649" s="11"/>
      <c r="P29649" s="11"/>
    </row>
    <row r="29650" spans="8:16" x14ac:dyDescent="0.25">
      <c r="H29650" s="12"/>
      <c r="I29650" s="12"/>
      <c r="J29650" s="12"/>
      <c r="K29650" s="12"/>
      <c r="L29650" s="12"/>
      <c r="M29650" s="11"/>
      <c r="N29650" s="11"/>
      <c r="O29650" s="11"/>
      <c r="P29650" s="11"/>
    </row>
    <row r="29651" spans="8:16" x14ac:dyDescent="0.25">
      <c r="H29651" s="12"/>
      <c r="I29651" s="12"/>
      <c r="J29651" s="12"/>
      <c r="K29651" s="12"/>
      <c r="L29651" s="12"/>
      <c r="M29651" s="11"/>
      <c r="N29651" s="11"/>
      <c r="O29651" s="11"/>
      <c r="P29651" s="11"/>
    </row>
    <row r="29652" spans="8:16" x14ac:dyDescent="0.25">
      <c r="H29652" s="12"/>
      <c r="I29652" s="12"/>
      <c r="J29652" s="12"/>
      <c r="K29652" s="12"/>
      <c r="L29652" s="12"/>
      <c r="M29652" s="11"/>
      <c r="N29652" s="11"/>
      <c r="O29652" s="11"/>
      <c r="P29652" s="11"/>
    </row>
    <row r="29653" spans="8:16" x14ac:dyDescent="0.25">
      <c r="H29653" s="12"/>
      <c r="I29653" s="12"/>
      <c r="J29653" s="12"/>
      <c r="K29653" s="12"/>
      <c r="L29653" s="12"/>
      <c r="M29653" s="11"/>
      <c r="N29653" s="11"/>
      <c r="O29653" s="11"/>
      <c r="P29653" s="11"/>
    </row>
    <row r="29654" spans="8:16" x14ac:dyDescent="0.25">
      <c r="H29654" s="12"/>
      <c r="I29654" s="12"/>
      <c r="J29654" s="12"/>
      <c r="K29654" s="12"/>
      <c r="L29654" s="12"/>
      <c r="M29654" s="11"/>
      <c r="N29654" s="11"/>
      <c r="O29654" s="11"/>
      <c r="P29654" s="11"/>
    </row>
    <row r="29655" spans="8:16" x14ac:dyDescent="0.25">
      <c r="H29655" s="12"/>
      <c r="I29655" s="12"/>
      <c r="J29655" s="12"/>
      <c r="K29655" s="12"/>
      <c r="L29655" s="12"/>
      <c r="M29655" s="11"/>
      <c r="N29655" s="11"/>
      <c r="O29655" s="11"/>
      <c r="P29655" s="11"/>
    </row>
    <row r="29656" spans="8:16" x14ac:dyDescent="0.25">
      <c r="H29656" s="12"/>
      <c r="I29656" s="12"/>
      <c r="J29656" s="12"/>
      <c r="K29656" s="12"/>
      <c r="L29656" s="12"/>
      <c r="M29656" s="11"/>
      <c r="N29656" s="11"/>
      <c r="O29656" s="11"/>
      <c r="P29656" s="11"/>
    </row>
    <row r="29657" spans="8:16" x14ac:dyDescent="0.25">
      <c r="H29657" s="12"/>
      <c r="I29657" s="12"/>
      <c r="J29657" s="12"/>
      <c r="K29657" s="12"/>
      <c r="L29657" s="12"/>
      <c r="M29657" s="11"/>
      <c r="N29657" s="11"/>
      <c r="O29657" s="11"/>
      <c r="P29657" s="11"/>
    </row>
    <row r="29658" spans="8:16" x14ac:dyDescent="0.25">
      <c r="H29658" s="12"/>
      <c r="I29658" s="12"/>
      <c r="J29658" s="12"/>
      <c r="K29658" s="12"/>
      <c r="L29658" s="12"/>
      <c r="M29658" s="11"/>
      <c r="N29658" s="11"/>
      <c r="O29658" s="11"/>
      <c r="P29658" s="11"/>
    </row>
    <row r="29659" spans="8:16" x14ac:dyDescent="0.25">
      <c r="H29659" s="12"/>
      <c r="I29659" s="12"/>
      <c r="J29659" s="12"/>
      <c r="K29659" s="12"/>
      <c r="L29659" s="12"/>
      <c r="M29659" s="11"/>
      <c r="N29659" s="11"/>
      <c r="O29659" s="11"/>
      <c r="P29659" s="11"/>
    </row>
    <row r="29660" spans="8:16" x14ac:dyDescent="0.25">
      <c r="H29660" s="12"/>
      <c r="I29660" s="12"/>
      <c r="J29660" s="12"/>
      <c r="K29660" s="12"/>
      <c r="L29660" s="12"/>
      <c r="M29660" s="11"/>
      <c r="N29660" s="11"/>
      <c r="O29660" s="11"/>
      <c r="P29660" s="11"/>
    </row>
    <row r="29661" spans="8:16" x14ac:dyDescent="0.25">
      <c r="H29661" s="12"/>
      <c r="I29661" s="12"/>
      <c r="J29661" s="12"/>
      <c r="K29661" s="12"/>
      <c r="L29661" s="12"/>
      <c r="M29661" s="11"/>
      <c r="N29661" s="11"/>
      <c r="O29661" s="11"/>
      <c r="P29661" s="11"/>
    </row>
    <row r="29662" spans="8:16" x14ac:dyDescent="0.25">
      <c r="H29662" s="12"/>
      <c r="I29662" s="12"/>
      <c r="J29662" s="12"/>
      <c r="K29662" s="12"/>
      <c r="L29662" s="12"/>
      <c r="M29662" s="11"/>
      <c r="N29662" s="11"/>
      <c r="O29662" s="11"/>
      <c r="P29662" s="11"/>
    </row>
    <row r="29663" spans="8:16" x14ac:dyDescent="0.25">
      <c r="H29663" s="12"/>
      <c r="I29663" s="12"/>
      <c r="J29663" s="12"/>
      <c r="K29663" s="12"/>
      <c r="L29663" s="12"/>
      <c r="M29663" s="11"/>
      <c r="N29663" s="11"/>
      <c r="O29663" s="11"/>
      <c r="P29663" s="11"/>
    </row>
    <row r="29664" spans="8:16" x14ac:dyDescent="0.25">
      <c r="H29664" s="12"/>
      <c r="I29664" s="12"/>
      <c r="J29664" s="12"/>
      <c r="K29664" s="12"/>
      <c r="L29664" s="12"/>
      <c r="M29664" s="11"/>
      <c r="N29664" s="11"/>
      <c r="O29664" s="11"/>
      <c r="P29664" s="11"/>
    </row>
    <row r="29665" spans="8:16" x14ac:dyDescent="0.25">
      <c r="H29665" s="12"/>
      <c r="I29665" s="12"/>
      <c r="J29665" s="12"/>
      <c r="K29665" s="12"/>
      <c r="L29665" s="12"/>
      <c r="M29665" s="11"/>
      <c r="N29665" s="11"/>
      <c r="O29665" s="11"/>
      <c r="P29665" s="11"/>
    </row>
    <row r="29666" spans="8:16" x14ac:dyDescent="0.25">
      <c r="H29666" s="12"/>
      <c r="I29666" s="12"/>
      <c r="J29666" s="12"/>
      <c r="K29666" s="12"/>
      <c r="L29666" s="12"/>
      <c r="M29666" s="11"/>
      <c r="N29666" s="11"/>
      <c r="O29666" s="11"/>
      <c r="P29666" s="11"/>
    </row>
    <row r="29667" spans="8:16" x14ac:dyDescent="0.25">
      <c r="H29667" s="12"/>
      <c r="I29667" s="12"/>
      <c r="J29667" s="12"/>
      <c r="K29667" s="12"/>
      <c r="L29667" s="12"/>
      <c r="M29667" s="11"/>
      <c r="N29667" s="11"/>
      <c r="O29667" s="11"/>
      <c r="P29667" s="11"/>
    </row>
    <row r="29668" spans="8:16" x14ac:dyDescent="0.25">
      <c r="H29668" s="12"/>
      <c r="I29668" s="12"/>
      <c r="J29668" s="12"/>
      <c r="K29668" s="12"/>
      <c r="L29668" s="12"/>
      <c r="M29668" s="11"/>
      <c r="N29668" s="11"/>
      <c r="O29668" s="11"/>
      <c r="P29668" s="11"/>
    </row>
    <row r="29669" spans="8:16" x14ac:dyDescent="0.25">
      <c r="H29669" s="12"/>
      <c r="I29669" s="12"/>
      <c r="J29669" s="12"/>
      <c r="K29669" s="12"/>
      <c r="L29669" s="12"/>
      <c r="M29669" s="11"/>
      <c r="N29669" s="11"/>
      <c r="O29669" s="11"/>
      <c r="P29669" s="11"/>
    </row>
    <row r="29670" spans="8:16" x14ac:dyDescent="0.25">
      <c r="H29670" s="12"/>
      <c r="I29670" s="12"/>
      <c r="J29670" s="12"/>
      <c r="K29670" s="12"/>
      <c r="L29670" s="12"/>
      <c r="M29670" s="11"/>
      <c r="N29670" s="11"/>
      <c r="O29670" s="11"/>
      <c r="P29670" s="11"/>
    </row>
    <row r="29671" spans="8:16" x14ac:dyDescent="0.25">
      <c r="H29671" s="12"/>
      <c r="I29671" s="12"/>
      <c r="J29671" s="12"/>
      <c r="K29671" s="12"/>
      <c r="L29671" s="12"/>
      <c r="M29671" s="11"/>
      <c r="N29671" s="11"/>
      <c r="O29671" s="11"/>
      <c r="P29671" s="11"/>
    </row>
    <row r="29672" spans="8:16" x14ac:dyDescent="0.25">
      <c r="H29672" s="12"/>
      <c r="I29672" s="12"/>
      <c r="J29672" s="12"/>
      <c r="K29672" s="12"/>
      <c r="L29672" s="12"/>
      <c r="M29672" s="11"/>
      <c r="N29672" s="11"/>
      <c r="O29672" s="11"/>
      <c r="P29672" s="11"/>
    </row>
    <row r="29673" spans="8:16" x14ac:dyDescent="0.25">
      <c r="H29673" s="12"/>
      <c r="I29673" s="12"/>
      <c r="J29673" s="12"/>
      <c r="K29673" s="12"/>
      <c r="L29673" s="12"/>
      <c r="M29673" s="11"/>
      <c r="N29673" s="11"/>
      <c r="O29673" s="11"/>
      <c r="P29673" s="11"/>
    </row>
    <row r="29674" spans="8:16" x14ac:dyDescent="0.25">
      <c r="H29674" s="12"/>
      <c r="I29674" s="12"/>
      <c r="J29674" s="12"/>
      <c r="K29674" s="12"/>
      <c r="L29674" s="12"/>
      <c r="M29674" s="11"/>
      <c r="N29674" s="11"/>
      <c r="O29674" s="11"/>
      <c r="P29674" s="11"/>
    </row>
    <row r="29675" spans="8:16" x14ac:dyDescent="0.25">
      <c r="H29675" s="12"/>
      <c r="I29675" s="12"/>
      <c r="J29675" s="12"/>
      <c r="K29675" s="12"/>
      <c r="L29675" s="12"/>
      <c r="M29675" s="11"/>
      <c r="N29675" s="11"/>
      <c r="O29675" s="11"/>
      <c r="P29675" s="11"/>
    </row>
    <row r="29676" spans="8:16" x14ac:dyDescent="0.25">
      <c r="H29676" s="12"/>
      <c r="I29676" s="12"/>
      <c r="J29676" s="12"/>
      <c r="K29676" s="12"/>
      <c r="L29676" s="12"/>
      <c r="M29676" s="11"/>
      <c r="N29676" s="11"/>
      <c r="O29676" s="11"/>
      <c r="P29676" s="11"/>
    </row>
    <row r="29677" spans="8:16" x14ac:dyDescent="0.25">
      <c r="H29677" s="12"/>
      <c r="I29677" s="12"/>
      <c r="J29677" s="12"/>
      <c r="K29677" s="12"/>
      <c r="L29677" s="12"/>
      <c r="M29677" s="11"/>
      <c r="N29677" s="11"/>
      <c r="O29677" s="11"/>
      <c r="P29677" s="11"/>
    </row>
    <row r="29678" spans="8:16" x14ac:dyDescent="0.25">
      <c r="H29678" s="12"/>
      <c r="I29678" s="12"/>
      <c r="J29678" s="12"/>
      <c r="K29678" s="12"/>
      <c r="L29678" s="12"/>
      <c r="M29678" s="11"/>
      <c r="N29678" s="11"/>
      <c r="O29678" s="11"/>
      <c r="P29678" s="11"/>
    </row>
    <row r="29679" spans="8:16" x14ac:dyDescent="0.25">
      <c r="H29679" s="12"/>
      <c r="I29679" s="12"/>
      <c r="J29679" s="12"/>
      <c r="K29679" s="12"/>
      <c r="L29679" s="12"/>
      <c r="M29679" s="11"/>
      <c r="N29679" s="11"/>
      <c r="O29679" s="11"/>
      <c r="P29679" s="11"/>
    </row>
    <row r="29680" spans="8:16" x14ac:dyDescent="0.25">
      <c r="H29680" s="12"/>
      <c r="I29680" s="12"/>
      <c r="J29680" s="12"/>
      <c r="K29680" s="12"/>
      <c r="L29680" s="12"/>
      <c r="M29680" s="11"/>
      <c r="N29680" s="11"/>
      <c r="O29680" s="11"/>
      <c r="P29680" s="11"/>
    </row>
    <row r="29681" spans="8:16" x14ac:dyDescent="0.25">
      <c r="H29681" s="12"/>
      <c r="I29681" s="12"/>
      <c r="J29681" s="12"/>
      <c r="K29681" s="12"/>
      <c r="L29681" s="12"/>
      <c r="M29681" s="11"/>
      <c r="N29681" s="11"/>
      <c r="O29681" s="11"/>
      <c r="P29681" s="11"/>
    </row>
    <row r="29682" spans="8:16" x14ac:dyDescent="0.25">
      <c r="H29682" s="12"/>
      <c r="I29682" s="12"/>
      <c r="J29682" s="12"/>
      <c r="K29682" s="12"/>
      <c r="L29682" s="12"/>
      <c r="M29682" s="11"/>
      <c r="N29682" s="11"/>
      <c r="O29682" s="11"/>
      <c r="P29682" s="11"/>
    </row>
    <row r="29683" spans="8:16" x14ac:dyDescent="0.25">
      <c r="H29683" s="12"/>
      <c r="I29683" s="12"/>
      <c r="J29683" s="12"/>
      <c r="K29683" s="12"/>
      <c r="L29683" s="12"/>
      <c r="M29683" s="11"/>
      <c r="N29683" s="11"/>
      <c r="O29683" s="11"/>
      <c r="P29683" s="11"/>
    </row>
    <row r="29684" spans="8:16" x14ac:dyDescent="0.25">
      <c r="H29684" s="12"/>
      <c r="I29684" s="12"/>
      <c r="J29684" s="12"/>
      <c r="K29684" s="12"/>
      <c r="L29684" s="12"/>
      <c r="M29684" s="11"/>
      <c r="N29684" s="11"/>
      <c r="O29684" s="11"/>
      <c r="P29684" s="11"/>
    </row>
    <row r="29685" spans="8:16" x14ac:dyDescent="0.25">
      <c r="H29685" s="12"/>
      <c r="I29685" s="12"/>
      <c r="J29685" s="12"/>
      <c r="K29685" s="12"/>
      <c r="L29685" s="12"/>
      <c r="M29685" s="11"/>
      <c r="N29685" s="11"/>
      <c r="O29685" s="11"/>
      <c r="P29685" s="11"/>
    </row>
    <row r="29686" spans="8:16" x14ac:dyDescent="0.25">
      <c r="H29686" s="12"/>
      <c r="I29686" s="12"/>
      <c r="J29686" s="12"/>
      <c r="K29686" s="12"/>
      <c r="L29686" s="12"/>
      <c r="M29686" s="11"/>
      <c r="N29686" s="11"/>
      <c r="O29686" s="11"/>
      <c r="P29686" s="11"/>
    </row>
    <row r="29687" spans="8:16" x14ac:dyDescent="0.25">
      <c r="H29687" s="12"/>
      <c r="I29687" s="12"/>
      <c r="J29687" s="12"/>
      <c r="K29687" s="12"/>
      <c r="L29687" s="12"/>
      <c r="M29687" s="11"/>
      <c r="N29687" s="11"/>
      <c r="O29687" s="11"/>
      <c r="P29687" s="11"/>
    </row>
    <row r="29688" spans="8:16" x14ac:dyDescent="0.25">
      <c r="H29688" s="12"/>
      <c r="I29688" s="12"/>
      <c r="J29688" s="12"/>
      <c r="K29688" s="12"/>
      <c r="L29688" s="12"/>
      <c r="M29688" s="11"/>
      <c r="N29688" s="11"/>
      <c r="O29688" s="11"/>
      <c r="P29688" s="11"/>
    </row>
    <row r="29689" spans="8:16" x14ac:dyDescent="0.25">
      <c r="H29689" s="12"/>
      <c r="I29689" s="12"/>
      <c r="J29689" s="12"/>
      <c r="K29689" s="12"/>
      <c r="L29689" s="12"/>
      <c r="M29689" s="11"/>
      <c r="N29689" s="11"/>
      <c r="O29689" s="11"/>
      <c r="P29689" s="11"/>
    </row>
    <row r="29690" spans="8:16" x14ac:dyDescent="0.25">
      <c r="H29690" s="12"/>
      <c r="I29690" s="12"/>
      <c r="J29690" s="12"/>
      <c r="K29690" s="12"/>
      <c r="L29690" s="12"/>
      <c r="M29690" s="11"/>
      <c r="N29690" s="11"/>
      <c r="O29690" s="11"/>
      <c r="P29690" s="11"/>
    </row>
    <row r="29691" spans="8:16" x14ac:dyDescent="0.25">
      <c r="H29691" s="12"/>
      <c r="I29691" s="12"/>
      <c r="J29691" s="12"/>
      <c r="K29691" s="12"/>
      <c r="L29691" s="12"/>
      <c r="M29691" s="11"/>
      <c r="N29691" s="11"/>
      <c r="O29691" s="11"/>
      <c r="P29691" s="11"/>
    </row>
    <row r="29692" spans="8:16" x14ac:dyDescent="0.25">
      <c r="H29692" s="12"/>
      <c r="I29692" s="12"/>
      <c r="J29692" s="12"/>
      <c r="K29692" s="12"/>
      <c r="L29692" s="12"/>
      <c r="M29692" s="11"/>
      <c r="N29692" s="11"/>
      <c r="O29692" s="11"/>
      <c r="P29692" s="11"/>
    </row>
    <row r="29693" spans="8:16" x14ac:dyDescent="0.25">
      <c r="H29693" s="12"/>
      <c r="I29693" s="12"/>
      <c r="J29693" s="12"/>
      <c r="K29693" s="12"/>
      <c r="L29693" s="12"/>
      <c r="M29693" s="11"/>
      <c r="N29693" s="11"/>
      <c r="O29693" s="11"/>
      <c r="P29693" s="11"/>
    </row>
    <row r="29694" spans="8:16" x14ac:dyDescent="0.25">
      <c r="H29694" s="12"/>
      <c r="I29694" s="12"/>
      <c r="J29694" s="12"/>
      <c r="K29694" s="12"/>
      <c r="L29694" s="12"/>
      <c r="M29694" s="11"/>
      <c r="N29694" s="11"/>
      <c r="O29694" s="11"/>
      <c r="P29694" s="11"/>
    </row>
    <row r="29695" spans="8:16" x14ac:dyDescent="0.25">
      <c r="H29695" s="12"/>
      <c r="I29695" s="12"/>
      <c r="J29695" s="12"/>
      <c r="K29695" s="12"/>
      <c r="L29695" s="12"/>
      <c r="M29695" s="11"/>
      <c r="N29695" s="11"/>
      <c r="O29695" s="11"/>
      <c r="P29695" s="11"/>
    </row>
    <row r="29696" spans="8:16" x14ac:dyDescent="0.25">
      <c r="H29696" s="12"/>
      <c r="I29696" s="12"/>
      <c r="J29696" s="12"/>
      <c r="K29696" s="12"/>
      <c r="L29696" s="12"/>
      <c r="M29696" s="11"/>
      <c r="N29696" s="11"/>
      <c r="O29696" s="11"/>
      <c r="P29696" s="11"/>
    </row>
    <row r="29697" spans="8:16" x14ac:dyDescent="0.25">
      <c r="H29697" s="12"/>
      <c r="I29697" s="12"/>
      <c r="J29697" s="12"/>
      <c r="K29697" s="12"/>
      <c r="L29697" s="12"/>
      <c r="M29697" s="11"/>
      <c r="N29697" s="11"/>
      <c r="O29697" s="11"/>
      <c r="P29697" s="11"/>
    </row>
    <row r="29698" spans="8:16" x14ac:dyDescent="0.25">
      <c r="H29698" s="12"/>
      <c r="I29698" s="12"/>
      <c r="J29698" s="12"/>
      <c r="K29698" s="12"/>
      <c r="L29698" s="12"/>
      <c r="M29698" s="11"/>
      <c r="N29698" s="11"/>
      <c r="O29698" s="11"/>
      <c r="P29698" s="11"/>
    </row>
    <row r="29699" spans="8:16" x14ac:dyDescent="0.25">
      <c r="H29699" s="12"/>
      <c r="I29699" s="12"/>
      <c r="J29699" s="12"/>
      <c r="K29699" s="12"/>
      <c r="L29699" s="12"/>
      <c r="M29699" s="11"/>
      <c r="N29699" s="11"/>
      <c r="O29699" s="11"/>
      <c r="P29699" s="11"/>
    </row>
    <row r="29700" spans="8:16" x14ac:dyDescent="0.25">
      <c r="H29700" s="12"/>
      <c r="I29700" s="12"/>
      <c r="J29700" s="12"/>
      <c r="K29700" s="12"/>
      <c r="L29700" s="12"/>
      <c r="M29700" s="11"/>
      <c r="N29700" s="11"/>
      <c r="O29700" s="11"/>
      <c r="P29700" s="11"/>
    </row>
    <row r="29701" spans="8:16" x14ac:dyDescent="0.25">
      <c r="H29701" s="12"/>
      <c r="I29701" s="12"/>
      <c r="J29701" s="12"/>
      <c r="K29701" s="12"/>
      <c r="L29701" s="12"/>
      <c r="M29701" s="11"/>
      <c r="N29701" s="11"/>
      <c r="O29701" s="11"/>
      <c r="P29701" s="11"/>
    </row>
    <row r="29702" spans="8:16" x14ac:dyDescent="0.25">
      <c r="H29702" s="12"/>
      <c r="I29702" s="12"/>
      <c r="J29702" s="12"/>
      <c r="K29702" s="12"/>
      <c r="L29702" s="12"/>
      <c r="M29702" s="11"/>
      <c r="N29702" s="11"/>
      <c r="O29702" s="11"/>
      <c r="P29702" s="11"/>
    </row>
    <row r="29703" spans="8:16" x14ac:dyDescent="0.25">
      <c r="H29703" s="12"/>
      <c r="I29703" s="12"/>
      <c r="J29703" s="12"/>
      <c r="K29703" s="12"/>
      <c r="L29703" s="12"/>
      <c r="M29703" s="11"/>
      <c r="N29703" s="11"/>
      <c r="O29703" s="11"/>
      <c r="P29703" s="11"/>
    </row>
    <row r="29704" spans="8:16" x14ac:dyDescent="0.25">
      <c r="H29704" s="12"/>
      <c r="I29704" s="12"/>
      <c r="J29704" s="12"/>
      <c r="K29704" s="12"/>
      <c r="L29704" s="12"/>
      <c r="M29704" s="11"/>
      <c r="N29704" s="11"/>
      <c r="O29704" s="11"/>
      <c r="P29704" s="11"/>
    </row>
    <row r="29705" spans="8:16" x14ac:dyDescent="0.25">
      <c r="H29705" s="12"/>
      <c r="I29705" s="12"/>
      <c r="J29705" s="12"/>
      <c r="K29705" s="12"/>
      <c r="L29705" s="12"/>
      <c r="M29705" s="11"/>
      <c r="N29705" s="11"/>
      <c r="O29705" s="11"/>
      <c r="P29705" s="11"/>
    </row>
    <row r="29706" spans="8:16" x14ac:dyDescent="0.25">
      <c r="H29706" s="12"/>
      <c r="I29706" s="12"/>
      <c r="J29706" s="12"/>
      <c r="K29706" s="12"/>
      <c r="L29706" s="12"/>
      <c r="M29706" s="11"/>
      <c r="N29706" s="11"/>
      <c r="O29706" s="11"/>
      <c r="P29706" s="11"/>
    </row>
    <row r="29707" spans="8:16" x14ac:dyDescent="0.25">
      <c r="H29707" s="12"/>
      <c r="I29707" s="12"/>
      <c r="J29707" s="12"/>
      <c r="K29707" s="12"/>
      <c r="L29707" s="12"/>
      <c r="M29707" s="11"/>
      <c r="N29707" s="11"/>
      <c r="O29707" s="11"/>
      <c r="P29707" s="11"/>
    </row>
    <row r="29708" spans="8:16" x14ac:dyDescent="0.25">
      <c r="H29708" s="12"/>
      <c r="I29708" s="12"/>
      <c r="J29708" s="12"/>
      <c r="K29708" s="12"/>
      <c r="L29708" s="12"/>
      <c r="M29708" s="11"/>
      <c r="N29708" s="11"/>
      <c r="O29708" s="11"/>
      <c r="P29708" s="11"/>
    </row>
    <row r="29709" spans="8:16" x14ac:dyDescent="0.25">
      <c r="H29709" s="12"/>
      <c r="I29709" s="12"/>
      <c r="J29709" s="12"/>
      <c r="K29709" s="12"/>
      <c r="L29709" s="12"/>
      <c r="M29709" s="11"/>
      <c r="N29709" s="11"/>
      <c r="O29709" s="11"/>
      <c r="P29709" s="11"/>
    </row>
    <row r="29710" spans="8:16" x14ac:dyDescent="0.25">
      <c r="H29710" s="12"/>
      <c r="I29710" s="12"/>
      <c r="J29710" s="12"/>
      <c r="K29710" s="12"/>
      <c r="L29710" s="12"/>
      <c r="M29710" s="11"/>
      <c r="N29710" s="11"/>
      <c r="O29710" s="11"/>
      <c r="P29710" s="11"/>
    </row>
    <row r="29711" spans="8:16" x14ac:dyDescent="0.25">
      <c r="H29711" s="12"/>
      <c r="I29711" s="12"/>
      <c r="J29711" s="12"/>
      <c r="K29711" s="12"/>
      <c r="L29711" s="12"/>
      <c r="M29711" s="11"/>
      <c r="N29711" s="11"/>
      <c r="O29711" s="11"/>
      <c r="P29711" s="11"/>
    </row>
    <row r="29712" spans="8:16" x14ac:dyDescent="0.25">
      <c r="H29712" s="12"/>
      <c r="I29712" s="12"/>
      <c r="J29712" s="12"/>
      <c r="K29712" s="12"/>
      <c r="L29712" s="12"/>
      <c r="M29712" s="11"/>
      <c r="N29712" s="11"/>
      <c r="O29712" s="11"/>
      <c r="P29712" s="11"/>
    </row>
    <row r="29713" spans="8:16" x14ac:dyDescent="0.25">
      <c r="H29713" s="12"/>
      <c r="I29713" s="12"/>
      <c r="J29713" s="12"/>
      <c r="K29713" s="12"/>
      <c r="L29713" s="12"/>
      <c r="M29713" s="11"/>
      <c r="N29713" s="11"/>
      <c r="O29713" s="11"/>
      <c r="P29713" s="11"/>
    </row>
    <row r="29714" spans="8:16" x14ac:dyDescent="0.25">
      <c r="H29714" s="12"/>
      <c r="I29714" s="12"/>
      <c r="J29714" s="12"/>
      <c r="K29714" s="12"/>
      <c r="L29714" s="12"/>
      <c r="M29714" s="11"/>
      <c r="N29714" s="11"/>
      <c r="O29714" s="11"/>
      <c r="P29714" s="11"/>
    </row>
    <row r="29715" spans="8:16" x14ac:dyDescent="0.25">
      <c r="H29715" s="12"/>
      <c r="I29715" s="12"/>
      <c r="J29715" s="12"/>
      <c r="K29715" s="12"/>
      <c r="L29715" s="12"/>
      <c r="M29715" s="11"/>
      <c r="N29715" s="11"/>
      <c r="O29715" s="11"/>
      <c r="P29715" s="11"/>
    </row>
    <row r="29716" spans="8:16" x14ac:dyDescent="0.25">
      <c r="H29716" s="12"/>
      <c r="I29716" s="12"/>
      <c r="J29716" s="12"/>
      <c r="K29716" s="12"/>
      <c r="L29716" s="12"/>
      <c r="M29716" s="11"/>
      <c r="N29716" s="11"/>
      <c r="O29716" s="11"/>
      <c r="P29716" s="11"/>
    </row>
    <row r="29717" spans="8:16" x14ac:dyDescent="0.25">
      <c r="H29717" s="12"/>
      <c r="I29717" s="12"/>
      <c r="J29717" s="12"/>
      <c r="K29717" s="12"/>
      <c r="L29717" s="12"/>
      <c r="M29717" s="11"/>
      <c r="N29717" s="11"/>
      <c r="O29717" s="11"/>
      <c r="P29717" s="11"/>
    </row>
    <row r="29718" spans="8:16" x14ac:dyDescent="0.25">
      <c r="H29718" s="12"/>
      <c r="I29718" s="12"/>
      <c r="J29718" s="12"/>
      <c r="K29718" s="12"/>
      <c r="L29718" s="12"/>
      <c r="M29718" s="11"/>
      <c r="N29718" s="11"/>
      <c r="O29718" s="11"/>
      <c r="P29718" s="11"/>
    </row>
    <row r="29719" spans="8:16" x14ac:dyDescent="0.25">
      <c r="H29719" s="12"/>
      <c r="I29719" s="12"/>
      <c r="J29719" s="12"/>
      <c r="K29719" s="12"/>
      <c r="L29719" s="12"/>
      <c r="M29719" s="11"/>
      <c r="N29719" s="11"/>
      <c r="O29719" s="11"/>
      <c r="P29719" s="11"/>
    </row>
    <row r="29720" spans="8:16" x14ac:dyDescent="0.25">
      <c r="H29720" s="12"/>
      <c r="I29720" s="12"/>
      <c r="J29720" s="12"/>
      <c r="K29720" s="12"/>
      <c r="L29720" s="12"/>
      <c r="M29720" s="11"/>
      <c r="N29720" s="11"/>
      <c r="O29720" s="11"/>
      <c r="P29720" s="11"/>
    </row>
    <row r="29721" spans="8:16" x14ac:dyDescent="0.25">
      <c r="H29721" s="12"/>
      <c r="I29721" s="12"/>
      <c r="J29721" s="12"/>
      <c r="K29721" s="12"/>
      <c r="L29721" s="12"/>
      <c r="M29721" s="11"/>
      <c r="N29721" s="11"/>
      <c r="O29721" s="11"/>
      <c r="P29721" s="11"/>
    </row>
    <row r="29722" spans="8:16" x14ac:dyDescent="0.25">
      <c r="H29722" s="12"/>
      <c r="I29722" s="12"/>
      <c r="J29722" s="12"/>
      <c r="K29722" s="12"/>
      <c r="L29722" s="12"/>
      <c r="M29722" s="11"/>
      <c r="N29722" s="11"/>
      <c r="O29722" s="11"/>
      <c r="P29722" s="11"/>
    </row>
    <row r="29723" spans="8:16" x14ac:dyDescent="0.25">
      <c r="H29723" s="12"/>
      <c r="I29723" s="12"/>
      <c r="J29723" s="12"/>
      <c r="K29723" s="12"/>
      <c r="L29723" s="12"/>
      <c r="M29723" s="11"/>
      <c r="N29723" s="11"/>
      <c r="O29723" s="11"/>
      <c r="P29723" s="11"/>
    </row>
    <row r="29724" spans="8:16" x14ac:dyDescent="0.25">
      <c r="H29724" s="12"/>
      <c r="I29724" s="12"/>
      <c r="J29724" s="12"/>
      <c r="K29724" s="12"/>
      <c r="L29724" s="12"/>
      <c r="M29724" s="11"/>
      <c r="N29724" s="11"/>
      <c r="O29724" s="11"/>
      <c r="P29724" s="11"/>
    </row>
    <row r="29725" spans="8:16" x14ac:dyDescent="0.25">
      <c r="H29725" s="12"/>
      <c r="I29725" s="12"/>
      <c r="J29725" s="12"/>
      <c r="K29725" s="12"/>
      <c r="L29725" s="12"/>
      <c r="M29725" s="11"/>
      <c r="N29725" s="11"/>
      <c r="O29725" s="11"/>
      <c r="P29725" s="11"/>
    </row>
    <row r="29726" spans="8:16" x14ac:dyDescent="0.25">
      <c r="H29726" s="12"/>
      <c r="I29726" s="12"/>
      <c r="J29726" s="12"/>
      <c r="K29726" s="12"/>
      <c r="L29726" s="12"/>
      <c r="M29726" s="11"/>
      <c r="N29726" s="11"/>
      <c r="O29726" s="11"/>
      <c r="P29726" s="11"/>
    </row>
    <row r="29727" spans="8:16" x14ac:dyDescent="0.25">
      <c r="H29727" s="12"/>
      <c r="I29727" s="12"/>
      <c r="J29727" s="12"/>
      <c r="K29727" s="12"/>
      <c r="L29727" s="12"/>
      <c r="M29727" s="11"/>
      <c r="N29727" s="11"/>
      <c r="O29727" s="11"/>
      <c r="P29727" s="11"/>
    </row>
    <row r="29728" spans="8:16" x14ac:dyDescent="0.25">
      <c r="H29728" s="12"/>
      <c r="I29728" s="12"/>
      <c r="J29728" s="12"/>
      <c r="K29728" s="12"/>
      <c r="L29728" s="12"/>
      <c r="M29728" s="11"/>
      <c r="N29728" s="11"/>
      <c r="O29728" s="11"/>
      <c r="P29728" s="11"/>
    </row>
    <row r="29729" spans="8:16" x14ac:dyDescent="0.25">
      <c r="H29729" s="12"/>
      <c r="I29729" s="12"/>
      <c r="J29729" s="12"/>
      <c r="K29729" s="12"/>
      <c r="L29729" s="12"/>
      <c r="M29729" s="11"/>
      <c r="N29729" s="11"/>
      <c r="O29729" s="11"/>
      <c r="P29729" s="11"/>
    </row>
    <row r="29730" spans="8:16" x14ac:dyDescent="0.25">
      <c r="H29730" s="12"/>
      <c r="I29730" s="12"/>
      <c r="J29730" s="12"/>
      <c r="K29730" s="12"/>
      <c r="L29730" s="12"/>
      <c r="M29730" s="11"/>
      <c r="N29730" s="11"/>
      <c r="O29730" s="11"/>
      <c r="P29730" s="11"/>
    </row>
    <row r="29731" spans="8:16" x14ac:dyDescent="0.25">
      <c r="H29731" s="12"/>
      <c r="I29731" s="12"/>
      <c r="J29731" s="12"/>
      <c r="K29731" s="12"/>
      <c r="L29731" s="12"/>
      <c r="M29731" s="11"/>
      <c r="N29731" s="11"/>
      <c r="O29731" s="11"/>
      <c r="P29731" s="11"/>
    </row>
    <row r="29732" spans="8:16" x14ac:dyDescent="0.25">
      <c r="H29732" s="12"/>
      <c r="I29732" s="12"/>
      <c r="J29732" s="12"/>
      <c r="K29732" s="12"/>
      <c r="L29732" s="12"/>
      <c r="M29732" s="11"/>
      <c r="N29732" s="11"/>
      <c r="O29732" s="11"/>
      <c r="P29732" s="11"/>
    </row>
    <row r="29733" spans="8:16" x14ac:dyDescent="0.25">
      <c r="H29733" s="12"/>
      <c r="I29733" s="12"/>
      <c r="J29733" s="12"/>
      <c r="K29733" s="12"/>
      <c r="L29733" s="12"/>
      <c r="M29733" s="11"/>
      <c r="N29733" s="11"/>
      <c r="O29733" s="11"/>
      <c r="P29733" s="11"/>
    </row>
    <row r="29734" spans="8:16" x14ac:dyDescent="0.25">
      <c r="H29734" s="12"/>
      <c r="I29734" s="12"/>
      <c r="J29734" s="12"/>
      <c r="K29734" s="12"/>
      <c r="L29734" s="12"/>
      <c r="M29734" s="11"/>
      <c r="N29734" s="11"/>
      <c r="O29734" s="11"/>
      <c r="P29734" s="11"/>
    </row>
    <row r="29735" spans="8:16" x14ac:dyDescent="0.25">
      <c r="H29735" s="12"/>
      <c r="I29735" s="12"/>
      <c r="J29735" s="12"/>
      <c r="K29735" s="12"/>
      <c r="L29735" s="12"/>
      <c r="M29735" s="11"/>
      <c r="N29735" s="11"/>
      <c r="O29735" s="11"/>
      <c r="P29735" s="11"/>
    </row>
    <row r="29736" spans="8:16" x14ac:dyDescent="0.25">
      <c r="H29736" s="12"/>
      <c r="I29736" s="12"/>
      <c r="J29736" s="12"/>
      <c r="K29736" s="12"/>
      <c r="L29736" s="12"/>
      <c r="M29736" s="11"/>
      <c r="N29736" s="11"/>
      <c r="O29736" s="11"/>
      <c r="P29736" s="11"/>
    </row>
    <row r="29737" spans="8:16" x14ac:dyDescent="0.25">
      <c r="H29737" s="12"/>
      <c r="I29737" s="12"/>
      <c r="J29737" s="12"/>
      <c r="K29737" s="12"/>
      <c r="L29737" s="12"/>
      <c r="M29737" s="11"/>
      <c r="N29737" s="11"/>
      <c r="O29737" s="11"/>
      <c r="P29737" s="11"/>
    </row>
    <row r="29738" spans="8:16" x14ac:dyDescent="0.25">
      <c r="H29738" s="12"/>
      <c r="I29738" s="12"/>
      <c r="J29738" s="12"/>
      <c r="K29738" s="12"/>
      <c r="L29738" s="12"/>
      <c r="M29738" s="11"/>
      <c r="N29738" s="11"/>
      <c r="O29738" s="11"/>
      <c r="P29738" s="11"/>
    </row>
    <row r="29739" spans="8:16" x14ac:dyDescent="0.25">
      <c r="H29739" s="12"/>
      <c r="I29739" s="12"/>
      <c r="J29739" s="12"/>
      <c r="K29739" s="12"/>
      <c r="L29739" s="12"/>
      <c r="M29739" s="11"/>
      <c r="N29739" s="11"/>
      <c r="O29739" s="11"/>
      <c r="P29739" s="11"/>
    </row>
    <row r="29740" spans="8:16" x14ac:dyDescent="0.25">
      <c r="H29740" s="12"/>
      <c r="I29740" s="12"/>
      <c r="J29740" s="12"/>
      <c r="K29740" s="12"/>
      <c r="L29740" s="12"/>
      <c r="M29740" s="11"/>
      <c r="N29740" s="11"/>
      <c r="O29740" s="11"/>
      <c r="P29740" s="11"/>
    </row>
    <row r="29741" spans="8:16" x14ac:dyDescent="0.25">
      <c r="H29741" s="12"/>
      <c r="I29741" s="12"/>
      <c r="J29741" s="12"/>
      <c r="K29741" s="12"/>
      <c r="L29741" s="12"/>
      <c r="M29741" s="11"/>
      <c r="N29741" s="11"/>
      <c r="O29741" s="11"/>
      <c r="P29741" s="11"/>
    </row>
    <row r="29742" spans="8:16" x14ac:dyDescent="0.25">
      <c r="H29742" s="12"/>
      <c r="I29742" s="12"/>
      <c r="J29742" s="12"/>
      <c r="K29742" s="12"/>
      <c r="L29742" s="12"/>
      <c r="M29742" s="11"/>
      <c r="N29742" s="11"/>
      <c r="O29742" s="11"/>
      <c r="P29742" s="11"/>
    </row>
    <row r="29743" spans="8:16" x14ac:dyDescent="0.25">
      <c r="H29743" s="12"/>
      <c r="I29743" s="12"/>
      <c r="J29743" s="12"/>
      <c r="K29743" s="12"/>
      <c r="L29743" s="12"/>
      <c r="M29743" s="11"/>
      <c r="N29743" s="11"/>
      <c r="O29743" s="11"/>
      <c r="P29743" s="11"/>
    </row>
    <row r="29744" spans="8:16" x14ac:dyDescent="0.25">
      <c r="H29744" s="12"/>
      <c r="I29744" s="12"/>
      <c r="J29744" s="12"/>
      <c r="K29744" s="12"/>
      <c r="L29744" s="12"/>
      <c r="M29744" s="11"/>
      <c r="N29744" s="11"/>
      <c r="O29744" s="11"/>
      <c r="P29744" s="11"/>
    </row>
    <row r="29745" spans="8:16" x14ac:dyDescent="0.25">
      <c r="H29745" s="12"/>
      <c r="I29745" s="12"/>
      <c r="J29745" s="12"/>
      <c r="K29745" s="12"/>
      <c r="L29745" s="12"/>
      <c r="M29745" s="11"/>
      <c r="N29745" s="11"/>
      <c r="O29745" s="11"/>
      <c r="P29745" s="11"/>
    </row>
    <row r="29746" spans="8:16" x14ac:dyDescent="0.25">
      <c r="H29746" s="12"/>
      <c r="I29746" s="12"/>
      <c r="J29746" s="12"/>
      <c r="K29746" s="12"/>
      <c r="L29746" s="12"/>
      <c r="M29746" s="11"/>
      <c r="N29746" s="11"/>
      <c r="O29746" s="11"/>
      <c r="P29746" s="11"/>
    </row>
    <row r="29747" spans="8:16" x14ac:dyDescent="0.25">
      <c r="H29747" s="12"/>
      <c r="I29747" s="12"/>
      <c r="J29747" s="12"/>
      <c r="K29747" s="12"/>
      <c r="L29747" s="12"/>
      <c r="M29747" s="11"/>
      <c r="N29747" s="11"/>
      <c r="O29747" s="11"/>
      <c r="P29747" s="11"/>
    </row>
    <row r="29748" spans="8:16" x14ac:dyDescent="0.25">
      <c r="H29748" s="12"/>
      <c r="I29748" s="12"/>
      <c r="J29748" s="12"/>
      <c r="K29748" s="12"/>
      <c r="L29748" s="12"/>
      <c r="M29748" s="11"/>
      <c r="N29748" s="11"/>
      <c r="O29748" s="11"/>
      <c r="P29748" s="11"/>
    </row>
    <row r="29749" spans="8:16" x14ac:dyDescent="0.25">
      <c r="H29749" s="12"/>
      <c r="I29749" s="12"/>
      <c r="J29749" s="12"/>
      <c r="K29749" s="12"/>
      <c r="L29749" s="12"/>
      <c r="M29749" s="11"/>
      <c r="N29749" s="11"/>
      <c r="O29749" s="11"/>
      <c r="P29749" s="11"/>
    </row>
    <row r="29750" spans="8:16" x14ac:dyDescent="0.25">
      <c r="H29750" s="12"/>
      <c r="I29750" s="12"/>
      <c r="J29750" s="12"/>
      <c r="K29750" s="12"/>
      <c r="L29750" s="12"/>
      <c r="M29750" s="11"/>
      <c r="N29750" s="11"/>
      <c r="O29750" s="11"/>
      <c r="P29750" s="11"/>
    </row>
    <row r="29751" spans="8:16" x14ac:dyDescent="0.25">
      <c r="H29751" s="12"/>
      <c r="I29751" s="12"/>
      <c r="J29751" s="12"/>
      <c r="K29751" s="12"/>
      <c r="L29751" s="12"/>
      <c r="M29751" s="11"/>
      <c r="N29751" s="11"/>
      <c r="O29751" s="11"/>
      <c r="P29751" s="11"/>
    </row>
    <row r="29752" spans="8:16" x14ac:dyDescent="0.25">
      <c r="H29752" s="12"/>
      <c r="I29752" s="12"/>
      <c r="J29752" s="12"/>
      <c r="K29752" s="12"/>
      <c r="L29752" s="12"/>
      <c r="M29752" s="11"/>
      <c r="N29752" s="11"/>
      <c r="O29752" s="11"/>
      <c r="P29752" s="11"/>
    </row>
    <row r="29753" spans="8:16" x14ac:dyDescent="0.25">
      <c r="H29753" s="12"/>
      <c r="I29753" s="12"/>
      <c r="J29753" s="12"/>
      <c r="K29753" s="12"/>
      <c r="L29753" s="12"/>
      <c r="M29753" s="11"/>
      <c r="N29753" s="11"/>
      <c r="O29753" s="11"/>
      <c r="P29753" s="11"/>
    </row>
    <row r="29754" spans="8:16" x14ac:dyDescent="0.25">
      <c r="H29754" s="12"/>
      <c r="I29754" s="12"/>
      <c r="J29754" s="12"/>
      <c r="K29754" s="12"/>
      <c r="L29754" s="12"/>
      <c r="M29754" s="11"/>
      <c r="N29754" s="11"/>
      <c r="O29754" s="11"/>
      <c r="P29754" s="11"/>
    </row>
    <row r="29755" spans="8:16" x14ac:dyDescent="0.25">
      <c r="H29755" s="12"/>
      <c r="I29755" s="12"/>
      <c r="J29755" s="12"/>
      <c r="K29755" s="12"/>
      <c r="L29755" s="12"/>
      <c r="M29755" s="11"/>
      <c r="N29755" s="11"/>
      <c r="O29755" s="11"/>
      <c r="P29755" s="11"/>
    </row>
    <row r="29756" spans="8:16" x14ac:dyDescent="0.25">
      <c r="H29756" s="12"/>
      <c r="I29756" s="12"/>
      <c r="J29756" s="12"/>
      <c r="K29756" s="12"/>
      <c r="L29756" s="12"/>
      <c r="M29756" s="11"/>
      <c r="N29756" s="11"/>
      <c r="O29756" s="11"/>
      <c r="P29756" s="11"/>
    </row>
    <row r="29757" spans="8:16" x14ac:dyDescent="0.25">
      <c r="H29757" s="12"/>
      <c r="I29757" s="12"/>
      <c r="J29757" s="12"/>
      <c r="K29757" s="12"/>
      <c r="L29757" s="12"/>
      <c r="M29757" s="11"/>
      <c r="N29757" s="11"/>
      <c r="O29757" s="11"/>
      <c r="P29757" s="11"/>
    </row>
    <row r="29758" spans="8:16" x14ac:dyDescent="0.25">
      <c r="H29758" s="12"/>
      <c r="I29758" s="12"/>
      <c r="J29758" s="12"/>
      <c r="K29758" s="12"/>
      <c r="L29758" s="12"/>
      <c r="M29758" s="11"/>
      <c r="N29758" s="11"/>
      <c r="O29758" s="11"/>
      <c r="P29758" s="11"/>
    </row>
    <row r="29759" spans="8:16" x14ac:dyDescent="0.25">
      <c r="H29759" s="12"/>
      <c r="I29759" s="12"/>
      <c r="J29759" s="12"/>
      <c r="K29759" s="12"/>
      <c r="L29759" s="12"/>
      <c r="M29759" s="11"/>
      <c r="N29759" s="11"/>
      <c r="O29759" s="11"/>
      <c r="P29759" s="11"/>
    </row>
    <row r="29760" spans="8:16" x14ac:dyDescent="0.25">
      <c r="H29760" s="12"/>
      <c r="I29760" s="12"/>
      <c r="J29760" s="12"/>
      <c r="K29760" s="12"/>
      <c r="L29760" s="12"/>
      <c r="M29760" s="11"/>
      <c r="N29760" s="11"/>
      <c r="O29760" s="11"/>
      <c r="P29760" s="11"/>
    </row>
    <row r="29761" spans="8:16" x14ac:dyDescent="0.25">
      <c r="H29761" s="12"/>
      <c r="I29761" s="12"/>
      <c r="J29761" s="12"/>
      <c r="K29761" s="12"/>
      <c r="L29761" s="12"/>
      <c r="M29761" s="11"/>
      <c r="N29761" s="11"/>
      <c r="O29761" s="11"/>
      <c r="P29761" s="11"/>
    </row>
    <row r="29762" spans="8:16" x14ac:dyDescent="0.25">
      <c r="H29762" s="12"/>
      <c r="I29762" s="12"/>
      <c r="J29762" s="12"/>
      <c r="K29762" s="12"/>
      <c r="L29762" s="12"/>
      <c r="M29762" s="11"/>
      <c r="N29762" s="11"/>
      <c r="O29762" s="11"/>
      <c r="P29762" s="11"/>
    </row>
    <row r="29763" spans="8:16" x14ac:dyDescent="0.25">
      <c r="H29763" s="12"/>
      <c r="I29763" s="12"/>
      <c r="J29763" s="12"/>
      <c r="K29763" s="12"/>
      <c r="L29763" s="12"/>
      <c r="M29763" s="11"/>
      <c r="N29763" s="11"/>
      <c r="O29763" s="11"/>
      <c r="P29763" s="11"/>
    </row>
    <row r="29764" spans="8:16" x14ac:dyDescent="0.25">
      <c r="H29764" s="12"/>
      <c r="I29764" s="12"/>
      <c r="J29764" s="12"/>
      <c r="K29764" s="12"/>
      <c r="L29764" s="12"/>
      <c r="M29764" s="11"/>
      <c r="N29764" s="11"/>
      <c r="O29764" s="11"/>
      <c r="P29764" s="11"/>
    </row>
    <row r="29765" spans="8:16" x14ac:dyDescent="0.25">
      <c r="H29765" s="12"/>
      <c r="I29765" s="12"/>
      <c r="J29765" s="12"/>
      <c r="K29765" s="12"/>
      <c r="L29765" s="12"/>
      <c r="M29765" s="11"/>
      <c r="N29765" s="11"/>
      <c r="O29765" s="11"/>
      <c r="P29765" s="11"/>
    </row>
    <row r="29766" spans="8:16" x14ac:dyDescent="0.25">
      <c r="H29766" s="12"/>
      <c r="I29766" s="12"/>
      <c r="J29766" s="12"/>
      <c r="K29766" s="12"/>
      <c r="L29766" s="12"/>
      <c r="M29766" s="11"/>
      <c r="N29766" s="11"/>
      <c r="O29766" s="11"/>
      <c r="P29766" s="11"/>
    </row>
    <row r="29767" spans="8:16" x14ac:dyDescent="0.25">
      <c r="H29767" s="12"/>
      <c r="I29767" s="12"/>
      <c r="J29767" s="12"/>
      <c r="K29767" s="12"/>
      <c r="L29767" s="12"/>
      <c r="M29767" s="11"/>
      <c r="N29767" s="11"/>
      <c r="O29767" s="11"/>
      <c r="P29767" s="11"/>
    </row>
    <row r="29768" spans="8:16" x14ac:dyDescent="0.25">
      <c r="H29768" s="12"/>
      <c r="I29768" s="12"/>
      <c r="J29768" s="12"/>
      <c r="K29768" s="12"/>
      <c r="L29768" s="12"/>
      <c r="M29768" s="11"/>
      <c r="N29768" s="11"/>
      <c r="O29768" s="11"/>
      <c r="P29768" s="11"/>
    </row>
    <row r="29769" spans="8:16" x14ac:dyDescent="0.25">
      <c r="H29769" s="12"/>
      <c r="I29769" s="12"/>
      <c r="J29769" s="12"/>
      <c r="K29769" s="12"/>
      <c r="L29769" s="12"/>
      <c r="M29769" s="11"/>
      <c r="N29769" s="11"/>
      <c r="O29769" s="11"/>
      <c r="P29769" s="11"/>
    </row>
    <row r="29770" spans="8:16" x14ac:dyDescent="0.25">
      <c r="H29770" s="12"/>
      <c r="I29770" s="12"/>
      <c r="J29770" s="12"/>
      <c r="K29770" s="12"/>
      <c r="L29770" s="12"/>
      <c r="M29770" s="11"/>
      <c r="N29770" s="11"/>
      <c r="O29770" s="11"/>
      <c r="P29770" s="11"/>
    </row>
    <row r="29771" spans="8:16" x14ac:dyDescent="0.25">
      <c r="H29771" s="12"/>
      <c r="I29771" s="12"/>
      <c r="J29771" s="12"/>
      <c r="K29771" s="12"/>
      <c r="L29771" s="12"/>
      <c r="M29771" s="11"/>
      <c r="N29771" s="11"/>
      <c r="O29771" s="11"/>
      <c r="P29771" s="11"/>
    </row>
    <row r="29772" spans="8:16" x14ac:dyDescent="0.25">
      <c r="H29772" s="12"/>
      <c r="I29772" s="12"/>
      <c r="J29772" s="12"/>
      <c r="K29772" s="12"/>
      <c r="L29772" s="12"/>
      <c r="M29772" s="11"/>
      <c r="N29772" s="11"/>
      <c r="O29772" s="11"/>
      <c r="P29772" s="11"/>
    </row>
    <row r="29773" spans="8:16" x14ac:dyDescent="0.25">
      <c r="H29773" s="12"/>
      <c r="I29773" s="12"/>
      <c r="J29773" s="12"/>
      <c r="K29773" s="12"/>
      <c r="L29773" s="12"/>
      <c r="M29773" s="11"/>
      <c r="N29773" s="11"/>
      <c r="O29773" s="11"/>
      <c r="P29773" s="11"/>
    </row>
    <row r="29774" spans="8:16" x14ac:dyDescent="0.25">
      <c r="H29774" s="12"/>
      <c r="I29774" s="12"/>
      <c r="J29774" s="12"/>
      <c r="K29774" s="12"/>
      <c r="L29774" s="12"/>
      <c r="M29774" s="11"/>
      <c r="N29774" s="11"/>
      <c r="O29774" s="11"/>
      <c r="P29774" s="11"/>
    </row>
    <row r="29775" spans="8:16" x14ac:dyDescent="0.25">
      <c r="H29775" s="12"/>
      <c r="I29775" s="12"/>
      <c r="J29775" s="12"/>
      <c r="K29775" s="12"/>
      <c r="L29775" s="12"/>
      <c r="M29775" s="11"/>
      <c r="N29775" s="11"/>
      <c r="O29775" s="11"/>
      <c r="P29775" s="11"/>
    </row>
    <row r="29776" spans="8:16" x14ac:dyDescent="0.25">
      <c r="H29776" s="12"/>
      <c r="I29776" s="12"/>
      <c r="J29776" s="12"/>
      <c r="K29776" s="12"/>
      <c r="L29776" s="12"/>
      <c r="M29776" s="11"/>
      <c r="N29776" s="11"/>
      <c r="O29776" s="11"/>
      <c r="P29776" s="11"/>
    </row>
    <row r="29777" spans="8:16" x14ac:dyDescent="0.25">
      <c r="H29777" s="12"/>
      <c r="I29777" s="12"/>
      <c r="J29777" s="12"/>
      <c r="K29777" s="12"/>
      <c r="L29777" s="12"/>
      <c r="M29777" s="11"/>
      <c r="N29777" s="11"/>
      <c r="O29777" s="11"/>
      <c r="P29777" s="11"/>
    </row>
    <row r="29778" spans="8:16" x14ac:dyDescent="0.25">
      <c r="H29778" s="12"/>
      <c r="I29778" s="12"/>
      <c r="J29778" s="12"/>
      <c r="K29778" s="12"/>
      <c r="L29778" s="12"/>
      <c r="M29778" s="11"/>
      <c r="N29778" s="11"/>
      <c r="O29778" s="11"/>
      <c r="P29778" s="11"/>
    </row>
    <row r="29779" spans="8:16" x14ac:dyDescent="0.25">
      <c r="H29779" s="12"/>
      <c r="I29779" s="12"/>
      <c r="J29779" s="12"/>
      <c r="K29779" s="12"/>
      <c r="L29779" s="12"/>
      <c r="M29779" s="11"/>
      <c r="N29779" s="11"/>
      <c r="O29779" s="11"/>
      <c r="P29779" s="11"/>
    </row>
    <row r="29780" spans="8:16" x14ac:dyDescent="0.25">
      <c r="H29780" s="12"/>
      <c r="I29780" s="12"/>
      <c r="J29780" s="12"/>
      <c r="K29780" s="12"/>
      <c r="L29780" s="12"/>
      <c r="M29780" s="11"/>
      <c r="N29780" s="11"/>
      <c r="O29780" s="11"/>
      <c r="P29780" s="11"/>
    </row>
    <row r="29781" spans="8:16" x14ac:dyDescent="0.25">
      <c r="H29781" s="12"/>
      <c r="I29781" s="12"/>
      <c r="J29781" s="12"/>
      <c r="K29781" s="12"/>
      <c r="L29781" s="12"/>
      <c r="M29781" s="11"/>
      <c r="N29781" s="11"/>
      <c r="O29781" s="11"/>
      <c r="P29781" s="11"/>
    </row>
    <row r="29782" spans="8:16" x14ac:dyDescent="0.25">
      <c r="H29782" s="12"/>
      <c r="I29782" s="12"/>
      <c r="J29782" s="12"/>
      <c r="K29782" s="12"/>
      <c r="L29782" s="12"/>
      <c r="M29782" s="11"/>
      <c r="N29782" s="11"/>
      <c r="O29782" s="11"/>
      <c r="P29782" s="11"/>
    </row>
    <row r="29783" spans="8:16" x14ac:dyDescent="0.25">
      <c r="H29783" s="12"/>
      <c r="I29783" s="12"/>
      <c r="J29783" s="12"/>
      <c r="K29783" s="12"/>
      <c r="L29783" s="12"/>
      <c r="M29783" s="11"/>
      <c r="N29783" s="11"/>
      <c r="O29783" s="11"/>
      <c r="P29783" s="11"/>
    </row>
    <row r="29784" spans="8:16" x14ac:dyDescent="0.25">
      <c r="H29784" s="12"/>
      <c r="I29784" s="12"/>
      <c r="J29784" s="12"/>
      <c r="K29784" s="12"/>
      <c r="L29784" s="12"/>
      <c r="M29784" s="11"/>
      <c r="N29784" s="11"/>
      <c r="O29784" s="11"/>
      <c r="P29784" s="11"/>
    </row>
    <row r="29785" spans="8:16" x14ac:dyDescent="0.25">
      <c r="H29785" s="12"/>
      <c r="I29785" s="12"/>
      <c r="J29785" s="12"/>
      <c r="K29785" s="12"/>
      <c r="L29785" s="12"/>
      <c r="M29785" s="11"/>
      <c r="N29785" s="11"/>
      <c r="O29785" s="11"/>
      <c r="P29785" s="11"/>
    </row>
    <row r="29786" spans="8:16" x14ac:dyDescent="0.25">
      <c r="H29786" s="12"/>
      <c r="I29786" s="12"/>
      <c r="J29786" s="12"/>
      <c r="K29786" s="12"/>
      <c r="L29786" s="12"/>
      <c r="M29786" s="11"/>
      <c r="N29786" s="11"/>
      <c r="O29786" s="11"/>
      <c r="P29786" s="11"/>
    </row>
    <row r="29787" spans="8:16" x14ac:dyDescent="0.25">
      <c r="H29787" s="12"/>
      <c r="I29787" s="12"/>
      <c r="J29787" s="12"/>
      <c r="K29787" s="12"/>
      <c r="L29787" s="12"/>
      <c r="M29787" s="11"/>
      <c r="N29787" s="11"/>
      <c r="O29787" s="11"/>
      <c r="P29787" s="11"/>
    </row>
    <row r="29788" spans="8:16" x14ac:dyDescent="0.25">
      <c r="H29788" s="12"/>
      <c r="I29788" s="12"/>
      <c r="J29788" s="12"/>
      <c r="K29788" s="12"/>
      <c r="L29788" s="12"/>
      <c r="M29788" s="11"/>
      <c r="N29788" s="11"/>
      <c r="O29788" s="11"/>
      <c r="P29788" s="11"/>
    </row>
    <row r="29789" spans="8:16" x14ac:dyDescent="0.25">
      <c r="H29789" s="12"/>
      <c r="I29789" s="12"/>
      <c r="J29789" s="12"/>
      <c r="K29789" s="12"/>
      <c r="L29789" s="12"/>
      <c r="M29789" s="11"/>
      <c r="N29789" s="11"/>
      <c r="O29789" s="11"/>
      <c r="P29789" s="11"/>
    </row>
    <row r="29790" spans="8:16" x14ac:dyDescent="0.25">
      <c r="H29790" s="12"/>
      <c r="I29790" s="12"/>
      <c r="J29790" s="12"/>
      <c r="K29790" s="12"/>
      <c r="L29790" s="12"/>
      <c r="M29790" s="11"/>
      <c r="N29790" s="11"/>
      <c r="O29790" s="11"/>
      <c r="P29790" s="11"/>
    </row>
    <row r="29791" spans="8:16" x14ac:dyDescent="0.25">
      <c r="H29791" s="12"/>
      <c r="I29791" s="12"/>
      <c r="J29791" s="12"/>
      <c r="K29791" s="12"/>
      <c r="L29791" s="12"/>
      <c r="M29791" s="11"/>
      <c r="N29791" s="11"/>
      <c r="O29791" s="11"/>
      <c r="P29791" s="11"/>
    </row>
    <row r="29792" spans="8:16" x14ac:dyDescent="0.25">
      <c r="H29792" s="12"/>
      <c r="I29792" s="12"/>
      <c r="J29792" s="12"/>
      <c r="K29792" s="12"/>
      <c r="L29792" s="12"/>
      <c r="M29792" s="11"/>
      <c r="N29792" s="11"/>
      <c r="O29792" s="11"/>
      <c r="P29792" s="11"/>
    </row>
    <row r="29793" spans="8:16" x14ac:dyDescent="0.25">
      <c r="H29793" s="12"/>
      <c r="I29793" s="12"/>
      <c r="J29793" s="12"/>
      <c r="K29793" s="12"/>
      <c r="L29793" s="12"/>
      <c r="M29793" s="11"/>
      <c r="N29793" s="11"/>
      <c r="O29793" s="11"/>
      <c r="P29793" s="11"/>
    </row>
    <row r="29794" spans="8:16" x14ac:dyDescent="0.25">
      <c r="H29794" s="12"/>
      <c r="I29794" s="12"/>
      <c r="J29794" s="12"/>
      <c r="K29794" s="12"/>
      <c r="L29794" s="12"/>
      <c r="M29794" s="11"/>
      <c r="N29794" s="11"/>
      <c r="O29794" s="11"/>
      <c r="P29794" s="11"/>
    </row>
    <row r="29795" spans="8:16" x14ac:dyDescent="0.25">
      <c r="H29795" s="12"/>
      <c r="I29795" s="12"/>
      <c r="J29795" s="12"/>
      <c r="K29795" s="12"/>
      <c r="L29795" s="12"/>
      <c r="M29795" s="11"/>
      <c r="N29795" s="11"/>
      <c r="O29795" s="11"/>
      <c r="P29795" s="11"/>
    </row>
    <row r="29796" spans="8:16" x14ac:dyDescent="0.25">
      <c r="H29796" s="12"/>
      <c r="I29796" s="12"/>
      <c r="J29796" s="12"/>
      <c r="K29796" s="12"/>
      <c r="L29796" s="12"/>
      <c r="M29796" s="11"/>
      <c r="N29796" s="11"/>
      <c r="O29796" s="11"/>
      <c r="P29796" s="11"/>
    </row>
    <row r="29797" spans="8:16" x14ac:dyDescent="0.25">
      <c r="H29797" s="12"/>
      <c r="I29797" s="12"/>
      <c r="J29797" s="12"/>
      <c r="K29797" s="12"/>
      <c r="L29797" s="12"/>
      <c r="M29797" s="11"/>
      <c r="N29797" s="11"/>
      <c r="O29797" s="11"/>
      <c r="P29797" s="11"/>
    </row>
    <row r="29798" spans="8:16" x14ac:dyDescent="0.25">
      <c r="H29798" s="12"/>
      <c r="I29798" s="12"/>
      <c r="J29798" s="12"/>
      <c r="K29798" s="12"/>
      <c r="L29798" s="12"/>
      <c r="M29798" s="11"/>
      <c r="N29798" s="11"/>
      <c r="O29798" s="11"/>
      <c r="P29798" s="11"/>
    </row>
    <row r="29799" spans="8:16" x14ac:dyDescent="0.25">
      <c r="H29799" s="12"/>
      <c r="I29799" s="12"/>
      <c r="J29799" s="12"/>
      <c r="K29799" s="12"/>
      <c r="L29799" s="12"/>
      <c r="M29799" s="11"/>
      <c r="N29799" s="11"/>
      <c r="O29799" s="11"/>
      <c r="P29799" s="11"/>
    </row>
    <row r="29800" spans="8:16" x14ac:dyDescent="0.25">
      <c r="H29800" s="12"/>
      <c r="I29800" s="12"/>
      <c r="J29800" s="12"/>
      <c r="K29800" s="12"/>
      <c r="L29800" s="12"/>
      <c r="M29800" s="11"/>
      <c r="N29800" s="11"/>
      <c r="O29800" s="11"/>
      <c r="P29800" s="11"/>
    </row>
    <row r="29801" spans="8:16" x14ac:dyDescent="0.25">
      <c r="H29801" s="12"/>
      <c r="I29801" s="12"/>
      <c r="J29801" s="12"/>
      <c r="K29801" s="12"/>
      <c r="L29801" s="12"/>
      <c r="M29801" s="11"/>
      <c r="N29801" s="11"/>
      <c r="O29801" s="11"/>
      <c r="P29801" s="11"/>
    </row>
    <row r="29802" spans="8:16" x14ac:dyDescent="0.25">
      <c r="H29802" s="12"/>
      <c r="I29802" s="12"/>
      <c r="J29802" s="12"/>
      <c r="K29802" s="12"/>
      <c r="L29802" s="12"/>
      <c r="M29802" s="11"/>
      <c r="N29802" s="11"/>
      <c r="O29802" s="11"/>
      <c r="P29802" s="11"/>
    </row>
    <row r="29803" spans="8:16" x14ac:dyDescent="0.25">
      <c r="H29803" s="12"/>
      <c r="I29803" s="12"/>
      <c r="J29803" s="12"/>
      <c r="K29803" s="12"/>
      <c r="L29803" s="12"/>
      <c r="M29803" s="11"/>
      <c r="N29803" s="11"/>
      <c r="O29803" s="11"/>
      <c r="P29803" s="11"/>
    </row>
    <row r="29804" spans="8:16" x14ac:dyDescent="0.25">
      <c r="H29804" s="12"/>
      <c r="I29804" s="12"/>
      <c r="J29804" s="12"/>
      <c r="K29804" s="12"/>
      <c r="L29804" s="12"/>
      <c r="M29804" s="11"/>
      <c r="N29804" s="11"/>
      <c r="O29804" s="11"/>
      <c r="P29804" s="11"/>
    </row>
    <row r="29805" spans="8:16" x14ac:dyDescent="0.25">
      <c r="H29805" s="12"/>
      <c r="I29805" s="12"/>
      <c r="J29805" s="12"/>
      <c r="K29805" s="12"/>
      <c r="L29805" s="12"/>
      <c r="M29805" s="11"/>
      <c r="N29805" s="11"/>
      <c r="O29805" s="11"/>
      <c r="P29805" s="11"/>
    </row>
    <row r="29806" spans="8:16" x14ac:dyDescent="0.25">
      <c r="H29806" s="12"/>
      <c r="I29806" s="12"/>
      <c r="J29806" s="12"/>
      <c r="K29806" s="12"/>
      <c r="L29806" s="12"/>
      <c r="M29806" s="11"/>
      <c r="N29806" s="11"/>
      <c r="O29806" s="11"/>
      <c r="P29806" s="11"/>
    </row>
    <row r="29807" spans="8:16" x14ac:dyDescent="0.25">
      <c r="H29807" s="12"/>
      <c r="I29807" s="12"/>
      <c r="J29807" s="12"/>
      <c r="K29807" s="12"/>
      <c r="L29807" s="12"/>
      <c r="M29807" s="11"/>
      <c r="N29807" s="11"/>
      <c r="O29807" s="11"/>
      <c r="P29807" s="11"/>
    </row>
    <row r="29808" spans="8:16" x14ac:dyDescent="0.25">
      <c r="H29808" s="12"/>
      <c r="I29808" s="12"/>
      <c r="J29808" s="12"/>
      <c r="K29808" s="12"/>
      <c r="L29808" s="12"/>
      <c r="M29808" s="11"/>
      <c r="N29808" s="11"/>
      <c r="O29808" s="11"/>
      <c r="P29808" s="11"/>
    </row>
    <row r="29809" spans="8:16" x14ac:dyDescent="0.25">
      <c r="H29809" s="12"/>
      <c r="I29809" s="12"/>
      <c r="J29809" s="12"/>
      <c r="K29809" s="12"/>
      <c r="L29809" s="12"/>
      <c r="M29809" s="11"/>
      <c r="N29809" s="11"/>
      <c r="O29809" s="11"/>
      <c r="P29809" s="11"/>
    </row>
    <row r="29810" spans="8:16" x14ac:dyDescent="0.25">
      <c r="H29810" s="12"/>
      <c r="I29810" s="12"/>
      <c r="J29810" s="12"/>
      <c r="K29810" s="12"/>
      <c r="L29810" s="12"/>
      <c r="M29810" s="11"/>
      <c r="N29810" s="11"/>
      <c r="O29810" s="11"/>
      <c r="P29810" s="11"/>
    </row>
    <row r="29811" spans="8:16" x14ac:dyDescent="0.25">
      <c r="H29811" s="12"/>
      <c r="I29811" s="12"/>
      <c r="J29811" s="12"/>
      <c r="K29811" s="12"/>
      <c r="L29811" s="12"/>
      <c r="M29811" s="11"/>
      <c r="N29811" s="11"/>
      <c r="O29811" s="11"/>
      <c r="P29811" s="11"/>
    </row>
    <row r="29812" spans="8:16" x14ac:dyDescent="0.25">
      <c r="H29812" s="12"/>
      <c r="I29812" s="12"/>
      <c r="J29812" s="12"/>
      <c r="K29812" s="12"/>
      <c r="L29812" s="12"/>
      <c r="M29812" s="11"/>
      <c r="N29812" s="11"/>
      <c r="O29812" s="11"/>
      <c r="P29812" s="11"/>
    </row>
    <row r="29813" spans="8:16" x14ac:dyDescent="0.25">
      <c r="H29813" s="12"/>
      <c r="I29813" s="12"/>
      <c r="J29813" s="12"/>
      <c r="K29813" s="12"/>
      <c r="L29813" s="12"/>
      <c r="M29813" s="11"/>
      <c r="N29813" s="11"/>
      <c r="O29813" s="11"/>
      <c r="P29813" s="11"/>
    </row>
    <row r="29814" spans="8:16" x14ac:dyDescent="0.25">
      <c r="H29814" s="12"/>
      <c r="I29814" s="12"/>
      <c r="J29814" s="12"/>
      <c r="K29814" s="12"/>
      <c r="L29814" s="12"/>
      <c r="M29814" s="11"/>
      <c r="N29814" s="11"/>
      <c r="O29814" s="11"/>
      <c r="P29814" s="11"/>
    </row>
    <row r="29815" spans="8:16" x14ac:dyDescent="0.25">
      <c r="H29815" s="12"/>
      <c r="I29815" s="12"/>
      <c r="J29815" s="12"/>
      <c r="K29815" s="12"/>
      <c r="L29815" s="12"/>
      <c r="M29815" s="11"/>
      <c r="N29815" s="11"/>
      <c r="O29815" s="11"/>
      <c r="P29815" s="11"/>
    </row>
    <row r="29816" spans="8:16" x14ac:dyDescent="0.25">
      <c r="H29816" s="12"/>
      <c r="I29816" s="12"/>
      <c r="J29816" s="12"/>
      <c r="K29816" s="12"/>
      <c r="L29816" s="12"/>
      <c r="M29816" s="11"/>
      <c r="N29816" s="11"/>
      <c r="O29816" s="11"/>
      <c r="P29816" s="11"/>
    </row>
    <row r="29817" spans="8:16" x14ac:dyDescent="0.25">
      <c r="H29817" s="12"/>
      <c r="I29817" s="12"/>
      <c r="J29817" s="12"/>
      <c r="K29817" s="12"/>
      <c r="L29817" s="12"/>
      <c r="M29817" s="11"/>
      <c r="N29817" s="11"/>
      <c r="O29817" s="11"/>
      <c r="P29817" s="11"/>
    </row>
    <row r="29818" spans="8:16" x14ac:dyDescent="0.25">
      <c r="H29818" s="12"/>
      <c r="I29818" s="12"/>
      <c r="J29818" s="12"/>
      <c r="K29818" s="12"/>
      <c r="L29818" s="12"/>
      <c r="M29818" s="11"/>
      <c r="N29818" s="11"/>
      <c r="O29818" s="11"/>
      <c r="P29818" s="11"/>
    </row>
    <row r="29819" spans="8:16" x14ac:dyDescent="0.25">
      <c r="H29819" s="12"/>
      <c r="I29819" s="12"/>
      <c r="J29819" s="12"/>
      <c r="K29819" s="12"/>
      <c r="L29819" s="12"/>
      <c r="M29819" s="11"/>
      <c r="N29819" s="11"/>
      <c r="O29819" s="11"/>
      <c r="P29819" s="11"/>
    </row>
    <row r="29820" spans="8:16" x14ac:dyDescent="0.25">
      <c r="H29820" s="12"/>
      <c r="I29820" s="12"/>
      <c r="J29820" s="12"/>
      <c r="K29820" s="12"/>
      <c r="L29820" s="12"/>
      <c r="M29820" s="11"/>
      <c r="N29820" s="11"/>
      <c r="O29820" s="11"/>
      <c r="P29820" s="11"/>
    </row>
    <row r="29821" spans="8:16" x14ac:dyDescent="0.25">
      <c r="H29821" s="12"/>
      <c r="I29821" s="12"/>
      <c r="J29821" s="12"/>
      <c r="K29821" s="12"/>
      <c r="L29821" s="12"/>
      <c r="M29821" s="11"/>
      <c r="N29821" s="11"/>
      <c r="O29821" s="11"/>
      <c r="P29821" s="11"/>
    </row>
    <row r="29822" spans="8:16" x14ac:dyDescent="0.25">
      <c r="H29822" s="12"/>
      <c r="I29822" s="12"/>
      <c r="J29822" s="12"/>
      <c r="K29822" s="12"/>
      <c r="L29822" s="12"/>
      <c r="M29822" s="11"/>
      <c r="N29822" s="11"/>
      <c r="O29822" s="11"/>
      <c r="P29822" s="11"/>
    </row>
    <row r="29823" spans="8:16" x14ac:dyDescent="0.25">
      <c r="H29823" s="12"/>
      <c r="I29823" s="12"/>
      <c r="J29823" s="12"/>
      <c r="K29823" s="12"/>
      <c r="L29823" s="12"/>
      <c r="M29823" s="11"/>
      <c r="N29823" s="11"/>
      <c r="O29823" s="11"/>
      <c r="P29823" s="11"/>
    </row>
    <row r="29824" spans="8:16" x14ac:dyDescent="0.25">
      <c r="H29824" s="12"/>
      <c r="I29824" s="12"/>
      <c r="J29824" s="12"/>
      <c r="K29824" s="12"/>
      <c r="L29824" s="12"/>
      <c r="M29824" s="11"/>
      <c r="N29824" s="11"/>
      <c r="O29824" s="11"/>
      <c r="P29824" s="11"/>
    </row>
    <row r="29825" spans="8:16" x14ac:dyDescent="0.25">
      <c r="H29825" s="12"/>
      <c r="I29825" s="12"/>
      <c r="J29825" s="12"/>
      <c r="K29825" s="12"/>
      <c r="L29825" s="12"/>
      <c r="M29825" s="11"/>
      <c r="N29825" s="11"/>
      <c r="O29825" s="11"/>
      <c r="P29825" s="11"/>
    </row>
    <row r="29826" spans="8:16" x14ac:dyDescent="0.25">
      <c r="H29826" s="12"/>
      <c r="I29826" s="12"/>
      <c r="J29826" s="12"/>
      <c r="K29826" s="12"/>
      <c r="L29826" s="12"/>
      <c r="M29826" s="11"/>
      <c r="N29826" s="11"/>
      <c r="O29826" s="11"/>
      <c r="P29826" s="11"/>
    </row>
    <row r="29827" spans="8:16" x14ac:dyDescent="0.25">
      <c r="H29827" s="12"/>
      <c r="I29827" s="12"/>
      <c r="J29827" s="12"/>
      <c r="K29827" s="12"/>
      <c r="L29827" s="12"/>
      <c r="M29827" s="11"/>
      <c r="N29827" s="11"/>
      <c r="O29827" s="11"/>
      <c r="P29827" s="11"/>
    </row>
    <row r="29828" spans="8:16" x14ac:dyDescent="0.25">
      <c r="H29828" s="12"/>
      <c r="I29828" s="12"/>
      <c r="J29828" s="12"/>
      <c r="K29828" s="12"/>
      <c r="L29828" s="12"/>
      <c r="M29828" s="11"/>
      <c r="N29828" s="11"/>
      <c r="O29828" s="11"/>
      <c r="P29828" s="11"/>
    </row>
    <row r="29829" spans="8:16" x14ac:dyDescent="0.25">
      <c r="H29829" s="12"/>
      <c r="I29829" s="12"/>
      <c r="J29829" s="12"/>
      <c r="K29829" s="12"/>
      <c r="L29829" s="12"/>
      <c r="M29829" s="11"/>
      <c r="N29829" s="11"/>
      <c r="O29829" s="11"/>
      <c r="P29829" s="11"/>
    </row>
    <row r="29830" spans="8:16" x14ac:dyDescent="0.25">
      <c r="H29830" s="12"/>
      <c r="I29830" s="12"/>
      <c r="J29830" s="12"/>
      <c r="K29830" s="12"/>
      <c r="L29830" s="12"/>
      <c r="M29830" s="11"/>
      <c r="N29830" s="11"/>
      <c r="O29830" s="11"/>
      <c r="P29830" s="11"/>
    </row>
    <row r="29831" spans="8:16" x14ac:dyDescent="0.25">
      <c r="H29831" s="12"/>
      <c r="I29831" s="12"/>
      <c r="J29831" s="12"/>
      <c r="K29831" s="12"/>
      <c r="L29831" s="12"/>
      <c r="M29831" s="11"/>
      <c r="N29831" s="11"/>
      <c r="O29831" s="11"/>
      <c r="P29831" s="11"/>
    </row>
    <row r="29832" spans="8:16" x14ac:dyDescent="0.25">
      <c r="H29832" s="12"/>
      <c r="I29832" s="12"/>
      <c r="J29832" s="12"/>
      <c r="K29832" s="12"/>
      <c r="L29832" s="12"/>
      <c r="M29832" s="11"/>
      <c r="N29832" s="11"/>
      <c r="O29832" s="11"/>
      <c r="P29832" s="11"/>
    </row>
    <row r="29833" spans="8:16" x14ac:dyDescent="0.25">
      <c r="H29833" s="12"/>
      <c r="I29833" s="12"/>
      <c r="J29833" s="12"/>
      <c r="K29833" s="12"/>
      <c r="L29833" s="12"/>
      <c r="M29833" s="11"/>
      <c r="N29833" s="11"/>
      <c r="O29833" s="11"/>
      <c r="P29833" s="11"/>
    </row>
    <row r="29834" spans="8:16" x14ac:dyDescent="0.25">
      <c r="H29834" s="12"/>
      <c r="I29834" s="12"/>
      <c r="J29834" s="12"/>
      <c r="K29834" s="12"/>
      <c r="L29834" s="12"/>
      <c r="M29834" s="11"/>
      <c r="N29834" s="11"/>
      <c r="O29834" s="11"/>
      <c r="P29834" s="11"/>
    </row>
    <row r="29835" spans="8:16" x14ac:dyDescent="0.25">
      <c r="H29835" s="12"/>
      <c r="I29835" s="12"/>
      <c r="J29835" s="12"/>
      <c r="K29835" s="12"/>
      <c r="L29835" s="12"/>
      <c r="M29835" s="11"/>
      <c r="N29835" s="11"/>
      <c r="O29835" s="11"/>
      <c r="P29835" s="11"/>
    </row>
    <row r="29836" spans="8:16" x14ac:dyDescent="0.25">
      <c r="H29836" s="12"/>
      <c r="I29836" s="12"/>
      <c r="J29836" s="12"/>
      <c r="K29836" s="12"/>
      <c r="L29836" s="12"/>
      <c r="M29836" s="11"/>
      <c r="N29836" s="11"/>
      <c r="O29836" s="11"/>
      <c r="P29836" s="11"/>
    </row>
    <row r="29837" spans="8:16" x14ac:dyDescent="0.25">
      <c r="H29837" s="12"/>
      <c r="I29837" s="12"/>
      <c r="J29837" s="12"/>
      <c r="K29837" s="12"/>
      <c r="L29837" s="12"/>
      <c r="M29837" s="11"/>
      <c r="N29837" s="11"/>
      <c r="O29837" s="11"/>
      <c r="P29837" s="11"/>
    </row>
    <row r="29838" spans="8:16" x14ac:dyDescent="0.25">
      <c r="H29838" s="12"/>
      <c r="I29838" s="12"/>
      <c r="J29838" s="12"/>
      <c r="K29838" s="12"/>
      <c r="L29838" s="12"/>
      <c r="M29838" s="11"/>
      <c r="N29838" s="11"/>
      <c r="O29838" s="11"/>
      <c r="P29838" s="11"/>
    </row>
    <row r="29839" spans="8:16" x14ac:dyDescent="0.25">
      <c r="H29839" s="12"/>
      <c r="I29839" s="12"/>
      <c r="J29839" s="12"/>
      <c r="K29839" s="12"/>
      <c r="L29839" s="12"/>
      <c r="M29839" s="11"/>
      <c r="N29839" s="11"/>
      <c r="O29839" s="11"/>
      <c r="P29839" s="11"/>
    </row>
    <row r="29840" spans="8:16" x14ac:dyDescent="0.25">
      <c r="H29840" s="12"/>
      <c r="I29840" s="12"/>
      <c r="J29840" s="12"/>
      <c r="K29840" s="12"/>
      <c r="L29840" s="12"/>
      <c r="M29840" s="11"/>
      <c r="N29840" s="11"/>
      <c r="O29840" s="11"/>
      <c r="P29840" s="11"/>
    </row>
    <row r="29841" spans="8:16" x14ac:dyDescent="0.25">
      <c r="H29841" s="12"/>
      <c r="I29841" s="12"/>
      <c r="J29841" s="12"/>
      <c r="K29841" s="12"/>
      <c r="L29841" s="12"/>
      <c r="M29841" s="11"/>
      <c r="N29841" s="11"/>
      <c r="O29841" s="11"/>
      <c r="P29841" s="11"/>
    </row>
    <row r="29842" spans="8:16" x14ac:dyDescent="0.25">
      <c r="H29842" s="12"/>
      <c r="I29842" s="12"/>
      <c r="J29842" s="12"/>
      <c r="K29842" s="12"/>
      <c r="L29842" s="12"/>
      <c r="M29842" s="11"/>
      <c r="N29842" s="11"/>
      <c r="O29842" s="11"/>
      <c r="P29842" s="11"/>
    </row>
    <row r="29843" spans="8:16" x14ac:dyDescent="0.25">
      <c r="H29843" s="12"/>
      <c r="I29843" s="12"/>
      <c r="J29843" s="12"/>
      <c r="K29843" s="12"/>
      <c r="L29843" s="12"/>
      <c r="M29843" s="11"/>
      <c r="N29843" s="11"/>
      <c r="O29843" s="11"/>
      <c r="P29843" s="11"/>
    </row>
    <row r="29844" spans="8:16" x14ac:dyDescent="0.25">
      <c r="H29844" s="12"/>
      <c r="I29844" s="12"/>
      <c r="J29844" s="12"/>
      <c r="K29844" s="12"/>
      <c r="L29844" s="12"/>
      <c r="M29844" s="11"/>
      <c r="N29844" s="11"/>
      <c r="O29844" s="11"/>
      <c r="P29844" s="11"/>
    </row>
    <row r="29845" spans="8:16" x14ac:dyDescent="0.25">
      <c r="H29845" s="12"/>
      <c r="I29845" s="12"/>
      <c r="J29845" s="12"/>
      <c r="K29845" s="12"/>
      <c r="L29845" s="12"/>
      <c r="M29845" s="11"/>
      <c r="N29845" s="11"/>
      <c r="O29845" s="11"/>
      <c r="P29845" s="11"/>
    </row>
    <row r="29846" spans="8:16" x14ac:dyDescent="0.25">
      <c r="H29846" s="12"/>
      <c r="I29846" s="12"/>
      <c r="J29846" s="12"/>
      <c r="K29846" s="12"/>
      <c r="L29846" s="12"/>
      <c r="M29846" s="11"/>
      <c r="N29846" s="11"/>
      <c r="O29846" s="11"/>
      <c r="P29846" s="11"/>
    </row>
    <row r="29847" spans="8:16" x14ac:dyDescent="0.25">
      <c r="H29847" s="12"/>
      <c r="I29847" s="12"/>
      <c r="J29847" s="12"/>
      <c r="K29847" s="12"/>
      <c r="L29847" s="12"/>
      <c r="M29847" s="11"/>
      <c r="N29847" s="11"/>
      <c r="O29847" s="11"/>
      <c r="P29847" s="11"/>
    </row>
    <row r="29848" spans="8:16" x14ac:dyDescent="0.25">
      <c r="H29848" s="12"/>
      <c r="I29848" s="12"/>
      <c r="J29848" s="12"/>
      <c r="K29848" s="12"/>
      <c r="L29848" s="12"/>
      <c r="M29848" s="11"/>
      <c r="N29848" s="11"/>
      <c r="O29848" s="11"/>
      <c r="P29848" s="11"/>
    </row>
    <row r="29849" spans="8:16" x14ac:dyDescent="0.25">
      <c r="H29849" s="12"/>
      <c r="I29849" s="12"/>
      <c r="J29849" s="12"/>
      <c r="K29849" s="12"/>
      <c r="L29849" s="12"/>
      <c r="M29849" s="11"/>
      <c r="N29849" s="11"/>
      <c r="O29849" s="11"/>
      <c r="P29849" s="11"/>
    </row>
    <row r="29850" spans="8:16" x14ac:dyDescent="0.25">
      <c r="H29850" s="12"/>
      <c r="I29850" s="12"/>
      <c r="J29850" s="12"/>
      <c r="K29850" s="12"/>
      <c r="L29850" s="12"/>
      <c r="M29850" s="11"/>
      <c r="N29850" s="11"/>
      <c r="O29850" s="11"/>
      <c r="P29850" s="11"/>
    </row>
    <row r="29851" spans="8:16" x14ac:dyDescent="0.25">
      <c r="H29851" s="12"/>
      <c r="I29851" s="12"/>
      <c r="J29851" s="12"/>
      <c r="K29851" s="12"/>
      <c r="L29851" s="12"/>
      <c r="M29851" s="11"/>
      <c r="N29851" s="11"/>
      <c r="O29851" s="11"/>
      <c r="P29851" s="11"/>
    </row>
    <row r="29852" spans="8:16" x14ac:dyDescent="0.25">
      <c r="H29852" s="12"/>
      <c r="I29852" s="12"/>
      <c r="J29852" s="12"/>
      <c r="K29852" s="12"/>
      <c r="L29852" s="12"/>
      <c r="M29852" s="11"/>
      <c r="N29852" s="11"/>
      <c r="O29852" s="11"/>
      <c r="P29852" s="11"/>
    </row>
    <row r="29853" spans="8:16" x14ac:dyDescent="0.25">
      <c r="H29853" s="12"/>
      <c r="I29853" s="12"/>
      <c r="J29853" s="12"/>
      <c r="K29853" s="12"/>
      <c r="L29853" s="12"/>
      <c r="M29853" s="11"/>
      <c r="N29853" s="11"/>
      <c r="O29853" s="11"/>
      <c r="P29853" s="11"/>
    </row>
    <row r="29854" spans="8:16" x14ac:dyDescent="0.25">
      <c r="H29854" s="12"/>
      <c r="I29854" s="12"/>
      <c r="J29854" s="12"/>
      <c r="K29854" s="12"/>
      <c r="L29854" s="12"/>
      <c r="M29854" s="11"/>
      <c r="N29854" s="11"/>
      <c r="O29854" s="11"/>
      <c r="P29854" s="11"/>
    </row>
    <row r="29855" spans="8:16" x14ac:dyDescent="0.25">
      <c r="H29855" s="12"/>
      <c r="I29855" s="12"/>
      <c r="J29855" s="12"/>
      <c r="K29855" s="12"/>
      <c r="L29855" s="12"/>
      <c r="M29855" s="11"/>
      <c r="N29855" s="11"/>
      <c r="O29855" s="11"/>
      <c r="P29855" s="11"/>
    </row>
    <row r="29856" spans="8:16" x14ac:dyDescent="0.25">
      <c r="H29856" s="12"/>
      <c r="I29856" s="12"/>
      <c r="J29856" s="12"/>
      <c r="K29856" s="12"/>
      <c r="L29856" s="12"/>
      <c r="M29856" s="11"/>
      <c r="N29856" s="11"/>
      <c r="O29856" s="11"/>
      <c r="P29856" s="11"/>
    </row>
    <row r="29857" spans="8:16" x14ac:dyDescent="0.25">
      <c r="H29857" s="12"/>
      <c r="I29857" s="12"/>
      <c r="J29857" s="12"/>
      <c r="K29857" s="12"/>
      <c r="L29857" s="12"/>
      <c r="M29857" s="11"/>
      <c r="N29857" s="11"/>
      <c r="O29857" s="11"/>
      <c r="P29857" s="11"/>
    </row>
    <row r="29858" spans="8:16" x14ac:dyDescent="0.25">
      <c r="H29858" s="12"/>
      <c r="I29858" s="12"/>
      <c r="J29858" s="12"/>
      <c r="K29858" s="12"/>
      <c r="L29858" s="12"/>
      <c r="M29858" s="11"/>
      <c r="N29858" s="11"/>
      <c r="O29858" s="11"/>
      <c r="P29858" s="11"/>
    </row>
    <row r="29859" spans="8:16" x14ac:dyDescent="0.25">
      <c r="H29859" s="12"/>
      <c r="I29859" s="12"/>
      <c r="J29859" s="12"/>
      <c r="K29859" s="12"/>
      <c r="L29859" s="12"/>
      <c r="M29859" s="11"/>
      <c r="N29859" s="11"/>
      <c r="O29859" s="11"/>
      <c r="P29859" s="11"/>
    </row>
    <row r="29860" spans="8:16" x14ac:dyDescent="0.25">
      <c r="H29860" s="12"/>
      <c r="I29860" s="12"/>
      <c r="J29860" s="12"/>
      <c r="K29860" s="12"/>
      <c r="L29860" s="12"/>
      <c r="M29860" s="11"/>
      <c r="N29860" s="11"/>
      <c r="O29860" s="11"/>
      <c r="P29860" s="11"/>
    </row>
    <row r="29861" spans="8:16" x14ac:dyDescent="0.25">
      <c r="H29861" s="12"/>
      <c r="I29861" s="12"/>
      <c r="J29861" s="12"/>
      <c r="K29861" s="12"/>
      <c r="L29861" s="12"/>
      <c r="M29861" s="11"/>
      <c r="N29861" s="11"/>
      <c r="O29861" s="11"/>
      <c r="P29861" s="11"/>
    </row>
    <row r="29862" spans="8:16" x14ac:dyDescent="0.25">
      <c r="H29862" s="12"/>
      <c r="I29862" s="12"/>
      <c r="J29862" s="12"/>
      <c r="K29862" s="12"/>
      <c r="L29862" s="12"/>
      <c r="M29862" s="11"/>
      <c r="N29862" s="11"/>
      <c r="O29862" s="11"/>
      <c r="P29862" s="11"/>
    </row>
    <row r="29863" spans="8:16" x14ac:dyDescent="0.25">
      <c r="H29863" s="12"/>
      <c r="I29863" s="12"/>
      <c r="J29863" s="12"/>
      <c r="K29863" s="12"/>
      <c r="L29863" s="12"/>
      <c r="M29863" s="11"/>
      <c r="N29863" s="11"/>
      <c r="O29863" s="11"/>
      <c r="P29863" s="11"/>
    </row>
    <row r="29864" spans="8:16" x14ac:dyDescent="0.25">
      <c r="H29864" s="12"/>
      <c r="I29864" s="12"/>
      <c r="J29864" s="12"/>
      <c r="K29864" s="12"/>
      <c r="L29864" s="12"/>
      <c r="M29864" s="11"/>
      <c r="N29864" s="11"/>
      <c r="O29864" s="11"/>
      <c r="P29864" s="11"/>
    </row>
    <row r="29865" spans="8:16" x14ac:dyDescent="0.25">
      <c r="H29865" s="12"/>
      <c r="I29865" s="12"/>
      <c r="J29865" s="12"/>
      <c r="K29865" s="12"/>
      <c r="L29865" s="12"/>
      <c r="M29865" s="11"/>
      <c r="N29865" s="11"/>
      <c r="O29865" s="11"/>
      <c r="P29865" s="11"/>
    </row>
    <row r="29866" spans="8:16" x14ac:dyDescent="0.25">
      <c r="H29866" s="12"/>
      <c r="I29866" s="12"/>
      <c r="J29866" s="12"/>
      <c r="K29866" s="12"/>
      <c r="L29866" s="12"/>
      <c r="M29866" s="11"/>
      <c r="N29866" s="11"/>
      <c r="O29866" s="11"/>
      <c r="P29866" s="11"/>
    </row>
    <row r="29867" spans="8:16" x14ac:dyDescent="0.25">
      <c r="H29867" s="12"/>
      <c r="I29867" s="12"/>
      <c r="J29867" s="12"/>
      <c r="K29867" s="12"/>
      <c r="L29867" s="12"/>
      <c r="M29867" s="11"/>
      <c r="N29867" s="11"/>
      <c r="O29867" s="11"/>
      <c r="P29867" s="11"/>
    </row>
    <row r="29868" spans="8:16" x14ac:dyDescent="0.25">
      <c r="H29868" s="12"/>
      <c r="I29868" s="12"/>
      <c r="J29868" s="12"/>
      <c r="K29868" s="12"/>
      <c r="L29868" s="12"/>
      <c r="M29868" s="11"/>
      <c r="N29868" s="11"/>
      <c r="O29868" s="11"/>
      <c r="P29868" s="11"/>
    </row>
    <row r="29869" spans="8:16" x14ac:dyDescent="0.25">
      <c r="H29869" s="12"/>
      <c r="I29869" s="12"/>
      <c r="J29869" s="12"/>
      <c r="K29869" s="12"/>
      <c r="L29869" s="12"/>
      <c r="M29869" s="11"/>
      <c r="N29869" s="11"/>
      <c r="O29869" s="11"/>
      <c r="P29869" s="11"/>
    </row>
    <row r="29870" spans="8:16" x14ac:dyDescent="0.25">
      <c r="H29870" s="12"/>
      <c r="I29870" s="12"/>
      <c r="J29870" s="12"/>
      <c r="K29870" s="12"/>
      <c r="L29870" s="12"/>
      <c r="M29870" s="11"/>
      <c r="N29870" s="11"/>
      <c r="O29870" s="11"/>
      <c r="P29870" s="11"/>
    </row>
    <row r="29871" spans="8:16" x14ac:dyDescent="0.25">
      <c r="H29871" s="12"/>
      <c r="I29871" s="12"/>
      <c r="J29871" s="12"/>
      <c r="K29871" s="12"/>
      <c r="L29871" s="12"/>
      <c r="M29871" s="11"/>
      <c r="N29871" s="11"/>
      <c r="O29871" s="11"/>
      <c r="P29871" s="11"/>
    </row>
    <row r="29872" spans="8:16" x14ac:dyDescent="0.25">
      <c r="H29872" s="12"/>
      <c r="I29872" s="12"/>
      <c r="J29872" s="12"/>
      <c r="K29872" s="12"/>
      <c r="L29872" s="12"/>
      <c r="M29872" s="11"/>
      <c r="N29872" s="11"/>
      <c r="O29872" s="11"/>
      <c r="P29872" s="11"/>
    </row>
    <row r="29873" spans="8:16" x14ac:dyDescent="0.25">
      <c r="H29873" s="12"/>
      <c r="I29873" s="12"/>
      <c r="J29873" s="12"/>
      <c r="K29873" s="12"/>
      <c r="L29873" s="12"/>
      <c r="M29873" s="11"/>
      <c r="N29873" s="11"/>
      <c r="O29873" s="11"/>
      <c r="P29873" s="11"/>
    </row>
    <row r="29874" spans="8:16" x14ac:dyDescent="0.25">
      <c r="H29874" s="12"/>
      <c r="I29874" s="12"/>
      <c r="J29874" s="12"/>
      <c r="K29874" s="12"/>
      <c r="L29874" s="12"/>
      <c r="M29874" s="11"/>
      <c r="N29874" s="11"/>
      <c r="O29874" s="11"/>
      <c r="P29874" s="11"/>
    </row>
    <row r="29875" spans="8:16" x14ac:dyDescent="0.25">
      <c r="H29875" s="12"/>
      <c r="I29875" s="12"/>
      <c r="J29875" s="12"/>
      <c r="K29875" s="12"/>
      <c r="L29875" s="12"/>
      <c r="M29875" s="11"/>
      <c r="N29875" s="11"/>
      <c r="O29875" s="11"/>
      <c r="P29875" s="11"/>
    </row>
    <row r="29876" spans="8:16" x14ac:dyDescent="0.25">
      <c r="H29876" s="12"/>
      <c r="I29876" s="12"/>
      <c r="J29876" s="12"/>
      <c r="K29876" s="12"/>
      <c r="L29876" s="12"/>
      <c r="M29876" s="11"/>
      <c r="N29876" s="11"/>
      <c r="O29876" s="11"/>
      <c r="P29876" s="11"/>
    </row>
    <row r="29877" spans="8:16" x14ac:dyDescent="0.25">
      <c r="H29877" s="12"/>
      <c r="I29877" s="12"/>
      <c r="J29877" s="12"/>
      <c r="K29877" s="12"/>
      <c r="L29877" s="12"/>
      <c r="M29877" s="11"/>
      <c r="N29877" s="11"/>
      <c r="O29877" s="11"/>
      <c r="P29877" s="11"/>
    </row>
    <row r="29878" spans="8:16" x14ac:dyDescent="0.25">
      <c r="H29878" s="12"/>
      <c r="I29878" s="12"/>
      <c r="J29878" s="12"/>
      <c r="K29878" s="12"/>
      <c r="L29878" s="12"/>
      <c r="M29878" s="11"/>
      <c r="N29878" s="11"/>
      <c r="O29878" s="11"/>
      <c r="P29878" s="11"/>
    </row>
    <row r="29879" spans="8:16" x14ac:dyDescent="0.25">
      <c r="H29879" s="12"/>
      <c r="I29879" s="12"/>
      <c r="J29879" s="12"/>
      <c r="K29879" s="12"/>
      <c r="L29879" s="12"/>
      <c r="M29879" s="11"/>
      <c r="N29879" s="11"/>
      <c r="O29879" s="11"/>
      <c r="P29879" s="11"/>
    </row>
    <row r="29880" spans="8:16" x14ac:dyDescent="0.25">
      <c r="H29880" s="12"/>
      <c r="I29880" s="12"/>
      <c r="J29880" s="12"/>
      <c r="K29880" s="12"/>
      <c r="L29880" s="12"/>
      <c r="M29880" s="11"/>
      <c r="N29880" s="11"/>
      <c r="O29880" s="11"/>
      <c r="P29880" s="11"/>
    </row>
    <row r="29881" spans="8:16" x14ac:dyDescent="0.25">
      <c r="H29881" s="12"/>
      <c r="I29881" s="12"/>
      <c r="J29881" s="12"/>
      <c r="K29881" s="12"/>
      <c r="L29881" s="12"/>
      <c r="M29881" s="11"/>
      <c r="N29881" s="11"/>
      <c r="O29881" s="11"/>
      <c r="P29881" s="11"/>
    </row>
    <row r="29882" spans="8:16" x14ac:dyDescent="0.25">
      <c r="H29882" s="12"/>
      <c r="I29882" s="12"/>
      <c r="J29882" s="12"/>
      <c r="K29882" s="12"/>
      <c r="L29882" s="12"/>
      <c r="M29882" s="11"/>
      <c r="N29882" s="11"/>
      <c r="O29882" s="11"/>
      <c r="P29882" s="11"/>
    </row>
    <row r="29883" spans="8:16" x14ac:dyDescent="0.25">
      <c r="H29883" s="12"/>
      <c r="I29883" s="12"/>
      <c r="J29883" s="12"/>
      <c r="K29883" s="12"/>
      <c r="L29883" s="12"/>
      <c r="M29883" s="11"/>
      <c r="N29883" s="11"/>
      <c r="O29883" s="11"/>
      <c r="P29883" s="11"/>
    </row>
    <row r="29884" spans="8:16" x14ac:dyDescent="0.25">
      <c r="H29884" s="12"/>
      <c r="I29884" s="12"/>
      <c r="J29884" s="12"/>
      <c r="K29884" s="12"/>
      <c r="L29884" s="12"/>
      <c r="M29884" s="11"/>
      <c r="N29884" s="11"/>
      <c r="O29884" s="11"/>
      <c r="P29884" s="11"/>
    </row>
    <row r="29885" spans="8:16" x14ac:dyDescent="0.25">
      <c r="H29885" s="12"/>
      <c r="I29885" s="12"/>
      <c r="J29885" s="12"/>
      <c r="K29885" s="12"/>
      <c r="L29885" s="12"/>
      <c r="M29885" s="11"/>
      <c r="N29885" s="11"/>
      <c r="O29885" s="11"/>
      <c r="P29885" s="11"/>
    </row>
    <row r="29886" spans="8:16" x14ac:dyDescent="0.25">
      <c r="H29886" s="12"/>
      <c r="I29886" s="12"/>
      <c r="J29886" s="12"/>
      <c r="K29886" s="12"/>
      <c r="L29886" s="12"/>
      <c r="M29886" s="11"/>
      <c r="N29886" s="11"/>
      <c r="O29886" s="11"/>
      <c r="P29886" s="11"/>
    </row>
    <row r="29887" spans="8:16" x14ac:dyDescent="0.25">
      <c r="H29887" s="12"/>
      <c r="I29887" s="12"/>
      <c r="J29887" s="12"/>
      <c r="K29887" s="12"/>
      <c r="L29887" s="12"/>
      <c r="M29887" s="11"/>
      <c r="N29887" s="11"/>
      <c r="O29887" s="11"/>
      <c r="P29887" s="11"/>
    </row>
    <row r="29888" spans="8:16" x14ac:dyDescent="0.25">
      <c r="H29888" s="12"/>
      <c r="I29888" s="12"/>
      <c r="J29888" s="12"/>
      <c r="K29888" s="12"/>
      <c r="L29888" s="12"/>
      <c r="M29888" s="11"/>
      <c r="N29888" s="11"/>
      <c r="O29888" s="11"/>
      <c r="P29888" s="11"/>
    </row>
    <row r="29889" spans="8:16" x14ac:dyDescent="0.25">
      <c r="H29889" s="12"/>
      <c r="I29889" s="12"/>
      <c r="J29889" s="12"/>
      <c r="K29889" s="12"/>
      <c r="L29889" s="12"/>
      <c r="M29889" s="11"/>
      <c r="N29889" s="11"/>
      <c r="O29889" s="11"/>
      <c r="P29889" s="11"/>
    </row>
    <row r="29890" spans="8:16" x14ac:dyDescent="0.25">
      <c r="H29890" s="12"/>
      <c r="I29890" s="12"/>
      <c r="J29890" s="12"/>
      <c r="K29890" s="12"/>
      <c r="L29890" s="12"/>
      <c r="M29890" s="11"/>
      <c r="N29890" s="11"/>
      <c r="O29890" s="11"/>
      <c r="P29890" s="11"/>
    </row>
    <row r="29891" spans="8:16" x14ac:dyDescent="0.25">
      <c r="H29891" s="12"/>
      <c r="I29891" s="12"/>
      <c r="J29891" s="12"/>
      <c r="K29891" s="12"/>
      <c r="L29891" s="12"/>
      <c r="M29891" s="11"/>
      <c r="N29891" s="11"/>
      <c r="O29891" s="11"/>
      <c r="P29891" s="11"/>
    </row>
    <row r="29892" spans="8:16" x14ac:dyDescent="0.25">
      <c r="H29892" s="12"/>
      <c r="I29892" s="12"/>
      <c r="J29892" s="12"/>
      <c r="K29892" s="12"/>
      <c r="L29892" s="12"/>
      <c r="M29892" s="11"/>
      <c r="N29892" s="11"/>
      <c r="O29892" s="11"/>
      <c r="P29892" s="11"/>
    </row>
    <row r="29893" spans="8:16" x14ac:dyDescent="0.25">
      <c r="H29893" s="12"/>
      <c r="I29893" s="12"/>
      <c r="J29893" s="12"/>
      <c r="K29893" s="12"/>
      <c r="L29893" s="12"/>
      <c r="M29893" s="11"/>
      <c r="N29893" s="11"/>
      <c r="O29893" s="11"/>
      <c r="P29893" s="11"/>
    </row>
    <row r="29894" spans="8:16" x14ac:dyDescent="0.25">
      <c r="H29894" s="12"/>
      <c r="I29894" s="12"/>
      <c r="J29894" s="12"/>
      <c r="K29894" s="12"/>
      <c r="L29894" s="12"/>
      <c r="M29894" s="11"/>
      <c r="N29894" s="11"/>
      <c r="O29894" s="11"/>
      <c r="P29894" s="11"/>
    </row>
    <row r="29895" spans="8:16" x14ac:dyDescent="0.25">
      <c r="H29895" s="12"/>
      <c r="I29895" s="12"/>
      <c r="J29895" s="12"/>
      <c r="K29895" s="12"/>
      <c r="L29895" s="12"/>
      <c r="M29895" s="11"/>
      <c r="N29895" s="11"/>
      <c r="O29895" s="11"/>
      <c r="P29895" s="11"/>
    </row>
    <row r="29896" spans="8:16" x14ac:dyDescent="0.25">
      <c r="H29896" s="12"/>
      <c r="I29896" s="12"/>
      <c r="J29896" s="12"/>
      <c r="K29896" s="12"/>
      <c r="L29896" s="12"/>
      <c r="M29896" s="11"/>
      <c r="N29896" s="11"/>
      <c r="O29896" s="11"/>
      <c r="P29896" s="11"/>
    </row>
    <row r="29897" spans="8:16" x14ac:dyDescent="0.25">
      <c r="H29897" s="12"/>
      <c r="I29897" s="12"/>
      <c r="J29897" s="12"/>
      <c r="K29897" s="12"/>
      <c r="L29897" s="12"/>
      <c r="M29897" s="11"/>
      <c r="N29897" s="11"/>
      <c r="O29897" s="11"/>
      <c r="P29897" s="11"/>
    </row>
    <row r="29898" spans="8:16" x14ac:dyDescent="0.25">
      <c r="H29898" s="12"/>
      <c r="I29898" s="12"/>
      <c r="J29898" s="12"/>
      <c r="K29898" s="12"/>
      <c r="L29898" s="12"/>
      <c r="M29898" s="11"/>
      <c r="N29898" s="11"/>
      <c r="O29898" s="11"/>
      <c r="P29898" s="11"/>
    </row>
    <row r="29899" spans="8:16" x14ac:dyDescent="0.25">
      <c r="H29899" s="12"/>
      <c r="I29899" s="12"/>
      <c r="J29899" s="12"/>
      <c r="K29899" s="12"/>
      <c r="L29899" s="12"/>
      <c r="M29899" s="11"/>
      <c r="N29899" s="11"/>
      <c r="O29899" s="11"/>
      <c r="P29899" s="11"/>
    </row>
    <row r="29900" spans="8:16" x14ac:dyDescent="0.25">
      <c r="H29900" s="12"/>
      <c r="I29900" s="12"/>
      <c r="J29900" s="12"/>
      <c r="K29900" s="12"/>
      <c r="L29900" s="12"/>
      <c r="M29900" s="11"/>
      <c r="N29900" s="11"/>
      <c r="O29900" s="11"/>
      <c r="P29900" s="11"/>
    </row>
    <row r="29901" spans="8:16" x14ac:dyDescent="0.25">
      <c r="H29901" s="12"/>
      <c r="I29901" s="12"/>
      <c r="J29901" s="12"/>
      <c r="K29901" s="12"/>
      <c r="L29901" s="12"/>
      <c r="M29901" s="11"/>
      <c r="N29901" s="11"/>
      <c r="O29901" s="11"/>
      <c r="P29901" s="11"/>
    </row>
    <row r="29902" spans="8:16" x14ac:dyDescent="0.25">
      <c r="H29902" s="12"/>
      <c r="I29902" s="12"/>
      <c r="J29902" s="12"/>
      <c r="K29902" s="12"/>
      <c r="L29902" s="12"/>
      <c r="M29902" s="11"/>
      <c r="N29902" s="11"/>
      <c r="O29902" s="11"/>
      <c r="P29902" s="11"/>
    </row>
    <row r="29903" spans="8:16" x14ac:dyDescent="0.25">
      <c r="H29903" s="12"/>
      <c r="I29903" s="12"/>
      <c r="J29903" s="12"/>
      <c r="K29903" s="12"/>
      <c r="L29903" s="12"/>
      <c r="M29903" s="11"/>
      <c r="N29903" s="11"/>
      <c r="O29903" s="11"/>
      <c r="P29903" s="11"/>
    </row>
    <row r="29904" spans="8:16" x14ac:dyDescent="0.25">
      <c r="H29904" s="12"/>
      <c r="I29904" s="12"/>
      <c r="J29904" s="12"/>
      <c r="K29904" s="12"/>
      <c r="L29904" s="12"/>
      <c r="M29904" s="11"/>
      <c r="N29904" s="11"/>
      <c r="O29904" s="11"/>
      <c r="P29904" s="11"/>
    </row>
    <row r="29905" spans="8:16" x14ac:dyDescent="0.25">
      <c r="H29905" s="12"/>
      <c r="I29905" s="12"/>
      <c r="J29905" s="12"/>
      <c r="K29905" s="12"/>
      <c r="L29905" s="12"/>
      <c r="M29905" s="11"/>
      <c r="N29905" s="11"/>
      <c r="O29905" s="11"/>
      <c r="P29905" s="11"/>
    </row>
    <row r="29906" spans="8:16" x14ac:dyDescent="0.25">
      <c r="H29906" s="12"/>
      <c r="I29906" s="12"/>
      <c r="J29906" s="12"/>
      <c r="K29906" s="12"/>
      <c r="L29906" s="12"/>
      <c r="M29906" s="11"/>
      <c r="N29906" s="11"/>
      <c r="O29906" s="11"/>
      <c r="P29906" s="11"/>
    </row>
    <row r="29907" spans="8:16" x14ac:dyDescent="0.25">
      <c r="H29907" s="12"/>
      <c r="I29907" s="12"/>
      <c r="J29907" s="12"/>
      <c r="K29907" s="12"/>
      <c r="L29907" s="12"/>
      <c r="M29907" s="11"/>
      <c r="N29907" s="11"/>
      <c r="O29907" s="11"/>
      <c r="P29907" s="11"/>
    </row>
    <row r="29908" spans="8:16" x14ac:dyDescent="0.25">
      <c r="H29908" s="12"/>
      <c r="I29908" s="12"/>
      <c r="J29908" s="12"/>
      <c r="K29908" s="12"/>
      <c r="L29908" s="12"/>
      <c r="M29908" s="11"/>
      <c r="N29908" s="11"/>
      <c r="O29908" s="11"/>
      <c r="P29908" s="11"/>
    </row>
    <row r="29909" spans="8:16" x14ac:dyDescent="0.25">
      <c r="H29909" s="12"/>
      <c r="I29909" s="12"/>
      <c r="J29909" s="12"/>
      <c r="K29909" s="12"/>
      <c r="L29909" s="12"/>
      <c r="M29909" s="11"/>
      <c r="N29909" s="11"/>
      <c r="O29909" s="11"/>
      <c r="P29909" s="11"/>
    </row>
    <row r="29910" spans="8:16" x14ac:dyDescent="0.25">
      <c r="H29910" s="12"/>
      <c r="I29910" s="12"/>
      <c r="J29910" s="12"/>
      <c r="K29910" s="12"/>
      <c r="L29910" s="12"/>
      <c r="M29910" s="11"/>
      <c r="N29910" s="11"/>
      <c r="O29910" s="11"/>
      <c r="P29910" s="11"/>
    </row>
    <row r="29911" spans="8:16" x14ac:dyDescent="0.25">
      <c r="H29911" s="12"/>
      <c r="I29911" s="12"/>
      <c r="J29911" s="12"/>
      <c r="K29911" s="12"/>
      <c r="L29911" s="12"/>
      <c r="M29911" s="11"/>
      <c r="N29911" s="11"/>
      <c r="O29911" s="11"/>
      <c r="P29911" s="11"/>
    </row>
    <row r="29912" spans="8:16" x14ac:dyDescent="0.25">
      <c r="H29912" s="12"/>
      <c r="I29912" s="12"/>
      <c r="J29912" s="12"/>
      <c r="K29912" s="12"/>
      <c r="L29912" s="12"/>
      <c r="M29912" s="11"/>
      <c r="N29912" s="11"/>
      <c r="O29912" s="11"/>
      <c r="P29912" s="11"/>
    </row>
    <row r="29913" spans="8:16" x14ac:dyDescent="0.25">
      <c r="H29913" s="12"/>
      <c r="I29913" s="12"/>
      <c r="J29913" s="12"/>
      <c r="K29913" s="12"/>
      <c r="L29913" s="12"/>
      <c r="M29913" s="11"/>
      <c r="N29913" s="11"/>
      <c r="O29913" s="11"/>
      <c r="P29913" s="11"/>
    </row>
    <row r="29914" spans="8:16" x14ac:dyDescent="0.25">
      <c r="H29914" s="12"/>
      <c r="I29914" s="12"/>
      <c r="J29914" s="12"/>
      <c r="K29914" s="12"/>
      <c r="L29914" s="12"/>
      <c r="M29914" s="11"/>
      <c r="N29914" s="11"/>
      <c r="O29914" s="11"/>
      <c r="P29914" s="11"/>
    </row>
    <row r="29915" spans="8:16" x14ac:dyDescent="0.25">
      <c r="H29915" s="12"/>
      <c r="I29915" s="12"/>
      <c r="J29915" s="12"/>
      <c r="K29915" s="12"/>
      <c r="L29915" s="12"/>
      <c r="M29915" s="11"/>
      <c r="N29915" s="11"/>
      <c r="O29915" s="11"/>
      <c r="P29915" s="11"/>
    </row>
    <row r="29916" spans="8:16" x14ac:dyDescent="0.25">
      <c r="H29916" s="12"/>
      <c r="I29916" s="12"/>
      <c r="J29916" s="12"/>
      <c r="K29916" s="12"/>
      <c r="L29916" s="12"/>
      <c r="M29916" s="11"/>
      <c r="N29916" s="11"/>
      <c r="O29916" s="11"/>
      <c r="P29916" s="11"/>
    </row>
    <row r="29917" spans="8:16" x14ac:dyDescent="0.25">
      <c r="H29917" s="12"/>
      <c r="I29917" s="12"/>
      <c r="J29917" s="12"/>
      <c r="K29917" s="12"/>
      <c r="L29917" s="12"/>
      <c r="M29917" s="11"/>
      <c r="N29917" s="11"/>
      <c r="O29917" s="11"/>
      <c r="P29917" s="11"/>
    </row>
    <row r="29918" spans="8:16" x14ac:dyDescent="0.25">
      <c r="H29918" s="12"/>
      <c r="I29918" s="12"/>
      <c r="J29918" s="12"/>
      <c r="K29918" s="12"/>
      <c r="L29918" s="12"/>
      <c r="M29918" s="11"/>
      <c r="N29918" s="11"/>
      <c r="O29918" s="11"/>
      <c r="P29918" s="11"/>
    </row>
    <row r="29919" spans="8:16" x14ac:dyDescent="0.25">
      <c r="H29919" s="12"/>
      <c r="I29919" s="12"/>
      <c r="J29919" s="12"/>
      <c r="K29919" s="12"/>
      <c r="L29919" s="12"/>
      <c r="M29919" s="11"/>
      <c r="N29919" s="11"/>
      <c r="O29919" s="11"/>
      <c r="P29919" s="11"/>
    </row>
    <row r="29920" spans="8:16" x14ac:dyDescent="0.25">
      <c r="H29920" s="12"/>
      <c r="I29920" s="12"/>
      <c r="J29920" s="12"/>
      <c r="K29920" s="12"/>
      <c r="L29920" s="12"/>
      <c r="M29920" s="11"/>
      <c r="N29920" s="11"/>
      <c r="O29920" s="11"/>
      <c r="P29920" s="11"/>
    </row>
    <row r="29921" spans="8:16" x14ac:dyDescent="0.25">
      <c r="H29921" s="12"/>
      <c r="I29921" s="12"/>
      <c r="J29921" s="12"/>
      <c r="K29921" s="12"/>
      <c r="L29921" s="12"/>
      <c r="M29921" s="11"/>
      <c r="N29921" s="11"/>
      <c r="O29921" s="11"/>
      <c r="P29921" s="11"/>
    </row>
    <row r="29922" spans="8:16" x14ac:dyDescent="0.25">
      <c r="H29922" s="12"/>
      <c r="I29922" s="12"/>
      <c r="J29922" s="12"/>
      <c r="K29922" s="12"/>
      <c r="L29922" s="12"/>
      <c r="M29922" s="11"/>
      <c r="N29922" s="11"/>
      <c r="O29922" s="11"/>
      <c r="P29922" s="11"/>
    </row>
    <row r="29923" spans="8:16" x14ac:dyDescent="0.25">
      <c r="H29923" s="12"/>
      <c r="I29923" s="12"/>
      <c r="J29923" s="12"/>
      <c r="K29923" s="12"/>
      <c r="L29923" s="12"/>
      <c r="M29923" s="11"/>
      <c r="N29923" s="11"/>
      <c r="O29923" s="11"/>
      <c r="P29923" s="11"/>
    </row>
    <row r="29924" spans="8:16" x14ac:dyDescent="0.25">
      <c r="H29924" s="12"/>
      <c r="I29924" s="12"/>
      <c r="J29924" s="12"/>
      <c r="K29924" s="12"/>
      <c r="L29924" s="12"/>
      <c r="M29924" s="11"/>
      <c r="N29924" s="11"/>
      <c r="O29924" s="11"/>
      <c r="P29924" s="11"/>
    </row>
    <row r="29925" spans="8:16" x14ac:dyDescent="0.25">
      <c r="H29925" s="12"/>
      <c r="I29925" s="12"/>
      <c r="J29925" s="12"/>
      <c r="K29925" s="12"/>
      <c r="L29925" s="12"/>
      <c r="M29925" s="11"/>
      <c r="N29925" s="11"/>
      <c r="O29925" s="11"/>
      <c r="P29925" s="11"/>
    </row>
    <row r="29926" spans="8:16" x14ac:dyDescent="0.25">
      <c r="H29926" s="12"/>
      <c r="I29926" s="12"/>
      <c r="J29926" s="12"/>
      <c r="K29926" s="12"/>
      <c r="L29926" s="12"/>
      <c r="M29926" s="11"/>
      <c r="N29926" s="11"/>
      <c r="O29926" s="11"/>
      <c r="P29926" s="11"/>
    </row>
    <row r="29927" spans="8:16" x14ac:dyDescent="0.25">
      <c r="H29927" s="12"/>
      <c r="I29927" s="12"/>
      <c r="J29927" s="12"/>
      <c r="K29927" s="12"/>
      <c r="L29927" s="12"/>
      <c r="M29927" s="11"/>
      <c r="N29927" s="11"/>
      <c r="O29927" s="11"/>
      <c r="P29927" s="11"/>
    </row>
    <row r="29928" spans="8:16" x14ac:dyDescent="0.25">
      <c r="H29928" s="12"/>
      <c r="I29928" s="12"/>
      <c r="J29928" s="12"/>
      <c r="K29928" s="12"/>
      <c r="L29928" s="12"/>
      <c r="M29928" s="11"/>
      <c r="N29928" s="11"/>
      <c r="O29928" s="11"/>
      <c r="P29928" s="11"/>
    </row>
    <row r="29929" spans="8:16" x14ac:dyDescent="0.25">
      <c r="H29929" s="12"/>
      <c r="I29929" s="12"/>
      <c r="J29929" s="12"/>
      <c r="K29929" s="12"/>
      <c r="L29929" s="12"/>
      <c r="M29929" s="11"/>
      <c r="N29929" s="11"/>
      <c r="O29929" s="11"/>
      <c r="P29929" s="11"/>
    </row>
    <row r="29930" spans="8:16" x14ac:dyDescent="0.25">
      <c r="H29930" s="12"/>
      <c r="I29930" s="12"/>
      <c r="J29930" s="12"/>
      <c r="K29930" s="12"/>
      <c r="L29930" s="12"/>
      <c r="M29930" s="11"/>
      <c r="N29930" s="11"/>
      <c r="O29930" s="11"/>
      <c r="P29930" s="11"/>
    </row>
    <row r="29931" spans="8:16" x14ac:dyDescent="0.25">
      <c r="H29931" s="12"/>
      <c r="I29931" s="12"/>
      <c r="J29931" s="12"/>
      <c r="K29931" s="12"/>
      <c r="L29931" s="12"/>
      <c r="M29931" s="11"/>
      <c r="N29931" s="11"/>
      <c r="O29931" s="11"/>
      <c r="P29931" s="11"/>
    </row>
    <row r="29932" spans="8:16" x14ac:dyDescent="0.25">
      <c r="H29932" s="12"/>
      <c r="I29932" s="12"/>
      <c r="J29932" s="12"/>
      <c r="K29932" s="12"/>
      <c r="L29932" s="12"/>
      <c r="M29932" s="11"/>
      <c r="N29932" s="11"/>
      <c r="O29932" s="11"/>
      <c r="P29932" s="11"/>
    </row>
    <row r="29933" spans="8:16" x14ac:dyDescent="0.25">
      <c r="H29933" s="12"/>
      <c r="I29933" s="12"/>
      <c r="J29933" s="12"/>
      <c r="K29933" s="12"/>
      <c r="L29933" s="12"/>
      <c r="M29933" s="11"/>
      <c r="N29933" s="11"/>
      <c r="O29933" s="11"/>
      <c r="P29933" s="11"/>
    </row>
    <row r="29934" spans="8:16" x14ac:dyDescent="0.25">
      <c r="H29934" s="12"/>
      <c r="I29934" s="12"/>
      <c r="J29934" s="12"/>
      <c r="K29934" s="12"/>
      <c r="L29934" s="12"/>
      <c r="M29934" s="11"/>
      <c r="N29934" s="11"/>
      <c r="O29934" s="11"/>
      <c r="P29934" s="11"/>
    </row>
    <row r="29935" spans="8:16" x14ac:dyDescent="0.25">
      <c r="H29935" s="12"/>
      <c r="I29935" s="12"/>
      <c r="J29935" s="12"/>
      <c r="K29935" s="12"/>
      <c r="L29935" s="12"/>
      <c r="M29935" s="11"/>
      <c r="N29935" s="11"/>
      <c r="O29935" s="11"/>
      <c r="P29935" s="11"/>
    </row>
    <row r="29936" spans="8:16" x14ac:dyDescent="0.25">
      <c r="H29936" s="12"/>
      <c r="I29936" s="12"/>
      <c r="J29936" s="12"/>
      <c r="K29936" s="12"/>
      <c r="L29936" s="12"/>
      <c r="M29936" s="11"/>
      <c r="N29936" s="11"/>
      <c r="O29936" s="11"/>
      <c r="P29936" s="11"/>
    </row>
    <row r="29937" spans="8:16" x14ac:dyDescent="0.25">
      <c r="H29937" s="12"/>
      <c r="I29937" s="12"/>
      <c r="J29937" s="12"/>
      <c r="K29937" s="12"/>
      <c r="L29937" s="12"/>
      <c r="M29937" s="11"/>
      <c r="N29937" s="11"/>
      <c r="O29937" s="11"/>
      <c r="P29937" s="11"/>
    </row>
    <row r="29938" spans="8:16" x14ac:dyDescent="0.25">
      <c r="H29938" s="12"/>
      <c r="I29938" s="12"/>
      <c r="J29938" s="12"/>
      <c r="K29938" s="12"/>
      <c r="L29938" s="12"/>
      <c r="M29938" s="11"/>
      <c r="N29938" s="11"/>
      <c r="O29938" s="11"/>
      <c r="P29938" s="11"/>
    </row>
    <row r="29939" spans="8:16" x14ac:dyDescent="0.25">
      <c r="H29939" s="12"/>
      <c r="I29939" s="12"/>
      <c r="J29939" s="12"/>
      <c r="K29939" s="12"/>
      <c r="L29939" s="12"/>
      <c r="M29939" s="11"/>
      <c r="N29939" s="11"/>
      <c r="O29939" s="11"/>
      <c r="P29939" s="11"/>
    </row>
    <row r="29940" spans="8:16" x14ac:dyDescent="0.25">
      <c r="H29940" s="12"/>
      <c r="I29940" s="12"/>
      <c r="J29940" s="12"/>
      <c r="K29940" s="12"/>
      <c r="L29940" s="12"/>
      <c r="M29940" s="11"/>
      <c r="N29940" s="11"/>
      <c r="O29940" s="11"/>
      <c r="P29940" s="11"/>
    </row>
    <row r="29941" spans="8:16" x14ac:dyDescent="0.25">
      <c r="H29941" s="12"/>
      <c r="I29941" s="12"/>
      <c r="J29941" s="12"/>
      <c r="K29941" s="12"/>
      <c r="L29941" s="12"/>
      <c r="M29941" s="11"/>
      <c r="N29941" s="11"/>
      <c r="O29941" s="11"/>
      <c r="P29941" s="11"/>
    </row>
    <row r="29942" spans="8:16" x14ac:dyDescent="0.25">
      <c r="H29942" s="12"/>
      <c r="I29942" s="12"/>
      <c r="J29942" s="12"/>
      <c r="K29942" s="12"/>
      <c r="L29942" s="12"/>
      <c r="M29942" s="11"/>
      <c r="N29942" s="11"/>
      <c r="O29942" s="11"/>
      <c r="P29942" s="11"/>
    </row>
    <row r="29943" spans="8:16" x14ac:dyDescent="0.25">
      <c r="H29943" s="12"/>
      <c r="I29943" s="12"/>
      <c r="J29943" s="12"/>
      <c r="K29943" s="12"/>
      <c r="L29943" s="12"/>
      <c r="M29943" s="11"/>
      <c r="N29943" s="11"/>
      <c r="O29943" s="11"/>
      <c r="P29943" s="11"/>
    </row>
    <row r="29944" spans="8:16" x14ac:dyDescent="0.25">
      <c r="H29944" s="12"/>
      <c r="I29944" s="12"/>
      <c r="J29944" s="12"/>
      <c r="K29944" s="12"/>
      <c r="L29944" s="12"/>
      <c r="M29944" s="11"/>
      <c r="N29944" s="11"/>
      <c r="O29944" s="11"/>
      <c r="P29944" s="11"/>
    </row>
    <row r="29945" spans="8:16" x14ac:dyDescent="0.25">
      <c r="H29945" s="12"/>
      <c r="I29945" s="12"/>
      <c r="J29945" s="12"/>
      <c r="K29945" s="12"/>
      <c r="L29945" s="12"/>
      <c r="M29945" s="11"/>
      <c r="N29945" s="11"/>
      <c r="O29945" s="11"/>
      <c r="P29945" s="11"/>
    </row>
    <row r="29946" spans="8:16" x14ac:dyDescent="0.25">
      <c r="H29946" s="12"/>
      <c r="I29946" s="12"/>
      <c r="J29946" s="12"/>
      <c r="K29946" s="12"/>
      <c r="L29946" s="12"/>
      <c r="M29946" s="11"/>
      <c r="N29946" s="11"/>
      <c r="O29946" s="11"/>
      <c r="P29946" s="11"/>
    </row>
    <row r="29947" spans="8:16" x14ac:dyDescent="0.25">
      <c r="H29947" s="12"/>
      <c r="I29947" s="12"/>
      <c r="J29947" s="12"/>
      <c r="K29947" s="12"/>
      <c r="L29947" s="12"/>
      <c r="M29947" s="11"/>
      <c r="N29947" s="11"/>
      <c r="O29947" s="11"/>
      <c r="P29947" s="11"/>
    </row>
    <row r="29948" spans="8:16" x14ac:dyDescent="0.25">
      <c r="H29948" s="12"/>
      <c r="I29948" s="12"/>
      <c r="J29948" s="12"/>
      <c r="K29948" s="12"/>
      <c r="L29948" s="12"/>
      <c r="M29948" s="11"/>
      <c r="N29948" s="11"/>
      <c r="O29948" s="11"/>
      <c r="P29948" s="11"/>
    </row>
    <row r="29949" spans="8:16" x14ac:dyDescent="0.25">
      <c r="H29949" s="12"/>
      <c r="I29949" s="12"/>
      <c r="J29949" s="12"/>
      <c r="K29949" s="12"/>
      <c r="L29949" s="12"/>
      <c r="M29949" s="11"/>
      <c r="N29949" s="11"/>
      <c r="O29949" s="11"/>
      <c r="P29949" s="11"/>
    </row>
    <row r="29950" spans="8:16" x14ac:dyDescent="0.25">
      <c r="H29950" s="12"/>
      <c r="I29950" s="12"/>
      <c r="J29950" s="12"/>
      <c r="K29950" s="12"/>
      <c r="L29950" s="12"/>
      <c r="M29950" s="11"/>
      <c r="N29950" s="11"/>
      <c r="O29950" s="11"/>
      <c r="P29950" s="11"/>
    </row>
    <row r="29951" spans="8:16" x14ac:dyDescent="0.25">
      <c r="H29951" s="12"/>
      <c r="I29951" s="12"/>
      <c r="J29951" s="12"/>
      <c r="K29951" s="12"/>
      <c r="L29951" s="12"/>
      <c r="M29951" s="11"/>
      <c r="N29951" s="11"/>
      <c r="O29951" s="11"/>
      <c r="P29951" s="11"/>
    </row>
    <row r="29952" spans="8:16" x14ac:dyDescent="0.25">
      <c r="H29952" s="12"/>
      <c r="I29952" s="12"/>
      <c r="J29952" s="12"/>
      <c r="K29952" s="12"/>
      <c r="L29952" s="12"/>
      <c r="M29952" s="11"/>
      <c r="N29952" s="11"/>
      <c r="O29952" s="11"/>
      <c r="P29952" s="11"/>
    </row>
    <row r="29953" spans="8:16" x14ac:dyDescent="0.25">
      <c r="H29953" s="12"/>
      <c r="I29953" s="12"/>
      <c r="J29953" s="12"/>
      <c r="K29953" s="12"/>
      <c r="L29953" s="12"/>
      <c r="M29953" s="11"/>
      <c r="N29953" s="11"/>
      <c r="O29953" s="11"/>
      <c r="P29953" s="11"/>
    </row>
    <row r="29954" spans="8:16" x14ac:dyDescent="0.25">
      <c r="H29954" s="12"/>
      <c r="I29954" s="12"/>
      <c r="J29954" s="12"/>
      <c r="K29954" s="12"/>
      <c r="L29954" s="12"/>
      <c r="M29954" s="11"/>
      <c r="N29954" s="11"/>
      <c r="O29954" s="11"/>
      <c r="P29954" s="11"/>
    </row>
    <row r="29955" spans="8:16" x14ac:dyDescent="0.25">
      <c r="H29955" s="12"/>
      <c r="I29955" s="12"/>
      <c r="J29955" s="12"/>
      <c r="K29955" s="12"/>
      <c r="L29955" s="12"/>
      <c r="M29955" s="11"/>
      <c r="N29955" s="11"/>
      <c r="O29955" s="11"/>
      <c r="P29955" s="11"/>
    </row>
    <row r="29956" spans="8:16" x14ac:dyDescent="0.25">
      <c r="H29956" s="12"/>
      <c r="I29956" s="12"/>
      <c r="J29956" s="12"/>
      <c r="K29956" s="12"/>
      <c r="L29956" s="12"/>
      <c r="M29956" s="11"/>
      <c r="N29956" s="11"/>
      <c r="O29956" s="11"/>
      <c r="P29956" s="11"/>
    </row>
    <row r="29957" spans="8:16" x14ac:dyDescent="0.25">
      <c r="H29957" s="12"/>
      <c r="I29957" s="12"/>
      <c r="J29957" s="12"/>
      <c r="K29957" s="12"/>
      <c r="L29957" s="12"/>
      <c r="M29957" s="11"/>
      <c r="N29957" s="11"/>
      <c r="O29957" s="11"/>
      <c r="P29957" s="11"/>
    </row>
    <row r="29958" spans="8:16" x14ac:dyDescent="0.25">
      <c r="H29958" s="12"/>
      <c r="I29958" s="12"/>
      <c r="J29958" s="12"/>
      <c r="K29958" s="12"/>
      <c r="L29958" s="12"/>
      <c r="M29958" s="11"/>
      <c r="N29958" s="11"/>
      <c r="O29958" s="11"/>
      <c r="P29958" s="11"/>
    </row>
    <row r="29959" spans="8:16" x14ac:dyDescent="0.25">
      <c r="H29959" s="12"/>
      <c r="I29959" s="12"/>
      <c r="J29959" s="12"/>
      <c r="K29959" s="12"/>
      <c r="L29959" s="12"/>
      <c r="M29959" s="11"/>
      <c r="N29959" s="11"/>
      <c r="O29959" s="11"/>
      <c r="P29959" s="11"/>
    </row>
    <row r="29960" spans="8:16" x14ac:dyDescent="0.25">
      <c r="H29960" s="12"/>
      <c r="I29960" s="12"/>
      <c r="J29960" s="12"/>
      <c r="K29960" s="12"/>
      <c r="L29960" s="12"/>
      <c r="M29960" s="11"/>
      <c r="N29960" s="11"/>
      <c r="O29960" s="11"/>
      <c r="P29960" s="11"/>
    </row>
    <row r="29961" spans="8:16" x14ac:dyDescent="0.25">
      <c r="H29961" s="12"/>
      <c r="I29961" s="12"/>
      <c r="J29961" s="12"/>
      <c r="K29961" s="12"/>
      <c r="L29961" s="12"/>
      <c r="M29961" s="11"/>
      <c r="N29961" s="11"/>
      <c r="O29961" s="11"/>
      <c r="P29961" s="11"/>
    </row>
    <row r="29962" spans="8:16" x14ac:dyDescent="0.25">
      <c r="H29962" s="12"/>
      <c r="I29962" s="12"/>
      <c r="J29962" s="12"/>
      <c r="K29962" s="12"/>
      <c r="L29962" s="12"/>
      <c r="M29962" s="11"/>
      <c r="N29962" s="11"/>
      <c r="O29962" s="11"/>
      <c r="P29962" s="11"/>
    </row>
    <row r="29963" spans="8:16" x14ac:dyDescent="0.25">
      <c r="H29963" s="12"/>
      <c r="I29963" s="12"/>
      <c r="J29963" s="12"/>
      <c r="K29963" s="12"/>
      <c r="L29963" s="12"/>
      <c r="M29963" s="11"/>
      <c r="N29963" s="11"/>
      <c r="O29963" s="11"/>
      <c r="P29963" s="11"/>
    </row>
    <row r="29964" spans="8:16" x14ac:dyDescent="0.25">
      <c r="H29964" s="12"/>
      <c r="I29964" s="12"/>
      <c r="J29964" s="12"/>
      <c r="K29964" s="12"/>
      <c r="L29964" s="12"/>
      <c r="M29964" s="11"/>
      <c r="N29964" s="11"/>
      <c r="O29964" s="11"/>
      <c r="P29964" s="11"/>
    </row>
    <row r="29965" spans="8:16" x14ac:dyDescent="0.25">
      <c r="H29965" s="12"/>
      <c r="I29965" s="12"/>
      <c r="J29965" s="12"/>
      <c r="K29965" s="12"/>
      <c r="L29965" s="12"/>
      <c r="M29965" s="11"/>
      <c r="N29965" s="11"/>
      <c r="O29965" s="11"/>
      <c r="P29965" s="11"/>
    </row>
    <row r="29966" spans="8:16" x14ac:dyDescent="0.25">
      <c r="H29966" s="12"/>
      <c r="I29966" s="12"/>
      <c r="J29966" s="12"/>
      <c r="K29966" s="12"/>
      <c r="L29966" s="12"/>
      <c r="M29966" s="11"/>
      <c r="N29966" s="11"/>
      <c r="O29966" s="11"/>
      <c r="P29966" s="11"/>
    </row>
    <row r="29967" spans="8:16" x14ac:dyDescent="0.25">
      <c r="H29967" s="12"/>
      <c r="I29967" s="12"/>
      <c r="J29967" s="12"/>
      <c r="K29967" s="12"/>
      <c r="L29967" s="12"/>
      <c r="M29967" s="11"/>
      <c r="N29967" s="11"/>
      <c r="O29967" s="11"/>
      <c r="P29967" s="11"/>
    </row>
    <row r="29968" spans="8:16" x14ac:dyDescent="0.25">
      <c r="H29968" s="12"/>
      <c r="I29968" s="12"/>
      <c r="J29968" s="12"/>
      <c r="K29968" s="12"/>
      <c r="L29968" s="12"/>
      <c r="M29968" s="11"/>
      <c r="N29968" s="11"/>
      <c r="O29968" s="11"/>
      <c r="P29968" s="11"/>
    </row>
    <row r="29969" spans="8:16" x14ac:dyDescent="0.25">
      <c r="H29969" s="12"/>
      <c r="I29969" s="12"/>
      <c r="J29969" s="12"/>
      <c r="K29969" s="12"/>
      <c r="L29969" s="12"/>
      <c r="M29969" s="11"/>
      <c r="N29969" s="11"/>
      <c r="O29969" s="11"/>
      <c r="P29969" s="11"/>
    </row>
    <row r="29970" spans="8:16" x14ac:dyDescent="0.25">
      <c r="H29970" s="12"/>
      <c r="I29970" s="12"/>
      <c r="J29970" s="12"/>
      <c r="K29970" s="12"/>
      <c r="L29970" s="12"/>
      <c r="M29970" s="11"/>
      <c r="N29970" s="11"/>
      <c r="O29970" s="11"/>
      <c r="P29970" s="11"/>
    </row>
    <row r="29971" spans="8:16" x14ac:dyDescent="0.25">
      <c r="H29971" s="12"/>
      <c r="I29971" s="12"/>
      <c r="J29971" s="12"/>
      <c r="K29971" s="12"/>
      <c r="L29971" s="12"/>
      <c r="M29971" s="11"/>
      <c r="N29971" s="11"/>
      <c r="O29971" s="11"/>
      <c r="P29971" s="11"/>
    </row>
    <row r="29972" spans="8:16" x14ac:dyDescent="0.25">
      <c r="H29972" s="12"/>
      <c r="I29972" s="12"/>
      <c r="J29972" s="12"/>
      <c r="K29972" s="12"/>
      <c r="L29972" s="12"/>
      <c r="M29972" s="11"/>
      <c r="N29972" s="11"/>
      <c r="O29972" s="11"/>
      <c r="P29972" s="11"/>
    </row>
    <row r="29973" spans="8:16" x14ac:dyDescent="0.25">
      <c r="H29973" s="12"/>
      <c r="I29973" s="12"/>
      <c r="J29973" s="12"/>
      <c r="K29973" s="12"/>
      <c r="L29973" s="12"/>
      <c r="M29973" s="11"/>
      <c r="N29973" s="11"/>
      <c r="O29973" s="11"/>
      <c r="P29973" s="11"/>
    </row>
    <row r="29974" spans="8:16" x14ac:dyDescent="0.25">
      <c r="H29974" s="12"/>
      <c r="I29974" s="12"/>
      <c r="J29974" s="12"/>
      <c r="K29974" s="12"/>
      <c r="L29974" s="12"/>
      <c r="M29974" s="11"/>
      <c r="N29974" s="11"/>
      <c r="O29974" s="11"/>
      <c r="P29974" s="11"/>
    </row>
    <row r="29975" spans="8:16" x14ac:dyDescent="0.25">
      <c r="H29975" s="12"/>
      <c r="I29975" s="12"/>
      <c r="J29975" s="12"/>
      <c r="K29975" s="12"/>
      <c r="L29975" s="12"/>
      <c r="M29975" s="11"/>
      <c r="N29975" s="11"/>
      <c r="O29975" s="11"/>
      <c r="P29975" s="11"/>
    </row>
    <row r="29976" spans="8:16" x14ac:dyDescent="0.25">
      <c r="H29976" s="12"/>
      <c r="I29976" s="12"/>
      <c r="J29976" s="12"/>
      <c r="K29976" s="12"/>
      <c r="L29976" s="12"/>
      <c r="M29976" s="11"/>
      <c r="N29976" s="11"/>
      <c r="O29976" s="11"/>
      <c r="P29976" s="11"/>
    </row>
    <row r="29977" spans="8:16" x14ac:dyDescent="0.25">
      <c r="H29977" s="12"/>
      <c r="I29977" s="12"/>
      <c r="J29977" s="12"/>
      <c r="K29977" s="12"/>
      <c r="L29977" s="12"/>
      <c r="M29977" s="11"/>
      <c r="N29977" s="11"/>
      <c r="O29977" s="11"/>
      <c r="P29977" s="11"/>
    </row>
    <row r="29978" spans="8:16" x14ac:dyDescent="0.25">
      <c r="H29978" s="12"/>
      <c r="I29978" s="12"/>
      <c r="J29978" s="12"/>
      <c r="K29978" s="12"/>
      <c r="L29978" s="12"/>
      <c r="M29978" s="11"/>
      <c r="N29978" s="11"/>
      <c r="O29978" s="11"/>
      <c r="P29978" s="11"/>
    </row>
    <row r="29979" spans="8:16" x14ac:dyDescent="0.25">
      <c r="H29979" s="12"/>
      <c r="I29979" s="12"/>
      <c r="J29979" s="12"/>
      <c r="K29979" s="12"/>
      <c r="L29979" s="12"/>
      <c r="M29979" s="11"/>
      <c r="N29979" s="11"/>
      <c r="O29979" s="11"/>
      <c r="P29979" s="11"/>
    </row>
    <row r="29980" spans="8:16" x14ac:dyDescent="0.25">
      <c r="H29980" s="12"/>
      <c r="I29980" s="12"/>
      <c r="J29980" s="12"/>
      <c r="K29980" s="12"/>
      <c r="L29980" s="12"/>
      <c r="M29980" s="11"/>
      <c r="N29980" s="11"/>
      <c r="O29980" s="11"/>
      <c r="P29980" s="11"/>
    </row>
    <row r="29981" spans="8:16" x14ac:dyDescent="0.25">
      <c r="H29981" s="12"/>
      <c r="I29981" s="12"/>
      <c r="J29981" s="12"/>
      <c r="K29981" s="12"/>
      <c r="L29981" s="12"/>
      <c r="M29981" s="11"/>
      <c r="N29981" s="11"/>
      <c r="O29981" s="11"/>
      <c r="P29981" s="11"/>
    </row>
    <row r="29982" spans="8:16" x14ac:dyDescent="0.25">
      <c r="H29982" s="12"/>
      <c r="I29982" s="12"/>
      <c r="J29982" s="12"/>
      <c r="K29982" s="12"/>
      <c r="L29982" s="12"/>
      <c r="M29982" s="11"/>
      <c r="N29982" s="11"/>
      <c r="O29982" s="11"/>
      <c r="P29982" s="11"/>
    </row>
    <row r="29983" spans="8:16" x14ac:dyDescent="0.25">
      <c r="H29983" s="12"/>
      <c r="I29983" s="12"/>
      <c r="J29983" s="12"/>
      <c r="K29983" s="12"/>
      <c r="L29983" s="12"/>
      <c r="M29983" s="11"/>
      <c r="N29983" s="11"/>
      <c r="O29983" s="11"/>
      <c r="P29983" s="11"/>
    </row>
    <row r="29984" spans="8:16" x14ac:dyDescent="0.25">
      <c r="H29984" s="12"/>
      <c r="I29984" s="12"/>
      <c r="J29984" s="12"/>
      <c r="K29984" s="12"/>
      <c r="L29984" s="12"/>
      <c r="M29984" s="11"/>
      <c r="N29984" s="11"/>
      <c r="O29984" s="11"/>
      <c r="P29984" s="11"/>
    </row>
    <row r="29985" spans="8:16" x14ac:dyDescent="0.25">
      <c r="H29985" s="12"/>
      <c r="I29985" s="12"/>
      <c r="J29985" s="12"/>
      <c r="K29985" s="12"/>
      <c r="L29985" s="12"/>
      <c r="M29985" s="11"/>
      <c r="N29985" s="11"/>
      <c r="O29985" s="11"/>
      <c r="P29985" s="11"/>
    </row>
    <row r="29986" spans="8:16" x14ac:dyDescent="0.25">
      <c r="H29986" s="12"/>
      <c r="I29986" s="12"/>
      <c r="J29986" s="12"/>
      <c r="K29986" s="12"/>
      <c r="L29986" s="12"/>
      <c r="M29986" s="11"/>
      <c r="N29986" s="11"/>
      <c r="O29986" s="11"/>
      <c r="P29986" s="11"/>
    </row>
    <row r="29987" spans="8:16" x14ac:dyDescent="0.25">
      <c r="H29987" s="12"/>
      <c r="I29987" s="12"/>
      <c r="J29987" s="12"/>
      <c r="K29987" s="12"/>
      <c r="L29987" s="12"/>
      <c r="M29987" s="11"/>
      <c r="N29987" s="11"/>
      <c r="O29987" s="11"/>
      <c r="P29987" s="11"/>
    </row>
    <row r="29988" spans="8:16" x14ac:dyDescent="0.25">
      <c r="H29988" s="12"/>
      <c r="I29988" s="12"/>
      <c r="J29988" s="12"/>
      <c r="K29988" s="12"/>
      <c r="L29988" s="12"/>
      <c r="M29988" s="11"/>
      <c r="N29988" s="11"/>
      <c r="O29988" s="11"/>
      <c r="P29988" s="11"/>
    </row>
    <row r="29989" spans="8:16" x14ac:dyDescent="0.25">
      <c r="H29989" s="12"/>
      <c r="I29989" s="12"/>
      <c r="J29989" s="12"/>
      <c r="K29989" s="12"/>
      <c r="L29989" s="12"/>
      <c r="M29989" s="11"/>
      <c r="N29989" s="11"/>
      <c r="O29989" s="11"/>
      <c r="P29989" s="11"/>
    </row>
    <row r="29990" spans="8:16" x14ac:dyDescent="0.25">
      <c r="H29990" s="12"/>
      <c r="I29990" s="12"/>
      <c r="J29990" s="12"/>
      <c r="K29990" s="12"/>
      <c r="L29990" s="12"/>
      <c r="M29990" s="11"/>
      <c r="N29990" s="11"/>
      <c r="O29990" s="11"/>
      <c r="P29990" s="11"/>
    </row>
    <row r="29991" spans="8:16" x14ac:dyDescent="0.25">
      <c r="H29991" s="12"/>
      <c r="I29991" s="12"/>
      <c r="J29991" s="12"/>
      <c r="K29991" s="12"/>
      <c r="L29991" s="12"/>
      <c r="M29991" s="11"/>
      <c r="N29991" s="11"/>
      <c r="O29991" s="11"/>
      <c r="P29991" s="11"/>
    </row>
    <row r="29992" spans="8:16" x14ac:dyDescent="0.25">
      <c r="H29992" s="12"/>
      <c r="I29992" s="12"/>
      <c r="J29992" s="12"/>
      <c r="K29992" s="12"/>
      <c r="L29992" s="12"/>
      <c r="M29992" s="11"/>
      <c r="N29992" s="11"/>
      <c r="O29992" s="11"/>
      <c r="P29992" s="11"/>
    </row>
    <row r="29993" spans="8:16" x14ac:dyDescent="0.25">
      <c r="H29993" s="12"/>
      <c r="I29993" s="12"/>
      <c r="J29993" s="12"/>
      <c r="K29993" s="12"/>
      <c r="L29993" s="12"/>
      <c r="M29993" s="11"/>
      <c r="N29993" s="11"/>
      <c r="O29993" s="11"/>
      <c r="P29993" s="11"/>
    </row>
    <row r="29994" spans="8:16" x14ac:dyDescent="0.25">
      <c r="H29994" s="12"/>
      <c r="I29994" s="12"/>
      <c r="J29994" s="12"/>
      <c r="K29994" s="12"/>
      <c r="L29994" s="12"/>
      <c r="M29994" s="11"/>
      <c r="N29994" s="11"/>
      <c r="O29994" s="11"/>
      <c r="P29994" s="11"/>
    </row>
    <row r="29995" spans="8:16" x14ac:dyDescent="0.25">
      <c r="H29995" s="12"/>
      <c r="I29995" s="12"/>
      <c r="J29995" s="12"/>
      <c r="K29995" s="12"/>
      <c r="L29995" s="12"/>
      <c r="M29995" s="11"/>
      <c r="N29995" s="11"/>
      <c r="O29995" s="11"/>
      <c r="P29995" s="11"/>
    </row>
    <row r="29996" spans="8:16" x14ac:dyDescent="0.25">
      <c r="H29996" s="12"/>
      <c r="I29996" s="12"/>
      <c r="J29996" s="12"/>
      <c r="K29996" s="12"/>
      <c r="L29996" s="12"/>
      <c r="M29996" s="11"/>
      <c r="N29996" s="11"/>
      <c r="O29996" s="11"/>
      <c r="P29996" s="11"/>
    </row>
    <row r="29997" spans="8:16" x14ac:dyDescent="0.25">
      <c r="H29997" s="12"/>
      <c r="I29997" s="12"/>
      <c r="J29997" s="12"/>
      <c r="K29997" s="12"/>
      <c r="L29997" s="12"/>
      <c r="M29997" s="11"/>
      <c r="N29997" s="11"/>
      <c r="O29997" s="11"/>
      <c r="P29997" s="11"/>
    </row>
    <row r="29998" spans="8:16" x14ac:dyDescent="0.25">
      <c r="H29998" s="12"/>
      <c r="I29998" s="12"/>
      <c r="J29998" s="12"/>
      <c r="K29998" s="12"/>
      <c r="L29998" s="12"/>
      <c r="M29998" s="11"/>
      <c r="N29998" s="11"/>
      <c r="O29998" s="11"/>
      <c r="P29998" s="11"/>
    </row>
    <row r="29999" spans="8:16" x14ac:dyDescent="0.25">
      <c r="H29999" s="12"/>
      <c r="I29999" s="12"/>
      <c r="J29999" s="12"/>
      <c r="K29999" s="12"/>
      <c r="L29999" s="12"/>
      <c r="M29999" s="11"/>
      <c r="N29999" s="11"/>
      <c r="O29999" s="11"/>
      <c r="P29999" s="11"/>
    </row>
    <row r="30000" spans="8:16" x14ac:dyDescent="0.25">
      <c r="H30000" s="12"/>
      <c r="I30000" s="12"/>
      <c r="J30000" s="12"/>
      <c r="K30000" s="12"/>
      <c r="L30000" s="12"/>
      <c r="M30000" s="11"/>
      <c r="N30000" s="11"/>
      <c r="O30000" s="11"/>
      <c r="P30000" s="11"/>
    </row>
    <row r="30001" spans="8:16" x14ac:dyDescent="0.25">
      <c r="H30001" s="12"/>
      <c r="I30001" s="12"/>
      <c r="J30001" s="12"/>
      <c r="K30001" s="12"/>
      <c r="L30001" s="12"/>
      <c r="M30001" s="11"/>
      <c r="N30001" s="11"/>
      <c r="O30001" s="11"/>
      <c r="P30001" s="11"/>
    </row>
    <row r="30002" spans="8:16" x14ac:dyDescent="0.25">
      <c r="H30002" s="12"/>
      <c r="I30002" s="12"/>
      <c r="J30002" s="12"/>
      <c r="K30002" s="12"/>
      <c r="L30002" s="12"/>
      <c r="M30002" s="11"/>
      <c r="N30002" s="11"/>
      <c r="O30002" s="11"/>
      <c r="P30002" s="11"/>
    </row>
    <row r="30003" spans="8:16" x14ac:dyDescent="0.25">
      <c r="H30003" s="12"/>
      <c r="I30003" s="12"/>
      <c r="J30003" s="12"/>
      <c r="K30003" s="12"/>
      <c r="L30003" s="12"/>
      <c r="M30003" s="11"/>
      <c r="N30003" s="11"/>
      <c r="O30003" s="11"/>
      <c r="P30003" s="11"/>
    </row>
    <row r="30004" spans="8:16" x14ac:dyDescent="0.25">
      <c r="H30004" s="12"/>
      <c r="I30004" s="12"/>
      <c r="J30004" s="12"/>
      <c r="K30004" s="12"/>
      <c r="L30004" s="12"/>
      <c r="M30004" s="11"/>
      <c r="N30004" s="11"/>
      <c r="O30004" s="11"/>
      <c r="P30004" s="11"/>
    </row>
    <row r="30005" spans="8:16" x14ac:dyDescent="0.25">
      <c r="H30005" s="12"/>
      <c r="I30005" s="12"/>
      <c r="J30005" s="12"/>
      <c r="K30005" s="12"/>
      <c r="L30005" s="12"/>
      <c r="M30005" s="11"/>
      <c r="N30005" s="11"/>
      <c r="O30005" s="11"/>
      <c r="P30005" s="11"/>
    </row>
    <row r="30006" spans="8:16" x14ac:dyDescent="0.25">
      <c r="H30006" s="12"/>
      <c r="I30006" s="12"/>
      <c r="J30006" s="12"/>
      <c r="K30006" s="12"/>
      <c r="L30006" s="12"/>
      <c r="M30006" s="11"/>
      <c r="N30006" s="11"/>
      <c r="O30006" s="11"/>
      <c r="P30006" s="11"/>
    </row>
    <row r="30007" spans="8:16" x14ac:dyDescent="0.25">
      <c r="H30007" s="12"/>
      <c r="I30007" s="12"/>
      <c r="J30007" s="12"/>
      <c r="K30007" s="12"/>
      <c r="L30007" s="12"/>
      <c r="M30007" s="11"/>
      <c r="N30007" s="11"/>
      <c r="O30007" s="11"/>
      <c r="P30007" s="11"/>
    </row>
    <row r="30008" spans="8:16" x14ac:dyDescent="0.25">
      <c r="H30008" s="12"/>
      <c r="I30008" s="12"/>
      <c r="J30008" s="12"/>
      <c r="K30008" s="12"/>
      <c r="L30008" s="12"/>
      <c r="M30008" s="11"/>
      <c r="N30008" s="11"/>
      <c r="O30008" s="11"/>
      <c r="P30008" s="11"/>
    </row>
    <row r="30009" spans="8:16" x14ac:dyDescent="0.25">
      <c r="H30009" s="12"/>
      <c r="I30009" s="12"/>
      <c r="J30009" s="12"/>
      <c r="K30009" s="12"/>
      <c r="L30009" s="12"/>
      <c r="M30009" s="11"/>
      <c r="N30009" s="11"/>
      <c r="O30009" s="11"/>
      <c r="P30009" s="11"/>
    </row>
    <row r="30010" spans="8:16" x14ac:dyDescent="0.25">
      <c r="H30010" s="12"/>
      <c r="I30010" s="12"/>
      <c r="J30010" s="12"/>
      <c r="K30010" s="12"/>
      <c r="L30010" s="12"/>
      <c r="M30010" s="11"/>
      <c r="N30010" s="11"/>
      <c r="O30010" s="11"/>
      <c r="P30010" s="11"/>
    </row>
    <row r="30011" spans="8:16" x14ac:dyDescent="0.25">
      <c r="H30011" s="12"/>
      <c r="I30011" s="12"/>
      <c r="J30011" s="12"/>
      <c r="K30011" s="12"/>
      <c r="L30011" s="12"/>
      <c r="M30011" s="11"/>
      <c r="N30011" s="11"/>
      <c r="O30011" s="11"/>
      <c r="P30011" s="11"/>
    </row>
    <row r="30012" spans="8:16" x14ac:dyDescent="0.25">
      <c r="H30012" s="12"/>
      <c r="I30012" s="12"/>
      <c r="J30012" s="12"/>
      <c r="K30012" s="12"/>
      <c r="L30012" s="12"/>
      <c r="M30012" s="11"/>
      <c r="N30012" s="11"/>
      <c r="O30012" s="11"/>
      <c r="P30012" s="11"/>
    </row>
    <row r="30013" spans="8:16" x14ac:dyDescent="0.25">
      <c r="H30013" s="12"/>
      <c r="I30013" s="12"/>
      <c r="J30013" s="12"/>
      <c r="K30013" s="12"/>
      <c r="L30013" s="12"/>
      <c r="M30013" s="11"/>
      <c r="N30013" s="11"/>
      <c r="O30013" s="11"/>
      <c r="P30013" s="11"/>
    </row>
    <row r="30014" spans="8:16" x14ac:dyDescent="0.25">
      <c r="H30014" s="12"/>
      <c r="I30014" s="12"/>
      <c r="J30014" s="12"/>
      <c r="K30014" s="12"/>
      <c r="L30014" s="12"/>
      <c r="M30014" s="11"/>
      <c r="N30014" s="11"/>
      <c r="O30014" s="11"/>
      <c r="P30014" s="11"/>
    </row>
    <row r="30015" spans="8:16" x14ac:dyDescent="0.25">
      <c r="H30015" s="12"/>
      <c r="I30015" s="12"/>
      <c r="J30015" s="12"/>
      <c r="K30015" s="12"/>
      <c r="L30015" s="12"/>
      <c r="M30015" s="11"/>
      <c r="N30015" s="11"/>
      <c r="O30015" s="11"/>
      <c r="P30015" s="11"/>
    </row>
    <row r="30016" spans="8:16" x14ac:dyDescent="0.25">
      <c r="H30016" s="12"/>
      <c r="I30016" s="12"/>
      <c r="J30016" s="12"/>
      <c r="K30016" s="12"/>
      <c r="L30016" s="12"/>
      <c r="M30016" s="11"/>
      <c r="N30016" s="11"/>
      <c r="O30016" s="11"/>
      <c r="P30016" s="11"/>
    </row>
    <row r="30017" spans="8:16" x14ac:dyDescent="0.25">
      <c r="H30017" s="12"/>
      <c r="I30017" s="12"/>
      <c r="J30017" s="12"/>
      <c r="K30017" s="12"/>
      <c r="L30017" s="12"/>
      <c r="M30017" s="11"/>
      <c r="N30017" s="11"/>
      <c r="O30017" s="11"/>
      <c r="P30017" s="11"/>
    </row>
    <row r="30018" spans="8:16" x14ac:dyDescent="0.25">
      <c r="H30018" s="12"/>
      <c r="I30018" s="12"/>
      <c r="J30018" s="12"/>
      <c r="K30018" s="12"/>
      <c r="L30018" s="12"/>
      <c r="M30018" s="11"/>
      <c r="N30018" s="11"/>
      <c r="O30018" s="11"/>
      <c r="P30018" s="11"/>
    </row>
    <row r="30019" spans="8:16" x14ac:dyDescent="0.25">
      <c r="H30019" s="12"/>
      <c r="I30019" s="12"/>
      <c r="J30019" s="12"/>
      <c r="K30019" s="12"/>
      <c r="L30019" s="12"/>
      <c r="M30019" s="11"/>
      <c r="N30019" s="11"/>
      <c r="O30019" s="11"/>
      <c r="P30019" s="11"/>
    </row>
    <row r="30020" spans="8:16" x14ac:dyDescent="0.25">
      <c r="H30020" s="12"/>
      <c r="I30020" s="12"/>
      <c r="J30020" s="12"/>
      <c r="K30020" s="12"/>
      <c r="L30020" s="12"/>
      <c r="M30020" s="11"/>
      <c r="N30020" s="11"/>
      <c r="O30020" s="11"/>
      <c r="P30020" s="11"/>
    </row>
    <row r="30021" spans="8:16" x14ac:dyDescent="0.25">
      <c r="H30021" s="12"/>
      <c r="I30021" s="12"/>
      <c r="J30021" s="12"/>
      <c r="K30021" s="12"/>
      <c r="L30021" s="12"/>
      <c r="M30021" s="11"/>
      <c r="N30021" s="11"/>
      <c r="O30021" s="11"/>
      <c r="P30021" s="11"/>
    </row>
    <row r="30022" spans="8:16" x14ac:dyDescent="0.25">
      <c r="H30022" s="12"/>
      <c r="I30022" s="12"/>
      <c r="J30022" s="12"/>
      <c r="K30022" s="12"/>
      <c r="L30022" s="12"/>
      <c r="M30022" s="11"/>
      <c r="N30022" s="11"/>
      <c r="O30022" s="11"/>
      <c r="P30022" s="11"/>
    </row>
    <row r="30023" spans="8:16" x14ac:dyDescent="0.25">
      <c r="H30023" s="12"/>
      <c r="I30023" s="12"/>
      <c r="J30023" s="12"/>
      <c r="K30023" s="12"/>
      <c r="L30023" s="12"/>
      <c r="M30023" s="11"/>
      <c r="N30023" s="11"/>
      <c r="O30023" s="11"/>
      <c r="P30023" s="11"/>
    </row>
    <row r="30024" spans="8:16" x14ac:dyDescent="0.25">
      <c r="H30024" s="12"/>
      <c r="I30024" s="12"/>
      <c r="J30024" s="12"/>
      <c r="K30024" s="12"/>
      <c r="L30024" s="12"/>
      <c r="M30024" s="11"/>
      <c r="N30024" s="11"/>
      <c r="O30024" s="11"/>
      <c r="P30024" s="11"/>
    </row>
    <row r="30025" spans="8:16" x14ac:dyDescent="0.25">
      <c r="H30025" s="12"/>
      <c r="I30025" s="12"/>
      <c r="J30025" s="12"/>
      <c r="K30025" s="12"/>
      <c r="L30025" s="12"/>
      <c r="M30025" s="11"/>
      <c r="N30025" s="11"/>
      <c r="O30025" s="11"/>
      <c r="P30025" s="11"/>
    </row>
    <row r="30026" spans="8:16" x14ac:dyDescent="0.25">
      <c r="H30026" s="12"/>
      <c r="I30026" s="12"/>
      <c r="J30026" s="12"/>
      <c r="K30026" s="12"/>
      <c r="L30026" s="12"/>
      <c r="M30026" s="11"/>
      <c r="N30026" s="11"/>
      <c r="O30026" s="11"/>
      <c r="P30026" s="11"/>
    </row>
    <row r="30027" spans="8:16" x14ac:dyDescent="0.25">
      <c r="H30027" s="12"/>
      <c r="I30027" s="12"/>
      <c r="J30027" s="12"/>
      <c r="K30027" s="12"/>
      <c r="L30027" s="12"/>
      <c r="M30027" s="11"/>
      <c r="N30027" s="11"/>
      <c r="O30027" s="11"/>
      <c r="P30027" s="11"/>
    </row>
    <row r="30028" spans="8:16" x14ac:dyDescent="0.25">
      <c r="H30028" s="12"/>
      <c r="I30028" s="12"/>
      <c r="J30028" s="12"/>
      <c r="K30028" s="12"/>
      <c r="L30028" s="12"/>
      <c r="M30028" s="11"/>
      <c r="N30028" s="11"/>
      <c r="O30028" s="11"/>
      <c r="P30028" s="11"/>
    </row>
    <row r="30029" spans="8:16" x14ac:dyDescent="0.25">
      <c r="H30029" s="12"/>
      <c r="I30029" s="12"/>
      <c r="J30029" s="12"/>
      <c r="K30029" s="12"/>
      <c r="L30029" s="12"/>
      <c r="M30029" s="11"/>
      <c r="N30029" s="11"/>
      <c r="O30029" s="11"/>
      <c r="P30029" s="11"/>
    </row>
    <row r="30030" spans="8:16" x14ac:dyDescent="0.25">
      <c r="H30030" s="12"/>
      <c r="I30030" s="12"/>
      <c r="J30030" s="12"/>
      <c r="K30030" s="12"/>
      <c r="L30030" s="12"/>
      <c r="M30030" s="11"/>
      <c r="N30030" s="11"/>
      <c r="O30030" s="11"/>
      <c r="P30030" s="11"/>
    </row>
    <row r="30031" spans="8:16" x14ac:dyDescent="0.25">
      <c r="H30031" s="12"/>
      <c r="I30031" s="12"/>
      <c r="J30031" s="12"/>
      <c r="K30031" s="12"/>
      <c r="L30031" s="12"/>
      <c r="M30031" s="11"/>
      <c r="N30031" s="11"/>
      <c r="O30031" s="11"/>
      <c r="P30031" s="11"/>
    </row>
    <row r="30032" spans="8:16" x14ac:dyDescent="0.25">
      <c r="H30032" s="12"/>
      <c r="I30032" s="12"/>
      <c r="J30032" s="12"/>
      <c r="K30032" s="12"/>
      <c r="L30032" s="12"/>
      <c r="M30032" s="11"/>
      <c r="N30032" s="11"/>
      <c r="O30032" s="11"/>
      <c r="P30032" s="11"/>
    </row>
    <row r="30033" spans="8:16" x14ac:dyDescent="0.25">
      <c r="H30033" s="12"/>
      <c r="I30033" s="12"/>
      <c r="J30033" s="12"/>
      <c r="K30033" s="12"/>
      <c r="L30033" s="12"/>
      <c r="M30033" s="11"/>
      <c r="N30033" s="11"/>
      <c r="O30033" s="11"/>
      <c r="P30033" s="11"/>
    </row>
    <row r="30034" spans="8:16" x14ac:dyDescent="0.25">
      <c r="H30034" s="12"/>
      <c r="I30034" s="12"/>
      <c r="J30034" s="12"/>
      <c r="K30034" s="12"/>
      <c r="L30034" s="12"/>
      <c r="M30034" s="11"/>
      <c r="N30034" s="11"/>
      <c r="O30034" s="11"/>
      <c r="P30034" s="11"/>
    </row>
    <row r="30035" spans="8:16" x14ac:dyDescent="0.25">
      <c r="H30035" s="12"/>
      <c r="I30035" s="12"/>
      <c r="J30035" s="12"/>
      <c r="K30035" s="12"/>
      <c r="L30035" s="12"/>
      <c r="M30035" s="11"/>
      <c r="N30035" s="11"/>
      <c r="O30035" s="11"/>
      <c r="P30035" s="11"/>
    </row>
    <row r="30036" spans="8:16" x14ac:dyDescent="0.25">
      <c r="H30036" s="12"/>
      <c r="I30036" s="12"/>
      <c r="J30036" s="12"/>
      <c r="K30036" s="12"/>
      <c r="L30036" s="12"/>
      <c r="M30036" s="11"/>
      <c r="N30036" s="11"/>
      <c r="O30036" s="11"/>
      <c r="P30036" s="11"/>
    </row>
    <row r="30037" spans="8:16" x14ac:dyDescent="0.25">
      <c r="H30037" s="12"/>
      <c r="I30037" s="12"/>
      <c r="J30037" s="12"/>
      <c r="K30037" s="12"/>
      <c r="L30037" s="12"/>
      <c r="M30037" s="11"/>
      <c r="N30037" s="11"/>
      <c r="O30037" s="11"/>
      <c r="P30037" s="11"/>
    </row>
    <row r="30038" spans="8:16" x14ac:dyDescent="0.25">
      <c r="H30038" s="12"/>
      <c r="I30038" s="12"/>
      <c r="J30038" s="12"/>
      <c r="K30038" s="12"/>
      <c r="L30038" s="12"/>
      <c r="M30038" s="11"/>
      <c r="N30038" s="11"/>
      <c r="O30038" s="11"/>
      <c r="P30038" s="11"/>
    </row>
    <row r="30039" spans="8:16" x14ac:dyDescent="0.25">
      <c r="H30039" s="12"/>
      <c r="I30039" s="12"/>
      <c r="J30039" s="12"/>
      <c r="K30039" s="12"/>
      <c r="L30039" s="12"/>
      <c r="M30039" s="11"/>
      <c r="N30039" s="11"/>
      <c r="O30039" s="11"/>
      <c r="P30039" s="11"/>
    </row>
    <row r="30040" spans="8:16" x14ac:dyDescent="0.25">
      <c r="H30040" s="12"/>
      <c r="I30040" s="12"/>
      <c r="J30040" s="12"/>
      <c r="K30040" s="12"/>
      <c r="L30040" s="12"/>
      <c r="M30040" s="11"/>
      <c r="N30040" s="11"/>
      <c r="O30040" s="11"/>
      <c r="P30040" s="11"/>
    </row>
    <row r="30041" spans="8:16" x14ac:dyDescent="0.25">
      <c r="H30041" s="12"/>
      <c r="I30041" s="12"/>
      <c r="J30041" s="12"/>
      <c r="K30041" s="12"/>
      <c r="L30041" s="12"/>
      <c r="M30041" s="11"/>
      <c r="N30041" s="11"/>
      <c r="O30041" s="11"/>
      <c r="P30041" s="11"/>
    </row>
    <row r="30042" spans="8:16" x14ac:dyDescent="0.25">
      <c r="H30042" s="12"/>
      <c r="I30042" s="12"/>
      <c r="J30042" s="12"/>
      <c r="K30042" s="12"/>
      <c r="L30042" s="12"/>
      <c r="M30042" s="11"/>
      <c r="N30042" s="11"/>
      <c r="O30042" s="11"/>
      <c r="P30042" s="11"/>
    </row>
    <row r="30043" spans="8:16" x14ac:dyDescent="0.25">
      <c r="H30043" s="12"/>
      <c r="I30043" s="12"/>
      <c r="J30043" s="12"/>
      <c r="K30043" s="12"/>
      <c r="L30043" s="12"/>
      <c r="M30043" s="11"/>
      <c r="N30043" s="11"/>
      <c r="O30043" s="11"/>
      <c r="P30043" s="11"/>
    </row>
    <row r="30044" spans="8:16" x14ac:dyDescent="0.25">
      <c r="H30044" s="12"/>
      <c r="I30044" s="12"/>
      <c r="J30044" s="12"/>
      <c r="K30044" s="12"/>
      <c r="L30044" s="12"/>
      <c r="M30044" s="11"/>
      <c r="N30044" s="11"/>
      <c r="O30044" s="11"/>
      <c r="P30044" s="11"/>
    </row>
    <row r="30045" spans="8:16" x14ac:dyDescent="0.25">
      <c r="H30045" s="12"/>
      <c r="I30045" s="12"/>
      <c r="J30045" s="12"/>
      <c r="K30045" s="12"/>
      <c r="L30045" s="12"/>
      <c r="M30045" s="11"/>
      <c r="N30045" s="11"/>
      <c r="O30045" s="11"/>
      <c r="P30045" s="11"/>
    </row>
    <row r="30046" spans="8:16" x14ac:dyDescent="0.25">
      <c r="H30046" s="12"/>
      <c r="I30046" s="12"/>
      <c r="J30046" s="12"/>
      <c r="K30046" s="12"/>
      <c r="L30046" s="12"/>
      <c r="M30046" s="11"/>
      <c r="N30046" s="11"/>
      <c r="O30046" s="11"/>
      <c r="P30046" s="11"/>
    </row>
    <row r="30047" spans="8:16" x14ac:dyDescent="0.25">
      <c r="H30047" s="12"/>
      <c r="I30047" s="12"/>
      <c r="J30047" s="12"/>
      <c r="K30047" s="12"/>
      <c r="L30047" s="12"/>
      <c r="M30047" s="11"/>
      <c r="N30047" s="11"/>
      <c r="O30047" s="11"/>
      <c r="P30047" s="11"/>
    </row>
    <row r="30048" spans="8:16" x14ac:dyDescent="0.25">
      <c r="H30048" s="12"/>
      <c r="I30048" s="12"/>
      <c r="J30048" s="12"/>
      <c r="K30048" s="12"/>
      <c r="L30048" s="12"/>
      <c r="M30048" s="11"/>
      <c r="N30048" s="11"/>
      <c r="O30048" s="11"/>
      <c r="P30048" s="11"/>
    </row>
    <row r="30049" spans="8:16" x14ac:dyDescent="0.25">
      <c r="H30049" s="12"/>
      <c r="I30049" s="12"/>
      <c r="J30049" s="12"/>
      <c r="K30049" s="12"/>
      <c r="L30049" s="12"/>
      <c r="M30049" s="11"/>
      <c r="N30049" s="11"/>
      <c r="O30049" s="11"/>
      <c r="P30049" s="11"/>
    </row>
    <row r="30050" spans="8:16" x14ac:dyDescent="0.25">
      <c r="H30050" s="12"/>
      <c r="I30050" s="12"/>
      <c r="J30050" s="12"/>
      <c r="K30050" s="12"/>
      <c r="L30050" s="12"/>
      <c r="M30050" s="11"/>
      <c r="N30050" s="11"/>
      <c r="O30050" s="11"/>
      <c r="P30050" s="11"/>
    </row>
    <row r="30051" spans="8:16" x14ac:dyDescent="0.25">
      <c r="H30051" s="12"/>
      <c r="I30051" s="12"/>
      <c r="J30051" s="12"/>
      <c r="K30051" s="12"/>
      <c r="L30051" s="12"/>
      <c r="M30051" s="11"/>
      <c r="N30051" s="11"/>
      <c r="O30051" s="11"/>
      <c r="P30051" s="11"/>
    </row>
    <row r="30052" spans="8:16" x14ac:dyDescent="0.25">
      <c r="H30052" s="12"/>
      <c r="I30052" s="12"/>
      <c r="J30052" s="12"/>
      <c r="K30052" s="12"/>
      <c r="L30052" s="12"/>
      <c r="M30052" s="11"/>
      <c r="N30052" s="11"/>
      <c r="O30052" s="11"/>
      <c r="P30052" s="11"/>
    </row>
    <row r="30053" spans="8:16" x14ac:dyDescent="0.25">
      <c r="H30053" s="12"/>
      <c r="I30053" s="12"/>
      <c r="J30053" s="12"/>
      <c r="K30053" s="12"/>
      <c r="L30053" s="12"/>
      <c r="M30053" s="11"/>
      <c r="N30053" s="11"/>
      <c r="O30053" s="11"/>
      <c r="P30053" s="11"/>
    </row>
    <row r="30054" spans="8:16" x14ac:dyDescent="0.25">
      <c r="H30054" s="12"/>
      <c r="I30054" s="12"/>
      <c r="J30054" s="12"/>
      <c r="K30054" s="12"/>
      <c r="L30054" s="12"/>
      <c r="M30054" s="11"/>
      <c r="N30054" s="11"/>
      <c r="O30054" s="11"/>
      <c r="P30054" s="11"/>
    </row>
    <row r="30055" spans="8:16" x14ac:dyDescent="0.25">
      <c r="H30055" s="12"/>
      <c r="I30055" s="12"/>
      <c r="J30055" s="12"/>
      <c r="K30055" s="12"/>
      <c r="L30055" s="12"/>
      <c r="M30055" s="11"/>
      <c r="N30055" s="11"/>
      <c r="O30055" s="11"/>
      <c r="P30055" s="11"/>
    </row>
    <row r="30056" spans="8:16" x14ac:dyDescent="0.25">
      <c r="H30056" s="12"/>
      <c r="I30056" s="12"/>
      <c r="J30056" s="12"/>
      <c r="K30056" s="12"/>
      <c r="L30056" s="12"/>
      <c r="M30056" s="11"/>
      <c r="N30056" s="11"/>
      <c r="O30056" s="11"/>
      <c r="P30056" s="11"/>
    </row>
    <row r="30057" spans="8:16" x14ac:dyDescent="0.25">
      <c r="H30057" s="12"/>
      <c r="I30057" s="12"/>
      <c r="J30057" s="12"/>
      <c r="K30057" s="12"/>
      <c r="L30057" s="12"/>
      <c r="M30057" s="11"/>
      <c r="N30057" s="11"/>
      <c r="O30057" s="11"/>
      <c r="P30057" s="11"/>
    </row>
    <row r="30058" spans="8:16" x14ac:dyDescent="0.25">
      <c r="H30058" s="12"/>
      <c r="I30058" s="12"/>
      <c r="J30058" s="12"/>
      <c r="K30058" s="12"/>
      <c r="L30058" s="12"/>
      <c r="M30058" s="11"/>
      <c r="N30058" s="11"/>
      <c r="O30058" s="11"/>
      <c r="P30058" s="11"/>
    </row>
    <row r="30059" spans="8:16" x14ac:dyDescent="0.25">
      <c r="H30059" s="12"/>
      <c r="I30059" s="12"/>
      <c r="J30059" s="12"/>
      <c r="K30059" s="12"/>
      <c r="L30059" s="12"/>
      <c r="M30059" s="11"/>
      <c r="N30059" s="11"/>
      <c r="O30059" s="11"/>
      <c r="P30059" s="11"/>
    </row>
    <row r="30060" spans="8:16" x14ac:dyDescent="0.25">
      <c r="H30060" s="12"/>
      <c r="I30060" s="12"/>
      <c r="J30060" s="12"/>
      <c r="K30060" s="12"/>
      <c r="L30060" s="12"/>
      <c r="M30060" s="11"/>
      <c r="N30060" s="11"/>
      <c r="O30060" s="11"/>
      <c r="P30060" s="11"/>
    </row>
    <row r="30061" spans="8:16" x14ac:dyDescent="0.25">
      <c r="H30061" s="12"/>
      <c r="I30061" s="12"/>
      <c r="J30061" s="12"/>
      <c r="K30061" s="12"/>
      <c r="L30061" s="12"/>
      <c r="M30061" s="11"/>
      <c r="N30061" s="11"/>
      <c r="O30061" s="11"/>
      <c r="P30061" s="11"/>
    </row>
    <row r="30062" spans="8:16" x14ac:dyDescent="0.25">
      <c r="H30062" s="12"/>
      <c r="I30062" s="12"/>
      <c r="J30062" s="12"/>
      <c r="K30062" s="12"/>
      <c r="L30062" s="12"/>
      <c r="M30062" s="11"/>
      <c r="N30062" s="11"/>
      <c r="O30062" s="11"/>
      <c r="P30062" s="11"/>
    </row>
    <row r="30063" spans="8:16" x14ac:dyDescent="0.25">
      <c r="H30063" s="12"/>
      <c r="I30063" s="12"/>
      <c r="J30063" s="12"/>
      <c r="K30063" s="12"/>
      <c r="L30063" s="12"/>
      <c r="M30063" s="11"/>
      <c r="N30063" s="11"/>
      <c r="O30063" s="11"/>
      <c r="P30063" s="11"/>
    </row>
    <row r="30064" spans="8:16" x14ac:dyDescent="0.25">
      <c r="H30064" s="12"/>
      <c r="I30064" s="12"/>
      <c r="J30064" s="12"/>
      <c r="K30064" s="12"/>
      <c r="L30064" s="12"/>
      <c r="M30064" s="11"/>
      <c r="N30064" s="11"/>
      <c r="O30064" s="11"/>
      <c r="P30064" s="11"/>
    </row>
    <row r="30065" spans="8:16" x14ac:dyDescent="0.25">
      <c r="H30065" s="12"/>
      <c r="I30065" s="12"/>
      <c r="J30065" s="12"/>
      <c r="K30065" s="12"/>
      <c r="L30065" s="12"/>
      <c r="M30065" s="11"/>
      <c r="N30065" s="11"/>
      <c r="O30065" s="11"/>
      <c r="P30065" s="11"/>
    </row>
    <row r="30066" spans="8:16" x14ac:dyDescent="0.25">
      <c r="H30066" s="12"/>
      <c r="I30066" s="12"/>
      <c r="J30066" s="12"/>
      <c r="K30066" s="12"/>
      <c r="L30066" s="12"/>
      <c r="M30066" s="11"/>
      <c r="N30066" s="11"/>
      <c r="O30066" s="11"/>
      <c r="P30066" s="11"/>
    </row>
    <row r="30067" spans="8:16" x14ac:dyDescent="0.25">
      <c r="H30067" s="12"/>
      <c r="I30067" s="12"/>
      <c r="J30067" s="12"/>
      <c r="K30067" s="12"/>
      <c r="L30067" s="12"/>
      <c r="M30067" s="11"/>
      <c r="N30067" s="11"/>
      <c r="O30067" s="11"/>
      <c r="P30067" s="11"/>
    </row>
    <row r="30068" spans="8:16" x14ac:dyDescent="0.25">
      <c r="H30068" s="12"/>
      <c r="I30068" s="12"/>
      <c r="J30068" s="12"/>
      <c r="K30068" s="12"/>
      <c r="L30068" s="12"/>
      <c r="M30068" s="11"/>
      <c r="N30068" s="11"/>
      <c r="O30068" s="11"/>
      <c r="P30068" s="11"/>
    </row>
    <row r="30069" spans="8:16" x14ac:dyDescent="0.25">
      <c r="H30069" s="12"/>
      <c r="I30069" s="12"/>
      <c r="J30069" s="12"/>
      <c r="K30069" s="12"/>
      <c r="L30069" s="12"/>
      <c r="M30069" s="11"/>
      <c r="N30069" s="11"/>
      <c r="O30069" s="11"/>
      <c r="P30069" s="11"/>
    </row>
    <row r="30070" spans="8:16" x14ac:dyDescent="0.25">
      <c r="H30070" s="12"/>
      <c r="I30070" s="12"/>
      <c r="J30070" s="12"/>
      <c r="K30070" s="12"/>
      <c r="L30070" s="12"/>
      <c r="M30070" s="11"/>
      <c r="N30070" s="11"/>
      <c r="O30070" s="11"/>
      <c r="P30070" s="11"/>
    </row>
    <row r="30071" spans="8:16" x14ac:dyDescent="0.25">
      <c r="H30071" s="12"/>
      <c r="I30071" s="12"/>
      <c r="J30071" s="12"/>
      <c r="K30071" s="12"/>
      <c r="L30071" s="12"/>
      <c r="M30071" s="11"/>
      <c r="N30071" s="11"/>
      <c r="O30071" s="11"/>
      <c r="P30071" s="11"/>
    </row>
    <row r="30072" spans="8:16" x14ac:dyDescent="0.25">
      <c r="H30072" s="12"/>
      <c r="I30072" s="12"/>
      <c r="J30072" s="12"/>
      <c r="K30072" s="12"/>
      <c r="L30072" s="12"/>
      <c r="M30072" s="11"/>
      <c r="N30072" s="11"/>
      <c r="O30072" s="11"/>
      <c r="P30072" s="11"/>
    </row>
    <row r="30073" spans="8:16" x14ac:dyDescent="0.25">
      <c r="H30073" s="12"/>
      <c r="I30073" s="12"/>
      <c r="J30073" s="12"/>
      <c r="K30073" s="12"/>
      <c r="L30073" s="12"/>
      <c r="M30073" s="11"/>
      <c r="N30073" s="11"/>
      <c r="O30073" s="11"/>
      <c r="P30073" s="11"/>
    </row>
    <row r="30074" spans="8:16" x14ac:dyDescent="0.25">
      <c r="H30074" s="12"/>
      <c r="I30074" s="12"/>
      <c r="J30074" s="12"/>
      <c r="K30074" s="12"/>
      <c r="L30074" s="12"/>
      <c r="M30074" s="11"/>
      <c r="N30074" s="11"/>
      <c r="O30074" s="11"/>
      <c r="P30074" s="11"/>
    </row>
    <row r="30075" spans="8:16" x14ac:dyDescent="0.25">
      <c r="H30075" s="12"/>
      <c r="I30075" s="12"/>
      <c r="J30075" s="12"/>
      <c r="K30075" s="12"/>
      <c r="L30075" s="12"/>
      <c r="M30075" s="11"/>
      <c r="N30075" s="11"/>
      <c r="O30075" s="11"/>
      <c r="P30075" s="11"/>
    </row>
    <row r="30076" spans="8:16" x14ac:dyDescent="0.25">
      <c r="H30076" s="12"/>
      <c r="I30076" s="12"/>
      <c r="J30076" s="12"/>
      <c r="K30076" s="12"/>
      <c r="L30076" s="12"/>
      <c r="M30076" s="11"/>
      <c r="N30076" s="11"/>
      <c r="O30076" s="11"/>
      <c r="P30076" s="11"/>
    </row>
    <row r="30077" spans="8:16" x14ac:dyDescent="0.25">
      <c r="H30077" s="12"/>
      <c r="I30077" s="12"/>
      <c r="J30077" s="12"/>
      <c r="K30077" s="12"/>
      <c r="L30077" s="12"/>
      <c r="M30077" s="11"/>
      <c r="N30077" s="11"/>
      <c r="O30077" s="11"/>
      <c r="P30077" s="11"/>
    </row>
    <row r="30078" spans="8:16" x14ac:dyDescent="0.25">
      <c r="H30078" s="12"/>
      <c r="I30078" s="12"/>
      <c r="J30078" s="12"/>
      <c r="K30078" s="12"/>
      <c r="L30078" s="12"/>
      <c r="M30078" s="11"/>
      <c r="N30078" s="11"/>
      <c r="O30078" s="11"/>
      <c r="P30078" s="11"/>
    </row>
    <row r="30079" spans="8:16" x14ac:dyDescent="0.25">
      <c r="H30079" s="12"/>
      <c r="I30079" s="12"/>
      <c r="J30079" s="12"/>
      <c r="K30079" s="12"/>
      <c r="L30079" s="12"/>
      <c r="M30079" s="11"/>
      <c r="N30079" s="11"/>
      <c r="O30079" s="11"/>
      <c r="P30079" s="11"/>
    </row>
    <row r="30080" spans="8:16" x14ac:dyDescent="0.25">
      <c r="H30080" s="12"/>
      <c r="I30080" s="12"/>
      <c r="J30080" s="12"/>
      <c r="K30080" s="12"/>
      <c r="L30080" s="12"/>
      <c r="M30080" s="11"/>
      <c r="N30080" s="11"/>
      <c r="O30080" s="11"/>
      <c r="P30080" s="11"/>
    </row>
    <row r="30081" spans="8:16" x14ac:dyDescent="0.25">
      <c r="H30081" s="12"/>
      <c r="I30081" s="12"/>
      <c r="J30081" s="12"/>
      <c r="K30081" s="12"/>
      <c r="L30081" s="12"/>
      <c r="M30081" s="11"/>
      <c r="N30081" s="11"/>
      <c r="O30081" s="11"/>
      <c r="P30081" s="11"/>
    </row>
    <row r="30082" spans="8:16" x14ac:dyDescent="0.25">
      <c r="H30082" s="12"/>
      <c r="I30082" s="12"/>
      <c r="J30082" s="12"/>
      <c r="K30082" s="12"/>
      <c r="L30082" s="12"/>
      <c r="M30082" s="11"/>
      <c r="N30082" s="11"/>
      <c r="O30082" s="11"/>
      <c r="P30082" s="11"/>
    </row>
    <row r="30083" spans="8:16" x14ac:dyDescent="0.25">
      <c r="H30083" s="12"/>
      <c r="I30083" s="12"/>
      <c r="J30083" s="12"/>
      <c r="K30083" s="12"/>
      <c r="L30083" s="12"/>
      <c r="M30083" s="11"/>
      <c r="N30083" s="11"/>
      <c r="O30083" s="11"/>
      <c r="P30083" s="11"/>
    </row>
    <row r="30084" spans="8:16" x14ac:dyDescent="0.25">
      <c r="H30084" s="12"/>
      <c r="I30084" s="12"/>
      <c r="J30084" s="12"/>
      <c r="K30084" s="12"/>
      <c r="L30084" s="12"/>
      <c r="M30084" s="11"/>
      <c r="N30084" s="11"/>
      <c r="O30084" s="11"/>
      <c r="P30084" s="11"/>
    </row>
    <row r="30085" spans="8:16" x14ac:dyDescent="0.25">
      <c r="H30085" s="12"/>
      <c r="I30085" s="12"/>
      <c r="J30085" s="12"/>
      <c r="K30085" s="12"/>
      <c r="L30085" s="12"/>
      <c r="M30085" s="11"/>
      <c r="N30085" s="11"/>
      <c r="O30085" s="11"/>
      <c r="P30085" s="11"/>
    </row>
    <row r="30086" spans="8:16" x14ac:dyDescent="0.25">
      <c r="H30086" s="12"/>
      <c r="I30086" s="12"/>
      <c r="J30086" s="12"/>
      <c r="K30086" s="12"/>
      <c r="L30086" s="12"/>
      <c r="M30086" s="11"/>
      <c r="N30086" s="11"/>
      <c r="O30086" s="11"/>
      <c r="P30086" s="11"/>
    </row>
    <row r="30087" spans="8:16" x14ac:dyDescent="0.25">
      <c r="H30087" s="12"/>
      <c r="I30087" s="12"/>
      <c r="J30087" s="12"/>
      <c r="K30087" s="12"/>
      <c r="L30087" s="12"/>
      <c r="M30087" s="11"/>
      <c r="N30087" s="11"/>
      <c r="O30087" s="11"/>
      <c r="P30087" s="11"/>
    </row>
    <row r="30088" spans="8:16" x14ac:dyDescent="0.25">
      <c r="H30088" s="12"/>
      <c r="I30088" s="12"/>
      <c r="J30088" s="12"/>
      <c r="K30088" s="12"/>
      <c r="L30088" s="12"/>
      <c r="M30088" s="11"/>
      <c r="N30088" s="11"/>
      <c r="O30088" s="11"/>
      <c r="P30088" s="11"/>
    </row>
    <row r="30089" spans="8:16" x14ac:dyDescent="0.25">
      <c r="H30089" s="12"/>
      <c r="I30089" s="12"/>
      <c r="J30089" s="12"/>
      <c r="K30089" s="12"/>
      <c r="L30089" s="12"/>
      <c r="M30089" s="11"/>
      <c r="N30089" s="11"/>
      <c r="O30089" s="11"/>
      <c r="P30089" s="11"/>
    </row>
    <row r="30090" spans="8:16" x14ac:dyDescent="0.25">
      <c r="H30090" s="12"/>
      <c r="I30090" s="12"/>
      <c r="J30090" s="12"/>
      <c r="K30090" s="12"/>
      <c r="L30090" s="12"/>
      <c r="M30090" s="11"/>
      <c r="N30090" s="11"/>
      <c r="O30090" s="11"/>
      <c r="P30090" s="11"/>
    </row>
    <row r="30091" spans="8:16" x14ac:dyDescent="0.25">
      <c r="H30091" s="12"/>
      <c r="I30091" s="12"/>
      <c r="J30091" s="12"/>
      <c r="K30091" s="12"/>
      <c r="L30091" s="12"/>
      <c r="M30091" s="11"/>
      <c r="N30091" s="11"/>
      <c r="O30091" s="11"/>
      <c r="P30091" s="11"/>
    </row>
    <row r="30092" spans="8:16" x14ac:dyDescent="0.25">
      <c r="H30092" s="12"/>
      <c r="I30092" s="12"/>
      <c r="J30092" s="12"/>
      <c r="K30092" s="12"/>
      <c r="L30092" s="12"/>
      <c r="M30092" s="11"/>
      <c r="N30092" s="11"/>
      <c r="O30092" s="11"/>
      <c r="P30092" s="11"/>
    </row>
    <row r="30093" spans="8:16" x14ac:dyDescent="0.25">
      <c r="H30093" s="12"/>
      <c r="I30093" s="12"/>
      <c r="J30093" s="12"/>
      <c r="K30093" s="12"/>
      <c r="L30093" s="12"/>
      <c r="M30093" s="11"/>
      <c r="N30093" s="11"/>
      <c r="O30093" s="11"/>
      <c r="P30093" s="11"/>
    </row>
    <row r="30094" spans="8:16" x14ac:dyDescent="0.25">
      <c r="H30094" s="12"/>
      <c r="I30094" s="12"/>
      <c r="J30094" s="12"/>
      <c r="K30094" s="12"/>
      <c r="L30094" s="12"/>
      <c r="M30094" s="11"/>
      <c r="N30094" s="11"/>
      <c r="O30094" s="11"/>
      <c r="P30094" s="11"/>
    </row>
    <row r="30095" spans="8:16" x14ac:dyDescent="0.25">
      <c r="H30095" s="12"/>
      <c r="I30095" s="12"/>
      <c r="J30095" s="12"/>
      <c r="K30095" s="12"/>
      <c r="L30095" s="12"/>
      <c r="M30095" s="11"/>
      <c r="N30095" s="11"/>
      <c r="O30095" s="11"/>
      <c r="P30095" s="11"/>
    </row>
    <row r="30096" spans="8:16" x14ac:dyDescent="0.25">
      <c r="H30096" s="12"/>
      <c r="I30096" s="12"/>
      <c r="J30096" s="12"/>
      <c r="K30096" s="12"/>
      <c r="L30096" s="12"/>
      <c r="M30096" s="11"/>
      <c r="N30096" s="11"/>
      <c r="O30096" s="11"/>
      <c r="P30096" s="11"/>
    </row>
    <row r="30097" spans="8:16" x14ac:dyDescent="0.25">
      <c r="H30097" s="12"/>
      <c r="I30097" s="12"/>
      <c r="J30097" s="12"/>
      <c r="K30097" s="12"/>
      <c r="L30097" s="12"/>
      <c r="M30097" s="11"/>
      <c r="N30097" s="11"/>
      <c r="O30097" s="11"/>
      <c r="P30097" s="11"/>
    </row>
    <row r="30098" spans="8:16" x14ac:dyDescent="0.25">
      <c r="H30098" s="12"/>
      <c r="I30098" s="12"/>
      <c r="J30098" s="12"/>
      <c r="K30098" s="12"/>
      <c r="L30098" s="12"/>
      <c r="M30098" s="11"/>
      <c r="N30098" s="11"/>
      <c r="O30098" s="11"/>
      <c r="P30098" s="11"/>
    </row>
    <row r="30099" spans="8:16" x14ac:dyDescent="0.25">
      <c r="H30099" s="12"/>
      <c r="I30099" s="12"/>
      <c r="J30099" s="12"/>
      <c r="K30099" s="12"/>
      <c r="L30099" s="12"/>
      <c r="M30099" s="11"/>
      <c r="N30099" s="11"/>
      <c r="O30099" s="11"/>
      <c r="P30099" s="11"/>
    </row>
    <row r="30100" spans="8:16" x14ac:dyDescent="0.25">
      <c r="H30100" s="12"/>
      <c r="I30100" s="12"/>
      <c r="J30100" s="12"/>
      <c r="K30100" s="12"/>
      <c r="L30100" s="12"/>
      <c r="M30100" s="11"/>
      <c r="N30100" s="11"/>
      <c r="O30100" s="11"/>
      <c r="P30100" s="11"/>
    </row>
    <row r="30101" spans="8:16" x14ac:dyDescent="0.25">
      <c r="H30101" s="12"/>
      <c r="I30101" s="12"/>
      <c r="J30101" s="12"/>
      <c r="K30101" s="12"/>
      <c r="L30101" s="12"/>
      <c r="M30101" s="11"/>
      <c r="N30101" s="11"/>
      <c r="O30101" s="11"/>
      <c r="P30101" s="11"/>
    </row>
    <row r="30102" spans="8:16" x14ac:dyDescent="0.25">
      <c r="H30102" s="12"/>
      <c r="I30102" s="12"/>
      <c r="J30102" s="12"/>
      <c r="K30102" s="12"/>
      <c r="L30102" s="12"/>
      <c r="M30102" s="11"/>
      <c r="N30102" s="11"/>
      <c r="O30102" s="11"/>
      <c r="P30102" s="11"/>
    </row>
    <row r="30103" spans="8:16" x14ac:dyDescent="0.25">
      <c r="H30103" s="12"/>
      <c r="I30103" s="12"/>
      <c r="J30103" s="12"/>
      <c r="K30103" s="12"/>
      <c r="L30103" s="12"/>
      <c r="M30103" s="11"/>
      <c r="N30103" s="11"/>
      <c r="O30103" s="11"/>
      <c r="P30103" s="11"/>
    </row>
    <row r="30104" spans="8:16" x14ac:dyDescent="0.25">
      <c r="H30104" s="12"/>
      <c r="I30104" s="12"/>
      <c r="J30104" s="12"/>
      <c r="K30104" s="12"/>
      <c r="L30104" s="12"/>
      <c r="M30104" s="11"/>
      <c r="N30104" s="11"/>
      <c r="O30104" s="11"/>
      <c r="P30104" s="11"/>
    </row>
    <row r="30105" spans="8:16" x14ac:dyDescent="0.25">
      <c r="H30105" s="12"/>
      <c r="I30105" s="12"/>
      <c r="J30105" s="12"/>
      <c r="K30105" s="12"/>
      <c r="L30105" s="12"/>
      <c r="M30105" s="11"/>
      <c r="N30105" s="11"/>
      <c r="O30105" s="11"/>
      <c r="P30105" s="11"/>
    </row>
    <row r="30106" spans="8:16" x14ac:dyDescent="0.25">
      <c r="H30106" s="12"/>
      <c r="I30106" s="12"/>
      <c r="J30106" s="12"/>
      <c r="K30106" s="12"/>
      <c r="L30106" s="12"/>
      <c r="M30106" s="11"/>
      <c r="N30106" s="11"/>
      <c r="O30106" s="11"/>
      <c r="P30106" s="11"/>
    </row>
    <row r="30107" spans="8:16" x14ac:dyDescent="0.25">
      <c r="H30107" s="12"/>
      <c r="I30107" s="12"/>
      <c r="J30107" s="12"/>
      <c r="K30107" s="12"/>
      <c r="L30107" s="12"/>
      <c r="M30107" s="11"/>
      <c r="N30107" s="11"/>
      <c r="O30107" s="11"/>
      <c r="P30107" s="11"/>
    </row>
    <row r="30108" spans="8:16" x14ac:dyDescent="0.25">
      <c r="H30108" s="12"/>
      <c r="I30108" s="12"/>
      <c r="J30108" s="12"/>
      <c r="K30108" s="12"/>
      <c r="L30108" s="12"/>
      <c r="M30108" s="11"/>
      <c r="N30108" s="11"/>
      <c r="O30108" s="11"/>
      <c r="P30108" s="11"/>
    </row>
    <row r="30109" spans="8:16" x14ac:dyDescent="0.25">
      <c r="H30109" s="12"/>
      <c r="I30109" s="12"/>
      <c r="J30109" s="12"/>
      <c r="K30109" s="12"/>
      <c r="L30109" s="12"/>
      <c r="M30109" s="11"/>
      <c r="N30109" s="11"/>
      <c r="O30109" s="11"/>
      <c r="P30109" s="11"/>
    </row>
    <row r="30110" spans="8:16" x14ac:dyDescent="0.25">
      <c r="H30110" s="12"/>
      <c r="I30110" s="12"/>
      <c r="J30110" s="12"/>
      <c r="K30110" s="12"/>
      <c r="L30110" s="12"/>
      <c r="M30110" s="11"/>
      <c r="N30110" s="11"/>
      <c r="O30110" s="11"/>
      <c r="P30110" s="11"/>
    </row>
    <row r="30111" spans="8:16" x14ac:dyDescent="0.25">
      <c r="H30111" s="12"/>
      <c r="I30111" s="12"/>
      <c r="J30111" s="12"/>
      <c r="K30111" s="12"/>
      <c r="L30111" s="12"/>
      <c r="M30111" s="11"/>
      <c r="N30111" s="11"/>
      <c r="O30111" s="11"/>
      <c r="P30111" s="11"/>
    </row>
    <row r="30112" spans="8:16" x14ac:dyDescent="0.25">
      <c r="H30112" s="12"/>
      <c r="I30112" s="12"/>
      <c r="J30112" s="12"/>
      <c r="K30112" s="12"/>
      <c r="L30112" s="12"/>
      <c r="M30112" s="11"/>
      <c r="N30112" s="11"/>
      <c r="O30112" s="11"/>
      <c r="P30112" s="11"/>
    </row>
    <row r="30113" spans="8:16" x14ac:dyDescent="0.25">
      <c r="H30113" s="12"/>
      <c r="I30113" s="12"/>
      <c r="J30113" s="12"/>
      <c r="K30113" s="12"/>
      <c r="L30113" s="12"/>
      <c r="M30113" s="11"/>
      <c r="N30113" s="11"/>
      <c r="O30113" s="11"/>
      <c r="P30113" s="11"/>
    </row>
    <row r="30114" spans="8:16" x14ac:dyDescent="0.25">
      <c r="H30114" s="12"/>
      <c r="I30114" s="12"/>
      <c r="J30114" s="12"/>
      <c r="K30114" s="12"/>
      <c r="L30114" s="12"/>
      <c r="M30114" s="11"/>
      <c r="N30114" s="11"/>
      <c r="O30114" s="11"/>
      <c r="P30114" s="11"/>
    </row>
    <row r="30115" spans="8:16" x14ac:dyDescent="0.25">
      <c r="H30115" s="12"/>
      <c r="I30115" s="12"/>
      <c r="J30115" s="12"/>
      <c r="K30115" s="12"/>
      <c r="L30115" s="12"/>
      <c r="M30115" s="11"/>
      <c r="N30115" s="11"/>
      <c r="O30115" s="11"/>
      <c r="P30115" s="11"/>
    </row>
    <row r="30116" spans="8:16" x14ac:dyDescent="0.25">
      <c r="H30116" s="12"/>
      <c r="I30116" s="12"/>
      <c r="J30116" s="12"/>
      <c r="K30116" s="12"/>
      <c r="L30116" s="12"/>
      <c r="M30116" s="11"/>
      <c r="N30116" s="11"/>
      <c r="O30116" s="11"/>
      <c r="P30116" s="11"/>
    </row>
    <row r="30117" spans="8:16" x14ac:dyDescent="0.25">
      <c r="H30117" s="12"/>
      <c r="I30117" s="12"/>
      <c r="J30117" s="12"/>
      <c r="K30117" s="12"/>
      <c r="L30117" s="12"/>
      <c r="M30117" s="11"/>
      <c r="N30117" s="11"/>
      <c r="O30117" s="11"/>
      <c r="P30117" s="11"/>
    </row>
    <row r="30118" spans="8:16" x14ac:dyDescent="0.25">
      <c r="H30118" s="12"/>
      <c r="I30118" s="12"/>
      <c r="J30118" s="12"/>
      <c r="K30118" s="12"/>
      <c r="L30118" s="12"/>
      <c r="M30118" s="11"/>
      <c r="N30118" s="11"/>
      <c r="O30118" s="11"/>
      <c r="P30118" s="11"/>
    </row>
    <row r="30119" spans="8:16" x14ac:dyDescent="0.25">
      <c r="H30119" s="12"/>
      <c r="I30119" s="12"/>
      <c r="J30119" s="12"/>
      <c r="K30119" s="12"/>
      <c r="L30119" s="12"/>
      <c r="M30119" s="11"/>
      <c r="N30119" s="11"/>
      <c r="O30119" s="11"/>
      <c r="P30119" s="11"/>
    </row>
    <row r="30120" spans="8:16" x14ac:dyDescent="0.25">
      <c r="H30120" s="12"/>
      <c r="I30120" s="12"/>
      <c r="J30120" s="12"/>
      <c r="K30120" s="12"/>
      <c r="L30120" s="12"/>
      <c r="M30120" s="11"/>
      <c r="N30120" s="11"/>
      <c r="O30120" s="11"/>
      <c r="P30120" s="11"/>
    </row>
    <row r="30121" spans="8:16" x14ac:dyDescent="0.25">
      <c r="H30121" s="12"/>
      <c r="I30121" s="12"/>
      <c r="J30121" s="12"/>
      <c r="K30121" s="12"/>
      <c r="L30121" s="12"/>
      <c r="M30121" s="11"/>
      <c r="N30121" s="11"/>
      <c r="O30121" s="11"/>
      <c r="P30121" s="11"/>
    </row>
    <row r="30122" spans="8:16" x14ac:dyDescent="0.25">
      <c r="H30122" s="12"/>
      <c r="I30122" s="12"/>
      <c r="J30122" s="12"/>
      <c r="K30122" s="12"/>
      <c r="L30122" s="12"/>
      <c r="M30122" s="11"/>
      <c r="N30122" s="11"/>
      <c r="O30122" s="11"/>
      <c r="P30122" s="11"/>
    </row>
    <row r="30123" spans="8:16" x14ac:dyDescent="0.25">
      <c r="H30123" s="12"/>
      <c r="I30123" s="12"/>
      <c r="J30123" s="12"/>
      <c r="K30123" s="12"/>
      <c r="L30123" s="12"/>
      <c r="M30123" s="11"/>
      <c r="N30123" s="11"/>
      <c r="O30123" s="11"/>
      <c r="P30123" s="11"/>
    </row>
    <row r="30124" spans="8:16" x14ac:dyDescent="0.25">
      <c r="H30124" s="12"/>
      <c r="I30124" s="12"/>
      <c r="J30124" s="12"/>
      <c r="K30124" s="12"/>
      <c r="L30124" s="12"/>
      <c r="M30124" s="11"/>
      <c r="N30124" s="11"/>
      <c r="O30124" s="11"/>
      <c r="P30124" s="11"/>
    </row>
    <row r="30125" spans="8:16" x14ac:dyDescent="0.25">
      <c r="H30125" s="12"/>
      <c r="I30125" s="12"/>
      <c r="J30125" s="12"/>
      <c r="K30125" s="12"/>
      <c r="L30125" s="12"/>
      <c r="M30125" s="11"/>
      <c r="N30125" s="11"/>
      <c r="O30125" s="11"/>
      <c r="P30125" s="11"/>
    </row>
    <row r="30126" spans="8:16" x14ac:dyDescent="0.25">
      <c r="H30126" s="12"/>
      <c r="I30126" s="12"/>
      <c r="J30126" s="12"/>
      <c r="K30126" s="12"/>
      <c r="L30126" s="12"/>
      <c r="M30126" s="11"/>
      <c r="N30126" s="11"/>
      <c r="O30126" s="11"/>
      <c r="P30126" s="11"/>
    </row>
    <row r="30127" spans="8:16" x14ac:dyDescent="0.25">
      <c r="H30127" s="12"/>
      <c r="I30127" s="12"/>
      <c r="J30127" s="12"/>
      <c r="K30127" s="12"/>
      <c r="L30127" s="12"/>
      <c r="M30127" s="11"/>
      <c r="N30127" s="11"/>
      <c r="O30127" s="11"/>
      <c r="P30127" s="11"/>
    </row>
    <row r="30128" spans="8:16" x14ac:dyDescent="0.25">
      <c r="H30128" s="12"/>
      <c r="I30128" s="12"/>
      <c r="J30128" s="12"/>
      <c r="K30128" s="12"/>
      <c r="L30128" s="12"/>
      <c r="M30128" s="11"/>
      <c r="N30128" s="11"/>
      <c r="O30128" s="11"/>
      <c r="P30128" s="11"/>
    </row>
    <row r="30129" spans="8:16" x14ac:dyDescent="0.25">
      <c r="H30129" s="12"/>
      <c r="I30129" s="12"/>
      <c r="J30129" s="12"/>
      <c r="K30129" s="12"/>
      <c r="L30129" s="12"/>
      <c r="M30129" s="11"/>
      <c r="N30129" s="11"/>
      <c r="O30129" s="11"/>
      <c r="P30129" s="11"/>
    </row>
    <row r="30130" spans="8:16" x14ac:dyDescent="0.25">
      <c r="H30130" s="12"/>
      <c r="I30130" s="12"/>
      <c r="J30130" s="12"/>
      <c r="K30130" s="12"/>
      <c r="L30130" s="12"/>
      <c r="M30130" s="11"/>
      <c r="N30130" s="11"/>
      <c r="O30130" s="11"/>
      <c r="P30130" s="11"/>
    </row>
    <row r="30131" spans="8:16" x14ac:dyDescent="0.25">
      <c r="H30131" s="12"/>
      <c r="I30131" s="12"/>
      <c r="J30131" s="12"/>
      <c r="K30131" s="12"/>
      <c r="L30131" s="12"/>
      <c r="M30131" s="11"/>
      <c r="N30131" s="11"/>
      <c r="O30131" s="11"/>
      <c r="P30131" s="11"/>
    </row>
    <row r="30132" spans="8:16" x14ac:dyDescent="0.25">
      <c r="H30132" s="12"/>
      <c r="I30132" s="12"/>
      <c r="J30132" s="12"/>
      <c r="K30132" s="12"/>
      <c r="L30132" s="12"/>
      <c r="M30132" s="11"/>
      <c r="N30132" s="11"/>
      <c r="O30132" s="11"/>
      <c r="P30132" s="11"/>
    </row>
    <row r="30133" spans="8:16" x14ac:dyDescent="0.25">
      <c r="H30133" s="12"/>
      <c r="I30133" s="12"/>
      <c r="J30133" s="12"/>
      <c r="K30133" s="12"/>
      <c r="L30133" s="12"/>
      <c r="M30133" s="11"/>
      <c r="N30133" s="11"/>
      <c r="O30133" s="11"/>
      <c r="P30133" s="11"/>
    </row>
    <row r="30134" spans="8:16" x14ac:dyDescent="0.25">
      <c r="H30134" s="12"/>
      <c r="I30134" s="12"/>
      <c r="J30134" s="12"/>
      <c r="K30134" s="12"/>
      <c r="L30134" s="12"/>
      <c r="M30134" s="11"/>
      <c r="N30134" s="11"/>
      <c r="O30134" s="11"/>
      <c r="P30134" s="11"/>
    </row>
    <row r="30135" spans="8:16" x14ac:dyDescent="0.25">
      <c r="H30135" s="12"/>
      <c r="I30135" s="12"/>
      <c r="J30135" s="12"/>
      <c r="K30135" s="12"/>
      <c r="L30135" s="12"/>
      <c r="M30135" s="11"/>
      <c r="N30135" s="11"/>
      <c r="O30135" s="11"/>
      <c r="P30135" s="11"/>
    </row>
    <row r="30136" spans="8:16" x14ac:dyDescent="0.25">
      <c r="H30136" s="12"/>
      <c r="I30136" s="12"/>
      <c r="J30136" s="12"/>
      <c r="K30136" s="12"/>
      <c r="L30136" s="12"/>
      <c r="M30136" s="11"/>
      <c r="N30136" s="11"/>
      <c r="O30136" s="11"/>
      <c r="P30136" s="11"/>
    </row>
    <row r="30137" spans="8:16" x14ac:dyDescent="0.25">
      <c r="H30137" s="12"/>
      <c r="I30137" s="12"/>
      <c r="J30137" s="12"/>
      <c r="K30137" s="12"/>
      <c r="L30137" s="12"/>
      <c r="M30137" s="11"/>
      <c r="N30137" s="11"/>
      <c r="O30137" s="11"/>
      <c r="P30137" s="11"/>
    </row>
    <row r="30138" spans="8:16" x14ac:dyDescent="0.25">
      <c r="H30138" s="12"/>
      <c r="I30138" s="12"/>
      <c r="J30138" s="12"/>
      <c r="K30138" s="12"/>
      <c r="L30138" s="12"/>
      <c r="M30138" s="11"/>
      <c r="N30138" s="11"/>
      <c r="O30138" s="11"/>
      <c r="P30138" s="11"/>
    </row>
    <row r="30139" spans="8:16" x14ac:dyDescent="0.25">
      <c r="H30139" s="12"/>
      <c r="I30139" s="12"/>
      <c r="J30139" s="12"/>
      <c r="K30139" s="12"/>
      <c r="L30139" s="12"/>
      <c r="M30139" s="11"/>
      <c r="N30139" s="11"/>
      <c r="O30139" s="11"/>
      <c r="P30139" s="11"/>
    </row>
    <row r="30140" spans="8:16" x14ac:dyDescent="0.25">
      <c r="H30140" s="12"/>
      <c r="I30140" s="12"/>
      <c r="J30140" s="12"/>
      <c r="K30140" s="12"/>
      <c r="L30140" s="12"/>
      <c r="M30140" s="11"/>
      <c r="N30140" s="11"/>
      <c r="O30140" s="11"/>
      <c r="P30140" s="11"/>
    </row>
    <row r="30141" spans="8:16" x14ac:dyDescent="0.25">
      <c r="H30141" s="12"/>
      <c r="I30141" s="12"/>
      <c r="J30141" s="12"/>
      <c r="K30141" s="12"/>
      <c r="L30141" s="12"/>
      <c r="M30141" s="11"/>
      <c r="N30141" s="11"/>
      <c r="O30141" s="11"/>
      <c r="P30141" s="11"/>
    </row>
    <row r="30142" spans="8:16" x14ac:dyDescent="0.25">
      <c r="H30142" s="12"/>
      <c r="I30142" s="12"/>
      <c r="J30142" s="12"/>
      <c r="K30142" s="12"/>
      <c r="L30142" s="12"/>
      <c r="M30142" s="11"/>
      <c r="N30142" s="11"/>
      <c r="O30142" s="11"/>
      <c r="P30142" s="11"/>
    </row>
    <row r="30143" spans="8:16" x14ac:dyDescent="0.25">
      <c r="H30143" s="12"/>
      <c r="I30143" s="12"/>
      <c r="J30143" s="12"/>
      <c r="K30143" s="12"/>
      <c r="L30143" s="12"/>
      <c r="M30143" s="11"/>
      <c r="N30143" s="11"/>
      <c r="O30143" s="11"/>
      <c r="P30143" s="11"/>
    </row>
    <row r="30144" spans="8:16" x14ac:dyDescent="0.25">
      <c r="H30144" s="12"/>
      <c r="I30144" s="12"/>
      <c r="J30144" s="12"/>
      <c r="K30144" s="12"/>
      <c r="L30144" s="12"/>
      <c r="M30144" s="11"/>
      <c r="N30144" s="11"/>
      <c r="O30144" s="11"/>
      <c r="P30144" s="11"/>
    </row>
    <row r="30145" spans="8:16" x14ac:dyDescent="0.25">
      <c r="H30145" s="12"/>
      <c r="I30145" s="12"/>
      <c r="J30145" s="12"/>
      <c r="K30145" s="12"/>
      <c r="L30145" s="12"/>
      <c r="M30145" s="11"/>
      <c r="N30145" s="11"/>
      <c r="O30145" s="11"/>
      <c r="P30145" s="11"/>
    </row>
    <row r="30146" spans="8:16" x14ac:dyDescent="0.25">
      <c r="H30146" s="12"/>
      <c r="I30146" s="12"/>
      <c r="J30146" s="12"/>
      <c r="K30146" s="12"/>
      <c r="L30146" s="12"/>
      <c r="M30146" s="11"/>
      <c r="N30146" s="11"/>
      <c r="O30146" s="11"/>
      <c r="P30146" s="11"/>
    </row>
    <row r="30147" spans="8:16" x14ac:dyDescent="0.25">
      <c r="H30147" s="12"/>
      <c r="I30147" s="12"/>
      <c r="J30147" s="12"/>
      <c r="K30147" s="12"/>
      <c r="L30147" s="12"/>
      <c r="M30147" s="11"/>
      <c r="N30147" s="11"/>
      <c r="O30147" s="11"/>
      <c r="P30147" s="11"/>
    </row>
    <row r="30148" spans="8:16" x14ac:dyDescent="0.25">
      <c r="H30148" s="12"/>
      <c r="I30148" s="12"/>
      <c r="J30148" s="12"/>
      <c r="K30148" s="12"/>
      <c r="L30148" s="12"/>
      <c r="M30148" s="11"/>
      <c r="N30148" s="11"/>
      <c r="O30148" s="11"/>
      <c r="P30148" s="11"/>
    </row>
    <row r="30149" spans="8:16" x14ac:dyDescent="0.25">
      <c r="H30149" s="12"/>
      <c r="I30149" s="12"/>
      <c r="J30149" s="12"/>
      <c r="K30149" s="12"/>
      <c r="L30149" s="12"/>
      <c r="M30149" s="11"/>
      <c r="N30149" s="11"/>
      <c r="O30149" s="11"/>
      <c r="P30149" s="11"/>
    </row>
    <row r="30150" spans="8:16" x14ac:dyDescent="0.25">
      <c r="H30150" s="12"/>
      <c r="I30150" s="12"/>
      <c r="J30150" s="12"/>
      <c r="K30150" s="12"/>
      <c r="L30150" s="12"/>
      <c r="M30150" s="11"/>
      <c r="N30150" s="11"/>
      <c r="O30150" s="11"/>
      <c r="P30150" s="11"/>
    </row>
    <row r="30151" spans="8:16" x14ac:dyDescent="0.25">
      <c r="H30151" s="12"/>
      <c r="I30151" s="12"/>
      <c r="J30151" s="12"/>
      <c r="K30151" s="12"/>
      <c r="L30151" s="12"/>
      <c r="M30151" s="11"/>
      <c r="N30151" s="11"/>
      <c r="O30151" s="11"/>
      <c r="P30151" s="11"/>
    </row>
    <row r="30152" spans="8:16" x14ac:dyDescent="0.25">
      <c r="H30152" s="12"/>
      <c r="I30152" s="12"/>
      <c r="J30152" s="12"/>
      <c r="K30152" s="12"/>
      <c r="L30152" s="12"/>
      <c r="M30152" s="11"/>
      <c r="N30152" s="11"/>
      <c r="O30152" s="11"/>
      <c r="P30152" s="11"/>
    </row>
    <row r="30153" spans="8:16" x14ac:dyDescent="0.25">
      <c r="H30153" s="12"/>
      <c r="I30153" s="12"/>
      <c r="J30153" s="12"/>
      <c r="K30153" s="12"/>
      <c r="L30153" s="12"/>
      <c r="M30153" s="11"/>
      <c r="N30153" s="11"/>
      <c r="O30153" s="11"/>
      <c r="P30153" s="11"/>
    </row>
    <row r="30154" spans="8:16" x14ac:dyDescent="0.25">
      <c r="H30154" s="12"/>
      <c r="I30154" s="12"/>
      <c r="J30154" s="12"/>
      <c r="K30154" s="12"/>
      <c r="L30154" s="12"/>
      <c r="M30154" s="11"/>
      <c r="N30154" s="11"/>
      <c r="O30154" s="11"/>
      <c r="P30154" s="11"/>
    </row>
    <row r="30155" spans="8:16" x14ac:dyDescent="0.25">
      <c r="H30155" s="12"/>
      <c r="I30155" s="12"/>
      <c r="J30155" s="12"/>
      <c r="K30155" s="12"/>
      <c r="L30155" s="12"/>
      <c r="M30155" s="11"/>
      <c r="N30155" s="11"/>
      <c r="O30155" s="11"/>
      <c r="P30155" s="11"/>
    </row>
    <row r="30156" spans="8:16" x14ac:dyDescent="0.25">
      <c r="H30156" s="12"/>
      <c r="I30156" s="12"/>
      <c r="J30156" s="12"/>
      <c r="K30156" s="12"/>
      <c r="L30156" s="12"/>
      <c r="M30156" s="11"/>
      <c r="N30156" s="11"/>
      <c r="O30156" s="11"/>
      <c r="P30156" s="11"/>
    </row>
    <row r="30157" spans="8:16" x14ac:dyDescent="0.25">
      <c r="H30157" s="12"/>
      <c r="I30157" s="12"/>
      <c r="J30157" s="12"/>
      <c r="K30157" s="12"/>
      <c r="L30157" s="12"/>
      <c r="M30157" s="11"/>
      <c r="N30157" s="11"/>
      <c r="O30157" s="11"/>
      <c r="P30157" s="11"/>
    </row>
    <row r="30158" spans="8:16" x14ac:dyDescent="0.25">
      <c r="H30158" s="12"/>
      <c r="I30158" s="12"/>
      <c r="J30158" s="12"/>
      <c r="K30158" s="12"/>
      <c r="L30158" s="12"/>
      <c r="M30158" s="11"/>
      <c r="N30158" s="11"/>
      <c r="O30158" s="11"/>
      <c r="P30158" s="11"/>
    </row>
    <row r="30159" spans="8:16" x14ac:dyDescent="0.25">
      <c r="H30159" s="12"/>
      <c r="I30159" s="12"/>
      <c r="J30159" s="12"/>
      <c r="K30159" s="12"/>
      <c r="L30159" s="12"/>
      <c r="M30159" s="11"/>
      <c r="N30159" s="11"/>
      <c r="O30159" s="11"/>
      <c r="P30159" s="11"/>
    </row>
    <row r="30160" spans="8:16" x14ac:dyDescent="0.25">
      <c r="H30160" s="12"/>
      <c r="I30160" s="12"/>
      <c r="J30160" s="12"/>
      <c r="K30160" s="12"/>
      <c r="L30160" s="12"/>
      <c r="M30160" s="11"/>
      <c r="N30160" s="11"/>
      <c r="O30160" s="11"/>
      <c r="P30160" s="11"/>
    </row>
    <row r="30161" spans="8:16" x14ac:dyDescent="0.25">
      <c r="H30161" s="12"/>
      <c r="I30161" s="12"/>
      <c r="J30161" s="12"/>
      <c r="K30161" s="12"/>
      <c r="L30161" s="12"/>
      <c r="M30161" s="11"/>
      <c r="N30161" s="11"/>
      <c r="O30161" s="11"/>
      <c r="P30161" s="11"/>
    </row>
    <row r="30162" spans="8:16" x14ac:dyDescent="0.25">
      <c r="H30162" s="12"/>
      <c r="I30162" s="12"/>
      <c r="J30162" s="12"/>
      <c r="K30162" s="12"/>
      <c r="L30162" s="12"/>
      <c r="M30162" s="11"/>
      <c r="N30162" s="11"/>
      <c r="O30162" s="11"/>
      <c r="P30162" s="11"/>
    </row>
    <row r="30163" spans="8:16" x14ac:dyDescent="0.25">
      <c r="H30163" s="12"/>
      <c r="I30163" s="12"/>
      <c r="J30163" s="12"/>
      <c r="K30163" s="12"/>
      <c r="L30163" s="12"/>
      <c r="M30163" s="11"/>
      <c r="N30163" s="11"/>
      <c r="O30163" s="11"/>
      <c r="P30163" s="11"/>
    </row>
    <row r="30164" spans="8:16" x14ac:dyDescent="0.25">
      <c r="H30164" s="12"/>
      <c r="I30164" s="12"/>
      <c r="J30164" s="12"/>
      <c r="K30164" s="12"/>
      <c r="L30164" s="12"/>
      <c r="M30164" s="11"/>
      <c r="N30164" s="11"/>
      <c r="O30164" s="11"/>
      <c r="P30164" s="11"/>
    </row>
    <row r="30165" spans="8:16" x14ac:dyDescent="0.25">
      <c r="H30165" s="12"/>
      <c r="I30165" s="12"/>
      <c r="J30165" s="12"/>
      <c r="K30165" s="12"/>
      <c r="L30165" s="12"/>
      <c r="M30165" s="11"/>
      <c r="N30165" s="11"/>
      <c r="O30165" s="11"/>
      <c r="P30165" s="11"/>
    </row>
    <row r="30166" spans="8:16" x14ac:dyDescent="0.25">
      <c r="H30166" s="12"/>
      <c r="I30166" s="12"/>
      <c r="J30166" s="12"/>
      <c r="K30166" s="12"/>
      <c r="L30166" s="12"/>
      <c r="M30166" s="11"/>
      <c r="N30166" s="11"/>
      <c r="O30166" s="11"/>
      <c r="P30166" s="11"/>
    </row>
    <row r="30167" spans="8:16" x14ac:dyDescent="0.25">
      <c r="H30167" s="12"/>
      <c r="I30167" s="12"/>
      <c r="J30167" s="12"/>
      <c r="K30167" s="12"/>
      <c r="L30167" s="12"/>
      <c r="M30167" s="11"/>
      <c r="N30167" s="11"/>
      <c r="O30167" s="11"/>
      <c r="P30167" s="11"/>
    </row>
    <row r="30168" spans="8:16" x14ac:dyDescent="0.25">
      <c r="H30168" s="12"/>
      <c r="I30168" s="12"/>
      <c r="J30168" s="12"/>
      <c r="K30168" s="12"/>
      <c r="L30168" s="12"/>
      <c r="M30168" s="11"/>
      <c r="N30168" s="11"/>
      <c r="O30168" s="11"/>
      <c r="P30168" s="11"/>
    </row>
    <row r="30169" spans="8:16" x14ac:dyDescent="0.25">
      <c r="H30169" s="12"/>
      <c r="I30169" s="12"/>
      <c r="J30169" s="12"/>
      <c r="K30169" s="12"/>
      <c r="L30169" s="12"/>
      <c r="M30169" s="11"/>
      <c r="N30169" s="11"/>
      <c r="O30169" s="11"/>
      <c r="P30169" s="11"/>
    </row>
    <row r="30170" spans="8:16" x14ac:dyDescent="0.25">
      <c r="H30170" s="12"/>
      <c r="I30170" s="12"/>
      <c r="J30170" s="12"/>
      <c r="K30170" s="12"/>
      <c r="L30170" s="12"/>
      <c r="M30170" s="11"/>
      <c r="N30170" s="11"/>
      <c r="O30170" s="11"/>
      <c r="P30170" s="11"/>
    </row>
    <row r="30171" spans="8:16" x14ac:dyDescent="0.25">
      <c r="H30171" s="12"/>
      <c r="I30171" s="12"/>
      <c r="J30171" s="12"/>
      <c r="K30171" s="12"/>
      <c r="L30171" s="12"/>
      <c r="M30171" s="11"/>
      <c r="N30171" s="11"/>
      <c r="O30171" s="11"/>
      <c r="P30171" s="11"/>
    </row>
    <row r="30172" spans="8:16" x14ac:dyDescent="0.25">
      <c r="H30172" s="12"/>
      <c r="I30172" s="12"/>
      <c r="J30172" s="12"/>
      <c r="K30172" s="12"/>
      <c r="L30172" s="12"/>
      <c r="M30172" s="11"/>
      <c r="N30172" s="11"/>
      <c r="O30172" s="11"/>
      <c r="P30172" s="11"/>
    </row>
    <row r="30173" spans="8:16" x14ac:dyDescent="0.25">
      <c r="H30173" s="12"/>
      <c r="I30173" s="12"/>
      <c r="J30173" s="12"/>
      <c r="K30173" s="12"/>
      <c r="L30173" s="12"/>
      <c r="M30173" s="11"/>
      <c r="N30173" s="11"/>
      <c r="O30173" s="11"/>
      <c r="P30173" s="11"/>
    </row>
    <row r="30174" spans="8:16" x14ac:dyDescent="0.25">
      <c r="H30174" s="12"/>
      <c r="I30174" s="12"/>
      <c r="J30174" s="12"/>
      <c r="K30174" s="12"/>
      <c r="L30174" s="12"/>
      <c r="M30174" s="11"/>
      <c r="N30174" s="11"/>
      <c r="O30174" s="11"/>
      <c r="P30174" s="11"/>
    </row>
    <row r="30175" spans="8:16" x14ac:dyDescent="0.25">
      <c r="H30175" s="12"/>
      <c r="I30175" s="12"/>
      <c r="J30175" s="12"/>
      <c r="K30175" s="12"/>
      <c r="L30175" s="12"/>
      <c r="M30175" s="11"/>
      <c r="N30175" s="11"/>
      <c r="O30175" s="11"/>
      <c r="P30175" s="11"/>
    </row>
    <row r="30176" spans="8:16" x14ac:dyDescent="0.25">
      <c r="H30176" s="12"/>
      <c r="I30176" s="12"/>
      <c r="J30176" s="12"/>
      <c r="K30176" s="12"/>
      <c r="L30176" s="12"/>
      <c r="M30176" s="11"/>
      <c r="N30176" s="11"/>
      <c r="O30176" s="11"/>
      <c r="P30176" s="11"/>
    </row>
    <row r="30177" spans="8:16" x14ac:dyDescent="0.25">
      <c r="H30177" s="12"/>
      <c r="I30177" s="12"/>
      <c r="J30177" s="12"/>
      <c r="K30177" s="12"/>
      <c r="L30177" s="12"/>
      <c r="M30177" s="11"/>
      <c r="N30177" s="11"/>
      <c r="O30177" s="11"/>
      <c r="P30177" s="11"/>
    </row>
    <row r="30178" spans="8:16" x14ac:dyDescent="0.25">
      <c r="H30178" s="12"/>
      <c r="I30178" s="12"/>
      <c r="J30178" s="12"/>
      <c r="K30178" s="12"/>
      <c r="L30178" s="12"/>
      <c r="M30178" s="11"/>
      <c r="N30178" s="11"/>
      <c r="O30178" s="11"/>
      <c r="P30178" s="11"/>
    </row>
    <row r="30179" spans="8:16" x14ac:dyDescent="0.25">
      <c r="H30179" s="12"/>
      <c r="I30179" s="12"/>
      <c r="J30179" s="12"/>
      <c r="K30179" s="12"/>
      <c r="L30179" s="12"/>
      <c r="M30179" s="11"/>
      <c r="N30179" s="11"/>
      <c r="O30179" s="11"/>
      <c r="P30179" s="11"/>
    </row>
    <row r="30180" spans="8:16" x14ac:dyDescent="0.25">
      <c r="H30180" s="12"/>
      <c r="I30180" s="12"/>
      <c r="J30180" s="12"/>
      <c r="K30180" s="12"/>
      <c r="L30180" s="12"/>
      <c r="M30180" s="11"/>
      <c r="N30180" s="11"/>
      <c r="O30180" s="11"/>
      <c r="P30180" s="11"/>
    </row>
    <row r="30181" spans="8:16" x14ac:dyDescent="0.25">
      <c r="H30181" s="12"/>
      <c r="I30181" s="12"/>
      <c r="J30181" s="12"/>
      <c r="K30181" s="12"/>
      <c r="L30181" s="12"/>
      <c r="M30181" s="11"/>
      <c r="N30181" s="11"/>
      <c r="O30181" s="11"/>
      <c r="P30181" s="11"/>
    </row>
    <row r="30182" spans="8:16" x14ac:dyDescent="0.25">
      <c r="H30182" s="12"/>
      <c r="I30182" s="12"/>
      <c r="J30182" s="12"/>
      <c r="K30182" s="12"/>
      <c r="L30182" s="12"/>
      <c r="M30182" s="11"/>
      <c r="N30182" s="11"/>
      <c r="O30182" s="11"/>
      <c r="P30182" s="11"/>
    </row>
    <row r="30183" spans="8:16" x14ac:dyDescent="0.25">
      <c r="H30183" s="12"/>
      <c r="I30183" s="12"/>
      <c r="J30183" s="12"/>
      <c r="K30183" s="12"/>
      <c r="L30183" s="12"/>
      <c r="M30183" s="11"/>
      <c r="N30183" s="11"/>
      <c r="O30183" s="11"/>
      <c r="P30183" s="11"/>
    </row>
    <row r="30184" spans="8:16" x14ac:dyDescent="0.25">
      <c r="H30184" s="12"/>
      <c r="I30184" s="12"/>
      <c r="J30184" s="12"/>
      <c r="K30184" s="12"/>
      <c r="L30184" s="12"/>
      <c r="M30184" s="11"/>
      <c r="N30184" s="11"/>
      <c r="O30184" s="11"/>
      <c r="P30184" s="11"/>
    </row>
    <row r="30185" spans="8:16" x14ac:dyDescent="0.25">
      <c r="H30185" s="12"/>
      <c r="I30185" s="12"/>
      <c r="J30185" s="12"/>
      <c r="K30185" s="12"/>
      <c r="L30185" s="12"/>
      <c r="M30185" s="11"/>
      <c r="N30185" s="11"/>
      <c r="O30185" s="11"/>
      <c r="P30185" s="11"/>
    </row>
    <row r="30186" spans="8:16" x14ac:dyDescent="0.25">
      <c r="H30186" s="12"/>
      <c r="I30186" s="12"/>
      <c r="J30186" s="12"/>
      <c r="K30186" s="12"/>
      <c r="L30186" s="12"/>
      <c r="M30186" s="11"/>
      <c r="N30186" s="11"/>
      <c r="O30186" s="11"/>
      <c r="P30186" s="11"/>
    </row>
    <row r="30187" spans="8:16" x14ac:dyDescent="0.25">
      <c r="H30187" s="12"/>
      <c r="I30187" s="12"/>
      <c r="J30187" s="12"/>
      <c r="K30187" s="12"/>
      <c r="L30187" s="12"/>
      <c r="M30187" s="11"/>
      <c r="N30187" s="11"/>
      <c r="O30187" s="11"/>
      <c r="P30187" s="11"/>
    </row>
    <row r="30188" spans="8:16" x14ac:dyDescent="0.25">
      <c r="H30188" s="12"/>
      <c r="I30188" s="12"/>
      <c r="J30188" s="12"/>
      <c r="K30188" s="12"/>
      <c r="L30188" s="12"/>
      <c r="M30188" s="11"/>
      <c r="N30188" s="11"/>
      <c r="O30188" s="11"/>
      <c r="P30188" s="11"/>
    </row>
    <row r="30189" spans="8:16" x14ac:dyDescent="0.25">
      <c r="H30189" s="12"/>
      <c r="I30189" s="12"/>
      <c r="J30189" s="12"/>
      <c r="K30189" s="12"/>
      <c r="L30189" s="12"/>
      <c r="M30189" s="11"/>
      <c r="N30189" s="11"/>
      <c r="O30189" s="11"/>
      <c r="P30189" s="11"/>
    </row>
    <row r="30190" spans="8:16" x14ac:dyDescent="0.25">
      <c r="H30190" s="12"/>
      <c r="I30190" s="12"/>
      <c r="J30190" s="12"/>
      <c r="K30190" s="12"/>
      <c r="L30190" s="12"/>
      <c r="M30190" s="11"/>
      <c r="N30190" s="11"/>
      <c r="O30190" s="11"/>
      <c r="P30190" s="11"/>
    </row>
    <row r="30191" spans="8:16" x14ac:dyDescent="0.25">
      <c r="H30191" s="12"/>
      <c r="I30191" s="12"/>
      <c r="J30191" s="12"/>
      <c r="K30191" s="12"/>
      <c r="L30191" s="12"/>
      <c r="M30191" s="11"/>
      <c r="N30191" s="11"/>
      <c r="O30191" s="11"/>
      <c r="P30191" s="11"/>
    </row>
    <row r="30192" spans="8:16" x14ac:dyDescent="0.25">
      <c r="H30192" s="12"/>
      <c r="I30192" s="12"/>
      <c r="J30192" s="12"/>
      <c r="K30192" s="12"/>
      <c r="L30192" s="12"/>
      <c r="M30192" s="11"/>
      <c r="N30192" s="11"/>
      <c r="O30192" s="11"/>
      <c r="P30192" s="11"/>
    </row>
    <row r="30193" spans="8:16" x14ac:dyDescent="0.25">
      <c r="H30193" s="12"/>
      <c r="I30193" s="12"/>
      <c r="J30193" s="12"/>
      <c r="K30193" s="12"/>
      <c r="L30193" s="12"/>
      <c r="M30193" s="11"/>
      <c r="N30193" s="11"/>
      <c r="O30193" s="11"/>
      <c r="P30193" s="11"/>
    </row>
    <row r="30194" spans="8:16" x14ac:dyDescent="0.25">
      <c r="H30194" s="12"/>
      <c r="I30194" s="12"/>
      <c r="J30194" s="12"/>
      <c r="K30194" s="12"/>
      <c r="L30194" s="12"/>
      <c r="M30194" s="11"/>
      <c r="N30194" s="11"/>
      <c r="O30194" s="11"/>
      <c r="P30194" s="11"/>
    </row>
    <row r="30195" spans="8:16" x14ac:dyDescent="0.25">
      <c r="H30195" s="12"/>
      <c r="I30195" s="12"/>
      <c r="J30195" s="12"/>
      <c r="K30195" s="12"/>
      <c r="L30195" s="12"/>
      <c r="M30195" s="11"/>
      <c r="N30195" s="11"/>
      <c r="O30195" s="11"/>
      <c r="P30195" s="11"/>
    </row>
    <row r="30196" spans="8:16" x14ac:dyDescent="0.25">
      <c r="H30196" s="12"/>
      <c r="I30196" s="12"/>
      <c r="J30196" s="12"/>
      <c r="K30196" s="12"/>
      <c r="L30196" s="12"/>
      <c r="M30196" s="11"/>
      <c r="N30196" s="11"/>
      <c r="O30196" s="11"/>
      <c r="P30196" s="11"/>
    </row>
    <row r="30197" spans="8:16" x14ac:dyDescent="0.25">
      <c r="H30197" s="12"/>
      <c r="I30197" s="12"/>
      <c r="J30197" s="12"/>
      <c r="K30197" s="12"/>
      <c r="L30197" s="12"/>
      <c r="M30197" s="11"/>
      <c r="N30197" s="11"/>
      <c r="O30197" s="11"/>
      <c r="P30197" s="11"/>
    </row>
    <row r="30198" spans="8:16" x14ac:dyDescent="0.25">
      <c r="H30198" s="12"/>
      <c r="I30198" s="12"/>
      <c r="J30198" s="12"/>
      <c r="K30198" s="12"/>
      <c r="L30198" s="12"/>
      <c r="M30198" s="11"/>
      <c r="N30198" s="11"/>
      <c r="O30198" s="11"/>
      <c r="P30198" s="11"/>
    </row>
    <row r="30199" spans="8:16" x14ac:dyDescent="0.25">
      <c r="H30199" s="12"/>
      <c r="I30199" s="12"/>
      <c r="J30199" s="12"/>
      <c r="K30199" s="12"/>
      <c r="L30199" s="12"/>
      <c r="M30199" s="11"/>
      <c r="N30199" s="11"/>
      <c r="O30199" s="11"/>
      <c r="P30199" s="11"/>
    </row>
    <row r="30200" spans="8:16" x14ac:dyDescent="0.25">
      <c r="H30200" s="12"/>
      <c r="I30200" s="12"/>
      <c r="J30200" s="12"/>
      <c r="K30200" s="12"/>
      <c r="L30200" s="12"/>
      <c r="M30200" s="11"/>
      <c r="N30200" s="11"/>
      <c r="O30200" s="11"/>
      <c r="P30200" s="11"/>
    </row>
    <row r="30201" spans="8:16" x14ac:dyDescent="0.25">
      <c r="H30201" s="12"/>
      <c r="I30201" s="12"/>
      <c r="J30201" s="12"/>
      <c r="K30201" s="12"/>
      <c r="L30201" s="12"/>
      <c r="M30201" s="11"/>
      <c r="N30201" s="11"/>
      <c r="O30201" s="11"/>
      <c r="P30201" s="11"/>
    </row>
    <row r="30202" spans="8:16" x14ac:dyDescent="0.25">
      <c r="H30202" s="12"/>
      <c r="I30202" s="12"/>
      <c r="J30202" s="12"/>
      <c r="K30202" s="12"/>
      <c r="L30202" s="12"/>
      <c r="M30202" s="11"/>
      <c r="N30202" s="11"/>
      <c r="O30202" s="11"/>
      <c r="P30202" s="11"/>
    </row>
    <row r="30203" spans="8:16" x14ac:dyDescent="0.25">
      <c r="H30203" s="12"/>
      <c r="I30203" s="12"/>
      <c r="J30203" s="12"/>
      <c r="K30203" s="12"/>
      <c r="L30203" s="12"/>
      <c r="M30203" s="11"/>
      <c r="N30203" s="11"/>
      <c r="O30203" s="11"/>
      <c r="P30203" s="11"/>
    </row>
    <row r="30204" spans="8:16" x14ac:dyDescent="0.25">
      <c r="H30204" s="12"/>
      <c r="I30204" s="12"/>
      <c r="J30204" s="12"/>
      <c r="K30204" s="12"/>
      <c r="L30204" s="12"/>
      <c r="M30204" s="11"/>
      <c r="N30204" s="11"/>
      <c r="O30204" s="11"/>
      <c r="P30204" s="11"/>
    </row>
    <row r="30205" spans="8:16" x14ac:dyDescent="0.25">
      <c r="H30205" s="12"/>
      <c r="I30205" s="12"/>
      <c r="J30205" s="12"/>
      <c r="K30205" s="12"/>
      <c r="L30205" s="12"/>
      <c r="M30205" s="11"/>
      <c r="N30205" s="11"/>
      <c r="O30205" s="11"/>
      <c r="P30205" s="11"/>
    </row>
    <row r="30206" spans="8:16" x14ac:dyDescent="0.25">
      <c r="H30206" s="12"/>
      <c r="I30206" s="12"/>
      <c r="J30206" s="12"/>
      <c r="K30206" s="12"/>
      <c r="L30206" s="12"/>
      <c r="M30206" s="11"/>
      <c r="N30206" s="11"/>
      <c r="O30206" s="11"/>
      <c r="P30206" s="11"/>
    </row>
    <row r="30207" spans="8:16" x14ac:dyDescent="0.25">
      <c r="H30207" s="12"/>
      <c r="I30207" s="12"/>
      <c r="J30207" s="12"/>
      <c r="K30207" s="12"/>
      <c r="L30207" s="12"/>
      <c r="M30207" s="11"/>
      <c r="N30207" s="11"/>
      <c r="O30207" s="11"/>
      <c r="P30207" s="11"/>
    </row>
    <row r="30208" spans="8:16" x14ac:dyDescent="0.25">
      <c r="H30208" s="12"/>
      <c r="I30208" s="12"/>
      <c r="J30208" s="12"/>
      <c r="K30208" s="12"/>
      <c r="L30208" s="12"/>
      <c r="M30208" s="11"/>
      <c r="N30208" s="11"/>
      <c r="O30208" s="11"/>
      <c r="P30208" s="11"/>
    </row>
    <row r="30209" spans="8:16" x14ac:dyDescent="0.25">
      <c r="H30209" s="12"/>
      <c r="I30209" s="12"/>
      <c r="J30209" s="12"/>
      <c r="K30209" s="12"/>
      <c r="L30209" s="12"/>
      <c r="M30209" s="11"/>
      <c r="N30209" s="11"/>
      <c r="O30209" s="11"/>
      <c r="P30209" s="11"/>
    </row>
    <row r="30210" spans="8:16" x14ac:dyDescent="0.25">
      <c r="H30210" s="12"/>
      <c r="I30210" s="12"/>
      <c r="J30210" s="12"/>
      <c r="K30210" s="12"/>
      <c r="L30210" s="12"/>
      <c r="M30210" s="11"/>
      <c r="N30210" s="11"/>
      <c r="O30210" s="11"/>
      <c r="P30210" s="11"/>
    </row>
    <row r="30211" spans="8:16" x14ac:dyDescent="0.25">
      <c r="H30211" s="12"/>
      <c r="I30211" s="12"/>
      <c r="J30211" s="12"/>
      <c r="K30211" s="12"/>
      <c r="L30211" s="12"/>
      <c r="M30211" s="11"/>
      <c r="N30211" s="11"/>
      <c r="O30211" s="11"/>
      <c r="P30211" s="11"/>
    </row>
    <row r="30212" spans="8:16" x14ac:dyDescent="0.25">
      <c r="H30212" s="12"/>
      <c r="I30212" s="12"/>
      <c r="J30212" s="12"/>
      <c r="K30212" s="12"/>
      <c r="L30212" s="12"/>
      <c r="M30212" s="11"/>
      <c r="N30212" s="11"/>
      <c r="O30212" s="11"/>
      <c r="P30212" s="11"/>
    </row>
    <row r="30213" spans="8:16" x14ac:dyDescent="0.25">
      <c r="H30213" s="12"/>
      <c r="I30213" s="12"/>
      <c r="J30213" s="12"/>
      <c r="K30213" s="12"/>
      <c r="L30213" s="12"/>
      <c r="M30213" s="11"/>
      <c r="N30213" s="11"/>
      <c r="O30213" s="11"/>
      <c r="P30213" s="11"/>
    </row>
    <row r="30214" spans="8:16" x14ac:dyDescent="0.25">
      <c r="H30214" s="12"/>
      <c r="I30214" s="12"/>
      <c r="J30214" s="12"/>
      <c r="K30214" s="12"/>
      <c r="L30214" s="12"/>
      <c r="M30214" s="11"/>
      <c r="N30214" s="11"/>
      <c r="O30214" s="11"/>
      <c r="P30214" s="11"/>
    </row>
    <row r="30215" spans="8:16" x14ac:dyDescent="0.25">
      <c r="H30215" s="12"/>
      <c r="I30215" s="12"/>
      <c r="J30215" s="12"/>
      <c r="K30215" s="12"/>
      <c r="L30215" s="12"/>
      <c r="M30215" s="11"/>
      <c r="N30215" s="11"/>
      <c r="O30215" s="11"/>
      <c r="P30215" s="11"/>
    </row>
    <row r="30216" spans="8:16" x14ac:dyDescent="0.25">
      <c r="H30216" s="12"/>
      <c r="I30216" s="12"/>
      <c r="J30216" s="12"/>
      <c r="K30216" s="12"/>
      <c r="L30216" s="12"/>
      <c r="M30216" s="11"/>
      <c r="N30216" s="11"/>
      <c r="O30216" s="11"/>
      <c r="P30216" s="11"/>
    </row>
    <row r="30217" spans="8:16" x14ac:dyDescent="0.25">
      <c r="H30217" s="12"/>
      <c r="I30217" s="12"/>
      <c r="J30217" s="12"/>
      <c r="K30217" s="12"/>
      <c r="L30217" s="12"/>
      <c r="M30217" s="11"/>
      <c r="N30217" s="11"/>
      <c r="O30217" s="11"/>
      <c r="P30217" s="11"/>
    </row>
    <row r="30218" spans="8:16" x14ac:dyDescent="0.25">
      <c r="H30218" s="12"/>
      <c r="I30218" s="12"/>
      <c r="J30218" s="12"/>
      <c r="K30218" s="12"/>
      <c r="L30218" s="12"/>
      <c r="M30218" s="11"/>
      <c r="N30218" s="11"/>
      <c r="O30218" s="11"/>
      <c r="P30218" s="11"/>
    </row>
    <row r="30219" spans="8:16" x14ac:dyDescent="0.25">
      <c r="H30219" s="12"/>
      <c r="I30219" s="12"/>
      <c r="J30219" s="12"/>
      <c r="K30219" s="12"/>
      <c r="L30219" s="12"/>
      <c r="M30219" s="11"/>
      <c r="N30219" s="11"/>
      <c r="O30219" s="11"/>
      <c r="P30219" s="11"/>
    </row>
    <row r="30220" spans="8:16" x14ac:dyDescent="0.25">
      <c r="H30220" s="12"/>
      <c r="I30220" s="12"/>
      <c r="J30220" s="12"/>
      <c r="K30220" s="12"/>
      <c r="L30220" s="12"/>
      <c r="M30220" s="11"/>
      <c r="N30220" s="11"/>
      <c r="O30220" s="11"/>
      <c r="P30220" s="11"/>
    </row>
    <row r="30221" spans="8:16" x14ac:dyDescent="0.25">
      <c r="H30221" s="12"/>
      <c r="I30221" s="12"/>
      <c r="J30221" s="12"/>
      <c r="K30221" s="12"/>
      <c r="L30221" s="12"/>
      <c r="M30221" s="11"/>
      <c r="N30221" s="11"/>
      <c r="O30221" s="11"/>
      <c r="P30221" s="11"/>
    </row>
    <row r="30222" spans="8:16" x14ac:dyDescent="0.25">
      <c r="H30222" s="12"/>
      <c r="I30222" s="12"/>
      <c r="J30222" s="12"/>
      <c r="K30222" s="12"/>
      <c r="L30222" s="12"/>
      <c r="M30222" s="11"/>
      <c r="N30222" s="11"/>
      <c r="O30222" s="11"/>
      <c r="P30222" s="11"/>
    </row>
    <row r="30223" spans="8:16" x14ac:dyDescent="0.25">
      <c r="H30223" s="12"/>
      <c r="I30223" s="12"/>
      <c r="J30223" s="12"/>
      <c r="K30223" s="12"/>
      <c r="L30223" s="12"/>
      <c r="M30223" s="11"/>
      <c r="N30223" s="11"/>
      <c r="O30223" s="11"/>
      <c r="P30223" s="11"/>
    </row>
    <row r="30224" spans="8:16" x14ac:dyDescent="0.25">
      <c r="H30224" s="12"/>
      <c r="I30224" s="12"/>
      <c r="J30224" s="12"/>
      <c r="K30224" s="12"/>
      <c r="L30224" s="12"/>
      <c r="M30224" s="11"/>
      <c r="N30224" s="11"/>
      <c r="O30224" s="11"/>
      <c r="P30224" s="11"/>
    </row>
    <row r="30225" spans="8:16" x14ac:dyDescent="0.25">
      <c r="H30225" s="12"/>
      <c r="I30225" s="12"/>
      <c r="J30225" s="12"/>
      <c r="K30225" s="12"/>
      <c r="L30225" s="12"/>
      <c r="M30225" s="11"/>
      <c r="N30225" s="11"/>
      <c r="O30225" s="11"/>
      <c r="P30225" s="11"/>
    </row>
    <row r="30226" spans="8:16" x14ac:dyDescent="0.25">
      <c r="H30226" s="12"/>
      <c r="I30226" s="12"/>
      <c r="J30226" s="12"/>
      <c r="K30226" s="12"/>
      <c r="L30226" s="12"/>
      <c r="M30226" s="11"/>
      <c r="N30226" s="11"/>
      <c r="O30226" s="11"/>
      <c r="P30226" s="11"/>
    </row>
    <row r="30227" spans="8:16" x14ac:dyDescent="0.25">
      <c r="H30227" s="12"/>
      <c r="I30227" s="12"/>
      <c r="J30227" s="12"/>
      <c r="K30227" s="12"/>
      <c r="L30227" s="12"/>
      <c r="M30227" s="11"/>
      <c r="N30227" s="11"/>
      <c r="O30227" s="11"/>
      <c r="P30227" s="11"/>
    </row>
    <row r="30228" spans="8:16" x14ac:dyDescent="0.25">
      <c r="H30228" s="12"/>
      <c r="I30228" s="12"/>
      <c r="J30228" s="12"/>
      <c r="K30228" s="12"/>
      <c r="L30228" s="12"/>
      <c r="M30228" s="11"/>
      <c r="N30228" s="11"/>
      <c r="O30228" s="11"/>
      <c r="P30228" s="11"/>
    </row>
    <row r="30229" spans="8:16" x14ac:dyDescent="0.25">
      <c r="H30229" s="12"/>
      <c r="I30229" s="12"/>
      <c r="J30229" s="12"/>
      <c r="K30229" s="12"/>
      <c r="L30229" s="12"/>
      <c r="M30229" s="11"/>
      <c r="N30229" s="11"/>
      <c r="O30229" s="11"/>
      <c r="P30229" s="11"/>
    </row>
    <row r="30230" spans="8:16" x14ac:dyDescent="0.25">
      <c r="H30230" s="12"/>
      <c r="I30230" s="12"/>
      <c r="J30230" s="12"/>
      <c r="K30230" s="12"/>
      <c r="L30230" s="12"/>
      <c r="M30230" s="11"/>
      <c r="N30230" s="11"/>
      <c r="O30230" s="11"/>
      <c r="P30230" s="11"/>
    </row>
    <row r="30231" spans="8:16" x14ac:dyDescent="0.25">
      <c r="H30231" s="12"/>
      <c r="I30231" s="12"/>
      <c r="J30231" s="12"/>
      <c r="K30231" s="12"/>
      <c r="L30231" s="12"/>
      <c r="M30231" s="11"/>
      <c r="N30231" s="11"/>
      <c r="O30231" s="11"/>
      <c r="P30231" s="11"/>
    </row>
    <row r="30232" spans="8:16" x14ac:dyDescent="0.25">
      <c r="H30232" s="12"/>
      <c r="I30232" s="12"/>
      <c r="J30232" s="12"/>
      <c r="K30232" s="12"/>
      <c r="L30232" s="12"/>
      <c r="M30232" s="11"/>
      <c r="N30232" s="11"/>
      <c r="O30232" s="11"/>
      <c r="P30232" s="11"/>
    </row>
    <row r="30233" spans="8:16" x14ac:dyDescent="0.25">
      <c r="H30233" s="12"/>
      <c r="I30233" s="12"/>
      <c r="J30233" s="12"/>
      <c r="K30233" s="12"/>
      <c r="L30233" s="12"/>
      <c r="M30233" s="11"/>
      <c r="N30233" s="11"/>
      <c r="O30233" s="11"/>
      <c r="P30233" s="11"/>
    </row>
    <row r="30234" spans="8:16" x14ac:dyDescent="0.25">
      <c r="H30234" s="12"/>
      <c r="I30234" s="12"/>
      <c r="J30234" s="12"/>
      <c r="K30234" s="12"/>
      <c r="L30234" s="12"/>
      <c r="M30234" s="11"/>
      <c r="N30234" s="11"/>
      <c r="O30234" s="11"/>
      <c r="P30234" s="11"/>
    </row>
    <row r="30235" spans="8:16" x14ac:dyDescent="0.25">
      <c r="H30235" s="12"/>
      <c r="I30235" s="12"/>
      <c r="J30235" s="12"/>
      <c r="K30235" s="12"/>
      <c r="L30235" s="12"/>
      <c r="M30235" s="11"/>
      <c r="N30235" s="11"/>
      <c r="O30235" s="11"/>
      <c r="P30235" s="11"/>
    </row>
    <row r="30236" spans="8:16" x14ac:dyDescent="0.25">
      <c r="H30236" s="12"/>
      <c r="I30236" s="12"/>
      <c r="J30236" s="12"/>
      <c r="K30236" s="12"/>
      <c r="L30236" s="12"/>
      <c r="M30236" s="11"/>
      <c r="N30236" s="11"/>
      <c r="O30236" s="11"/>
      <c r="P30236" s="11"/>
    </row>
    <row r="30237" spans="8:16" x14ac:dyDescent="0.25">
      <c r="H30237" s="12"/>
      <c r="I30237" s="12"/>
      <c r="J30237" s="12"/>
      <c r="K30237" s="12"/>
      <c r="L30237" s="12"/>
      <c r="M30237" s="11"/>
      <c r="N30237" s="11"/>
      <c r="O30237" s="11"/>
      <c r="P30237" s="11"/>
    </row>
    <row r="30238" spans="8:16" x14ac:dyDescent="0.25">
      <c r="H30238" s="12"/>
      <c r="I30238" s="12"/>
      <c r="J30238" s="12"/>
      <c r="K30238" s="12"/>
      <c r="L30238" s="12"/>
      <c r="M30238" s="11"/>
      <c r="N30238" s="11"/>
      <c r="O30238" s="11"/>
      <c r="P30238" s="11"/>
    </row>
    <row r="30239" spans="8:16" x14ac:dyDescent="0.25">
      <c r="H30239" s="12"/>
      <c r="I30239" s="12"/>
      <c r="J30239" s="12"/>
      <c r="K30239" s="12"/>
      <c r="L30239" s="12"/>
      <c r="M30239" s="11"/>
      <c r="N30239" s="11"/>
      <c r="O30239" s="11"/>
      <c r="P30239" s="11"/>
    </row>
    <row r="30240" spans="8:16" x14ac:dyDescent="0.25">
      <c r="H30240" s="12"/>
      <c r="I30240" s="12"/>
      <c r="J30240" s="12"/>
      <c r="K30240" s="12"/>
      <c r="L30240" s="12"/>
      <c r="M30240" s="11"/>
      <c r="N30240" s="11"/>
      <c r="O30240" s="11"/>
      <c r="P30240" s="11"/>
    </row>
    <row r="30241" spans="8:16" x14ac:dyDescent="0.25">
      <c r="H30241" s="12"/>
      <c r="I30241" s="12"/>
      <c r="J30241" s="12"/>
      <c r="K30241" s="12"/>
      <c r="L30241" s="12"/>
      <c r="M30241" s="11"/>
      <c r="N30241" s="11"/>
      <c r="O30241" s="11"/>
      <c r="P30241" s="11"/>
    </row>
    <row r="30242" spans="8:16" x14ac:dyDescent="0.25">
      <c r="H30242" s="12"/>
      <c r="I30242" s="12"/>
      <c r="J30242" s="12"/>
      <c r="K30242" s="12"/>
      <c r="L30242" s="12"/>
      <c r="M30242" s="11"/>
      <c r="N30242" s="11"/>
      <c r="O30242" s="11"/>
      <c r="P30242" s="11"/>
    </row>
    <row r="30243" spans="8:16" x14ac:dyDescent="0.25">
      <c r="H30243" s="12"/>
      <c r="I30243" s="12"/>
      <c r="J30243" s="12"/>
      <c r="K30243" s="12"/>
      <c r="L30243" s="12"/>
      <c r="M30243" s="11"/>
      <c r="N30243" s="11"/>
      <c r="O30243" s="11"/>
      <c r="P30243" s="11"/>
    </row>
    <row r="30244" spans="8:16" x14ac:dyDescent="0.25">
      <c r="H30244" s="12"/>
      <c r="I30244" s="12"/>
      <c r="J30244" s="12"/>
      <c r="K30244" s="12"/>
      <c r="L30244" s="12"/>
      <c r="M30244" s="11"/>
      <c r="N30244" s="11"/>
      <c r="O30244" s="11"/>
      <c r="P30244" s="11"/>
    </row>
    <row r="30245" spans="8:16" x14ac:dyDescent="0.25">
      <c r="H30245" s="12"/>
      <c r="I30245" s="12"/>
      <c r="J30245" s="12"/>
      <c r="K30245" s="12"/>
      <c r="L30245" s="12"/>
      <c r="M30245" s="11"/>
      <c r="N30245" s="11"/>
      <c r="O30245" s="11"/>
      <c r="P30245" s="11"/>
    </row>
    <row r="30246" spans="8:16" x14ac:dyDescent="0.25">
      <c r="H30246" s="12"/>
      <c r="I30246" s="12"/>
      <c r="J30246" s="12"/>
      <c r="K30246" s="12"/>
      <c r="L30246" s="12"/>
      <c r="M30246" s="11"/>
      <c r="N30246" s="11"/>
      <c r="O30246" s="11"/>
      <c r="P30246" s="11"/>
    </row>
    <row r="30247" spans="8:16" x14ac:dyDescent="0.25">
      <c r="H30247" s="12"/>
      <c r="I30247" s="12"/>
      <c r="J30247" s="12"/>
      <c r="K30247" s="12"/>
      <c r="L30247" s="12"/>
      <c r="M30247" s="11"/>
      <c r="N30247" s="11"/>
      <c r="O30247" s="11"/>
      <c r="P30247" s="11"/>
    </row>
    <row r="30248" spans="8:16" x14ac:dyDescent="0.25">
      <c r="H30248" s="12"/>
      <c r="I30248" s="12"/>
      <c r="J30248" s="12"/>
      <c r="K30248" s="12"/>
      <c r="L30248" s="12"/>
      <c r="M30248" s="11"/>
      <c r="N30248" s="11"/>
      <c r="O30248" s="11"/>
      <c r="P30248" s="11"/>
    </row>
    <row r="30249" spans="8:16" x14ac:dyDescent="0.25">
      <c r="H30249" s="12"/>
      <c r="I30249" s="12"/>
      <c r="J30249" s="12"/>
      <c r="K30249" s="12"/>
      <c r="L30249" s="12"/>
      <c r="M30249" s="11"/>
      <c r="N30249" s="11"/>
      <c r="O30249" s="11"/>
      <c r="P30249" s="11"/>
    </row>
    <row r="30250" spans="8:16" x14ac:dyDescent="0.25">
      <c r="H30250" s="12"/>
      <c r="I30250" s="12"/>
      <c r="J30250" s="12"/>
      <c r="K30250" s="12"/>
      <c r="L30250" s="12"/>
      <c r="M30250" s="11"/>
      <c r="N30250" s="11"/>
      <c r="O30250" s="11"/>
      <c r="P30250" s="11"/>
    </row>
    <row r="30251" spans="8:16" x14ac:dyDescent="0.25">
      <c r="H30251" s="12"/>
      <c r="I30251" s="12"/>
      <c r="J30251" s="12"/>
      <c r="K30251" s="12"/>
      <c r="L30251" s="12"/>
      <c r="M30251" s="11"/>
      <c r="N30251" s="11"/>
      <c r="O30251" s="11"/>
      <c r="P30251" s="11"/>
    </row>
    <row r="30252" spans="8:16" x14ac:dyDescent="0.25">
      <c r="H30252" s="12"/>
      <c r="I30252" s="12"/>
      <c r="J30252" s="12"/>
      <c r="K30252" s="12"/>
      <c r="L30252" s="12"/>
      <c r="M30252" s="11"/>
      <c r="N30252" s="11"/>
      <c r="O30252" s="11"/>
      <c r="P30252" s="11"/>
    </row>
    <row r="30253" spans="8:16" x14ac:dyDescent="0.25">
      <c r="H30253" s="12"/>
      <c r="I30253" s="12"/>
      <c r="J30253" s="12"/>
      <c r="K30253" s="12"/>
      <c r="L30253" s="12"/>
      <c r="M30253" s="11"/>
      <c r="N30253" s="11"/>
      <c r="O30253" s="11"/>
      <c r="P30253" s="11"/>
    </row>
    <row r="30254" spans="8:16" x14ac:dyDescent="0.25">
      <c r="H30254" s="12"/>
      <c r="I30254" s="12"/>
      <c r="J30254" s="12"/>
      <c r="K30254" s="12"/>
      <c r="L30254" s="12"/>
      <c r="M30254" s="11"/>
      <c r="N30254" s="11"/>
      <c r="O30254" s="11"/>
      <c r="P30254" s="11"/>
    </row>
    <row r="30255" spans="8:16" x14ac:dyDescent="0.25">
      <c r="H30255" s="12"/>
      <c r="I30255" s="12"/>
      <c r="J30255" s="12"/>
      <c r="K30255" s="12"/>
      <c r="L30255" s="12"/>
      <c r="M30255" s="11"/>
      <c r="N30255" s="11"/>
      <c r="O30255" s="11"/>
      <c r="P30255" s="11"/>
    </row>
    <row r="30256" spans="8:16" x14ac:dyDescent="0.25">
      <c r="H30256" s="12"/>
      <c r="I30256" s="12"/>
      <c r="J30256" s="12"/>
      <c r="K30256" s="12"/>
      <c r="L30256" s="12"/>
      <c r="M30256" s="11"/>
      <c r="N30256" s="11"/>
      <c r="O30256" s="11"/>
      <c r="P30256" s="11"/>
    </row>
    <row r="30257" spans="8:16" x14ac:dyDescent="0.25">
      <c r="H30257" s="12"/>
      <c r="I30257" s="12"/>
      <c r="J30257" s="12"/>
      <c r="K30257" s="12"/>
      <c r="L30257" s="12"/>
      <c r="M30257" s="11"/>
      <c r="N30257" s="11"/>
      <c r="O30257" s="11"/>
      <c r="P30257" s="11"/>
    </row>
    <row r="30258" spans="8:16" x14ac:dyDescent="0.25">
      <c r="H30258" s="12"/>
      <c r="I30258" s="12"/>
      <c r="J30258" s="12"/>
      <c r="K30258" s="12"/>
      <c r="L30258" s="12"/>
      <c r="M30258" s="11"/>
      <c r="N30258" s="11"/>
      <c r="O30258" s="11"/>
      <c r="P30258" s="11"/>
    </row>
    <row r="30259" spans="8:16" x14ac:dyDescent="0.25">
      <c r="H30259" s="12"/>
      <c r="I30259" s="12"/>
      <c r="J30259" s="12"/>
      <c r="K30259" s="12"/>
      <c r="L30259" s="12"/>
      <c r="M30259" s="11"/>
      <c r="N30259" s="11"/>
      <c r="O30259" s="11"/>
      <c r="P30259" s="11"/>
    </row>
    <row r="30260" spans="8:16" x14ac:dyDescent="0.25">
      <c r="H30260" s="12"/>
      <c r="I30260" s="12"/>
      <c r="J30260" s="12"/>
      <c r="K30260" s="12"/>
      <c r="L30260" s="12"/>
      <c r="M30260" s="11"/>
      <c r="N30260" s="11"/>
      <c r="O30260" s="11"/>
      <c r="P30260" s="11"/>
    </row>
    <row r="30261" spans="8:16" x14ac:dyDescent="0.25">
      <c r="H30261" s="12"/>
      <c r="I30261" s="12"/>
      <c r="J30261" s="12"/>
      <c r="K30261" s="12"/>
      <c r="L30261" s="12"/>
      <c r="M30261" s="11"/>
      <c r="N30261" s="11"/>
      <c r="O30261" s="11"/>
      <c r="P30261" s="11"/>
    </row>
    <row r="30262" spans="8:16" x14ac:dyDescent="0.25">
      <c r="H30262" s="12"/>
      <c r="I30262" s="12"/>
      <c r="J30262" s="12"/>
      <c r="K30262" s="12"/>
      <c r="L30262" s="12"/>
      <c r="M30262" s="11"/>
      <c r="N30262" s="11"/>
      <c r="O30262" s="11"/>
      <c r="P30262" s="11"/>
    </row>
    <row r="30263" spans="8:16" x14ac:dyDescent="0.25">
      <c r="H30263" s="12"/>
      <c r="I30263" s="12"/>
      <c r="J30263" s="12"/>
      <c r="K30263" s="12"/>
      <c r="L30263" s="12"/>
      <c r="M30263" s="11"/>
      <c r="N30263" s="11"/>
      <c r="O30263" s="11"/>
      <c r="P30263" s="11"/>
    </row>
    <row r="30264" spans="8:16" x14ac:dyDescent="0.25">
      <c r="H30264" s="12"/>
      <c r="I30264" s="12"/>
      <c r="J30264" s="12"/>
      <c r="K30264" s="12"/>
      <c r="L30264" s="12"/>
      <c r="M30264" s="11"/>
      <c r="N30264" s="11"/>
      <c r="O30264" s="11"/>
      <c r="P30264" s="11"/>
    </row>
    <row r="30265" spans="8:16" x14ac:dyDescent="0.25">
      <c r="H30265" s="12"/>
      <c r="I30265" s="12"/>
      <c r="J30265" s="12"/>
      <c r="K30265" s="12"/>
      <c r="L30265" s="12"/>
      <c r="M30265" s="11"/>
      <c r="N30265" s="11"/>
      <c r="O30265" s="11"/>
      <c r="P30265" s="11"/>
    </row>
    <row r="30266" spans="8:16" x14ac:dyDescent="0.25">
      <c r="H30266" s="12"/>
      <c r="I30266" s="12"/>
      <c r="J30266" s="12"/>
      <c r="K30266" s="12"/>
      <c r="L30266" s="12"/>
      <c r="M30266" s="11"/>
      <c r="N30266" s="11"/>
      <c r="O30266" s="11"/>
      <c r="P30266" s="11"/>
    </row>
    <row r="30267" spans="8:16" x14ac:dyDescent="0.25">
      <c r="H30267" s="12"/>
      <c r="I30267" s="12"/>
      <c r="J30267" s="12"/>
      <c r="K30267" s="12"/>
      <c r="L30267" s="12"/>
      <c r="M30267" s="11"/>
      <c r="N30267" s="11"/>
      <c r="O30267" s="11"/>
      <c r="P30267" s="11"/>
    </row>
    <row r="30268" spans="8:16" x14ac:dyDescent="0.25">
      <c r="H30268" s="12"/>
      <c r="I30268" s="12"/>
      <c r="J30268" s="12"/>
      <c r="K30268" s="12"/>
      <c r="L30268" s="12"/>
      <c r="M30268" s="11"/>
      <c r="N30268" s="11"/>
      <c r="O30268" s="11"/>
      <c r="P30268" s="11"/>
    </row>
    <row r="30269" spans="8:16" x14ac:dyDescent="0.25">
      <c r="H30269" s="12"/>
      <c r="I30269" s="12"/>
      <c r="J30269" s="12"/>
      <c r="K30269" s="12"/>
      <c r="L30269" s="12"/>
      <c r="M30269" s="11"/>
      <c r="N30269" s="11"/>
      <c r="O30269" s="11"/>
      <c r="P30269" s="11"/>
    </row>
    <row r="30270" spans="8:16" x14ac:dyDescent="0.25">
      <c r="H30270" s="12"/>
      <c r="I30270" s="12"/>
      <c r="J30270" s="12"/>
      <c r="K30270" s="12"/>
      <c r="L30270" s="12"/>
      <c r="M30270" s="11"/>
      <c r="N30270" s="11"/>
      <c r="O30270" s="11"/>
      <c r="P30270" s="11"/>
    </row>
    <row r="30271" spans="8:16" x14ac:dyDescent="0.25">
      <c r="H30271" s="12"/>
      <c r="I30271" s="12"/>
      <c r="J30271" s="12"/>
      <c r="K30271" s="12"/>
      <c r="L30271" s="12"/>
      <c r="M30271" s="11"/>
      <c r="N30271" s="11"/>
      <c r="O30271" s="11"/>
      <c r="P30271" s="11"/>
    </row>
    <row r="30272" spans="8:16" x14ac:dyDescent="0.25">
      <c r="H30272" s="12"/>
      <c r="I30272" s="12"/>
      <c r="J30272" s="12"/>
      <c r="K30272" s="12"/>
      <c r="L30272" s="12"/>
      <c r="M30272" s="11"/>
      <c r="N30272" s="11"/>
      <c r="O30272" s="11"/>
      <c r="P30272" s="11"/>
    </row>
    <row r="30273" spans="8:16" x14ac:dyDescent="0.25">
      <c r="H30273" s="12"/>
      <c r="I30273" s="12"/>
      <c r="J30273" s="12"/>
      <c r="K30273" s="12"/>
      <c r="L30273" s="12"/>
      <c r="M30273" s="11"/>
      <c r="N30273" s="11"/>
      <c r="O30273" s="11"/>
      <c r="P30273" s="11"/>
    </row>
    <row r="30274" spans="8:16" x14ac:dyDescent="0.25">
      <c r="H30274" s="12"/>
      <c r="I30274" s="12"/>
      <c r="J30274" s="12"/>
      <c r="K30274" s="12"/>
      <c r="L30274" s="12"/>
      <c r="M30274" s="11"/>
      <c r="N30274" s="11"/>
      <c r="O30274" s="11"/>
      <c r="P30274" s="11"/>
    </row>
    <row r="30275" spans="8:16" x14ac:dyDescent="0.25">
      <c r="H30275" s="12"/>
      <c r="I30275" s="12"/>
      <c r="J30275" s="12"/>
      <c r="K30275" s="12"/>
      <c r="L30275" s="12"/>
      <c r="M30275" s="11"/>
      <c r="N30275" s="11"/>
      <c r="O30275" s="11"/>
      <c r="P30275" s="11"/>
    </row>
    <row r="30276" spans="8:16" x14ac:dyDescent="0.25">
      <c r="H30276" s="12"/>
      <c r="I30276" s="12"/>
      <c r="J30276" s="12"/>
      <c r="K30276" s="12"/>
      <c r="L30276" s="12"/>
      <c r="M30276" s="11"/>
      <c r="N30276" s="11"/>
      <c r="O30276" s="11"/>
      <c r="P30276" s="11"/>
    </row>
    <row r="30277" spans="8:16" x14ac:dyDescent="0.25">
      <c r="H30277" s="12"/>
      <c r="I30277" s="12"/>
      <c r="J30277" s="12"/>
      <c r="K30277" s="12"/>
      <c r="L30277" s="12"/>
      <c r="M30277" s="11"/>
      <c r="N30277" s="11"/>
      <c r="O30277" s="11"/>
      <c r="P30277" s="11"/>
    </row>
    <row r="30278" spans="8:16" x14ac:dyDescent="0.25">
      <c r="H30278" s="12"/>
      <c r="I30278" s="12"/>
      <c r="J30278" s="12"/>
      <c r="K30278" s="12"/>
      <c r="L30278" s="12"/>
      <c r="M30278" s="11"/>
      <c r="N30278" s="11"/>
      <c r="O30278" s="11"/>
      <c r="P30278" s="11"/>
    </row>
    <row r="30279" spans="8:16" x14ac:dyDescent="0.25">
      <c r="H30279" s="12"/>
      <c r="I30279" s="12"/>
      <c r="J30279" s="12"/>
      <c r="K30279" s="12"/>
      <c r="L30279" s="12"/>
      <c r="M30279" s="11"/>
      <c r="N30279" s="11"/>
      <c r="O30279" s="11"/>
      <c r="P30279" s="11"/>
    </row>
    <row r="30280" spans="8:16" x14ac:dyDescent="0.25">
      <c r="H30280" s="12"/>
      <c r="I30280" s="12"/>
      <c r="J30280" s="12"/>
      <c r="K30280" s="12"/>
      <c r="L30280" s="12"/>
      <c r="M30280" s="11"/>
      <c r="N30280" s="11"/>
      <c r="O30280" s="11"/>
      <c r="P30280" s="11"/>
    </row>
    <row r="30281" spans="8:16" x14ac:dyDescent="0.25">
      <c r="H30281" s="12"/>
      <c r="I30281" s="12"/>
      <c r="J30281" s="12"/>
      <c r="K30281" s="12"/>
      <c r="L30281" s="12"/>
      <c r="M30281" s="11"/>
      <c r="N30281" s="11"/>
      <c r="O30281" s="11"/>
      <c r="P30281" s="11"/>
    </row>
    <row r="30282" spans="8:16" x14ac:dyDescent="0.25">
      <c r="H30282" s="12"/>
      <c r="I30282" s="12"/>
      <c r="J30282" s="12"/>
      <c r="K30282" s="12"/>
      <c r="L30282" s="12"/>
      <c r="M30282" s="11"/>
      <c r="N30282" s="11"/>
      <c r="O30282" s="11"/>
      <c r="P30282" s="11"/>
    </row>
    <row r="30283" spans="8:16" x14ac:dyDescent="0.25">
      <c r="H30283" s="12"/>
      <c r="I30283" s="12"/>
      <c r="J30283" s="12"/>
      <c r="K30283" s="12"/>
      <c r="L30283" s="12"/>
      <c r="M30283" s="11"/>
      <c r="N30283" s="11"/>
      <c r="O30283" s="11"/>
      <c r="P30283" s="11"/>
    </row>
    <row r="30284" spans="8:16" x14ac:dyDescent="0.25">
      <c r="H30284" s="12"/>
      <c r="I30284" s="12"/>
      <c r="J30284" s="12"/>
      <c r="K30284" s="12"/>
      <c r="L30284" s="12"/>
      <c r="M30284" s="11"/>
      <c r="N30284" s="11"/>
      <c r="O30284" s="11"/>
      <c r="P30284" s="11"/>
    </row>
    <row r="30285" spans="8:16" x14ac:dyDescent="0.25">
      <c r="H30285" s="12"/>
      <c r="I30285" s="12"/>
      <c r="J30285" s="12"/>
      <c r="K30285" s="12"/>
      <c r="L30285" s="12"/>
      <c r="M30285" s="11"/>
      <c r="N30285" s="11"/>
      <c r="O30285" s="11"/>
      <c r="P30285" s="11"/>
    </row>
    <row r="30286" spans="8:16" x14ac:dyDescent="0.25">
      <c r="H30286" s="12"/>
      <c r="I30286" s="12"/>
      <c r="J30286" s="12"/>
      <c r="K30286" s="12"/>
      <c r="L30286" s="12"/>
      <c r="M30286" s="11"/>
      <c r="N30286" s="11"/>
      <c r="O30286" s="11"/>
      <c r="P30286" s="11"/>
    </row>
    <row r="30287" spans="8:16" x14ac:dyDescent="0.25">
      <c r="H30287" s="12"/>
      <c r="I30287" s="12"/>
      <c r="J30287" s="12"/>
      <c r="K30287" s="12"/>
      <c r="L30287" s="12"/>
      <c r="M30287" s="11"/>
      <c r="N30287" s="11"/>
      <c r="O30287" s="11"/>
      <c r="P30287" s="11"/>
    </row>
    <row r="30288" spans="8:16" x14ac:dyDescent="0.25">
      <c r="H30288" s="12"/>
      <c r="I30288" s="12"/>
      <c r="J30288" s="12"/>
      <c r="K30288" s="12"/>
      <c r="L30288" s="12"/>
      <c r="M30288" s="11"/>
      <c r="N30288" s="11"/>
      <c r="O30288" s="11"/>
      <c r="P30288" s="11"/>
    </row>
    <row r="30289" spans="8:16" x14ac:dyDescent="0.25">
      <c r="H30289" s="12"/>
      <c r="I30289" s="12"/>
      <c r="J30289" s="12"/>
      <c r="K30289" s="12"/>
      <c r="L30289" s="12"/>
      <c r="M30289" s="11"/>
      <c r="N30289" s="11"/>
      <c r="O30289" s="11"/>
      <c r="P30289" s="11"/>
    </row>
    <row r="30290" spans="8:16" x14ac:dyDescent="0.25">
      <c r="H30290" s="12"/>
      <c r="I30290" s="12"/>
      <c r="J30290" s="12"/>
      <c r="K30290" s="12"/>
      <c r="L30290" s="12"/>
      <c r="M30290" s="11"/>
      <c r="N30290" s="11"/>
      <c r="O30290" s="11"/>
      <c r="P30290" s="11"/>
    </row>
    <row r="30291" spans="8:16" x14ac:dyDescent="0.25">
      <c r="H30291" s="12"/>
      <c r="I30291" s="12"/>
      <c r="J30291" s="12"/>
      <c r="K30291" s="12"/>
      <c r="L30291" s="12"/>
      <c r="M30291" s="11"/>
      <c r="N30291" s="11"/>
      <c r="O30291" s="11"/>
      <c r="P30291" s="11"/>
    </row>
    <row r="30292" spans="8:16" x14ac:dyDescent="0.25">
      <c r="H30292" s="12"/>
      <c r="I30292" s="12"/>
      <c r="J30292" s="12"/>
      <c r="K30292" s="12"/>
      <c r="L30292" s="12"/>
      <c r="M30292" s="11"/>
      <c r="N30292" s="11"/>
      <c r="O30292" s="11"/>
      <c r="P30292" s="11"/>
    </row>
    <row r="30293" spans="8:16" x14ac:dyDescent="0.25">
      <c r="H30293" s="12"/>
      <c r="I30293" s="12"/>
      <c r="J30293" s="12"/>
      <c r="K30293" s="12"/>
      <c r="L30293" s="12"/>
      <c r="M30293" s="11"/>
      <c r="N30293" s="11"/>
      <c r="O30293" s="11"/>
      <c r="P30293" s="11"/>
    </row>
    <row r="30294" spans="8:16" x14ac:dyDescent="0.25">
      <c r="H30294" s="12"/>
      <c r="I30294" s="12"/>
      <c r="J30294" s="12"/>
      <c r="K30294" s="12"/>
      <c r="L30294" s="12"/>
      <c r="M30294" s="11"/>
      <c r="N30294" s="11"/>
      <c r="O30294" s="11"/>
      <c r="P30294" s="11"/>
    </row>
    <row r="30295" spans="8:16" x14ac:dyDescent="0.25">
      <c r="H30295" s="12"/>
      <c r="I30295" s="12"/>
      <c r="J30295" s="12"/>
      <c r="K30295" s="12"/>
      <c r="L30295" s="12"/>
      <c r="M30295" s="11"/>
      <c r="N30295" s="11"/>
      <c r="O30295" s="11"/>
      <c r="P30295" s="11"/>
    </row>
    <row r="30296" spans="8:16" x14ac:dyDescent="0.25">
      <c r="H30296" s="12"/>
      <c r="I30296" s="12"/>
      <c r="J30296" s="12"/>
      <c r="K30296" s="12"/>
      <c r="L30296" s="12"/>
      <c r="M30296" s="11"/>
      <c r="N30296" s="11"/>
      <c r="O30296" s="11"/>
      <c r="P30296" s="11"/>
    </row>
    <row r="30297" spans="8:16" x14ac:dyDescent="0.25">
      <c r="H30297" s="12"/>
      <c r="I30297" s="12"/>
      <c r="J30297" s="12"/>
      <c r="K30297" s="12"/>
      <c r="L30297" s="12"/>
      <c r="M30297" s="11"/>
      <c r="N30297" s="11"/>
      <c r="O30297" s="11"/>
      <c r="P30297" s="11"/>
    </row>
    <row r="30298" spans="8:16" x14ac:dyDescent="0.25">
      <c r="H30298" s="12"/>
      <c r="I30298" s="12"/>
      <c r="J30298" s="12"/>
      <c r="K30298" s="12"/>
      <c r="L30298" s="12"/>
      <c r="M30298" s="11"/>
      <c r="N30298" s="11"/>
      <c r="O30298" s="11"/>
      <c r="P30298" s="11"/>
    </row>
    <row r="30299" spans="8:16" x14ac:dyDescent="0.25">
      <c r="H30299" s="12"/>
      <c r="I30299" s="12"/>
      <c r="J30299" s="12"/>
      <c r="K30299" s="12"/>
      <c r="L30299" s="12"/>
      <c r="M30299" s="11"/>
      <c r="N30299" s="11"/>
      <c r="O30299" s="11"/>
      <c r="P30299" s="11"/>
    </row>
    <row r="30300" spans="8:16" x14ac:dyDescent="0.25">
      <c r="H30300" s="12"/>
      <c r="I30300" s="12"/>
      <c r="J30300" s="12"/>
      <c r="K30300" s="12"/>
      <c r="L30300" s="12"/>
      <c r="M30300" s="11"/>
      <c r="N30300" s="11"/>
      <c r="O30300" s="11"/>
      <c r="P30300" s="11"/>
    </row>
    <row r="30301" spans="8:16" x14ac:dyDescent="0.25">
      <c r="H30301" s="12"/>
      <c r="I30301" s="12"/>
      <c r="J30301" s="12"/>
      <c r="K30301" s="12"/>
      <c r="L30301" s="12"/>
      <c r="M30301" s="11"/>
      <c r="N30301" s="11"/>
      <c r="O30301" s="11"/>
      <c r="P30301" s="11"/>
    </row>
    <row r="30302" spans="8:16" x14ac:dyDescent="0.25">
      <c r="H30302" s="12"/>
      <c r="I30302" s="12"/>
      <c r="J30302" s="12"/>
      <c r="K30302" s="12"/>
      <c r="L30302" s="12"/>
      <c r="M30302" s="11"/>
      <c r="N30302" s="11"/>
      <c r="O30302" s="11"/>
      <c r="P30302" s="11"/>
    </row>
    <row r="30303" spans="8:16" x14ac:dyDescent="0.25">
      <c r="H30303" s="12"/>
      <c r="I30303" s="12"/>
      <c r="J30303" s="12"/>
      <c r="K30303" s="12"/>
      <c r="L30303" s="12"/>
      <c r="M30303" s="11"/>
      <c r="N30303" s="11"/>
      <c r="O30303" s="11"/>
      <c r="P30303" s="11"/>
    </row>
    <row r="30304" spans="8:16" x14ac:dyDescent="0.25">
      <c r="H30304" s="12"/>
      <c r="I30304" s="12"/>
      <c r="J30304" s="12"/>
      <c r="K30304" s="12"/>
      <c r="L30304" s="12"/>
      <c r="M30304" s="11"/>
      <c r="N30304" s="11"/>
      <c r="O30304" s="11"/>
      <c r="P30304" s="11"/>
    </row>
    <row r="30305" spans="8:16" x14ac:dyDescent="0.25">
      <c r="H30305" s="12"/>
      <c r="I30305" s="12"/>
      <c r="J30305" s="12"/>
      <c r="K30305" s="12"/>
      <c r="L30305" s="12"/>
      <c r="M30305" s="11"/>
      <c r="N30305" s="11"/>
      <c r="O30305" s="11"/>
      <c r="P30305" s="11"/>
    </row>
    <row r="30306" spans="8:16" x14ac:dyDescent="0.25">
      <c r="H30306" s="12"/>
      <c r="I30306" s="12"/>
      <c r="J30306" s="12"/>
      <c r="K30306" s="12"/>
      <c r="L30306" s="12"/>
      <c r="M30306" s="11"/>
      <c r="N30306" s="11"/>
      <c r="O30306" s="11"/>
      <c r="P30306" s="11"/>
    </row>
    <row r="30307" spans="8:16" x14ac:dyDescent="0.25">
      <c r="H30307" s="12"/>
      <c r="I30307" s="12"/>
      <c r="J30307" s="12"/>
      <c r="K30307" s="12"/>
      <c r="L30307" s="12"/>
      <c r="M30307" s="11"/>
      <c r="N30307" s="11"/>
      <c r="O30307" s="11"/>
      <c r="P30307" s="11"/>
    </row>
    <row r="30308" spans="8:16" x14ac:dyDescent="0.25">
      <c r="H30308" s="12"/>
      <c r="I30308" s="12"/>
      <c r="J30308" s="12"/>
      <c r="K30308" s="12"/>
      <c r="L30308" s="12"/>
      <c r="M30308" s="11"/>
      <c r="N30308" s="11"/>
      <c r="O30308" s="11"/>
      <c r="P30308" s="11"/>
    </row>
    <row r="30309" spans="8:16" x14ac:dyDescent="0.25">
      <c r="H30309" s="12"/>
      <c r="I30309" s="12"/>
      <c r="J30309" s="12"/>
      <c r="K30309" s="12"/>
      <c r="L30309" s="12"/>
      <c r="M30309" s="11"/>
      <c r="N30309" s="11"/>
      <c r="O30309" s="11"/>
      <c r="P30309" s="11"/>
    </row>
    <row r="30310" spans="8:16" x14ac:dyDescent="0.25">
      <c r="H30310" s="12"/>
      <c r="I30310" s="12"/>
      <c r="J30310" s="12"/>
      <c r="K30310" s="12"/>
      <c r="L30310" s="12"/>
      <c r="M30310" s="11"/>
      <c r="N30310" s="11"/>
      <c r="O30310" s="11"/>
      <c r="P30310" s="11"/>
    </row>
    <row r="30311" spans="8:16" x14ac:dyDescent="0.25">
      <c r="H30311" s="12"/>
      <c r="I30311" s="12"/>
      <c r="J30311" s="12"/>
      <c r="K30311" s="12"/>
      <c r="L30311" s="12"/>
      <c r="M30311" s="11"/>
      <c r="N30311" s="11"/>
      <c r="O30311" s="11"/>
      <c r="P30311" s="11"/>
    </row>
    <row r="30312" spans="8:16" x14ac:dyDescent="0.25">
      <c r="H30312" s="12"/>
      <c r="I30312" s="12"/>
      <c r="J30312" s="12"/>
      <c r="K30312" s="12"/>
      <c r="L30312" s="12"/>
      <c r="M30312" s="11"/>
      <c r="N30312" s="11"/>
      <c r="O30312" s="11"/>
      <c r="P30312" s="11"/>
    </row>
    <row r="30313" spans="8:16" x14ac:dyDescent="0.25">
      <c r="H30313" s="12"/>
      <c r="I30313" s="12"/>
      <c r="J30313" s="12"/>
      <c r="K30313" s="12"/>
      <c r="L30313" s="12"/>
      <c r="M30313" s="11"/>
      <c r="N30313" s="11"/>
      <c r="O30313" s="11"/>
      <c r="P30313" s="11"/>
    </row>
    <row r="30314" spans="8:16" x14ac:dyDescent="0.25">
      <c r="H30314" s="12"/>
      <c r="I30314" s="12"/>
      <c r="J30314" s="12"/>
      <c r="K30314" s="12"/>
      <c r="L30314" s="12"/>
      <c r="M30314" s="11"/>
      <c r="N30314" s="11"/>
      <c r="O30314" s="11"/>
      <c r="P30314" s="11"/>
    </row>
    <row r="30315" spans="8:16" x14ac:dyDescent="0.25">
      <c r="H30315" s="12"/>
      <c r="I30315" s="12"/>
      <c r="J30315" s="12"/>
      <c r="K30315" s="12"/>
      <c r="L30315" s="12"/>
      <c r="M30315" s="11"/>
      <c r="N30315" s="11"/>
      <c r="O30315" s="11"/>
      <c r="P30315" s="11"/>
    </row>
    <row r="30316" spans="8:16" x14ac:dyDescent="0.25">
      <c r="H30316" s="12"/>
      <c r="I30316" s="12"/>
      <c r="J30316" s="12"/>
      <c r="K30316" s="12"/>
      <c r="L30316" s="12"/>
      <c r="M30316" s="11"/>
      <c r="N30316" s="11"/>
      <c r="O30316" s="11"/>
      <c r="P30316" s="11"/>
    </row>
    <row r="30317" spans="8:16" x14ac:dyDescent="0.25">
      <c r="H30317" s="12"/>
      <c r="I30317" s="12"/>
      <c r="J30317" s="12"/>
      <c r="K30317" s="12"/>
      <c r="L30317" s="12"/>
      <c r="M30317" s="11"/>
      <c r="N30317" s="11"/>
      <c r="O30317" s="11"/>
      <c r="P30317" s="11"/>
    </row>
    <row r="30318" spans="8:16" x14ac:dyDescent="0.25">
      <c r="H30318" s="12"/>
      <c r="I30318" s="12"/>
      <c r="J30318" s="12"/>
      <c r="K30318" s="12"/>
      <c r="L30318" s="12"/>
      <c r="M30318" s="11"/>
      <c r="N30318" s="11"/>
      <c r="O30318" s="11"/>
      <c r="P30318" s="11"/>
    </row>
    <row r="30319" spans="8:16" x14ac:dyDescent="0.25">
      <c r="H30319" s="12"/>
      <c r="I30319" s="12"/>
      <c r="J30319" s="12"/>
      <c r="K30319" s="12"/>
      <c r="L30319" s="12"/>
      <c r="M30319" s="11"/>
      <c r="N30319" s="11"/>
      <c r="O30319" s="11"/>
      <c r="P30319" s="11"/>
    </row>
    <row r="30320" spans="8:16" x14ac:dyDescent="0.25">
      <c r="H30320" s="12"/>
      <c r="I30320" s="12"/>
      <c r="J30320" s="12"/>
      <c r="K30320" s="12"/>
      <c r="L30320" s="12"/>
      <c r="M30320" s="11"/>
      <c r="N30320" s="11"/>
      <c r="O30320" s="11"/>
      <c r="P30320" s="11"/>
    </row>
    <row r="30321" spans="8:16" x14ac:dyDescent="0.25">
      <c r="H30321" s="12"/>
      <c r="I30321" s="12"/>
      <c r="J30321" s="12"/>
      <c r="K30321" s="12"/>
      <c r="L30321" s="12"/>
      <c r="M30321" s="11"/>
      <c r="N30321" s="11"/>
      <c r="O30321" s="11"/>
      <c r="P30321" s="11"/>
    </row>
    <row r="30322" spans="8:16" x14ac:dyDescent="0.25">
      <c r="H30322" s="12"/>
      <c r="I30322" s="12"/>
      <c r="J30322" s="12"/>
      <c r="K30322" s="12"/>
      <c r="L30322" s="12"/>
      <c r="M30322" s="11"/>
      <c r="N30322" s="11"/>
      <c r="O30322" s="11"/>
      <c r="P30322" s="11"/>
    </row>
    <row r="30323" spans="8:16" x14ac:dyDescent="0.25">
      <c r="H30323" s="12"/>
      <c r="I30323" s="12"/>
      <c r="J30323" s="12"/>
      <c r="K30323" s="12"/>
      <c r="L30323" s="12"/>
      <c r="M30323" s="11"/>
      <c r="N30323" s="11"/>
      <c r="O30323" s="11"/>
      <c r="P30323" s="11"/>
    </row>
    <row r="30324" spans="8:16" x14ac:dyDescent="0.25">
      <c r="H30324" s="12"/>
      <c r="I30324" s="12"/>
      <c r="J30324" s="12"/>
      <c r="K30324" s="12"/>
      <c r="L30324" s="12"/>
      <c r="M30324" s="11"/>
      <c r="N30324" s="11"/>
      <c r="O30324" s="11"/>
      <c r="P30324" s="11"/>
    </row>
    <row r="30325" spans="8:16" x14ac:dyDescent="0.25">
      <c r="H30325" s="12"/>
      <c r="I30325" s="12"/>
      <c r="J30325" s="12"/>
      <c r="K30325" s="12"/>
      <c r="L30325" s="12"/>
      <c r="M30325" s="11"/>
      <c r="N30325" s="11"/>
      <c r="O30325" s="11"/>
      <c r="P30325" s="11"/>
    </row>
    <row r="30326" spans="8:16" x14ac:dyDescent="0.25">
      <c r="H30326" s="12"/>
      <c r="I30326" s="12"/>
      <c r="J30326" s="12"/>
      <c r="K30326" s="12"/>
      <c r="L30326" s="12"/>
      <c r="M30326" s="11"/>
      <c r="N30326" s="11"/>
      <c r="O30326" s="11"/>
      <c r="P30326" s="11"/>
    </row>
    <row r="30327" spans="8:16" x14ac:dyDescent="0.25">
      <c r="H30327" s="12"/>
      <c r="I30327" s="12"/>
      <c r="J30327" s="12"/>
      <c r="K30327" s="12"/>
      <c r="L30327" s="12"/>
      <c r="M30327" s="11"/>
      <c r="N30327" s="11"/>
      <c r="O30327" s="11"/>
      <c r="P30327" s="11"/>
    </row>
    <row r="30328" spans="8:16" x14ac:dyDescent="0.25">
      <c r="H30328" s="12"/>
      <c r="I30328" s="12"/>
      <c r="J30328" s="12"/>
      <c r="K30328" s="12"/>
      <c r="L30328" s="12"/>
      <c r="M30328" s="11"/>
      <c r="N30328" s="11"/>
      <c r="O30328" s="11"/>
      <c r="P30328" s="11"/>
    </row>
    <row r="30329" spans="8:16" x14ac:dyDescent="0.25">
      <c r="H30329" s="12"/>
      <c r="I30329" s="12"/>
      <c r="J30329" s="12"/>
      <c r="K30329" s="12"/>
      <c r="L30329" s="12"/>
      <c r="M30329" s="11"/>
      <c r="N30329" s="11"/>
      <c r="O30329" s="11"/>
      <c r="P30329" s="11"/>
    </row>
    <row r="30330" spans="8:16" x14ac:dyDescent="0.25">
      <c r="H30330" s="12"/>
      <c r="I30330" s="12"/>
      <c r="J30330" s="12"/>
      <c r="K30330" s="12"/>
      <c r="L30330" s="12"/>
      <c r="M30330" s="11"/>
      <c r="N30330" s="11"/>
      <c r="O30330" s="11"/>
      <c r="P30330" s="11"/>
    </row>
    <row r="30331" spans="8:16" x14ac:dyDescent="0.25">
      <c r="H30331" s="12"/>
      <c r="I30331" s="12"/>
      <c r="J30331" s="12"/>
      <c r="K30331" s="12"/>
      <c r="L30331" s="12"/>
      <c r="M30331" s="11"/>
      <c r="N30331" s="11"/>
      <c r="O30331" s="11"/>
      <c r="P30331" s="11"/>
    </row>
    <row r="30332" spans="8:16" x14ac:dyDescent="0.25">
      <c r="H30332" s="12"/>
      <c r="I30332" s="12"/>
      <c r="J30332" s="12"/>
      <c r="K30332" s="12"/>
      <c r="L30332" s="12"/>
      <c r="M30332" s="11"/>
      <c r="N30332" s="11"/>
      <c r="O30332" s="11"/>
      <c r="P30332" s="11"/>
    </row>
    <row r="30333" spans="8:16" x14ac:dyDescent="0.25">
      <c r="H30333" s="12"/>
      <c r="I30333" s="12"/>
      <c r="J30333" s="12"/>
      <c r="K30333" s="12"/>
      <c r="L30333" s="12"/>
      <c r="M30333" s="11"/>
      <c r="N30333" s="11"/>
      <c r="O30333" s="11"/>
      <c r="P30333" s="11"/>
    </row>
    <row r="30334" spans="8:16" x14ac:dyDescent="0.25">
      <c r="H30334" s="12"/>
      <c r="I30334" s="12"/>
      <c r="J30334" s="12"/>
      <c r="K30334" s="12"/>
      <c r="L30334" s="12"/>
      <c r="M30334" s="11"/>
      <c r="N30334" s="11"/>
      <c r="O30334" s="11"/>
      <c r="P30334" s="11"/>
    </row>
    <row r="30335" spans="8:16" x14ac:dyDescent="0.25">
      <c r="H30335" s="12"/>
      <c r="I30335" s="12"/>
      <c r="J30335" s="12"/>
      <c r="K30335" s="12"/>
      <c r="L30335" s="12"/>
      <c r="M30335" s="11"/>
      <c r="N30335" s="11"/>
      <c r="O30335" s="11"/>
      <c r="P30335" s="11"/>
    </row>
    <row r="30336" spans="8:16" x14ac:dyDescent="0.25">
      <c r="H30336" s="12"/>
      <c r="I30336" s="12"/>
      <c r="J30336" s="12"/>
      <c r="K30336" s="12"/>
      <c r="L30336" s="12"/>
      <c r="M30336" s="11"/>
      <c r="N30336" s="11"/>
      <c r="O30336" s="11"/>
      <c r="P30336" s="11"/>
    </row>
    <row r="30337" spans="8:16" x14ac:dyDescent="0.25">
      <c r="H30337" s="12"/>
      <c r="I30337" s="12"/>
      <c r="J30337" s="12"/>
      <c r="K30337" s="12"/>
      <c r="L30337" s="12"/>
      <c r="M30337" s="11"/>
      <c r="N30337" s="11"/>
      <c r="O30337" s="11"/>
      <c r="P30337" s="11"/>
    </row>
    <row r="30338" spans="8:16" x14ac:dyDescent="0.25">
      <c r="H30338" s="12"/>
      <c r="I30338" s="12"/>
      <c r="J30338" s="12"/>
      <c r="K30338" s="12"/>
      <c r="L30338" s="12"/>
      <c r="M30338" s="11"/>
      <c r="N30338" s="11"/>
      <c r="O30338" s="11"/>
      <c r="P30338" s="11"/>
    </row>
    <row r="30339" spans="8:16" x14ac:dyDescent="0.25">
      <c r="H30339" s="12"/>
      <c r="I30339" s="12"/>
      <c r="J30339" s="12"/>
      <c r="K30339" s="12"/>
      <c r="L30339" s="12"/>
      <c r="M30339" s="11"/>
      <c r="N30339" s="11"/>
      <c r="O30339" s="11"/>
      <c r="P30339" s="11"/>
    </row>
    <row r="30340" spans="8:16" x14ac:dyDescent="0.25">
      <c r="H30340" s="12"/>
      <c r="I30340" s="12"/>
      <c r="J30340" s="12"/>
      <c r="K30340" s="12"/>
      <c r="L30340" s="12"/>
      <c r="M30340" s="11"/>
      <c r="N30340" s="11"/>
      <c r="O30340" s="11"/>
      <c r="P30340" s="11"/>
    </row>
    <row r="30341" spans="8:16" x14ac:dyDescent="0.25">
      <c r="H30341" s="12"/>
      <c r="I30341" s="12"/>
      <c r="J30341" s="12"/>
      <c r="K30341" s="12"/>
      <c r="L30341" s="12"/>
      <c r="M30341" s="11"/>
      <c r="N30341" s="11"/>
      <c r="O30341" s="11"/>
      <c r="P30341" s="11"/>
    </row>
    <row r="30342" spans="8:16" x14ac:dyDescent="0.25">
      <c r="H30342" s="12"/>
      <c r="I30342" s="12"/>
      <c r="J30342" s="12"/>
      <c r="K30342" s="12"/>
      <c r="L30342" s="12"/>
      <c r="M30342" s="11"/>
      <c r="N30342" s="11"/>
      <c r="O30342" s="11"/>
      <c r="P30342" s="11"/>
    </row>
    <row r="30343" spans="8:16" x14ac:dyDescent="0.25">
      <c r="H30343" s="12"/>
      <c r="I30343" s="12"/>
      <c r="J30343" s="12"/>
      <c r="K30343" s="12"/>
      <c r="L30343" s="12"/>
      <c r="M30343" s="11"/>
      <c r="N30343" s="11"/>
      <c r="O30343" s="11"/>
      <c r="P30343" s="11"/>
    </row>
    <row r="30344" spans="8:16" x14ac:dyDescent="0.25">
      <c r="H30344" s="12"/>
      <c r="I30344" s="12"/>
      <c r="J30344" s="12"/>
      <c r="K30344" s="12"/>
      <c r="L30344" s="12"/>
      <c r="M30344" s="11"/>
      <c r="N30344" s="11"/>
      <c r="O30344" s="11"/>
      <c r="P30344" s="11"/>
    </row>
    <row r="30345" spans="8:16" x14ac:dyDescent="0.25">
      <c r="H30345" s="12"/>
      <c r="I30345" s="12"/>
      <c r="J30345" s="12"/>
      <c r="K30345" s="12"/>
      <c r="L30345" s="12"/>
      <c r="M30345" s="11"/>
      <c r="N30345" s="11"/>
      <c r="O30345" s="11"/>
      <c r="P30345" s="11"/>
    </row>
    <row r="30346" spans="8:16" x14ac:dyDescent="0.25">
      <c r="H30346" s="12"/>
      <c r="I30346" s="12"/>
      <c r="J30346" s="12"/>
      <c r="K30346" s="12"/>
      <c r="L30346" s="12"/>
      <c r="M30346" s="11"/>
      <c r="N30346" s="11"/>
      <c r="O30346" s="11"/>
      <c r="P30346" s="11"/>
    </row>
    <row r="30347" spans="8:16" x14ac:dyDescent="0.25">
      <c r="H30347" s="12"/>
      <c r="I30347" s="12"/>
      <c r="J30347" s="12"/>
      <c r="K30347" s="12"/>
      <c r="L30347" s="12"/>
      <c r="M30347" s="11"/>
      <c r="N30347" s="11"/>
      <c r="O30347" s="11"/>
      <c r="P30347" s="11"/>
    </row>
    <row r="30348" spans="8:16" x14ac:dyDescent="0.25">
      <c r="H30348" s="12"/>
      <c r="I30348" s="12"/>
      <c r="J30348" s="12"/>
      <c r="K30348" s="12"/>
      <c r="L30348" s="12"/>
      <c r="M30348" s="11"/>
      <c r="N30348" s="11"/>
      <c r="O30348" s="11"/>
      <c r="P30348" s="11"/>
    </row>
    <row r="30349" spans="8:16" x14ac:dyDescent="0.25">
      <c r="H30349" s="12"/>
      <c r="I30349" s="12"/>
      <c r="J30349" s="12"/>
      <c r="K30349" s="12"/>
      <c r="L30349" s="12"/>
      <c r="M30349" s="11"/>
      <c r="N30349" s="11"/>
      <c r="O30349" s="11"/>
      <c r="P30349" s="11"/>
    </row>
    <row r="30350" spans="8:16" x14ac:dyDescent="0.25">
      <c r="H30350" s="12"/>
      <c r="I30350" s="12"/>
      <c r="J30350" s="12"/>
      <c r="K30350" s="12"/>
      <c r="L30350" s="12"/>
      <c r="M30350" s="11"/>
      <c r="N30350" s="11"/>
      <c r="O30350" s="11"/>
      <c r="P30350" s="11"/>
    </row>
    <row r="30351" spans="8:16" x14ac:dyDescent="0.25">
      <c r="H30351" s="12"/>
      <c r="I30351" s="12"/>
      <c r="J30351" s="12"/>
      <c r="K30351" s="12"/>
      <c r="L30351" s="12"/>
      <c r="M30351" s="11"/>
      <c r="N30351" s="11"/>
      <c r="O30351" s="11"/>
      <c r="P30351" s="11"/>
    </row>
    <row r="30352" spans="8:16" x14ac:dyDescent="0.25">
      <c r="H30352" s="12"/>
      <c r="I30352" s="12"/>
      <c r="J30352" s="12"/>
      <c r="K30352" s="12"/>
      <c r="L30352" s="12"/>
      <c r="M30352" s="11"/>
      <c r="N30352" s="11"/>
      <c r="O30352" s="11"/>
      <c r="P30352" s="11"/>
    </row>
    <row r="30353" spans="8:16" x14ac:dyDescent="0.25">
      <c r="H30353" s="12"/>
      <c r="I30353" s="12"/>
      <c r="J30353" s="12"/>
      <c r="K30353" s="12"/>
      <c r="L30353" s="12"/>
      <c r="M30353" s="11"/>
      <c r="N30353" s="11"/>
      <c r="O30353" s="11"/>
      <c r="P30353" s="11"/>
    </row>
    <row r="30354" spans="8:16" x14ac:dyDescent="0.25">
      <c r="H30354" s="12"/>
      <c r="I30354" s="12"/>
      <c r="J30354" s="12"/>
      <c r="K30354" s="12"/>
      <c r="L30354" s="12"/>
      <c r="M30354" s="11"/>
      <c r="N30354" s="11"/>
      <c r="O30354" s="11"/>
      <c r="P30354" s="11"/>
    </row>
    <row r="30355" spans="8:16" x14ac:dyDescent="0.25">
      <c r="H30355" s="12"/>
      <c r="I30355" s="12"/>
      <c r="J30355" s="12"/>
      <c r="K30355" s="12"/>
      <c r="L30355" s="12"/>
      <c r="M30355" s="11"/>
      <c r="N30355" s="11"/>
      <c r="O30355" s="11"/>
      <c r="P30355" s="11"/>
    </row>
    <row r="30356" spans="8:16" x14ac:dyDescent="0.25">
      <c r="H30356" s="12"/>
      <c r="I30356" s="12"/>
      <c r="J30356" s="12"/>
      <c r="K30356" s="12"/>
      <c r="L30356" s="12"/>
      <c r="M30356" s="11"/>
      <c r="N30356" s="11"/>
      <c r="O30356" s="11"/>
      <c r="P30356" s="11"/>
    </row>
    <row r="30357" spans="8:16" x14ac:dyDescent="0.25">
      <c r="H30357" s="12"/>
      <c r="I30357" s="12"/>
      <c r="J30357" s="12"/>
      <c r="K30357" s="12"/>
      <c r="L30357" s="12"/>
      <c r="M30357" s="11"/>
      <c r="N30357" s="11"/>
      <c r="O30357" s="11"/>
      <c r="P30357" s="11"/>
    </row>
    <row r="30358" spans="8:16" x14ac:dyDescent="0.25">
      <c r="H30358" s="12"/>
      <c r="I30358" s="12"/>
      <c r="J30358" s="12"/>
      <c r="K30358" s="12"/>
      <c r="L30358" s="12"/>
      <c r="M30358" s="11"/>
      <c r="N30358" s="11"/>
      <c r="O30358" s="11"/>
      <c r="P30358" s="11"/>
    </row>
    <row r="30359" spans="8:16" x14ac:dyDescent="0.25">
      <c r="H30359" s="12"/>
      <c r="I30359" s="12"/>
      <c r="J30359" s="12"/>
      <c r="K30359" s="12"/>
      <c r="L30359" s="12"/>
      <c r="M30359" s="11"/>
      <c r="N30359" s="11"/>
      <c r="O30359" s="11"/>
      <c r="P30359" s="11"/>
    </row>
    <row r="30360" spans="8:16" x14ac:dyDescent="0.25">
      <c r="H30360" s="12"/>
      <c r="I30360" s="12"/>
      <c r="J30360" s="12"/>
      <c r="K30360" s="12"/>
      <c r="L30360" s="12"/>
      <c r="M30360" s="11"/>
      <c r="N30360" s="11"/>
      <c r="O30360" s="11"/>
      <c r="P30360" s="11"/>
    </row>
    <row r="30361" spans="8:16" x14ac:dyDescent="0.25">
      <c r="H30361" s="12"/>
      <c r="I30361" s="12"/>
      <c r="J30361" s="12"/>
      <c r="K30361" s="12"/>
      <c r="L30361" s="12"/>
      <c r="M30361" s="11"/>
      <c r="N30361" s="11"/>
      <c r="O30361" s="11"/>
      <c r="P30361" s="11"/>
    </row>
    <row r="30362" spans="8:16" x14ac:dyDescent="0.25">
      <c r="H30362" s="12"/>
      <c r="I30362" s="12"/>
      <c r="J30362" s="12"/>
      <c r="K30362" s="12"/>
      <c r="L30362" s="12"/>
      <c r="M30362" s="11"/>
      <c r="N30362" s="11"/>
      <c r="O30362" s="11"/>
      <c r="P30362" s="11"/>
    </row>
    <row r="30363" spans="8:16" x14ac:dyDescent="0.25">
      <c r="H30363" s="12"/>
      <c r="I30363" s="12"/>
      <c r="J30363" s="12"/>
      <c r="K30363" s="12"/>
      <c r="L30363" s="12"/>
      <c r="M30363" s="11"/>
      <c r="N30363" s="11"/>
      <c r="O30363" s="11"/>
      <c r="P30363" s="11"/>
    </row>
    <row r="30364" spans="8:16" x14ac:dyDescent="0.25">
      <c r="H30364" s="12"/>
      <c r="I30364" s="12"/>
      <c r="J30364" s="12"/>
      <c r="K30364" s="12"/>
      <c r="L30364" s="12"/>
      <c r="M30364" s="11"/>
      <c r="N30364" s="11"/>
      <c r="O30364" s="11"/>
      <c r="P30364" s="11"/>
    </row>
    <row r="30365" spans="8:16" x14ac:dyDescent="0.25">
      <c r="H30365" s="12"/>
      <c r="I30365" s="12"/>
      <c r="J30365" s="12"/>
      <c r="K30365" s="12"/>
      <c r="L30365" s="12"/>
      <c r="M30365" s="11"/>
      <c r="N30365" s="11"/>
      <c r="O30365" s="11"/>
      <c r="P30365" s="11"/>
    </row>
    <row r="30366" spans="8:16" x14ac:dyDescent="0.25">
      <c r="H30366" s="12"/>
      <c r="I30366" s="12"/>
      <c r="J30366" s="12"/>
      <c r="K30366" s="12"/>
      <c r="L30366" s="12"/>
      <c r="M30366" s="11"/>
      <c r="N30366" s="11"/>
      <c r="O30366" s="11"/>
      <c r="P30366" s="11"/>
    </row>
    <row r="30367" spans="8:16" x14ac:dyDescent="0.25">
      <c r="H30367" s="12"/>
      <c r="I30367" s="12"/>
      <c r="J30367" s="12"/>
      <c r="K30367" s="12"/>
      <c r="L30367" s="12"/>
      <c r="M30367" s="11"/>
      <c r="N30367" s="11"/>
      <c r="O30367" s="11"/>
      <c r="P30367" s="11"/>
    </row>
    <row r="30368" spans="8:16" x14ac:dyDescent="0.25">
      <c r="H30368" s="12"/>
      <c r="I30368" s="12"/>
      <c r="J30368" s="12"/>
      <c r="K30368" s="12"/>
      <c r="L30368" s="12"/>
      <c r="M30368" s="11"/>
      <c r="N30368" s="11"/>
      <c r="O30368" s="11"/>
      <c r="P30368" s="11"/>
    </row>
    <row r="30369" spans="8:16" x14ac:dyDescent="0.25">
      <c r="H30369" s="12"/>
      <c r="I30369" s="12"/>
      <c r="J30369" s="12"/>
      <c r="K30369" s="12"/>
      <c r="L30369" s="12"/>
      <c r="M30369" s="11"/>
      <c r="N30369" s="11"/>
      <c r="O30369" s="11"/>
      <c r="P30369" s="11"/>
    </row>
    <row r="30370" spans="8:16" x14ac:dyDescent="0.25">
      <c r="H30370" s="12"/>
      <c r="I30370" s="12"/>
      <c r="J30370" s="12"/>
      <c r="K30370" s="12"/>
      <c r="L30370" s="12"/>
      <c r="M30370" s="11"/>
      <c r="N30370" s="11"/>
      <c r="O30370" s="11"/>
      <c r="P30370" s="11"/>
    </row>
    <row r="30371" spans="8:16" x14ac:dyDescent="0.25">
      <c r="H30371" s="12"/>
      <c r="I30371" s="12"/>
      <c r="J30371" s="12"/>
      <c r="K30371" s="12"/>
      <c r="L30371" s="12"/>
      <c r="M30371" s="11"/>
      <c r="N30371" s="11"/>
      <c r="O30371" s="11"/>
      <c r="P30371" s="11"/>
    </row>
    <row r="30372" spans="8:16" x14ac:dyDescent="0.25">
      <c r="H30372" s="12"/>
      <c r="I30372" s="12"/>
      <c r="J30372" s="12"/>
      <c r="K30372" s="12"/>
      <c r="L30372" s="12"/>
      <c r="M30372" s="11"/>
      <c r="N30372" s="11"/>
      <c r="O30372" s="11"/>
      <c r="P30372" s="11"/>
    </row>
    <row r="30373" spans="8:16" x14ac:dyDescent="0.25">
      <c r="H30373" s="12"/>
      <c r="I30373" s="12"/>
      <c r="J30373" s="12"/>
      <c r="K30373" s="12"/>
      <c r="L30373" s="12"/>
      <c r="M30373" s="11"/>
      <c r="N30373" s="11"/>
      <c r="O30373" s="11"/>
      <c r="P30373" s="11"/>
    </row>
    <row r="30374" spans="8:16" x14ac:dyDescent="0.25">
      <c r="H30374" s="12"/>
      <c r="I30374" s="12"/>
      <c r="J30374" s="12"/>
      <c r="K30374" s="12"/>
      <c r="L30374" s="12"/>
      <c r="M30374" s="11"/>
      <c r="N30374" s="11"/>
      <c r="O30374" s="11"/>
      <c r="P30374" s="11"/>
    </row>
    <row r="30375" spans="8:16" x14ac:dyDescent="0.25">
      <c r="H30375" s="12"/>
      <c r="I30375" s="12"/>
      <c r="J30375" s="12"/>
      <c r="K30375" s="12"/>
      <c r="L30375" s="12"/>
      <c r="M30375" s="11"/>
      <c r="N30375" s="11"/>
      <c r="O30375" s="11"/>
      <c r="P30375" s="11"/>
    </row>
    <row r="30376" spans="8:16" x14ac:dyDescent="0.25">
      <c r="H30376" s="12"/>
      <c r="I30376" s="12"/>
      <c r="J30376" s="12"/>
      <c r="K30376" s="12"/>
      <c r="L30376" s="12"/>
      <c r="M30376" s="11"/>
      <c r="N30376" s="11"/>
      <c r="O30376" s="11"/>
      <c r="P30376" s="11"/>
    </row>
    <row r="30377" spans="8:16" x14ac:dyDescent="0.25">
      <c r="H30377" s="12"/>
      <c r="I30377" s="12"/>
      <c r="J30377" s="12"/>
      <c r="K30377" s="12"/>
      <c r="L30377" s="12"/>
      <c r="M30377" s="11"/>
      <c r="N30377" s="11"/>
      <c r="O30377" s="11"/>
      <c r="P30377" s="11"/>
    </row>
    <row r="30378" spans="8:16" x14ac:dyDescent="0.25">
      <c r="H30378" s="12"/>
      <c r="I30378" s="12"/>
      <c r="J30378" s="12"/>
      <c r="K30378" s="12"/>
      <c r="L30378" s="12"/>
      <c r="M30378" s="11"/>
      <c r="N30378" s="11"/>
      <c r="O30378" s="11"/>
      <c r="P30378" s="11"/>
    </row>
    <row r="30379" spans="8:16" x14ac:dyDescent="0.25">
      <c r="H30379" s="12"/>
      <c r="I30379" s="12"/>
      <c r="J30379" s="12"/>
      <c r="K30379" s="12"/>
      <c r="L30379" s="12"/>
      <c r="M30379" s="11"/>
      <c r="N30379" s="11"/>
      <c r="O30379" s="11"/>
      <c r="P30379" s="11"/>
    </row>
    <row r="30380" spans="8:16" x14ac:dyDescent="0.25">
      <c r="H30380" s="12"/>
      <c r="I30380" s="12"/>
      <c r="J30380" s="12"/>
      <c r="K30380" s="12"/>
      <c r="L30380" s="12"/>
      <c r="M30380" s="11"/>
      <c r="N30380" s="11"/>
      <c r="O30380" s="11"/>
      <c r="P30380" s="11"/>
    </row>
    <row r="30381" spans="8:16" x14ac:dyDescent="0.25">
      <c r="H30381" s="12"/>
      <c r="I30381" s="12"/>
      <c r="J30381" s="12"/>
      <c r="K30381" s="12"/>
      <c r="L30381" s="12"/>
      <c r="M30381" s="11"/>
      <c r="N30381" s="11"/>
      <c r="O30381" s="11"/>
      <c r="P30381" s="11"/>
    </row>
    <row r="30382" spans="8:16" x14ac:dyDescent="0.25">
      <c r="H30382" s="12"/>
      <c r="I30382" s="12"/>
      <c r="J30382" s="12"/>
      <c r="K30382" s="12"/>
      <c r="L30382" s="12"/>
      <c r="M30382" s="11"/>
      <c r="N30382" s="11"/>
      <c r="O30382" s="11"/>
      <c r="P30382" s="11"/>
    </row>
    <row r="30383" spans="8:16" x14ac:dyDescent="0.25">
      <c r="H30383" s="12"/>
      <c r="I30383" s="12"/>
      <c r="J30383" s="12"/>
      <c r="K30383" s="12"/>
      <c r="L30383" s="12"/>
      <c r="M30383" s="11"/>
      <c r="N30383" s="11"/>
      <c r="O30383" s="11"/>
      <c r="P30383" s="11"/>
    </row>
    <row r="30384" spans="8:16" x14ac:dyDescent="0.25">
      <c r="H30384" s="12"/>
      <c r="I30384" s="12"/>
      <c r="J30384" s="12"/>
      <c r="K30384" s="12"/>
      <c r="L30384" s="12"/>
      <c r="M30384" s="11"/>
      <c r="N30384" s="11"/>
      <c r="O30384" s="11"/>
      <c r="P30384" s="11"/>
    </row>
    <row r="30385" spans="8:16" x14ac:dyDescent="0.25">
      <c r="H30385" s="12"/>
      <c r="I30385" s="12"/>
      <c r="J30385" s="12"/>
      <c r="K30385" s="12"/>
      <c r="L30385" s="12"/>
      <c r="M30385" s="11"/>
      <c r="N30385" s="11"/>
      <c r="O30385" s="11"/>
      <c r="P30385" s="11"/>
    </row>
    <row r="30386" spans="8:16" x14ac:dyDescent="0.25">
      <c r="H30386" s="12"/>
      <c r="I30386" s="12"/>
      <c r="J30386" s="12"/>
      <c r="K30386" s="12"/>
      <c r="L30386" s="12"/>
      <c r="M30386" s="11"/>
      <c r="N30386" s="11"/>
      <c r="O30386" s="11"/>
      <c r="P30386" s="11"/>
    </row>
    <row r="30387" spans="8:16" x14ac:dyDescent="0.25">
      <c r="H30387" s="12"/>
      <c r="I30387" s="12"/>
      <c r="J30387" s="12"/>
      <c r="K30387" s="12"/>
      <c r="L30387" s="12"/>
      <c r="M30387" s="11"/>
      <c r="N30387" s="11"/>
      <c r="O30387" s="11"/>
      <c r="P30387" s="11"/>
    </row>
    <row r="30388" spans="8:16" x14ac:dyDescent="0.25">
      <c r="H30388" s="12"/>
      <c r="I30388" s="12"/>
      <c r="J30388" s="12"/>
      <c r="K30388" s="12"/>
      <c r="L30388" s="12"/>
      <c r="M30388" s="11"/>
      <c r="N30388" s="11"/>
      <c r="O30388" s="11"/>
      <c r="P30388" s="11"/>
    </row>
    <row r="30389" spans="8:16" x14ac:dyDescent="0.25">
      <c r="H30389" s="12"/>
      <c r="I30389" s="12"/>
      <c r="J30389" s="12"/>
      <c r="K30389" s="12"/>
      <c r="L30389" s="12"/>
      <c r="M30389" s="11"/>
      <c r="N30389" s="11"/>
      <c r="O30389" s="11"/>
      <c r="P30389" s="11"/>
    </row>
    <row r="30390" spans="8:16" x14ac:dyDescent="0.25">
      <c r="H30390" s="12"/>
      <c r="I30390" s="12"/>
      <c r="J30390" s="12"/>
      <c r="K30390" s="12"/>
      <c r="L30390" s="12"/>
      <c r="M30390" s="11"/>
      <c r="N30390" s="11"/>
      <c r="O30390" s="11"/>
      <c r="P30390" s="11"/>
    </row>
    <row r="30391" spans="8:16" x14ac:dyDescent="0.25">
      <c r="H30391" s="12"/>
      <c r="I30391" s="12"/>
      <c r="J30391" s="12"/>
      <c r="K30391" s="12"/>
      <c r="L30391" s="12"/>
      <c r="M30391" s="11"/>
      <c r="N30391" s="11"/>
      <c r="O30391" s="11"/>
      <c r="P30391" s="11"/>
    </row>
    <row r="30392" spans="8:16" x14ac:dyDescent="0.25">
      <c r="H30392" s="12"/>
      <c r="I30392" s="12"/>
      <c r="J30392" s="12"/>
      <c r="K30392" s="12"/>
      <c r="L30392" s="12"/>
      <c r="M30392" s="11"/>
      <c r="N30392" s="11"/>
      <c r="O30392" s="11"/>
      <c r="P30392" s="11"/>
    </row>
    <row r="30393" spans="8:16" x14ac:dyDescent="0.25">
      <c r="H30393" s="12"/>
      <c r="I30393" s="12"/>
      <c r="J30393" s="12"/>
      <c r="K30393" s="12"/>
      <c r="L30393" s="12"/>
      <c r="M30393" s="11"/>
      <c r="N30393" s="11"/>
      <c r="O30393" s="11"/>
      <c r="P30393" s="11"/>
    </row>
    <row r="30394" spans="8:16" x14ac:dyDescent="0.25">
      <c r="H30394" s="12"/>
      <c r="I30394" s="12"/>
      <c r="J30394" s="12"/>
      <c r="K30394" s="12"/>
      <c r="L30394" s="12"/>
      <c r="M30394" s="11"/>
      <c r="N30394" s="11"/>
      <c r="O30394" s="11"/>
      <c r="P30394" s="11"/>
    </row>
    <row r="30395" spans="8:16" x14ac:dyDescent="0.25">
      <c r="H30395" s="12"/>
      <c r="I30395" s="12"/>
      <c r="J30395" s="12"/>
      <c r="K30395" s="12"/>
      <c r="L30395" s="12"/>
      <c r="M30395" s="11"/>
      <c r="N30395" s="11"/>
      <c r="O30395" s="11"/>
      <c r="P30395" s="11"/>
    </row>
    <row r="30396" spans="8:16" x14ac:dyDescent="0.25">
      <c r="H30396" s="12"/>
      <c r="I30396" s="12"/>
      <c r="J30396" s="12"/>
      <c r="K30396" s="12"/>
      <c r="L30396" s="12"/>
      <c r="M30396" s="11"/>
      <c r="N30396" s="11"/>
      <c r="O30396" s="11"/>
      <c r="P30396" s="11"/>
    </row>
    <row r="30397" spans="8:16" x14ac:dyDescent="0.25">
      <c r="H30397" s="12"/>
      <c r="I30397" s="12"/>
      <c r="J30397" s="12"/>
      <c r="K30397" s="12"/>
      <c r="L30397" s="12"/>
      <c r="M30397" s="11"/>
      <c r="N30397" s="11"/>
      <c r="O30397" s="11"/>
      <c r="P30397" s="11"/>
    </row>
    <row r="30398" spans="8:16" x14ac:dyDescent="0.25">
      <c r="H30398" s="12"/>
      <c r="I30398" s="12"/>
      <c r="J30398" s="12"/>
      <c r="K30398" s="12"/>
      <c r="L30398" s="12"/>
      <c r="M30398" s="11"/>
      <c r="N30398" s="11"/>
      <c r="O30398" s="11"/>
      <c r="P30398" s="11"/>
    </row>
    <row r="30399" spans="8:16" x14ac:dyDescent="0.25">
      <c r="H30399" s="12"/>
      <c r="I30399" s="12"/>
      <c r="J30399" s="12"/>
      <c r="K30399" s="12"/>
      <c r="L30399" s="12"/>
      <c r="M30399" s="11"/>
      <c r="N30399" s="11"/>
      <c r="O30399" s="11"/>
      <c r="P30399" s="11"/>
    </row>
    <row r="30400" spans="8:16" x14ac:dyDescent="0.25">
      <c r="H30400" s="12"/>
      <c r="I30400" s="12"/>
      <c r="J30400" s="12"/>
      <c r="K30400" s="12"/>
      <c r="L30400" s="12"/>
      <c r="M30400" s="11"/>
      <c r="N30400" s="11"/>
      <c r="O30400" s="11"/>
      <c r="P30400" s="11"/>
    </row>
    <row r="30401" spans="8:16" x14ac:dyDescent="0.25">
      <c r="H30401" s="12"/>
      <c r="I30401" s="12"/>
      <c r="J30401" s="12"/>
      <c r="K30401" s="12"/>
      <c r="L30401" s="12"/>
      <c r="M30401" s="11"/>
      <c r="N30401" s="11"/>
      <c r="O30401" s="11"/>
      <c r="P30401" s="11"/>
    </row>
    <row r="30402" spans="8:16" x14ac:dyDescent="0.25">
      <c r="H30402" s="12"/>
      <c r="I30402" s="12"/>
      <c r="J30402" s="12"/>
      <c r="K30402" s="12"/>
      <c r="L30402" s="12"/>
      <c r="M30402" s="11"/>
      <c r="N30402" s="11"/>
      <c r="O30402" s="11"/>
      <c r="P30402" s="11"/>
    </row>
    <row r="30403" spans="8:16" x14ac:dyDescent="0.25">
      <c r="H30403" s="12"/>
      <c r="I30403" s="12"/>
      <c r="J30403" s="12"/>
      <c r="K30403" s="12"/>
      <c r="L30403" s="12"/>
      <c r="M30403" s="11"/>
      <c r="N30403" s="11"/>
      <c r="O30403" s="11"/>
      <c r="P30403" s="11"/>
    </row>
    <row r="30404" spans="8:16" x14ac:dyDescent="0.25">
      <c r="H30404" s="12"/>
      <c r="I30404" s="12"/>
      <c r="J30404" s="12"/>
      <c r="K30404" s="12"/>
      <c r="L30404" s="12"/>
      <c r="M30404" s="11"/>
      <c r="N30404" s="11"/>
      <c r="O30404" s="11"/>
      <c r="P30404" s="11"/>
    </row>
    <row r="30405" spans="8:16" x14ac:dyDescent="0.25">
      <c r="H30405" s="12"/>
      <c r="I30405" s="12"/>
      <c r="J30405" s="12"/>
      <c r="K30405" s="12"/>
      <c r="L30405" s="12"/>
      <c r="M30405" s="11"/>
      <c r="N30405" s="11"/>
      <c r="O30405" s="11"/>
      <c r="P30405" s="11"/>
    </row>
    <row r="30406" spans="8:16" x14ac:dyDescent="0.25">
      <c r="H30406" s="12"/>
      <c r="I30406" s="12"/>
      <c r="J30406" s="12"/>
      <c r="K30406" s="12"/>
      <c r="L30406" s="12"/>
      <c r="M30406" s="11"/>
      <c r="N30406" s="11"/>
      <c r="O30406" s="11"/>
      <c r="P30406" s="11"/>
    </row>
    <row r="30407" spans="8:16" x14ac:dyDescent="0.25">
      <c r="H30407" s="12"/>
      <c r="I30407" s="12"/>
      <c r="J30407" s="12"/>
      <c r="K30407" s="12"/>
      <c r="L30407" s="12"/>
      <c r="M30407" s="11"/>
      <c r="N30407" s="11"/>
      <c r="O30407" s="11"/>
      <c r="P30407" s="11"/>
    </row>
    <row r="30408" spans="8:16" x14ac:dyDescent="0.25">
      <c r="H30408" s="12"/>
      <c r="I30408" s="12"/>
      <c r="J30408" s="12"/>
      <c r="K30408" s="12"/>
      <c r="L30408" s="12"/>
      <c r="M30408" s="11"/>
      <c r="N30408" s="11"/>
      <c r="O30408" s="11"/>
      <c r="P30408" s="11"/>
    </row>
    <row r="30409" spans="8:16" x14ac:dyDescent="0.25">
      <c r="H30409" s="12"/>
      <c r="I30409" s="12"/>
      <c r="J30409" s="12"/>
      <c r="K30409" s="12"/>
      <c r="L30409" s="12"/>
      <c r="M30409" s="11"/>
      <c r="N30409" s="11"/>
      <c r="O30409" s="11"/>
      <c r="P30409" s="11"/>
    </row>
    <row r="30410" spans="8:16" x14ac:dyDescent="0.25">
      <c r="H30410" s="12"/>
      <c r="I30410" s="12"/>
      <c r="J30410" s="12"/>
      <c r="K30410" s="12"/>
      <c r="L30410" s="12"/>
      <c r="M30410" s="11"/>
      <c r="N30410" s="11"/>
      <c r="O30410" s="11"/>
      <c r="P30410" s="11"/>
    </row>
    <row r="30411" spans="8:16" x14ac:dyDescent="0.25">
      <c r="H30411" s="12"/>
      <c r="I30411" s="12"/>
      <c r="J30411" s="12"/>
      <c r="K30411" s="12"/>
      <c r="L30411" s="12"/>
      <c r="M30411" s="11"/>
      <c r="N30411" s="11"/>
      <c r="O30411" s="11"/>
      <c r="P30411" s="11"/>
    </row>
    <row r="30412" spans="8:16" x14ac:dyDescent="0.25">
      <c r="H30412" s="12"/>
      <c r="I30412" s="12"/>
      <c r="J30412" s="12"/>
      <c r="K30412" s="12"/>
      <c r="L30412" s="12"/>
      <c r="M30412" s="11"/>
      <c r="N30412" s="11"/>
      <c r="O30412" s="11"/>
      <c r="P30412" s="11"/>
    </row>
    <row r="30413" spans="8:16" x14ac:dyDescent="0.25">
      <c r="H30413" s="12"/>
      <c r="I30413" s="12"/>
      <c r="J30413" s="12"/>
      <c r="K30413" s="12"/>
      <c r="L30413" s="12"/>
      <c r="M30413" s="11"/>
      <c r="N30413" s="11"/>
      <c r="O30413" s="11"/>
      <c r="P30413" s="11"/>
    </row>
    <row r="30414" spans="8:16" x14ac:dyDescent="0.25">
      <c r="H30414" s="12"/>
      <c r="I30414" s="12"/>
      <c r="J30414" s="12"/>
      <c r="K30414" s="12"/>
      <c r="L30414" s="12"/>
      <c r="M30414" s="11"/>
      <c r="N30414" s="11"/>
      <c r="O30414" s="11"/>
      <c r="P30414" s="11"/>
    </row>
    <row r="30415" spans="8:16" x14ac:dyDescent="0.25">
      <c r="H30415" s="12"/>
      <c r="I30415" s="12"/>
      <c r="J30415" s="12"/>
      <c r="K30415" s="12"/>
      <c r="L30415" s="12"/>
      <c r="M30415" s="11"/>
      <c r="N30415" s="11"/>
      <c r="O30415" s="11"/>
      <c r="P30415" s="11"/>
    </row>
    <row r="30416" spans="8:16" x14ac:dyDescent="0.25">
      <c r="H30416" s="12"/>
      <c r="I30416" s="12"/>
      <c r="J30416" s="12"/>
      <c r="K30416" s="12"/>
      <c r="L30416" s="12"/>
      <c r="M30416" s="11"/>
      <c r="N30416" s="11"/>
      <c r="O30416" s="11"/>
      <c r="P30416" s="11"/>
    </row>
    <row r="30417" spans="8:16" x14ac:dyDescent="0.25">
      <c r="H30417" s="12"/>
      <c r="I30417" s="12"/>
      <c r="J30417" s="12"/>
      <c r="K30417" s="12"/>
      <c r="L30417" s="12"/>
      <c r="M30417" s="11"/>
      <c r="N30417" s="11"/>
      <c r="O30417" s="11"/>
      <c r="P30417" s="11"/>
    </row>
    <row r="30418" spans="8:16" x14ac:dyDescent="0.25">
      <c r="H30418" s="12"/>
      <c r="I30418" s="12"/>
      <c r="J30418" s="12"/>
      <c r="K30418" s="12"/>
      <c r="L30418" s="12"/>
      <c r="M30418" s="11"/>
      <c r="N30418" s="11"/>
      <c r="O30418" s="11"/>
      <c r="P30418" s="11"/>
    </row>
    <row r="30419" spans="8:16" x14ac:dyDescent="0.25">
      <c r="H30419" s="12"/>
      <c r="I30419" s="12"/>
      <c r="J30419" s="12"/>
      <c r="K30419" s="12"/>
      <c r="L30419" s="12"/>
      <c r="M30419" s="11"/>
      <c r="N30419" s="11"/>
      <c r="O30419" s="11"/>
      <c r="P30419" s="11"/>
    </row>
    <row r="30420" spans="8:16" x14ac:dyDescent="0.25">
      <c r="H30420" s="12"/>
      <c r="I30420" s="12"/>
      <c r="J30420" s="12"/>
      <c r="K30420" s="12"/>
      <c r="L30420" s="12"/>
      <c r="M30420" s="11"/>
      <c r="N30420" s="11"/>
      <c r="O30420" s="11"/>
      <c r="P30420" s="11"/>
    </row>
    <row r="30421" spans="8:16" x14ac:dyDescent="0.25">
      <c r="H30421" s="12"/>
      <c r="I30421" s="12"/>
      <c r="J30421" s="12"/>
      <c r="K30421" s="12"/>
      <c r="L30421" s="12"/>
      <c r="M30421" s="11"/>
      <c r="N30421" s="11"/>
      <c r="O30421" s="11"/>
      <c r="P30421" s="11"/>
    </row>
    <row r="30422" spans="8:16" x14ac:dyDescent="0.25">
      <c r="H30422" s="12"/>
      <c r="I30422" s="12"/>
      <c r="J30422" s="12"/>
      <c r="K30422" s="12"/>
      <c r="L30422" s="12"/>
      <c r="M30422" s="11"/>
      <c r="N30422" s="11"/>
      <c r="O30422" s="11"/>
      <c r="P30422" s="11"/>
    </row>
    <row r="30423" spans="8:16" x14ac:dyDescent="0.25">
      <c r="H30423" s="12"/>
      <c r="I30423" s="12"/>
      <c r="J30423" s="12"/>
      <c r="K30423" s="12"/>
      <c r="L30423" s="12"/>
      <c r="M30423" s="11"/>
      <c r="N30423" s="11"/>
      <c r="O30423" s="11"/>
      <c r="P30423" s="11"/>
    </row>
    <row r="30424" spans="8:16" x14ac:dyDescent="0.25">
      <c r="H30424" s="12"/>
      <c r="I30424" s="12"/>
      <c r="J30424" s="12"/>
      <c r="K30424" s="12"/>
      <c r="L30424" s="12"/>
      <c r="M30424" s="11"/>
      <c r="N30424" s="11"/>
      <c r="O30424" s="11"/>
      <c r="P30424" s="11"/>
    </row>
    <row r="30425" spans="8:16" x14ac:dyDescent="0.25">
      <c r="H30425" s="12"/>
      <c r="I30425" s="12"/>
      <c r="J30425" s="12"/>
      <c r="K30425" s="12"/>
      <c r="L30425" s="12"/>
      <c r="M30425" s="11"/>
      <c r="N30425" s="11"/>
      <c r="O30425" s="11"/>
      <c r="P30425" s="11"/>
    </row>
    <row r="30426" spans="8:16" x14ac:dyDescent="0.25">
      <c r="H30426" s="12"/>
      <c r="I30426" s="12"/>
      <c r="J30426" s="12"/>
      <c r="K30426" s="12"/>
      <c r="L30426" s="12"/>
      <c r="M30426" s="11"/>
      <c r="N30426" s="11"/>
      <c r="O30426" s="11"/>
      <c r="P30426" s="11"/>
    </row>
    <row r="30427" spans="8:16" x14ac:dyDescent="0.25">
      <c r="H30427" s="12"/>
      <c r="I30427" s="12"/>
      <c r="J30427" s="12"/>
      <c r="K30427" s="12"/>
      <c r="L30427" s="12"/>
      <c r="M30427" s="11"/>
      <c r="N30427" s="11"/>
      <c r="O30427" s="11"/>
      <c r="P30427" s="11"/>
    </row>
    <row r="30428" spans="8:16" x14ac:dyDescent="0.25">
      <c r="H30428" s="12"/>
      <c r="I30428" s="12"/>
      <c r="J30428" s="12"/>
      <c r="K30428" s="12"/>
      <c r="L30428" s="12"/>
      <c r="M30428" s="11"/>
      <c r="N30428" s="11"/>
      <c r="O30428" s="11"/>
      <c r="P30428" s="11"/>
    </row>
    <row r="30429" spans="8:16" x14ac:dyDescent="0.25">
      <c r="H30429" s="12"/>
      <c r="I30429" s="12"/>
      <c r="J30429" s="12"/>
      <c r="K30429" s="12"/>
      <c r="L30429" s="12"/>
      <c r="M30429" s="11"/>
      <c r="N30429" s="11"/>
      <c r="O30429" s="11"/>
      <c r="P30429" s="11"/>
    </row>
    <row r="30430" spans="8:16" x14ac:dyDescent="0.25">
      <c r="H30430" s="12"/>
      <c r="I30430" s="12"/>
      <c r="J30430" s="12"/>
      <c r="K30430" s="12"/>
      <c r="L30430" s="12"/>
      <c r="M30430" s="11"/>
      <c r="N30430" s="11"/>
      <c r="O30430" s="11"/>
      <c r="P30430" s="11"/>
    </row>
    <row r="30431" spans="8:16" x14ac:dyDescent="0.25">
      <c r="H30431" s="12"/>
      <c r="I30431" s="12"/>
      <c r="J30431" s="12"/>
      <c r="K30431" s="12"/>
      <c r="L30431" s="12"/>
      <c r="M30431" s="11"/>
      <c r="N30431" s="11"/>
      <c r="O30431" s="11"/>
      <c r="P30431" s="11"/>
    </row>
    <row r="30432" spans="8:16" x14ac:dyDescent="0.25">
      <c r="H30432" s="12"/>
      <c r="I30432" s="12"/>
      <c r="J30432" s="12"/>
      <c r="K30432" s="12"/>
      <c r="L30432" s="12"/>
      <c r="M30432" s="11"/>
      <c r="N30432" s="11"/>
      <c r="O30432" s="11"/>
      <c r="P30432" s="11"/>
    </row>
    <row r="30433" spans="8:16" x14ac:dyDescent="0.25">
      <c r="H30433" s="12"/>
      <c r="I30433" s="12"/>
      <c r="J30433" s="12"/>
      <c r="K30433" s="12"/>
      <c r="L30433" s="12"/>
      <c r="M30433" s="11"/>
      <c r="N30433" s="11"/>
      <c r="O30433" s="11"/>
      <c r="P30433" s="11"/>
    </row>
    <row r="30434" spans="8:16" x14ac:dyDescent="0.25">
      <c r="H30434" s="12"/>
      <c r="I30434" s="12"/>
      <c r="J30434" s="12"/>
      <c r="K30434" s="12"/>
      <c r="L30434" s="12"/>
      <c r="M30434" s="11"/>
      <c r="N30434" s="11"/>
      <c r="O30434" s="11"/>
      <c r="P30434" s="11"/>
    </row>
    <row r="30435" spans="8:16" x14ac:dyDescent="0.25">
      <c r="H30435" s="12"/>
      <c r="I30435" s="12"/>
      <c r="J30435" s="12"/>
      <c r="K30435" s="12"/>
      <c r="L30435" s="12"/>
      <c r="M30435" s="11"/>
      <c r="N30435" s="11"/>
      <c r="O30435" s="11"/>
      <c r="P30435" s="11"/>
    </row>
    <row r="30436" spans="8:16" x14ac:dyDescent="0.25">
      <c r="H30436" s="12"/>
      <c r="I30436" s="12"/>
      <c r="J30436" s="12"/>
      <c r="K30436" s="12"/>
      <c r="L30436" s="12"/>
      <c r="M30436" s="11"/>
      <c r="N30436" s="11"/>
      <c r="O30436" s="11"/>
      <c r="P30436" s="11"/>
    </row>
    <row r="30437" spans="8:16" x14ac:dyDescent="0.25">
      <c r="H30437" s="12"/>
      <c r="I30437" s="12"/>
      <c r="J30437" s="12"/>
      <c r="K30437" s="12"/>
      <c r="L30437" s="12"/>
      <c r="M30437" s="11"/>
      <c r="N30437" s="11"/>
      <c r="O30437" s="11"/>
      <c r="P30437" s="11"/>
    </row>
    <row r="30438" spans="8:16" x14ac:dyDescent="0.25">
      <c r="H30438" s="12"/>
      <c r="I30438" s="12"/>
      <c r="J30438" s="12"/>
      <c r="K30438" s="12"/>
      <c r="L30438" s="12"/>
      <c r="M30438" s="11"/>
      <c r="N30438" s="11"/>
      <c r="O30438" s="11"/>
      <c r="P30438" s="11"/>
    </row>
    <row r="30439" spans="8:16" x14ac:dyDescent="0.25">
      <c r="H30439" s="12"/>
      <c r="I30439" s="12"/>
      <c r="J30439" s="12"/>
      <c r="K30439" s="12"/>
      <c r="L30439" s="12"/>
      <c r="M30439" s="11"/>
      <c r="N30439" s="11"/>
      <c r="O30439" s="11"/>
      <c r="P30439" s="11"/>
    </row>
    <row r="30440" spans="8:16" x14ac:dyDescent="0.25">
      <c r="H30440" s="12"/>
      <c r="I30440" s="12"/>
      <c r="J30440" s="12"/>
      <c r="K30440" s="12"/>
      <c r="L30440" s="12"/>
      <c r="M30440" s="11"/>
      <c r="N30440" s="11"/>
      <c r="O30440" s="11"/>
      <c r="P30440" s="11"/>
    </row>
    <row r="30441" spans="8:16" x14ac:dyDescent="0.25">
      <c r="H30441" s="12"/>
      <c r="I30441" s="12"/>
      <c r="J30441" s="12"/>
      <c r="K30441" s="12"/>
      <c r="L30441" s="12"/>
      <c r="M30441" s="11"/>
      <c r="N30441" s="11"/>
      <c r="O30441" s="11"/>
      <c r="P30441" s="11"/>
    </row>
    <row r="30442" spans="8:16" x14ac:dyDescent="0.25">
      <c r="H30442" s="12"/>
      <c r="I30442" s="12"/>
      <c r="J30442" s="12"/>
      <c r="K30442" s="12"/>
      <c r="L30442" s="12"/>
      <c r="M30442" s="11"/>
      <c r="N30442" s="11"/>
      <c r="O30442" s="11"/>
      <c r="P30442" s="11"/>
    </row>
    <row r="30443" spans="8:16" x14ac:dyDescent="0.25">
      <c r="H30443" s="12"/>
      <c r="I30443" s="12"/>
      <c r="J30443" s="12"/>
      <c r="K30443" s="12"/>
      <c r="L30443" s="12"/>
      <c r="M30443" s="11"/>
      <c r="N30443" s="11"/>
      <c r="O30443" s="11"/>
      <c r="P30443" s="11"/>
    </row>
    <row r="30444" spans="8:16" x14ac:dyDescent="0.25">
      <c r="H30444" s="12"/>
      <c r="I30444" s="12"/>
      <c r="J30444" s="12"/>
      <c r="K30444" s="12"/>
      <c r="L30444" s="12"/>
      <c r="M30444" s="11"/>
      <c r="N30444" s="11"/>
      <c r="O30444" s="11"/>
      <c r="P30444" s="11"/>
    </row>
    <row r="30445" spans="8:16" x14ac:dyDescent="0.25">
      <c r="H30445" s="12"/>
      <c r="I30445" s="12"/>
      <c r="J30445" s="12"/>
      <c r="K30445" s="12"/>
      <c r="L30445" s="12"/>
      <c r="M30445" s="11"/>
      <c r="N30445" s="11"/>
      <c r="O30445" s="11"/>
      <c r="P30445" s="11"/>
    </row>
    <row r="30446" spans="8:16" x14ac:dyDescent="0.25">
      <c r="H30446" s="12"/>
      <c r="I30446" s="12"/>
      <c r="J30446" s="12"/>
      <c r="K30446" s="12"/>
      <c r="L30446" s="12"/>
      <c r="M30446" s="11"/>
      <c r="N30446" s="11"/>
      <c r="O30446" s="11"/>
      <c r="P30446" s="11"/>
    </row>
    <row r="30447" spans="8:16" x14ac:dyDescent="0.25">
      <c r="H30447" s="12"/>
      <c r="I30447" s="12"/>
      <c r="J30447" s="12"/>
      <c r="K30447" s="12"/>
      <c r="L30447" s="12"/>
      <c r="M30447" s="11"/>
      <c r="N30447" s="11"/>
      <c r="O30447" s="11"/>
      <c r="P30447" s="11"/>
    </row>
    <row r="30448" spans="8:16" x14ac:dyDescent="0.25">
      <c r="H30448" s="12"/>
      <c r="I30448" s="12"/>
      <c r="J30448" s="12"/>
      <c r="K30448" s="12"/>
      <c r="L30448" s="12"/>
      <c r="M30448" s="11"/>
      <c r="N30448" s="11"/>
      <c r="O30448" s="11"/>
      <c r="P30448" s="11"/>
    </row>
    <row r="30449" spans="8:16" x14ac:dyDescent="0.25">
      <c r="H30449" s="12"/>
      <c r="I30449" s="12"/>
      <c r="J30449" s="12"/>
      <c r="K30449" s="12"/>
      <c r="L30449" s="12"/>
      <c r="M30449" s="11"/>
      <c r="N30449" s="11"/>
      <c r="O30449" s="11"/>
      <c r="P30449" s="11"/>
    </row>
    <row r="30450" spans="8:16" x14ac:dyDescent="0.25">
      <c r="H30450" s="12"/>
      <c r="I30450" s="12"/>
      <c r="J30450" s="12"/>
      <c r="K30450" s="12"/>
      <c r="L30450" s="12"/>
      <c r="M30450" s="11"/>
      <c r="N30450" s="11"/>
      <c r="O30450" s="11"/>
      <c r="P30450" s="11"/>
    </row>
    <row r="30451" spans="8:16" x14ac:dyDescent="0.25">
      <c r="H30451" s="12"/>
      <c r="I30451" s="12"/>
      <c r="J30451" s="12"/>
      <c r="K30451" s="12"/>
      <c r="L30451" s="12"/>
      <c r="M30451" s="11"/>
      <c r="N30451" s="11"/>
      <c r="O30451" s="11"/>
      <c r="P30451" s="11"/>
    </row>
    <row r="30452" spans="8:16" x14ac:dyDescent="0.25">
      <c r="H30452" s="12"/>
      <c r="I30452" s="12"/>
      <c r="J30452" s="12"/>
      <c r="K30452" s="12"/>
      <c r="L30452" s="12"/>
      <c r="M30452" s="11"/>
      <c r="N30452" s="11"/>
      <c r="O30452" s="11"/>
      <c r="P30452" s="11"/>
    </row>
    <row r="30453" spans="8:16" x14ac:dyDescent="0.25">
      <c r="H30453" s="12"/>
      <c r="I30453" s="12"/>
      <c r="J30453" s="12"/>
      <c r="K30453" s="12"/>
      <c r="L30453" s="12"/>
      <c r="M30453" s="11"/>
      <c r="N30453" s="11"/>
      <c r="O30453" s="11"/>
      <c r="P30453" s="11"/>
    </row>
    <row r="30454" spans="8:16" x14ac:dyDescent="0.25">
      <c r="H30454" s="12"/>
      <c r="I30454" s="12"/>
      <c r="J30454" s="12"/>
      <c r="K30454" s="12"/>
      <c r="L30454" s="12"/>
      <c r="M30454" s="11"/>
      <c r="N30454" s="11"/>
      <c r="O30454" s="11"/>
      <c r="P30454" s="11"/>
    </row>
    <row r="30455" spans="8:16" x14ac:dyDescent="0.25">
      <c r="H30455" s="12"/>
      <c r="I30455" s="12"/>
      <c r="J30455" s="12"/>
      <c r="K30455" s="12"/>
      <c r="L30455" s="12"/>
      <c r="M30455" s="11"/>
      <c r="N30455" s="11"/>
      <c r="O30455" s="11"/>
      <c r="P30455" s="11"/>
    </row>
    <row r="30456" spans="8:16" x14ac:dyDescent="0.25">
      <c r="H30456" s="12"/>
      <c r="I30456" s="12"/>
      <c r="J30456" s="12"/>
      <c r="K30456" s="12"/>
      <c r="L30456" s="12"/>
      <c r="M30456" s="11"/>
      <c r="N30456" s="11"/>
      <c r="O30456" s="11"/>
      <c r="P30456" s="11"/>
    </row>
    <row r="30457" spans="8:16" x14ac:dyDescent="0.25">
      <c r="H30457" s="12"/>
      <c r="I30457" s="12"/>
      <c r="J30457" s="12"/>
      <c r="K30457" s="12"/>
      <c r="L30457" s="12"/>
      <c r="M30457" s="11"/>
      <c r="N30457" s="11"/>
      <c r="O30457" s="11"/>
      <c r="P30457" s="11"/>
    </row>
    <row r="30458" spans="8:16" x14ac:dyDescent="0.25">
      <c r="H30458" s="12"/>
      <c r="I30458" s="12"/>
      <c r="J30458" s="12"/>
      <c r="K30458" s="12"/>
      <c r="L30458" s="12"/>
      <c r="M30458" s="11"/>
      <c r="N30458" s="11"/>
      <c r="O30458" s="11"/>
      <c r="P30458" s="11"/>
    </row>
    <row r="30459" spans="8:16" x14ac:dyDescent="0.25">
      <c r="H30459" s="12"/>
      <c r="I30459" s="12"/>
      <c r="J30459" s="12"/>
      <c r="K30459" s="12"/>
      <c r="L30459" s="12"/>
      <c r="M30459" s="11"/>
      <c r="N30459" s="11"/>
      <c r="O30459" s="11"/>
      <c r="P30459" s="11"/>
    </row>
    <row r="30460" spans="8:16" x14ac:dyDescent="0.25">
      <c r="H30460" s="12"/>
      <c r="I30460" s="12"/>
      <c r="J30460" s="12"/>
      <c r="K30460" s="12"/>
      <c r="L30460" s="12"/>
      <c r="M30460" s="11"/>
      <c r="N30460" s="11"/>
      <c r="O30460" s="11"/>
      <c r="P30460" s="11"/>
    </row>
    <row r="30461" spans="8:16" x14ac:dyDescent="0.25">
      <c r="H30461" s="12"/>
      <c r="I30461" s="12"/>
      <c r="J30461" s="12"/>
      <c r="K30461" s="12"/>
      <c r="L30461" s="12"/>
      <c r="M30461" s="11"/>
      <c r="N30461" s="11"/>
      <c r="O30461" s="11"/>
      <c r="P30461" s="11"/>
    </row>
    <row r="30462" spans="8:16" x14ac:dyDescent="0.25">
      <c r="H30462" s="12"/>
      <c r="I30462" s="12"/>
      <c r="J30462" s="12"/>
      <c r="K30462" s="12"/>
      <c r="L30462" s="12"/>
      <c r="M30462" s="11"/>
      <c r="N30462" s="11"/>
      <c r="O30462" s="11"/>
      <c r="P30462" s="11"/>
    </row>
    <row r="30463" spans="8:16" x14ac:dyDescent="0.25">
      <c r="H30463" s="12"/>
      <c r="I30463" s="12"/>
      <c r="J30463" s="12"/>
      <c r="K30463" s="12"/>
      <c r="L30463" s="12"/>
      <c r="M30463" s="11"/>
      <c r="N30463" s="11"/>
      <c r="O30463" s="11"/>
      <c r="P30463" s="11"/>
    </row>
    <row r="30464" spans="8:16" x14ac:dyDescent="0.25">
      <c r="H30464" s="12"/>
      <c r="I30464" s="12"/>
      <c r="J30464" s="12"/>
      <c r="K30464" s="12"/>
      <c r="L30464" s="12"/>
      <c r="M30464" s="11"/>
      <c r="N30464" s="11"/>
      <c r="O30464" s="11"/>
      <c r="P30464" s="11"/>
    </row>
    <row r="30465" spans="8:16" x14ac:dyDescent="0.25">
      <c r="H30465" s="12"/>
      <c r="I30465" s="12"/>
      <c r="J30465" s="12"/>
      <c r="K30465" s="12"/>
      <c r="L30465" s="12"/>
      <c r="M30465" s="11"/>
      <c r="N30465" s="11"/>
      <c r="O30465" s="11"/>
      <c r="P30465" s="11"/>
    </row>
    <row r="30466" spans="8:16" x14ac:dyDescent="0.25">
      <c r="H30466" s="12"/>
      <c r="I30466" s="12"/>
      <c r="J30466" s="12"/>
      <c r="K30466" s="12"/>
      <c r="L30466" s="12"/>
      <c r="M30466" s="11"/>
      <c r="N30466" s="11"/>
      <c r="O30466" s="11"/>
      <c r="P30466" s="11"/>
    </row>
    <row r="30467" spans="8:16" x14ac:dyDescent="0.25">
      <c r="H30467" s="12"/>
      <c r="I30467" s="12"/>
      <c r="J30467" s="12"/>
      <c r="K30467" s="12"/>
      <c r="L30467" s="12"/>
      <c r="M30467" s="11"/>
      <c r="N30467" s="11"/>
      <c r="O30467" s="11"/>
      <c r="P30467" s="11"/>
    </row>
    <row r="30468" spans="8:16" x14ac:dyDescent="0.25">
      <c r="H30468" s="12"/>
      <c r="I30468" s="12"/>
      <c r="J30468" s="12"/>
      <c r="K30468" s="12"/>
      <c r="L30468" s="12"/>
      <c r="M30468" s="11"/>
      <c r="N30468" s="11"/>
      <c r="O30468" s="11"/>
      <c r="P30468" s="11"/>
    </row>
    <row r="30469" spans="8:16" x14ac:dyDescent="0.25">
      <c r="H30469" s="12"/>
      <c r="I30469" s="12"/>
      <c r="J30469" s="12"/>
      <c r="K30469" s="12"/>
      <c r="L30469" s="12"/>
      <c r="M30469" s="11"/>
      <c r="N30469" s="11"/>
      <c r="O30469" s="11"/>
      <c r="P30469" s="11"/>
    </row>
    <row r="30470" spans="8:16" x14ac:dyDescent="0.25">
      <c r="H30470" s="12"/>
      <c r="I30470" s="12"/>
      <c r="J30470" s="12"/>
      <c r="K30470" s="12"/>
      <c r="L30470" s="12"/>
      <c r="M30470" s="11"/>
      <c r="N30470" s="11"/>
      <c r="O30470" s="11"/>
      <c r="P30470" s="11"/>
    </row>
    <row r="30471" spans="8:16" x14ac:dyDescent="0.25">
      <c r="H30471" s="12"/>
      <c r="I30471" s="12"/>
      <c r="J30471" s="12"/>
      <c r="K30471" s="12"/>
      <c r="L30471" s="12"/>
      <c r="M30471" s="11"/>
      <c r="N30471" s="11"/>
      <c r="O30471" s="11"/>
      <c r="P30471" s="11"/>
    </row>
    <row r="30472" spans="8:16" x14ac:dyDescent="0.25">
      <c r="H30472" s="12"/>
      <c r="I30472" s="12"/>
      <c r="J30472" s="12"/>
      <c r="K30472" s="12"/>
      <c r="L30472" s="12"/>
      <c r="M30472" s="11"/>
      <c r="N30472" s="11"/>
      <c r="O30472" s="11"/>
      <c r="P30472" s="11"/>
    </row>
    <row r="30473" spans="8:16" x14ac:dyDescent="0.25">
      <c r="H30473" s="12"/>
      <c r="I30473" s="12"/>
      <c r="J30473" s="12"/>
      <c r="K30473" s="12"/>
      <c r="L30473" s="12"/>
      <c r="M30473" s="11"/>
      <c r="N30473" s="11"/>
      <c r="O30473" s="11"/>
      <c r="P30473" s="11"/>
    </row>
    <row r="30474" spans="8:16" x14ac:dyDescent="0.25">
      <c r="H30474" s="12"/>
      <c r="I30474" s="12"/>
      <c r="J30474" s="12"/>
      <c r="K30474" s="12"/>
      <c r="L30474" s="12"/>
      <c r="M30474" s="11"/>
      <c r="N30474" s="11"/>
      <c r="O30474" s="11"/>
      <c r="P30474" s="11"/>
    </row>
    <row r="30475" spans="8:16" x14ac:dyDescent="0.25">
      <c r="H30475" s="12"/>
      <c r="I30475" s="12"/>
      <c r="J30475" s="12"/>
      <c r="K30475" s="12"/>
      <c r="L30475" s="12"/>
      <c r="M30475" s="11"/>
      <c r="N30475" s="11"/>
      <c r="O30475" s="11"/>
      <c r="P30475" s="11"/>
    </row>
    <row r="30476" spans="8:16" x14ac:dyDescent="0.25">
      <c r="H30476" s="12"/>
      <c r="I30476" s="12"/>
      <c r="J30476" s="12"/>
      <c r="K30476" s="12"/>
      <c r="L30476" s="12"/>
      <c r="M30476" s="11"/>
      <c r="N30476" s="11"/>
      <c r="O30476" s="11"/>
      <c r="P30476" s="11"/>
    </row>
    <row r="30477" spans="8:16" x14ac:dyDescent="0.25">
      <c r="H30477" s="12"/>
      <c r="I30477" s="12"/>
      <c r="J30477" s="12"/>
      <c r="K30477" s="12"/>
      <c r="L30477" s="12"/>
      <c r="M30477" s="11"/>
      <c r="N30477" s="11"/>
      <c r="O30477" s="11"/>
      <c r="P30477" s="11"/>
    </row>
    <row r="30478" spans="8:16" x14ac:dyDescent="0.25">
      <c r="H30478" s="12"/>
      <c r="I30478" s="12"/>
      <c r="J30478" s="12"/>
      <c r="K30478" s="12"/>
      <c r="L30478" s="12"/>
      <c r="M30478" s="11"/>
      <c r="N30478" s="11"/>
      <c r="O30478" s="11"/>
      <c r="P30478" s="11"/>
    </row>
    <row r="30479" spans="8:16" x14ac:dyDescent="0.25">
      <c r="H30479" s="12"/>
      <c r="I30479" s="12"/>
      <c r="J30479" s="12"/>
      <c r="K30479" s="12"/>
      <c r="L30479" s="12"/>
      <c r="M30479" s="11"/>
      <c r="N30479" s="11"/>
      <c r="O30479" s="11"/>
      <c r="P30479" s="11"/>
    </row>
    <row r="30480" spans="8:16" x14ac:dyDescent="0.25">
      <c r="H30480" s="12"/>
      <c r="I30480" s="12"/>
      <c r="J30480" s="12"/>
      <c r="K30480" s="12"/>
      <c r="L30480" s="12"/>
      <c r="M30480" s="11"/>
      <c r="N30480" s="11"/>
      <c r="O30480" s="11"/>
      <c r="P30480" s="11"/>
    </row>
    <row r="30481" spans="8:16" x14ac:dyDescent="0.25">
      <c r="H30481" s="12"/>
      <c r="I30481" s="12"/>
      <c r="J30481" s="12"/>
      <c r="K30481" s="12"/>
      <c r="L30481" s="12"/>
      <c r="M30481" s="11"/>
      <c r="N30481" s="11"/>
      <c r="O30481" s="11"/>
      <c r="P30481" s="11"/>
    </row>
    <row r="30482" spans="8:16" x14ac:dyDescent="0.25">
      <c r="H30482" s="12"/>
      <c r="I30482" s="12"/>
      <c r="J30482" s="12"/>
      <c r="K30482" s="12"/>
      <c r="L30482" s="12"/>
      <c r="M30482" s="11"/>
      <c r="N30482" s="11"/>
      <c r="O30482" s="11"/>
      <c r="P30482" s="11"/>
    </row>
    <row r="30483" spans="8:16" x14ac:dyDescent="0.25">
      <c r="H30483" s="12"/>
      <c r="I30483" s="12"/>
      <c r="J30483" s="12"/>
      <c r="K30483" s="12"/>
      <c r="L30483" s="12"/>
      <c r="M30483" s="11"/>
      <c r="N30483" s="11"/>
      <c r="O30483" s="11"/>
      <c r="P30483" s="11"/>
    </row>
    <row r="30484" spans="8:16" x14ac:dyDescent="0.25">
      <c r="H30484" s="12"/>
      <c r="I30484" s="12"/>
      <c r="J30484" s="12"/>
      <c r="K30484" s="12"/>
      <c r="L30484" s="12"/>
      <c r="M30484" s="11"/>
      <c r="N30484" s="11"/>
      <c r="O30484" s="11"/>
      <c r="P30484" s="11"/>
    </row>
    <row r="30485" spans="8:16" x14ac:dyDescent="0.25">
      <c r="H30485" s="12"/>
      <c r="I30485" s="12"/>
      <c r="J30485" s="12"/>
      <c r="K30485" s="12"/>
      <c r="L30485" s="12"/>
      <c r="M30485" s="11"/>
      <c r="N30485" s="11"/>
      <c r="O30485" s="11"/>
      <c r="P30485" s="11"/>
    </row>
    <row r="30486" spans="8:16" x14ac:dyDescent="0.25">
      <c r="H30486" s="12"/>
      <c r="I30486" s="12"/>
      <c r="J30486" s="12"/>
      <c r="K30486" s="12"/>
      <c r="L30486" s="12"/>
      <c r="M30486" s="11"/>
      <c r="N30486" s="11"/>
      <c r="O30486" s="11"/>
      <c r="P30486" s="11"/>
    </row>
    <row r="30487" spans="8:16" x14ac:dyDescent="0.25">
      <c r="H30487" s="12"/>
      <c r="I30487" s="12"/>
      <c r="J30487" s="12"/>
      <c r="K30487" s="12"/>
      <c r="L30487" s="12"/>
      <c r="M30487" s="11"/>
      <c r="N30487" s="11"/>
      <c r="O30487" s="11"/>
      <c r="P30487" s="11"/>
    </row>
    <row r="30488" spans="8:16" x14ac:dyDescent="0.25">
      <c r="H30488" s="12"/>
      <c r="I30488" s="12"/>
      <c r="J30488" s="12"/>
      <c r="K30488" s="12"/>
      <c r="L30488" s="12"/>
      <c r="M30488" s="11"/>
      <c r="N30488" s="11"/>
      <c r="O30488" s="11"/>
      <c r="P30488" s="11"/>
    </row>
    <row r="30489" spans="8:16" x14ac:dyDescent="0.25">
      <c r="H30489" s="12"/>
      <c r="I30489" s="12"/>
      <c r="J30489" s="12"/>
      <c r="K30489" s="12"/>
      <c r="L30489" s="12"/>
      <c r="M30489" s="11"/>
      <c r="N30489" s="11"/>
      <c r="O30489" s="11"/>
      <c r="P30489" s="11"/>
    </row>
    <row r="30490" spans="8:16" x14ac:dyDescent="0.25">
      <c r="H30490" s="12"/>
      <c r="I30490" s="12"/>
      <c r="J30490" s="12"/>
      <c r="K30490" s="12"/>
      <c r="L30490" s="12"/>
      <c r="M30490" s="11"/>
      <c r="N30490" s="11"/>
      <c r="O30490" s="11"/>
      <c r="P30490" s="11"/>
    </row>
    <row r="30491" spans="8:16" x14ac:dyDescent="0.25">
      <c r="H30491" s="12"/>
      <c r="I30491" s="12"/>
      <c r="J30491" s="12"/>
      <c r="K30491" s="12"/>
      <c r="L30491" s="12"/>
      <c r="M30491" s="11"/>
      <c r="N30491" s="11"/>
      <c r="O30491" s="11"/>
      <c r="P30491" s="11"/>
    </row>
    <row r="30492" spans="8:16" x14ac:dyDescent="0.25">
      <c r="H30492" s="12"/>
      <c r="I30492" s="12"/>
      <c r="J30492" s="12"/>
      <c r="K30492" s="12"/>
      <c r="L30492" s="12"/>
      <c r="M30492" s="11"/>
      <c r="N30492" s="11"/>
      <c r="O30492" s="11"/>
      <c r="P30492" s="11"/>
    </row>
    <row r="30493" spans="8:16" x14ac:dyDescent="0.25">
      <c r="H30493" s="12"/>
      <c r="I30493" s="12"/>
      <c r="J30493" s="12"/>
      <c r="K30493" s="12"/>
      <c r="L30493" s="12"/>
      <c r="M30493" s="11"/>
      <c r="N30493" s="11"/>
      <c r="O30493" s="11"/>
      <c r="P30493" s="11"/>
    </row>
    <row r="30494" spans="8:16" x14ac:dyDescent="0.25">
      <c r="H30494" s="12"/>
      <c r="I30494" s="12"/>
      <c r="J30494" s="12"/>
      <c r="K30494" s="12"/>
      <c r="L30494" s="12"/>
      <c r="M30494" s="11"/>
      <c r="N30494" s="11"/>
      <c r="O30494" s="11"/>
      <c r="P30494" s="11"/>
    </row>
    <row r="30495" spans="8:16" x14ac:dyDescent="0.25">
      <c r="H30495" s="12"/>
      <c r="I30495" s="12"/>
      <c r="J30495" s="12"/>
      <c r="K30495" s="12"/>
      <c r="L30495" s="12"/>
      <c r="M30495" s="11"/>
      <c r="N30495" s="11"/>
      <c r="O30495" s="11"/>
      <c r="P30495" s="11"/>
    </row>
    <row r="30496" spans="8:16" x14ac:dyDescent="0.25">
      <c r="H30496" s="12"/>
      <c r="I30496" s="12"/>
      <c r="J30496" s="12"/>
      <c r="K30496" s="12"/>
      <c r="L30496" s="12"/>
      <c r="M30496" s="11"/>
      <c r="N30496" s="11"/>
      <c r="O30496" s="11"/>
      <c r="P30496" s="11"/>
    </row>
    <row r="30497" spans="8:16" x14ac:dyDescent="0.25">
      <c r="H30497" s="12"/>
      <c r="I30497" s="12"/>
      <c r="J30497" s="12"/>
      <c r="K30497" s="12"/>
      <c r="L30497" s="12"/>
      <c r="M30497" s="11"/>
      <c r="N30497" s="11"/>
      <c r="O30497" s="11"/>
      <c r="P30497" s="11"/>
    </row>
    <row r="30498" spans="8:16" x14ac:dyDescent="0.25">
      <c r="H30498" s="12"/>
      <c r="I30498" s="12"/>
      <c r="J30498" s="12"/>
      <c r="K30498" s="12"/>
      <c r="L30498" s="12"/>
      <c r="M30498" s="11"/>
      <c r="N30498" s="11"/>
      <c r="O30498" s="11"/>
      <c r="P30498" s="11"/>
    </row>
    <row r="30499" spans="8:16" x14ac:dyDescent="0.25">
      <c r="H30499" s="12"/>
      <c r="I30499" s="12"/>
      <c r="J30499" s="12"/>
      <c r="K30499" s="12"/>
      <c r="L30499" s="12"/>
      <c r="M30499" s="11"/>
      <c r="N30499" s="11"/>
      <c r="O30499" s="11"/>
      <c r="P30499" s="11"/>
    </row>
    <row r="30500" spans="8:16" x14ac:dyDescent="0.25">
      <c r="H30500" s="12"/>
      <c r="I30500" s="12"/>
      <c r="J30500" s="12"/>
      <c r="K30500" s="12"/>
      <c r="L30500" s="12"/>
      <c r="M30500" s="11"/>
      <c r="N30500" s="11"/>
      <c r="O30500" s="11"/>
      <c r="P30500" s="11"/>
    </row>
    <row r="30501" spans="8:16" x14ac:dyDescent="0.25">
      <c r="H30501" s="12"/>
      <c r="I30501" s="12"/>
      <c r="J30501" s="12"/>
      <c r="K30501" s="12"/>
      <c r="L30501" s="12"/>
      <c r="M30501" s="11"/>
      <c r="N30501" s="11"/>
      <c r="O30501" s="11"/>
      <c r="P30501" s="11"/>
    </row>
    <row r="30502" spans="8:16" x14ac:dyDescent="0.25">
      <c r="H30502" s="12"/>
      <c r="I30502" s="12"/>
      <c r="J30502" s="12"/>
      <c r="K30502" s="12"/>
      <c r="L30502" s="12"/>
      <c r="M30502" s="11"/>
      <c r="N30502" s="11"/>
      <c r="O30502" s="11"/>
      <c r="P30502" s="11"/>
    </row>
    <row r="30503" spans="8:16" x14ac:dyDescent="0.25">
      <c r="H30503" s="12"/>
      <c r="I30503" s="12"/>
      <c r="J30503" s="12"/>
      <c r="K30503" s="12"/>
      <c r="L30503" s="12"/>
      <c r="M30503" s="11"/>
      <c r="N30503" s="11"/>
      <c r="O30503" s="11"/>
      <c r="P30503" s="11"/>
    </row>
    <row r="30504" spans="8:16" x14ac:dyDescent="0.25">
      <c r="H30504" s="12"/>
      <c r="I30504" s="12"/>
      <c r="J30504" s="12"/>
      <c r="K30504" s="12"/>
      <c r="L30504" s="12"/>
      <c r="M30504" s="11"/>
      <c r="N30504" s="11"/>
      <c r="O30504" s="11"/>
      <c r="P30504" s="11"/>
    </row>
    <row r="30505" spans="8:16" x14ac:dyDescent="0.25">
      <c r="H30505" s="12"/>
      <c r="I30505" s="12"/>
      <c r="J30505" s="12"/>
      <c r="K30505" s="12"/>
      <c r="L30505" s="12"/>
      <c r="M30505" s="11"/>
      <c r="N30505" s="11"/>
      <c r="O30505" s="11"/>
      <c r="P30505" s="11"/>
    </row>
    <row r="30506" spans="8:16" x14ac:dyDescent="0.25">
      <c r="H30506" s="12"/>
      <c r="I30506" s="12"/>
      <c r="J30506" s="12"/>
      <c r="K30506" s="12"/>
      <c r="L30506" s="12"/>
      <c r="M30506" s="11"/>
      <c r="N30506" s="11"/>
      <c r="O30506" s="11"/>
      <c r="P30506" s="11"/>
    </row>
    <row r="30507" spans="8:16" x14ac:dyDescent="0.25">
      <c r="H30507" s="12"/>
      <c r="I30507" s="12"/>
      <c r="J30507" s="12"/>
      <c r="K30507" s="12"/>
      <c r="L30507" s="12"/>
      <c r="M30507" s="11"/>
      <c r="N30507" s="11"/>
      <c r="O30507" s="11"/>
      <c r="P30507" s="11"/>
    </row>
    <row r="30508" spans="8:16" x14ac:dyDescent="0.25">
      <c r="H30508" s="12"/>
      <c r="I30508" s="12"/>
      <c r="J30508" s="12"/>
      <c r="K30508" s="12"/>
      <c r="L30508" s="12"/>
      <c r="M30508" s="11"/>
      <c r="N30508" s="11"/>
      <c r="O30508" s="11"/>
      <c r="P30508" s="11"/>
    </row>
    <row r="30509" spans="8:16" x14ac:dyDescent="0.25">
      <c r="H30509" s="12"/>
      <c r="I30509" s="12"/>
      <c r="J30509" s="12"/>
      <c r="K30509" s="12"/>
      <c r="L30509" s="12"/>
      <c r="M30509" s="11"/>
      <c r="N30509" s="11"/>
      <c r="O30509" s="11"/>
      <c r="P30509" s="11"/>
    </row>
    <row r="30510" spans="8:16" x14ac:dyDescent="0.25">
      <c r="H30510" s="12"/>
      <c r="I30510" s="12"/>
      <c r="J30510" s="12"/>
      <c r="K30510" s="12"/>
      <c r="L30510" s="12"/>
      <c r="M30510" s="11"/>
      <c r="N30510" s="11"/>
      <c r="O30510" s="11"/>
      <c r="P30510" s="11"/>
    </row>
    <row r="30511" spans="8:16" x14ac:dyDescent="0.25">
      <c r="H30511" s="12"/>
      <c r="I30511" s="12"/>
      <c r="J30511" s="12"/>
      <c r="K30511" s="12"/>
      <c r="L30511" s="12"/>
      <c r="M30511" s="11"/>
      <c r="N30511" s="11"/>
      <c r="O30511" s="11"/>
      <c r="P30511" s="11"/>
    </row>
    <row r="30512" spans="8:16" x14ac:dyDescent="0.25">
      <c r="H30512" s="12"/>
      <c r="I30512" s="12"/>
      <c r="J30512" s="12"/>
      <c r="K30512" s="12"/>
      <c r="L30512" s="12"/>
      <c r="M30512" s="11"/>
      <c r="N30512" s="11"/>
      <c r="O30512" s="11"/>
      <c r="P30512" s="11"/>
    </row>
    <row r="30513" spans="8:16" x14ac:dyDescent="0.25">
      <c r="H30513" s="12"/>
      <c r="I30513" s="12"/>
      <c r="J30513" s="12"/>
      <c r="K30513" s="12"/>
      <c r="L30513" s="12"/>
      <c r="M30513" s="11"/>
      <c r="N30513" s="11"/>
      <c r="O30513" s="11"/>
      <c r="P30513" s="11"/>
    </row>
    <row r="30514" spans="8:16" x14ac:dyDescent="0.25">
      <c r="H30514" s="12"/>
      <c r="I30514" s="12"/>
      <c r="J30514" s="12"/>
      <c r="K30514" s="12"/>
      <c r="L30514" s="12"/>
      <c r="M30514" s="11"/>
      <c r="N30514" s="11"/>
      <c r="O30514" s="11"/>
      <c r="P30514" s="11"/>
    </row>
    <row r="30515" spans="8:16" x14ac:dyDescent="0.25">
      <c r="H30515" s="12"/>
      <c r="I30515" s="12"/>
      <c r="J30515" s="12"/>
      <c r="K30515" s="12"/>
      <c r="L30515" s="12"/>
      <c r="M30515" s="11"/>
      <c r="N30515" s="11"/>
      <c r="O30515" s="11"/>
      <c r="P30515" s="11"/>
    </row>
    <row r="30516" spans="8:16" x14ac:dyDescent="0.25">
      <c r="H30516" s="12"/>
      <c r="I30516" s="12"/>
      <c r="J30516" s="12"/>
      <c r="K30516" s="12"/>
      <c r="L30516" s="12"/>
      <c r="M30516" s="11"/>
      <c r="N30516" s="11"/>
      <c r="O30516" s="11"/>
      <c r="P30516" s="11"/>
    </row>
    <row r="30517" spans="8:16" x14ac:dyDescent="0.25">
      <c r="H30517" s="12"/>
      <c r="I30517" s="12"/>
      <c r="J30517" s="12"/>
      <c r="K30517" s="12"/>
      <c r="L30517" s="12"/>
      <c r="M30517" s="11"/>
      <c r="N30517" s="11"/>
      <c r="O30517" s="11"/>
      <c r="P30517" s="11"/>
    </row>
    <row r="30518" spans="8:16" x14ac:dyDescent="0.25">
      <c r="H30518" s="12"/>
      <c r="I30518" s="12"/>
      <c r="J30518" s="12"/>
      <c r="K30518" s="12"/>
      <c r="L30518" s="12"/>
      <c r="M30518" s="11"/>
      <c r="N30518" s="11"/>
      <c r="O30518" s="11"/>
      <c r="P30518" s="11"/>
    </row>
    <row r="30519" spans="8:16" x14ac:dyDescent="0.25">
      <c r="H30519" s="12"/>
      <c r="I30519" s="12"/>
      <c r="J30519" s="12"/>
      <c r="K30519" s="12"/>
      <c r="L30519" s="12"/>
      <c r="M30519" s="11"/>
      <c r="N30519" s="11"/>
      <c r="O30519" s="11"/>
      <c r="P30519" s="11"/>
    </row>
    <row r="30520" spans="8:16" x14ac:dyDescent="0.25">
      <c r="H30520" s="12"/>
      <c r="I30520" s="12"/>
      <c r="J30520" s="12"/>
      <c r="K30520" s="12"/>
      <c r="L30520" s="12"/>
      <c r="M30520" s="11"/>
      <c r="N30520" s="11"/>
      <c r="O30520" s="11"/>
      <c r="P30520" s="11"/>
    </row>
    <row r="30521" spans="8:16" x14ac:dyDescent="0.25">
      <c r="H30521" s="12"/>
      <c r="I30521" s="12"/>
      <c r="J30521" s="12"/>
      <c r="K30521" s="12"/>
      <c r="L30521" s="12"/>
      <c r="M30521" s="11"/>
      <c r="N30521" s="11"/>
      <c r="O30521" s="11"/>
      <c r="P30521" s="11"/>
    </row>
    <row r="30522" spans="8:16" x14ac:dyDescent="0.25">
      <c r="H30522" s="12"/>
      <c r="I30522" s="12"/>
      <c r="J30522" s="12"/>
      <c r="K30522" s="12"/>
      <c r="L30522" s="12"/>
      <c r="M30522" s="11"/>
      <c r="N30522" s="11"/>
      <c r="O30522" s="11"/>
      <c r="P30522" s="11"/>
    </row>
    <row r="30523" spans="8:16" x14ac:dyDescent="0.25">
      <c r="H30523" s="12"/>
      <c r="I30523" s="12"/>
      <c r="J30523" s="12"/>
      <c r="K30523" s="12"/>
      <c r="L30523" s="12"/>
      <c r="M30523" s="11"/>
      <c r="N30523" s="11"/>
      <c r="O30523" s="11"/>
      <c r="P30523" s="11"/>
    </row>
    <row r="30524" spans="8:16" x14ac:dyDescent="0.25">
      <c r="H30524" s="12"/>
      <c r="I30524" s="12"/>
      <c r="J30524" s="12"/>
      <c r="K30524" s="12"/>
      <c r="L30524" s="12"/>
      <c r="M30524" s="11"/>
      <c r="N30524" s="11"/>
      <c r="O30524" s="11"/>
      <c r="P30524" s="11"/>
    </row>
    <row r="30525" spans="8:16" x14ac:dyDescent="0.25">
      <c r="H30525" s="12"/>
      <c r="I30525" s="12"/>
      <c r="J30525" s="12"/>
      <c r="K30525" s="12"/>
      <c r="L30525" s="12"/>
      <c r="M30525" s="11"/>
      <c r="N30525" s="11"/>
      <c r="O30525" s="11"/>
      <c r="P30525" s="11"/>
    </row>
    <row r="30526" spans="8:16" x14ac:dyDescent="0.25">
      <c r="H30526" s="12"/>
      <c r="I30526" s="12"/>
      <c r="J30526" s="12"/>
      <c r="K30526" s="12"/>
      <c r="L30526" s="12"/>
      <c r="M30526" s="11"/>
      <c r="N30526" s="11"/>
      <c r="O30526" s="11"/>
      <c r="P30526" s="11"/>
    </row>
    <row r="30527" spans="8:16" x14ac:dyDescent="0.25">
      <c r="H30527" s="12"/>
      <c r="I30527" s="12"/>
      <c r="J30527" s="12"/>
      <c r="K30527" s="12"/>
      <c r="L30527" s="12"/>
      <c r="M30527" s="11"/>
      <c r="N30527" s="11"/>
      <c r="O30527" s="11"/>
      <c r="P30527" s="11"/>
    </row>
    <row r="30528" spans="8:16" x14ac:dyDescent="0.25">
      <c r="H30528" s="12"/>
      <c r="I30528" s="12"/>
      <c r="J30528" s="12"/>
      <c r="K30528" s="12"/>
      <c r="L30528" s="12"/>
      <c r="M30528" s="11"/>
      <c r="N30528" s="11"/>
      <c r="O30528" s="11"/>
      <c r="P30528" s="11"/>
    </row>
    <row r="30529" spans="8:16" x14ac:dyDescent="0.25">
      <c r="H30529" s="12"/>
      <c r="I30529" s="12"/>
      <c r="J30529" s="12"/>
      <c r="K30529" s="12"/>
      <c r="L30529" s="12"/>
      <c r="M30529" s="11"/>
      <c r="N30529" s="11"/>
      <c r="O30529" s="11"/>
      <c r="P30529" s="11"/>
    </row>
    <row r="30530" spans="8:16" x14ac:dyDescent="0.25">
      <c r="H30530" s="12"/>
      <c r="I30530" s="12"/>
      <c r="J30530" s="12"/>
      <c r="K30530" s="12"/>
      <c r="L30530" s="12"/>
      <c r="M30530" s="11"/>
      <c r="N30530" s="11"/>
      <c r="O30530" s="11"/>
      <c r="P30530" s="11"/>
    </row>
    <row r="30531" spans="8:16" x14ac:dyDescent="0.25">
      <c r="H30531" s="12"/>
      <c r="I30531" s="12"/>
      <c r="J30531" s="12"/>
      <c r="K30531" s="12"/>
      <c r="L30531" s="12"/>
      <c r="M30531" s="11"/>
      <c r="N30531" s="11"/>
      <c r="O30531" s="11"/>
      <c r="P30531" s="11"/>
    </row>
    <row r="30532" spans="8:16" x14ac:dyDescent="0.25">
      <c r="H30532" s="12"/>
      <c r="I30532" s="12"/>
      <c r="J30532" s="12"/>
      <c r="K30532" s="12"/>
      <c r="L30532" s="12"/>
      <c r="M30532" s="11"/>
      <c r="N30532" s="11"/>
      <c r="O30532" s="11"/>
      <c r="P30532" s="11"/>
    </row>
    <row r="30533" spans="8:16" x14ac:dyDescent="0.25">
      <c r="H30533" s="12"/>
      <c r="I30533" s="12"/>
      <c r="J30533" s="12"/>
      <c r="K30533" s="12"/>
      <c r="L30533" s="12"/>
      <c r="M30533" s="11"/>
      <c r="N30533" s="11"/>
      <c r="O30533" s="11"/>
      <c r="P30533" s="11"/>
    </row>
    <row r="30534" spans="8:16" x14ac:dyDescent="0.25">
      <c r="H30534" s="12"/>
      <c r="I30534" s="12"/>
      <c r="J30534" s="12"/>
      <c r="K30534" s="12"/>
      <c r="L30534" s="12"/>
      <c r="M30534" s="11"/>
      <c r="N30534" s="11"/>
      <c r="O30534" s="11"/>
      <c r="P30534" s="11"/>
    </row>
    <row r="30535" spans="8:16" x14ac:dyDescent="0.25">
      <c r="H30535" s="12"/>
      <c r="I30535" s="12"/>
      <c r="J30535" s="12"/>
      <c r="K30535" s="12"/>
      <c r="L30535" s="12"/>
      <c r="M30535" s="11"/>
      <c r="N30535" s="11"/>
      <c r="O30535" s="11"/>
      <c r="P30535" s="11"/>
    </row>
    <row r="30536" spans="8:16" x14ac:dyDescent="0.25">
      <c r="H30536" s="12"/>
      <c r="I30536" s="12"/>
      <c r="J30536" s="12"/>
      <c r="K30536" s="12"/>
      <c r="L30536" s="12"/>
      <c r="M30536" s="11"/>
      <c r="N30536" s="11"/>
      <c r="O30536" s="11"/>
      <c r="P30536" s="11"/>
    </row>
    <row r="30537" spans="8:16" x14ac:dyDescent="0.25">
      <c r="H30537" s="12"/>
      <c r="I30537" s="12"/>
      <c r="J30537" s="12"/>
      <c r="K30537" s="12"/>
      <c r="L30537" s="12"/>
      <c r="M30537" s="11"/>
      <c r="N30537" s="11"/>
      <c r="O30537" s="11"/>
      <c r="P30537" s="11"/>
    </row>
    <row r="30538" spans="8:16" x14ac:dyDescent="0.25">
      <c r="H30538" s="12"/>
      <c r="I30538" s="12"/>
      <c r="J30538" s="12"/>
      <c r="K30538" s="12"/>
      <c r="L30538" s="12"/>
      <c r="M30538" s="11"/>
      <c r="N30538" s="11"/>
      <c r="O30538" s="11"/>
      <c r="P30538" s="11"/>
    </row>
    <row r="30539" spans="8:16" x14ac:dyDescent="0.25">
      <c r="H30539" s="12"/>
      <c r="I30539" s="12"/>
      <c r="J30539" s="12"/>
      <c r="K30539" s="12"/>
      <c r="L30539" s="12"/>
      <c r="M30539" s="11"/>
      <c r="N30539" s="11"/>
      <c r="O30539" s="11"/>
      <c r="P30539" s="11"/>
    </row>
    <row r="30540" spans="8:16" x14ac:dyDescent="0.25">
      <c r="H30540" s="12"/>
      <c r="I30540" s="12"/>
      <c r="J30540" s="12"/>
      <c r="K30540" s="12"/>
      <c r="L30540" s="12"/>
      <c r="M30540" s="11"/>
      <c r="N30540" s="11"/>
      <c r="O30540" s="11"/>
      <c r="P30540" s="11"/>
    </row>
    <row r="30541" spans="8:16" x14ac:dyDescent="0.25">
      <c r="H30541" s="12"/>
      <c r="I30541" s="12"/>
      <c r="J30541" s="12"/>
      <c r="K30541" s="12"/>
      <c r="L30541" s="12"/>
      <c r="M30541" s="11"/>
      <c r="N30541" s="11"/>
      <c r="O30541" s="11"/>
      <c r="P30541" s="11"/>
    </row>
    <row r="30542" spans="8:16" x14ac:dyDescent="0.25">
      <c r="H30542" s="12"/>
      <c r="I30542" s="12"/>
      <c r="J30542" s="12"/>
      <c r="K30542" s="12"/>
      <c r="L30542" s="12"/>
      <c r="M30542" s="11"/>
      <c r="N30542" s="11"/>
      <c r="O30542" s="11"/>
      <c r="P30542" s="11"/>
    </row>
    <row r="30543" spans="8:16" x14ac:dyDescent="0.25">
      <c r="H30543" s="12"/>
      <c r="I30543" s="12"/>
      <c r="J30543" s="12"/>
      <c r="K30543" s="12"/>
      <c r="L30543" s="12"/>
      <c r="M30543" s="11"/>
      <c r="N30543" s="11"/>
      <c r="O30543" s="11"/>
      <c r="P30543" s="11"/>
    </row>
    <row r="30544" spans="8:16" x14ac:dyDescent="0.25">
      <c r="H30544" s="12"/>
      <c r="I30544" s="12"/>
      <c r="J30544" s="12"/>
      <c r="K30544" s="12"/>
      <c r="L30544" s="12"/>
      <c r="M30544" s="11"/>
      <c r="N30544" s="11"/>
      <c r="O30544" s="11"/>
      <c r="P30544" s="11"/>
    </row>
    <row r="30545" spans="8:16" x14ac:dyDescent="0.25">
      <c r="H30545" s="12"/>
      <c r="I30545" s="12"/>
      <c r="J30545" s="12"/>
      <c r="K30545" s="12"/>
      <c r="L30545" s="12"/>
      <c r="M30545" s="11"/>
      <c r="N30545" s="11"/>
      <c r="O30545" s="11"/>
      <c r="P30545" s="11"/>
    </row>
    <row r="30546" spans="8:16" x14ac:dyDescent="0.25">
      <c r="H30546" s="12"/>
      <c r="I30546" s="12"/>
      <c r="J30546" s="12"/>
      <c r="K30546" s="12"/>
      <c r="L30546" s="12"/>
      <c r="M30546" s="11"/>
      <c r="N30546" s="11"/>
      <c r="O30546" s="11"/>
      <c r="P30546" s="11"/>
    </row>
    <row r="30547" spans="8:16" x14ac:dyDescent="0.25">
      <c r="H30547" s="12"/>
      <c r="I30547" s="12"/>
      <c r="J30547" s="12"/>
      <c r="K30547" s="12"/>
      <c r="L30547" s="12"/>
      <c r="M30547" s="11"/>
      <c r="N30547" s="11"/>
      <c r="O30547" s="11"/>
      <c r="P30547" s="11"/>
    </row>
    <row r="30548" spans="8:16" x14ac:dyDescent="0.25">
      <c r="H30548" s="12"/>
      <c r="I30548" s="12"/>
      <c r="J30548" s="12"/>
      <c r="K30548" s="12"/>
      <c r="L30548" s="12"/>
      <c r="M30548" s="11"/>
      <c r="N30548" s="11"/>
      <c r="O30548" s="11"/>
      <c r="P30548" s="11"/>
    </row>
    <row r="30549" spans="8:16" x14ac:dyDescent="0.25">
      <c r="H30549" s="12"/>
      <c r="I30549" s="12"/>
      <c r="J30549" s="12"/>
      <c r="K30549" s="12"/>
      <c r="L30549" s="12"/>
      <c r="M30549" s="11"/>
      <c r="N30549" s="11"/>
      <c r="O30549" s="11"/>
      <c r="P30549" s="11"/>
    </row>
    <row r="30550" spans="8:16" x14ac:dyDescent="0.25">
      <c r="H30550" s="12"/>
      <c r="I30550" s="12"/>
      <c r="J30550" s="12"/>
      <c r="K30550" s="12"/>
      <c r="L30550" s="12"/>
      <c r="M30550" s="11"/>
      <c r="N30550" s="11"/>
      <c r="O30550" s="11"/>
      <c r="P30550" s="11"/>
    </row>
    <row r="30551" spans="8:16" x14ac:dyDescent="0.25">
      <c r="H30551" s="12"/>
      <c r="I30551" s="12"/>
      <c r="J30551" s="12"/>
      <c r="K30551" s="12"/>
      <c r="L30551" s="12"/>
      <c r="M30551" s="11"/>
      <c r="N30551" s="11"/>
      <c r="O30551" s="11"/>
      <c r="P30551" s="11"/>
    </row>
    <row r="30552" spans="8:16" x14ac:dyDescent="0.25">
      <c r="H30552" s="12"/>
      <c r="I30552" s="12"/>
      <c r="J30552" s="12"/>
      <c r="K30552" s="12"/>
      <c r="L30552" s="12"/>
      <c r="M30552" s="11"/>
      <c r="N30552" s="11"/>
      <c r="O30552" s="11"/>
      <c r="P30552" s="11"/>
    </row>
    <row r="30553" spans="8:16" x14ac:dyDescent="0.25">
      <c r="H30553" s="12"/>
      <c r="I30553" s="12"/>
      <c r="J30553" s="12"/>
      <c r="K30553" s="12"/>
      <c r="L30553" s="12"/>
      <c r="M30553" s="11"/>
      <c r="N30553" s="11"/>
      <c r="O30553" s="11"/>
      <c r="P30553" s="11"/>
    </row>
    <row r="30554" spans="8:16" x14ac:dyDescent="0.25">
      <c r="H30554" s="12"/>
      <c r="I30554" s="12"/>
      <c r="J30554" s="12"/>
      <c r="K30554" s="12"/>
      <c r="L30554" s="12"/>
      <c r="M30554" s="11"/>
      <c r="N30554" s="11"/>
      <c r="O30554" s="11"/>
      <c r="P30554" s="11"/>
    </row>
    <row r="30555" spans="8:16" x14ac:dyDescent="0.25">
      <c r="H30555" s="12"/>
      <c r="I30555" s="12"/>
      <c r="J30555" s="12"/>
      <c r="K30555" s="12"/>
      <c r="L30555" s="12"/>
      <c r="M30555" s="11"/>
      <c r="N30555" s="11"/>
      <c r="O30555" s="11"/>
      <c r="P30555" s="11"/>
    </row>
    <row r="30556" spans="8:16" x14ac:dyDescent="0.25">
      <c r="H30556" s="12"/>
      <c r="I30556" s="12"/>
      <c r="J30556" s="12"/>
      <c r="K30556" s="12"/>
      <c r="L30556" s="12"/>
      <c r="M30556" s="11"/>
      <c r="N30556" s="11"/>
      <c r="O30556" s="11"/>
      <c r="P30556" s="11"/>
    </row>
    <row r="30557" spans="8:16" x14ac:dyDescent="0.25">
      <c r="H30557" s="12"/>
      <c r="I30557" s="12"/>
      <c r="J30557" s="12"/>
      <c r="K30557" s="12"/>
      <c r="L30557" s="12"/>
      <c r="M30557" s="11"/>
      <c r="N30557" s="11"/>
      <c r="O30557" s="11"/>
      <c r="P30557" s="11"/>
    </row>
    <row r="30558" spans="8:16" x14ac:dyDescent="0.25">
      <c r="H30558" s="12"/>
      <c r="I30558" s="12"/>
      <c r="J30558" s="12"/>
      <c r="K30558" s="12"/>
      <c r="L30558" s="12"/>
      <c r="M30558" s="11"/>
      <c r="N30558" s="11"/>
      <c r="O30558" s="11"/>
      <c r="P30558" s="11"/>
    </row>
    <row r="30559" spans="8:16" x14ac:dyDescent="0.25">
      <c r="H30559" s="12"/>
      <c r="I30559" s="12"/>
      <c r="J30559" s="12"/>
      <c r="K30559" s="12"/>
      <c r="L30559" s="12"/>
      <c r="M30559" s="11"/>
      <c r="N30559" s="11"/>
      <c r="O30559" s="11"/>
      <c r="P30559" s="11"/>
    </row>
    <row r="30560" spans="8:16" x14ac:dyDescent="0.25">
      <c r="H30560" s="12"/>
      <c r="I30560" s="12"/>
      <c r="J30560" s="12"/>
      <c r="K30560" s="12"/>
      <c r="L30560" s="12"/>
      <c r="M30560" s="11"/>
      <c r="N30560" s="11"/>
      <c r="O30560" s="11"/>
      <c r="P30560" s="11"/>
    </row>
    <row r="30561" spans="8:16" x14ac:dyDescent="0.25">
      <c r="H30561" s="12"/>
      <c r="I30561" s="12"/>
      <c r="J30561" s="12"/>
      <c r="K30561" s="12"/>
      <c r="L30561" s="12"/>
      <c r="M30561" s="11"/>
      <c r="N30561" s="11"/>
      <c r="O30561" s="11"/>
      <c r="P30561" s="11"/>
    </row>
    <row r="30562" spans="8:16" x14ac:dyDescent="0.25">
      <c r="H30562" s="12"/>
      <c r="I30562" s="12"/>
      <c r="J30562" s="12"/>
      <c r="K30562" s="12"/>
      <c r="L30562" s="12"/>
      <c r="M30562" s="11"/>
      <c r="N30562" s="11"/>
      <c r="O30562" s="11"/>
      <c r="P30562" s="11"/>
    </row>
    <row r="30563" spans="8:16" x14ac:dyDescent="0.25">
      <c r="H30563" s="12"/>
      <c r="I30563" s="12"/>
      <c r="J30563" s="12"/>
      <c r="K30563" s="12"/>
      <c r="L30563" s="12"/>
      <c r="M30563" s="11"/>
      <c r="N30563" s="11"/>
      <c r="O30563" s="11"/>
      <c r="P30563" s="11"/>
    </row>
    <row r="30564" spans="8:16" x14ac:dyDescent="0.25">
      <c r="H30564" s="12"/>
      <c r="I30564" s="12"/>
      <c r="J30564" s="12"/>
      <c r="K30564" s="12"/>
      <c r="L30564" s="12"/>
      <c r="M30564" s="11"/>
      <c r="N30564" s="11"/>
      <c r="O30564" s="11"/>
      <c r="P30564" s="11"/>
    </row>
    <row r="30565" spans="8:16" x14ac:dyDescent="0.25">
      <c r="H30565" s="12"/>
      <c r="I30565" s="12"/>
      <c r="J30565" s="12"/>
      <c r="K30565" s="12"/>
      <c r="L30565" s="12"/>
      <c r="M30565" s="11"/>
      <c r="N30565" s="11"/>
      <c r="O30565" s="11"/>
      <c r="P30565" s="11"/>
    </row>
    <row r="30566" spans="8:16" x14ac:dyDescent="0.25">
      <c r="H30566" s="12"/>
      <c r="I30566" s="12"/>
      <c r="J30566" s="12"/>
      <c r="K30566" s="12"/>
      <c r="L30566" s="12"/>
      <c r="M30566" s="11"/>
      <c r="N30566" s="11"/>
      <c r="O30566" s="11"/>
      <c r="P30566" s="11"/>
    </row>
    <row r="30567" spans="8:16" x14ac:dyDescent="0.25">
      <c r="H30567" s="12"/>
      <c r="I30567" s="12"/>
      <c r="J30567" s="12"/>
      <c r="K30567" s="12"/>
      <c r="L30567" s="12"/>
      <c r="M30567" s="11"/>
      <c r="N30567" s="11"/>
      <c r="O30567" s="11"/>
      <c r="P30567" s="11"/>
    </row>
    <row r="30568" spans="8:16" x14ac:dyDescent="0.25">
      <c r="H30568" s="12"/>
      <c r="I30568" s="12"/>
      <c r="J30568" s="12"/>
      <c r="K30568" s="12"/>
      <c r="L30568" s="12"/>
      <c r="M30568" s="11"/>
      <c r="N30568" s="11"/>
      <c r="O30568" s="11"/>
      <c r="P30568" s="11"/>
    </row>
    <row r="30569" spans="8:16" x14ac:dyDescent="0.25">
      <c r="H30569" s="12"/>
      <c r="I30569" s="12"/>
      <c r="J30569" s="12"/>
      <c r="K30569" s="12"/>
      <c r="L30569" s="12"/>
      <c r="M30569" s="11"/>
      <c r="N30569" s="11"/>
      <c r="O30569" s="11"/>
      <c r="P30569" s="11"/>
    </row>
    <row r="30570" spans="8:16" x14ac:dyDescent="0.25">
      <c r="H30570" s="12"/>
      <c r="I30570" s="12"/>
      <c r="J30570" s="12"/>
      <c r="K30570" s="12"/>
      <c r="L30570" s="12"/>
      <c r="M30570" s="11"/>
      <c r="N30570" s="11"/>
      <c r="O30570" s="11"/>
      <c r="P30570" s="11"/>
    </row>
    <row r="30571" spans="8:16" x14ac:dyDescent="0.25">
      <c r="H30571" s="12"/>
      <c r="I30571" s="12"/>
      <c r="J30571" s="12"/>
      <c r="K30571" s="12"/>
      <c r="L30571" s="12"/>
      <c r="M30571" s="11"/>
      <c r="N30571" s="11"/>
      <c r="O30571" s="11"/>
      <c r="P30571" s="11"/>
    </row>
    <row r="30572" spans="8:16" x14ac:dyDescent="0.25">
      <c r="H30572" s="12"/>
      <c r="I30572" s="12"/>
      <c r="J30572" s="12"/>
      <c r="K30572" s="12"/>
      <c r="L30572" s="12"/>
      <c r="M30572" s="11"/>
      <c r="N30572" s="11"/>
      <c r="O30572" s="11"/>
      <c r="P30572" s="11"/>
    </row>
    <row r="30573" spans="8:16" x14ac:dyDescent="0.25">
      <c r="H30573" s="12"/>
      <c r="I30573" s="12"/>
      <c r="J30573" s="12"/>
      <c r="K30573" s="12"/>
      <c r="L30573" s="12"/>
      <c r="M30573" s="11"/>
      <c r="N30573" s="11"/>
      <c r="O30573" s="11"/>
      <c r="P30573" s="11"/>
    </row>
    <row r="30574" spans="8:16" x14ac:dyDescent="0.25">
      <c r="H30574" s="12"/>
      <c r="I30574" s="12"/>
      <c r="J30574" s="12"/>
      <c r="K30574" s="12"/>
      <c r="L30574" s="12"/>
      <c r="M30574" s="11"/>
      <c r="N30574" s="11"/>
      <c r="O30574" s="11"/>
      <c r="P30574" s="11"/>
    </row>
    <row r="30575" spans="8:16" x14ac:dyDescent="0.25">
      <c r="H30575" s="12"/>
      <c r="I30575" s="12"/>
      <c r="J30575" s="12"/>
      <c r="K30575" s="12"/>
      <c r="L30575" s="12"/>
      <c r="M30575" s="11"/>
      <c r="N30575" s="11"/>
      <c r="O30575" s="11"/>
      <c r="P30575" s="11"/>
    </row>
    <row r="30576" spans="8:16" x14ac:dyDescent="0.25">
      <c r="H30576" s="12"/>
      <c r="I30576" s="12"/>
      <c r="J30576" s="12"/>
      <c r="K30576" s="12"/>
      <c r="L30576" s="12"/>
      <c r="M30576" s="11"/>
      <c r="N30576" s="11"/>
      <c r="O30576" s="11"/>
      <c r="P30576" s="11"/>
    </row>
    <row r="30577" spans="8:16" x14ac:dyDescent="0.25">
      <c r="H30577" s="12"/>
      <c r="I30577" s="12"/>
      <c r="J30577" s="12"/>
      <c r="K30577" s="12"/>
      <c r="L30577" s="12"/>
      <c r="M30577" s="11"/>
      <c r="N30577" s="11"/>
      <c r="O30577" s="11"/>
      <c r="P30577" s="11"/>
    </row>
    <row r="30578" spans="8:16" x14ac:dyDescent="0.25">
      <c r="H30578" s="12"/>
      <c r="I30578" s="12"/>
      <c r="J30578" s="12"/>
      <c r="K30578" s="12"/>
      <c r="L30578" s="12"/>
      <c r="M30578" s="11"/>
      <c r="N30578" s="11"/>
      <c r="O30578" s="11"/>
      <c r="P30578" s="11"/>
    </row>
    <row r="30579" spans="8:16" x14ac:dyDescent="0.25">
      <c r="H30579" s="12"/>
      <c r="I30579" s="12"/>
      <c r="J30579" s="12"/>
      <c r="K30579" s="12"/>
      <c r="L30579" s="12"/>
      <c r="M30579" s="11"/>
      <c r="N30579" s="11"/>
      <c r="O30579" s="11"/>
      <c r="P30579" s="11"/>
    </row>
    <row r="30580" spans="8:16" x14ac:dyDescent="0.25">
      <c r="H30580" s="12"/>
      <c r="I30580" s="12"/>
      <c r="J30580" s="12"/>
      <c r="K30580" s="12"/>
      <c r="L30580" s="12"/>
      <c r="M30580" s="11"/>
      <c r="N30580" s="11"/>
      <c r="O30580" s="11"/>
      <c r="P30580" s="11"/>
    </row>
    <row r="30581" spans="8:16" x14ac:dyDescent="0.25">
      <c r="H30581" s="12"/>
      <c r="I30581" s="12"/>
      <c r="J30581" s="12"/>
      <c r="K30581" s="12"/>
      <c r="L30581" s="12"/>
      <c r="M30581" s="11"/>
      <c r="N30581" s="11"/>
      <c r="O30581" s="11"/>
      <c r="P30581" s="11"/>
    </row>
    <row r="30582" spans="8:16" x14ac:dyDescent="0.25">
      <c r="H30582" s="12"/>
      <c r="I30582" s="12"/>
      <c r="J30582" s="12"/>
      <c r="K30582" s="12"/>
      <c r="L30582" s="12"/>
      <c r="M30582" s="11"/>
      <c r="N30582" s="11"/>
      <c r="O30582" s="11"/>
      <c r="P30582" s="11"/>
    </row>
    <row r="30583" spans="8:16" x14ac:dyDescent="0.25">
      <c r="H30583" s="12"/>
      <c r="I30583" s="12"/>
      <c r="J30583" s="12"/>
      <c r="K30583" s="12"/>
      <c r="L30583" s="12"/>
      <c r="M30583" s="11"/>
      <c r="N30583" s="11"/>
      <c r="O30583" s="11"/>
      <c r="P30583" s="11"/>
    </row>
    <row r="30584" spans="8:16" x14ac:dyDescent="0.25">
      <c r="H30584" s="12"/>
      <c r="I30584" s="12"/>
      <c r="J30584" s="12"/>
      <c r="K30584" s="12"/>
      <c r="L30584" s="12"/>
      <c r="M30584" s="11"/>
      <c r="N30584" s="11"/>
      <c r="O30584" s="11"/>
      <c r="P30584" s="11"/>
    </row>
    <row r="30585" spans="8:16" x14ac:dyDescent="0.25">
      <c r="H30585" s="12"/>
      <c r="I30585" s="12"/>
      <c r="J30585" s="12"/>
      <c r="K30585" s="12"/>
      <c r="L30585" s="12"/>
      <c r="M30585" s="11"/>
      <c r="N30585" s="11"/>
      <c r="O30585" s="11"/>
      <c r="P30585" s="11"/>
    </row>
    <row r="30586" spans="8:16" x14ac:dyDescent="0.25">
      <c r="H30586" s="12"/>
      <c r="I30586" s="12"/>
      <c r="J30586" s="12"/>
      <c r="K30586" s="12"/>
      <c r="L30586" s="12"/>
      <c r="M30586" s="11"/>
      <c r="N30586" s="11"/>
      <c r="O30586" s="11"/>
      <c r="P30586" s="11"/>
    </row>
    <row r="30587" spans="8:16" x14ac:dyDescent="0.25">
      <c r="H30587" s="12"/>
      <c r="I30587" s="12"/>
      <c r="J30587" s="12"/>
      <c r="K30587" s="12"/>
      <c r="L30587" s="12"/>
      <c r="M30587" s="11"/>
      <c r="N30587" s="11"/>
      <c r="O30587" s="11"/>
      <c r="P30587" s="11"/>
    </row>
    <row r="30588" spans="8:16" x14ac:dyDescent="0.25">
      <c r="H30588" s="12"/>
      <c r="I30588" s="12"/>
      <c r="J30588" s="12"/>
      <c r="K30588" s="12"/>
      <c r="L30588" s="12"/>
      <c r="M30588" s="11"/>
      <c r="N30588" s="11"/>
      <c r="O30588" s="11"/>
      <c r="P30588" s="11"/>
    </row>
    <row r="30589" spans="8:16" x14ac:dyDescent="0.25">
      <c r="H30589" s="12"/>
      <c r="I30589" s="12"/>
      <c r="J30589" s="12"/>
      <c r="K30589" s="12"/>
      <c r="L30589" s="12"/>
      <c r="M30589" s="11"/>
      <c r="N30589" s="11"/>
      <c r="O30589" s="11"/>
      <c r="P30589" s="11"/>
    </row>
    <row r="30590" spans="8:16" x14ac:dyDescent="0.25">
      <c r="H30590" s="12"/>
      <c r="I30590" s="12"/>
      <c r="J30590" s="12"/>
      <c r="K30590" s="12"/>
      <c r="L30590" s="12"/>
      <c r="M30590" s="11"/>
      <c r="N30590" s="11"/>
      <c r="O30590" s="11"/>
      <c r="P30590" s="11"/>
    </row>
    <row r="30591" spans="8:16" x14ac:dyDescent="0.25">
      <c r="H30591" s="12"/>
      <c r="I30591" s="12"/>
      <c r="J30591" s="12"/>
      <c r="K30591" s="12"/>
      <c r="L30591" s="12"/>
      <c r="M30591" s="11"/>
      <c r="N30591" s="11"/>
      <c r="O30591" s="11"/>
      <c r="P30591" s="11"/>
    </row>
    <row r="30592" spans="8:16" x14ac:dyDescent="0.25">
      <c r="H30592" s="12"/>
      <c r="I30592" s="12"/>
      <c r="J30592" s="12"/>
      <c r="K30592" s="12"/>
      <c r="L30592" s="12"/>
      <c r="M30592" s="11"/>
      <c r="N30592" s="11"/>
      <c r="O30592" s="11"/>
      <c r="P30592" s="11"/>
    </row>
    <row r="30593" spans="8:16" x14ac:dyDescent="0.25">
      <c r="H30593" s="12"/>
      <c r="I30593" s="12"/>
      <c r="J30593" s="12"/>
      <c r="K30593" s="12"/>
      <c r="L30593" s="12"/>
      <c r="M30593" s="11"/>
      <c r="N30593" s="11"/>
      <c r="O30593" s="11"/>
      <c r="P30593" s="11"/>
    </row>
    <row r="30594" spans="8:16" x14ac:dyDescent="0.25">
      <c r="H30594" s="12"/>
      <c r="I30594" s="12"/>
      <c r="J30594" s="12"/>
      <c r="K30594" s="12"/>
      <c r="L30594" s="12"/>
      <c r="M30594" s="11"/>
      <c r="N30594" s="11"/>
      <c r="O30594" s="11"/>
      <c r="P30594" s="11"/>
    </row>
    <row r="30595" spans="8:16" x14ac:dyDescent="0.25">
      <c r="H30595" s="12"/>
      <c r="I30595" s="12"/>
      <c r="J30595" s="12"/>
      <c r="K30595" s="12"/>
      <c r="L30595" s="12"/>
      <c r="M30595" s="11"/>
      <c r="N30595" s="11"/>
      <c r="O30595" s="11"/>
      <c r="P30595" s="11"/>
    </row>
    <row r="30596" spans="8:16" x14ac:dyDescent="0.25">
      <c r="H30596" s="12"/>
      <c r="I30596" s="12"/>
      <c r="J30596" s="12"/>
      <c r="K30596" s="12"/>
      <c r="L30596" s="12"/>
      <c r="M30596" s="11"/>
      <c r="N30596" s="11"/>
      <c r="O30596" s="11"/>
      <c r="P30596" s="11"/>
    </row>
    <row r="30597" spans="8:16" x14ac:dyDescent="0.25">
      <c r="H30597" s="12"/>
      <c r="I30597" s="12"/>
      <c r="J30597" s="12"/>
      <c r="K30597" s="12"/>
      <c r="L30597" s="12"/>
      <c r="M30597" s="11"/>
      <c r="N30597" s="11"/>
      <c r="O30597" s="11"/>
      <c r="P30597" s="11"/>
    </row>
    <row r="30598" spans="8:16" x14ac:dyDescent="0.25">
      <c r="H30598" s="12"/>
      <c r="I30598" s="12"/>
      <c r="J30598" s="12"/>
      <c r="K30598" s="12"/>
      <c r="L30598" s="12"/>
      <c r="M30598" s="11"/>
      <c r="N30598" s="11"/>
      <c r="O30598" s="11"/>
      <c r="P30598" s="11"/>
    </row>
    <row r="30599" spans="8:16" x14ac:dyDescent="0.25">
      <c r="H30599" s="12"/>
      <c r="I30599" s="12"/>
      <c r="J30599" s="12"/>
      <c r="K30599" s="12"/>
      <c r="L30599" s="12"/>
      <c r="M30599" s="11"/>
      <c r="N30599" s="11"/>
      <c r="O30599" s="11"/>
      <c r="P30599" s="11"/>
    </row>
    <row r="30600" spans="8:16" x14ac:dyDescent="0.25">
      <c r="H30600" s="12"/>
      <c r="I30600" s="12"/>
      <c r="J30600" s="12"/>
      <c r="K30600" s="12"/>
      <c r="L30600" s="12"/>
      <c r="M30600" s="11"/>
      <c r="N30600" s="11"/>
      <c r="O30600" s="11"/>
      <c r="P30600" s="11"/>
    </row>
    <row r="30601" spans="8:16" x14ac:dyDescent="0.25">
      <c r="H30601" s="12"/>
      <c r="I30601" s="12"/>
      <c r="J30601" s="12"/>
      <c r="K30601" s="12"/>
      <c r="L30601" s="12"/>
      <c r="M30601" s="11"/>
      <c r="N30601" s="11"/>
      <c r="O30601" s="11"/>
      <c r="P30601" s="11"/>
    </row>
    <row r="30602" spans="8:16" x14ac:dyDescent="0.25">
      <c r="H30602" s="12"/>
      <c r="I30602" s="12"/>
      <c r="J30602" s="12"/>
      <c r="K30602" s="12"/>
      <c r="L30602" s="12"/>
      <c r="M30602" s="11"/>
      <c r="N30602" s="11"/>
      <c r="O30602" s="11"/>
      <c r="P30602" s="11"/>
    </row>
    <row r="30603" spans="8:16" x14ac:dyDescent="0.25">
      <c r="H30603" s="12"/>
      <c r="I30603" s="12"/>
      <c r="J30603" s="12"/>
      <c r="K30603" s="12"/>
      <c r="L30603" s="12"/>
      <c r="M30603" s="11"/>
      <c r="N30603" s="11"/>
      <c r="O30603" s="11"/>
      <c r="P30603" s="11"/>
    </row>
    <row r="30604" spans="8:16" x14ac:dyDescent="0.25">
      <c r="H30604" s="12"/>
      <c r="I30604" s="12"/>
      <c r="J30604" s="12"/>
      <c r="K30604" s="12"/>
      <c r="L30604" s="12"/>
      <c r="M30604" s="11"/>
      <c r="N30604" s="11"/>
      <c r="O30604" s="11"/>
      <c r="P30604" s="11"/>
    </row>
    <row r="30605" spans="8:16" x14ac:dyDescent="0.25">
      <c r="H30605" s="12"/>
      <c r="I30605" s="12"/>
      <c r="J30605" s="12"/>
      <c r="K30605" s="12"/>
      <c r="L30605" s="12"/>
      <c r="M30605" s="11"/>
      <c r="N30605" s="11"/>
      <c r="O30605" s="11"/>
      <c r="P30605" s="11"/>
    </row>
    <row r="30606" spans="8:16" x14ac:dyDescent="0.25">
      <c r="H30606" s="12"/>
      <c r="I30606" s="12"/>
      <c r="J30606" s="12"/>
      <c r="K30606" s="12"/>
      <c r="L30606" s="12"/>
      <c r="M30606" s="11"/>
      <c r="N30606" s="11"/>
      <c r="O30606" s="11"/>
      <c r="P30606" s="11"/>
    </row>
    <row r="30607" spans="8:16" x14ac:dyDescent="0.25">
      <c r="H30607" s="12"/>
      <c r="I30607" s="12"/>
      <c r="J30607" s="12"/>
      <c r="K30607" s="12"/>
      <c r="L30607" s="12"/>
      <c r="M30607" s="11"/>
      <c r="N30607" s="11"/>
      <c r="O30607" s="11"/>
      <c r="P30607" s="11"/>
    </row>
    <row r="30608" spans="8:16" x14ac:dyDescent="0.25">
      <c r="H30608" s="12"/>
      <c r="I30608" s="12"/>
      <c r="J30608" s="12"/>
      <c r="K30608" s="12"/>
      <c r="L30608" s="12"/>
      <c r="M30608" s="11"/>
      <c r="N30608" s="11"/>
      <c r="O30608" s="11"/>
      <c r="P30608" s="11"/>
    </row>
    <row r="30609" spans="8:16" x14ac:dyDescent="0.25">
      <c r="H30609" s="12"/>
      <c r="I30609" s="12"/>
      <c r="J30609" s="12"/>
      <c r="K30609" s="12"/>
      <c r="L30609" s="12"/>
      <c r="M30609" s="11"/>
      <c r="N30609" s="11"/>
      <c r="O30609" s="11"/>
      <c r="P30609" s="11"/>
    </row>
    <row r="30610" spans="8:16" x14ac:dyDescent="0.25">
      <c r="H30610" s="12"/>
      <c r="I30610" s="12"/>
      <c r="J30610" s="12"/>
      <c r="K30610" s="12"/>
      <c r="L30610" s="12"/>
      <c r="M30610" s="11"/>
      <c r="N30610" s="11"/>
      <c r="O30610" s="11"/>
      <c r="P30610" s="11"/>
    </row>
    <row r="30611" spans="8:16" x14ac:dyDescent="0.25">
      <c r="H30611" s="12"/>
      <c r="I30611" s="12"/>
      <c r="J30611" s="12"/>
      <c r="K30611" s="12"/>
      <c r="L30611" s="12"/>
      <c r="M30611" s="11"/>
      <c r="N30611" s="11"/>
      <c r="O30611" s="11"/>
      <c r="P30611" s="11"/>
    </row>
    <row r="30612" spans="8:16" x14ac:dyDescent="0.25">
      <c r="H30612" s="12"/>
      <c r="I30612" s="12"/>
      <c r="J30612" s="12"/>
      <c r="K30612" s="12"/>
      <c r="L30612" s="12"/>
      <c r="M30612" s="11"/>
      <c r="N30612" s="11"/>
      <c r="O30612" s="11"/>
      <c r="P30612" s="11"/>
    </row>
    <row r="30613" spans="8:16" x14ac:dyDescent="0.25">
      <c r="H30613" s="12"/>
      <c r="I30613" s="12"/>
      <c r="J30613" s="12"/>
      <c r="K30613" s="12"/>
      <c r="L30613" s="12"/>
      <c r="M30613" s="11"/>
      <c r="N30613" s="11"/>
      <c r="O30613" s="11"/>
      <c r="P30613" s="11"/>
    </row>
    <row r="30614" spans="8:16" x14ac:dyDescent="0.25">
      <c r="H30614" s="12"/>
      <c r="I30614" s="12"/>
      <c r="J30614" s="12"/>
      <c r="K30614" s="12"/>
      <c r="L30614" s="12"/>
      <c r="M30614" s="11"/>
      <c r="N30614" s="11"/>
      <c r="O30614" s="11"/>
      <c r="P30614" s="11"/>
    </row>
    <row r="30615" spans="8:16" x14ac:dyDescent="0.25">
      <c r="H30615" s="12"/>
      <c r="I30615" s="12"/>
      <c r="J30615" s="12"/>
      <c r="K30615" s="12"/>
      <c r="L30615" s="12"/>
      <c r="M30615" s="11"/>
      <c r="N30615" s="11"/>
      <c r="O30615" s="11"/>
      <c r="P30615" s="11"/>
    </row>
    <row r="30616" spans="8:16" x14ac:dyDescent="0.25">
      <c r="H30616" s="12"/>
      <c r="I30616" s="12"/>
      <c r="J30616" s="12"/>
      <c r="K30616" s="12"/>
      <c r="L30616" s="12"/>
      <c r="M30616" s="11"/>
      <c r="N30616" s="11"/>
      <c r="O30616" s="11"/>
      <c r="P30616" s="11"/>
    </row>
    <row r="30617" spans="8:16" x14ac:dyDescent="0.25">
      <c r="H30617" s="12"/>
      <c r="I30617" s="12"/>
      <c r="J30617" s="12"/>
      <c r="K30617" s="12"/>
      <c r="L30617" s="12"/>
      <c r="M30617" s="11"/>
      <c r="N30617" s="11"/>
      <c r="O30617" s="11"/>
      <c r="P30617" s="11"/>
    </row>
    <row r="30618" spans="8:16" x14ac:dyDescent="0.25">
      <c r="H30618" s="12"/>
      <c r="I30618" s="12"/>
      <c r="J30618" s="12"/>
      <c r="K30618" s="12"/>
      <c r="L30618" s="12"/>
      <c r="M30618" s="11"/>
      <c r="N30618" s="11"/>
      <c r="O30618" s="11"/>
      <c r="P30618" s="11"/>
    </row>
    <row r="30619" spans="8:16" x14ac:dyDescent="0.25">
      <c r="H30619" s="12"/>
      <c r="I30619" s="12"/>
      <c r="J30619" s="12"/>
      <c r="K30619" s="12"/>
      <c r="L30619" s="12"/>
      <c r="M30619" s="11"/>
      <c r="N30619" s="11"/>
      <c r="O30619" s="11"/>
      <c r="P30619" s="11"/>
    </row>
    <row r="30620" spans="8:16" x14ac:dyDescent="0.25">
      <c r="H30620" s="12"/>
      <c r="I30620" s="12"/>
      <c r="J30620" s="12"/>
      <c r="K30620" s="12"/>
      <c r="L30620" s="12"/>
      <c r="M30620" s="11"/>
      <c r="N30620" s="11"/>
      <c r="O30620" s="11"/>
      <c r="P30620" s="11"/>
    </row>
    <row r="30621" spans="8:16" x14ac:dyDescent="0.25">
      <c r="H30621" s="12"/>
      <c r="I30621" s="12"/>
      <c r="J30621" s="12"/>
      <c r="K30621" s="12"/>
      <c r="L30621" s="12"/>
      <c r="M30621" s="11"/>
      <c r="N30621" s="11"/>
      <c r="O30621" s="11"/>
      <c r="P30621" s="11"/>
    </row>
    <row r="30622" spans="8:16" x14ac:dyDescent="0.25">
      <c r="H30622" s="12"/>
      <c r="I30622" s="12"/>
      <c r="J30622" s="12"/>
      <c r="K30622" s="12"/>
      <c r="L30622" s="12"/>
      <c r="M30622" s="11"/>
      <c r="N30622" s="11"/>
      <c r="O30622" s="11"/>
      <c r="P30622" s="11"/>
    </row>
    <row r="30623" spans="8:16" x14ac:dyDescent="0.25">
      <c r="H30623" s="12"/>
      <c r="I30623" s="12"/>
      <c r="J30623" s="12"/>
      <c r="K30623" s="12"/>
      <c r="L30623" s="12"/>
      <c r="M30623" s="11"/>
      <c r="N30623" s="11"/>
      <c r="O30623" s="11"/>
      <c r="P30623" s="11"/>
    </row>
    <row r="30624" spans="8:16" x14ac:dyDescent="0.25">
      <c r="H30624" s="12"/>
      <c r="I30624" s="12"/>
      <c r="J30624" s="12"/>
      <c r="K30624" s="12"/>
      <c r="L30624" s="12"/>
      <c r="M30624" s="11"/>
      <c r="N30624" s="11"/>
      <c r="O30624" s="11"/>
      <c r="P30624" s="11"/>
    </row>
    <row r="30625" spans="8:16" x14ac:dyDescent="0.25">
      <c r="H30625" s="12"/>
      <c r="I30625" s="12"/>
      <c r="J30625" s="12"/>
      <c r="K30625" s="12"/>
      <c r="L30625" s="12"/>
      <c r="M30625" s="11"/>
      <c r="N30625" s="11"/>
      <c r="O30625" s="11"/>
      <c r="P30625" s="11"/>
    </row>
    <row r="30626" spans="8:16" x14ac:dyDescent="0.25">
      <c r="H30626" s="12"/>
      <c r="I30626" s="12"/>
      <c r="J30626" s="12"/>
      <c r="K30626" s="12"/>
      <c r="L30626" s="12"/>
      <c r="M30626" s="11"/>
      <c r="N30626" s="11"/>
      <c r="O30626" s="11"/>
      <c r="P30626" s="11"/>
    </row>
    <row r="30627" spans="8:16" x14ac:dyDescent="0.25">
      <c r="H30627" s="12"/>
      <c r="I30627" s="12"/>
      <c r="J30627" s="12"/>
      <c r="K30627" s="12"/>
      <c r="L30627" s="12"/>
      <c r="M30627" s="11"/>
      <c r="N30627" s="11"/>
      <c r="O30627" s="11"/>
      <c r="P30627" s="11"/>
    </row>
    <row r="30628" spans="8:16" x14ac:dyDescent="0.25">
      <c r="H30628" s="12"/>
      <c r="I30628" s="12"/>
      <c r="J30628" s="12"/>
      <c r="K30628" s="12"/>
      <c r="L30628" s="12"/>
      <c r="M30628" s="11"/>
      <c r="N30628" s="11"/>
      <c r="O30628" s="11"/>
      <c r="P30628" s="11"/>
    </row>
    <row r="30629" spans="8:16" x14ac:dyDescent="0.25">
      <c r="H30629" s="12"/>
      <c r="I30629" s="12"/>
      <c r="J30629" s="12"/>
      <c r="K30629" s="12"/>
      <c r="L30629" s="12"/>
      <c r="M30629" s="11"/>
      <c r="N30629" s="11"/>
      <c r="O30629" s="11"/>
      <c r="P30629" s="11"/>
    </row>
    <row r="30630" spans="8:16" x14ac:dyDescent="0.25">
      <c r="H30630" s="12"/>
      <c r="I30630" s="12"/>
      <c r="J30630" s="12"/>
      <c r="K30630" s="12"/>
      <c r="L30630" s="12"/>
      <c r="M30630" s="11"/>
      <c r="N30630" s="11"/>
      <c r="O30630" s="11"/>
      <c r="P30630" s="11"/>
    </row>
    <row r="30631" spans="8:16" x14ac:dyDescent="0.25">
      <c r="H30631" s="12"/>
      <c r="I30631" s="12"/>
      <c r="J30631" s="12"/>
      <c r="K30631" s="12"/>
      <c r="L30631" s="12"/>
      <c r="M30631" s="11"/>
      <c r="N30631" s="11"/>
      <c r="O30631" s="11"/>
      <c r="P30631" s="11"/>
    </row>
    <row r="30632" spans="8:16" x14ac:dyDescent="0.25">
      <c r="H30632" s="12"/>
      <c r="I30632" s="12"/>
      <c r="J30632" s="12"/>
      <c r="K30632" s="12"/>
      <c r="L30632" s="12"/>
      <c r="M30632" s="11"/>
      <c r="N30632" s="11"/>
      <c r="O30632" s="11"/>
      <c r="P30632" s="11"/>
    </row>
    <row r="30633" spans="8:16" x14ac:dyDescent="0.25">
      <c r="H30633" s="12"/>
      <c r="I30633" s="12"/>
      <c r="J30633" s="12"/>
      <c r="K30633" s="12"/>
      <c r="L30633" s="12"/>
      <c r="M30633" s="11"/>
      <c r="N30633" s="11"/>
      <c r="O30633" s="11"/>
      <c r="P30633" s="11"/>
    </row>
    <row r="30634" spans="8:16" x14ac:dyDescent="0.25">
      <c r="H30634" s="12"/>
      <c r="I30634" s="12"/>
      <c r="J30634" s="12"/>
      <c r="K30634" s="12"/>
      <c r="L30634" s="12"/>
      <c r="M30634" s="11"/>
      <c r="N30634" s="11"/>
      <c r="O30634" s="11"/>
      <c r="P30634" s="11"/>
    </row>
    <row r="30635" spans="8:16" x14ac:dyDescent="0.25">
      <c r="H30635" s="12"/>
      <c r="I30635" s="12"/>
      <c r="J30635" s="12"/>
      <c r="K30635" s="12"/>
      <c r="L30635" s="12"/>
      <c r="M30635" s="11"/>
      <c r="N30635" s="11"/>
      <c r="O30635" s="11"/>
      <c r="P30635" s="11"/>
    </row>
    <row r="30636" spans="8:16" x14ac:dyDescent="0.25">
      <c r="H30636" s="12"/>
      <c r="I30636" s="12"/>
      <c r="J30636" s="12"/>
      <c r="K30636" s="12"/>
      <c r="L30636" s="12"/>
      <c r="M30636" s="11"/>
      <c r="N30636" s="11"/>
      <c r="O30636" s="11"/>
      <c r="P30636" s="11"/>
    </row>
    <row r="30637" spans="8:16" x14ac:dyDescent="0.25">
      <c r="H30637" s="12"/>
      <c r="I30637" s="12"/>
      <c r="J30637" s="12"/>
      <c r="K30637" s="12"/>
      <c r="L30637" s="12"/>
      <c r="M30637" s="11"/>
      <c r="N30637" s="11"/>
      <c r="O30637" s="11"/>
      <c r="P30637" s="11"/>
    </row>
    <row r="30638" spans="8:16" x14ac:dyDescent="0.25">
      <c r="H30638" s="12"/>
      <c r="I30638" s="12"/>
      <c r="J30638" s="12"/>
      <c r="K30638" s="12"/>
      <c r="L30638" s="12"/>
      <c r="M30638" s="11"/>
      <c r="N30638" s="11"/>
      <c r="O30638" s="11"/>
      <c r="P30638" s="11"/>
    </row>
    <row r="30639" spans="8:16" x14ac:dyDescent="0.25">
      <c r="H30639" s="12"/>
      <c r="I30639" s="12"/>
      <c r="J30639" s="12"/>
      <c r="K30639" s="12"/>
      <c r="L30639" s="12"/>
      <c r="M30639" s="11"/>
      <c r="N30639" s="11"/>
      <c r="O30639" s="11"/>
      <c r="P30639" s="11"/>
    </row>
    <row r="30640" spans="8:16" x14ac:dyDescent="0.25">
      <c r="H30640" s="12"/>
      <c r="I30640" s="12"/>
      <c r="J30640" s="12"/>
      <c r="K30640" s="12"/>
      <c r="L30640" s="12"/>
      <c r="M30640" s="11"/>
      <c r="N30640" s="11"/>
      <c r="O30640" s="11"/>
      <c r="P30640" s="11"/>
    </row>
    <row r="30641" spans="8:16" x14ac:dyDescent="0.25">
      <c r="H30641" s="12"/>
      <c r="I30641" s="12"/>
      <c r="J30641" s="12"/>
      <c r="K30641" s="12"/>
      <c r="L30641" s="12"/>
      <c r="M30641" s="11"/>
      <c r="N30641" s="11"/>
      <c r="O30641" s="11"/>
      <c r="P30641" s="11"/>
    </row>
    <row r="30642" spans="8:16" x14ac:dyDescent="0.25">
      <c r="H30642" s="12"/>
      <c r="I30642" s="12"/>
      <c r="J30642" s="12"/>
      <c r="K30642" s="12"/>
      <c r="L30642" s="12"/>
      <c r="M30642" s="11"/>
      <c r="N30642" s="11"/>
      <c r="O30642" s="11"/>
      <c r="P30642" s="11"/>
    </row>
    <row r="30643" spans="8:16" x14ac:dyDescent="0.25">
      <c r="H30643" s="12"/>
      <c r="I30643" s="12"/>
      <c r="J30643" s="12"/>
      <c r="K30643" s="12"/>
      <c r="L30643" s="12"/>
      <c r="M30643" s="11"/>
      <c r="N30643" s="11"/>
      <c r="O30643" s="11"/>
      <c r="P30643" s="11"/>
    </row>
    <row r="30644" spans="8:16" x14ac:dyDescent="0.25">
      <c r="H30644" s="12"/>
      <c r="I30644" s="12"/>
      <c r="J30644" s="12"/>
      <c r="K30644" s="12"/>
      <c r="L30644" s="12"/>
      <c r="M30644" s="11"/>
      <c r="N30644" s="11"/>
      <c r="O30644" s="11"/>
      <c r="P30644" s="11"/>
    </row>
    <row r="30645" spans="8:16" x14ac:dyDescent="0.25">
      <c r="H30645" s="12"/>
      <c r="I30645" s="12"/>
      <c r="J30645" s="12"/>
      <c r="K30645" s="12"/>
      <c r="L30645" s="12"/>
      <c r="M30645" s="11"/>
      <c r="N30645" s="11"/>
      <c r="O30645" s="11"/>
      <c r="P30645" s="11"/>
    </row>
    <row r="30646" spans="8:16" x14ac:dyDescent="0.25">
      <c r="H30646" s="12"/>
      <c r="I30646" s="12"/>
      <c r="J30646" s="12"/>
      <c r="K30646" s="12"/>
      <c r="L30646" s="12"/>
      <c r="M30646" s="11"/>
      <c r="N30646" s="11"/>
      <c r="O30646" s="11"/>
      <c r="P30646" s="11"/>
    </row>
    <row r="30647" spans="8:16" x14ac:dyDescent="0.25">
      <c r="H30647" s="12"/>
      <c r="I30647" s="12"/>
      <c r="J30647" s="12"/>
      <c r="K30647" s="12"/>
      <c r="L30647" s="12"/>
      <c r="M30647" s="11"/>
      <c r="N30647" s="11"/>
      <c r="O30647" s="11"/>
      <c r="P30647" s="11"/>
    </row>
    <row r="30648" spans="8:16" x14ac:dyDescent="0.25">
      <c r="H30648" s="12"/>
      <c r="I30648" s="12"/>
      <c r="J30648" s="12"/>
      <c r="K30648" s="12"/>
      <c r="L30648" s="12"/>
      <c r="M30648" s="11"/>
      <c r="N30648" s="11"/>
      <c r="O30648" s="11"/>
      <c r="P30648" s="11"/>
    </row>
    <row r="30649" spans="8:16" x14ac:dyDescent="0.25">
      <c r="H30649" s="12"/>
      <c r="I30649" s="12"/>
      <c r="J30649" s="12"/>
      <c r="K30649" s="12"/>
      <c r="L30649" s="12"/>
      <c r="M30649" s="11"/>
      <c r="N30649" s="11"/>
      <c r="O30649" s="11"/>
      <c r="P30649" s="11"/>
    </row>
    <row r="30650" spans="8:16" x14ac:dyDescent="0.25">
      <c r="H30650" s="12"/>
      <c r="I30650" s="12"/>
      <c r="J30650" s="12"/>
      <c r="K30650" s="12"/>
      <c r="L30650" s="12"/>
      <c r="M30650" s="11"/>
      <c r="N30650" s="11"/>
      <c r="O30650" s="11"/>
      <c r="P30650" s="11"/>
    </row>
    <row r="30651" spans="8:16" x14ac:dyDescent="0.25">
      <c r="H30651" s="12"/>
      <c r="I30651" s="12"/>
      <c r="J30651" s="12"/>
      <c r="K30651" s="12"/>
      <c r="L30651" s="12"/>
      <c r="M30651" s="11"/>
      <c r="N30651" s="11"/>
      <c r="O30651" s="11"/>
      <c r="P30651" s="11"/>
    </row>
    <row r="30652" spans="8:16" x14ac:dyDescent="0.25">
      <c r="H30652" s="12"/>
      <c r="I30652" s="12"/>
      <c r="J30652" s="12"/>
      <c r="K30652" s="12"/>
      <c r="L30652" s="12"/>
      <c r="M30652" s="11"/>
      <c r="N30652" s="11"/>
      <c r="O30652" s="11"/>
      <c r="P30652" s="11"/>
    </row>
    <row r="30653" spans="8:16" x14ac:dyDescent="0.25">
      <c r="H30653" s="12"/>
      <c r="I30653" s="12"/>
      <c r="J30653" s="12"/>
      <c r="K30653" s="12"/>
      <c r="L30653" s="12"/>
      <c r="M30653" s="11"/>
      <c r="N30653" s="11"/>
      <c r="O30653" s="11"/>
      <c r="P30653" s="11"/>
    </row>
    <row r="30654" spans="8:16" x14ac:dyDescent="0.25">
      <c r="H30654" s="12"/>
      <c r="I30654" s="12"/>
      <c r="J30654" s="12"/>
      <c r="K30654" s="12"/>
      <c r="L30654" s="12"/>
      <c r="M30654" s="11"/>
      <c r="N30654" s="11"/>
      <c r="O30654" s="11"/>
      <c r="P30654" s="11"/>
    </row>
    <row r="30655" spans="8:16" x14ac:dyDescent="0.25">
      <c r="H30655" s="12"/>
      <c r="I30655" s="12"/>
      <c r="J30655" s="12"/>
      <c r="K30655" s="12"/>
      <c r="L30655" s="12"/>
      <c r="M30655" s="11"/>
      <c r="N30655" s="11"/>
      <c r="O30655" s="11"/>
      <c r="P30655" s="11"/>
    </row>
    <row r="30656" spans="8:16" x14ac:dyDescent="0.25">
      <c r="H30656" s="12"/>
      <c r="I30656" s="12"/>
      <c r="J30656" s="12"/>
      <c r="K30656" s="12"/>
      <c r="L30656" s="12"/>
      <c r="M30656" s="11"/>
      <c r="N30656" s="11"/>
      <c r="O30656" s="11"/>
      <c r="P30656" s="11"/>
    </row>
    <row r="30657" spans="8:16" x14ac:dyDescent="0.25">
      <c r="H30657" s="12"/>
      <c r="I30657" s="12"/>
      <c r="J30657" s="12"/>
      <c r="K30657" s="12"/>
      <c r="L30657" s="12"/>
      <c r="M30657" s="11"/>
      <c r="N30657" s="11"/>
      <c r="O30657" s="11"/>
      <c r="P30657" s="11"/>
    </row>
    <row r="30658" spans="8:16" x14ac:dyDescent="0.25">
      <c r="H30658" s="12"/>
      <c r="I30658" s="12"/>
      <c r="J30658" s="12"/>
      <c r="K30658" s="12"/>
      <c r="L30658" s="12"/>
      <c r="M30658" s="11"/>
      <c r="N30658" s="11"/>
      <c r="O30658" s="11"/>
      <c r="P30658" s="11"/>
    </row>
    <row r="30659" spans="8:16" x14ac:dyDescent="0.25">
      <c r="H30659" s="12"/>
      <c r="I30659" s="12"/>
      <c r="J30659" s="12"/>
      <c r="K30659" s="12"/>
      <c r="L30659" s="12"/>
      <c r="M30659" s="11"/>
      <c r="N30659" s="11"/>
      <c r="O30659" s="11"/>
      <c r="P30659" s="11"/>
    </row>
    <row r="30660" spans="8:16" x14ac:dyDescent="0.25">
      <c r="H30660" s="12"/>
      <c r="I30660" s="12"/>
      <c r="J30660" s="12"/>
      <c r="K30660" s="12"/>
      <c r="L30660" s="12"/>
      <c r="M30660" s="11"/>
      <c r="N30660" s="11"/>
      <c r="O30660" s="11"/>
      <c r="P30660" s="11"/>
    </row>
    <row r="30661" spans="8:16" x14ac:dyDescent="0.25">
      <c r="H30661" s="12"/>
      <c r="I30661" s="12"/>
      <c r="J30661" s="12"/>
      <c r="K30661" s="12"/>
      <c r="L30661" s="12"/>
      <c r="M30661" s="11"/>
      <c r="N30661" s="11"/>
      <c r="O30661" s="11"/>
      <c r="P30661" s="11"/>
    </row>
    <row r="30662" spans="8:16" x14ac:dyDescent="0.25">
      <c r="H30662" s="12"/>
      <c r="I30662" s="12"/>
      <c r="J30662" s="12"/>
      <c r="K30662" s="12"/>
      <c r="L30662" s="12"/>
      <c r="M30662" s="11"/>
      <c r="N30662" s="11"/>
      <c r="O30662" s="11"/>
      <c r="P30662" s="11"/>
    </row>
    <row r="30663" spans="8:16" x14ac:dyDescent="0.25">
      <c r="H30663" s="12"/>
      <c r="I30663" s="12"/>
      <c r="J30663" s="12"/>
      <c r="K30663" s="12"/>
      <c r="L30663" s="12"/>
      <c r="M30663" s="11"/>
      <c r="N30663" s="11"/>
      <c r="O30663" s="11"/>
      <c r="P30663" s="11"/>
    </row>
    <row r="30664" spans="8:16" x14ac:dyDescent="0.25">
      <c r="H30664" s="12"/>
      <c r="I30664" s="12"/>
      <c r="J30664" s="12"/>
      <c r="K30664" s="12"/>
      <c r="L30664" s="12"/>
      <c r="M30664" s="11"/>
      <c r="N30664" s="11"/>
      <c r="O30664" s="11"/>
      <c r="P30664" s="11"/>
    </row>
    <row r="30665" spans="8:16" x14ac:dyDescent="0.25">
      <c r="H30665" s="12"/>
      <c r="I30665" s="12"/>
      <c r="J30665" s="12"/>
      <c r="K30665" s="12"/>
      <c r="L30665" s="12"/>
      <c r="M30665" s="11"/>
      <c r="N30665" s="11"/>
      <c r="O30665" s="11"/>
      <c r="P30665" s="11"/>
    </row>
    <row r="30666" spans="8:16" x14ac:dyDescent="0.25">
      <c r="H30666" s="12"/>
      <c r="I30666" s="12"/>
      <c r="J30666" s="12"/>
      <c r="K30666" s="12"/>
      <c r="L30666" s="12"/>
      <c r="M30666" s="11"/>
      <c r="N30666" s="11"/>
      <c r="O30666" s="11"/>
      <c r="P30666" s="11"/>
    </row>
    <row r="30667" spans="8:16" x14ac:dyDescent="0.25">
      <c r="H30667" s="12"/>
      <c r="I30667" s="12"/>
      <c r="J30667" s="12"/>
      <c r="K30667" s="12"/>
      <c r="L30667" s="12"/>
      <c r="M30667" s="11"/>
      <c r="N30667" s="11"/>
      <c r="O30667" s="11"/>
      <c r="P30667" s="11"/>
    </row>
    <row r="30668" spans="8:16" x14ac:dyDescent="0.25">
      <c r="H30668" s="12"/>
      <c r="I30668" s="12"/>
      <c r="J30668" s="12"/>
      <c r="K30668" s="12"/>
      <c r="L30668" s="12"/>
      <c r="M30668" s="11"/>
      <c r="N30668" s="11"/>
      <c r="O30668" s="11"/>
      <c r="P30668" s="11"/>
    </row>
    <row r="30669" spans="8:16" x14ac:dyDescent="0.25">
      <c r="H30669" s="12"/>
      <c r="I30669" s="12"/>
      <c r="J30669" s="12"/>
      <c r="K30669" s="12"/>
      <c r="L30669" s="12"/>
      <c r="M30669" s="11"/>
      <c r="N30669" s="11"/>
      <c r="O30669" s="11"/>
      <c r="P30669" s="11"/>
    </row>
    <row r="30670" spans="8:16" x14ac:dyDescent="0.25">
      <c r="H30670" s="12"/>
      <c r="I30670" s="12"/>
      <c r="J30670" s="12"/>
      <c r="K30670" s="12"/>
      <c r="L30670" s="12"/>
      <c r="M30670" s="11"/>
      <c r="N30670" s="11"/>
      <c r="O30670" s="11"/>
      <c r="P30670" s="11"/>
    </row>
    <row r="30671" spans="8:16" x14ac:dyDescent="0.25">
      <c r="H30671" s="12"/>
      <c r="I30671" s="12"/>
      <c r="J30671" s="12"/>
      <c r="K30671" s="12"/>
      <c r="L30671" s="12"/>
      <c r="M30671" s="11"/>
      <c r="N30671" s="11"/>
      <c r="O30671" s="11"/>
      <c r="P30671" s="11"/>
    </row>
    <row r="30672" spans="8:16" x14ac:dyDescent="0.25">
      <c r="H30672" s="12"/>
      <c r="I30672" s="12"/>
      <c r="J30672" s="12"/>
      <c r="K30672" s="12"/>
      <c r="L30672" s="12"/>
      <c r="M30672" s="11"/>
      <c r="N30672" s="11"/>
      <c r="O30672" s="11"/>
      <c r="P30672" s="11"/>
    </row>
    <row r="30673" spans="8:16" x14ac:dyDescent="0.25">
      <c r="H30673" s="12"/>
      <c r="I30673" s="12"/>
      <c r="J30673" s="12"/>
      <c r="K30673" s="12"/>
      <c r="L30673" s="12"/>
      <c r="M30673" s="11"/>
      <c r="N30673" s="11"/>
      <c r="O30673" s="11"/>
      <c r="P30673" s="11"/>
    </row>
    <row r="30674" spans="8:16" x14ac:dyDescent="0.25">
      <c r="H30674" s="12"/>
      <c r="I30674" s="12"/>
      <c r="J30674" s="12"/>
      <c r="K30674" s="12"/>
      <c r="L30674" s="12"/>
      <c r="M30674" s="11"/>
      <c r="N30674" s="11"/>
      <c r="O30674" s="11"/>
      <c r="P30674" s="11"/>
    </row>
    <row r="30675" spans="8:16" x14ac:dyDescent="0.25">
      <c r="H30675" s="12"/>
      <c r="I30675" s="12"/>
      <c r="J30675" s="12"/>
      <c r="K30675" s="12"/>
      <c r="L30675" s="12"/>
      <c r="M30675" s="11"/>
      <c r="N30675" s="11"/>
      <c r="O30675" s="11"/>
      <c r="P30675" s="11"/>
    </row>
    <row r="30676" spans="8:16" x14ac:dyDescent="0.25">
      <c r="H30676" s="12"/>
      <c r="I30676" s="12"/>
      <c r="J30676" s="12"/>
      <c r="K30676" s="12"/>
      <c r="L30676" s="12"/>
      <c r="M30676" s="11"/>
      <c r="N30676" s="11"/>
      <c r="O30676" s="11"/>
      <c r="P30676" s="11"/>
    </row>
    <row r="30677" spans="8:16" x14ac:dyDescent="0.25">
      <c r="H30677" s="12"/>
      <c r="I30677" s="12"/>
      <c r="J30677" s="12"/>
      <c r="K30677" s="12"/>
      <c r="L30677" s="12"/>
      <c r="M30677" s="11"/>
      <c r="N30677" s="11"/>
      <c r="O30677" s="11"/>
      <c r="P30677" s="11"/>
    </row>
    <row r="30678" spans="8:16" x14ac:dyDescent="0.25">
      <c r="H30678" s="12"/>
      <c r="I30678" s="12"/>
      <c r="J30678" s="12"/>
      <c r="K30678" s="12"/>
      <c r="L30678" s="12"/>
      <c r="M30678" s="11"/>
      <c r="N30678" s="11"/>
      <c r="O30678" s="11"/>
      <c r="P30678" s="11"/>
    </row>
    <row r="30679" spans="8:16" x14ac:dyDescent="0.25">
      <c r="H30679" s="12"/>
      <c r="I30679" s="12"/>
      <c r="J30679" s="12"/>
      <c r="K30679" s="12"/>
      <c r="L30679" s="12"/>
      <c r="M30679" s="11"/>
      <c r="N30679" s="11"/>
      <c r="O30679" s="11"/>
      <c r="P30679" s="11"/>
    </row>
    <row r="30680" spans="8:16" x14ac:dyDescent="0.25">
      <c r="H30680" s="12"/>
      <c r="I30680" s="12"/>
      <c r="J30680" s="12"/>
      <c r="K30680" s="12"/>
      <c r="L30680" s="12"/>
      <c r="M30680" s="11"/>
      <c r="N30680" s="11"/>
      <c r="O30680" s="11"/>
      <c r="P30680" s="11"/>
    </row>
    <row r="30681" spans="8:16" x14ac:dyDescent="0.25">
      <c r="H30681" s="12"/>
      <c r="I30681" s="12"/>
      <c r="J30681" s="12"/>
      <c r="K30681" s="12"/>
      <c r="L30681" s="12"/>
      <c r="M30681" s="11"/>
      <c r="N30681" s="11"/>
      <c r="O30681" s="11"/>
      <c r="P30681" s="11"/>
    </row>
    <row r="30682" spans="8:16" x14ac:dyDescent="0.25">
      <c r="H30682" s="12"/>
      <c r="I30682" s="12"/>
      <c r="J30682" s="12"/>
      <c r="K30682" s="12"/>
      <c r="L30682" s="12"/>
      <c r="M30682" s="11"/>
      <c r="N30682" s="11"/>
      <c r="O30682" s="11"/>
      <c r="P30682" s="11"/>
    </row>
    <row r="30683" spans="8:16" x14ac:dyDescent="0.25">
      <c r="H30683" s="12"/>
      <c r="I30683" s="12"/>
      <c r="J30683" s="12"/>
      <c r="K30683" s="12"/>
      <c r="L30683" s="12"/>
      <c r="M30683" s="11"/>
      <c r="N30683" s="11"/>
      <c r="O30683" s="11"/>
      <c r="P30683" s="11"/>
    </row>
    <row r="30684" spans="8:16" x14ac:dyDescent="0.25">
      <c r="H30684" s="12"/>
      <c r="I30684" s="12"/>
      <c r="J30684" s="12"/>
      <c r="K30684" s="12"/>
      <c r="L30684" s="12"/>
      <c r="M30684" s="11"/>
      <c r="N30684" s="11"/>
      <c r="O30684" s="11"/>
      <c r="P30684" s="11"/>
    </row>
    <row r="30685" spans="8:16" x14ac:dyDescent="0.25">
      <c r="H30685" s="12"/>
      <c r="I30685" s="12"/>
      <c r="J30685" s="12"/>
      <c r="K30685" s="12"/>
      <c r="L30685" s="12"/>
      <c r="M30685" s="11"/>
      <c r="N30685" s="11"/>
      <c r="O30685" s="11"/>
      <c r="P30685" s="11"/>
    </row>
    <row r="30686" spans="8:16" x14ac:dyDescent="0.25">
      <c r="H30686" s="12"/>
      <c r="I30686" s="12"/>
      <c r="J30686" s="12"/>
      <c r="K30686" s="12"/>
      <c r="L30686" s="12"/>
      <c r="M30686" s="11"/>
      <c r="N30686" s="11"/>
      <c r="O30686" s="11"/>
      <c r="P30686" s="11"/>
    </row>
    <row r="30687" spans="8:16" x14ac:dyDescent="0.25">
      <c r="H30687" s="12"/>
      <c r="I30687" s="12"/>
      <c r="J30687" s="12"/>
      <c r="K30687" s="12"/>
      <c r="L30687" s="12"/>
      <c r="M30687" s="11"/>
      <c r="N30687" s="11"/>
      <c r="O30687" s="11"/>
      <c r="P30687" s="11"/>
    </row>
    <row r="30688" spans="8:16" x14ac:dyDescent="0.25">
      <c r="H30688" s="12"/>
      <c r="I30688" s="12"/>
      <c r="J30688" s="12"/>
      <c r="K30688" s="12"/>
      <c r="L30688" s="12"/>
      <c r="M30688" s="11"/>
      <c r="N30688" s="11"/>
      <c r="O30688" s="11"/>
      <c r="P30688" s="11"/>
    </row>
    <row r="30689" spans="8:16" x14ac:dyDescent="0.25">
      <c r="H30689" s="12"/>
      <c r="I30689" s="12"/>
      <c r="J30689" s="12"/>
      <c r="K30689" s="12"/>
      <c r="L30689" s="12"/>
      <c r="M30689" s="11"/>
      <c r="N30689" s="11"/>
      <c r="O30689" s="11"/>
      <c r="P30689" s="11"/>
    </row>
    <row r="30690" spans="8:16" x14ac:dyDescent="0.25">
      <c r="H30690" s="12"/>
      <c r="I30690" s="12"/>
      <c r="J30690" s="12"/>
      <c r="K30690" s="12"/>
      <c r="L30690" s="12"/>
      <c r="M30690" s="11"/>
      <c r="N30690" s="11"/>
      <c r="O30690" s="11"/>
      <c r="P30690" s="11"/>
    </row>
    <row r="30691" spans="8:16" x14ac:dyDescent="0.25">
      <c r="H30691" s="12"/>
      <c r="I30691" s="12"/>
      <c r="J30691" s="12"/>
      <c r="K30691" s="12"/>
      <c r="L30691" s="12"/>
      <c r="M30691" s="11"/>
      <c r="N30691" s="11"/>
      <c r="O30691" s="11"/>
      <c r="P30691" s="11"/>
    </row>
    <row r="30692" spans="8:16" x14ac:dyDescent="0.25">
      <c r="H30692" s="12"/>
      <c r="I30692" s="12"/>
      <c r="J30692" s="12"/>
      <c r="K30692" s="12"/>
      <c r="L30692" s="12"/>
      <c r="M30692" s="11"/>
      <c r="N30692" s="11"/>
      <c r="O30692" s="11"/>
      <c r="P30692" s="11"/>
    </row>
    <row r="30693" spans="8:16" x14ac:dyDescent="0.25">
      <c r="H30693" s="12"/>
      <c r="I30693" s="12"/>
      <c r="J30693" s="12"/>
      <c r="K30693" s="12"/>
      <c r="L30693" s="12"/>
      <c r="M30693" s="11"/>
      <c r="N30693" s="11"/>
      <c r="O30693" s="11"/>
      <c r="P30693" s="11"/>
    </row>
    <row r="30694" spans="8:16" x14ac:dyDescent="0.25">
      <c r="H30694" s="12"/>
      <c r="I30694" s="12"/>
      <c r="J30694" s="12"/>
      <c r="K30694" s="12"/>
      <c r="L30694" s="12"/>
      <c r="M30694" s="11"/>
      <c r="N30694" s="11"/>
      <c r="O30694" s="11"/>
      <c r="P30694" s="11"/>
    </row>
    <row r="30695" spans="8:16" x14ac:dyDescent="0.25">
      <c r="H30695" s="12"/>
      <c r="I30695" s="12"/>
      <c r="J30695" s="12"/>
      <c r="K30695" s="12"/>
      <c r="L30695" s="12"/>
      <c r="M30695" s="11"/>
      <c r="N30695" s="11"/>
      <c r="O30695" s="11"/>
      <c r="P30695" s="11"/>
    </row>
    <row r="30696" spans="8:16" x14ac:dyDescent="0.25">
      <c r="H30696" s="12"/>
      <c r="I30696" s="12"/>
      <c r="J30696" s="12"/>
      <c r="K30696" s="12"/>
      <c r="L30696" s="12"/>
      <c r="M30696" s="11"/>
      <c r="N30696" s="11"/>
      <c r="O30696" s="11"/>
      <c r="P30696" s="11"/>
    </row>
    <row r="30697" spans="8:16" x14ac:dyDescent="0.25">
      <c r="H30697" s="12"/>
      <c r="I30697" s="12"/>
      <c r="J30697" s="12"/>
      <c r="K30697" s="12"/>
      <c r="L30697" s="12"/>
      <c r="M30697" s="11"/>
      <c r="N30697" s="11"/>
      <c r="O30697" s="11"/>
      <c r="P30697" s="11"/>
    </row>
    <row r="30698" spans="8:16" x14ac:dyDescent="0.25">
      <c r="H30698" s="12"/>
      <c r="I30698" s="12"/>
      <c r="J30698" s="12"/>
      <c r="K30698" s="12"/>
      <c r="L30698" s="12"/>
      <c r="M30698" s="11"/>
      <c r="N30698" s="11"/>
      <c r="O30698" s="11"/>
      <c r="P30698" s="11"/>
    </row>
    <row r="30699" spans="8:16" x14ac:dyDescent="0.25">
      <c r="H30699" s="12"/>
      <c r="I30699" s="12"/>
      <c r="J30699" s="12"/>
      <c r="K30699" s="12"/>
      <c r="L30699" s="12"/>
      <c r="M30699" s="11"/>
      <c r="N30699" s="11"/>
      <c r="O30699" s="11"/>
      <c r="P30699" s="11"/>
    </row>
    <row r="30700" spans="8:16" x14ac:dyDescent="0.25">
      <c r="H30700" s="12"/>
      <c r="I30700" s="12"/>
      <c r="J30700" s="12"/>
      <c r="K30700" s="12"/>
      <c r="L30700" s="12"/>
      <c r="M30700" s="11"/>
      <c r="N30700" s="11"/>
      <c r="O30700" s="11"/>
      <c r="P30700" s="11"/>
    </row>
    <row r="30701" spans="8:16" x14ac:dyDescent="0.25">
      <c r="H30701" s="12"/>
      <c r="I30701" s="12"/>
      <c r="J30701" s="12"/>
      <c r="K30701" s="12"/>
      <c r="L30701" s="12"/>
      <c r="M30701" s="11"/>
      <c r="N30701" s="11"/>
      <c r="O30701" s="11"/>
      <c r="P30701" s="11"/>
    </row>
    <row r="30702" spans="8:16" x14ac:dyDescent="0.25">
      <c r="H30702" s="12"/>
      <c r="I30702" s="12"/>
      <c r="J30702" s="12"/>
      <c r="K30702" s="12"/>
      <c r="L30702" s="12"/>
      <c r="M30702" s="11"/>
      <c r="N30702" s="11"/>
      <c r="O30702" s="11"/>
      <c r="P30702" s="11"/>
    </row>
    <row r="30703" spans="8:16" x14ac:dyDescent="0.25">
      <c r="H30703" s="12"/>
      <c r="I30703" s="12"/>
      <c r="J30703" s="12"/>
      <c r="K30703" s="12"/>
      <c r="L30703" s="12"/>
      <c r="M30703" s="11"/>
      <c r="N30703" s="11"/>
      <c r="O30703" s="11"/>
      <c r="P30703" s="11"/>
    </row>
    <row r="30704" spans="8:16" x14ac:dyDescent="0.25">
      <c r="H30704" s="12"/>
      <c r="I30704" s="12"/>
      <c r="J30704" s="12"/>
      <c r="K30704" s="12"/>
      <c r="L30704" s="12"/>
      <c r="M30704" s="11"/>
      <c r="N30704" s="11"/>
      <c r="O30704" s="11"/>
      <c r="P30704" s="11"/>
    </row>
    <row r="30705" spans="8:16" x14ac:dyDescent="0.25">
      <c r="H30705" s="12"/>
      <c r="I30705" s="12"/>
      <c r="J30705" s="12"/>
      <c r="K30705" s="12"/>
      <c r="L30705" s="12"/>
      <c r="M30705" s="11"/>
      <c r="N30705" s="11"/>
      <c r="O30705" s="11"/>
      <c r="P30705" s="11"/>
    </row>
    <row r="30706" spans="8:16" x14ac:dyDescent="0.25">
      <c r="H30706" s="12"/>
      <c r="I30706" s="12"/>
      <c r="J30706" s="12"/>
      <c r="K30706" s="12"/>
      <c r="L30706" s="12"/>
      <c r="M30706" s="11"/>
      <c r="N30706" s="11"/>
      <c r="O30706" s="11"/>
      <c r="P30706" s="11"/>
    </row>
    <row r="30707" spans="8:16" x14ac:dyDescent="0.25">
      <c r="H30707" s="12"/>
      <c r="I30707" s="12"/>
      <c r="J30707" s="12"/>
      <c r="K30707" s="12"/>
      <c r="L30707" s="12"/>
      <c r="M30707" s="11"/>
      <c r="N30707" s="11"/>
      <c r="O30707" s="11"/>
      <c r="P30707" s="11"/>
    </row>
    <row r="30708" spans="8:16" x14ac:dyDescent="0.25">
      <c r="H30708" s="12"/>
      <c r="I30708" s="12"/>
      <c r="J30708" s="12"/>
      <c r="K30708" s="12"/>
      <c r="L30708" s="12"/>
      <c r="M30708" s="11"/>
      <c r="N30708" s="11"/>
      <c r="O30708" s="11"/>
      <c r="P30708" s="11"/>
    </row>
    <row r="30709" spans="8:16" x14ac:dyDescent="0.25">
      <c r="H30709" s="12"/>
      <c r="I30709" s="12"/>
      <c r="J30709" s="12"/>
      <c r="K30709" s="12"/>
      <c r="L30709" s="12"/>
      <c r="M30709" s="11"/>
      <c r="N30709" s="11"/>
      <c r="O30709" s="11"/>
      <c r="P30709" s="11"/>
    </row>
    <row r="30710" spans="8:16" x14ac:dyDescent="0.25">
      <c r="H30710" s="12"/>
      <c r="I30710" s="12"/>
      <c r="J30710" s="12"/>
      <c r="K30710" s="12"/>
      <c r="L30710" s="12"/>
      <c r="M30710" s="11"/>
      <c r="N30710" s="11"/>
      <c r="O30710" s="11"/>
      <c r="P30710" s="11"/>
    </row>
    <row r="30711" spans="8:16" x14ac:dyDescent="0.25">
      <c r="H30711" s="12"/>
      <c r="I30711" s="12"/>
      <c r="J30711" s="12"/>
      <c r="K30711" s="12"/>
      <c r="L30711" s="12"/>
      <c r="M30711" s="11"/>
      <c r="N30711" s="11"/>
      <c r="O30711" s="11"/>
      <c r="P30711" s="11"/>
    </row>
    <row r="30712" spans="8:16" x14ac:dyDescent="0.25">
      <c r="H30712" s="12"/>
      <c r="I30712" s="12"/>
      <c r="J30712" s="12"/>
      <c r="K30712" s="12"/>
      <c r="L30712" s="12"/>
      <c r="M30712" s="11"/>
      <c r="N30712" s="11"/>
      <c r="O30712" s="11"/>
      <c r="P30712" s="11"/>
    </row>
    <row r="30713" spans="8:16" x14ac:dyDescent="0.25">
      <c r="H30713" s="12"/>
      <c r="I30713" s="12"/>
      <c r="J30713" s="12"/>
      <c r="K30713" s="12"/>
      <c r="L30713" s="12"/>
      <c r="M30713" s="11"/>
      <c r="N30713" s="11"/>
      <c r="O30713" s="11"/>
      <c r="P30713" s="11"/>
    </row>
    <row r="30714" spans="8:16" x14ac:dyDescent="0.25">
      <c r="H30714" s="12"/>
      <c r="I30714" s="12"/>
      <c r="J30714" s="12"/>
      <c r="K30714" s="12"/>
      <c r="L30714" s="12"/>
      <c r="M30714" s="11"/>
      <c r="N30714" s="11"/>
      <c r="O30714" s="11"/>
      <c r="P30714" s="11"/>
    </row>
    <row r="30715" spans="8:16" x14ac:dyDescent="0.25">
      <c r="H30715" s="12"/>
      <c r="I30715" s="12"/>
      <c r="J30715" s="12"/>
      <c r="K30715" s="12"/>
      <c r="L30715" s="12"/>
      <c r="M30715" s="11"/>
      <c r="N30715" s="11"/>
      <c r="O30715" s="11"/>
      <c r="P30715" s="11"/>
    </row>
    <row r="30716" spans="8:16" x14ac:dyDescent="0.25">
      <c r="H30716" s="12"/>
      <c r="I30716" s="12"/>
      <c r="J30716" s="12"/>
      <c r="K30716" s="12"/>
      <c r="L30716" s="12"/>
      <c r="M30716" s="11"/>
      <c r="N30716" s="11"/>
      <c r="O30716" s="11"/>
      <c r="P30716" s="11"/>
    </row>
    <row r="30717" spans="8:16" x14ac:dyDescent="0.25">
      <c r="H30717" s="12"/>
      <c r="I30717" s="12"/>
      <c r="J30717" s="12"/>
      <c r="K30717" s="12"/>
      <c r="L30717" s="12"/>
      <c r="M30717" s="11"/>
      <c r="N30717" s="11"/>
      <c r="O30717" s="11"/>
      <c r="P30717" s="11"/>
    </row>
    <row r="30718" spans="8:16" x14ac:dyDescent="0.25">
      <c r="H30718" s="12"/>
      <c r="I30718" s="12"/>
      <c r="J30718" s="12"/>
      <c r="K30718" s="12"/>
      <c r="L30718" s="12"/>
      <c r="M30718" s="11"/>
      <c r="N30718" s="11"/>
      <c r="O30718" s="11"/>
      <c r="P30718" s="11"/>
    </row>
    <row r="30719" spans="8:16" x14ac:dyDescent="0.25">
      <c r="H30719" s="12"/>
      <c r="I30719" s="12"/>
      <c r="J30719" s="12"/>
      <c r="K30719" s="12"/>
      <c r="L30719" s="12"/>
      <c r="M30719" s="11"/>
      <c r="N30719" s="11"/>
      <c r="O30719" s="11"/>
      <c r="P30719" s="11"/>
    </row>
    <row r="30720" spans="8:16" x14ac:dyDescent="0.25">
      <c r="H30720" s="12"/>
      <c r="I30720" s="12"/>
      <c r="J30720" s="12"/>
      <c r="K30720" s="12"/>
      <c r="L30720" s="12"/>
      <c r="M30720" s="11"/>
      <c r="N30720" s="11"/>
      <c r="O30720" s="11"/>
      <c r="P30720" s="11"/>
    </row>
    <row r="30721" spans="8:16" x14ac:dyDescent="0.25">
      <c r="H30721" s="12"/>
      <c r="I30721" s="12"/>
      <c r="J30721" s="12"/>
      <c r="K30721" s="12"/>
      <c r="L30721" s="12"/>
      <c r="M30721" s="11"/>
      <c r="N30721" s="11"/>
      <c r="O30721" s="11"/>
      <c r="P30721" s="11"/>
    </row>
    <row r="30722" spans="8:16" x14ac:dyDescent="0.25">
      <c r="H30722" s="12"/>
      <c r="I30722" s="12"/>
      <c r="J30722" s="12"/>
      <c r="K30722" s="12"/>
      <c r="L30722" s="12"/>
      <c r="M30722" s="11"/>
      <c r="N30722" s="11"/>
      <c r="O30722" s="11"/>
      <c r="P30722" s="11"/>
    </row>
    <row r="30723" spans="8:16" x14ac:dyDescent="0.25">
      <c r="H30723" s="12"/>
      <c r="I30723" s="12"/>
      <c r="J30723" s="12"/>
      <c r="K30723" s="12"/>
      <c r="L30723" s="12"/>
      <c r="M30723" s="11"/>
      <c r="N30723" s="11"/>
      <c r="O30723" s="11"/>
      <c r="P30723" s="11"/>
    </row>
    <row r="30724" spans="8:16" x14ac:dyDescent="0.25">
      <c r="H30724" s="12"/>
      <c r="I30724" s="12"/>
      <c r="J30724" s="12"/>
      <c r="K30724" s="12"/>
      <c r="L30724" s="12"/>
      <c r="M30724" s="11"/>
      <c r="N30724" s="11"/>
      <c r="O30724" s="11"/>
      <c r="P30724" s="11"/>
    </row>
    <row r="30725" spans="8:16" x14ac:dyDescent="0.25">
      <c r="H30725" s="12"/>
      <c r="I30725" s="12"/>
      <c r="J30725" s="12"/>
      <c r="K30725" s="12"/>
      <c r="L30725" s="12"/>
      <c r="M30725" s="11"/>
      <c r="N30725" s="11"/>
      <c r="O30725" s="11"/>
      <c r="P30725" s="11"/>
    </row>
    <row r="30726" spans="8:16" x14ac:dyDescent="0.25">
      <c r="H30726" s="12"/>
      <c r="I30726" s="12"/>
      <c r="J30726" s="12"/>
      <c r="K30726" s="12"/>
      <c r="L30726" s="12"/>
      <c r="M30726" s="11"/>
      <c r="N30726" s="11"/>
      <c r="O30726" s="11"/>
      <c r="P30726" s="11"/>
    </row>
    <row r="30727" spans="8:16" x14ac:dyDescent="0.25">
      <c r="H30727" s="12"/>
      <c r="I30727" s="12"/>
      <c r="J30727" s="12"/>
      <c r="K30727" s="12"/>
      <c r="L30727" s="12"/>
      <c r="M30727" s="11"/>
      <c r="N30727" s="11"/>
      <c r="O30727" s="11"/>
      <c r="P30727" s="11"/>
    </row>
    <row r="30728" spans="8:16" x14ac:dyDescent="0.25">
      <c r="H30728" s="12"/>
      <c r="I30728" s="12"/>
      <c r="J30728" s="12"/>
      <c r="K30728" s="12"/>
      <c r="L30728" s="12"/>
      <c r="M30728" s="11"/>
      <c r="N30728" s="11"/>
      <c r="O30728" s="11"/>
      <c r="P30728" s="11"/>
    </row>
    <row r="30729" spans="8:16" x14ac:dyDescent="0.25">
      <c r="H30729" s="12"/>
      <c r="I30729" s="12"/>
      <c r="J30729" s="12"/>
      <c r="K30729" s="12"/>
      <c r="L30729" s="12"/>
      <c r="M30729" s="11"/>
      <c r="N30729" s="11"/>
      <c r="O30729" s="11"/>
      <c r="P30729" s="11"/>
    </row>
    <row r="30730" spans="8:16" x14ac:dyDescent="0.25">
      <c r="H30730" s="12"/>
      <c r="I30730" s="12"/>
      <c r="J30730" s="12"/>
      <c r="K30730" s="12"/>
      <c r="L30730" s="12"/>
      <c r="M30730" s="11"/>
      <c r="N30730" s="11"/>
      <c r="O30730" s="11"/>
      <c r="P30730" s="11"/>
    </row>
    <row r="30731" spans="8:16" x14ac:dyDescent="0.25">
      <c r="H30731" s="12"/>
      <c r="I30731" s="12"/>
      <c r="J30731" s="12"/>
      <c r="K30731" s="12"/>
      <c r="L30731" s="12"/>
      <c r="M30731" s="11"/>
      <c r="N30731" s="11"/>
      <c r="O30731" s="11"/>
      <c r="P30731" s="11"/>
    </row>
    <row r="30732" spans="8:16" x14ac:dyDescent="0.25">
      <c r="H30732" s="12"/>
      <c r="I30732" s="12"/>
      <c r="J30732" s="12"/>
      <c r="K30732" s="12"/>
      <c r="L30732" s="12"/>
      <c r="M30732" s="11"/>
      <c r="N30732" s="11"/>
      <c r="O30732" s="11"/>
      <c r="P30732" s="11"/>
    </row>
    <row r="30733" spans="8:16" x14ac:dyDescent="0.25">
      <c r="H30733" s="12"/>
      <c r="I30733" s="12"/>
      <c r="J30733" s="12"/>
      <c r="K30733" s="12"/>
      <c r="L30733" s="12"/>
      <c r="M30733" s="11"/>
      <c r="N30733" s="11"/>
      <c r="O30733" s="11"/>
      <c r="P30733" s="11"/>
    </row>
    <row r="30734" spans="8:16" x14ac:dyDescent="0.25">
      <c r="H30734" s="12"/>
      <c r="I30734" s="12"/>
      <c r="J30734" s="12"/>
      <c r="K30734" s="12"/>
      <c r="L30734" s="12"/>
      <c r="M30734" s="11"/>
      <c r="N30734" s="11"/>
      <c r="O30734" s="11"/>
      <c r="P30734" s="11"/>
    </row>
    <row r="30735" spans="8:16" x14ac:dyDescent="0.25">
      <c r="H30735" s="12"/>
      <c r="I30735" s="12"/>
      <c r="J30735" s="12"/>
      <c r="K30735" s="12"/>
      <c r="L30735" s="12"/>
      <c r="M30735" s="11"/>
      <c r="N30735" s="11"/>
      <c r="O30735" s="11"/>
      <c r="P30735" s="11"/>
    </row>
    <row r="30736" spans="8:16" x14ac:dyDescent="0.25">
      <c r="H30736" s="12"/>
      <c r="I30736" s="12"/>
      <c r="J30736" s="12"/>
      <c r="K30736" s="12"/>
      <c r="L30736" s="12"/>
      <c r="M30736" s="11"/>
      <c r="N30736" s="11"/>
      <c r="O30736" s="11"/>
      <c r="P30736" s="11"/>
    </row>
    <row r="30737" spans="8:16" x14ac:dyDescent="0.25">
      <c r="H30737" s="12"/>
      <c r="I30737" s="12"/>
      <c r="J30737" s="12"/>
      <c r="K30737" s="12"/>
      <c r="L30737" s="12"/>
      <c r="M30737" s="11"/>
      <c r="N30737" s="11"/>
      <c r="O30737" s="11"/>
      <c r="P30737" s="11"/>
    </row>
    <row r="30738" spans="8:16" x14ac:dyDescent="0.25">
      <c r="H30738" s="12"/>
      <c r="I30738" s="12"/>
      <c r="J30738" s="12"/>
      <c r="K30738" s="12"/>
      <c r="L30738" s="12"/>
      <c r="M30738" s="11"/>
      <c r="N30738" s="11"/>
      <c r="O30738" s="11"/>
      <c r="P30738" s="11"/>
    </row>
    <row r="30739" spans="8:16" x14ac:dyDescent="0.25">
      <c r="H30739" s="12"/>
      <c r="I30739" s="12"/>
      <c r="J30739" s="12"/>
      <c r="K30739" s="12"/>
      <c r="L30739" s="12"/>
      <c r="M30739" s="11"/>
      <c r="N30739" s="11"/>
      <c r="O30739" s="11"/>
      <c r="P30739" s="11"/>
    </row>
    <row r="30740" spans="8:16" x14ac:dyDescent="0.25">
      <c r="H30740" s="12"/>
      <c r="I30740" s="12"/>
      <c r="J30740" s="12"/>
      <c r="K30740" s="12"/>
      <c r="L30740" s="12"/>
      <c r="M30740" s="11"/>
      <c r="N30740" s="11"/>
      <c r="O30740" s="11"/>
      <c r="P30740" s="11"/>
    </row>
    <row r="30741" spans="8:16" x14ac:dyDescent="0.25">
      <c r="H30741" s="12"/>
      <c r="I30741" s="12"/>
      <c r="J30741" s="12"/>
      <c r="K30741" s="12"/>
      <c r="L30741" s="12"/>
      <c r="M30741" s="11"/>
      <c r="N30741" s="11"/>
      <c r="O30741" s="11"/>
      <c r="P30741" s="11"/>
    </row>
    <row r="30742" spans="8:16" x14ac:dyDescent="0.25">
      <c r="H30742" s="12"/>
      <c r="I30742" s="12"/>
      <c r="J30742" s="12"/>
      <c r="K30742" s="12"/>
      <c r="L30742" s="12"/>
      <c r="M30742" s="11"/>
      <c r="N30742" s="11"/>
      <c r="O30742" s="11"/>
      <c r="P30742" s="11"/>
    </row>
    <row r="30743" spans="8:16" x14ac:dyDescent="0.25">
      <c r="H30743" s="12"/>
      <c r="I30743" s="12"/>
      <c r="J30743" s="12"/>
      <c r="K30743" s="12"/>
      <c r="L30743" s="12"/>
      <c r="M30743" s="11"/>
      <c r="N30743" s="11"/>
      <c r="O30743" s="11"/>
      <c r="P30743" s="11"/>
    </row>
    <row r="30744" spans="8:16" x14ac:dyDescent="0.25">
      <c r="H30744" s="12"/>
      <c r="I30744" s="12"/>
      <c r="J30744" s="12"/>
      <c r="K30744" s="12"/>
      <c r="L30744" s="12"/>
      <c r="M30744" s="11"/>
      <c r="N30744" s="11"/>
      <c r="O30744" s="11"/>
      <c r="P30744" s="11"/>
    </row>
    <row r="30745" spans="8:16" x14ac:dyDescent="0.25">
      <c r="H30745" s="12"/>
      <c r="I30745" s="12"/>
      <c r="J30745" s="12"/>
      <c r="K30745" s="12"/>
      <c r="L30745" s="12"/>
      <c r="M30745" s="11"/>
      <c r="N30745" s="11"/>
      <c r="O30745" s="11"/>
      <c r="P30745" s="11"/>
    </row>
    <row r="30746" spans="8:16" x14ac:dyDescent="0.25">
      <c r="H30746" s="12"/>
      <c r="I30746" s="12"/>
      <c r="J30746" s="12"/>
      <c r="K30746" s="12"/>
      <c r="L30746" s="12"/>
      <c r="M30746" s="11"/>
      <c r="N30746" s="11"/>
      <c r="O30746" s="11"/>
      <c r="P30746" s="11"/>
    </row>
    <row r="30747" spans="8:16" x14ac:dyDescent="0.25">
      <c r="H30747" s="12"/>
      <c r="I30747" s="12"/>
      <c r="J30747" s="12"/>
      <c r="K30747" s="12"/>
      <c r="L30747" s="12"/>
      <c r="M30747" s="11"/>
      <c r="N30747" s="11"/>
      <c r="O30747" s="11"/>
      <c r="P30747" s="11"/>
    </row>
    <row r="30748" spans="8:16" x14ac:dyDescent="0.25">
      <c r="H30748" s="12"/>
      <c r="I30748" s="12"/>
      <c r="J30748" s="12"/>
      <c r="K30748" s="12"/>
      <c r="L30748" s="12"/>
      <c r="M30748" s="11"/>
      <c r="N30748" s="11"/>
      <c r="O30748" s="11"/>
      <c r="P30748" s="11"/>
    </row>
    <row r="30749" spans="8:16" x14ac:dyDescent="0.25">
      <c r="H30749" s="12"/>
      <c r="I30749" s="12"/>
      <c r="J30749" s="12"/>
      <c r="K30749" s="12"/>
      <c r="L30749" s="12"/>
      <c r="M30749" s="11"/>
      <c r="N30749" s="11"/>
      <c r="O30749" s="11"/>
      <c r="P30749" s="11"/>
    </row>
    <row r="30750" spans="8:16" x14ac:dyDescent="0.25">
      <c r="H30750" s="12"/>
      <c r="I30750" s="12"/>
      <c r="J30750" s="12"/>
      <c r="K30750" s="12"/>
      <c r="L30750" s="12"/>
      <c r="M30750" s="11"/>
      <c r="N30750" s="11"/>
      <c r="O30750" s="11"/>
      <c r="P30750" s="11"/>
    </row>
    <row r="30751" spans="8:16" x14ac:dyDescent="0.25">
      <c r="H30751" s="12"/>
      <c r="I30751" s="12"/>
      <c r="J30751" s="12"/>
      <c r="K30751" s="12"/>
      <c r="L30751" s="12"/>
      <c r="M30751" s="11"/>
      <c r="N30751" s="11"/>
      <c r="O30751" s="11"/>
      <c r="P30751" s="11"/>
    </row>
    <row r="30752" spans="8:16" x14ac:dyDescent="0.25">
      <c r="H30752" s="12"/>
      <c r="I30752" s="12"/>
      <c r="J30752" s="12"/>
      <c r="K30752" s="12"/>
      <c r="L30752" s="12"/>
      <c r="M30752" s="11"/>
      <c r="N30752" s="11"/>
      <c r="O30752" s="11"/>
      <c r="P30752" s="11"/>
    </row>
    <row r="30753" spans="8:16" x14ac:dyDescent="0.25">
      <c r="H30753" s="12"/>
      <c r="I30753" s="12"/>
      <c r="J30753" s="12"/>
      <c r="K30753" s="12"/>
      <c r="L30753" s="12"/>
      <c r="M30753" s="11"/>
      <c r="N30753" s="11"/>
      <c r="O30753" s="11"/>
      <c r="P30753" s="11"/>
    </row>
    <row r="30754" spans="8:16" x14ac:dyDescent="0.25">
      <c r="H30754" s="12"/>
      <c r="I30754" s="12"/>
      <c r="J30754" s="12"/>
      <c r="K30754" s="12"/>
      <c r="L30754" s="12"/>
      <c r="M30754" s="11"/>
      <c r="N30754" s="11"/>
      <c r="O30754" s="11"/>
      <c r="P30754" s="11"/>
    </row>
    <row r="30755" spans="8:16" x14ac:dyDescent="0.25">
      <c r="H30755" s="12"/>
      <c r="I30755" s="12"/>
      <c r="J30755" s="12"/>
      <c r="K30755" s="12"/>
      <c r="L30755" s="12"/>
      <c r="M30755" s="11"/>
      <c r="N30755" s="11"/>
      <c r="O30755" s="11"/>
      <c r="P30755" s="11"/>
    </row>
    <row r="30756" spans="8:16" x14ac:dyDescent="0.25">
      <c r="H30756" s="12"/>
      <c r="I30756" s="12"/>
      <c r="J30756" s="12"/>
      <c r="K30756" s="12"/>
      <c r="L30756" s="12"/>
      <c r="M30756" s="11"/>
      <c r="N30756" s="11"/>
      <c r="O30756" s="11"/>
      <c r="P30756" s="11"/>
    </row>
    <row r="30757" spans="8:16" x14ac:dyDescent="0.25">
      <c r="H30757" s="12"/>
      <c r="I30757" s="12"/>
      <c r="J30757" s="12"/>
      <c r="K30757" s="12"/>
      <c r="L30757" s="12"/>
      <c r="M30757" s="11"/>
      <c r="N30757" s="11"/>
      <c r="O30757" s="11"/>
      <c r="P30757" s="11"/>
    </row>
    <row r="30758" spans="8:16" x14ac:dyDescent="0.25">
      <c r="H30758" s="12"/>
      <c r="I30758" s="12"/>
      <c r="J30758" s="12"/>
      <c r="K30758" s="12"/>
      <c r="L30758" s="12"/>
      <c r="M30758" s="11"/>
      <c r="N30758" s="11"/>
      <c r="O30758" s="11"/>
      <c r="P30758" s="11"/>
    </row>
    <row r="30759" spans="8:16" x14ac:dyDescent="0.25">
      <c r="H30759" s="12"/>
      <c r="I30759" s="12"/>
      <c r="J30759" s="12"/>
      <c r="K30759" s="12"/>
      <c r="L30759" s="12"/>
      <c r="M30759" s="11"/>
      <c r="N30759" s="11"/>
      <c r="O30759" s="11"/>
      <c r="P30759" s="11"/>
    </row>
    <row r="30760" spans="8:16" x14ac:dyDescent="0.25">
      <c r="H30760" s="12"/>
      <c r="I30760" s="12"/>
      <c r="J30760" s="12"/>
      <c r="K30760" s="12"/>
      <c r="L30760" s="12"/>
      <c r="M30760" s="11"/>
      <c r="N30760" s="11"/>
      <c r="O30760" s="11"/>
      <c r="P30760" s="11"/>
    </row>
    <row r="30761" spans="8:16" x14ac:dyDescent="0.25">
      <c r="H30761" s="12"/>
      <c r="I30761" s="12"/>
      <c r="J30761" s="12"/>
      <c r="K30761" s="12"/>
      <c r="L30761" s="12"/>
      <c r="M30761" s="11"/>
      <c r="N30761" s="11"/>
      <c r="O30761" s="11"/>
      <c r="P30761" s="11"/>
    </row>
    <row r="30762" spans="8:16" x14ac:dyDescent="0.25">
      <c r="H30762" s="12"/>
      <c r="I30762" s="12"/>
      <c r="J30762" s="12"/>
      <c r="K30762" s="12"/>
      <c r="L30762" s="12"/>
      <c r="M30762" s="11"/>
      <c r="N30762" s="11"/>
      <c r="O30762" s="11"/>
      <c r="P30762" s="11"/>
    </row>
    <row r="30763" spans="8:16" x14ac:dyDescent="0.25">
      <c r="H30763" s="12"/>
      <c r="I30763" s="12"/>
      <c r="J30763" s="12"/>
      <c r="K30763" s="12"/>
      <c r="L30763" s="12"/>
      <c r="M30763" s="11"/>
      <c r="N30763" s="11"/>
      <c r="O30763" s="11"/>
      <c r="P30763" s="11"/>
    </row>
    <row r="30764" spans="8:16" x14ac:dyDescent="0.25">
      <c r="H30764" s="12"/>
      <c r="I30764" s="12"/>
      <c r="J30764" s="12"/>
      <c r="K30764" s="12"/>
      <c r="L30764" s="12"/>
      <c r="M30764" s="11"/>
      <c r="N30764" s="11"/>
      <c r="O30764" s="11"/>
      <c r="P30764" s="11"/>
    </row>
    <row r="30765" spans="8:16" x14ac:dyDescent="0.25">
      <c r="H30765" s="12"/>
      <c r="I30765" s="12"/>
      <c r="J30765" s="12"/>
      <c r="K30765" s="12"/>
      <c r="L30765" s="12"/>
      <c r="M30765" s="11"/>
      <c r="N30765" s="11"/>
      <c r="O30765" s="11"/>
      <c r="P30765" s="11"/>
    </row>
    <row r="30766" spans="8:16" x14ac:dyDescent="0.25">
      <c r="H30766" s="12"/>
      <c r="I30766" s="12"/>
      <c r="J30766" s="12"/>
      <c r="K30766" s="12"/>
      <c r="L30766" s="12"/>
      <c r="M30766" s="11"/>
      <c r="N30766" s="11"/>
      <c r="O30766" s="11"/>
      <c r="P30766" s="11"/>
    </row>
    <row r="30767" spans="8:16" x14ac:dyDescent="0.25">
      <c r="H30767" s="12"/>
      <c r="I30767" s="12"/>
      <c r="J30767" s="12"/>
      <c r="K30767" s="12"/>
      <c r="L30767" s="12"/>
      <c r="M30767" s="11"/>
      <c r="N30767" s="11"/>
      <c r="O30767" s="11"/>
      <c r="P30767" s="11"/>
    </row>
    <row r="30768" spans="8:16" x14ac:dyDescent="0.25">
      <c r="H30768" s="12"/>
      <c r="I30768" s="12"/>
      <c r="J30768" s="12"/>
      <c r="K30768" s="12"/>
      <c r="L30768" s="12"/>
      <c r="M30768" s="11"/>
      <c r="N30768" s="11"/>
      <c r="O30768" s="11"/>
      <c r="P30768" s="11"/>
    </row>
    <row r="30769" spans="8:16" x14ac:dyDescent="0.25">
      <c r="H30769" s="12"/>
      <c r="I30769" s="12"/>
      <c r="J30769" s="12"/>
      <c r="K30769" s="12"/>
      <c r="L30769" s="12"/>
      <c r="M30769" s="11"/>
      <c r="N30769" s="11"/>
      <c r="O30769" s="11"/>
      <c r="P30769" s="11"/>
    </row>
    <row r="30770" spans="8:16" x14ac:dyDescent="0.25">
      <c r="H30770" s="12"/>
      <c r="I30770" s="12"/>
      <c r="J30770" s="12"/>
      <c r="K30770" s="12"/>
      <c r="L30770" s="12"/>
      <c r="M30770" s="11"/>
      <c r="N30770" s="11"/>
      <c r="O30770" s="11"/>
      <c r="P30770" s="11"/>
    </row>
    <row r="30771" spans="8:16" x14ac:dyDescent="0.25">
      <c r="H30771" s="12"/>
      <c r="I30771" s="12"/>
      <c r="J30771" s="12"/>
      <c r="K30771" s="12"/>
      <c r="L30771" s="12"/>
      <c r="M30771" s="11"/>
      <c r="N30771" s="11"/>
      <c r="O30771" s="11"/>
      <c r="P30771" s="11"/>
    </row>
    <row r="30772" spans="8:16" x14ac:dyDescent="0.25">
      <c r="H30772" s="12"/>
      <c r="I30772" s="12"/>
      <c r="J30772" s="12"/>
      <c r="K30772" s="12"/>
      <c r="L30772" s="12"/>
      <c r="M30772" s="11"/>
      <c r="N30772" s="11"/>
      <c r="O30772" s="11"/>
      <c r="P30772" s="11"/>
    </row>
    <row r="30773" spans="8:16" x14ac:dyDescent="0.25">
      <c r="H30773" s="12"/>
      <c r="I30773" s="12"/>
      <c r="J30773" s="12"/>
      <c r="K30773" s="12"/>
      <c r="L30773" s="12"/>
      <c r="M30773" s="11"/>
      <c r="N30773" s="11"/>
      <c r="O30773" s="11"/>
      <c r="P30773" s="11"/>
    </row>
    <row r="30774" spans="8:16" x14ac:dyDescent="0.25">
      <c r="H30774" s="12"/>
      <c r="I30774" s="12"/>
      <c r="J30774" s="12"/>
      <c r="K30774" s="12"/>
      <c r="L30774" s="12"/>
      <c r="M30774" s="11"/>
      <c r="N30774" s="11"/>
      <c r="O30774" s="11"/>
      <c r="P30774" s="11"/>
    </row>
    <row r="30775" spans="8:16" x14ac:dyDescent="0.25">
      <c r="H30775" s="12"/>
      <c r="I30775" s="12"/>
      <c r="J30775" s="12"/>
      <c r="K30775" s="12"/>
      <c r="L30775" s="12"/>
      <c r="M30775" s="11"/>
      <c r="N30775" s="11"/>
      <c r="O30775" s="11"/>
      <c r="P30775" s="11"/>
    </row>
    <row r="30776" spans="8:16" x14ac:dyDescent="0.25">
      <c r="H30776" s="12"/>
      <c r="I30776" s="12"/>
      <c r="J30776" s="12"/>
      <c r="K30776" s="12"/>
      <c r="L30776" s="12"/>
      <c r="M30776" s="11"/>
      <c r="N30776" s="11"/>
      <c r="O30776" s="11"/>
      <c r="P30776" s="11"/>
    </row>
    <row r="30777" spans="8:16" x14ac:dyDescent="0.25">
      <c r="H30777" s="12"/>
      <c r="I30777" s="12"/>
      <c r="J30777" s="12"/>
      <c r="K30777" s="12"/>
      <c r="L30777" s="12"/>
      <c r="M30777" s="11"/>
      <c r="N30777" s="11"/>
      <c r="O30777" s="11"/>
      <c r="P30777" s="11"/>
    </row>
    <row r="30778" spans="8:16" x14ac:dyDescent="0.25">
      <c r="H30778" s="12"/>
      <c r="I30778" s="12"/>
      <c r="J30778" s="12"/>
      <c r="K30778" s="12"/>
      <c r="L30778" s="12"/>
      <c r="M30778" s="11"/>
      <c r="N30778" s="11"/>
      <c r="O30778" s="11"/>
      <c r="P30778" s="11"/>
    </row>
    <row r="30779" spans="8:16" x14ac:dyDescent="0.25">
      <c r="H30779" s="12"/>
      <c r="I30779" s="12"/>
      <c r="J30779" s="12"/>
      <c r="K30779" s="12"/>
      <c r="L30779" s="12"/>
      <c r="M30779" s="11"/>
      <c r="N30779" s="11"/>
      <c r="O30779" s="11"/>
      <c r="P30779" s="11"/>
    </row>
    <row r="30780" spans="8:16" x14ac:dyDescent="0.25">
      <c r="H30780" s="12"/>
      <c r="I30780" s="12"/>
      <c r="J30780" s="12"/>
      <c r="K30780" s="12"/>
      <c r="L30780" s="12"/>
      <c r="M30780" s="11"/>
      <c r="N30780" s="11"/>
      <c r="O30780" s="11"/>
      <c r="P30780" s="11"/>
    </row>
    <row r="30781" spans="8:16" x14ac:dyDescent="0.25">
      <c r="H30781" s="12"/>
      <c r="I30781" s="12"/>
      <c r="J30781" s="12"/>
      <c r="K30781" s="12"/>
      <c r="L30781" s="12"/>
      <c r="M30781" s="11"/>
      <c r="N30781" s="11"/>
      <c r="O30781" s="11"/>
      <c r="P30781" s="11"/>
    </row>
    <row r="30782" spans="8:16" x14ac:dyDescent="0.25">
      <c r="H30782" s="12"/>
      <c r="I30782" s="12"/>
      <c r="J30782" s="12"/>
      <c r="K30782" s="12"/>
      <c r="L30782" s="12"/>
      <c r="M30782" s="11"/>
      <c r="N30782" s="11"/>
      <c r="O30782" s="11"/>
      <c r="P30782" s="11"/>
    </row>
    <row r="30783" spans="8:16" x14ac:dyDescent="0.25">
      <c r="H30783" s="12"/>
      <c r="I30783" s="12"/>
      <c r="J30783" s="12"/>
      <c r="K30783" s="12"/>
      <c r="L30783" s="12"/>
      <c r="M30783" s="11"/>
      <c r="N30783" s="11"/>
      <c r="O30783" s="11"/>
      <c r="P30783" s="11"/>
    </row>
    <row r="30784" spans="8:16" x14ac:dyDescent="0.25">
      <c r="H30784" s="12"/>
      <c r="I30784" s="12"/>
      <c r="J30784" s="12"/>
      <c r="K30784" s="12"/>
      <c r="L30784" s="12"/>
      <c r="M30784" s="11"/>
      <c r="N30784" s="11"/>
      <c r="O30784" s="11"/>
      <c r="P30784" s="11"/>
    </row>
    <row r="30785" spans="8:16" x14ac:dyDescent="0.25">
      <c r="H30785" s="12"/>
      <c r="I30785" s="12"/>
      <c r="J30785" s="12"/>
      <c r="K30785" s="12"/>
      <c r="L30785" s="12"/>
      <c r="M30785" s="11"/>
      <c r="N30785" s="11"/>
      <c r="O30785" s="11"/>
      <c r="P30785" s="11"/>
    </row>
    <row r="30786" spans="8:16" x14ac:dyDescent="0.25">
      <c r="H30786" s="12"/>
      <c r="I30786" s="12"/>
      <c r="J30786" s="12"/>
      <c r="K30786" s="12"/>
      <c r="L30786" s="12"/>
      <c r="M30786" s="11"/>
      <c r="N30786" s="11"/>
      <c r="O30786" s="11"/>
      <c r="P30786" s="11"/>
    </row>
    <row r="30787" spans="8:16" x14ac:dyDescent="0.25">
      <c r="H30787" s="12"/>
      <c r="I30787" s="12"/>
      <c r="J30787" s="12"/>
      <c r="K30787" s="12"/>
      <c r="L30787" s="12"/>
      <c r="M30787" s="11"/>
      <c r="N30787" s="11"/>
      <c r="O30787" s="11"/>
      <c r="P30787" s="11"/>
    </row>
    <row r="30788" spans="8:16" x14ac:dyDescent="0.25">
      <c r="H30788" s="12"/>
      <c r="I30788" s="12"/>
      <c r="J30788" s="12"/>
      <c r="K30788" s="12"/>
      <c r="L30788" s="12"/>
      <c r="M30788" s="11"/>
      <c r="N30788" s="11"/>
      <c r="O30788" s="11"/>
      <c r="P30788" s="11"/>
    </row>
    <row r="30789" spans="8:16" x14ac:dyDescent="0.25">
      <c r="H30789" s="12"/>
      <c r="I30789" s="12"/>
      <c r="J30789" s="12"/>
      <c r="K30789" s="12"/>
      <c r="L30789" s="12"/>
      <c r="M30789" s="11"/>
      <c r="N30789" s="11"/>
      <c r="O30789" s="11"/>
      <c r="P30789" s="11"/>
    </row>
    <row r="30790" spans="8:16" x14ac:dyDescent="0.25">
      <c r="H30790" s="12"/>
      <c r="I30790" s="12"/>
      <c r="J30790" s="12"/>
      <c r="K30790" s="12"/>
      <c r="L30790" s="12"/>
      <c r="M30790" s="11"/>
      <c r="N30790" s="11"/>
      <c r="O30790" s="11"/>
      <c r="P30790" s="11"/>
    </row>
    <row r="30791" spans="8:16" x14ac:dyDescent="0.25">
      <c r="H30791" s="12"/>
      <c r="I30791" s="12"/>
      <c r="J30791" s="12"/>
      <c r="K30791" s="12"/>
      <c r="L30791" s="12"/>
      <c r="M30791" s="11"/>
      <c r="N30791" s="11"/>
      <c r="O30791" s="11"/>
      <c r="P30791" s="11"/>
    </row>
    <row r="30792" spans="8:16" x14ac:dyDescent="0.25">
      <c r="H30792" s="12"/>
      <c r="I30792" s="12"/>
      <c r="J30792" s="12"/>
      <c r="K30792" s="12"/>
      <c r="L30792" s="12"/>
      <c r="M30792" s="11"/>
      <c r="N30792" s="11"/>
      <c r="O30792" s="11"/>
      <c r="P30792" s="11"/>
    </row>
    <row r="30793" spans="8:16" x14ac:dyDescent="0.25">
      <c r="H30793" s="12"/>
      <c r="I30793" s="12"/>
      <c r="J30793" s="12"/>
      <c r="K30793" s="12"/>
      <c r="L30793" s="12"/>
      <c r="M30793" s="11"/>
      <c r="N30793" s="11"/>
      <c r="O30793" s="11"/>
      <c r="P30793" s="11"/>
    </row>
    <row r="30794" spans="8:16" x14ac:dyDescent="0.25">
      <c r="H30794" s="12"/>
      <c r="I30794" s="12"/>
      <c r="J30794" s="12"/>
      <c r="K30794" s="12"/>
      <c r="L30794" s="12"/>
      <c r="M30794" s="11"/>
      <c r="N30794" s="11"/>
      <c r="O30794" s="11"/>
      <c r="P30794" s="11"/>
    </row>
    <row r="30795" spans="8:16" x14ac:dyDescent="0.25">
      <c r="H30795" s="12"/>
      <c r="I30795" s="12"/>
      <c r="J30795" s="12"/>
      <c r="K30795" s="12"/>
      <c r="L30795" s="12"/>
      <c r="M30795" s="11"/>
      <c r="N30795" s="11"/>
      <c r="O30795" s="11"/>
      <c r="P30795" s="11"/>
    </row>
    <row r="30796" spans="8:16" x14ac:dyDescent="0.25">
      <c r="H30796" s="12"/>
      <c r="I30796" s="12"/>
      <c r="J30796" s="12"/>
      <c r="K30796" s="12"/>
      <c r="L30796" s="12"/>
      <c r="M30796" s="11"/>
      <c r="N30796" s="11"/>
      <c r="O30796" s="11"/>
      <c r="P30796" s="11"/>
    </row>
    <row r="30797" spans="8:16" x14ac:dyDescent="0.25">
      <c r="H30797" s="12"/>
      <c r="I30797" s="12"/>
      <c r="J30797" s="12"/>
      <c r="K30797" s="12"/>
      <c r="L30797" s="12"/>
      <c r="M30797" s="11"/>
      <c r="N30797" s="11"/>
      <c r="O30797" s="11"/>
      <c r="P30797" s="11"/>
    </row>
    <row r="30798" spans="8:16" x14ac:dyDescent="0.25">
      <c r="H30798" s="12"/>
      <c r="I30798" s="12"/>
      <c r="J30798" s="12"/>
      <c r="K30798" s="12"/>
      <c r="L30798" s="12"/>
      <c r="M30798" s="11"/>
      <c r="N30798" s="11"/>
      <c r="O30798" s="11"/>
      <c r="P30798" s="11"/>
    </row>
    <row r="30799" spans="8:16" x14ac:dyDescent="0.25">
      <c r="H30799" s="12"/>
      <c r="I30799" s="12"/>
      <c r="J30799" s="12"/>
      <c r="K30799" s="12"/>
      <c r="L30799" s="12"/>
      <c r="M30799" s="11"/>
      <c r="N30799" s="11"/>
      <c r="O30799" s="11"/>
      <c r="P30799" s="11"/>
    </row>
    <row r="30800" spans="8:16" x14ac:dyDescent="0.25">
      <c r="H30800" s="12"/>
      <c r="I30800" s="12"/>
      <c r="J30800" s="12"/>
      <c r="K30800" s="12"/>
      <c r="L30800" s="12"/>
      <c r="M30800" s="11"/>
      <c r="N30800" s="11"/>
      <c r="O30800" s="11"/>
      <c r="P30800" s="11"/>
    </row>
    <row r="30801" spans="8:16" x14ac:dyDescent="0.25">
      <c r="H30801" s="12"/>
      <c r="I30801" s="12"/>
      <c r="J30801" s="12"/>
      <c r="K30801" s="12"/>
      <c r="L30801" s="12"/>
      <c r="M30801" s="11"/>
      <c r="N30801" s="11"/>
      <c r="O30801" s="11"/>
      <c r="P30801" s="11"/>
    </row>
    <row r="30802" spans="8:16" x14ac:dyDescent="0.25">
      <c r="H30802" s="12"/>
      <c r="I30802" s="12"/>
      <c r="J30802" s="12"/>
      <c r="K30802" s="12"/>
      <c r="L30802" s="12"/>
      <c r="M30802" s="11"/>
      <c r="N30802" s="11"/>
      <c r="O30802" s="11"/>
      <c r="P30802" s="11"/>
    </row>
    <row r="30803" spans="8:16" x14ac:dyDescent="0.25">
      <c r="H30803" s="12"/>
      <c r="I30803" s="12"/>
      <c r="J30803" s="12"/>
      <c r="K30803" s="12"/>
      <c r="L30803" s="12"/>
      <c r="M30803" s="11"/>
      <c r="N30803" s="11"/>
      <c r="O30803" s="11"/>
      <c r="P30803" s="11"/>
    </row>
    <row r="30804" spans="8:16" x14ac:dyDescent="0.25">
      <c r="H30804" s="12"/>
      <c r="I30804" s="12"/>
      <c r="J30804" s="12"/>
      <c r="K30804" s="12"/>
      <c r="L30804" s="12"/>
      <c r="M30804" s="11"/>
      <c r="N30804" s="11"/>
      <c r="O30804" s="11"/>
      <c r="P30804" s="11"/>
    </row>
    <row r="30805" spans="8:16" x14ac:dyDescent="0.25">
      <c r="H30805" s="12"/>
      <c r="I30805" s="12"/>
      <c r="J30805" s="12"/>
      <c r="K30805" s="12"/>
      <c r="L30805" s="12"/>
      <c r="M30805" s="11"/>
      <c r="N30805" s="11"/>
      <c r="O30805" s="11"/>
      <c r="P30805" s="11"/>
    </row>
    <row r="30806" spans="8:16" x14ac:dyDescent="0.25">
      <c r="H30806" s="12"/>
      <c r="I30806" s="12"/>
      <c r="J30806" s="12"/>
      <c r="K30806" s="12"/>
      <c r="L30806" s="12"/>
      <c r="M30806" s="11"/>
      <c r="N30806" s="11"/>
      <c r="O30806" s="11"/>
      <c r="P30806" s="11"/>
    </row>
    <row r="30807" spans="8:16" x14ac:dyDescent="0.25">
      <c r="H30807" s="12"/>
      <c r="I30807" s="12"/>
      <c r="J30807" s="12"/>
      <c r="K30807" s="12"/>
      <c r="L30807" s="12"/>
      <c r="M30807" s="11"/>
      <c r="N30807" s="11"/>
      <c r="O30807" s="11"/>
      <c r="P30807" s="11"/>
    </row>
    <row r="30808" spans="8:16" x14ac:dyDescent="0.25">
      <c r="H30808" s="12"/>
      <c r="I30808" s="12"/>
      <c r="J30808" s="12"/>
      <c r="K30808" s="12"/>
      <c r="L30808" s="12"/>
      <c r="M30808" s="11"/>
      <c r="N30808" s="11"/>
      <c r="O30808" s="11"/>
      <c r="P30808" s="11"/>
    </row>
    <row r="30809" spans="8:16" x14ac:dyDescent="0.25">
      <c r="H30809" s="12"/>
      <c r="I30809" s="12"/>
      <c r="J30809" s="12"/>
      <c r="K30809" s="12"/>
      <c r="L30809" s="12"/>
      <c r="M30809" s="11"/>
      <c r="N30809" s="11"/>
      <c r="O30809" s="11"/>
      <c r="P30809" s="11"/>
    </row>
    <row r="30810" spans="8:16" x14ac:dyDescent="0.25">
      <c r="H30810" s="12"/>
      <c r="I30810" s="12"/>
      <c r="J30810" s="12"/>
      <c r="K30810" s="12"/>
      <c r="L30810" s="12"/>
      <c r="M30810" s="11"/>
      <c r="N30810" s="11"/>
      <c r="O30810" s="11"/>
      <c r="P30810" s="11"/>
    </row>
    <row r="30811" spans="8:16" x14ac:dyDescent="0.25">
      <c r="H30811" s="12"/>
      <c r="I30811" s="12"/>
      <c r="J30811" s="12"/>
      <c r="K30811" s="12"/>
      <c r="L30811" s="12"/>
      <c r="M30811" s="11"/>
      <c r="N30811" s="11"/>
      <c r="O30811" s="11"/>
      <c r="P30811" s="11"/>
    </row>
    <row r="30812" spans="8:16" x14ac:dyDescent="0.25">
      <c r="H30812" s="12"/>
      <c r="I30812" s="12"/>
      <c r="J30812" s="12"/>
      <c r="K30812" s="12"/>
      <c r="L30812" s="12"/>
      <c r="M30812" s="11"/>
      <c r="N30812" s="11"/>
      <c r="O30812" s="11"/>
      <c r="P30812" s="11"/>
    </row>
    <row r="30813" spans="8:16" x14ac:dyDescent="0.25">
      <c r="H30813" s="12"/>
      <c r="I30813" s="12"/>
      <c r="J30813" s="12"/>
      <c r="K30813" s="12"/>
      <c r="L30813" s="12"/>
      <c r="M30813" s="11"/>
      <c r="N30813" s="11"/>
      <c r="O30813" s="11"/>
      <c r="P30813" s="11"/>
    </row>
    <row r="30814" spans="8:16" x14ac:dyDescent="0.25">
      <c r="H30814" s="12"/>
      <c r="I30814" s="12"/>
      <c r="J30814" s="12"/>
      <c r="K30814" s="12"/>
      <c r="L30814" s="12"/>
      <c r="M30814" s="11"/>
      <c r="N30814" s="11"/>
      <c r="O30814" s="11"/>
      <c r="P30814" s="11"/>
    </row>
    <row r="30815" spans="8:16" x14ac:dyDescent="0.25">
      <c r="H30815" s="12"/>
      <c r="I30815" s="12"/>
      <c r="J30815" s="12"/>
      <c r="K30815" s="12"/>
      <c r="L30815" s="12"/>
      <c r="M30815" s="11"/>
      <c r="N30815" s="11"/>
      <c r="O30815" s="11"/>
      <c r="P30815" s="11"/>
    </row>
    <row r="30816" spans="8:16" x14ac:dyDescent="0.25">
      <c r="H30816" s="12"/>
      <c r="I30816" s="12"/>
      <c r="J30816" s="12"/>
      <c r="K30816" s="12"/>
      <c r="L30816" s="12"/>
      <c r="M30816" s="11"/>
      <c r="N30816" s="11"/>
      <c r="O30816" s="11"/>
      <c r="P30816" s="11"/>
    </row>
    <row r="30817" spans="8:16" x14ac:dyDescent="0.25">
      <c r="H30817" s="12"/>
      <c r="I30817" s="12"/>
      <c r="J30817" s="12"/>
      <c r="K30817" s="12"/>
      <c r="L30817" s="12"/>
      <c r="M30817" s="11"/>
      <c r="N30817" s="11"/>
      <c r="O30817" s="11"/>
      <c r="P30817" s="11"/>
    </row>
    <row r="30818" spans="8:16" x14ac:dyDescent="0.25">
      <c r="H30818" s="12"/>
      <c r="I30818" s="12"/>
      <c r="J30818" s="12"/>
      <c r="K30818" s="12"/>
      <c r="L30818" s="12"/>
      <c r="M30818" s="11"/>
      <c r="N30818" s="11"/>
      <c r="O30818" s="11"/>
      <c r="P30818" s="11"/>
    </row>
    <row r="30819" spans="8:16" x14ac:dyDescent="0.25">
      <c r="H30819" s="12"/>
      <c r="I30819" s="12"/>
      <c r="J30819" s="12"/>
      <c r="K30819" s="12"/>
      <c r="L30819" s="12"/>
      <c r="M30819" s="11"/>
      <c r="N30819" s="11"/>
      <c r="O30819" s="11"/>
      <c r="P30819" s="11"/>
    </row>
    <row r="30820" spans="8:16" x14ac:dyDescent="0.25">
      <c r="H30820" s="12"/>
      <c r="I30820" s="12"/>
      <c r="J30820" s="12"/>
      <c r="K30820" s="12"/>
      <c r="L30820" s="12"/>
      <c r="M30820" s="11"/>
      <c r="N30820" s="11"/>
      <c r="O30820" s="11"/>
      <c r="P30820" s="11"/>
    </row>
    <row r="30821" spans="8:16" x14ac:dyDescent="0.25">
      <c r="H30821" s="12"/>
      <c r="I30821" s="12"/>
      <c r="J30821" s="12"/>
      <c r="K30821" s="12"/>
      <c r="L30821" s="12"/>
      <c r="M30821" s="11"/>
      <c r="N30821" s="11"/>
      <c r="O30821" s="11"/>
      <c r="P30821" s="11"/>
    </row>
    <row r="30822" spans="8:16" x14ac:dyDescent="0.25">
      <c r="H30822" s="12"/>
      <c r="I30822" s="12"/>
      <c r="J30822" s="12"/>
      <c r="K30822" s="12"/>
      <c r="L30822" s="12"/>
      <c r="M30822" s="11"/>
      <c r="N30822" s="11"/>
      <c r="O30822" s="11"/>
      <c r="P30822" s="11"/>
    </row>
    <row r="30823" spans="8:16" x14ac:dyDescent="0.25">
      <c r="H30823" s="12"/>
      <c r="I30823" s="12"/>
      <c r="J30823" s="12"/>
      <c r="K30823" s="12"/>
      <c r="L30823" s="12"/>
      <c r="M30823" s="11"/>
      <c r="N30823" s="11"/>
      <c r="O30823" s="11"/>
      <c r="P30823" s="11"/>
    </row>
    <row r="30824" spans="8:16" x14ac:dyDescent="0.25">
      <c r="H30824" s="12"/>
      <c r="I30824" s="12"/>
      <c r="J30824" s="12"/>
      <c r="K30824" s="12"/>
      <c r="L30824" s="12"/>
      <c r="M30824" s="11"/>
      <c r="N30824" s="11"/>
      <c r="O30824" s="11"/>
      <c r="P30824" s="11"/>
    </row>
    <row r="30825" spans="8:16" x14ac:dyDescent="0.25">
      <c r="H30825" s="12"/>
      <c r="I30825" s="12"/>
      <c r="J30825" s="12"/>
      <c r="K30825" s="12"/>
      <c r="L30825" s="12"/>
      <c r="M30825" s="11"/>
      <c r="N30825" s="11"/>
      <c r="O30825" s="11"/>
      <c r="P30825" s="11"/>
    </row>
    <row r="30826" spans="8:16" x14ac:dyDescent="0.25">
      <c r="H30826" s="12"/>
      <c r="I30826" s="12"/>
      <c r="J30826" s="12"/>
      <c r="K30826" s="12"/>
      <c r="L30826" s="12"/>
      <c r="M30826" s="11"/>
      <c r="N30826" s="11"/>
      <c r="O30826" s="11"/>
      <c r="P30826" s="11"/>
    </row>
    <row r="30827" spans="8:16" x14ac:dyDescent="0.25">
      <c r="H30827" s="12"/>
      <c r="I30827" s="12"/>
      <c r="J30827" s="12"/>
      <c r="K30827" s="12"/>
      <c r="L30827" s="12"/>
      <c r="M30827" s="11"/>
      <c r="N30827" s="11"/>
      <c r="O30827" s="11"/>
      <c r="P30827" s="11"/>
    </row>
    <row r="30828" spans="8:16" x14ac:dyDescent="0.25">
      <c r="H30828" s="12"/>
      <c r="I30828" s="12"/>
      <c r="J30828" s="12"/>
      <c r="K30828" s="12"/>
      <c r="L30828" s="12"/>
      <c r="M30828" s="11"/>
      <c r="N30828" s="11"/>
      <c r="O30828" s="11"/>
      <c r="P30828" s="11"/>
    </row>
    <row r="30829" spans="8:16" x14ac:dyDescent="0.25">
      <c r="H30829" s="12"/>
      <c r="I30829" s="12"/>
      <c r="J30829" s="12"/>
      <c r="K30829" s="12"/>
      <c r="L30829" s="12"/>
      <c r="M30829" s="11"/>
      <c r="N30829" s="11"/>
      <c r="O30829" s="11"/>
      <c r="P30829" s="11"/>
    </row>
    <row r="30830" spans="8:16" x14ac:dyDescent="0.25">
      <c r="H30830" s="12"/>
      <c r="I30830" s="12"/>
      <c r="J30830" s="12"/>
      <c r="K30830" s="12"/>
      <c r="L30830" s="12"/>
      <c r="M30830" s="11"/>
      <c r="N30830" s="11"/>
      <c r="O30830" s="11"/>
      <c r="P30830" s="11"/>
    </row>
    <row r="30831" spans="8:16" x14ac:dyDescent="0.25">
      <c r="H30831" s="12"/>
      <c r="I30831" s="12"/>
      <c r="J30831" s="12"/>
      <c r="K30831" s="12"/>
      <c r="L30831" s="12"/>
      <c r="M30831" s="11"/>
      <c r="N30831" s="11"/>
      <c r="O30831" s="11"/>
      <c r="P30831" s="11"/>
    </row>
    <row r="30832" spans="8:16" x14ac:dyDescent="0.25">
      <c r="H30832" s="12"/>
      <c r="I30832" s="12"/>
      <c r="J30832" s="12"/>
      <c r="K30832" s="12"/>
      <c r="L30832" s="12"/>
      <c r="M30832" s="11"/>
      <c r="N30832" s="11"/>
      <c r="O30832" s="11"/>
      <c r="P30832" s="11"/>
    </row>
    <row r="30833" spans="8:16" x14ac:dyDescent="0.25">
      <c r="H30833" s="12"/>
      <c r="I30833" s="12"/>
      <c r="J30833" s="12"/>
      <c r="K30833" s="12"/>
      <c r="L30833" s="12"/>
      <c r="M30833" s="11"/>
      <c r="N30833" s="11"/>
      <c r="O30833" s="11"/>
      <c r="P30833" s="11"/>
    </row>
    <row r="30834" spans="8:16" x14ac:dyDescent="0.25">
      <c r="H30834" s="12"/>
      <c r="I30834" s="12"/>
      <c r="J30834" s="12"/>
      <c r="K30834" s="12"/>
      <c r="L30834" s="12"/>
      <c r="M30834" s="11"/>
      <c r="N30834" s="11"/>
      <c r="O30834" s="11"/>
      <c r="P30834" s="11"/>
    </row>
    <row r="30835" spans="8:16" x14ac:dyDescent="0.25">
      <c r="H30835" s="12"/>
      <c r="I30835" s="12"/>
      <c r="J30835" s="12"/>
      <c r="K30835" s="12"/>
      <c r="L30835" s="12"/>
      <c r="M30835" s="11"/>
      <c r="N30835" s="11"/>
      <c r="O30835" s="11"/>
      <c r="P30835" s="11"/>
    </row>
    <row r="30836" spans="8:16" x14ac:dyDescent="0.25">
      <c r="H30836" s="12"/>
      <c r="I30836" s="12"/>
      <c r="J30836" s="12"/>
      <c r="K30836" s="12"/>
      <c r="L30836" s="12"/>
      <c r="M30836" s="11"/>
      <c r="N30836" s="11"/>
      <c r="O30836" s="11"/>
      <c r="P30836" s="11"/>
    </row>
    <row r="30837" spans="8:16" x14ac:dyDescent="0.25">
      <c r="H30837" s="12"/>
      <c r="I30837" s="12"/>
      <c r="J30837" s="12"/>
      <c r="K30837" s="12"/>
      <c r="L30837" s="12"/>
      <c r="M30837" s="11"/>
      <c r="N30837" s="11"/>
      <c r="O30837" s="11"/>
      <c r="P30837" s="11"/>
    </row>
    <row r="30838" spans="8:16" x14ac:dyDescent="0.25">
      <c r="H30838" s="12"/>
      <c r="I30838" s="12"/>
      <c r="J30838" s="12"/>
      <c r="K30838" s="12"/>
      <c r="L30838" s="12"/>
      <c r="M30838" s="11"/>
      <c r="N30838" s="11"/>
      <c r="O30838" s="11"/>
      <c r="P30838" s="11"/>
    </row>
    <row r="30839" spans="8:16" x14ac:dyDescent="0.25">
      <c r="H30839" s="12"/>
      <c r="I30839" s="12"/>
      <c r="J30839" s="12"/>
      <c r="K30839" s="12"/>
      <c r="L30839" s="12"/>
      <c r="M30839" s="11"/>
      <c r="N30839" s="11"/>
      <c r="O30839" s="11"/>
      <c r="P30839" s="11"/>
    </row>
    <row r="30840" spans="8:16" x14ac:dyDescent="0.25">
      <c r="H30840" s="12"/>
      <c r="I30840" s="12"/>
      <c r="J30840" s="12"/>
      <c r="K30840" s="12"/>
      <c r="L30840" s="12"/>
      <c r="M30840" s="11"/>
      <c r="N30840" s="11"/>
      <c r="O30840" s="11"/>
      <c r="P30840" s="11"/>
    </row>
    <row r="30841" spans="8:16" x14ac:dyDescent="0.25">
      <c r="H30841" s="12"/>
      <c r="I30841" s="12"/>
      <c r="J30841" s="12"/>
      <c r="K30841" s="12"/>
      <c r="L30841" s="12"/>
      <c r="M30841" s="11"/>
      <c r="N30841" s="11"/>
      <c r="O30841" s="11"/>
      <c r="P30841" s="11"/>
    </row>
    <row r="30842" spans="8:16" x14ac:dyDescent="0.25">
      <c r="H30842" s="12"/>
      <c r="I30842" s="12"/>
      <c r="J30842" s="12"/>
      <c r="K30842" s="12"/>
      <c r="L30842" s="12"/>
      <c r="M30842" s="11"/>
      <c r="N30842" s="11"/>
      <c r="O30842" s="11"/>
      <c r="P30842" s="11"/>
    </row>
    <row r="30843" spans="8:16" x14ac:dyDescent="0.25">
      <c r="H30843" s="12"/>
      <c r="I30843" s="12"/>
      <c r="J30843" s="12"/>
      <c r="K30843" s="12"/>
      <c r="L30843" s="12"/>
      <c r="M30843" s="11"/>
      <c r="N30843" s="11"/>
      <c r="O30843" s="11"/>
      <c r="P30843" s="11"/>
    </row>
    <row r="30844" spans="8:16" x14ac:dyDescent="0.25">
      <c r="H30844" s="12"/>
      <c r="I30844" s="12"/>
      <c r="J30844" s="12"/>
      <c r="K30844" s="12"/>
      <c r="L30844" s="12"/>
      <c r="M30844" s="11"/>
      <c r="N30844" s="11"/>
      <c r="O30844" s="11"/>
      <c r="P30844" s="11"/>
    </row>
    <row r="30845" spans="8:16" x14ac:dyDescent="0.25">
      <c r="H30845" s="12"/>
      <c r="I30845" s="12"/>
      <c r="J30845" s="12"/>
      <c r="K30845" s="12"/>
      <c r="L30845" s="12"/>
      <c r="M30845" s="11"/>
      <c r="N30845" s="11"/>
      <c r="O30845" s="11"/>
      <c r="P30845" s="11"/>
    </row>
    <row r="30846" spans="8:16" x14ac:dyDescent="0.25">
      <c r="H30846" s="12"/>
      <c r="I30846" s="12"/>
      <c r="J30846" s="12"/>
      <c r="K30846" s="12"/>
      <c r="L30846" s="12"/>
      <c r="M30846" s="11"/>
      <c r="N30846" s="11"/>
      <c r="O30846" s="11"/>
      <c r="P30846" s="11"/>
    </row>
    <row r="30847" spans="8:16" x14ac:dyDescent="0.25">
      <c r="H30847" s="12"/>
      <c r="I30847" s="12"/>
      <c r="J30847" s="12"/>
      <c r="K30847" s="12"/>
      <c r="L30847" s="12"/>
      <c r="M30847" s="11"/>
      <c r="N30847" s="11"/>
      <c r="O30847" s="11"/>
      <c r="P30847" s="11"/>
    </row>
    <row r="30848" spans="8:16" x14ac:dyDescent="0.25">
      <c r="H30848" s="12"/>
      <c r="I30848" s="12"/>
      <c r="J30848" s="12"/>
      <c r="K30848" s="12"/>
      <c r="L30848" s="12"/>
      <c r="M30848" s="11"/>
      <c r="N30848" s="11"/>
      <c r="O30848" s="11"/>
      <c r="P30848" s="11"/>
    </row>
    <row r="30849" spans="8:16" x14ac:dyDescent="0.25">
      <c r="H30849" s="12"/>
      <c r="I30849" s="12"/>
      <c r="J30849" s="12"/>
      <c r="K30849" s="12"/>
      <c r="L30849" s="12"/>
      <c r="M30849" s="11"/>
      <c r="N30849" s="11"/>
      <c r="O30849" s="11"/>
      <c r="P30849" s="11"/>
    </row>
    <row r="30850" spans="8:16" x14ac:dyDescent="0.25">
      <c r="H30850" s="12"/>
      <c r="I30850" s="12"/>
      <c r="J30850" s="12"/>
      <c r="K30850" s="12"/>
      <c r="L30850" s="12"/>
      <c r="M30850" s="11"/>
      <c r="N30850" s="11"/>
      <c r="O30850" s="11"/>
      <c r="P30850" s="11"/>
    </row>
    <row r="30851" spans="8:16" x14ac:dyDescent="0.25">
      <c r="H30851" s="12"/>
      <c r="I30851" s="12"/>
      <c r="J30851" s="12"/>
      <c r="K30851" s="12"/>
      <c r="L30851" s="12"/>
      <c r="M30851" s="11"/>
      <c r="N30851" s="11"/>
      <c r="O30851" s="11"/>
      <c r="P30851" s="11"/>
    </row>
    <row r="30852" spans="8:16" x14ac:dyDescent="0.25">
      <c r="H30852" s="12"/>
      <c r="I30852" s="12"/>
      <c r="J30852" s="12"/>
      <c r="K30852" s="12"/>
      <c r="L30852" s="12"/>
      <c r="M30852" s="11"/>
      <c r="N30852" s="11"/>
      <c r="O30852" s="11"/>
      <c r="P30852" s="11"/>
    </row>
    <row r="30853" spans="8:16" x14ac:dyDescent="0.25">
      <c r="H30853" s="12"/>
      <c r="I30853" s="12"/>
      <c r="J30853" s="12"/>
      <c r="K30853" s="12"/>
      <c r="L30853" s="12"/>
      <c r="M30853" s="11"/>
      <c r="N30853" s="11"/>
      <c r="O30853" s="11"/>
      <c r="P30853" s="11"/>
    </row>
    <row r="30854" spans="8:16" x14ac:dyDescent="0.25">
      <c r="H30854" s="12"/>
      <c r="I30854" s="12"/>
      <c r="J30854" s="12"/>
      <c r="K30854" s="12"/>
      <c r="L30854" s="12"/>
      <c r="M30854" s="11"/>
      <c r="N30854" s="11"/>
      <c r="O30854" s="11"/>
      <c r="P30854" s="11"/>
    </row>
    <row r="30855" spans="8:16" x14ac:dyDescent="0.25">
      <c r="H30855" s="12"/>
      <c r="I30855" s="12"/>
      <c r="J30855" s="12"/>
      <c r="K30855" s="12"/>
      <c r="L30855" s="12"/>
      <c r="M30855" s="11"/>
      <c r="N30855" s="11"/>
      <c r="O30855" s="11"/>
      <c r="P30855" s="11"/>
    </row>
    <row r="30856" spans="8:16" x14ac:dyDescent="0.25">
      <c r="H30856" s="12"/>
      <c r="I30856" s="12"/>
      <c r="J30856" s="12"/>
      <c r="K30856" s="12"/>
      <c r="L30856" s="12"/>
      <c r="M30856" s="11"/>
      <c r="N30856" s="11"/>
      <c r="O30856" s="11"/>
      <c r="P30856" s="11"/>
    </row>
    <row r="30857" spans="8:16" x14ac:dyDescent="0.25">
      <c r="H30857" s="12"/>
      <c r="I30857" s="12"/>
      <c r="J30857" s="12"/>
      <c r="K30857" s="12"/>
      <c r="L30857" s="12"/>
      <c r="M30857" s="11"/>
      <c r="N30857" s="11"/>
      <c r="O30857" s="11"/>
      <c r="P30857" s="11"/>
    </row>
    <row r="30858" spans="8:16" x14ac:dyDescent="0.25">
      <c r="H30858" s="12"/>
      <c r="I30858" s="12"/>
      <c r="J30858" s="12"/>
      <c r="K30858" s="12"/>
      <c r="L30858" s="12"/>
      <c r="M30858" s="11"/>
      <c r="N30858" s="11"/>
      <c r="O30858" s="11"/>
      <c r="P30858" s="11"/>
    </row>
    <row r="30859" spans="8:16" x14ac:dyDescent="0.25">
      <c r="H30859" s="12"/>
      <c r="I30859" s="12"/>
      <c r="J30859" s="12"/>
      <c r="K30859" s="12"/>
      <c r="L30859" s="12"/>
      <c r="M30859" s="11"/>
      <c r="N30859" s="11"/>
      <c r="O30859" s="11"/>
      <c r="P30859" s="11"/>
    </row>
    <row r="30860" spans="8:16" x14ac:dyDescent="0.25">
      <c r="H30860" s="12"/>
      <c r="I30860" s="12"/>
      <c r="J30860" s="12"/>
      <c r="K30860" s="12"/>
      <c r="L30860" s="12"/>
      <c r="M30860" s="11"/>
      <c r="N30860" s="11"/>
      <c r="O30860" s="11"/>
      <c r="P30860" s="11"/>
    </row>
    <row r="30861" spans="8:16" x14ac:dyDescent="0.25">
      <c r="H30861" s="12"/>
      <c r="I30861" s="12"/>
      <c r="J30861" s="12"/>
      <c r="K30861" s="12"/>
      <c r="L30861" s="12"/>
      <c r="M30861" s="11"/>
      <c r="N30861" s="11"/>
      <c r="O30861" s="11"/>
      <c r="P30861" s="11"/>
    </row>
    <row r="30862" spans="8:16" x14ac:dyDescent="0.25">
      <c r="H30862" s="12"/>
      <c r="I30862" s="12"/>
      <c r="J30862" s="12"/>
      <c r="K30862" s="12"/>
      <c r="L30862" s="12"/>
      <c r="M30862" s="11"/>
      <c r="N30862" s="11"/>
      <c r="O30862" s="11"/>
      <c r="P30862" s="11"/>
    </row>
    <row r="30863" spans="8:16" x14ac:dyDescent="0.25">
      <c r="H30863" s="12"/>
      <c r="I30863" s="12"/>
      <c r="J30863" s="12"/>
      <c r="K30863" s="12"/>
      <c r="L30863" s="12"/>
      <c r="M30863" s="11"/>
      <c r="N30863" s="11"/>
      <c r="O30863" s="11"/>
      <c r="P30863" s="11"/>
    </row>
    <row r="30864" spans="8:16" x14ac:dyDescent="0.25">
      <c r="H30864" s="12"/>
      <c r="I30864" s="12"/>
      <c r="J30864" s="12"/>
      <c r="K30864" s="12"/>
      <c r="L30864" s="12"/>
      <c r="M30864" s="11"/>
      <c r="N30864" s="11"/>
      <c r="O30864" s="11"/>
      <c r="P30864" s="11"/>
    </row>
    <row r="30865" spans="8:16" x14ac:dyDescent="0.25">
      <c r="H30865" s="12"/>
      <c r="I30865" s="12"/>
      <c r="J30865" s="12"/>
      <c r="K30865" s="12"/>
      <c r="L30865" s="12"/>
      <c r="M30865" s="11"/>
      <c r="N30865" s="11"/>
      <c r="O30865" s="11"/>
      <c r="P30865" s="11"/>
    </row>
    <row r="30866" spans="8:16" x14ac:dyDescent="0.25">
      <c r="H30866" s="12"/>
      <c r="I30866" s="12"/>
      <c r="J30866" s="12"/>
      <c r="K30866" s="12"/>
      <c r="L30866" s="12"/>
      <c r="M30866" s="11"/>
      <c r="N30866" s="11"/>
      <c r="O30866" s="11"/>
      <c r="P30866" s="11"/>
    </row>
    <row r="30867" spans="8:16" x14ac:dyDescent="0.25">
      <c r="H30867" s="12"/>
      <c r="I30867" s="12"/>
      <c r="J30867" s="12"/>
      <c r="K30867" s="12"/>
      <c r="L30867" s="12"/>
      <c r="M30867" s="11"/>
      <c r="N30867" s="11"/>
      <c r="O30867" s="11"/>
      <c r="P30867" s="11"/>
    </row>
    <row r="30868" spans="8:16" x14ac:dyDescent="0.25">
      <c r="H30868" s="12"/>
      <c r="I30868" s="12"/>
      <c r="J30868" s="12"/>
      <c r="K30868" s="12"/>
      <c r="L30868" s="12"/>
      <c r="M30868" s="11"/>
      <c r="N30868" s="11"/>
      <c r="O30868" s="11"/>
      <c r="P30868" s="11"/>
    </row>
    <row r="30869" spans="8:16" x14ac:dyDescent="0.25">
      <c r="H30869" s="12"/>
      <c r="I30869" s="12"/>
      <c r="J30869" s="12"/>
      <c r="K30869" s="12"/>
      <c r="L30869" s="12"/>
      <c r="M30869" s="11"/>
      <c r="N30869" s="11"/>
      <c r="O30869" s="11"/>
      <c r="P30869" s="11"/>
    </row>
    <row r="30870" spans="8:16" x14ac:dyDescent="0.25">
      <c r="H30870" s="12"/>
      <c r="I30870" s="12"/>
      <c r="J30870" s="12"/>
      <c r="K30870" s="12"/>
      <c r="L30870" s="12"/>
      <c r="M30870" s="11"/>
      <c r="N30870" s="11"/>
      <c r="O30870" s="11"/>
      <c r="P30870" s="11"/>
    </row>
    <row r="30871" spans="8:16" x14ac:dyDescent="0.25">
      <c r="H30871" s="12"/>
      <c r="I30871" s="12"/>
      <c r="J30871" s="12"/>
      <c r="K30871" s="12"/>
      <c r="L30871" s="12"/>
      <c r="M30871" s="11"/>
      <c r="N30871" s="11"/>
      <c r="O30871" s="11"/>
      <c r="P30871" s="11"/>
    </row>
    <row r="30872" spans="8:16" x14ac:dyDescent="0.25">
      <c r="H30872" s="12"/>
      <c r="I30872" s="12"/>
      <c r="J30872" s="12"/>
      <c r="K30872" s="12"/>
      <c r="L30872" s="12"/>
      <c r="M30872" s="11"/>
      <c r="N30872" s="11"/>
      <c r="O30872" s="11"/>
      <c r="P30872" s="11"/>
    </row>
    <row r="30873" spans="8:16" x14ac:dyDescent="0.25">
      <c r="H30873" s="12"/>
      <c r="I30873" s="12"/>
      <c r="J30873" s="12"/>
      <c r="K30873" s="12"/>
      <c r="L30873" s="12"/>
      <c r="M30873" s="11"/>
      <c r="N30873" s="11"/>
      <c r="O30873" s="11"/>
      <c r="P30873" s="11"/>
    </row>
    <row r="30874" spans="8:16" x14ac:dyDescent="0.25">
      <c r="H30874" s="12"/>
      <c r="I30874" s="12"/>
      <c r="J30874" s="12"/>
      <c r="K30874" s="12"/>
      <c r="L30874" s="12"/>
      <c r="M30874" s="11"/>
      <c r="N30874" s="11"/>
      <c r="O30874" s="11"/>
      <c r="P30874" s="11"/>
    </row>
    <row r="30875" spans="8:16" x14ac:dyDescent="0.25">
      <c r="H30875" s="12"/>
      <c r="I30875" s="12"/>
      <c r="J30875" s="12"/>
      <c r="K30875" s="12"/>
      <c r="L30875" s="12"/>
      <c r="M30875" s="11"/>
      <c r="N30875" s="11"/>
      <c r="O30875" s="11"/>
      <c r="P30875" s="11"/>
    </row>
    <row r="30876" spans="8:16" x14ac:dyDescent="0.25">
      <c r="H30876" s="12"/>
      <c r="I30876" s="12"/>
      <c r="J30876" s="12"/>
      <c r="K30876" s="12"/>
      <c r="L30876" s="12"/>
      <c r="M30876" s="11"/>
      <c r="N30876" s="11"/>
      <c r="O30876" s="11"/>
      <c r="P30876" s="11"/>
    </row>
    <row r="30877" spans="8:16" x14ac:dyDescent="0.25">
      <c r="H30877" s="12"/>
      <c r="I30877" s="12"/>
      <c r="J30877" s="12"/>
      <c r="K30877" s="12"/>
      <c r="L30877" s="12"/>
      <c r="M30877" s="11"/>
      <c r="N30877" s="11"/>
      <c r="O30877" s="11"/>
      <c r="P30877" s="11"/>
    </row>
    <row r="30878" spans="8:16" x14ac:dyDescent="0.25">
      <c r="H30878" s="12"/>
      <c r="I30878" s="12"/>
      <c r="J30878" s="12"/>
      <c r="K30878" s="12"/>
      <c r="L30878" s="12"/>
      <c r="M30878" s="11"/>
      <c r="N30878" s="11"/>
      <c r="O30878" s="11"/>
      <c r="P30878" s="11"/>
    </row>
    <row r="30879" spans="8:16" x14ac:dyDescent="0.25">
      <c r="H30879" s="12"/>
      <c r="I30879" s="12"/>
      <c r="J30879" s="12"/>
      <c r="K30879" s="12"/>
      <c r="L30879" s="12"/>
      <c r="M30879" s="11"/>
      <c r="N30879" s="11"/>
      <c r="O30879" s="11"/>
      <c r="P30879" s="11"/>
    </row>
    <row r="30880" spans="8:16" x14ac:dyDescent="0.25">
      <c r="H30880" s="12"/>
      <c r="I30880" s="12"/>
      <c r="J30880" s="12"/>
      <c r="K30880" s="12"/>
      <c r="L30880" s="12"/>
      <c r="M30880" s="11"/>
      <c r="N30880" s="11"/>
      <c r="O30880" s="11"/>
      <c r="P30880" s="11"/>
    </row>
    <row r="30881" spans="8:16" x14ac:dyDescent="0.25">
      <c r="H30881" s="12"/>
      <c r="I30881" s="12"/>
      <c r="J30881" s="12"/>
      <c r="K30881" s="12"/>
      <c r="L30881" s="12"/>
      <c r="M30881" s="11"/>
      <c r="N30881" s="11"/>
      <c r="O30881" s="11"/>
      <c r="P30881" s="11"/>
    </row>
    <row r="30882" spans="8:16" x14ac:dyDescent="0.25">
      <c r="H30882" s="12"/>
      <c r="I30882" s="12"/>
      <c r="J30882" s="12"/>
      <c r="K30882" s="12"/>
      <c r="L30882" s="12"/>
      <c r="M30882" s="11"/>
      <c r="N30882" s="11"/>
      <c r="O30882" s="11"/>
      <c r="P30882" s="11"/>
    </row>
    <row r="30883" spans="8:16" x14ac:dyDescent="0.25">
      <c r="H30883" s="12"/>
      <c r="I30883" s="12"/>
      <c r="J30883" s="12"/>
      <c r="K30883" s="12"/>
      <c r="L30883" s="12"/>
      <c r="M30883" s="11"/>
      <c r="N30883" s="11"/>
      <c r="O30883" s="11"/>
      <c r="P30883" s="11"/>
    </row>
    <row r="30884" spans="8:16" x14ac:dyDescent="0.25">
      <c r="H30884" s="12"/>
      <c r="I30884" s="12"/>
      <c r="J30884" s="12"/>
      <c r="K30884" s="12"/>
      <c r="L30884" s="12"/>
      <c r="M30884" s="11"/>
      <c r="N30884" s="11"/>
      <c r="O30884" s="11"/>
      <c r="P30884" s="11"/>
    </row>
    <row r="30885" spans="8:16" x14ac:dyDescent="0.25">
      <c r="H30885" s="12"/>
      <c r="I30885" s="12"/>
      <c r="J30885" s="12"/>
      <c r="K30885" s="12"/>
      <c r="L30885" s="12"/>
      <c r="M30885" s="11"/>
      <c r="N30885" s="11"/>
      <c r="O30885" s="11"/>
      <c r="P30885" s="11"/>
    </row>
    <row r="30886" spans="8:16" x14ac:dyDescent="0.25">
      <c r="H30886" s="12"/>
      <c r="I30886" s="12"/>
      <c r="J30886" s="12"/>
      <c r="K30886" s="12"/>
      <c r="L30886" s="12"/>
      <c r="M30886" s="11"/>
      <c r="N30886" s="11"/>
      <c r="O30886" s="11"/>
      <c r="P30886" s="11"/>
    </row>
    <row r="30887" spans="8:16" x14ac:dyDescent="0.25">
      <c r="H30887" s="12"/>
      <c r="I30887" s="12"/>
      <c r="J30887" s="12"/>
      <c r="K30887" s="12"/>
      <c r="L30887" s="12"/>
      <c r="M30887" s="11"/>
      <c r="N30887" s="11"/>
      <c r="O30887" s="11"/>
      <c r="P30887" s="11"/>
    </row>
    <row r="30888" spans="8:16" x14ac:dyDescent="0.25">
      <c r="H30888" s="12"/>
      <c r="I30888" s="12"/>
      <c r="J30888" s="12"/>
      <c r="K30888" s="12"/>
      <c r="L30888" s="12"/>
      <c r="M30888" s="11"/>
      <c r="N30888" s="11"/>
      <c r="O30888" s="11"/>
      <c r="P30888" s="11"/>
    </row>
    <row r="30889" spans="8:16" x14ac:dyDescent="0.25">
      <c r="H30889" s="12"/>
      <c r="I30889" s="12"/>
      <c r="J30889" s="12"/>
      <c r="K30889" s="12"/>
      <c r="L30889" s="12"/>
      <c r="M30889" s="11"/>
      <c r="N30889" s="11"/>
      <c r="O30889" s="11"/>
      <c r="P30889" s="11"/>
    </row>
    <row r="30890" spans="8:16" x14ac:dyDescent="0.25">
      <c r="H30890" s="12"/>
      <c r="I30890" s="12"/>
      <c r="J30890" s="12"/>
      <c r="K30890" s="12"/>
      <c r="L30890" s="12"/>
      <c r="M30890" s="11"/>
      <c r="N30890" s="11"/>
      <c r="O30890" s="11"/>
      <c r="P30890" s="11"/>
    </row>
    <row r="30891" spans="8:16" x14ac:dyDescent="0.25">
      <c r="H30891" s="12"/>
      <c r="I30891" s="12"/>
      <c r="J30891" s="12"/>
      <c r="K30891" s="12"/>
      <c r="L30891" s="12"/>
      <c r="M30891" s="11"/>
      <c r="N30891" s="11"/>
      <c r="O30891" s="11"/>
      <c r="P30891" s="11"/>
    </row>
    <row r="30892" spans="8:16" x14ac:dyDescent="0.25">
      <c r="H30892" s="12"/>
      <c r="I30892" s="12"/>
      <c r="J30892" s="12"/>
      <c r="K30892" s="12"/>
      <c r="L30892" s="12"/>
      <c r="M30892" s="11"/>
      <c r="N30892" s="11"/>
      <c r="O30892" s="11"/>
      <c r="P30892" s="11"/>
    </row>
    <row r="30893" spans="8:16" x14ac:dyDescent="0.25">
      <c r="H30893" s="12"/>
      <c r="I30893" s="12"/>
      <c r="J30893" s="12"/>
      <c r="K30893" s="12"/>
      <c r="L30893" s="12"/>
      <c r="M30893" s="11"/>
      <c r="N30893" s="11"/>
      <c r="O30893" s="11"/>
      <c r="P30893" s="11"/>
    </row>
    <row r="30894" spans="8:16" x14ac:dyDescent="0.25">
      <c r="H30894" s="12"/>
      <c r="I30894" s="12"/>
      <c r="J30894" s="12"/>
      <c r="K30894" s="12"/>
      <c r="L30894" s="12"/>
      <c r="M30894" s="11"/>
      <c r="N30894" s="11"/>
      <c r="O30894" s="11"/>
      <c r="P30894" s="11"/>
    </row>
    <row r="30895" spans="8:16" x14ac:dyDescent="0.25">
      <c r="H30895" s="12"/>
      <c r="I30895" s="12"/>
      <c r="J30895" s="12"/>
      <c r="K30895" s="12"/>
      <c r="L30895" s="12"/>
      <c r="M30895" s="11"/>
      <c r="N30895" s="11"/>
      <c r="O30895" s="11"/>
      <c r="P30895" s="11"/>
    </row>
    <row r="30896" spans="8:16" x14ac:dyDescent="0.25">
      <c r="H30896" s="12"/>
      <c r="I30896" s="12"/>
      <c r="J30896" s="12"/>
      <c r="K30896" s="12"/>
      <c r="L30896" s="12"/>
      <c r="M30896" s="11"/>
      <c r="N30896" s="11"/>
      <c r="O30896" s="11"/>
      <c r="P30896" s="11"/>
    </row>
    <row r="30897" spans="8:16" x14ac:dyDescent="0.25">
      <c r="H30897" s="12"/>
      <c r="I30897" s="12"/>
      <c r="J30897" s="12"/>
      <c r="K30897" s="12"/>
      <c r="L30897" s="12"/>
      <c r="M30897" s="11"/>
      <c r="N30897" s="11"/>
      <c r="O30897" s="11"/>
      <c r="P30897" s="11"/>
    </row>
    <row r="30898" spans="8:16" x14ac:dyDescent="0.25">
      <c r="H30898" s="12"/>
      <c r="I30898" s="12"/>
      <c r="J30898" s="12"/>
      <c r="K30898" s="12"/>
      <c r="L30898" s="12"/>
      <c r="M30898" s="11"/>
      <c r="N30898" s="11"/>
      <c r="O30898" s="11"/>
      <c r="P30898" s="11"/>
    </row>
    <row r="30899" spans="8:16" x14ac:dyDescent="0.25">
      <c r="H30899" s="12"/>
      <c r="I30899" s="12"/>
      <c r="J30899" s="12"/>
      <c r="K30899" s="12"/>
      <c r="L30899" s="12"/>
      <c r="M30899" s="11"/>
      <c r="N30899" s="11"/>
      <c r="O30899" s="11"/>
      <c r="P30899" s="11"/>
    </row>
    <row r="30900" spans="8:16" x14ac:dyDescent="0.25">
      <c r="H30900" s="12"/>
      <c r="I30900" s="12"/>
      <c r="J30900" s="12"/>
      <c r="K30900" s="12"/>
      <c r="L30900" s="12"/>
      <c r="M30900" s="11"/>
      <c r="N30900" s="11"/>
      <c r="O30900" s="11"/>
      <c r="P30900" s="11"/>
    </row>
    <row r="30901" spans="8:16" x14ac:dyDescent="0.25">
      <c r="H30901" s="12"/>
      <c r="I30901" s="12"/>
      <c r="J30901" s="12"/>
      <c r="K30901" s="12"/>
      <c r="L30901" s="12"/>
      <c r="M30901" s="11"/>
      <c r="N30901" s="11"/>
      <c r="O30901" s="11"/>
      <c r="P30901" s="11"/>
    </row>
    <row r="30902" spans="8:16" x14ac:dyDescent="0.25">
      <c r="H30902" s="12"/>
      <c r="I30902" s="12"/>
      <c r="J30902" s="12"/>
      <c r="K30902" s="12"/>
      <c r="L30902" s="12"/>
      <c r="M30902" s="11"/>
      <c r="N30902" s="11"/>
      <c r="O30902" s="11"/>
      <c r="P30902" s="11"/>
    </row>
    <row r="30903" spans="8:16" x14ac:dyDescent="0.25">
      <c r="H30903" s="12"/>
      <c r="I30903" s="12"/>
      <c r="J30903" s="12"/>
      <c r="K30903" s="12"/>
      <c r="L30903" s="12"/>
      <c r="M30903" s="11"/>
      <c r="N30903" s="11"/>
      <c r="O30903" s="11"/>
      <c r="P30903" s="11"/>
    </row>
    <row r="30904" spans="8:16" x14ac:dyDescent="0.25">
      <c r="H30904" s="12"/>
      <c r="I30904" s="12"/>
      <c r="J30904" s="12"/>
      <c r="K30904" s="12"/>
      <c r="L30904" s="12"/>
      <c r="M30904" s="11"/>
      <c r="N30904" s="11"/>
      <c r="O30904" s="11"/>
      <c r="P30904" s="11"/>
    </row>
    <row r="30905" spans="8:16" x14ac:dyDescent="0.25">
      <c r="H30905" s="12"/>
      <c r="I30905" s="12"/>
      <c r="J30905" s="12"/>
      <c r="K30905" s="12"/>
      <c r="L30905" s="12"/>
      <c r="M30905" s="11"/>
      <c r="N30905" s="11"/>
      <c r="O30905" s="11"/>
      <c r="P30905" s="11"/>
    </row>
    <row r="30906" spans="8:16" x14ac:dyDescent="0.25">
      <c r="H30906" s="12"/>
      <c r="I30906" s="12"/>
      <c r="J30906" s="12"/>
      <c r="K30906" s="12"/>
      <c r="L30906" s="12"/>
      <c r="M30906" s="11"/>
      <c r="N30906" s="11"/>
      <c r="O30906" s="11"/>
      <c r="P30906" s="11"/>
    </row>
    <row r="30907" spans="8:16" x14ac:dyDescent="0.25">
      <c r="H30907" s="12"/>
      <c r="I30907" s="12"/>
      <c r="J30907" s="12"/>
      <c r="K30907" s="12"/>
      <c r="L30907" s="12"/>
      <c r="M30907" s="11"/>
      <c r="N30907" s="11"/>
      <c r="O30907" s="11"/>
      <c r="P30907" s="11"/>
    </row>
    <row r="30908" spans="8:16" x14ac:dyDescent="0.25">
      <c r="H30908" s="12"/>
      <c r="I30908" s="12"/>
      <c r="J30908" s="12"/>
      <c r="K30908" s="12"/>
      <c r="L30908" s="12"/>
      <c r="M30908" s="11"/>
      <c r="N30908" s="11"/>
      <c r="O30908" s="11"/>
      <c r="P30908" s="11"/>
    </row>
    <row r="30909" spans="8:16" x14ac:dyDescent="0.25">
      <c r="H30909" s="12"/>
      <c r="I30909" s="12"/>
      <c r="J30909" s="12"/>
      <c r="K30909" s="12"/>
      <c r="L30909" s="12"/>
      <c r="M30909" s="11"/>
      <c r="N30909" s="11"/>
      <c r="O30909" s="11"/>
      <c r="P30909" s="11"/>
    </row>
    <row r="30910" spans="8:16" x14ac:dyDescent="0.25">
      <c r="H30910" s="12"/>
      <c r="I30910" s="12"/>
      <c r="J30910" s="12"/>
      <c r="K30910" s="12"/>
      <c r="L30910" s="12"/>
      <c r="M30910" s="11"/>
      <c r="N30910" s="11"/>
      <c r="O30910" s="11"/>
      <c r="P30910" s="11"/>
    </row>
    <row r="30911" spans="8:16" x14ac:dyDescent="0.25">
      <c r="H30911" s="12"/>
      <c r="I30911" s="12"/>
      <c r="J30911" s="12"/>
      <c r="K30911" s="12"/>
      <c r="L30911" s="12"/>
      <c r="M30911" s="11"/>
      <c r="N30911" s="11"/>
      <c r="O30911" s="11"/>
      <c r="P30911" s="11"/>
    </row>
    <row r="30912" spans="8:16" x14ac:dyDescent="0.25">
      <c r="H30912" s="12"/>
      <c r="I30912" s="12"/>
      <c r="J30912" s="12"/>
      <c r="K30912" s="12"/>
      <c r="L30912" s="12"/>
      <c r="M30912" s="11"/>
      <c r="N30912" s="11"/>
      <c r="O30912" s="11"/>
      <c r="P30912" s="11"/>
    </row>
    <row r="30913" spans="8:16" x14ac:dyDescent="0.25">
      <c r="H30913" s="12"/>
      <c r="I30913" s="12"/>
      <c r="J30913" s="12"/>
      <c r="K30913" s="12"/>
      <c r="L30913" s="12"/>
      <c r="M30913" s="11"/>
      <c r="N30913" s="11"/>
      <c r="O30913" s="11"/>
      <c r="P30913" s="11"/>
    </row>
    <row r="30914" spans="8:16" x14ac:dyDescent="0.25">
      <c r="H30914" s="12"/>
      <c r="I30914" s="12"/>
      <c r="J30914" s="12"/>
      <c r="K30914" s="12"/>
      <c r="L30914" s="12"/>
      <c r="M30914" s="11"/>
      <c r="N30914" s="11"/>
      <c r="O30914" s="11"/>
      <c r="P30914" s="11"/>
    </row>
    <row r="30915" spans="8:16" x14ac:dyDescent="0.25">
      <c r="H30915" s="12"/>
      <c r="I30915" s="12"/>
      <c r="J30915" s="12"/>
      <c r="K30915" s="12"/>
      <c r="L30915" s="12"/>
      <c r="M30915" s="11"/>
      <c r="N30915" s="11"/>
      <c r="O30915" s="11"/>
      <c r="P30915" s="11"/>
    </row>
    <row r="30916" spans="8:16" x14ac:dyDescent="0.25">
      <c r="H30916" s="12"/>
      <c r="I30916" s="12"/>
      <c r="J30916" s="12"/>
      <c r="K30916" s="12"/>
      <c r="L30916" s="12"/>
      <c r="M30916" s="11"/>
      <c r="N30916" s="11"/>
      <c r="O30916" s="11"/>
      <c r="P30916" s="11"/>
    </row>
    <row r="30917" spans="8:16" x14ac:dyDescent="0.25">
      <c r="H30917" s="12"/>
      <c r="I30917" s="12"/>
      <c r="J30917" s="12"/>
      <c r="K30917" s="12"/>
      <c r="L30917" s="12"/>
      <c r="M30917" s="11"/>
      <c r="N30917" s="11"/>
      <c r="O30917" s="11"/>
      <c r="P30917" s="11"/>
    </row>
    <row r="30918" spans="8:16" x14ac:dyDescent="0.25">
      <c r="H30918" s="12"/>
      <c r="I30918" s="12"/>
      <c r="J30918" s="12"/>
      <c r="K30918" s="12"/>
      <c r="L30918" s="12"/>
      <c r="M30918" s="11"/>
      <c r="N30918" s="11"/>
      <c r="O30918" s="11"/>
      <c r="P30918" s="11"/>
    </row>
    <row r="30919" spans="8:16" x14ac:dyDescent="0.25">
      <c r="H30919" s="12"/>
      <c r="I30919" s="12"/>
      <c r="J30919" s="12"/>
      <c r="K30919" s="12"/>
      <c r="L30919" s="12"/>
      <c r="M30919" s="11"/>
      <c r="N30919" s="11"/>
      <c r="O30919" s="11"/>
      <c r="P30919" s="11"/>
    </row>
    <row r="30920" spans="8:16" x14ac:dyDescent="0.25">
      <c r="H30920" s="12"/>
      <c r="I30920" s="12"/>
      <c r="J30920" s="12"/>
      <c r="K30920" s="12"/>
      <c r="L30920" s="12"/>
      <c r="M30920" s="11"/>
      <c r="N30920" s="11"/>
      <c r="O30920" s="11"/>
      <c r="P30920" s="11"/>
    </row>
    <row r="30921" spans="8:16" x14ac:dyDescent="0.25">
      <c r="H30921" s="12"/>
      <c r="I30921" s="12"/>
      <c r="J30921" s="12"/>
      <c r="K30921" s="12"/>
      <c r="L30921" s="12"/>
      <c r="M30921" s="11"/>
      <c r="N30921" s="11"/>
      <c r="O30921" s="11"/>
      <c r="P30921" s="11"/>
    </row>
    <row r="30922" spans="8:16" x14ac:dyDescent="0.25">
      <c r="H30922" s="12"/>
      <c r="I30922" s="12"/>
      <c r="J30922" s="12"/>
      <c r="K30922" s="12"/>
      <c r="L30922" s="12"/>
      <c r="M30922" s="11"/>
      <c r="N30922" s="11"/>
      <c r="O30922" s="11"/>
      <c r="P30922" s="11"/>
    </row>
    <row r="30923" spans="8:16" x14ac:dyDescent="0.25">
      <c r="H30923" s="12"/>
      <c r="I30923" s="12"/>
      <c r="J30923" s="12"/>
      <c r="K30923" s="12"/>
      <c r="L30923" s="12"/>
      <c r="M30923" s="11"/>
      <c r="N30923" s="11"/>
      <c r="O30923" s="11"/>
      <c r="P30923" s="11"/>
    </row>
    <row r="30924" spans="8:16" x14ac:dyDescent="0.25">
      <c r="H30924" s="12"/>
      <c r="I30924" s="12"/>
      <c r="J30924" s="12"/>
      <c r="K30924" s="12"/>
      <c r="L30924" s="12"/>
      <c r="M30924" s="11"/>
      <c r="N30924" s="11"/>
      <c r="O30924" s="11"/>
      <c r="P30924" s="11"/>
    </row>
    <row r="30925" spans="8:16" x14ac:dyDescent="0.25">
      <c r="H30925" s="12"/>
      <c r="I30925" s="12"/>
      <c r="J30925" s="12"/>
      <c r="K30925" s="12"/>
      <c r="L30925" s="12"/>
      <c r="M30925" s="11"/>
      <c r="N30925" s="11"/>
      <c r="O30925" s="11"/>
      <c r="P30925" s="11"/>
    </row>
    <row r="30926" spans="8:16" x14ac:dyDescent="0.25">
      <c r="H30926" s="12"/>
      <c r="I30926" s="12"/>
      <c r="J30926" s="12"/>
      <c r="K30926" s="12"/>
      <c r="L30926" s="12"/>
      <c r="M30926" s="11"/>
      <c r="N30926" s="11"/>
      <c r="O30926" s="11"/>
      <c r="P30926" s="11"/>
    </row>
    <row r="30927" spans="8:16" x14ac:dyDescent="0.25">
      <c r="H30927" s="12"/>
      <c r="I30927" s="12"/>
      <c r="J30927" s="12"/>
      <c r="K30927" s="12"/>
      <c r="L30927" s="12"/>
      <c r="M30927" s="11"/>
      <c r="N30927" s="11"/>
      <c r="O30927" s="11"/>
      <c r="P30927" s="11"/>
    </row>
    <row r="30928" spans="8:16" x14ac:dyDescent="0.25">
      <c r="H30928" s="12"/>
      <c r="I30928" s="12"/>
      <c r="J30928" s="12"/>
      <c r="K30928" s="12"/>
      <c r="L30928" s="12"/>
      <c r="M30928" s="11"/>
      <c r="N30928" s="11"/>
      <c r="O30928" s="11"/>
      <c r="P30928" s="11"/>
    </row>
    <row r="30929" spans="8:16" x14ac:dyDescent="0.25">
      <c r="H30929" s="12"/>
      <c r="I30929" s="12"/>
      <c r="J30929" s="12"/>
      <c r="K30929" s="12"/>
      <c r="L30929" s="12"/>
      <c r="M30929" s="11"/>
      <c r="N30929" s="11"/>
      <c r="O30929" s="11"/>
      <c r="P30929" s="11"/>
    </row>
    <row r="30930" spans="8:16" x14ac:dyDescent="0.25">
      <c r="H30930" s="12"/>
      <c r="I30930" s="12"/>
      <c r="J30930" s="12"/>
      <c r="K30930" s="12"/>
      <c r="L30930" s="12"/>
      <c r="M30930" s="11"/>
      <c r="N30930" s="11"/>
      <c r="O30930" s="11"/>
      <c r="P30930" s="11"/>
    </row>
    <row r="30931" spans="8:16" x14ac:dyDescent="0.25">
      <c r="H30931" s="12"/>
      <c r="I30931" s="12"/>
      <c r="J30931" s="12"/>
      <c r="K30931" s="12"/>
      <c r="L30931" s="12"/>
      <c r="M30931" s="11"/>
      <c r="N30931" s="11"/>
      <c r="O30931" s="11"/>
      <c r="P30931" s="11"/>
    </row>
    <row r="30932" spans="8:16" x14ac:dyDescent="0.25">
      <c r="H30932" s="12"/>
      <c r="I30932" s="12"/>
      <c r="J30932" s="12"/>
      <c r="K30932" s="12"/>
      <c r="L30932" s="12"/>
      <c r="M30932" s="11"/>
      <c r="N30932" s="11"/>
      <c r="O30932" s="11"/>
      <c r="P30932" s="11"/>
    </row>
    <row r="30933" spans="8:16" x14ac:dyDescent="0.25">
      <c r="H30933" s="12"/>
      <c r="I30933" s="12"/>
      <c r="J30933" s="12"/>
      <c r="K30933" s="12"/>
      <c r="L30933" s="12"/>
      <c r="M30933" s="11"/>
      <c r="N30933" s="11"/>
      <c r="O30933" s="11"/>
      <c r="P30933" s="11"/>
    </row>
    <row r="30934" spans="8:16" x14ac:dyDescent="0.25">
      <c r="H30934" s="12"/>
      <c r="I30934" s="12"/>
      <c r="J30934" s="12"/>
      <c r="K30934" s="12"/>
      <c r="L30934" s="12"/>
      <c r="M30934" s="11"/>
      <c r="N30934" s="11"/>
      <c r="O30934" s="11"/>
      <c r="P30934" s="11"/>
    </row>
    <row r="30935" spans="8:16" x14ac:dyDescent="0.25">
      <c r="H30935" s="12"/>
      <c r="I30935" s="12"/>
      <c r="J30935" s="12"/>
      <c r="K30935" s="12"/>
      <c r="L30935" s="12"/>
      <c r="M30935" s="11"/>
      <c r="N30935" s="11"/>
      <c r="O30935" s="11"/>
      <c r="P30935" s="11"/>
    </row>
    <row r="30936" spans="8:16" x14ac:dyDescent="0.25">
      <c r="H30936" s="12"/>
      <c r="I30936" s="12"/>
      <c r="J30936" s="12"/>
      <c r="K30936" s="12"/>
      <c r="L30936" s="12"/>
      <c r="M30936" s="11"/>
      <c r="N30936" s="11"/>
      <c r="O30936" s="11"/>
      <c r="P30936" s="11"/>
    </row>
    <row r="30937" spans="8:16" x14ac:dyDescent="0.25">
      <c r="H30937" s="12"/>
      <c r="I30937" s="12"/>
      <c r="J30937" s="12"/>
      <c r="K30937" s="12"/>
      <c r="L30937" s="12"/>
      <c r="M30937" s="11"/>
      <c r="N30937" s="11"/>
      <c r="O30937" s="11"/>
      <c r="P30937" s="11"/>
    </row>
    <row r="30938" spans="8:16" x14ac:dyDescent="0.25">
      <c r="H30938" s="12"/>
      <c r="I30938" s="12"/>
      <c r="J30938" s="12"/>
      <c r="K30938" s="12"/>
      <c r="L30938" s="12"/>
      <c r="M30938" s="11"/>
      <c r="N30938" s="11"/>
      <c r="O30938" s="11"/>
      <c r="P30938" s="11"/>
    </row>
    <row r="30939" spans="8:16" x14ac:dyDescent="0.25">
      <c r="H30939" s="12"/>
      <c r="I30939" s="12"/>
      <c r="J30939" s="12"/>
      <c r="K30939" s="12"/>
      <c r="L30939" s="12"/>
      <c r="M30939" s="11"/>
      <c r="N30939" s="11"/>
      <c r="O30939" s="11"/>
      <c r="P30939" s="11"/>
    </row>
    <row r="30940" spans="8:16" x14ac:dyDescent="0.25">
      <c r="H30940" s="12"/>
      <c r="I30940" s="12"/>
      <c r="J30940" s="12"/>
      <c r="K30940" s="12"/>
      <c r="L30940" s="12"/>
      <c r="M30940" s="11"/>
      <c r="N30940" s="11"/>
      <c r="O30940" s="11"/>
      <c r="P30940" s="11"/>
    </row>
    <row r="30941" spans="8:16" x14ac:dyDescent="0.25">
      <c r="H30941" s="12"/>
      <c r="I30941" s="12"/>
      <c r="J30941" s="12"/>
      <c r="K30941" s="12"/>
      <c r="L30941" s="12"/>
      <c r="M30941" s="11"/>
      <c r="N30941" s="11"/>
      <c r="O30941" s="11"/>
      <c r="P30941" s="11"/>
    </row>
    <row r="30942" spans="8:16" x14ac:dyDescent="0.25">
      <c r="H30942" s="12"/>
      <c r="I30942" s="12"/>
      <c r="J30942" s="12"/>
      <c r="K30942" s="12"/>
      <c r="L30942" s="12"/>
      <c r="M30942" s="11"/>
      <c r="N30942" s="11"/>
      <c r="O30942" s="11"/>
      <c r="P30942" s="11"/>
    </row>
    <row r="30943" spans="8:16" x14ac:dyDescent="0.25">
      <c r="H30943" s="12"/>
      <c r="I30943" s="12"/>
      <c r="J30943" s="12"/>
      <c r="K30943" s="12"/>
      <c r="L30943" s="12"/>
      <c r="M30943" s="11"/>
      <c r="N30943" s="11"/>
      <c r="O30943" s="11"/>
      <c r="P30943" s="11"/>
    </row>
    <row r="30944" spans="8:16" x14ac:dyDescent="0.25">
      <c r="H30944" s="12"/>
      <c r="I30944" s="12"/>
      <c r="J30944" s="12"/>
      <c r="K30944" s="12"/>
      <c r="L30944" s="12"/>
      <c r="M30944" s="11"/>
      <c r="N30944" s="11"/>
      <c r="O30944" s="11"/>
      <c r="P30944" s="11"/>
    </row>
    <row r="30945" spans="8:16" x14ac:dyDescent="0.25">
      <c r="H30945" s="12"/>
      <c r="I30945" s="12"/>
      <c r="J30945" s="12"/>
      <c r="K30945" s="12"/>
      <c r="L30945" s="12"/>
      <c r="M30945" s="11"/>
      <c r="N30945" s="11"/>
      <c r="O30945" s="11"/>
      <c r="P30945" s="11"/>
    </row>
    <row r="30946" spans="8:16" x14ac:dyDescent="0.25">
      <c r="H30946" s="12"/>
      <c r="I30946" s="12"/>
      <c r="J30946" s="12"/>
      <c r="K30946" s="12"/>
      <c r="L30946" s="12"/>
      <c r="M30946" s="11"/>
      <c r="N30946" s="11"/>
      <c r="O30946" s="11"/>
      <c r="P30946" s="11"/>
    </row>
    <row r="30947" spans="8:16" x14ac:dyDescent="0.25">
      <c r="H30947" s="12"/>
      <c r="I30947" s="12"/>
      <c r="J30947" s="12"/>
      <c r="K30947" s="12"/>
      <c r="L30947" s="12"/>
      <c r="M30947" s="11"/>
      <c r="N30947" s="11"/>
      <c r="O30947" s="11"/>
      <c r="P30947" s="11"/>
    </row>
    <row r="30948" spans="8:16" x14ac:dyDescent="0.25">
      <c r="H30948" s="12"/>
      <c r="I30948" s="12"/>
      <c r="J30948" s="12"/>
      <c r="K30948" s="12"/>
      <c r="L30948" s="12"/>
      <c r="M30948" s="11"/>
      <c r="N30948" s="11"/>
      <c r="O30948" s="11"/>
      <c r="P30948" s="11"/>
    </row>
    <row r="30949" spans="8:16" x14ac:dyDescent="0.25">
      <c r="H30949" s="12"/>
      <c r="I30949" s="12"/>
      <c r="J30949" s="12"/>
      <c r="K30949" s="12"/>
      <c r="L30949" s="12"/>
      <c r="M30949" s="11"/>
      <c r="N30949" s="11"/>
      <c r="O30949" s="11"/>
      <c r="P30949" s="11"/>
    </row>
    <row r="30950" spans="8:16" x14ac:dyDescent="0.25">
      <c r="H30950" s="12"/>
      <c r="I30950" s="12"/>
      <c r="J30950" s="12"/>
      <c r="K30950" s="12"/>
      <c r="L30950" s="12"/>
      <c r="M30950" s="11"/>
      <c r="N30950" s="11"/>
      <c r="O30950" s="11"/>
      <c r="P30950" s="11"/>
    </row>
    <row r="30951" spans="8:16" x14ac:dyDescent="0.25">
      <c r="H30951" s="12"/>
      <c r="I30951" s="12"/>
      <c r="J30951" s="12"/>
      <c r="K30951" s="12"/>
      <c r="L30951" s="12"/>
      <c r="M30951" s="11"/>
      <c r="N30951" s="11"/>
      <c r="O30951" s="11"/>
      <c r="P30951" s="11"/>
    </row>
    <row r="30952" spans="8:16" x14ac:dyDescent="0.25">
      <c r="H30952" s="12"/>
      <c r="I30952" s="12"/>
      <c r="J30952" s="12"/>
      <c r="K30952" s="12"/>
      <c r="L30952" s="12"/>
      <c r="M30952" s="11"/>
      <c r="N30952" s="11"/>
      <c r="O30952" s="11"/>
      <c r="P30952" s="11"/>
    </row>
    <row r="30953" spans="8:16" x14ac:dyDescent="0.25">
      <c r="H30953" s="12"/>
      <c r="I30953" s="12"/>
      <c r="J30953" s="12"/>
      <c r="K30953" s="12"/>
      <c r="L30953" s="12"/>
      <c r="M30953" s="11"/>
      <c r="N30953" s="11"/>
      <c r="O30953" s="11"/>
      <c r="P30953" s="11"/>
    </row>
    <row r="30954" spans="8:16" x14ac:dyDescent="0.25">
      <c r="H30954" s="12"/>
      <c r="I30954" s="12"/>
      <c r="J30954" s="12"/>
      <c r="K30954" s="12"/>
      <c r="L30954" s="12"/>
      <c r="M30954" s="11"/>
      <c r="N30954" s="11"/>
      <c r="O30954" s="11"/>
      <c r="P30954" s="11"/>
    </row>
    <row r="30955" spans="8:16" x14ac:dyDescent="0.25">
      <c r="H30955" s="12"/>
      <c r="I30955" s="12"/>
      <c r="J30955" s="12"/>
      <c r="K30955" s="12"/>
      <c r="L30955" s="12"/>
      <c r="M30955" s="11"/>
      <c r="N30955" s="11"/>
      <c r="O30955" s="11"/>
      <c r="P30955" s="11"/>
    </row>
    <row r="30956" spans="8:16" x14ac:dyDescent="0.25">
      <c r="H30956" s="12"/>
      <c r="I30956" s="12"/>
      <c r="J30956" s="12"/>
      <c r="K30956" s="12"/>
      <c r="L30956" s="12"/>
      <c r="M30956" s="11"/>
      <c r="N30956" s="11"/>
      <c r="O30956" s="11"/>
      <c r="P30956" s="11"/>
    </row>
    <row r="30957" spans="8:16" x14ac:dyDescent="0.25">
      <c r="H30957" s="12"/>
      <c r="I30957" s="12"/>
      <c r="J30957" s="12"/>
      <c r="K30957" s="12"/>
      <c r="L30957" s="12"/>
      <c r="M30957" s="11"/>
      <c r="N30957" s="11"/>
      <c r="O30957" s="11"/>
      <c r="P30957" s="11"/>
    </row>
    <row r="30958" spans="8:16" x14ac:dyDescent="0.25">
      <c r="H30958" s="12"/>
      <c r="I30958" s="12"/>
      <c r="J30958" s="12"/>
      <c r="K30958" s="12"/>
      <c r="L30958" s="12"/>
      <c r="M30958" s="11"/>
      <c r="N30958" s="11"/>
      <c r="O30958" s="11"/>
      <c r="P30958" s="11"/>
    </row>
    <row r="30959" spans="8:16" x14ac:dyDescent="0.25">
      <c r="H30959" s="12"/>
      <c r="I30959" s="12"/>
      <c r="J30959" s="12"/>
      <c r="K30959" s="12"/>
      <c r="L30959" s="12"/>
      <c r="M30959" s="11"/>
      <c r="N30959" s="11"/>
      <c r="O30959" s="11"/>
      <c r="P30959" s="11"/>
    </row>
    <row r="30960" spans="8:16" x14ac:dyDescent="0.25">
      <c r="H30960" s="12"/>
      <c r="I30960" s="12"/>
      <c r="J30960" s="12"/>
      <c r="K30960" s="12"/>
      <c r="L30960" s="12"/>
      <c r="M30960" s="11"/>
      <c r="N30960" s="11"/>
      <c r="O30960" s="11"/>
      <c r="P30960" s="11"/>
    </row>
    <row r="30961" spans="8:16" x14ac:dyDescent="0.25">
      <c r="H30961" s="12"/>
      <c r="I30961" s="12"/>
      <c r="J30961" s="12"/>
      <c r="K30961" s="12"/>
      <c r="L30961" s="12"/>
      <c r="M30961" s="11"/>
      <c r="N30961" s="11"/>
      <c r="O30961" s="11"/>
      <c r="P30961" s="11"/>
    </row>
    <row r="30962" spans="8:16" x14ac:dyDescent="0.25">
      <c r="H30962" s="12"/>
      <c r="I30962" s="12"/>
      <c r="J30962" s="12"/>
      <c r="K30962" s="12"/>
      <c r="L30962" s="12"/>
      <c r="M30962" s="11"/>
      <c r="N30962" s="11"/>
      <c r="O30962" s="11"/>
      <c r="P30962" s="11"/>
    </row>
    <row r="30963" spans="8:16" x14ac:dyDescent="0.25">
      <c r="H30963" s="12"/>
      <c r="I30963" s="12"/>
      <c r="J30963" s="12"/>
      <c r="K30963" s="12"/>
      <c r="L30963" s="12"/>
      <c r="M30963" s="11"/>
      <c r="N30963" s="11"/>
      <c r="O30963" s="11"/>
      <c r="P30963" s="11"/>
    </row>
    <row r="30964" spans="8:16" x14ac:dyDescent="0.25">
      <c r="H30964" s="12"/>
      <c r="I30964" s="12"/>
      <c r="J30964" s="12"/>
      <c r="K30964" s="12"/>
      <c r="L30964" s="12"/>
      <c r="M30964" s="11"/>
      <c r="N30964" s="11"/>
      <c r="O30964" s="11"/>
      <c r="P30964" s="11"/>
    </row>
    <row r="30965" spans="8:16" x14ac:dyDescent="0.25">
      <c r="H30965" s="12"/>
      <c r="I30965" s="12"/>
      <c r="J30965" s="12"/>
      <c r="K30965" s="12"/>
      <c r="L30965" s="12"/>
      <c r="M30965" s="11"/>
      <c r="N30965" s="11"/>
      <c r="O30965" s="11"/>
      <c r="P30965" s="11"/>
    </row>
    <row r="30966" spans="8:16" x14ac:dyDescent="0.25">
      <c r="H30966" s="12"/>
      <c r="I30966" s="12"/>
      <c r="J30966" s="12"/>
      <c r="K30966" s="12"/>
      <c r="L30966" s="12"/>
      <c r="M30966" s="11"/>
      <c r="N30966" s="11"/>
      <c r="O30966" s="11"/>
      <c r="P30966" s="11"/>
    </row>
    <row r="30967" spans="8:16" x14ac:dyDescent="0.25">
      <c r="H30967" s="12"/>
      <c r="I30967" s="12"/>
      <c r="J30967" s="12"/>
      <c r="K30967" s="12"/>
      <c r="L30967" s="12"/>
      <c r="M30967" s="11"/>
      <c r="N30967" s="11"/>
      <c r="O30967" s="11"/>
      <c r="P30967" s="11"/>
    </row>
    <row r="30968" spans="8:16" x14ac:dyDescent="0.25">
      <c r="H30968" s="12"/>
      <c r="I30968" s="12"/>
      <c r="J30968" s="12"/>
      <c r="K30968" s="12"/>
      <c r="L30968" s="12"/>
      <c r="M30968" s="11"/>
      <c r="N30968" s="11"/>
      <c r="O30968" s="11"/>
      <c r="P30968" s="11"/>
    </row>
    <row r="30969" spans="8:16" x14ac:dyDescent="0.25">
      <c r="H30969" s="12"/>
      <c r="I30969" s="12"/>
      <c r="J30969" s="12"/>
      <c r="K30969" s="12"/>
      <c r="L30969" s="12"/>
      <c r="M30969" s="11"/>
      <c r="N30969" s="11"/>
      <c r="O30969" s="11"/>
      <c r="P30969" s="11"/>
    </row>
    <row r="30970" spans="8:16" x14ac:dyDescent="0.25">
      <c r="H30970" s="12"/>
      <c r="I30970" s="12"/>
      <c r="J30970" s="12"/>
      <c r="K30970" s="12"/>
      <c r="L30970" s="12"/>
      <c r="M30970" s="11"/>
      <c r="N30970" s="11"/>
      <c r="O30970" s="11"/>
      <c r="P30970" s="11"/>
    </row>
    <row r="30971" spans="8:16" x14ac:dyDescent="0.25">
      <c r="H30971" s="12"/>
      <c r="I30971" s="12"/>
      <c r="J30971" s="12"/>
      <c r="K30971" s="12"/>
      <c r="L30971" s="12"/>
      <c r="M30971" s="11"/>
      <c r="N30971" s="11"/>
      <c r="O30971" s="11"/>
      <c r="P30971" s="11"/>
    </row>
    <row r="30972" spans="8:16" x14ac:dyDescent="0.25">
      <c r="H30972" s="12"/>
      <c r="I30972" s="12"/>
      <c r="J30972" s="12"/>
      <c r="K30972" s="12"/>
      <c r="L30972" s="12"/>
      <c r="M30972" s="11"/>
      <c r="N30972" s="11"/>
      <c r="O30972" s="11"/>
      <c r="P30972" s="11"/>
    </row>
    <row r="30973" spans="8:16" x14ac:dyDescent="0.25">
      <c r="H30973" s="12"/>
      <c r="I30973" s="12"/>
      <c r="J30973" s="12"/>
      <c r="K30973" s="12"/>
      <c r="L30973" s="12"/>
      <c r="M30973" s="11"/>
      <c r="N30973" s="11"/>
      <c r="O30973" s="11"/>
      <c r="P30973" s="11"/>
    </row>
    <row r="30974" spans="8:16" x14ac:dyDescent="0.25">
      <c r="H30974" s="12"/>
      <c r="I30974" s="12"/>
      <c r="J30974" s="12"/>
      <c r="K30974" s="12"/>
      <c r="L30974" s="12"/>
      <c r="M30974" s="11"/>
      <c r="N30974" s="11"/>
      <c r="O30974" s="11"/>
      <c r="P30974" s="11"/>
    </row>
    <row r="30975" spans="8:16" x14ac:dyDescent="0.25">
      <c r="H30975" s="12"/>
      <c r="I30975" s="12"/>
      <c r="J30975" s="12"/>
      <c r="K30975" s="12"/>
      <c r="L30975" s="12"/>
      <c r="M30975" s="11"/>
      <c r="N30975" s="11"/>
      <c r="O30975" s="11"/>
      <c r="P30975" s="11"/>
    </row>
    <row r="30976" spans="8:16" x14ac:dyDescent="0.25">
      <c r="H30976" s="12"/>
      <c r="I30976" s="12"/>
      <c r="J30976" s="12"/>
      <c r="K30976" s="12"/>
      <c r="L30976" s="12"/>
      <c r="M30976" s="11"/>
      <c r="N30976" s="11"/>
      <c r="O30976" s="11"/>
      <c r="P30976" s="11"/>
    </row>
    <row r="30977" spans="8:16" x14ac:dyDescent="0.25">
      <c r="H30977" s="12"/>
      <c r="I30977" s="12"/>
      <c r="J30977" s="12"/>
      <c r="K30977" s="12"/>
      <c r="L30977" s="12"/>
      <c r="M30977" s="11"/>
      <c r="N30977" s="11"/>
      <c r="O30977" s="11"/>
      <c r="P30977" s="11"/>
    </row>
    <row r="30978" spans="8:16" x14ac:dyDescent="0.25">
      <c r="H30978" s="12"/>
      <c r="I30978" s="12"/>
      <c r="J30978" s="12"/>
      <c r="K30978" s="12"/>
      <c r="L30978" s="12"/>
      <c r="M30978" s="11"/>
      <c r="N30978" s="11"/>
      <c r="O30978" s="11"/>
      <c r="P30978" s="11"/>
    </row>
    <row r="30979" spans="8:16" x14ac:dyDescent="0.25">
      <c r="H30979" s="12"/>
      <c r="I30979" s="12"/>
      <c r="J30979" s="12"/>
      <c r="K30979" s="12"/>
      <c r="L30979" s="12"/>
      <c r="M30979" s="11"/>
      <c r="N30979" s="11"/>
      <c r="O30979" s="11"/>
      <c r="P30979" s="11"/>
    </row>
    <row r="30980" spans="8:16" x14ac:dyDescent="0.25">
      <c r="H30980" s="12"/>
      <c r="I30980" s="12"/>
      <c r="J30980" s="12"/>
      <c r="K30980" s="12"/>
      <c r="L30980" s="12"/>
      <c r="M30980" s="11"/>
      <c r="N30980" s="11"/>
      <c r="O30980" s="11"/>
      <c r="P30980" s="11"/>
    </row>
    <row r="30981" spans="8:16" x14ac:dyDescent="0.25">
      <c r="H30981" s="12"/>
      <c r="I30981" s="12"/>
      <c r="J30981" s="12"/>
      <c r="K30981" s="12"/>
      <c r="L30981" s="12"/>
      <c r="M30981" s="11"/>
      <c r="N30981" s="11"/>
      <c r="O30981" s="11"/>
      <c r="P30981" s="11"/>
    </row>
    <row r="30982" spans="8:16" x14ac:dyDescent="0.25">
      <c r="H30982" s="12"/>
      <c r="I30982" s="12"/>
      <c r="J30982" s="12"/>
      <c r="K30982" s="12"/>
      <c r="L30982" s="12"/>
      <c r="M30982" s="11"/>
      <c r="N30982" s="11"/>
      <c r="O30982" s="11"/>
      <c r="P30982" s="11"/>
    </row>
    <row r="30983" spans="8:16" x14ac:dyDescent="0.25">
      <c r="H30983" s="12"/>
      <c r="I30983" s="12"/>
      <c r="J30983" s="12"/>
      <c r="K30983" s="12"/>
      <c r="L30983" s="12"/>
      <c r="M30983" s="11"/>
      <c r="N30983" s="11"/>
      <c r="O30983" s="11"/>
      <c r="P30983" s="11"/>
    </row>
    <row r="30984" spans="8:16" x14ac:dyDescent="0.25">
      <c r="H30984" s="12"/>
      <c r="I30984" s="12"/>
      <c r="J30984" s="12"/>
      <c r="K30984" s="12"/>
      <c r="L30984" s="12"/>
      <c r="M30984" s="11"/>
      <c r="N30984" s="11"/>
      <c r="O30984" s="11"/>
      <c r="P30984" s="11"/>
    </row>
    <row r="30985" spans="8:16" x14ac:dyDescent="0.25">
      <c r="H30985" s="12"/>
      <c r="I30985" s="12"/>
      <c r="J30985" s="12"/>
      <c r="K30985" s="12"/>
      <c r="L30985" s="12"/>
      <c r="M30985" s="11"/>
      <c r="N30985" s="11"/>
      <c r="O30985" s="11"/>
      <c r="P30985" s="11"/>
    </row>
    <row r="30986" spans="8:16" x14ac:dyDescent="0.25">
      <c r="H30986" s="12"/>
      <c r="I30986" s="12"/>
      <c r="J30986" s="12"/>
      <c r="K30986" s="12"/>
      <c r="L30986" s="12"/>
      <c r="M30986" s="11"/>
      <c r="N30986" s="11"/>
      <c r="O30986" s="11"/>
      <c r="P30986" s="11"/>
    </row>
    <row r="30987" spans="8:16" x14ac:dyDescent="0.25">
      <c r="H30987" s="12"/>
      <c r="I30987" s="12"/>
      <c r="J30987" s="12"/>
      <c r="K30987" s="12"/>
      <c r="L30987" s="12"/>
      <c r="M30987" s="11"/>
      <c r="N30987" s="11"/>
      <c r="O30987" s="11"/>
      <c r="P30987" s="11"/>
    </row>
    <row r="30988" spans="8:16" x14ac:dyDescent="0.25">
      <c r="H30988" s="12"/>
      <c r="I30988" s="12"/>
      <c r="J30988" s="12"/>
      <c r="K30988" s="12"/>
      <c r="L30988" s="12"/>
      <c r="M30988" s="11"/>
      <c r="N30988" s="11"/>
      <c r="O30988" s="11"/>
      <c r="P30988" s="11"/>
    </row>
    <row r="30989" spans="8:16" x14ac:dyDescent="0.25">
      <c r="H30989" s="12"/>
      <c r="I30989" s="12"/>
      <c r="J30989" s="12"/>
      <c r="K30989" s="12"/>
      <c r="L30989" s="12"/>
      <c r="M30989" s="11"/>
      <c r="N30989" s="11"/>
      <c r="O30989" s="11"/>
      <c r="P30989" s="11"/>
    </row>
    <row r="30990" spans="8:16" x14ac:dyDescent="0.25">
      <c r="H30990" s="12"/>
      <c r="I30990" s="12"/>
      <c r="J30990" s="12"/>
      <c r="K30990" s="12"/>
      <c r="L30990" s="12"/>
      <c r="M30990" s="11"/>
      <c r="N30990" s="11"/>
      <c r="O30990" s="11"/>
      <c r="P30990" s="11"/>
    </row>
    <row r="30991" spans="8:16" x14ac:dyDescent="0.25">
      <c r="H30991" s="12"/>
      <c r="I30991" s="12"/>
      <c r="J30991" s="12"/>
      <c r="K30991" s="12"/>
      <c r="L30991" s="12"/>
      <c r="M30991" s="11"/>
      <c r="N30991" s="11"/>
      <c r="O30991" s="11"/>
      <c r="P30991" s="11"/>
    </row>
    <row r="30992" spans="8:16" x14ac:dyDescent="0.25">
      <c r="H30992" s="12"/>
      <c r="I30992" s="12"/>
      <c r="J30992" s="12"/>
      <c r="K30992" s="12"/>
      <c r="L30992" s="12"/>
      <c r="M30992" s="11"/>
      <c r="N30992" s="11"/>
      <c r="O30992" s="11"/>
      <c r="P30992" s="11"/>
    </row>
    <row r="30993" spans="8:16" x14ac:dyDescent="0.25">
      <c r="H30993" s="12"/>
      <c r="I30993" s="12"/>
      <c r="J30993" s="12"/>
      <c r="K30993" s="12"/>
      <c r="L30993" s="12"/>
      <c r="M30993" s="11"/>
      <c r="N30993" s="11"/>
      <c r="O30993" s="11"/>
      <c r="P30993" s="11"/>
    </row>
    <row r="30994" spans="8:16" x14ac:dyDescent="0.25">
      <c r="H30994" s="12"/>
      <c r="I30994" s="12"/>
      <c r="J30994" s="12"/>
      <c r="K30994" s="12"/>
      <c r="L30994" s="12"/>
      <c r="M30994" s="11"/>
      <c r="N30994" s="11"/>
      <c r="O30994" s="11"/>
      <c r="P30994" s="11"/>
    </row>
    <row r="30995" spans="8:16" x14ac:dyDescent="0.25">
      <c r="H30995" s="12"/>
      <c r="I30995" s="12"/>
      <c r="J30995" s="12"/>
      <c r="K30995" s="12"/>
      <c r="L30995" s="12"/>
      <c r="M30995" s="11"/>
      <c r="N30995" s="11"/>
      <c r="O30995" s="11"/>
      <c r="P30995" s="11"/>
    </row>
    <row r="30996" spans="8:16" x14ac:dyDescent="0.25">
      <c r="H30996" s="12"/>
      <c r="I30996" s="12"/>
      <c r="J30996" s="12"/>
      <c r="K30996" s="12"/>
      <c r="L30996" s="12"/>
      <c r="M30996" s="11"/>
      <c r="N30996" s="11"/>
      <c r="O30996" s="11"/>
      <c r="P30996" s="11"/>
    </row>
    <row r="30997" spans="8:16" x14ac:dyDescent="0.25">
      <c r="H30997" s="12"/>
      <c r="I30997" s="12"/>
      <c r="J30997" s="12"/>
      <c r="K30997" s="12"/>
      <c r="L30997" s="12"/>
      <c r="M30997" s="11"/>
      <c r="N30997" s="11"/>
      <c r="O30997" s="11"/>
      <c r="P30997" s="11"/>
    </row>
    <row r="30998" spans="8:16" x14ac:dyDescent="0.25">
      <c r="H30998" s="12"/>
      <c r="I30998" s="12"/>
      <c r="J30998" s="12"/>
      <c r="K30998" s="12"/>
      <c r="L30998" s="12"/>
      <c r="M30998" s="11"/>
      <c r="N30998" s="11"/>
      <c r="O30998" s="11"/>
      <c r="P30998" s="11"/>
    </row>
    <row r="30999" spans="8:16" x14ac:dyDescent="0.25">
      <c r="H30999" s="12"/>
      <c r="I30999" s="12"/>
      <c r="J30999" s="12"/>
      <c r="K30999" s="12"/>
      <c r="L30999" s="12"/>
      <c r="M30999" s="11"/>
      <c r="N30999" s="11"/>
      <c r="O30999" s="11"/>
      <c r="P30999" s="11"/>
    </row>
    <row r="31000" spans="8:16" x14ac:dyDescent="0.25">
      <c r="H31000" s="12"/>
      <c r="I31000" s="12"/>
      <c r="J31000" s="12"/>
      <c r="K31000" s="12"/>
      <c r="L31000" s="12"/>
      <c r="M31000" s="11"/>
      <c r="N31000" s="11"/>
      <c r="O31000" s="11"/>
      <c r="P31000" s="11"/>
    </row>
    <row r="31001" spans="8:16" x14ac:dyDescent="0.25">
      <c r="H31001" s="12"/>
      <c r="I31001" s="12"/>
      <c r="J31001" s="12"/>
      <c r="K31001" s="12"/>
      <c r="L31001" s="12"/>
      <c r="M31001" s="11"/>
      <c r="N31001" s="11"/>
      <c r="O31001" s="11"/>
      <c r="P31001" s="11"/>
    </row>
    <row r="31002" spans="8:16" x14ac:dyDescent="0.25">
      <c r="H31002" s="12"/>
      <c r="I31002" s="12"/>
      <c r="J31002" s="12"/>
      <c r="K31002" s="12"/>
      <c r="L31002" s="12"/>
      <c r="M31002" s="11"/>
      <c r="N31002" s="11"/>
      <c r="O31002" s="11"/>
      <c r="P31002" s="11"/>
    </row>
    <row r="31003" spans="8:16" x14ac:dyDescent="0.25">
      <c r="H31003" s="12"/>
      <c r="I31003" s="12"/>
      <c r="J31003" s="12"/>
      <c r="K31003" s="12"/>
      <c r="L31003" s="12"/>
      <c r="M31003" s="11"/>
      <c r="N31003" s="11"/>
      <c r="O31003" s="11"/>
      <c r="P31003" s="11"/>
    </row>
    <row r="31004" spans="8:16" x14ac:dyDescent="0.25">
      <c r="H31004" s="12"/>
      <c r="I31004" s="12"/>
      <c r="J31004" s="12"/>
      <c r="K31004" s="12"/>
      <c r="L31004" s="12"/>
      <c r="M31004" s="11"/>
      <c r="N31004" s="11"/>
      <c r="O31004" s="11"/>
      <c r="P31004" s="11"/>
    </row>
    <row r="31005" spans="8:16" x14ac:dyDescent="0.25">
      <c r="H31005" s="12"/>
      <c r="I31005" s="12"/>
      <c r="J31005" s="12"/>
      <c r="K31005" s="12"/>
      <c r="L31005" s="12"/>
      <c r="M31005" s="11"/>
      <c r="N31005" s="11"/>
      <c r="O31005" s="11"/>
      <c r="P31005" s="11"/>
    </row>
    <row r="31006" spans="8:16" x14ac:dyDescent="0.25">
      <c r="H31006" s="12"/>
      <c r="I31006" s="12"/>
      <c r="J31006" s="12"/>
      <c r="K31006" s="12"/>
      <c r="L31006" s="12"/>
      <c r="M31006" s="11"/>
      <c r="N31006" s="11"/>
      <c r="O31006" s="11"/>
      <c r="P31006" s="11"/>
    </row>
    <row r="31007" spans="8:16" x14ac:dyDescent="0.25">
      <c r="H31007" s="12"/>
      <c r="I31007" s="12"/>
      <c r="J31007" s="12"/>
      <c r="K31007" s="12"/>
      <c r="L31007" s="12"/>
      <c r="M31007" s="11"/>
      <c r="N31007" s="11"/>
      <c r="O31007" s="11"/>
      <c r="P31007" s="11"/>
    </row>
    <row r="31008" spans="8:16" x14ac:dyDescent="0.25">
      <c r="H31008" s="12"/>
      <c r="I31008" s="12"/>
      <c r="J31008" s="12"/>
      <c r="K31008" s="12"/>
      <c r="L31008" s="12"/>
      <c r="M31008" s="11"/>
      <c r="N31008" s="11"/>
      <c r="O31008" s="11"/>
      <c r="P31008" s="11"/>
    </row>
    <row r="31009" spans="8:16" x14ac:dyDescent="0.25">
      <c r="H31009" s="12"/>
      <c r="I31009" s="12"/>
      <c r="J31009" s="12"/>
      <c r="K31009" s="12"/>
      <c r="L31009" s="12"/>
      <c r="M31009" s="11"/>
      <c r="N31009" s="11"/>
      <c r="O31009" s="11"/>
      <c r="P31009" s="11"/>
    </row>
    <row r="31010" spans="8:16" x14ac:dyDescent="0.25">
      <c r="H31010" s="12"/>
      <c r="I31010" s="12"/>
      <c r="J31010" s="12"/>
      <c r="K31010" s="12"/>
      <c r="L31010" s="12"/>
      <c r="M31010" s="11"/>
      <c r="N31010" s="11"/>
      <c r="O31010" s="11"/>
      <c r="P31010" s="11"/>
    </row>
    <row r="31011" spans="8:16" x14ac:dyDescent="0.25">
      <c r="H31011" s="12"/>
      <c r="I31011" s="12"/>
      <c r="J31011" s="12"/>
      <c r="K31011" s="12"/>
      <c r="L31011" s="12"/>
      <c r="M31011" s="11"/>
      <c r="N31011" s="11"/>
      <c r="O31011" s="11"/>
      <c r="P31011" s="11"/>
    </row>
    <row r="31012" spans="8:16" x14ac:dyDescent="0.25">
      <c r="H31012" s="12"/>
      <c r="I31012" s="12"/>
      <c r="J31012" s="12"/>
      <c r="K31012" s="12"/>
      <c r="L31012" s="12"/>
      <c r="M31012" s="11"/>
      <c r="N31012" s="11"/>
      <c r="O31012" s="11"/>
      <c r="P31012" s="11"/>
    </row>
    <row r="31013" spans="8:16" x14ac:dyDescent="0.25">
      <c r="H31013" s="12"/>
      <c r="I31013" s="12"/>
      <c r="J31013" s="12"/>
      <c r="K31013" s="12"/>
      <c r="L31013" s="12"/>
      <c r="M31013" s="11"/>
      <c r="N31013" s="11"/>
      <c r="O31013" s="11"/>
      <c r="P31013" s="11"/>
    </row>
    <row r="31014" spans="8:16" x14ac:dyDescent="0.25">
      <c r="H31014" s="12"/>
      <c r="I31014" s="12"/>
      <c r="J31014" s="12"/>
      <c r="K31014" s="12"/>
      <c r="L31014" s="12"/>
      <c r="M31014" s="11"/>
      <c r="N31014" s="11"/>
      <c r="O31014" s="11"/>
      <c r="P31014" s="11"/>
    </row>
    <row r="31015" spans="8:16" x14ac:dyDescent="0.25">
      <c r="H31015" s="12"/>
      <c r="I31015" s="12"/>
      <c r="J31015" s="12"/>
      <c r="K31015" s="12"/>
      <c r="L31015" s="12"/>
      <c r="M31015" s="11"/>
      <c r="N31015" s="11"/>
      <c r="O31015" s="11"/>
      <c r="P31015" s="11"/>
    </row>
    <row r="31016" spans="8:16" x14ac:dyDescent="0.25">
      <c r="H31016" s="12"/>
      <c r="I31016" s="12"/>
      <c r="J31016" s="12"/>
      <c r="K31016" s="12"/>
      <c r="L31016" s="12"/>
      <c r="M31016" s="11"/>
      <c r="N31016" s="11"/>
      <c r="O31016" s="11"/>
      <c r="P31016" s="11"/>
    </row>
    <row r="31017" spans="8:16" x14ac:dyDescent="0.25">
      <c r="H31017" s="12"/>
      <c r="I31017" s="12"/>
      <c r="J31017" s="12"/>
      <c r="K31017" s="12"/>
      <c r="L31017" s="12"/>
      <c r="M31017" s="11"/>
      <c r="N31017" s="11"/>
      <c r="O31017" s="11"/>
      <c r="P31017" s="11"/>
    </row>
    <row r="31018" spans="8:16" x14ac:dyDescent="0.25">
      <c r="H31018" s="12"/>
      <c r="I31018" s="12"/>
      <c r="J31018" s="12"/>
      <c r="K31018" s="12"/>
      <c r="L31018" s="12"/>
      <c r="M31018" s="11"/>
      <c r="N31018" s="11"/>
      <c r="O31018" s="11"/>
      <c r="P31018" s="11"/>
    </row>
    <row r="31019" spans="8:16" x14ac:dyDescent="0.25">
      <c r="H31019" s="12"/>
      <c r="I31019" s="12"/>
      <c r="J31019" s="12"/>
      <c r="K31019" s="12"/>
      <c r="L31019" s="12"/>
      <c r="M31019" s="11"/>
      <c r="N31019" s="11"/>
      <c r="O31019" s="11"/>
      <c r="P31019" s="11"/>
    </row>
    <row r="31020" spans="8:16" x14ac:dyDescent="0.25">
      <c r="H31020" s="12"/>
      <c r="I31020" s="12"/>
      <c r="J31020" s="12"/>
      <c r="K31020" s="12"/>
      <c r="L31020" s="12"/>
      <c r="M31020" s="11"/>
      <c r="N31020" s="11"/>
      <c r="O31020" s="11"/>
      <c r="P31020" s="11"/>
    </row>
    <row r="31021" spans="8:16" x14ac:dyDescent="0.25">
      <c r="H31021" s="12"/>
      <c r="I31021" s="12"/>
      <c r="J31021" s="12"/>
      <c r="K31021" s="12"/>
      <c r="L31021" s="12"/>
      <c r="M31021" s="11"/>
      <c r="N31021" s="11"/>
      <c r="O31021" s="11"/>
      <c r="P31021" s="11"/>
    </row>
    <row r="31022" spans="8:16" x14ac:dyDescent="0.25">
      <c r="H31022" s="12"/>
      <c r="I31022" s="12"/>
      <c r="J31022" s="12"/>
      <c r="K31022" s="12"/>
      <c r="L31022" s="12"/>
      <c r="M31022" s="11"/>
      <c r="N31022" s="11"/>
      <c r="O31022" s="11"/>
      <c r="P31022" s="11"/>
    </row>
    <row r="31023" spans="8:16" x14ac:dyDescent="0.25">
      <c r="H31023" s="12"/>
      <c r="I31023" s="12"/>
      <c r="J31023" s="12"/>
      <c r="K31023" s="12"/>
      <c r="L31023" s="12"/>
      <c r="M31023" s="11"/>
      <c r="N31023" s="11"/>
      <c r="O31023" s="11"/>
      <c r="P31023" s="11"/>
    </row>
    <row r="31024" spans="8:16" x14ac:dyDescent="0.25">
      <c r="H31024" s="12"/>
      <c r="I31024" s="12"/>
      <c r="J31024" s="12"/>
      <c r="K31024" s="12"/>
      <c r="L31024" s="12"/>
      <c r="M31024" s="11"/>
      <c r="N31024" s="11"/>
      <c r="O31024" s="11"/>
      <c r="P31024" s="11"/>
    </row>
    <row r="31025" spans="8:16" x14ac:dyDescent="0.25">
      <c r="H31025" s="12"/>
      <c r="I31025" s="12"/>
      <c r="J31025" s="12"/>
      <c r="K31025" s="12"/>
      <c r="L31025" s="12"/>
      <c r="M31025" s="11"/>
      <c r="N31025" s="11"/>
      <c r="O31025" s="11"/>
      <c r="P31025" s="11"/>
    </row>
    <row r="31026" spans="8:16" x14ac:dyDescent="0.25">
      <c r="H31026" s="12"/>
      <c r="I31026" s="12"/>
      <c r="J31026" s="12"/>
      <c r="K31026" s="12"/>
      <c r="L31026" s="12"/>
      <c r="M31026" s="11"/>
      <c r="N31026" s="11"/>
      <c r="O31026" s="11"/>
      <c r="P31026" s="11"/>
    </row>
    <row r="31027" spans="8:16" x14ac:dyDescent="0.25">
      <c r="H31027" s="12"/>
      <c r="I31027" s="12"/>
      <c r="J31027" s="12"/>
      <c r="K31027" s="12"/>
      <c r="L31027" s="12"/>
      <c r="M31027" s="11"/>
      <c r="N31027" s="11"/>
      <c r="O31027" s="11"/>
      <c r="P31027" s="11"/>
    </row>
    <row r="31028" spans="8:16" x14ac:dyDescent="0.25">
      <c r="H31028" s="12"/>
      <c r="I31028" s="12"/>
      <c r="J31028" s="12"/>
      <c r="K31028" s="12"/>
      <c r="L31028" s="12"/>
      <c r="M31028" s="11"/>
      <c r="N31028" s="11"/>
      <c r="O31028" s="11"/>
      <c r="P31028" s="11"/>
    </row>
    <row r="31029" spans="8:16" x14ac:dyDescent="0.25">
      <c r="H31029" s="12"/>
      <c r="I31029" s="12"/>
      <c r="J31029" s="12"/>
      <c r="K31029" s="12"/>
      <c r="L31029" s="12"/>
      <c r="M31029" s="11"/>
      <c r="N31029" s="11"/>
      <c r="O31029" s="11"/>
      <c r="P31029" s="11"/>
    </row>
    <row r="31030" spans="8:16" x14ac:dyDescent="0.25">
      <c r="H31030" s="12"/>
      <c r="I31030" s="12"/>
      <c r="J31030" s="12"/>
      <c r="K31030" s="12"/>
      <c r="L31030" s="12"/>
      <c r="M31030" s="11"/>
      <c r="N31030" s="11"/>
      <c r="O31030" s="11"/>
      <c r="P31030" s="11"/>
    </row>
    <row r="31031" spans="8:16" x14ac:dyDescent="0.25">
      <c r="H31031" s="12"/>
      <c r="I31031" s="12"/>
      <c r="J31031" s="12"/>
      <c r="K31031" s="12"/>
      <c r="L31031" s="12"/>
      <c r="M31031" s="11"/>
      <c r="N31031" s="11"/>
      <c r="O31031" s="11"/>
      <c r="P31031" s="11"/>
    </row>
    <row r="31032" spans="8:16" x14ac:dyDescent="0.25">
      <c r="H31032" s="12"/>
      <c r="I31032" s="12"/>
      <c r="J31032" s="12"/>
      <c r="K31032" s="12"/>
      <c r="L31032" s="12"/>
      <c r="M31032" s="11"/>
      <c r="N31032" s="11"/>
      <c r="O31032" s="11"/>
      <c r="P31032" s="11"/>
    </row>
    <row r="31033" spans="8:16" x14ac:dyDescent="0.25">
      <c r="H31033" s="12"/>
      <c r="I31033" s="12"/>
      <c r="J31033" s="12"/>
      <c r="K31033" s="12"/>
      <c r="L31033" s="12"/>
      <c r="M31033" s="11"/>
      <c r="N31033" s="11"/>
      <c r="O31033" s="11"/>
      <c r="P31033" s="11"/>
    </row>
    <row r="31034" spans="8:16" x14ac:dyDescent="0.25">
      <c r="H31034" s="12"/>
      <c r="I31034" s="12"/>
      <c r="J31034" s="12"/>
      <c r="K31034" s="12"/>
      <c r="L31034" s="12"/>
      <c r="M31034" s="11"/>
      <c r="N31034" s="11"/>
      <c r="O31034" s="11"/>
      <c r="P31034" s="11"/>
    </row>
    <row r="31035" spans="8:16" x14ac:dyDescent="0.25">
      <c r="H31035" s="12"/>
      <c r="I31035" s="12"/>
      <c r="J31035" s="12"/>
      <c r="K31035" s="12"/>
      <c r="L31035" s="12"/>
      <c r="M31035" s="11"/>
      <c r="N31035" s="11"/>
      <c r="O31035" s="11"/>
      <c r="P31035" s="11"/>
    </row>
    <row r="31036" spans="8:16" x14ac:dyDescent="0.25">
      <c r="H31036" s="12"/>
      <c r="I31036" s="12"/>
      <c r="J31036" s="12"/>
      <c r="K31036" s="12"/>
      <c r="L31036" s="12"/>
      <c r="M31036" s="11"/>
      <c r="N31036" s="11"/>
      <c r="O31036" s="11"/>
      <c r="P31036" s="11"/>
    </row>
    <row r="31037" spans="8:16" x14ac:dyDescent="0.25">
      <c r="H31037" s="12"/>
      <c r="I31037" s="12"/>
      <c r="J31037" s="12"/>
      <c r="K31037" s="12"/>
      <c r="L31037" s="12"/>
      <c r="M31037" s="11"/>
      <c r="N31037" s="11"/>
      <c r="O31037" s="11"/>
      <c r="P31037" s="11"/>
    </row>
    <row r="31038" spans="8:16" x14ac:dyDescent="0.25">
      <c r="H31038" s="12"/>
      <c r="I31038" s="12"/>
      <c r="J31038" s="12"/>
      <c r="K31038" s="12"/>
      <c r="L31038" s="12"/>
      <c r="M31038" s="11"/>
      <c r="N31038" s="11"/>
      <c r="O31038" s="11"/>
      <c r="P31038" s="11"/>
    </row>
    <row r="31039" spans="8:16" x14ac:dyDescent="0.25">
      <c r="H31039" s="12"/>
      <c r="I31039" s="12"/>
      <c r="J31039" s="12"/>
      <c r="K31039" s="12"/>
      <c r="L31039" s="12"/>
      <c r="M31039" s="11"/>
      <c r="N31039" s="11"/>
      <c r="O31039" s="11"/>
      <c r="P31039" s="11"/>
    </row>
    <row r="31040" spans="8:16" x14ac:dyDescent="0.25">
      <c r="H31040" s="12"/>
      <c r="I31040" s="12"/>
      <c r="J31040" s="12"/>
      <c r="K31040" s="12"/>
      <c r="L31040" s="12"/>
      <c r="M31040" s="11"/>
      <c r="N31040" s="11"/>
      <c r="O31040" s="11"/>
      <c r="P31040" s="11"/>
    </row>
    <row r="31041" spans="8:16" x14ac:dyDescent="0.25">
      <c r="H31041" s="12"/>
      <c r="I31041" s="12"/>
      <c r="J31041" s="12"/>
      <c r="K31041" s="12"/>
      <c r="L31041" s="12"/>
      <c r="M31041" s="11"/>
      <c r="N31041" s="11"/>
      <c r="O31041" s="11"/>
      <c r="P31041" s="11"/>
    </row>
    <row r="31042" spans="8:16" x14ac:dyDescent="0.25">
      <c r="H31042" s="12"/>
      <c r="I31042" s="12"/>
      <c r="J31042" s="12"/>
      <c r="K31042" s="12"/>
      <c r="L31042" s="12"/>
      <c r="M31042" s="11"/>
      <c r="N31042" s="11"/>
      <c r="O31042" s="11"/>
      <c r="P31042" s="11"/>
    </row>
    <row r="31043" spans="8:16" x14ac:dyDescent="0.25">
      <c r="H31043" s="12"/>
      <c r="I31043" s="12"/>
      <c r="J31043" s="12"/>
      <c r="K31043" s="12"/>
      <c r="L31043" s="12"/>
      <c r="M31043" s="11"/>
      <c r="N31043" s="11"/>
      <c r="O31043" s="11"/>
      <c r="P31043" s="11"/>
    </row>
    <row r="31044" spans="8:16" x14ac:dyDescent="0.25">
      <c r="H31044" s="12"/>
      <c r="I31044" s="12"/>
      <c r="J31044" s="12"/>
      <c r="K31044" s="12"/>
      <c r="L31044" s="12"/>
      <c r="M31044" s="11"/>
      <c r="N31044" s="11"/>
      <c r="O31044" s="11"/>
      <c r="P31044" s="11"/>
    </row>
    <row r="31045" spans="8:16" x14ac:dyDescent="0.25">
      <c r="H31045" s="12"/>
      <c r="I31045" s="12"/>
      <c r="J31045" s="12"/>
      <c r="K31045" s="12"/>
      <c r="L31045" s="12"/>
      <c r="M31045" s="11"/>
      <c r="N31045" s="11"/>
      <c r="O31045" s="11"/>
      <c r="P31045" s="11"/>
    </row>
    <row r="31046" spans="8:16" x14ac:dyDescent="0.25">
      <c r="H31046" s="12"/>
      <c r="I31046" s="12"/>
      <c r="J31046" s="12"/>
      <c r="K31046" s="12"/>
      <c r="L31046" s="12"/>
      <c r="M31046" s="11"/>
      <c r="N31046" s="11"/>
      <c r="O31046" s="11"/>
      <c r="P31046" s="11"/>
    </row>
    <row r="31047" spans="8:16" x14ac:dyDescent="0.25">
      <c r="H31047" s="12"/>
      <c r="I31047" s="12"/>
      <c r="J31047" s="12"/>
      <c r="K31047" s="12"/>
      <c r="L31047" s="12"/>
      <c r="M31047" s="11"/>
      <c r="N31047" s="11"/>
      <c r="O31047" s="11"/>
      <c r="P31047" s="11"/>
    </row>
    <row r="31048" spans="8:16" x14ac:dyDescent="0.25">
      <c r="H31048" s="12"/>
      <c r="I31048" s="12"/>
      <c r="J31048" s="12"/>
      <c r="K31048" s="12"/>
      <c r="L31048" s="12"/>
      <c r="M31048" s="11"/>
      <c r="N31048" s="11"/>
      <c r="O31048" s="11"/>
      <c r="P31048" s="11"/>
    </row>
    <row r="31049" spans="8:16" x14ac:dyDescent="0.25">
      <c r="H31049" s="12"/>
      <c r="I31049" s="12"/>
      <c r="J31049" s="12"/>
      <c r="K31049" s="12"/>
      <c r="L31049" s="12"/>
      <c r="M31049" s="11"/>
      <c r="N31049" s="11"/>
      <c r="O31049" s="11"/>
      <c r="P31049" s="11"/>
    </row>
    <row r="31050" spans="8:16" x14ac:dyDescent="0.25">
      <c r="H31050" s="12"/>
      <c r="I31050" s="12"/>
      <c r="J31050" s="12"/>
      <c r="K31050" s="12"/>
      <c r="L31050" s="12"/>
      <c r="M31050" s="11"/>
      <c r="N31050" s="11"/>
      <c r="O31050" s="11"/>
      <c r="P31050" s="11"/>
    </row>
    <row r="31051" spans="8:16" x14ac:dyDescent="0.25">
      <c r="H31051" s="12"/>
      <c r="I31051" s="12"/>
      <c r="J31051" s="12"/>
      <c r="K31051" s="12"/>
      <c r="L31051" s="12"/>
      <c r="M31051" s="11"/>
      <c r="N31051" s="11"/>
      <c r="O31051" s="11"/>
      <c r="P31051" s="11"/>
    </row>
    <row r="31052" spans="8:16" x14ac:dyDescent="0.25">
      <c r="H31052" s="12"/>
      <c r="I31052" s="12"/>
      <c r="J31052" s="12"/>
      <c r="K31052" s="12"/>
      <c r="L31052" s="12"/>
      <c r="M31052" s="11"/>
      <c r="N31052" s="11"/>
      <c r="O31052" s="11"/>
      <c r="P31052" s="11"/>
    </row>
    <row r="31053" spans="8:16" x14ac:dyDescent="0.25">
      <c r="H31053" s="12"/>
      <c r="I31053" s="12"/>
      <c r="J31053" s="12"/>
      <c r="K31053" s="12"/>
      <c r="L31053" s="12"/>
      <c r="M31053" s="11"/>
      <c r="N31053" s="11"/>
      <c r="O31053" s="11"/>
      <c r="P31053" s="11"/>
    </row>
    <row r="31054" spans="8:16" x14ac:dyDescent="0.25">
      <c r="H31054" s="12"/>
      <c r="I31054" s="12"/>
      <c r="J31054" s="12"/>
      <c r="K31054" s="12"/>
      <c r="L31054" s="12"/>
      <c r="M31054" s="11"/>
      <c r="N31054" s="11"/>
      <c r="O31054" s="11"/>
      <c r="P31054" s="11"/>
    </row>
    <row r="31055" spans="8:16" x14ac:dyDescent="0.25">
      <c r="H31055" s="12"/>
      <c r="I31055" s="12"/>
      <c r="J31055" s="12"/>
      <c r="K31055" s="12"/>
      <c r="L31055" s="12"/>
      <c r="M31055" s="11"/>
      <c r="N31055" s="11"/>
      <c r="O31055" s="11"/>
      <c r="P31055" s="11"/>
    </row>
    <row r="31056" spans="8:16" x14ac:dyDescent="0.25">
      <c r="H31056" s="12"/>
      <c r="I31056" s="12"/>
      <c r="J31056" s="12"/>
      <c r="K31056" s="12"/>
      <c r="L31056" s="12"/>
      <c r="M31056" s="11"/>
      <c r="N31056" s="11"/>
      <c r="O31056" s="11"/>
      <c r="P31056" s="11"/>
    </row>
    <row r="31057" spans="8:16" x14ac:dyDescent="0.25">
      <c r="H31057" s="12"/>
      <c r="I31057" s="12"/>
      <c r="J31057" s="12"/>
      <c r="K31057" s="12"/>
      <c r="L31057" s="12"/>
      <c r="M31057" s="11"/>
      <c r="N31057" s="11"/>
      <c r="O31057" s="11"/>
      <c r="P31057" s="11"/>
    </row>
    <row r="31058" spans="8:16" x14ac:dyDescent="0.25">
      <c r="H31058" s="12"/>
      <c r="I31058" s="12"/>
      <c r="J31058" s="12"/>
      <c r="K31058" s="12"/>
      <c r="L31058" s="12"/>
      <c r="M31058" s="11"/>
      <c r="N31058" s="11"/>
      <c r="O31058" s="11"/>
      <c r="P31058" s="11"/>
    </row>
    <row r="31059" spans="8:16" x14ac:dyDescent="0.25">
      <c r="H31059" s="12"/>
      <c r="I31059" s="12"/>
      <c r="J31059" s="12"/>
      <c r="K31059" s="12"/>
      <c r="L31059" s="12"/>
      <c r="M31059" s="11"/>
      <c r="N31059" s="11"/>
      <c r="O31059" s="11"/>
      <c r="P31059" s="11"/>
    </row>
    <row r="31060" spans="8:16" x14ac:dyDescent="0.25">
      <c r="H31060" s="12"/>
      <c r="I31060" s="12"/>
      <c r="J31060" s="12"/>
      <c r="K31060" s="12"/>
      <c r="L31060" s="12"/>
      <c r="M31060" s="11"/>
      <c r="N31060" s="11"/>
      <c r="O31060" s="11"/>
      <c r="P31060" s="11"/>
    </row>
    <row r="31061" spans="8:16" x14ac:dyDescent="0.25">
      <c r="H31061" s="12"/>
      <c r="I31061" s="12"/>
      <c r="J31061" s="12"/>
      <c r="K31061" s="12"/>
      <c r="L31061" s="12"/>
      <c r="M31061" s="11"/>
      <c r="N31061" s="11"/>
      <c r="O31061" s="11"/>
      <c r="P31061" s="11"/>
    </row>
    <row r="31062" spans="8:16" x14ac:dyDescent="0.25">
      <c r="H31062" s="12"/>
      <c r="I31062" s="12"/>
      <c r="J31062" s="12"/>
      <c r="K31062" s="12"/>
      <c r="L31062" s="12"/>
      <c r="M31062" s="11"/>
      <c r="N31062" s="11"/>
      <c r="O31062" s="11"/>
      <c r="P31062" s="11"/>
    </row>
    <row r="31063" spans="8:16" x14ac:dyDescent="0.25">
      <c r="H31063" s="12"/>
      <c r="I31063" s="12"/>
      <c r="J31063" s="12"/>
      <c r="K31063" s="12"/>
      <c r="L31063" s="12"/>
      <c r="M31063" s="11"/>
      <c r="N31063" s="11"/>
      <c r="O31063" s="11"/>
      <c r="P31063" s="11"/>
    </row>
    <row r="31064" spans="8:16" x14ac:dyDescent="0.25">
      <c r="H31064" s="12"/>
      <c r="I31064" s="12"/>
      <c r="J31064" s="12"/>
      <c r="K31064" s="12"/>
      <c r="L31064" s="12"/>
      <c r="M31064" s="11"/>
      <c r="N31064" s="11"/>
      <c r="O31064" s="11"/>
      <c r="P31064" s="11"/>
    </row>
    <row r="31065" spans="8:16" x14ac:dyDescent="0.25">
      <c r="H31065" s="12"/>
      <c r="I31065" s="12"/>
      <c r="J31065" s="12"/>
      <c r="K31065" s="12"/>
      <c r="L31065" s="12"/>
      <c r="M31065" s="11"/>
      <c r="N31065" s="11"/>
      <c r="O31065" s="11"/>
      <c r="P31065" s="11"/>
    </row>
    <row r="31066" spans="8:16" x14ac:dyDescent="0.25">
      <c r="H31066" s="12"/>
      <c r="I31066" s="12"/>
      <c r="J31066" s="12"/>
      <c r="K31066" s="12"/>
      <c r="L31066" s="12"/>
      <c r="M31066" s="11"/>
      <c r="N31066" s="11"/>
      <c r="O31066" s="11"/>
      <c r="P31066" s="11"/>
    </row>
    <row r="31067" spans="8:16" x14ac:dyDescent="0.25">
      <c r="H31067" s="12"/>
      <c r="I31067" s="12"/>
      <c r="J31067" s="12"/>
      <c r="K31067" s="12"/>
      <c r="L31067" s="12"/>
      <c r="M31067" s="11"/>
      <c r="N31067" s="11"/>
      <c r="O31067" s="11"/>
      <c r="P31067" s="11"/>
    </row>
    <row r="31068" spans="8:16" x14ac:dyDescent="0.25">
      <c r="H31068" s="12"/>
      <c r="I31068" s="12"/>
      <c r="J31068" s="12"/>
      <c r="K31068" s="12"/>
      <c r="L31068" s="12"/>
      <c r="M31068" s="11"/>
      <c r="N31068" s="11"/>
      <c r="O31068" s="11"/>
      <c r="P31068" s="11"/>
    </row>
    <row r="31069" spans="8:16" x14ac:dyDescent="0.25">
      <c r="H31069" s="12"/>
      <c r="I31069" s="12"/>
      <c r="J31069" s="12"/>
      <c r="K31069" s="12"/>
      <c r="L31069" s="12"/>
      <c r="M31069" s="11"/>
      <c r="N31069" s="11"/>
      <c r="O31069" s="11"/>
      <c r="P31069" s="11"/>
    </row>
    <row r="31070" spans="8:16" x14ac:dyDescent="0.25">
      <c r="H31070" s="12"/>
      <c r="I31070" s="12"/>
      <c r="J31070" s="12"/>
      <c r="K31070" s="12"/>
      <c r="L31070" s="12"/>
      <c r="M31070" s="11"/>
      <c r="N31070" s="11"/>
      <c r="O31070" s="11"/>
      <c r="P31070" s="11"/>
    </row>
    <row r="31071" spans="8:16" x14ac:dyDescent="0.25">
      <c r="H31071" s="12"/>
      <c r="I31071" s="12"/>
      <c r="J31071" s="12"/>
      <c r="K31071" s="12"/>
      <c r="L31071" s="12"/>
      <c r="M31071" s="11"/>
      <c r="N31071" s="11"/>
      <c r="O31071" s="11"/>
      <c r="P31071" s="11"/>
    </row>
    <row r="31072" spans="8:16" x14ac:dyDescent="0.25">
      <c r="H31072" s="12"/>
      <c r="I31072" s="12"/>
      <c r="J31072" s="12"/>
      <c r="K31072" s="12"/>
      <c r="L31072" s="12"/>
      <c r="M31072" s="11"/>
      <c r="N31072" s="11"/>
      <c r="O31072" s="11"/>
      <c r="P31072" s="11"/>
    </row>
    <row r="31073" spans="8:16" x14ac:dyDescent="0.25">
      <c r="H31073" s="12"/>
      <c r="I31073" s="12"/>
      <c r="J31073" s="12"/>
      <c r="K31073" s="12"/>
      <c r="L31073" s="12"/>
      <c r="M31073" s="11"/>
      <c r="N31073" s="11"/>
      <c r="O31073" s="11"/>
      <c r="P31073" s="11"/>
    </row>
    <row r="31074" spans="8:16" x14ac:dyDescent="0.25">
      <c r="H31074" s="12"/>
      <c r="I31074" s="12"/>
      <c r="J31074" s="12"/>
      <c r="K31074" s="12"/>
      <c r="L31074" s="12"/>
      <c r="M31074" s="11"/>
      <c r="N31074" s="11"/>
      <c r="O31074" s="11"/>
      <c r="P31074" s="11"/>
    </row>
    <row r="31075" spans="8:16" x14ac:dyDescent="0.25">
      <c r="H31075" s="12"/>
      <c r="I31075" s="12"/>
      <c r="J31075" s="12"/>
      <c r="K31075" s="12"/>
      <c r="L31075" s="12"/>
      <c r="M31075" s="11"/>
      <c r="N31075" s="11"/>
      <c r="O31075" s="11"/>
      <c r="P31075" s="11"/>
    </row>
    <row r="31076" spans="8:16" x14ac:dyDescent="0.25">
      <c r="H31076" s="12"/>
      <c r="I31076" s="12"/>
      <c r="J31076" s="12"/>
      <c r="K31076" s="12"/>
      <c r="L31076" s="12"/>
      <c r="M31076" s="11"/>
      <c r="N31076" s="11"/>
      <c r="O31076" s="11"/>
      <c r="P31076" s="11"/>
    </row>
    <row r="31077" spans="8:16" x14ac:dyDescent="0.25">
      <c r="H31077" s="12"/>
      <c r="I31077" s="12"/>
      <c r="J31077" s="12"/>
      <c r="K31077" s="12"/>
      <c r="L31077" s="12"/>
      <c r="M31077" s="11"/>
      <c r="N31077" s="11"/>
      <c r="O31077" s="11"/>
      <c r="P31077" s="11"/>
    </row>
    <row r="31078" spans="8:16" x14ac:dyDescent="0.25">
      <c r="H31078" s="12"/>
      <c r="I31078" s="12"/>
      <c r="J31078" s="12"/>
      <c r="K31078" s="12"/>
      <c r="L31078" s="12"/>
      <c r="M31078" s="11"/>
      <c r="N31078" s="11"/>
      <c r="O31078" s="11"/>
      <c r="P31078" s="11"/>
    </row>
    <row r="31079" spans="8:16" x14ac:dyDescent="0.25">
      <c r="H31079" s="12"/>
      <c r="I31079" s="12"/>
      <c r="J31079" s="12"/>
      <c r="K31079" s="12"/>
      <c r="L31079" s="12"/>
      <c r="M31079" s="11"/>
      <c r="N31079" s="11"/>
      <c r="O31079" s="11"/>
      <c r="P31079" s="11"/>
    </row>
    <row r="31080" spans="8:16" x14ac:dyDescent="0.25">
      <c r="H31080" s="12"/>
      <c r="I31080" s="12"/>
      <c r="J31080" s="12"/>
      <c r="K31080" s="12"/>
      <c r="L31080" s="12"/>
      <c r="M31080" s="11"/>
      <c r="N31080" s="11"/>
      <c r="O31080" s="11"/>
      <c r="P31080" s="11"/>
    </row>
    <row r="31081" spans="8:16" x14ac:dyDescent="0.25">
      <c r="H31081" s="12"/>
      <c r="I31081" s="12"/>
      <c r="J31081" s="12"/>
      <c r="K31081" s="12"/>
      <c r="L31081" s="12"/>
      <c r="M31081" s="11"/>
      <c r="N31081" s="11"/>
      <c r="O31081" s="11"/>
      <c r="P31081" s="11"/>
    </row>
    <row r="31082" spans="8:16" x14ac:dyDescent="0.25">
      <c r="H31082" s="12"/>
      <c r="I31082" s="12"/>
      <c r="J31082" s="12"/>
      <c r="K31082" s="12"/>
      <c r="L31082" s="12"/>
      <c r="M31082" s="11"/>
      <c r="N31082" s="11"/>
      <c r="O31082" s="11"/>
      <c r="P31082" s="11"/>
    </row>
    <row r="31083" spans="8:16" x14ac:dyDescent="0.25">
      <c r="H31083" s="12"/>
      <c r="I31083" s="12"/>
      <c r="J31083" s="12"/>
      <c r="K31083" s="12"/>
      <c r="L31083" s="12"/>
      <c r="M31083" s="11"/>
      <c r="N31083" s="11"/>
      <c r="O31083" s="11"/>
      <c r="P31083" s="11"/>
    </row>
    <row r="31084" spans="8:16" x14ac:dyDescent="0.25">
      <c r="H31084" s="12"/>
      <c r="I31084" s="12"/>
      <c r="J31084" s="12"/>
      <c r="K31084" s="12"/>
      <c r="L31084" s="12"/>
      <c r="M31084" s="11"/>
      <c r="N31084" s="11"/>
      <c r="O31084" s="11"/>
      <c r="P31084" s="11"/>
    </row>
    <row r="31085" spans="8:16" x14ac:dyDescent="0.25">
      <c r="H31085" s="12"/>
      <c r="I31085" s="12"/>
      <c r="J31085" s="12"/>
      <c r="K31085" s="12"/>
      <c r="L31085" s="12"/>
      <c r="M31085" s="11"/>
      <c r="N31085" s="11"/>
      <c r="O31085" s="11"/>
      <c r="P31085" s="11"/>
    </row>
    <row r="31086" spans="8:16" x14ac:dyDescent="0.25">
      <c r="H31086" s="12"/>
      <c r="I31086" s="12"/>
      <c r="J31086" s="12"/>
      <c r="K31086" s="12"/>
      <c r="L31086" s="12"/>
      <c r="M31086" s="11"/>
      <c r="N31086" s="11"/>
      <c r="O31086" s="11"/>
      <c r="P31086" s="11"/>
    </row>
    <row r="31087" spans="8:16" x14ac:dyDescent="0.25">
      <c r="H31087" s="12"/>
      <c r="I31087" s="12"/>
      <c r="J31087" s="12"/>
      <c r="K31087" s="12"/>
      <c r="L31087" s="12"/>
      <c r="M31087" s="11"/>
      <c r="N31087" s="11"/>
      <c r="O31087" s="11"/>
      <c r="P31087" s="11"/>
    </row>
    <row r="31088" spans="8:16" x14ac:dyDescent="0.25">
      <c r="H31088" s="12"/>
      <c r="I31088" s="12"/>
      <c r="J31088" s="12"/>
      <c r="K31088" s="12"/>
      <c r="L31088" s="12"/>
      <c r="M31088" s="11"/>
      <c r="N31088" s="11"/>
      <c r="O31088" s="11"/>
      <c r="P31088" s="11"/>
    </row>
    <row r="31089" spans="8:16" x14ac:dyDescent="0.25">
      <c r="H31089" s="12"/>
      <c r="I31089" s="12"/>
      <c r="J31089" s="12"/>
      <c r="K31089" s="12"/>
      <c r="L31089" s="12"/>
      <c r="M31089" s="11"/>
      <c r="N31089" s="11"/>
      <c r="O31089" s="11"/>
      <c r="P31089" s="11"/>
    </row>
    <row r="31090" spans="8:16" x14ac:dyDescent="0.25">
      <c r="H31090" s="12"/>
      <c r="I31090" s="12"/>
      <c r="J31090" s="12"/>
      <c r="K31090" s="12"/>
      <c r="L31090" s="12"/>
      <c r="M31090" s="11"/>
      <c r="N31090" s="11"/>
      <c r="O31090" s="11"/>
      <c r="P31090" s="11"/>
    </row>
    <row r="31091" spans="8:16" x14ac:dyDescent="0.25">
      <c r="H31091" s="12"/>
      <c r="I31091" s="12"/>
      <c r="J31091" s="12"/>
      <c r="K31091" s="12"/>
      <c r="L31091" s="12"/>
      <c r="M31091" s="11"/>
      <c r="N31091" s="11"/>
      <c r="O31091" s="11"/>
      <c r="P31091" s="11"/>
    </row>
    <row r="31092" spans="8:16" x14ac:dyDescent="0.25">
      <c r="H31092" s="12"/>
      <c r="I31092" s="12"/>
      <c r="J31092" s="12"/>
      <c r="K31092" s="12"/>
      <c r="L31092" s="12"/>
      <c r="M31092" s="11"/>
      <c r="N31092" s="11"/>
      <c r="O31092" s="11"/>
      <c r="P31092" s="11"/>
    </row>
    <row r="31093" spans="8:16" x14ac:dyDescent="0.25">
      <c r="H31093" s="12"/>
      <c r="I31093" s="12"/>
      <c r="J31093" s="12"/>
      <c r="K31093" s="12"/>
      <c r="L31093" s="12"/>
      <c r="M31093" s="11"/>
      <c r="N31093" s="11"/>
      <c r="O31093" s="11"/>
      <c r="P31093" s="11"/>
    </row>
    <row r="31094" spans="8:16" x14ac:dyDescent="0.25">
      <c r="H31094" s="12"/>
      <c r="I31094" s="12"/>
      <c r="J31094" s="12"/>
      <c r="K31094" s="12"/>
      <c r="L31094" s="12"/>
      <c r="M31094" s="11"/>
      <c r="N31094" s="11"/>
      <c r="O31094" s="11"/>
      <c r="P31094" s="11"/>
    </row>
    <row r="31095" spans="8:16" x14ac:dyDescent="0.25">
      <c r="H31095" s="12"/>
      <c r="I31095" s="12"/>
      <c r="J31095" s="12"/>
      <c r="K31095" s="12"/>
      <c r="L31095" s="12"/>
      <c r="M31095" s="11"/>
      <c r="N31095" s="11"/>
      <c r="O31095" s="11"/>
      <c r="P31095" s="11"/>
    </row>
    <row r="31096" spans="8:16" x14ac:dyDescent="0.25">
      <c r="H31096" s="12"/>
      <c r="I31096" s="12"/>
      <c r="J31096" s="12"/>
      <c r="K31096" s="12"/>
      <c r="L31096" s="12"/>
      <c r="M31096" s="11"/>
      <c r="N31096" s="11"/>
      <c r="O31096" s="11"/>
      <c r="P31096" s="11"/>
    </row>
    <row r="31097" spans="8:16" x14ac:dyDescent="0.25">
      <c r="H31097" s="12"/>
      <c r="I31097" s="12"/>
      <c r="J31097" s="12"/>
      <c r="K31097" s="12"/>
      <c r="L31097" s="12"/>
      <c r="M31097" s="11"/>
      <c r="N31097" s="11"/>
      <c r="O31097" s="11"/>
      <c r="P31097" s="11"/>
    </row>
    <row r="31098" spans="8:16" x14ac:dyDescent="0.25">
      <c r="H31098" s="12"/>
      <c r="I31098" s="12"/>
      <c r="J31098" s="12"/>
      <c r="K31098" s="12"/>
      <c r="L31098" s="12"/>
      <c r="M31098" s="11"/>
      <c r="N31098" s="11"/>
      <c r="O31098" s="11"/>
      <c r="P31098" s="11"/>
    </row>
    <row r="31099" spans="8:16" x14ac:dyDescent="0.25">
      <c r="H31099" s="12"/>
      <c r="I31099" s="12"/>
      <c r="J31099" s="12"/>
      <c r="K31099" s="12"/>
      <c r="L31099" s="12"/>
      <c r="M31099" s="11"/>
      <c r="N31099" s="11"/>
      <c r="O31099" s="11"/>
      <c r="P31099" s="11"/>
    </row>
    <row r="31100" spans="8:16" x14ac:dyDescent="0.25">
      <c r="H31100" s="12"/>
      <c r="I31100" s="12"/>
      <c r="J31100" s="12"/>
      <c r="K31100" s="12"/>
      <c r="L31100" s="12"/>
      <c r="M31100" s="11"/>
      <c r="N31100" s="11"/>
      <c r="O31100" s="11"/>
      <c r="P31100" s="11"/>
    </row>
    <row r="31101" spans="8:16" x14ac:dyDescent="0.25">
      <c r="H31101" s="12"/>
      <c r="I31101" s="12"/>
      <c r="J31101" s="12"/>
      <c r="K31101" s="12"/>
      <c r="L31101" s="12"/>
      <c r="M31101" s="11"/>
      <c r="N31101" s="11"/>
      <c r="O31101" s="11"/>
      <c r="P31101" s="11"/>
    </row>
    <row r="31102" spans="8:16" x14ac:dyDescent="0.25">
      <c r="H31102" s="12"/>
      <c r="I31102" s="12"/>
      <c r="J31102" s="12"/>
      <c r="K31102" s="12"/>
      <c r="L31102" s="12"/>
      <c r="M31102" s="11"/>
      <c r="N31102" s="11"/>
      <c r="O31102" s="11"/>
      <c r="P31102" s="11"/>
    </row>
    <row r="31103" spans="8:16" x14ac:dyDescent="0.25">
      <c r="H31103" s="12"/>
      <c r="I31103" s="12"/>
      <c r="J31103" s="12"/>
      <c r="K31103" s="12"/>
      <c r="L31103" s="12"/>
      <c r="M31103" s="11"/>
      <c r="N31103" s="11"/>
      <c r="O31103" s="11"/>
      <c r="P31103" s="11"/>
    </row>
    <row r="31104" spans="8:16" x14ac:dyDescent="0.25">
      <c r="H31104" s="12"/>
      <c r="I31104" s="12"/>
      <c r="J31104" s="12"/>
      <c r="K31104" s="12"/>
      <c r="L31104" s="12"/>
      <c r="M31104" s="11"/>
      <c r="N31104" s="11"/>
      <c r="O31104" s="11"/>
      <c r="P31104" s="11"/>
    </row>
    <row r="31105" spans="8:16" x14ac:dyDescent="0.25">
      <c r="H31105" s="12"/>
      <c r="I31105" s="12"/>
      <c r="J31105" s="12"/>
      <c r="K31105" s="12"/>
      <c r="L31105" s="12"/>
      <c r="M31105" s="11"/>
      <c r="N31105" s="11"/>
      <c r="O31105" s="11"/>
      <c r="P31105" s="11"/>
    </row>
    <row r="31106" spans="8:16" x14ac:dyDescent="0.25">
      <c r="H31106" s="12"/>
      <c r="I31106" s="12"/>
      <c r="J31106" s="12"/>
      <c r="K31106" s="12"/>
      <c r="L31106" s="12"/>
      <c r="M31106" s="11"/>
      <c r="N31106" s="11"/>
      <c r="O31106" s="11"/>
      <c r="P31106" s="11"/>
    </row>
    <row r="31107" spans="8:16" x14ac:dyDescent="0.25">
      <c r="H31107" s="12"/>
      <c r="I31107" s="12"/>
      <c r="J31107" s="12"/>
      <c r="K31107" s="12"/>
      <c r="L31107" s="12"/>
      <c r="M31107" s="11"/>
      <c r="N31107" s="11"/>
      <c r="O31107" s="11"/>
      <c r="P31107" s="11"/>
    </row>
    <row r="31108" spans="8:16" x14ac:dyDescent="0.25">
      <c r="H31108" s="12"/>
      <c r="I31108" s="12"/>
      <c r="J31108" s="12"/>
      <c r="K31108" s="12"/>
      <c r="L31108" s="12"/>
      <c r="M31108" s="11"/>
      <c r="N31108" s="11"/>
      <c r="O31108" s="11"/>
      <c r="P31108" s="11"/>
    </row>
    <row r="31109" spans="8:16" x14ac:dyDescent="0.25">
      <c r="H31109" s="12"/>
      <c r="I31109" s="12"/>
      <c r="J31109" s="12"/>
      <c r="K31109" s="12"/>
      <c r="L31109" s="12"/>
      <c r="M31109" s="11"/>
      <c r="N31109" s="11"/>
      <c r="O31109" s="11"/>
      <c r="P31109" s="11"/>
    </row>
    <row r="31110" spans="8:16" x14ac:dyDescent="0.25">
      <c r="H31110" s="12"/>
      <c r="I31110" s="12"/>
      <c r="J31110" s="12"/>
      <c r="K31110" s="12"/>
      <c r="L31110" s="12"/>
      <c r="M31110" s="11"/>
      <c r="N31110" s="11"/>
      <c r="O31110" s="11"/>
      <c r="P31110" s="11"/>
    </row>
    <row r="31111" spans="8:16" x14ac:dyDescent="0.25">
      <c r="H31111" s="12"/>
      <c r="I31111" s="12"/>
      <c r="J31111" s="12"/>
      <c r="K31111" s="12"/>
      <c r="L31111" s="12"/>
      <c r="M31111" s="11"/>
      <c r="N31111" s="11"/>
      <c r="O31111" s="11"/>
      <c r="P31111" s="11"/>
    </row>
    <row r="31112" spans="8:16" x14ac:dyDescent="0.25">
      <c r="H31112" s="12"/>
      <c r="I31112" s="12"/>
      <c r="J31112" s="12"/>
      <c r="K31112" s="12"/>
      <c r="L31112" s="12"/>
      <c r="M31112" s="11"/>
      <c r="N31112" s="11"/>
      <c r="O31112" s="11"/>
      <c r="P31112" s="11"/>
    </row>
    <row r="31113" spans="8:16" x14ac:dyDescent="0.25">
      <c r="H31113" s="12"/>
      <c r="I31113" s="12"/>
      <c r="J31113" s="12"/>
      <c r="K31113" s="12"/>
      <c r="L31113" s="12"/>
      <c r="M31113" s="11"/>
      <c r="N31113" s="11"/>
      <c r="O31113" s="11"/>
      <c r="P31113" s="11"/>
    </row>
    <row r="31114" spans="8:16" x14ac:dyDescent="0.25">
      <c r="H31114" s="12"/>
      <c r="I31114" s="12"/>
      <c r="J31114" s="12"/>
      <c r="K31114" s="12"/>
      <c r="L31114" s="12"/>
      <c r="M31114" s="11"/>
      <c r="N31114" s="11"/>
      <c r="O31114" s="11"/>
      <c r="P31114" s="11"/>
    </row>
    <row r="31115" spans="8:16" x14ac:dyDescent="0.25">
      <c r="H31115" s="12"/>
      <c r="I31115" s="12"/>
      <c r="J31115" s="12"/>
      <c r="K31115" s="12"/>
      <c r="L31115" s="12"/>
      <c r="M31115" s="11"/>
      <c r="N31115" s="11"/>
      <c r="O31115" s="11"/>
      <c r="P31115" s="11"/>
    </row>
    <row r="31116" spans="8:16" x14ac:dyDescent="0.25">
      <c r="H31116" s="12"/>
      <c r="I31116" s="12"/>
      <c r="J31116" s="12"/>
      <c r="K31116" s="12"/>
      <c r="L31116" s="12"/>
      <c r="M31116" s="11"/>
      <c r="N31116" s="11"/>
      <c r="O31116" s="11"/>
      <c r="P31116" s="11"/>
    </row>
    <row r="31117" spans="8:16" x14ac:dyDescent="0.25">
      <c r="H31117" s="12"/>
      <c r="I31117" s="12"/>
      <c r="J31117" s="12"/>
      <c r="K31117" s="12"/>
      <c r="L31117" s="12"/>
      <c r="M31117" s="11"/>
      <c r="N31117" s="11"/>
      <c r="O31117" s="11"/>
      <c r="P31117" s="11"/>
    </row>
    <row r="31118" spans="8:16" x14ac:dyDescent="0.25">
      <c r="H31118" s="12"/>
      <c r="I31118" s="12"/>
      <c r="J31118" s="12"/>
      <c r="K31118" s="12"/>
      <c r="L31118" s="12"/>
      <c r="M31118" s="11"/>
      <c r="N31118" s="11"/>
      <c r="O31118" s="11"/>
      <c r="P31118" s="11"/>
    </row>
    <row r="31119" spans="8:16" x14ac:dyDescent="0.25">
      <c r="H31119" s="12"/>
      <c r="I31119" s="12"/>
      <c r="J31119" s="12"/>
      <c r="K31119" s="12"/>
      <c r="L31119" s="12"/>
      <c r="M31119" s="11"/>
      <c r="N31119" s="11"/>
      <c r="O31119" s="11"/>
      <c r="P31119" s="11"/>
    </row>
    <row r="31120" spans="8:16" x14ac:dyDescent="0.25">
      <c r="H31120" s="12"/>
      <c r="I31120" s="12"/>
      <c r="J31120" s="12"/>
      <c r="K31120" s="12"/>
      <c r="L31120" s="12"/>
      <c r="M31120" s="11"/>
      <c r="N31120" s="11"/>
      <c r="O31120" s="11"/>
      <c r="P31120" s="11"/>
    </row>
    <row r="31121" spans="8:16" x14ac:dyDescent="0.25">
      <c r="H31121" s="12"/>
      <c r="I31121" s="12"/>
      <c r="J31121" s="12"/>
      <c r="K31121" s="12"/>
      <c r="L31121" s="12"/>
      <c r="M31121" s="11"/>
      <c r="N31121" s="11"/>
      <c r="O31121" s="11"/>
      <c r="P31121" s="11"/>
    </row>
    <row r="31122" spans="8:16" x14ac:dyDescent="0.25">
      <c r="H31122" s="12"/>
      <c r="I31122" s="12"/>
      <c r="J31122" s="12"/>
      <c r="K31122" s="12"/>
      <c r="L31122" s="12"/>
      <c r="M31122" s="11"/>
      <c r="N31122" s="11"/>
      <c r="O31122" s="11"/>
      <c r="P31122" s="11"/>
    </row>
    <row r="31123" spans="8:16" x14ac:dyDescent="0.25">
      <c r="H31123" s="12"/>
      <c r="I31123" s="12"/>
      <c r="J31123" s="12"/>
      <c r="K31123" s="12"/>
      <c r="L31123" s="12"/>
      <c r="M31123" s="11"/>
      <c r="N31123" s="11"/>
      <c r="O31123" s="11"/>
      <c r="P31123" s="11"/>
    </row>
    <row r="31124" spans="8:16" x14ac:dyDescent="0.25">
      <c r="H31124" s="12"/>
      <c r="I31124" s="12"/>
      <c r="J31124" s="12"/>
      <c r="K31124" s="12"/>
      <c r="L31124" s="12"/>
      <c r="M31124" s="11"/>
      <c r="N31124" s="11"/>
      <c r="O31124" s="11"/>
      <c r="P31124" s="11"/>
    </row>
    <row r="31125" spans="8:16" x14ac:dyDescent="0.25">
      <c r="H31125" s="12"/>
      <c r="I31125" s="12"/>
      <c r="J31125" s="12"/>
      <c r="K31125" s="12"/>
      <c r="L31125" s="12"/>
      <c r="M31125" s="11"/>
      <c r="N31125" s="11"/>
      <c r="O31125" s="11"/>
      <c r="P31125" s="11"/>
    </row>
    <row r="31126" spans="8:16" x14ac:dyDescent="0.25">
      <c r="H31126" s="12"/>
      <c r="I31126" s="12"/>
      <c r="J31126" s="12"/>
      <c r="K31126" s="12"/>
      <c r="L31126" s="12"/>
      <c r="M31126" s="11"/>
      <c r="N31126" s="11"/>
      <c r="O31126" s="11"/>
      <c r="P31126" s="11"/>
    </row>
    <row r="31127" spans="8:16" x14ac:dyDescent="0.25">
      <c r="H31127" s="12"/>
      <c r="I31127" s="12"/>
      <c r="J31127" s="12"/>
      <c r="K31127" s="12"/>
      <c r="L31127" s="12"/>
      <c r="M31127" s="11"/>
      <c r="N31127" s="11"/>
      <c r="O31127" s="11"/>
      <c r="P31127" s="11"/>
    </row>
    <row r="31128" spans="8:16" x14ac:dyDescent="0.25">
      <c r="H31128" s="12"/>
      <c r="I31128" s="12"/>
      <c r="J31128" s="12"/>
      <c r="K31128" s="12"/>
      <c r="L31128" s="12"/>
      <c r="M31128" s="11"/>
      <c r="N31128" s="11"/>
      <c r="O31128" s="11"/>
      <c r="P31128" s="11"/>
    </row>
    <row r="31129" spans="8:16" x14ac:dyDescent="0.25">
      <c r="H31129" s="12"/>
      <c r="I31129" s="12"/>
      <c r="J31129" s="12"/>
      <c r="K31129" s="12"/>
      <c r="L31129" s="12"/>
      <c r="M31129" s="11"/>
      <c r="N31129" s="11"/>
      <c r="O31129" s="11"/>
      <c r="P31129" s="11"/>
    </row>
    <row r="31130" spans="8:16" x14ac:dyDescent="0.25">
      <c r="H31130" s="12"/>
      <c r="I31130" s="12"/>
      <c r="J31130" s="12"/>
      <c r="K31130" s="12"/>
      <c r="L31130" s="12"/>
      <c r="M31130" s="11"/>
      <c r="N31130" s="11"/>
      <c r="O31130" s="11"/>
      <c r="P31130" s="11"/>
    </row>
    <row r="31131" spans="8:16" x14ac:dyDescent="0.25">
      <c r="H31131" s="12"/>
      <c r="I31131" s="12"/>
      <c r="J31131" s="12"/>
      <c r="K31131" s="12"/>
      <c r="L31131" s="12"/>
      <c r="M31131" s="11"/>
      <c r="N31131" s="11"/>
      <c r="O31131" s="11"/>
      <c r="P31131" s="11"/>
    </row>
    <row r="31132" spans="8:16" x14ac:dyDescent="0.25">
      <c r="H31132" s="12"/>
      <c r="I31132" s="12"/>
      <c r="J31132" s="12"/>
      <c r="K31132" s="12"/>
      <c r="L31132" s="12"/>
      <c r="M31132" s="11"/>
      <c r="N31132" s="11"/>
      <c r="O31132" s="11"/>
      <c r="P31132" s="11"/>
    </row>
    <row r="31133" spans="8:16" x14ac:dyDescent="0.25">
      <c r="H31133" s="12"/>
      <c r="I31133" s="12"/>
      <c r="J31133" s="12"/>
      <c r="K31133" s="12"/>
      <c r="L31133" s="12"/>
      <c r="M31133" s="11"/>
      <c r="N31133" s="11"/>
      <c r="O31133" s="11"/>
      <c r="P31133" s="11"/>
    </row>
    <row r="31134" spans="8:16" x14ac:dyDescent="0.25">
      <c r="H31134" s="12"/>
      <c r="I31134" s="12"/>
      <c r="J31134" s="12"/>
      <c r="K31134" s="12"/>
      <c r="L31134" s="12"/>
      <c r="M31134" s="11"/>
      <c r="N31134" s="11"/>
      <c r="O31134" s="11"/>
      <c r="P31134" s="11"/>
    </row>
    <row r="31135" spans="8:16" x14ac:dyDescent="0.25">
      <c r="H31135" s="12"/>
      <c r="I31135" s="12"/>
      <c r="J31135" s="12"/>
      <c r="K31135" s="12"/>
      <c r="L31135" s="12"/>
      <c r="M31135" s="11"/>
      <c r="N31135" s="11"/>
      <c r="O31135" s="11"/>
      <c r="P31135" s="11"/>
    </row>
    <row r="31136" spans="8:16" x14ac:dyDescent="0.25">
      <c r="H31136" s="12"/>
      <c r="I31136" s="12"/>
      <c r="J31136" s="12"/>
      <c r="K31136" s="12"/>
      <c r="L31136" s="12"/>
      <c r="M31136" s="11"/>
      <c r="N31136" s="11"/>
      <c r="O31136" s="11"/>
      <c r="P31136" s="11"/>
    </row>
    <row r="31137" spans="8:16" x14ac:dyDescent="0.25">
      <c r="H31137" s="12"/>
      <c r="I31137" s="12"/>
      <c r="J31137" s="12"/>
      <c r="K31137" s="12"/>
      <c r="L31137" s="12"/>
      <c r="M31137" s="11"/>
      <c r="N31137" s="11"/>
      <c r="O31137" s="11"/>
      <c r="P31137" s="11"/>
    </row>
    <row r="31138" spans="8:16" x14ac:dyDescent="0.25">
      <c r="H31138" s="12"/>
      <c r="I31138" s="12"/>
      <c r="J31138" s="12"/>
      <c r="K31138" s="12"/>
      <c r="L31138" s="12"/>
      <c r="M31138" s="11"/>
      <c r="N31138" s="11"/>
      <c r="O31138" s="11"/>
      <c r="P31138" s="11"/>
    </row>
    <row r="31139" spans="8:16" x14ac:dyDescent="0.25">
      <c r="H31139" s="12"/>
      <c r="I31139" s="12"/>
      <c r="J31139" s="12"/>
      <c r="K31139" s="12"/>
      <c r="L31139" s="12"/>
      <c r="M31139" s="11"/>
      <c r="N31139" s="11"/>
      <c r="O31139" s="11"/>
      <c r="P31139" s="11"/>
    </row>
    <row r="31140" spans="8:16" x14ac:dyDescent="0.25">
      <c r="H31140" s="12"/>
      <c r="I31140" s="12"/>
      <c r="J31140" s="12"/>
      <c r="K31140" s="12"/>
      <c r="L31140" s="12"/>
      <c r="M31140" s="11"/>
      <c r="N31140" s="11"/>
      <c r="O31140" s="11"/>
      <c r="P31140" s="11"/>
    </row>
    <row r="31141" spans="8:16" x14ac:dyDescent="0.25">
      <c r="H31141" s="12"/>
      <c r="I31141" s="12"/>
      <c r="J31141" s="12"/>
      <c r="K31141" s="12"/>
      <c r="L31141" s="12"/>
      <c r="M31141" s="11"/>
      <c r="N31141" s="11"/>
      <c r="O31141" s="11"/>
      <c r="P31141" s="11"/>
    </row>
    <row r="31142" spans="8:16" x14ac:dyDescent="0.25">
      <c r="H31142" s="12"/>
      <c r="I31142" s="12"/>
      <c r="J31142" s="12"/>
      <c r="K31142" s="12"/>
      <c r="L31142" s="12"/>
      <c r="M31142" s="11"/>
      <c r="N31142" s="11"/>
      <c r="O31142" s="11"/>
      <c r="P31142" s="11"/>
    </row>
    <row r="31143" spans="8:16" x14ac:dyDescent="0.25">
      <c r="H31143" s="12"/>
      <c r="I31143" s="12"/>
      <c r="J31143" s="12"/>
      <c r="K31143" s="12"/>
      <c r="L31143" s="12"/>
      <c r="M31143" s="11"/>
      <c r="N31143" s="11"/>
      <c r="O31143" s="11"/>
      <c r="P31143" s="11"/>
    </row>
    <row r="31144" spans="8:16" x14ac:dyDescent="0.25">
      <c r="H31144" s="12"/>
      <c r="I31144" s="12"/>
      <c r="J31144" s="12"/>
      <c r="K31144" s="12"/>
      <c r="L31144" s="12"/>
      <c r="M31144" s="11"/>
      <c r="N31144" s="11"/>
      <c r="O31144" s="11"/>
      <c r="P31144" s="11"/>
    </row>
    <row r="31145" spans="8:16" x14ac:dyDescent="0.25">
      <c r="H31145" s="12"/>
      <c r="I31145" s="12"/>
      <c r="J31145" s="12"/>
      <c r="K31145" s="12"/>
      <c r="L31145" s="12"/>
      <c r="M31145" s="11"/>
      <c r="N31145" s="11"/>
      <c r="O31145" s="11"/>
      <c r="P31145" s="11"/>
    </row>
    <row r="31146" spans="8:16" x14ac:dyDescent="0.25">
      <c r="H31146" s="12"/>
      <c r="I31146" s="12"/>
      <c r="J31146" s="12"/>
      <c r="K31146" s="12"/>
      <c r="L31146" s="12"/>
      <c r="M31146" s="11"/>
      <c r="N31146" s="11"/>
      <c r="O31146" s="11"/>
      <c r="P31146" s="11"/>
    </row>
    <row r="31147" spans="8:16" x14ac:dyDescent="0.25">
      <c r="H31147" s="12"/>
      <c r="I31147" s="12"/>
      <c r="J31147" s="12"/>
      <c r="K31147" s="12"/>
      <c r="L31147" s="12"/>
      <c r="M31147" s="11"/>
      <c r="N31147" s="11"/>
      <c r="O31147" s="11"/>
      <c r="P31147" s="11"/>
    </row>
    <row r="31148" spans="8:16" x14ac:dyDescent="0.25">
      <c r="H31148" s="12"/>
      <c r="I31148" s="12"/>
      <c r="J31148" s="12"/>
      <c r="K31148" s="12"/>
      <c r="L31148" s="12"/>
      <c r="M31148" s="11"/>
      <c r="N31148" s="11"/>
      <c r="O31148" s="11"/>
      <c r="P31148" s="11"/>
    </row>
    <row r="31149" spans="8:16" x14ac:dyDescent="0.25">
      <c r="H31149" s="12"/>
      <c r="I31149" s="12"/>
      <c r="J31149" s="12"/>
      <c r="K31149" s="12"/>
      <c r="L31149" s="12"/>
      <c r="M31149" s="11"/>
      <c r="N31149" s="11"/>
      <c r="O31149" s="11"/>
      <c r="P31149" s="11"/>
    </row>
    <row r="31150" spans="8:16" x14ac:dyDescent="0.25">
      <c r="H31150" s="12"/>
      <c r="I31150" s="12"/>
      <c r="J31150" s="12"/>
      <c r="K31150" s="12"/>
      <c r="L31150" s="12"/>
      <c r="M31150" s="11"/>
      <c r="N31150" s="11"/>
      <c r="O31150" s="11"/>
      <c r="P31150" s="11"/>
    </row>
    <row r="31151" spans="8:16" x14ac:dyDescent="0.25">
      <c r="H31151" s="12"/>
      <c r="I31151" s="12"/>
      <c r="J31151" s="12"/>
      <c r="K31151" s="12"/>
      <c r="L31151" s="12"/>
      <c r="M31151" s="11"/>
      <c r="N31151" s="11"/>
      <c r="O31151" s="11"/>
      <c r="P31151" s="11"/>
    </row>
    <row r="31152" spans="8:16" x14ac:dyDescent="0.25">
      <c r="H31152" s="12"/>
      <c r="I31152" s="12"/>
      <c r="J31152" s="12"/>
      <c r="K31152" s="12"/>
      <c r="L31152" s="12"/>
      <c r="M31152" s="11"/>
      <c r="N31152" s="11"/>
      <c r="O31152" s="11"/>
      <c r="P31152" s="11"/>
    </row>
    <row r="31153" spans="8:16" x14ac:dyDescent="0.25">
      <c r="H31153" s="12"/>
      <c r="I31153" s="12"/>
      <c r="J31153" s="12"/>
      <c r="K31153" s="12"/>
      <c r="L31153" s="12"/>
      <c r="M31153" s="11"/>
      <c r="N31153" s="11"/>
      <c r="O31153" s="11"/>
      <c r="P31153" s="11"/>
    </row>
    <row r="31154" spans="8:16" x14ac:dyDescent="0.25">
      <c r="H31154" s="12"/>
      <c r="I31154" s="12"/>
      <c r="J31154" s="12"/>
      <c r="K31154" s="12"/>
      <c r="L31154" s="12"/>
      <c r="M31154" s="11"/>
      <c r="N31154" s="11"/>
      <c r="O31154" s="11"/>
      <c r="P31154" s="11"/>
    </row>
    <row r="31155" spans="8:16" x14ac:dyDescent="0.25">
      <c r="H31155" s="12"/>
      <c r="I31155" s="12"/>
      <c r="J31155" s="12"/>
      <c r="K31155" s="12"/>
      <c r="L31155" s="12"/>
      <c r="M31155" s="11"/>
      <c r="N31155" s="11"/>
      <c r="O31155" s="11"/>
      <c r="P31155" s="11"/>
    </row>
    <row r="31156" spans="8:16" x14ac:dyDescent="0.25">
      <c r="H31156" s="12"/>
      <c r="I31156" s="12"/>
      <c r="J31156" s="12"/>
      <c r="K31156" s="12"/>
      <c r="L31156" s="12"/>
      <c r="M31156" s="11"/>
      <c r="N31156" s="11"/>
      <c r="O31156" s="11"/>
      <c r="P31156" s="11"/>
    </row>
    <row r="31157" spans="8:16" x14ac:dyDescent="0.25">
      <c r="H31157" s="12"/>
      <c r="I31157" s="12"/>
      <c r="J31157" s="12"/>
      <c r="K31157" s="12"/>
      <c r="L31157" s="12"/>
      <c r="M31157" s="11"/>
      <c r="N31157" s="11"/>
      <c r="O31157" s="11"/>
      <c r="P31157" s="11"/>
    </row>
    <row r="31158" spans="8:16" x14ac:dyDescent="0.25">
      <c r="H31158" s="12"/>
      <c r="I31158" s="12"/>
      <c r="J31158" s="12"/>
      <c r="K31158" s="12"/>
      <c r="L31158" s="12"/>
      <c r="M31158" s="11"/>
      <c r="N31158" s="11"/>
      <c r="O31158" s="11"/>
      <c r="P31158" s="11"/>
    </row>
    <row r="31159" spans="8:16" x14ac:dyDescent="0.25">
      <c r="H31159" s="12"/>
      <c r="I31159" s="12"/>
      <c r="J31159" s="12"/>
      <c r="K31159" s="12"/>
      <c r="L31159" s="12"/>
      <c r="M31159" s="11"/>
      <c r="N31159" s="11"/>
      <c r="O31159" s="11"/>
      <c r="P31159" s="11"/>
    </row>
    <row r="31160" spans="8:16" x14ac:dyDescent="0.25">
      <c r="H31160" s="12"/>
      <c r="I31160" s="12"/>
      <c r="J31160" s="12"/>
      <c r="K31160" s="12"/>
      <c r="L31160" s="12"/>
      <c r="M31160" s="11"/>
      <c r="N31160" s="11"/>
      <c r="O31160" s="11"/>
      <c r="P31160" s="11"/>
    </row>
    <row r="31161" spans="8:16" x14ac:dyDescent="0.25">
      <c r="H31161" s="12"/>
      <c r="I31161" s="12"/>
      <c r="J31161" s="12"/>
      <c r="K31161" s="12"/>
      <c r="L31161" s="12"/>
      <c r="M31161" s="11"/>
      <c r="N31161" s="11"/>
      <c r="O31161" s="11"/>
      <c r="P31161" s="11"/>
    </row>
    <row r="31162" spans="8:16" x14ac:dyDescent="0.25">
      <c r="H31162" s="12"/>
      <c r="I31162" s="12"/>
      <c r="J31162" s="12"/>
      <c r="K31162" s="12"/>
      <c r="L31162" s="12"/>
      <c r="M31162" s="11"/>
      <c r="N31162" s="11"/>
      <c r="O31162" s="11"/>
      <c r="P31162" s="11"/>
    </row>
    <row r="31163" spans="8:16" x14ac:dyDescent="0.25">
      <c r="H31163" s="12"/>
      <c r="I31163" s="12"/>
      <c r="J31163" s="12"/>
      <c r="K31163" s="12"/>
      <c r="L31163" s="12"/>
      <c r="M31163" s="11"/>
      <c r="N31163" s="11"/>
      <c r="O31163" s="11"/>
      <c r="P31163" s="11"/>
    </row>
    <row r="31164" spans="8:16" x14ac:dyDescent="0.25">
      <c r="H31164" s="12"/>
      <c r="I31164" s="12"/>
      <c r="J31164" s="12"/>
      <c r="K31164" s="12"/>
      <c r="L31164" s="12"/>
      <c r="M31164" s="11"/>
      <c r="N31164" s="11"/>
      <c r="O31164" s="11"/>
      <c r="P31164" s="11"/>
    </row>
    <row r="31165" spans="8:16" x14ac:dyDescent="0.25">
      <c r="H31165" s="12"/>
      <c r="I31165" s="12"/>
      <c r="J31165" s="12"/>
      <c r="K31165" s="12"/>
      <c r="L31165" s="12"/>
      <c r="M31165" s="11"/>
      <c r="N31165" s="11"/>
      <c r="O31165" s="11"/>
      <c r="P31165" s="11"/>
    </row>
    <row r="31166" spans="8:16" x14ac:dyDescent="0.25">
      <c r="H31166" s="12"/>
      <c r="I31166" s="12"/>
      <c r="J31166" s="12"/>
      <c r="K31166" s="12"/>
      <c r="L31166" s="12"/>
      <c r="M31166" s="11"/>
      <c r="N31166" s="11"/>
      <c r="O31166" s="11"/>
      <c r="P31166" s="11"/>
    </row>
    <row r="31167" spans="8:16" x14ac:dyDescent="0.25">
      <c r="H31167" s="12"/>
      <c r="I31167" s="12"/>
      <c r="J31167" s="12"/>
      <c r="K31167" s="12"/>
      <c r="L31167" s="12"/>
      <c r="M31167" s="11"/>
      <c r="N31167" s="11"/>
      <c r="O31167" s="11"/>
      <c r="P31167" s="11"/>
    </row>
    <row r="31168" spans="8:16" x14ac:dyDescent="0.25">
      <c r="H31168" s="12"/>
      <c r="I31168" s="12"/>
      <c r="J31168" s="12"/>
      <c r="K31168" s="12"/>
      <c r="L31168" s="12"/>
      <c r="M31168" s="11"/>
      <c r="N31168" s="11"/>
      <c r="O31168" s="11"/>
      <c r="P31168" s="11"/>
    </row>
    <row r="31169" spans="8:16" x14ac:dyDescent="0.25">
      <c r="H31169" s="12"/>
      <c r="I31169" s="12"/>
      <c r="J31169" s="12"/>
      <c r="K31169" s="12"/>
      <c r="L31169" s="12"/>
      <c r="M31169" s="11"/>
      <c r="N31169" s="11"/>
      <c r="O31169" s="11"/>
      <c r="P31169" s="11"/>
    </row>
    <row r="31170" spans="8:16" x14ac:dyDescent="0.25">
      <c r="H31170" s="12"/>
      <c r="I31170" s="12"/>
      <c r="J31170" s="12"/>
      <c r="K31170" s="12"/>
      <c r="L31170" s="12"/>
      <c r="M31170" s="11"/>
      <c r="N31170" s="11"/>
      <c r="O31170" s="11"/>
      <c r="P31170" s="11"/>
    </row>
    <row r="31171" spans="8:16" x14ac:dyDescent="0.25">
      <c r="H31171" s="12"/>
      <c r="I31171" s="12"/>
      <c r="J31171" s="12"/>
      <c r="K31171" s="12"/>
      <c r="L31171" s="12"/>
      <c r="M31171" s="11"/>
      <c r="N31171" s="11"/>
      <c r="O31171" s="11"/>
      <c r="P31171" s="11"/>
    </row>
    <row r="31172" spans="8:16" x14ac:dyDescent="0.25">
      <c r="H31172" s="12"/>
      <c r="I31172" s="12"/>
      <c r="J31172" s="12"/>
      <c r="K31172" s="12"/>
      <c r="L31172" s="12"/>
      <c r="M31172" s="11"/>
      <c r="N31172" s="11"/>
      <c r="O31172" s="11"/>
      <c r="P31172" s="11"/>
    </row>
    <row r="31173" spans="8:16" x14ac:dyDescent="0.25">
      <c r="H31173" s="12"/>
      <c r="I31173" s="12"/>
      <c r="J31173" s="12"/>
      <c r="K31173" s="12"/>
      <c r="L31173" s="12"/>
      <c r="M31173" s="11"/>
      <c r="N31173" s="11"/>
      <c r="O31173" s="11"/>
      <c r="P31173" s="11"/>
    </row>
    <row r="31174" spans="8:16" x14ac:dyDescent="0.25">
      <c r="H31174" s="12"/>
      <c r="I31174" s="12"/>
      <c r="J31174" s="12"/>
      <c r="K31174" s="12"/>
      <c r="L31174" s="12"/>
      <c r="M31174" s="11"/>
      <c r="N31174" s="11"/>
      <c r="O31174" s="11"/>
      <c r="P31174" s="11"/>
    </row>
    <row r="31175" spans="8:16" x14ac:dyDescent="0.25">
      <c r="H31175" s="12"/>
      <c r="I31175" s="12"/>
      <c r="J31175" s="12"/>
      <c r="K31175" s="12"/>
      <c r="L31175" s="12"/>
      <c r="M31175" s="11"/>
      <c r="N31175" s="11"/>
      <c r="O31175" s="11"/>
      <c r="P31175" s="11"/>
    </row>
    <row r="31176" spans="8:16" x14ac:dyDescent="0.25">
      <c r="H31176" s="12"/>
      <c r="I31176" s="12"/>
      <c r="J31176" s="12"/>
      <c r="K31176" s="12"/>
      <c r="L31176" s="12"/>
      <c r="M31176" s="11"/>
      <c r="N31176" s="11"/>
      <c r="O31176" s="11"/>
      <c r="P31176" s="11"/>
    </row>
    <row r="31177" spans="8:16" x14ac:dyDescent="0.25">
      <c r="H31177" s="12"/>
      <c r="I31177" s="12"/>
      <c r="J31177" s="12"/>
      <c r="K31177" s="12"/>
      <c r="L31177" s="12"/>
      <c r="M31177" s="11"/>
      <c r="N31177" s="11"/>
      <c r="O31177" s="11"/>
      <c r="P31177" s="11"/>
    </row>
    <row r="31178" spans="8:16" x14ac:dyDescent="0.25">
      <c r="H31178" s="12"/>
      <c r="I31178" s="12"/>
      <c r="J31178" s="12"/>
      <c r="K31178" s="12"/>
      <c r="L31178" s="12"/>
      <c r="M31178" s="11"/>
      <c r="N31178" s="11"/>
      <c r="O31178" s="11"/>
      <c r="P31178" s="11"/>
    </row>
    <row r="31179" spans="8:16" x14ac:dyDescent="0.25">
      <c r="H31179" s="12"/>
      <c r="I31179" s="12"/>
      <c r="J31179" s="12"/>
      <c r="K31179" s="12"/>
      <c r="L31179" s="12"/>
      <c r="M31179" s="11"/>
      <c r="N31179" s="11"/>
      <c r="O31179" s="11"/>
      <c r="P31179" s="11"/>
    </row>
    <row r="31180" spans="8:16" x14ac:dyDescent="0.25">
      <c r="H31180" s="12"/>
      <c r="I31180" s="12"/>
      <c r="J31180" s="12"/>
      <c r="K31180" s="12"/>
      <c r="L31180" s="12"/>
      <c r="M31180" s="11"/>
      <c r="N31180" s="11"/>
      <c r="O31180" s="11"/>
      <c r="P31180" s="11"/>
    </row>
    <row r="31181" spans="8:16" x14ac:dyDescent="0.25">
      <c r="H31181" s="12"/>
      <c r="I31181" s="12"/>
      <c r="J31181" s="12"/>
      <c r="K31181" s="12"/>
      <c r="L31181" s="12"/>
      <c r="M31181" s="11"/>
      <c r="N31181" s="11"/>
      <c r="O31181" s="11"/>
      <c r="P31181" s="11"/>
    </row>
    <row r="31182" spans="8:16" x14ac:dyDescent="0.25">
      <c r="H31182" s="12"/>
      <c r="I31182" s="12"/>
      <c r="J31182" s="12"/>
      <c r="K31182" s="12"/>
      <c r="L31182" s="12"/>
      <c r="M31182" s="11"/>
      <c r="N31182" s="11"/>
      <c r="O31182" s="11"/>
      <c r="P31182" s="11"/>
    </row>
    <row r="31183" spans="8:16" x14ac:dyDescent="0.25">
      <c r="H31183" s="12"/>
      <c r="I31183" s="12"/>
      <c r="J31183" s="12"/>
      <c r="K31183" s="12"/>
      <c r="L31183" s="12"/>
      <c r="M31183" s="11"/>
      <c r="N31183" s="11"/>
      <c r="O31183" s="11"/>
      <c r="P31183" s="11"/>
    </row>
    <row r="31184" spans="8:16" x14ac:dyDescent="0.25">
      <c r="H31184" s="12"/>
      <c r="I31184" s="12"/>
      <c r="J31184" s="12"/>
      <c r="K31184" s="12"/>
      <c r="L31184" s="12"/>
      <c r="M31184" s="11"/>
      <c r="N31184" s="11"/>
      <c r="O31184" s="11"/>
      <c r="P31184" s="11"/>
    </row>
    <row r="31185" spans="8:16" x14ac:dyDescent="0.25">
      <c r="H31185" s="12"/>
      <c r="I31185" s="12"/>
      <c r="J31185" s="12"/>
      <c r="K31185" s="12"/>
      <c r="L31185" s="12"/>
      <c r="M31185" s="11"/>
      <c r="N31185" s="11"/>
      <c r="O31185" s="11"/>
      <c r="P31185" s="11"/>
    </row>
    <row r="31186" spans="8:16" x14ac:dyDescent="0.25">
      <c r="H31186" s="12"/>
      <c r="I31186" s="12"/>
      <c r="J31186" s="12"/>
      <c r="K31186" s="12"/>
      <c r="L31186" s="12"/>
      <c r="M31186" s="11"/>
      <c r="N31186" s="11"/>
      <c r="O31186" s="11"/>
      <c r="P31186" s="11"/>
    </row>
    <row r="31187" spans="8:16" x14ac:dyDescent="0.25">
      <c r="H31187" s="12"/>
      <c r="I31187" s="12"/>
      <c r="J31187" s="12"/>
      <c r="K31187" s="12"/>
      <c r="L31187" s="12"/>
      <c r="M31187" s="11"/>
      <c r="N31187" s="11"/>
      <c r="O31187" s="11"/>
      <c r="P31187" s="11"/>
    </row>
    <row r="31188" spans="8:16" x14ac:dyDescent="0.25">
      <c r="H31188" s="12"/>
      <c r="I31188" s="12"/>
      <c r="J31188" s="12"/>
      <c r="K31188" s="12"/>
      <c r="L31188" s="12"/>
      <c r="M31188" s="11"/>
      <c r="N31188" s="11"/>
      <c r="O31188" s="11"/>
      <c r="P31188" s="11"/>
    </row>
    <row r="31189" spans="8:16" x14ac:dyDescent="0.25">
      <c r="H31189" s="12"/>
      <c r="I31189" s="12"/>
      <c r="J31189" s="12"/>
      <c r="K31189" s="12"/>
      <c r="L31189" s="12"/>
      <c r="M31189" s="11"/>
      <c r="N31189" s="11"/>
      <c r="O31189" s="11"/>
      <c r="P31189" s="11"/>
    </row>
    <row r="31190" spans="8:16" x14ac:dyDescent="0.25">
      <c r="H31190" s="12"/>
      <c r="I31190" s="12"/>
      <c r="J31190" s="12"/>
      <c r="K31190" s="12"/>
      <c r="L31190" s="12"/>
      <c r="M31190" s="11"/>
      <c r="N31190" s="11"/>
      <c r="O31190" s="11"/>
      <c r="P31190" s="11"/>
    </row>
    <row r="31191" spans="8:16" x14ac:dyDescent="0.25">
      <c r="H31191" s="12"/>
      <c r="I31191" s="12"/>
      <c r="J31191" s="12"/>
      <c r="K31191" s="12"/>
      <c r="L31191" s="12"/>
      <c r="M31191" s="11"/>
      <c r="N31191" s="11"/>
      <c r="O31191" s="11"/>
      <c r="P31191" s="11"/>
    </row>
    <row r="31192" spans="8:16" x14ac:dyDescent="0.25">
      <c r="H31192" s="12"/>
      <c r="I31192" s="12"/>
      <c r="J31192" s="12"/>
      <c r="K31192" s="12"/>
      <c r="L31192" s="12"/>
      <c r="M31192" s="11"/>
      <c r="N31192" s="11"/>
      <c r="O31192" s="11"/>
      <c r="P31192" s="11"/>
    </row>
    <row r="31193" spans="8:16" x14ac:dyDescent="0.25">
      <c r="H31193" s="12"/>
      <c r="I31193" s="12"/>
      <c r="J31193" s="12"/>
      <c r="K31193" s="12"/>
      <c r="L31193" s="12"/>
      <c r="M31193" s="11"/>
      <c r="N31193" s="11"/>
      <c r="O31193" s="11"/>
      <c r="P31193" s="11"/>
    </row>
    <row r="31194" spans="8:16" x14ac:dyDescent="0.25">
      <c r="H31194" s="12"/>
      <c r="I31194" s="12"/>
      <c r="J31194" s="12"/>
      <c r="K31194" s="12"/>
      <c r="L31194" s="12"/>
      <c r="M31194" s="11"/>
      <c r="N31194" s="11"/>
      <c r="O31194" s="11"/>
      <c r="P31194" s="11"/>
    </row>
    <row r="31195" spans="8:16" x14ac:dyDescent="0.25">
      <c r="H31195" s="12"/>
      <c r="I31195" s="12"/>
      <c r="J31195" s="12"/>
      <c r="K31195" s="12"/>
      <c r="L31195" s="12"/>
      <c r="M31195" s="11"/>
      <c r="N31195" s="11"/>
      <c r="O31195" s="11"/>
      <c r="P31195" s="11"/>
    </row>
    <row r="31196" spans="8:16" x14ac:dyDescent="0.25">
      <c r="H31196" s="12"/>
      <c r="I31196" s="12"/>
      <c r="J31196" s="12"/>
      <c r="K31196" s="12"/>
      <c r="L31196" s="12"/>
      <c r="M31196" s="11"/>
      <c r="N31196" s="11"/>
      <c r="O31196" s="11"/>
      <c r="P31196" s="11"/>
    </row>
    <row r="31197" spans="8:16" x14ac:dyDescent="0.25">
      <c r="H31197" s="12"/>
      <c r="I31197" s="12"/>
      <c r="J31197" s="12"/>
      <c r="K31197" s="12"/>
      <c r="L31197" s="12"/>
      <c r="M31197" s="11"/>
      <c r="N31197" s="11"/>
      <c r="O31197" s="11"/>
      <c r="P31197" s="11"/>
    </row>
    <row r="31198" spans="8:16" x14ac:dyDescent="0.25">
      <c r="H31198" s="12"/>
      <c r="I31198" s="12"/>
      <c r="J31198" s="12"/>
      <c r="K31198" s="12"/>
      <c r="L31198" s="12"/>
      <c r="M31198" s="11"/>
      <c r="N31198" s="11"/>
      <c r="O31198" s="11"/>
      <c r="P31198" s="11"/>
    </row>
    <row r="31199" spans="8:16" x14ac:dyDescent="0.25">
      <c r="H31199" s="12"/>
      <c r="I31199" s="12"/>
      <c r="J31199" s="12"/>
      <c r="K31199" s="12"/>
      <c r="L31199" s="12"/>
      <c r="M31199" s="11"/>
      <c r="N31199" s="11"/>
      <c r="O31199" s="11"/>
      <c r="P31199" s="11"/>
    </row>
    <row r="31200" spans="8:16" x14ac:dyDescent="0.25">
      <c r="H31200" s="12"/>
      <c r="I31200" s="12"/>
      <c r="J31200" s="12"/>
      <c r="K31200" s="12"/>
      <c r="L31200" s="12"/>
      <c r="M31200" s="11"/>
      <c r="N31200" s="11"/>
      <c r="O31200" s="11"/>
      <c r="P31200" s="11"/>
    </row>
    <row r="31201" spans="8:16" x14ac:dyDescent="0.25">
      <c r="H31201" s="12"/>
      <c r="I31201" s="12"/>
      <c r="J31201" s="12"/>
      <c r="K31201" s="12"/>
      <c r="L31201" s="12"/>
      <c r="M31201" s="11"/>
      <c r="N31201" s="11"/>
      <c r="O31201" s="11"/>
      <c r="P31201" s="11"/>
    </row>
    <row r="31202" spans="8:16" x14ac:dyDescent="0.25">
      <c r="H31202" s="12"/>
      <c r="I31202" s="12"/>
      <c r="J31202" s="12"/>
      <c r="K31202" s="12"/>
      <c r="L31202" s="12"/>
      <c r="M31202" s="11"/>
      <c r="N31202" s="11"/>
      <c r="O31202" s="11"/>
      <c r="P31202" s="11"/>
    </row>
    <row r="31203" spans="8:16" x14ac:dyDescent="0.25">
      <c r="H31203" s="12"/>
      <c r="I31203" s="12"/>
      <c r="J31203" s="12"/>
      <c r="K31203" s="12"/>
      <c r="L31203" s="12"/>
      <c r="M31203" s="11"/>
      <c r="N31203" s="11"/>
      <c r="O31203" s="11"/>
      <c r="P31203" s="11"/>
    </row>
    <row r="31204" spans="8:16" x14ac:dyDescent="0.25">
      <c r="H31204" s="12"/>
      <c r="I31204" s="12"/>
      <c r="J31204" s="12"/>
      <c r="K31204" s="12"/>
      <c r="L31204" s="12"/>
      <c r="M31204" s="11"/>
      <c r="N31204" s="11"/>
      <c r="O31204" s="11"/>
      <c r="P31204" s="11"/>
    </row>
    <row r="31205" spans="8:16" x14ac:dyDescent="0.25">
      <c r="H31205" s="12"/>
      <c r="I31205" s="12"/>
      <c r="J31205" s="12"/>
      <c r="K31205" s="12"/>
      <c r="L31205" s="12"/>
      <c r="M31205" s="11"/>
      <c r="N31205" s="11"/>
      <c r="O31205" s="11"/>
      <c r="P31205" s="11"/>
    </row>
    <row r="31206" spans="8:16" x14ac:dyDescent="0.25">
      <c r="H31206" s="12"/>
      <c r="I31206" s="12"/>
      <c r="J31206" s="12"/>
      <c r="K31206" s="12"/>
      <c r="L31206" s="12"/>
      <c r="M31206" s="11"/>
      <c r="N31206" s="11"/>
      <c r="O31206" s="11"/>
      <c r="P31206" s="11"/>
    </row>
    <row r="31207" spans="8:16" x14ac:dyDescent="0.25">
      <c r="H31207" s="12"/>
      <c r="I31207" s="12"/>
      <c r="J31207" s="12"/>
      <c r="K31207" s="12"/>
      <c r="L31207" s="12"/>
      <c r="M31207" s="11"/>
      <c r="N31207" s="11"/>
      <c r="O31207" s="11"/>
      <c r="P31207" s="11"/>
    </row>
    <row r="31208" spans="8:16" x14ac:dyDescent="0.25">
      <c r="H31208" s="12"/>
      <c r="I31208" s="12"/>
      <c r="J31208" s="12"/>
      <c r="K31208" s="12"/>
      <c r="L31208" s="12"/>
      <c r="M31208" s="11"/>
      <c r="N31208" s="11"/>
      <c r="O31208" s="11"/>
      <c r="P31208" s="11"/>
    </row>
    <row r="31209" spans="8:16" x14ac:dyDescent="0.25">
      <c r="H31209" s="12"/>
      <c r="I31209" s="12"/>
      <c r="J31209" s="12"/>
      <c r="K31209" s="12"/>
      <c r="L31209" s="12"/>
      <c r="M31209" s="11"/>
      <c r="N31209" s="11"/>
      <c r="O31209" s="11"/>
      <c r="P31209" s="11"/>
    </row>
    <row r="31210" spans="8:16" x14ac:dyDescent="0.25">
      <c r="H31210" s="12"/>
      <c r="I31210" s="12"/>
      <c r="J31210" s="12"/>
      <c r="K31210" s="12"/>
      <c r="L31210" s="12"/>
      <c r="M31210" s="11"/>
      <c r="N31210" s="11"/>
      <c r="O31210" s="11"/>
      <c r="P31210" s="11"/>
    </row>
    <row r="31211" spans="8:16" x14ac:dyDescent="0.25">
      <c r="H31211" s="12"/>
      <c r="I31211" s="12"/>
      <c r="J31211" s="12"/>
      <c r="K31211" s="12"/>
      <c r="L31211" s="12"/>
      <c r="M31211" s="11"/>
      <c r="N31211" s="11"/>
      <c r="O31211" s="11"/>
      <c r="P31211" s="11"/>
    </row>
    <row r="31212" spans="8:16" x14ac:dyDescent="0.25">
      <c r="H31212" s="12"/>
      <c r="I31212" s="12"/>
      <c r="J31212" s="12"/>
      <c r="K31212" s="12"/>
      <c r="L31212" s="12"/>
      <c r="M31212" s="11"/>
      <c r="N31212" s="11"/>
      <c r="O31212" s="11"/>
      <c r="P31212" s="11"/>
    </row>
    <row r="31213" spans="8:16" x14ac:dyDescent="0.25">
      <c r="H31213" s="12"/>
      <c r="I31213" s="12"/>
      <c r="J31213" s="12"/>
      <c r="K31213" s="12"/>
      <c r="L31213" s="12"/>
      <c r="M31213" s="11"/>
      <c r="N31213" s="11"/>
      <c r="O31213" s="11"/>
      <c r="P31213" s="11"/>
    </row>
    <row r="31214" spans="8:16" x14ac:dyDescent="0.25">
      <c r="H31214" s="12"/>
      <c r="I31214" s="12"/>
      <c r="J31214" s="12"/>
      <c r="K31214" s="12"/>
      <c r="L31214" s="12"/>
      <c r="M31214" s="11"/>
      <c r="N31214" s="11"/>
      <c r="O31214" s="11"/>
      <c r="P31214" s="11"/>
    </row>
    <row r="31215" spans="8:16" x14ac:dyDescent="0.25">
      <c r="H31215" s="12"/>
      <c r="I31215" s="12"/>
      <c r="J31215" s="12"/>
      <c r="K31215" s="12"/>
      <c r="L31215" s="12"/>
      <c r="M31215" s="11"/>
      <c r="N31215" s="11"/>
      <c r="O31215" s="11"/>
      <c r="P31215" s="11"/>
    </row>
    <row r="31216" spans="8:16" x14ac:dyDescent="0.25">
      <c r="H31216" s="12"/>
      <c r="I31216" s="12"/>
      <c r="J31216" s="12"/>
      <c r="K31216" s="12"/>
      <c r="L31216" s="12"/>
      <c r="M31216" s="11"/>
      <c r="N31216" s="11"/>
      <c r="O31216" s="11"/>
      <c r="P31216" s="11"/>
    </row>
    <row r="31217" spans="8:16" x14ac:dyDescent="0.25">
      <c r="H31217" s="12"/>
      <c r="I31217" s="12"/>
      <c r="J31217" s="12"/>
      <c r="K31217" s="12"/>
      <c r="L31217" s="12"/>
      <c r="M31217" s="11"/>
      <c r="N31217" s="11"/>
      <c r="O31217" s="11"/>
      <c r="P31217" s="11"/>
    </row>
    <row r="31218" spans="8:16" x14ac:dyDescent="0.25">
      <c r="H31218" s="12"/>
      <c r="I31218" s="12"/>
      <c r="J31218" s="12"/>
      <c r="K31218" s="12"/>
      <c r="L31218" s="12"/>
      <c r="M31218" s="11"/>
      <c r="N31218" s="11"/>
      <c r="O31218" s="11"/>
      <c r="P31218" s="11"/>
    </row>
    <row r="31219" spans="8:16" x14ac:dyDescent="0.25">
      <c r="H31219" s="12"/>
      <c r="I31219" s="12"/>
      <c r="J31219" s="12"/>
      <c r="K31219" s="12"/>
      <c r="L31219" s="12"/>
      <c r="M31219" s="11"/>
      <c r="N31219" s="11"/>
      <c r="O31219" s="11"/>
      <c r="P31219" s="11"/>
    </row>
    <row r="31220" spans="8:16" x14ac:dyDescent="0.25">
      <c r="H31220" s="12"/>
      <c r="I31220" s="12"/>
      <c r="J31220" s="12"/>
      <c r="K31220" s="12"/>
      <c r="L31220" s="12"/>
      <c r="M31220" s="11"/>
      <c r="N31220" s="11"/>
      <c r="O31220" s="11"/>
      <c r="P31220" s="11"/>
    </row>
    <row r="31221" spans="8:16" x14ac:dyDescent="0.25">
      <c r="H31221" s="12"/>
      <c r="I31221" s="12"/>
      <c r="J31221" s="12"/>
      <c r="K31221" s="12"/>
      <c r="L31221" s="12"/>
      <c r="M31221" s="11"/>
      <c r="N31221" s="11"/>
      <c r="O31221" s="11"/>
      <c r="P31221" s="11"/>
    </row>
    <row r="31222" spans="8:16" x14ac:dyDescent="0.25">
      <c r="H31222" s="12"/>
      <c r="I31222" s="12"/>
      <c r="J31222" s="12"/>
      <c r="K31222" s="12"/>
      <c r="L31222" s="12"/>
      <c r="M31222" s="11"/>
      <c r="N31222" s="11"/>
      <c r="O31222" s="11"/>
      <c r="P31222" s="11"/>
    </row>
    <row r="31223" spans="8:16" x14ac:dyDescent="0.25">
      <c r="H31223" s="12"/>
      <c r="I31223" s="12"/>
      <c r="J31223" s="12"/>
      <c r="K31223" s="12"/>
      <c r="L31223" s="12"/>
      <c r="M31223" s="11"/>
      <c r="N31223" s="11"/>
      <c r="O31223" s="11"/>
      <c r="P31223" s="11"/>
    </row>
    <row r="31224" spans="8:16" x14ac:dyDescent="0.25">
      <c r="H31224" s="12"/>
      <c r="I31224" s="12"/>
      <c r="J31224" s="12"/>
      <c r="K31224" s="12"/>
      <c r="L31224" s="12"/>
      <c r="M31224" s="11"/>
      <c r="N31224" s="11"/>
      <c r="O31224" s="11"/>
      <c r="P31224" s="11"/>
    </row>
    <row r="31225" spans="8:16" x14ac:dyDescent="0.25">
      <c r="H31225" s="12"/>
      <c r="I31225" s="12"/>
      <c r="J31225" s="12"/>
      <c r="K31225" s="12"/>
      <c r="L31225" s="12"/>
      <c r="M31225" s="11"/>
      <c r="N31225" s="11"/>
      <c r="O31225" s="11"/>
      <c r="P31225" s="11"/>
    </row>
    <row r="31226" spans="8:16" x14ac:dyDescent="0.25">
      <c r="H31226" s="12"/>
      <c r="I31226" s="12"/>
      <c r="J31226" s="12"/>
      <c r="K31226" s="12"/>
      <c r="L31226" s="12"/>
      <c r="M31226" s="11"/>
      <c r="N31226" s="11"/>
      <c r="O31226" s="11"/>
      <c r="P31226" s="11"/>
    </row>
    <row r="31227" spans="8:16" x14ac:dyDescent="0.25">
      <c r="H31227" s="12"/>
      <c r="I31227" s="12"/>
      <c r="J31227" s="12"/>
      <c r="K31227" s="12"/>
      <c r="L31227" s="12"/>
      <c r="M31227" s="11"/>
      <c r="N31227" s="11"/>
      <c r="O31227" s="11"/>
      <c r="P31227" s="11"/>
    </row>
    <row r="31228" spans="8:16" x14ac:dyDescent="0.25">
      <c r="H31228" s="12"/>
      <c r="I31228" s="12"/>
      <c r="J31228" s="12"/>
      <c r="K31228" s="12"/>
      <c r="L31228" s="12"/>
      <c r="M31228" s="11"/>
      <c r="N31228" s="11"/>
      <c r="O31228" s="11"/>
      <c r="P31228" s="11"/>
    </row>
    <row r="31229" spans="8:16" x14ac:dyDescent="0.25">
      <c r="H31229" s="12"/>
      <c r="I31229" s="12"/>
      <c r="J31229" s="12"/>
      <c r="K31229" s="12"/>
      <c r="L31229" s="12"/>
      <c r="M31229" s="11"/>
      <c r="N31229" s="11"/>
      <c r="O31229" s="11"/>
      <c r="P31229" s="11"/>
    </row>
    <row r="31230" spans="8:16" x14ac:dyDescent="0.25">
      <c r="H31230" s="12"/>
      <c r="I31230" s="12"/>
      <c r="J31230" s="12"/>
      <c r="K31230" s="12"/>
      <c r="L31230" s="12"/>
      <c r="M31230" s="11"/>
      <c r="N31230" s="11"/>
      <c r="O31230" s="11"/>
      <c r="P31230" s="11"/>
    </row>
    <row r="31231" spans="8:16" x14ac:dyDescent="0.25">
      <c r="H31231" s="12"/>
      <c r="I31231" s="12"/>
      <c r="J31231" s="12"/>
      <c r="K31231" s="12"/>
      <c r="L31231" s="12"/>
      <c r="M31231" s="11"/>
      <c r="N31231" s="11"/>
      <c r="O31231" s="11"/>
      <c r="P31231" s="11"/>
    </row>
    <row r="31232" spans="8:16" x14ac:dyDescent="0.25">
      <c r="H31232" s="12"/>
      <c r="I31232" s="12"/>
      <c r="J31232" s="12"/>
      <c r="K31232" s="12"/>
      <c r="L31232" s="12"/>
      <c r="M31232" s="11"/>
      <c r="N31232" s="11"/>
      <c r="O31232" s="11"/>
      <c r="P31232" s="11"/>
    </row>
    <row r="31233" spans="8:16" x14ac:dyDescent="0.25">
      <c r="H31233" s="12"/>
      <c r="I31233" s="12"/>
      <c r="J31233" s="12"/>
      <c r="K31233" s="12"/>
      <c r="L31233" s="12"/>
      <c r="M31233" s="11"/>
      <c r="N31233" s="11"/>
      <c r="O31233" s="11"/>
      <c r="P31233" s="11"/>
    </row>
    <row r="31234" spans="8:16" x14ac:dyDescent="0.25">
      <c r="H31234" s="12"/>
      <c r="I31234" s="12"/>
      <c r="J31234" s="12"/>
      <c r="K31234" s="12"/>
      <c r="L31234" s="12"/>
      <c r="M31234" s="11"/>
      <c r="N31234" s="11"/>
      <c r="O31234" s="11"/>
      <c r="P31234" s="11"/>
    </row>
    <row r="31235" spans="8:16" x14ac:dyDescent="0.25">
      <c r="H31235" s="12"/>
      <c r="I31235" s="12"/>
      <c r="J31235" s="12"/>
      <c r="K31235" s="12"/>
      <c r="L31235" s="12"/>
      <c r="M31235" s="11"/>
      <c r="N31235" s="11"/>
      <c r="O31235" s="11"/>
      <c r="P31235" s="11"/>
    </row>
    <row r="31236" spans="8:16" x14ac:dyDescent="0.25">
      <c r="H31236" s="12"/>
      <c r="I31236" s="12"/>
      <c r="J31236" s="12"/>
      <c r="K31236" s="12"/>
      <c r="L31236" s="12"/>
      <c r="M31236" s="11"/>
      <c r="N31236" s="11"/>
      <c r="O31236" s="11"/>
      <c r="P31236" s="11"/>
    </row>
    <row r="31237" spans="8:16" x14ac:dyDescent="0.25">
      <c r="H31237" s="12"/>
      <c r="I31237" s="12"/>
      <c r="J31237" s="12"/>
      <c r="K31237" s="12"/>
      <c r="L31237" s="12"/>
      <c r="M31237" s="11"/>
      <c r="N31237" s="11"/>
      <c r="O31237" s="11"/>
      <c r="P31237" s="11"/>
    </row>
    <row r="31238" spans="8:16" x14ac:dyDescent="0.25">
      <c r="H31238" s="12"/>
      <c r="I31238" s="12"/>
      <c r="J31238" s="12"/>
      <c r="K31238" s="12"/>
      <c r="L31238" s="12"/>
      <c r="M31238" s="11"/>
      <c r="N31238" s="11"/>
      <c r="O31238" s="11"/>
      <c r="P31238" s="11"/>
    </row>
    <row r="31239" spans="8:16" x14ac:dyDescent="0.25">
      <c r="H31239" s="12"/>
      <c r="I31239" s="12"/>
      <c r="J31239" s="12"/>
      <c r="K31239" s="12"/>
      <c r="L31239" s="12"/>
      <c r="M31239" s="11"/>
      <c r="N31239" s="11"/>
      <c r="O31239" s="11"/>
      <c r="P31239" s="11"/>
    </row>
    <row r="31240" spans="8:16" x14ac:dyDescent="0.25">
      <c r="H31240" s="12"/>
      <c r="I31240" s="12"/>
      <c r="J31240" s="12"/>
      <c r="K31240" s="12"/>
      <c r="L31240" s="12"/>
      <c r="M31240" s="11"/>
      <c r="N31240" s="11"/>
      <c r="O31240" s="11"/>
      <c r="P31240" s="11"/>
    </row>
    <row r="31241" spans="8:16" x14ac:dyDescent="0.25">
      <c r="H31241" s="12"/>
      <c r="I31241" s="12"/>
      <c r="J31241" s="12"/>
      <c r="K31241" s="12"/>
      <c r="L31241" s="12"/>
      <c r="M31241" s="11"/>
      <c r="N31241" s="11"/>
      <c r="O31241" s="11"/>
      <c r="P31241" s="11"/>
    </row>
    <row r="31242" spans="8:16" x14ac:dyDescent="0.25">
      <c r="H31242" s="12"/>
      <c r="I31242" s="12"/>
      <c r="J31242" s="12"/>
      <c r="K31242" s="12"/>
      <c r="L31242" s="12"/>
      <c r="M31242" s="11"/>
      <c r="N31242" s="11"/>
      <c r="O31242" s="11"/>
      <c r="P31242" s="11"/>
    </row>
    <row r="31243" spans="8:16" x14ac:dyDescent="0.25">
      <c r="H31243" s="12"/>
      <c r="I31243" s="12"/>
      <c r="J31243" s="12"/>
      <c r="K31243" s="12"/>
      <c r="L31243" s="12"/>
      <c r="M31243" s="11"/>
      <c r="N31243" s="11"/>
      <c r="O31243" s="11"/>
      <c r="P31243" s="11"/>
    </row>
    <row r="31244" spans="8:16" x14ac:dyDescent="0.25">
      <c r="H31244" s="12"/>
      <c r="I31244" s="12"/>
      <c r="J31244" s="12"/>
      <c r="K31244" s="12"/>
      <c r="L31244" s="12"/>
      <c r="M31244" s="11"/>
      <c r="N31244" s="11"/>
      <c r="O31244" s="11"/>
      <c r="P31244" s="11"/>
    </row>
    <row r="31245" spans="8:16" x14ac:dyDescent="0.25">
      <c r="H31245" s="12"/>
      <c r="I31245" s="12"/>
      <c r="J31245" s="12"/>
      <c r="K31245" s="12"/>
      <c r="L31245" s="12"/>
      <c r="M31245" s="11"/>
      <c r="N31245" s="11"/>
      <c r="O31245" s="11"/>
      <c r="P31245" s="11"/>
    </row>
    <row r="31246" spans="8:16" x14ac:dyDescent="0.25">
      <c r="H31246" s="12"/>
      <c r="I31246" s="12"/>
      <c r="J31246" s="12"/>
      <c r="K31246" s="12"/>
      <c r="L31246" s="12"/>
      <c r="M31246" s="11"/>
      <c r="N31246" s="11"/>
      <c r="O31246" s="11"/>
      <c r="P31246" s="11"/>
    </row>
    <row r="31247" spans="8:16" x14ac:dyDescent="0.25">
      <c r="H31247" s="12"/>
      <c r="I31247" s="12"/>
      <c r="J31247" s="12"/>
      <c r="K31247" s="12"/>
      <c r="L31247" s="12"/>
      <c r="M31247" s="11"/>
      <c r="N31247" s="11"/>
      <c r="O31247" s="11"/>
      <c r="P31247" s="11"/>
    </row>
    <row r="31248" spans="8:16" x14ac:dyDescent="0.25">
      <c r="H31248" s="12"/>
      <c r="I31248" s="12"/>
      <c r="J31248" s="12"/>
      <c r="K31248" s="12"/>
      <c r="L31248" s="12"/>
      <c r="M31248" s="11"/>
      <c r="N31248" s="11"/>
      <c r="O31248" s="11"/>
      <c r="P31248" s="11"/>
    </row>
    <row r="31249" spans="8:16" x14ac:dyDescent="0.25">
      <c r="H31249" s="12"/>
      <c r="I31249" s="12"/>
      <c r="J31249" s="12"/>
      <c r="K31249" s="12"/>
      <c r="L31249" s="12"/>
      <c r="M31249" s="11"/>
      <c r="N31249" s="11"/>
      <c r="O31249" s="11"/>
      <c r="P31249" s="11"/>
    </row>
    <row r="31250" spans="8:16" x14ac:dyDescent="0.25">
      <c r="H31250" s="12"/>
      <c r="I31250" s="12"/>
      <c r="J31250" s="12"/>
      <c r="K31250" s="12"/>
      <c r="L31250" s="12"/>
      <c r="M31250" s="11"/>
      <c r="N31250" s="11"/>
      <c r="O31250" s="11"/>
      <c r="P31250" s="11"/>
    </row>
    <row r="31251" spans="8:16" x14ac:dyDescent="0.25">
      <c r="H31251" s="12"/>
      <c r="I31251" s="12"/>
      <c r="J31251" s="12"/>
      <c r="K31251" s="12"/>
      <c r="L31251" s="12"/>
      <c r="M31251" s="11"/>
      <c r="N31251" s="11"/>
      <c r="O31251" s="11"/>
      <c r="P31251" s="11"/>
    </row>
    <row r="31252" spans="8:16" x14ac:dyDescent="0.25">
      <c r="H31252" s="12"/>
      <c r="I31252" s="12"/>
      <c r="J31252" s="12"/>
      <c r="K31252" s="12"/>
      <c r="L31252" s="12"/>
      <c r="M31252" s="11"/>
      <c r="N31252" s="11"/>
      <c r="O31252" s="11"/>
      <c r="P31252" s="11"/>
    </row>
    <row r="31253" spans="8:16" x14ac:dyDescent="0.25">
      <c r="H31253" s="12"/>
      <c r="I31253" s="12"/>
      <c r="J31253" s="12"/>
      <c r="K31253" s="12"/>
      <c r="L31253" s="12"/>
      <c r="M31253" s="11"/>
      <c r="N31253" s="11"/>
      <c r="O31253" s="11"/>
      <c r="P31253" s="11"/>
    </row>
    <row r="31254" spans="8:16" x14ac:dyDescent="0.25">
      <c r="H31254" s="12"/>
      <c r="I31254" s="12"/>
      <c r="J31254" s="12"/>
      <c r="K31254" s="12"/>
      <c r="L31254" s="12"/>
      <c r="M31254" s="11"/>
      <c r="N31254" s="11"/>
      <c r="O31254" s="11"/>
      <c r="P31254" s="11"/>
    </row>
    <row r="31255" spans="8:16" x14ac:dyDescent="0.25">
      <c r="H31255" s="12"/>
      <c r="I31255" s="12"/>
      <c r="J31255" s="12"/>
      <c r="K31255" s="12"/>
      <c r="L31255" s="12"/>
      <c r="M31255" s="11"/>
      <c r="N31255" s="11"/>
      <c r="O31255" s="11"/>
      <c r="P31255" s="11"/>
    </row>
    <row r="31256" spans="8:16" x14ac:dyDescent="0.25">
      <c r="H31256" s="12"/>
      <c r="I31256" s="12"/>
      <c r="J31256" s="12"/>
      <c r="K31256" s="12"/>
      <c r="L31256" s="12"/>
      <c r="M31256" s="11"/>
      <c r="N31256" s="11"/>
      <c r="O31256" s="11"/>
      <c r="P31256" s="11"/>
    </row>
    <row r="31257" spans="8:16" x14ac:dyDescent="0.25">
      <c r="H31257" s="12"/>
      <c r="I31257" s="12"/>
      <c r="J31257" s="12"/>
      <c r="K31257" s="12"/>
      <c r="L31257" s="12"/>
      <c r="M31257" s="11"/>
      <c r="N31257" s="11"/>
      <c r="O31257" s="11"/>
      <c r="P31257" s="11"/>
    </row>
    <row r="31258" spans="8:16" x14ac:dyDescent="0.25">
      <c r="H31258" s="12"/>
      <c r="I31258" s="12"/>
      <c r="J31258" s="12"/>
      <c r="K31258" s="12"/>
      <c r="L31258" s="12"/>
      <c r="M31258" s="11"/>
      <c r="N31258" s="11"/>
      <c r="O31258" s="11"/>
      <c r="P31258" s="11"/>
    </row>
    <row r="31259" spans="8:16" x14ac:dyDescent="0.25">
      <c r="H31259" s="12"/>
      <c r="I31259" s="12"/>
      <c r="J31259" s="12"/>
      <c r="K31259" s="12"/>
      <c r="L31259" s="12"/>
      <c r="M31259" s="11"/>
      <c r="N31259" s="11"/>
      <c r="O31259" s="11"/>
      <c r="P31259" s="11"/>
    </row>
    <row r="31260" spans="8:16" x14ac:dyDescent="0.25">
      <c r="H31260" s="12"/>
      <c r="I31260" s="12"/>
      <c r="J31260" s="12"/>
      <c r="K31260" s="12"/>
      <c r="L31260" s="12"/>
      <c r="M31260" s="11"/>
      <c r="N31260" s="11"/>
      <c r="O31260" s="11"/>
      <c r="P31260" s="11"/>
    </row>
    <row r="31261" spans="8:16" x14ac:dyDescent="0.25">
      <c r="H31261" s="12"/>
      <c r="I31261" s="12"/>
      <c r="J31261" s="12"/>
      <c r="K31261" s="12"/>
      <c r="L31261" s="12"/>
      <c r="M31261" s="11"/>
      <c r="N31261" s="11"/>
      <c r="O31261" s="11"/>
      <c r="P31261" s="11"/>
    </row>
    <row r="31262" spans="8:16" x14ac:dyDescent="0.25">
      <c r="H31262" s="12"/>
      <c r="I31262" s="12"/>
      <c r="J31262" s="12"/>
      <c r="K31262" s="12"/>
      <c r="L31262" s="12"/>
      <c r="M31262" s="11"/>
      <c r="N31262" s="11"/>
      <c r="O31262" s="11"/>
      <c r="P31262" s="11"/>
    </row>
    <row r="31263" spans="8:16" x14ac:dyDescent="0.25">
      <c r="H31263" s="12"/>
      <c r="I31263" s="12"/>
      <c r="J31263" s="12"/>
      <c r="K31263" s="12"/>
      <c r="L31263" s="12"/>
      <c r="M31263" s="11"/>
      <c r="N31263" s="11"/>
      <c r="O31263" s="11"/>
      <c r="P31263" s="11"/>
    </row>
    <row r="31264" spans="8:16" x14ac:dyDescent="0.25">
      <c r="H31264" s="12"/>
      <c r="I31264" s="12"/>
      <c r="J31264" s="12"/>
      <c r="K31264" s="12"/>
      <c r="L31264" s="12"/>
      <c r="M31264" s="11"/>
      <c r="N31264" s="11"/>
      <c r="O31264" s="11"/>
      <c r="P31264" s="11"/>
    </row>
    <row r="31265" spans="8:16" x14ac:dyDescent="0.25">
      <c r="H31265" s="12"/>
      <c r="I31265" s="12"/>
      <c r="J31265" s="12"/>
      <c r="K31265" s="12"/>
      <c r="L31265" s="12"/>
      <c r="M31265" s="11"/>
      <c r="N31265" s="11"/>
      <c r="O31265" s="11"/>
      <c r="P31265" s="11"/>
    </row>
    <row r="31266" spans="8:16" x14ac:dyDescent="0.25">
      <c r="H31266" s="12"/>
      <c r="I31266" s="12"/>
      <c r="J31266" s="12"/>
      <c r="K31266" s="12"/>
      <c r="L31266" s="12"/>
      <c r="M31266" s="11"/>
      <c r="N31266" s="11"/>
      <c r="O31266" s="11"/>
      <c r="P31266" s="11"/>
    </row>
    <row r="31267" spans="8:16" x14ac:dyDescent="0.25">
      <c r="H31267" s="12"/>
      <c r="I31267" s="12"/>
      <c r="J31267" s="12"/>
      <c r="K31267" s="12"/>
      <c r="L31267" s="12"/>
      <c r="M31267" s="11"/>
      <c r="N31267" s="11"/>
      <c r="O31267" s="11"/>
      <c r="P31267" s="11"/>
    </row>
    <row r="31268" spans="8:16" x14ac:dyDescent="0.25">
      <c r="H31268" s="12"/>
      <c r="I31268" s="12"/>
      <c r="J31268" s="12"/>
      <c r="K31268" s="12"/>
      <c r="L31268" s="12"/>
      <c r="M31268" s="11"/>
      <c r="N31268" s="11"/>
      <c r="O31268" s="11"/>
      <c r="P31268" s="11"/>
    </row>
    <row r="31269" spans="8:16" x14ac:dyDescent="0.25">
      <c r="H31269" s="12"/>
      <c r="I31269" s="12"/>
      <c r="J31269" s="12"/>
      <c r="K31269" s="12"/>
      <c r="L31269" s="12"/>
      <c r="M31269" s="11"/>
      <c r="N31269" s="11"/>
      <c r="O31269" s="11"/>
      <c r="P31269" s="11"/>
    </row>
    <row r="31270" spans="8:16" x14ac:dyDescent="0.25">
      <c r="H31270" s="12"/>
      <c r="I31270" s="12"/>
      <c r="J31270" s="12"/>
      <c r="K31270" s="12"/>
      <c r="L31270" s="12"/>
      <c r="M31270" s="11"/>
      <c r="N31270" s="11"/>
      <c r="O31270" s="11"/>
      <c r="P31270" s="11"/>
    </row>
    <row r="31271" spans="8:16" x14ac:dyDescent="0.25">
      <c r="H31271" s="12"/>
      <c r="I31271" s="12"/>
      <c r="J31271" s="12"/>
      <c r="K31271" s="12"/>
      <c r="L31271" s="12"/>
      <c r="M31271" s="11"/>
      <c r="N31271" s="11"/>
      <c r="O31271" s="11"/>
      <c r="P31271" s="11"/>
    </row>
    <row r="31272" spans="8:16" x14ac:dyDescent="0.25">
      <c r="H31272" s="12"/>
      <c r="I31272" s="12"/>
      <c r="J31272" s="12"/>
      <c r="K31272" s="12"/>
      <c r="L31272" s="12"/>
      <c r="M31272" s="11"/>
      <c r="N31272" s="11"/>
      <c r="O31272" s="11"/>
      <c r="P31272" s="11"/>
    </row>
    <row r="31273" spans="8:16" x14ac:dyDescent="0.25">
      <c r="H31273" s="12"/>
      <c r="I31273" s="12"/>
      <c r="J31273" s="12"/>
      <c r="K31273" s="12"/>
      <c r="L31273" s="12"/>
      <c r="M31273" s="11"/>
      <c r="N31273" s="11"/>
      <c r="O31273" s="11"/>
      <c r="P31273" s="11"/>
    </row>
    <row r="31274" spans="8:16" x14ac:dyDescent="0.25">
      <c r="H31274" s="12"/>
      <c r="I31274" s="12"/>
      <c r="J31274" s="12"/>
      <c r="K31274" s="12"/>
      <c r="L31274" s="12"/>
      <c r="M31274" s="11"/>
      <c r="N31274" s="11"/>
      <c r="O31274" s="11"/>
      <c r="P31274" s="11"/>
    </row>
    <row r="31275" spans="8:16" x14ac:dyDescent="0.25">
      <c r="H31275" s="12"/>
      <c r="I31275" s="12"/>
      <c r="J31275" s="12"/>
      <c r="K31275" s="12"/>
      <c r="L31275" s="12"/>
      <c r="M31275" s="11"/>
      <c r="N31275" s="11"/>
      <c r="O31275" s="11"/>
      <c r="P31275" s="11"/>
    </row>
    <row r="31276" spans="8:16" x14ac:dyDescent="0.25">
      <c r="H31276" s="12"/>
      <c r="I31276" s="12"/>
      <c r="J31276" s="12"/>
      <c r="K31276" s="12"/>
      <c r="L31276" s="12"/>
      <c r="M31276" s="11"/>
      <c r="N31276" s="11"/>
      <c r="O31276" s="11"/>
      <c r="P31276" s="11"/>
    </row>
    <row r="31277" spans="8:16" x14ac:dyDescent="0.25">
      <c r="H31277" s="12"/>
      <c r="I31277" s="12"/>
      <c r="J31277" s="12"/>
      <c r="K31277" s="12"/>
      <c r="L31277" s="12"/>
      <c r="M31277" s="11"/>
      <c r="N31277" s="11"/>
      <c r="O31277" s="11"/>
      <c r="P31277" s="11"/>
    </row>
    <row r="31278" spans="8:16" x14ac:dyDescent="0.25">
      <c r="H31278" s="12"/>
      <c r="I31278" s="12"/>
      <c r="J31278" s="12"/>
      <c r="K31278" s="12"/>
      <c r="L31278" s="12"/>
      <c r="M31278" s="11"/>
      <c r="N31278" s="11"/>
      <c r="O31278" s="11"/>
      <c r="P31278" s="11"/>
    </row>
    <row r="31279" spans="8:16" x14ac:dyDescent="0.25">
      <c r="H31279" s="12"/>
      <c r="I31279" s="12"/>
      <c r="J31279" s="12"/>
      <c r="K31279" s="12"/>
      <c r="L31279" s="12"/>
      <c r="M31279" s="11"/>
      <c r="N31279" s="11"/>
      <c r="O31279" s="11"/>
      <c r="P31279" s="11"/>
    </row>
    <row r="31280" spans="8:16" x14ac:dyDescent="0.25">
      <c r="H31280" s="12"/>
      <c r="I31280" s="12"/>
      <c r="J31280" s="12"/>
      <c r="K31280" s="12"/>
      <c r="L31280" s="12"/>
      <c r="M31280" s="11"/>
      <c r="N31280" s="11"/>
      <c r="O31280" s="11"/>
      <c r="P31280" s="11"/>
    </row>
    <row r="31281" spans="8:16" x14ac:dyDescent="0.25">
      <c r="H31281" s="12"/>
      <c r="I31281" s="12"/>
      <c r="J31281" s="12"/>
      <c r="K31281" s="12"/>
      <c r="L31281" s="12"/>
      <c r="M31281" s="11"/>
      <c r="N31281" s="11"/>
      <c r="O31281" s="11"/>
      <c r="P31281" s="11"/>
    </row>
    <row r="31282" spans="8:16" x14ac:dyDescent="0.25">
      <c r="H31282" s="12"/>
      <c r="I31282" s="12"/>
      <c r="J31282" s="12"/>
      <c r="K31282" s="12"/>
      <c r="L31282" s="12"/>
      <c r="M31282" s="11"/>
      <c r="N31282" s="11"/>
      <c r="O31282" s="11"/>
      <c r="P31282" s="11"/>
    </row>
    <row r="31283" spans="8:16" x14ac:dyDescent="0.25">
      <c r="H31283" s="12"/>
      <c r="I31283" s="12"/>
      <c r="J31283" s="12"/>
      <c r="K31283" s="12"/>
      <c r="L31283" s="12"/>
      <c r="M31283" s="11"/>
      <c r="N31283" s="11"/>
      <c r="O31283" s="11"/>
      <c r="P31283" s="11"/>
    </row>
    <row r="31284" spans="8:16" x14ac:dyDescent="0.25">
      <c r="H31284" s="12"/>
      <c r="I31284" s="12"/>
      <c r="J31284" s="12"/>
      <c r="K31284" s="12"/>
      <c r="L31284" s="12"/>
      <c r="M31284" s="11"/>
      <c r="N31284" s="11"/>
      <c r="O31284" s="11"/>
      <c r="P31284" s="11"/>
    </row>
    <row r="31285" spans="8:16" x14ac:dyDescent="0.25">
      <c r="H31285" s="12"/>
      <c r="I31285" s="12"/>
      <c r="J31285" s="12"/>
      <c r="K31285" s="12"/>
      <c r="L31285" s="12"/>
      <c r="M31285" s="11"/>
      <c r="N31285" s="11"/>
      <c r="O31285" s="11"/>
      <c r="P31285" s="11"/>
    </row>
    <row r="31286" spans="8:16" x14ac:dyDescent="0.25">
      <c r="H31286" s="12"/>
      <c r="I31286" s="12"/>
      <c r="J31286" s="12"/>
      <c r="K31286" s="12"/>
      <c r="L31286" s="12"/>
      <c r="M31286" s="11"/>
      <c r="N31286" s="11"/>
      <c r="O31286" s="11"/>
      <c r="P31286" s="11"/>
    </row>
    <row r="31287" spans="8:16" x14ac:dyDescent="0.25">
      <c r="H31287" s="12"/>
      <c r="I31287" s="12"/>
      <c r="J31287" s="12"/>
      <c r="K31287" s="12"/>
      <c r="L31287" s="12"/>
      <c r="M31287" s="11"/>
      <c r="N31287" s="11"/>
      <c r="O31287" s="11"/>
      <c r="P31287" s="11"/>
    </row>
    <row r="31288" spans="8:16" x14ac:dyDescent="0.25">
      <c r="H31288" s="12"/>
      <c r="I31288" s="12"/>
      <c r="J31288" s="12"/>
      <c r="K31288" s="12"/>
      <c r="L31288" s="12"/>
      <c r="M31288" s="11"/>
      <c r="N31288" s="11"/>
      <c r="O31288" s="11"/>
      <c r="P31288" s="11"/>
    </row>
    <row r="31289" spans="8:16" x14ac:dyDescent="0.25">
      <c r="H31289" s="12"/>
      <c r="I31289" s="12"/>
      <c r="J31289" s="12"/>
      <c r="K31289" s="12"/>
      <c r="L31289" s="12"/>
      <c r="M31289" s="11"/>
      <c r="N31289" s="11"/>
      <c r="O31289" s="11"/>
      <c r="P31289" s="11"/>
    </row>
    <row r="31290" spans="8:16" x14ac:dyDescent="0.25">
      <c r="H31290" s="12"/>
      <c r="I31290" s="12"/>
      <c r="J31290" s="12"/>
      <c r="K31290" s="12"/>
      <c r="L31290" s="12"/>
      <c r="M31290" s="11"/>
      <c r="N31290" s="11"/>
      <c r="O31290" s="11"/>
      <c r="P31290" s="11"/>
    </row>
    <row r="31291" spans="8:16" x14ac:dyDescent="0.25">
      <c r="H31291" s="12"/>
      <c r="I31291" s="12"/>
      <c r="J31291" s="12"/>
      <c r="K31291" s="12"/>
      <c r="L31291" s="12"/>
      <c r="M31291" s="11"/>
      <c r="N31291" s="11"/>
      <c r="O31291" s="11"/>
      <c r="P31291" s="11"/>
    </row>
    <row r="31292" spans="8:16" x14ac:dyDescent="0.25">
      <c r="H31292" s="12"/>
      <c r="I31292" s="12"/>
      <c r="J31292" s="12"/>
      <c r="K31292" s="12"/>
      <c r="L31292" s="12"/>
      <c r="M31292" s="11"/>
      <c r="N31292" s="11"/>
      <c r="O31292" s="11"/>
      <c r="P31292" s="11"/>
    </row>
    <row r="31293" spans="8:16" x14ac:dyDescent="0.25">
      <c r="H31293" s="12"/>
      <c r="I31293" s="12"/>
      <c r="J31293" s="12"/>
      <c r="K31293" s="12"/>
      <c r="L31293" s="12"/>
      <c r="M31293" s="11"/>
      <c r="N31293" s="11"/>
      <c r="O31293" s="11"/>
      <c r="P31293" s="11"/>
    </row>
    <row r="31294" spans="8:16" x14ac:dyDescent="0.25">
      <c r="H31294" s="12"/>
      <c r="I31294" s="12"/>
      <c r="J31294" s="12"/>
      <c r="K31294" s="12"/>
      <c r="L31294" s="12"/>
      <c r="M31294" s="11"/>
      <c r="N31294" s="11"/>
      <c r="O31294" s="11"/>
      <c r="P31294" s="11"/>
    </row>
    <row r="31295" spans="8:16" x14ac:dyDescent="0.25">
      <c r="H31295" s="12"/>
      <c r="I31295" s="12"/>
      <c r="J31295" s="12"/>
      <c r="K31295" s="12"/>
      <c r="L31295" s="12"/>
      <c r="M31295" s="11"/>
      <c r="N31295" s="11"/>
      <c r="O31295" s="11"/>
      <c r="P31295" s="11"/>
    </row>
    <row r="31296" spans="8:16" x14ac:dyDescent="0.25">
      <c r="H31296" s="12"/>
      <c r="I31296" s="12"/>
      <c r="J31296" s="12"/>
      <c r="K31296" s="12"/>
      <c r="L31296" s="12"/>
      <c r="M31296" s="11"/>
      <c r="N31296" s="11"/>
      <c r="O31296" s="11"/>
      <c r="P31296" s="11"/>
    </row>
    <row r="31297" spans="8:16" x14ac:dyDescent="0.25">
      <c r="H31297" s="12"/>
      <c r="I31297" s="12"/>
      <c r="J31297" s="12"/>
      <c r="K31297" s="12"/>
      <c r="L31297" s="12"/>
      <c r="M31297" s="11"/>
      <c r="N31297" s="11"/>
      <c r="O31297" s="11"/>
      <c r="P31297" s="11"/>
    </row>
    <row r="31298" spans="8:16" x14ac:dyDescent="0.25">
      <c r="H31298" s="12"/>
      <c r="I31298" s="12"/>
      <c r="J31298" s="12"/>
      <c r="K31298" s="12"/>
      <c r="L31298" s="12"/>
      <c r="M31298" s="11"/>
      <c r="N31298" s="11"/>
      <c r="O31298" s="11"/>
      <c r="P31298" s="11"/>
    </row>
    <row r="31299" spans="8:16" x14ac:dyDescent="0.25">
      <c r="H31299" s="12"/>
      <c r="I31299" s="12"/>
      <c r="J31299" s="12"/>
      <c r="K31299" s="12"/>
      <c r="L31299" s="12"/>
      <c r="M31299" s="11"/>
      <c r="N31299" s="11"/>
      <c r="O31299" s="11"/>
      <c r="P31299" s="11"/>
    </row>
    <row r="31300" spans="8:16" x14ac:dyDescent="0.25">
      <c r="H31300" s="12"/>
      <c r="I31300" s="12"/>
      <c r="J31300" s="12"/>
      <c r="K31300" s="12"/>
      <c r="L31300" s="12"/>
      <c r="M31300" s="11"/>
      <c r="N31300" s="11"/>
      <c r="O31300" s="11"/>
      <c r="P31300" s="11"/>
    </row>
    <row r="31301" spans="8:16" x14ac:dyDescent="0.25">
      <c r="H31301" s="12"/>
      <c r="I31301" s="12"/>
      <c r="J31301" s="12"/>
      <c r="K31301" s="12"/>
      <c r="L31301" s="12"/>
      <c r="M31301" s="11"/>
      <c r="N31301" s="11"/>
      <c r="O31301" s="11"/>
      <c r="P31301" s="11"/>
    </row>
    <row r="31302" spans="8:16" x14ac:dyDescent="0.25">
      <c r="H31302" s="12"/>
      <c r="I31302" s="12"/>
      <c r="J31302" s="12"/>
      <c r="K31302" s="12"/>
      <c r="L31302" s="12"/>
      <c r="M31302" s="11"/>
      <c r="N31302" s="11"/>
      <c r="O31302" s="11"/>
      <c r="P31302" s="11"/>
    </row>
    <row r="31303" spans="8:16" x14ac:dyDescent="0.25">
      <c r="H31303" s="12"/>
      <c r="I31303" s="12"/>
      <c r="J31303" s="12"/>
      <c r="K31303" s="12"/>
      <c r="L31303" s="12"/>
      <c r="M31303" s="11"/>
      <c r="N31303" s="11"/>
      <c r="O31303" s="11"/>
      <c r="P31303" s="11"/>
    </row>
    <row r="31304" spans="8:16" x14ac:dyDescent="0.25">
      <c r="H31304" s="12"/>
      <c r="I31304" s="12"/>
      <c r="J31304" s="12"/>
      <c r="K31304" s="12"/>
      <c r="L31304" s="12"/>
      <c r="M31304" s="11"/>
      <c r="N31304" s="11"/>
      <c r="O31304" s="11"/>
      <c r="P31304" s="11"/>
    </row>
    <row r="31305" spans="8:16" x14ac:dyDescent="0.25">
      <c r="H31305" s="12"/>
      <c r="I31305" s="12"/>
      <c r="J31305" s="12"/>
      <c r="K31305" s="12"/>
      <c r="L31305" s="12"/>
      <c r="M31305" s="11"/>
      <c r="N31305" s="11"/>
      <c r="O31305" s="11"/>
      <c r="P31305" s="11"/>
    </row>
    <row r="31306" spans="8:16" x14ac:dyDescent="0.25">
      <c r="H31306" s="12"/>
      <c r="I31306" s="12"/>
      <c r="J31306" s="12"/>
      <c r="K31306" s="12"/>
      <c r="L31306" s="12"/>
      <c r="M31306" s="11"/>
      <c r="N31306" s="11"/>
      <c r="O31306" s="11"/>
      <c r="P31306" s="11"/>
    </row>
    <row r="31307" spans="8:16" x14ac:dyDescent="0.25">
      <c r="H31307" s="12"/>
      <c r="I31307" s="12"/>
      <c r="J31307" s="12"/>
      <c r="K31307" s="12"/>
      <c r="L31307" s="12"/>
      <c r="M31307" s="11"/>
      <c r="N31307" s="11"/>
      <c r="O31307" s="11"/>
      <c r="P31307" s="11"/>
    </row>
    <row r="31308" spans="8:16" x14ac:dyDescent="0.25">
      <c r="H31308" s="12"/>
      <c r="I31308" s="12"/>
      <c r="J31308" s="12"/>
      <c r="K31308" s="12"/>
      <c r="L31308" s="12"/>
      <c r="M31308" s="11"/>
      <c r="N31308" s="11"/>
      <c r="O31308" s="11"/>
      <c r="P31308" s="11"/>
    </row>
    <row r="31309" spans="8:16" x14ac:dyDescent="0.25">
      <c r="H31309" s="12"/>
      <c r="I31309" s="12"/>
      <c r="J31309" s="12"/>
      <c r="K31309" s="12"/>
      <c r="L31309" s="12"/>
      <c r="M31309" s="11"/>
      <c r="N31309" s="11"/>
      <c r="O31309" s="11"/>
      <c r="P31309" s="11"/>
    </row>
    <row r="31310" spans="8:16" x14ac:dyDescent="0.25">
      <c r="H31310" s="12"/>
      <c r="I31310" s="12"/>
      <c r="J31310" s="12"/>
      <c r="K31310" s="12"/>
      <c r="L31310" s="12"/>
      <c r="M31310" s="11"/>
      <c r="N31310" s="11"/>
      <c r="O31310" s="11"/>
      <c r="P31310" s="11"/>
    </row>
    <row r="31311" spans="8:16" x14ac:dyDescent="0.25">
      <c r="H31311" s="12"/>
      <c r="I31311" s="12"/>
      <c r="J31311" s="12"/>
      <c r="K31311" s="12"/>
      <c r="L31311" s="12"/>
      <c r="M31311" s="11"/>
      <c r="N31311" s="11"/>
      <c r="O31311" s="11"/>
      <c r="P31311" s="11"/>
    </row>
    <row r="31312" spans="8:16" x14ac:dyDescent="0.25">
      <c r="H31312" s="12"/>
      <c r="I31312" s="12"/>
      <c r="J31312" s="12"/>
      <c r="K31312" s="12"/>
      <c r="L31312" s="12"/>
      <c r="M31312" s="11"/>
      <c r="N31312" s="11"/>
      <c r="O31312" s="11"/>
      <c r="P31312" s="11"/>
    </row>
    <row r="31313" spans="8:16" x14ac:dyDescent="0.25">
      <c r="H31313" s="12"/>
      <c r="I31313" s="12"/>
      <c r="J31313" s="12"/>
      <c r="K31313" s="12"/>
      <c r="L31313" s="12"/>
      <c r="M31313" s="11"/>
      <c r="N31313" s="11"/>
      <c r="O31313" s="11"/>
      <c r="P31313" s="11"/>
    </row>
    <row r="31314" spans="8:16" x14ac:dyDescent="0.25">
      <c r="H31314" s="12"/>
      <c r="I31314" s="12"/>
      <c r="J31314" s="12"/>
      <c r="K31314" s="12"/>
      <c r="L31314" s="12"/>
      <c r="M31314" s="11"/>
      <c r="N31314" s="11"/>
      <c r="O31314" s="11"/>
      <c r="P31314" s="11"/>
    </row>
    <row r="31315" spans="8:16" x14ac:dyDescent="0.25">
      <c r="H31315" s="12"/>
      <c r="I31315" s="12"/>
      <c r="J31315" s="12"/>
      <c r="K31315" s="12"/>
      <c r="L31315" s="12"/>
      <c r="M31315" s="11"/>
      <c r="N31315" s="11"/>
      <c r="O31315" s="11"/>
      <c r="P31315" s="11"/>
    </row>
    <row r="31316" spans="8:16" x14ac:dyDescent="0.25">
      <c r="H31316" s="12"/>
      <c r="I31316" s="12"/>
      <c r="J31316" s="12"/>
      <c r="K31316" s="12"/>
      <c r="L31316" s="12"/>
      <c r="M31316" s="11"/>
      <c r="N31316" s="11"/>
      <c r="O31316" s="11"/>
      <c r="P31316" s="11"/>
    </row>
    <row r="31317" spans="8:16" x14ac:dyDescent="0.25">
      <c r="H31317" s="12"/>
      <c r="I31317" s="12"/>
      <c r="J31317" s="12"/>
      <c r="K31317" s="12"/>
      <c r="L31317" s="12"/>
      <c r="M31317" s="11"/>
      <c r="N31317" s="11"/>
      <c r="O31317" s="11"/>
      <c r="P31317" s="11"/>
    </row>
    <row r="31318" spans="8:16" x14ac:dyDescent="0.25">
      <c r="H31318" s="12"/>
      <c r="I31318" s="12"/>
      <c r="J31318" s="12"/>
      <c r="K31318" s="12"/>
      <c r="L31318" s="12"/>
      <c r="M31318" s="11"/>
      <c r="N31318" s="11"/>
      <c r="O31318" s="11"/>
      <c r="P31318" s="11"/>
    </row>
    <row r="31319" spans="8:16" x14ac:dyDescent="0.25">
      <c r="H31319" s="12"/>
      <c r="I31319" s="12"/>
      <c r="J31319" s="12"/>
      <c r="K31319" s="12"/>
      <c r="L31319" s="12"/>
      <c r="M31319" s="11"/>
      <c r="N31319" s="11"/>
      <c r="O31319" s="11"/>
      <c r="P31319" s="11"/>
    </row>
    <row r="31320" spans="8:16" x14ac:dyDescent="0.25">
      <c r="H31320" s="12"/>
      <c r="I31320" s="12"/>
      <c r="J31320" s="12"/>
      <c r="K31320" s="12"/>
      <c r="L31320" s="12"/>
      <c r="M31320" s="11"/>
      <c r="N31320" s="11"/>
      <c r="O31320" s="11"/>
      <c r="P31320" s="11"/>
    </row>
    <row r="31321" spans="8:16" x14ac:dyDescent="0.25">
      <c r="H31321" s="12"/>
      <c r="I31321" s="12"/>
      <c r="J31321" s="12"/>
      <c r="K31321" s="12"/>
      <c r="L31321" s="12"/>
      <c r="M31321" s="11"/>
      <c r="N31321" s="11"/>
      <c r="O31321" s="11"/>
      <c r="P31321" s="11"/>
    </row>
    <row r="31322" spans="8:16" x14ac:dyDescent="0.25">
      <c r="H31322" s="12"/>
      <c r="I31322" s="12"/>
      <c r="J31322" s="12"/>
      <c r="K31322" s="12"/>
      <c r="L31322" s="12"/>
      <c r="M31322" s="11"/>
      <c r="N31322" s="11"/>
      <c r="O31322" s="11"/>
      <c r="P31322" s="11"/>
    </row>
    <row r="31323" spans="8:16" x14ac:dyDescent="0.25">
      <c r="H31323" s="12"/>
      <c r="I31323" s="12"/>
      <c r="J31323" s="12"/>
      <c r="K31323" s="12"/>
      <c r="L31323" s="12"/>
      <c r="M31323" s="11"/>
      <c r="N31323" s="11"/>
      <c r="O31323" s="11"/>
      <c r="P31323" s="11"/>
    </row>
    <row r="31324" spans="8:16" x14ac:dyDescent="0.25">
      <c r="H31324" s="12"/>
      <c r="I31324" s="12"/>
      <c r="J31324" s="12"/>
      <c r="K31324" s="12"/>
      <c r="L31324" s="12"/>
      <c r="M31324" s="11"/>
      <c r="N31324" s="11"/>
      <c r="O31324" s="11"/>
      <c r="P31324" s="11"/>
    </row>
    <row r="31325" spans="8:16" x14ac:dyDescent="0.25">
      <c r="H31325" s="12"/>
      <c r="I31325" s="12"/>
      <c r="J31325" s="12"/>
      <c r="K31325" s="12"/>
      <c r="L31325" s="12"/>
      <c r="M31325" s="11"/>
      <c r="N31325" s="11"/>
      <c r="O31325" s="11"/>
      <c r="P31325" s="11"/>
    </row>
    <row r="31326" spans="8:16" x14ac:dyDescent="0.25">
      <c r="H31326" s="12"/>
      <c r="I31326" s="12"/>
      <c r="J31326" s="12"/>
      <c r="K31326" s="12"/>
      <c r="L31326" s="12"/>
      <c r="M31326" s="11"/>
      <c r="N31326" s="11"/>
      <c r="O31326" s="11"/>
      <c r="P31326" s="11"/>
    </row>
    <row r="31327" spans="8:16" x14ac:dyDescent="0.25">
      <c r="H31327" s="12"/>
      <c r="I31327" s="12"/>
      <c r="J31327" s="12"/>
      <c r="K31327" s="12"/>
      <c r="L31327" s="12"/>
      <c r="M31327" s="11"/>
      <c r="N31327" s="11"/>
      <c r="O31327" s="11"/>
      <c r="P31327" s="11"/>
    </row>
    <row r="31328" spans="8:16" x14ac:dyDescent="0.25">
      <c r="H31328" s="12"/>
      <c r="I31328" s="12"/>
      <c r="J31328" s="12"/>
      <c r="K31328" s="12"/>
      <c r="L31328" s="12"/>
      <c r="M31328" s="11"/>
      <c r="N31328" s="11"/>
      <c r="O31328" s="11"/>
      <c r="P31328" s="11"/>
    </row>
    <row r="31329" spans="8:16" x14ac:dyDescent="0.25">
      <c r="H31329" s="12"/>
      <c r="I31329" s="12"/>
      <c r="J31329" s="12"/>
      <c r="K31329" s="12"/>
      <c r="L31329" s="12"/>
      <c r="M31329" s="11"/>
      <c r="N31329" s="11"/>
      <c r="O31329" s="11"/>
      <c r="P31329" s="11"/>
    </row>
    <row r="31330" spans="8:16" x14ac:dyDescent="0.25">
      <c r="H31330" s="12"/>
      <c r="I31330" s="12"/>
      <c r="J31330" s="12"/>
      <c r="K31330" s="12"/>
      <c r="L31330" s="12"/>
      <c r="M31330" s="11"/>
      <c r="N31330" s="11"/>
      <c r="O31330" s="11"/>
      <c r="P31330" s="11"/>
    </row>
    <row r="31331" spans="8:16" x14ac:dyDescent="0.25">
      <c r="H31331" s="12"/>
      <c r="I31331" s="12"/>
      <c r="J31331" s="12"/>
      <c r="K31331" s="12"/>
      <c r="L31331" s="12"/>
      <c r="M31331" s="11"/>
      <c r="N31331" s="11"/>
      <c r="O31331" s="11"/>
      <c r="P31331" s="11"/>
    </row>
    <row r="31332" spans="8:16" x14ac:dyDescent="0.25">
      <c r="H31332" s="12"/>
      <c r="I31332" s="12"/>
      <c r="J31332" s="12"/>
      <c r="K31332" s="12"/>
      <c r="L31332" s="12"/>
      <c r="M31332" s="11"/>
      <c r="N31332" s="11"/>
      <c r="O31332" s="11"/>
      <c r="P31332" s="11"/>
    </row>
    <row r="31333" spans="8:16" x14ac:dyDescent="0.25">
      <c r="H31333" s="12"/>
      <c r="I31333" s="12"/>
      <c r="J31333" s="12"/>
      <c r="K31333" s="12"/>
      <c r="L31333" s="12"/>
      <c r="M31333" s="11"/>
      <c r="N31333" s="11"/>
      <c r="O31333" s="11"/>
      <c r="P31333" s="11"/>
    </row>
    <row r="31334" spans="8:16" x14ac:dyDescent="0.25">
      <c r="H31334" s="12"/>
      <c r="I31334" s="12"/>
      <c r="J31334" s="12"/>
      <c r="K31334" s="12"/>
      <c r="L31334" s="12"/>
      <c r="M31334" s="11"/>
      <c r="N31334" s="11"/>
      <c r="O31334" s="11"/>
      <c r="P31334" s="11"/>
    </row>
    <row r="31335" spans="8:16" x14ac:dyDescent="0.25">
      <c r="H31335" s="12"/>
      <c r="I31335" s="12"/>
      <c r="J31335" s="12"/>
      <c r="K31335" s="12"/>
      <c r="L31335" s="12"/>
      <c r="M31335" s="11"/>
      <c r="N31335" s="11"/>
      <c r="O31335" s="11"/>
      <c r="P31335" s="11"/>
    </row>
    <row r="31336" spans="8:16" x14ac:dyDescent="0.25">
      <c r="H31336" s="12"/>
      <c r="I31336" s="12"/>
      <c r="J31336" s="12"/>
      <c r="K31336" s="12"/>
      <c r="L31336" s="12"/>
      <c r="M31336" s="11"/>
      <c r="N31336" s="11"/>
      <c r="O31336" s="11"/>
      <c r="P31336" s="11"/>
    </row>
    <row r="31337" spans="8:16" x14ac:dyDescent="0.25">
      <c r="H31337" s="12"/>
      <c r="I31337" s="12"/>
      <c r="J31337" s="12"/>
      <c r="K31337" s="12"/>
      <c r="L31337" s="12"/>
      <c r="M31337" s="11"/>
      <c r="N31337" s="11"/>
      <c r="O31337" s="11"/>
      <c r="P31337" s="11"/>
    </row>
    <row r="31338" spans="8:16" x14ac:dyDescent="0.25">
      <c r="H31338" s="12"/>
      <c r="I31338" s="12"/>
      <c r="J31338" s="12"/>
      <c r="K31338" s="12"/>
      <c r="L31338" s="12"/>
      <c r="M31338" s="11"/>
      <c r="N31338" s="11"/>
      <c r="O31338" s="11"/>
      <c r="P31338" s="11"/>
    </row>
    <row r="31339" spans="8:16" x14ac:dyDescent="0.25">
      <c r="H31339" s="12"/>
      <c r="I31339" s="12"/>
      <c r="J31339" s="12"/>
      <c r="K31339" s="12"/>
      <c r="L31339" s="12"/>
      <c r="M31339" s="11"/>
      <c r="N31339" s="11"/>
      <c r="O31339" s="11"/>
      <c r="P31339" s="11"/>
    </row>
    <row r="31340" spans="8:16" x14ac:dyDescent="0.25">
      <c r="H31340" s="12"/>
      <c r="I31340" s="12"/>
      <c r="J31340" s="12"/>
      <c r="K31340" s="12"/>
      <c r="L31340" s="12"/>
      <c r="M31340" s="11"/>
      <c r="N31340" s="11"/>
      <c r="O31340" s="11"/>
      <c r="P31340" s="11"/>
    </row>
    <row r="31341" spans="8:16" x14ac:dyDescent="0.25">
      <c r="H31341" s="12"/>
      <c r="I31341" s="12"/>
      <c r="J31341" s="12"/>
      <c r="K31341" s="12"/>
      <c r="L31341" s="12"/>
      <c r="M31341" s="11"/>
      <c r="N31341" s="11"/>
      <c r="O31341" s="11"/>
      <c r="P31341" s="11"/>
    </row>
    <row r="31342" spans="8:16" x14ac:dyDescent="0.25">
      <c r="H31342" s="12"/>
      <c r="I31342" s="12"/>
      <c r="J31342" s="12"/>
      <c r="K31342" s="12"/>
      <c r="L31342" s="12"/>
      <c r="M31342" s="11"/>
      <c r="N31342" s="11"/>
      <c r="O31342" s="11"/>
      <c r="P31342" s="11"/>
    </row>
    <row r="31343" spans="8:16" x14ac:dyDescent="0.25">
      <c r="H31343" s="12"/>
      <c r="I31343" s="12"/>
      <c r="J31343" s="12"/>
      <c r="K31343" s="12"/>
      <c r="L31343" s="12"/>
      <c r="M31343" s="11"/>
      <c r="N31343" s="11"/>
      <c r="O31343" s="11"/>
      <c r="P31343" s="11"/>
    </row>
    <row r="31344" spans="8:16" x14ac:dyDescent="0.25">
      <c r="H31344" s="12"/>
      <c r="I31344" s="12"/>
      <c r="J31344" s="12"/>
      <c r="K31344" s="12"/>
      <c r="L31344" s="12"/>
      <c r="M31344" s="11"/>
      <c r="N31344" s="11"/>
      <c r="O31344" s="11"/>
      <c r="P31344" s="11"/>
    </row>
    <row r="31345" spans="8:16" x14ac:dyDescent="0.25">
      <c r="H31345" s="12"/>
      <c r="I31345" s="12"/>
      <c r="J31345" s="12"/>
      <c r="K31345" s="12"/>
      <c r="L31345" s="12"/>
      <c r="M31345" s="11"/>
      <c r="N31345" s="11"/>
      <c r="O31345" s="11"/>
      <c r="P31345" s="11"/>
    </row>
    <row r="31346" spans="8:16" x14ac:dyDescent="0.25">
      <c r="H31346" s="12"/>
      <c r="I31346" s="12"/>
      <c r="J31346" s="12"/>
      <c r="K31346" s="12"/>
      <c r="L31346" s="12"/>
      <c r="M31346" s="11"/>
      <c r="N31346" s="11"/>
      <c r="O31346" s="11"/>
      <c r="P31346" s="11"/>
    </row>
    <row r="31347" spans="8:16" x14ac:dyDescent="0.25">
      <c r="H31347" s="12"/>
      <c r="I31347" s="12"/>
      <c r="J31347" s="12"/>
      <c r="K31347" s="12"/>
      <c r="L31347" s="12"/>
      <c r="M31347" s="11"/>
      <c r="N31347" s="11"/>
      <c r="O31347" s="11"/>
      <c r="P31347" s="11"/>
    </row>
    <row r="31348" spans="8:16" x14ac:dyDescent="0.25">
      <c r="H31348" s="12"/>
      <c r="I31348" s="12"/>
      <c r="J31348" s="12"/>
      <c r="K31348" s="12"/>
      <c r="L31348" s="12"/>
      <c r="M31348" s="11"/>
      <c r="N31348" s="11"/>
      <c r="O31348" s="11"/>
      <c r="P31348" s="11"/>
    </row>
    <row r="31349" spans="8:16" x14ac:dyDescent="0.25">
      <c r="H31349" s="12"/>
      <c r="I31349" s="12"/>
      <c r="J31349" s="12"/>
      <c r="K31349" s="12"/>
      <c r="L31349" s="12"/>
      <c r="M31349" s="11"/>
      <c r="N31349" s="11"/>
      <c r="O31349" s="11"/>
      <c r="P31349" s="11"/>
    </row>
    <row r="31350" spans="8:16" x14ac:dyDescent="0.25">
      <c r="H31350" s="12"/>
      <c r="I31350" s="12"/>
      <c r="J31350" s="12"/>
      <c r="K31350" s="12"/>
      <c r="L31350" s="12"/>
      <c r="M31350" s="11"/>
      <c r="N31350" s="11"/>
      <c r="O31350" s="11"/>
      <c r="P31350" s="11"/>
    </row>
    <row r="31351" spans="8:16" x14ac:dyDescent="0.25">
      <c r="H31351" s="12"/>
      <c r="I31351" s="12"/>
      <c r="J31351" s="12"/>
      <c r="K31351" s="12"/>
      <c r="L31351" s="12"/>
      <c r="M31351" s="11"/>
      <c r="N31351" s="11"/>
      <c r="O31351" s="11"/>
      <c r="P31351" s="11"/>
    </row>
    <row r="31352" spans="8:16" x14ac:dyDescent="0.25">
      <c r="H31352" s="12"/>
      <c r="I31352" s="12"/>
      <c r="J31352" s="12"/>
      <c r="K31352" s="12"/>
      <c r="L31352" s="12"/>
      <c r="M31352" s="11"/>
      <c r="N31352" s="11"/>
      <c r="O31352" s="11"/>
      <c r="P31352" s="11"/>
    </row>
    <row r="31353" spans="8:16" x14ac:dyDescent="0.25">
      <c r="H31353" s="12"/>
      <c r="I31353" s="12"/>
      <c r="J31353" s="12"/>
      <c r="K31353" s="12"/>
      <c r="L31353" s="12"/>
      <c r="M31353" s="11"/>
      <c r="N31353" s="11"/>
      <c r="O31353" s="11"/>
      <c r="P31353" s="11"/>
    </row>
    <row r="31354" spans="8:16" x14ac:dyDescent="0.25">
      <c r="H31354" s="12"/>
      <c r="I31354" s="12"/>
      <c r="J31354" s="12"/>
      <c r="K31354" s="12"/>
      <c r="L31354" s="12"/>
      <c r="M31354" s="11"/>
      <c r="N31354" s="11"/>
      <c r="O31354" s="11"/>
      <c r="P31354" s="11"/>
    </row>
    <row r="31355" spans="8:16" x14ac:dyDescent="0.25">
      <c r="H31355" s="12"/>
      <c r="I31355" s="12"/>
      <c r="J31355" s="12"/>
      <c r="K31355" s="12"/>
      <c r="L31355" s="12"/>
      <c r="M31355" s="11"/>
      <c r="N31355" s="11"/>
      <c r="O31355" s="11"/>
      <c r="P31355" s="11"/>
    </row>
    <row r="31356" spans="8:16" x14ac:dyDescent="0.25">
      <c r="H31356" s="12"/>
      <c r="I31356" s="12"/>
      <c r="J31356" s="12"/>
      <c r="K31356" s="12"/>
      <c r="L31356" s="12"/>
      <c r="M31356" s="11"/>
      <c r="N31356" s="11"/>
      <c r="O31356" s="11"/>
      <c r="P31356" s="11"/>
    </row>
    <row r="31357" spans="8:16" x14ac:dyDescent="0.25">
      <c r="H31357" s="12"/>
      <c r="I31357" s="12"/>
      <c r="J31357" s="12"/>
      <c r="K31357" s="12"/>
      <c r="L31357" s="12"/>
      <c r="M31357" s="11"/>
      <c r="N31357" s="11"/>
      <c r="O31357" s="11"/>
      <c r="P31357" s="11"/>
    </row>
    <row r="31358" spans="8:16" x14ac:dyDescent="0.25">
      <c r="H31358" s="12"/>
      <c r="I31358" s="12"/>
      <c r="J31358" s="12"/>
      <c r="K31358" s="12"/>
      <c r="L31358" s="12"/>
      <c r="M31358" s="11"/>
      <c r="N31358" s="11"/>
      <c r="O31358" s="11"/>
      <c r="P31358" s="11"/>
    </row>
    <row r="31359" spans="8:16" x14ac:dyDescent="0.25">
      <c r="H31359" s="12"/>
      <c r="I31359" s="12"/>
      <c r="J31359" s="12"/>
      <c r="K31359" s="12"/>
      <c r="L31359" s="12"/>
      <c r="M31359" s="11"/>
      <c r="N31359" s="11"/>
      <c r="O31359" s="11"/>
      <c r="P31359" s="11"/>
    </row>
    <row r="31360" spans="8:16" x14ac:dyDescent="0.25">
      <c r="H31360" s="12"/>
      <c r="I31360" s="12"/>
      <c r="J31360" s="12"/>
      <c r="K31360" s="12"/>
      <c r="L31360" s="12"/>
      <c r="M31360" s="11"/>
      <c r="N31360" s="11"/>
      <c r="O31360" s="11"/>
      <c r="P31360" s="11"/>
    </row>
    <row r="31361" spans="8:16" x14ac:dyDescent="0.25">
      <c r="H31361" s="12"/>
      <c r="I31361" s="12"/>
      <c r="J31361" s="12"/>
      <c r="K31361" s="12"/>
      <c r="L31361" s="12"/>
      <c r="M31361" s="11"/>
      <c r="N31361" s="11"/>
      <c r="O31361" s="11"/>
      <c r="P31361" s="11"/>
    </row>
    <row r="31362" spans="8:16" x14ac:dyDescent="0.25">
      <c r="H31362" s="12"/>
      <c r="I31362" s="12"/>
      <c r="J31362" s="12"/>
      <c r="K31362" s="12"/>
      <c r="L31362" s="12"/>
      <c r="M31362" s="11"/>
      <c r="N31362" s="11"/>
      <c r="O31362" s="11"/>
      <c r="P31362" s="11"/>
    </row>
    <row r="31363" spans="8:16" x14ac:dyDescent="0.25">
      <c r="H31363" s="12"/>
      <c r="I31363" s="12"/>
      <c r="J31363" s="12"/>
      <c r="K31363" s="12"/>
      <c r="L31363" s="12"/>
      <c r="M31363" s="11"/>
      <c r="N31363" s="11"/>
      <c r="O31363" s="11"/>
      <c r="P31363" s="11"/>
    </row>
    <row r="31364" spans="8:16" x14ac:dyDescent="0.25">
      <c r="H31364" s="12"/>
      <c r="I31364" s="12"/>
      <c r="J31364" s="12"/>
      <c r="K31364" s="12"/>
      <c r="L31364" s="12"/>
      <c r="M31364" s="11"/>
      <c r="N31364" s="11"/>
      <c r="O31364" s="11"/>
      <c r="P31364" s="11"/>
    </row>
    <row r="31365" spans="8:16" x14ac:dyDescent="0.25">
      <c r="H31365" s="12"/>
      <c r="I31365" s="12"/>
      <c r="J31365" s="12"/>
      <c r="K31365" s="12"/>
      <c r="L31365" s="12"/>
      <c r="M31365" s="11"/>
      <c r="N31365" s="11"/>
      <c r="O31365" s="11"/>
      <c r="P31365" s="11"/>
    </row>
    <row r="31366" spans="8:16" x14ac:dyDescent="0.25">
      <c r="H31366" s="12"/>
      <c r="I31366" s="12"/>
      <c r="J31366" s="12"/>
      <c r="K31366" s="12"/>
      <c r="L31366" s="12"/>
      <c r="M31366" s="11"/>
      <c r="N31366" s="11"/>
      <c r="O31366" s="11"/>
      <c r="P31366" s="11"/>
    </row>
    <row r="31367" spans="8:16" x14ac:dyDescent="0.25">
      <c r="H31367" s="12"/>
      <c r="I31367" s="12"/>
      <c r="J31367" s="12"/>
      <c r="K31367" s="12"/>
      <c r="L31367" s="12"/>
      <c r="M31367" s="11"/>
      <c r="N31367" s="11"/>
      <c r="O31367" s="11"/>
      <c r="P31367" s="11"/>
    </row>
    <row r="31368" spans="8:16" x14ac:dyDescent="0.25">
      <c r="H31368" s="12"/>
      <c r="I31368" s="12"/>
      <c r="J31368" s="12"/>
      <c r="K31368" s="12"/>
      <c r="L31368" s="12"/>
      <c r="M31368" s="11"/>
      <c r="N31368" s="11"/>
      <c r="O31368" s="11"/>
      <c r="P31368" s="11"/>
    </row>
    <row r="31369" spans="8:16" x14ac:dyDescent="0.25">
      <c r="H31369" s="12"/>
      <c r="I31369" s="12"/>
      <c r="J31369" s="12"/>
      <c r="K31369" s="12"/>
      <c r="L31369" s="12"/>
      <c r="M31369" s="11"/>
      <c r="N31369" s="11"/>
      <c r="O31369" s="11"/>
      <c r="P31369" s="11"/>
    </row>
    <row r="31370" spans="8:16" x14ac:dyDescent="0.25">
      <c r="H31370" s="12"/>
      <c r="I31370" s="12"/>
      <c r="J31370" s="12"/>
      <c r="K31370" s="12"/>
      <c r="L31370" s="12"/>
      <c r="M31370" s="11"/>
      <c r="N31370" s="11"/>
      <c r="O31370" s="11"/>
      <c r="P31370" s="11"/>
    </row>
    <row r="31371" spans="8:16" x14ac:dyDescent="0.25">
      <c r="H31371" s="12"/>
      <c r="I31371" s="12"/>
      <c r="J31371" s="12"/>
      <c r="K31371" s="12"/>
      <c r="L31371" s="12"/>
      <c r="M31371" s="11"/>
      <c r="N31371" s="11"/>
      <c r="O31371" s="11"/>
      <c r="P31371" s="11"/>
    </row>
    <row r="31372" spans="8:16" x14ac:dyDescent="0.25">
      <c r="H31372" s="12"/>
      <c r="I31372" s="12"/>
      <c r="J31372" s="12"/>
      <c r="K31372" s="12"/>
      <c r="L31372" s="12"/>
      <c r="M31372" s="11"/>
      <c r="N31372" s="11"/>
      <c r="O31372" s="11"/>
      <c r="P31372" s="11"/>
    </row>
    <row r="31373" spans="8:16" x14ac:dyDescent="0.25">
      <c r="H31373" s="12"/>
      <c r="I31373" s="12"/>
      <c r="J31373" s="12"/>
      <c r="K31373" s="12"/>
      <c r="L31373" s="12"/>
      <c r="M31373" s="11"/>
      <c r="N31373" s="11"/>
      <c r="O31373" s="11"/>
      <c r="P31373" s="11"/>
    </row>
    <row r="31374" spans="8:16" x14ac:dyDescent="0.25">
      <c r="H31374" s="12"/>
      <c r="I31374" s="12"/>
      <c r="J31374" s="12"/>
      <c r="K31374" s="12"/>
      <c r="L31374" s="12"/>
      <c r="M31374" s="11"/>
      <c r="N31374" s="11"/>
      <c r="O31374" s="11"/>
      <c r="P31374" s="11"/>
    </row>
    <row r="31375" spans="8:16" x14ac:dyDescent="0.25">
      <c r="H31375" s="12"/>
      <c r="I31375" s="12"/>
      <c r="J31375" s="12"/>
      <c r="K31375" s="12"/>
      <c r="L31375" s="12"/>
      <c r="M31375" s="11"/>
      <c r="N31375" s="11"/>
      <c r="O31375" s="11"/>
      <c r="P31375" s="11"/>
    </row>
    <row r="31376" spans="8:16" x14ac:dyDescent="0.25">
      <c r="H31376" s="12"/>
      <c r="I31376" s="12"/>
      <c r="J31376" s="12"/>
      <c r="K31376" s="12"/>
      <c r="L31376" s="12"/>
      <c r="M31376" s="11"/>
      <c r="N31376" s="11"/>
      <c r="O31376" s="11"/>
      <c r="P31376" s="11"/>
    </row>
    <row r="31377" spans="8:16" x14ac:dyDescent="0.25">
      <c r="H31377" s="12"/>
      <c r="I31377" s="12"/>
      <c r="J31377" s="12"/>
      <c r="K31377" s="12"/>
      <c r="L31377" s="12"/>
      <c r="M31377" s="11"/>
      <c r="N31377" s="11"/>
      <c r="O31377" s="11"/>
      <c r="P31377" s="11"/>
    </row>
    <row r="31378" spans="8:16" x14ac:dyDescent="0.25">
      <c r="H31378" s="12"/>
      <c r="I31378" s="12"/>
      <c r="J31378" s="12"/>
      <c r="K31378" s="12"/>
      <c r="L31378" s="12"/>
      <c r="M31378" s="11"/>
      <c r="N31378" s="11"/>
      <c r="O31378" s="11"/>
      <c r="P31378" s="11"/>
    </row>
    <row r="31379" spans="8:16" x14ac:dyDescent="0.25">
      <c r="H31379" s="12"/>
      <c r="I31379" s="12"/>
      <c r="J31379" s="12"/>
      <c r="K31379" s="12"/>
      <c r="L31379" s="12"/>
      <c r="M31379" s="11"/>
      <c r="N31379" s="11"/>
      <c r="O31379" s="11"/>
      <c r="P31379" s="11"/>
    </row>
    <row r="31380" spans="8:16" x14ac:dyDescent="0.25">
      <c r="H31380" s="12"/>
      <c r="I31380" s="12"/>
      <c r="J31380" s="12"/>
      <c r="K31380" s="12"/>
      <c r="L31380" s="12"/>
      <c r="M31380" s="11"/>
      <c r="N31380" s="11"/>
      <c r="O31380" s="11"/>
      <c r="P31380" s="11"/>
    </row>
    <row r="31381" spans="8:16" x14ac:dyDescent="0.25">
      <c r="H31381" s="12"/>
      <c r="I31381" s="12"/>
      <c r="J31381" s="12"/>
      <c r="K31381" s="12"/>
      <c r="L31381" s="12"/>
      <c r="M31381" s="11"/>
      <c r="N31381" s="11"/>
      <c r="O31381" s="11"/>
      <c r="P31381" s="11"/>
    </row>
    <row r="31382" spans="8:16" x14ac:dyDescent="0.25">
      <c r="H31382" s="12"/>
      <c r="I31382" s="12"/>
      <c r="J31382" s="12"/>
      <c r="K31382" s="12"/>
      <c r="L31382" s="12"/>
      <c r="M31382" s="11"/>
      <c r="N31382" s="11"/>
      <c r="O31382" s="11"/>
      <c r="P31382" s="11"/>
    </row>
    <row r="31383" spans="8:16" x14ac:dyDescent="0.25">
      <c r="H31383" s="12"/>
      <c r="I31383" s="12"/>
      <c r="J31383" s="12"/>
      <c r="K31383" s="12"/>
      <c r="L31383" s="12"/>
      <c r="M31383" s="11"/>
      <c r="N31383" s="11"/>
      <c r="O31383" s="11"/>
      <c r="P31383" s="11"/>
    </row>
    <row r="31384" spans="8:16" x14ac:dyDescent="0.25">
      <c r="H31384" s="12"/>
      <c r="I31384" s="12"/>
      <c r="J31384" s="12"/>
      <c r="K31384" s="12"/>
      <c r="L31384" s="12"/>
      <c r="M31384" s="11"/>
      <c r="N31384" s="11"/>
      <c r="O31384" s="11"/>
      <c r="P31384" s="11"/>
    </row>
    <row r="31385" spans="8:16" x14ac:dyDescent="0.25">
      <c r="H31385" s="12"/>
      <c r="I31385" s="12"/>
      <c r="J31385" s="12"/>
      <c r="K31385" s="12"/>
      <c r="L31385" s="12"/>
      <c r="M31385" s="11"/>
      <c r="N31385" s="11"/>
      <c r="O31385" s="11"/>
      <c r="P31385" s="11"/>
    </row>
    <row r="31386" spans="8:16" x14ac:dyDescent="0.25">
      <c r="H31386" s="12"/>
      <c r="I31386" s="12"/>
      <c r="J31386" s="12"/>
      <c r="K31386" s="12"/>
      <c r="L31386" s="12"/>
      <c r="M31386" s="11"/>
      <c r="N31386" s="11"/>
      <c r="O31386" s="11"/>
      <c r="P31386" s="11"/>
    </row>
    <row r="31387" spans="8:16" x14ac:dyDescent="0.25">
      <c r="H31387" s="12"/>
      <c r="I31387" s="12"/>
      <c r="J31387" s="12"/>
      <c r="K31387" s="12"/>
      <c r="L31387" s="12"/>
      <c r="M31387" s="11"/>
      <c r="N31387" s="11"/>
      <c r="O31387" s="11"/>
      <c r="P31387" s="11"/>
    </row>
    <row r="31388" spans="8:16" x14ac:dyDescent="0.25">
      <c r="H31388" s="12"/>
      <c r="I31388" s="12"/>
      <c r="J31388" s="12"/>
      <c r="K31388" s="12"/>
      <c r="L31388" s="12"/>
      <c r="M31388" s="11"/>
      <c r="N31388" s="11"/>
      <c r="O31388" s="11"/>
      <c r="P31388" s="11"/>
    </row>
    <row r="31389" spans="8:16" x14ac:dyDescent="0.25">
      <c r="H31389" s="12"/>
      <c r="I31389" s="12"/>
      <c r="J31389" s="12"/>
      <c r="K31389" s="12"/>
      <c r="L31389" s="12"/>
      <c r="M31389" s="11"/>
      <c r="N31389" s="11"/>
      <c r="O31389" s="11"/>
      <c r="P31389" s="11"/>
    </row>
    <row r="31390" spans="8:16" x14ac:dyDescent="0.25">
      <c r="H31390" s="12"/>
      <c r="I31390" s="12"/>
      <c r="J31390" s="12"/>
      <c r="K31390" s="12"/>
      <c r="L31390" s="12"/>
      <c r="M31390" s="11"/>
      <c r="N31390" s="11"/>
      <c r="O31390" s="11"/>
      <c r="P31390" s="11"/>
    </row>
    <row r="31391" spans="8:16" x14ac:dyDescent="0.25">
      <c r="H31391" s="12"/>
      <c r="I31391" s="12"/>
      <c r="J31391" s="12"/>
      <c r="K31391" s="12"/>
      <c r="L31391" s="12"/>
      <c r="M31391" s="11"/>
      <c r="N31391" s="11"/>
      <c r="O31391" s="11"/>
      <c r="P31391" s="11"/>
    </row>
    <row r="31392" spans="8:16" x14ac:dyDescent="0.25">
      <c r="H31392" s="12"/>
      <c r="I31392" s="12"/>
      <c r="J31392" s="12"/>
      <c r="K31392" s="12"/>
      <c r="L31392" s="12"/>
      <c r="M31392" s="11"/>
      <c r="N31392" s="11"/>
      <c r="O31392" s="11"/>
      <c r="P31392" s="11"/>
    </row>
    <row r="31393" spans="8:16" x14ac:dyDescent="0.25">
      <c r="H31393" s="12"/>
      <c r="I31393" s="12"/>
      <c r="J31393" s="12"/>
      <c r="K31393" s="12"/>
      <c r="L31393" s="12"/>
      <c r="M31393" s="11"/>
      <c r="N31393" s="11"/>
      <c r="O31393" s="11"/>
      <c r="P31393" s="11"/>
    </row>
    <row r="31394" spans="8:16" x14ac:dyDescent="0.25">
      <c r="H31394" s="12"/>
      <c r="I31394" s="12"/>
      <c r="J31394" s="12"/>
      <c r="K31394" s="12"/>
      <c r="L31394" s="12"/>
      <c r="M31394" s="11"/>
      <c r="N31394" s="11"/>
      <c r="O31394" s="11"/>
      <c r="P31394" s="11"/>
    </row>
    <row r="31395" spans="8:16" x14ac:dyDescent="0.25">
      <c r="H31395" s="12"/>
      <c r="I31395" s="12"/>
      <c r="J31395" s="12"/>
      <c r="K31395" s="12"/>
      <c r="L31395" s="12"/>
      <c r="M31395" s="11"/>
      <c r="N31395" s="11"/>
      <c r="O31395" s="11"/>
      <c r="P31395" s="11"/>
    </row>
    <row r="31396" spans="8:16" x14ac:dyDescent="0.25">
      <c r="H31396" s="12"/>
      <c r="I31396" s="12"/>
      <c r="J31396" s="12"/>
      <c r="K31396" s="12"/>
      <c r="L31396" s="12"/>
      <c r="M31396" s="11"/>
      <c r="N31396" s="11"/>
      <c r="O31396" s="11"/>
      <c r="P31396" s="11"/>
    </row>
    <row r="31397" spans="8:16" x14ac:dyDescent="0.25">
      <c r="H31397" s="12"/>
      <c r="I31397" s="12"/>
      <c r="J31397" s="12"/>
      <c r="K31397" s="12"/>
      <c r="L31397" s="12"/>
      <c r="M31397" s="11"/>
      <c r="N31397" s="11"/>
      <c r="O31397" s="11"/>
      <c r="P31397" s="11"/>
    </row>
    <row r="31398" spans="8:16" x14ac:dyDescent="0.25">
      <c r="H31398" s="12"/>
      <c r="I31398" s="12"/>
      <c r="J31398" s="12"/>
      <c r="K31398" s="12"/>
      <c r="L31398" s="12"/>
      <c r="M31398" s="11"/>
      <c r="N31398" s="11"/>
      <c r="O31398" s="11"/>
      <c r="P31398" s="11"/>
    </row>
    <row r="31399" spans="8:16" x14ac:dyDescent="0.25">
      <c r="H31399" s="12"/>
      <c r="I31399" s="12"/>
      <c r="J31399" s="12"/>
      <c r="K31399" s="12"/>
      <c r="L31399" s="12"/>
      <c r="M31399" s="11"/>
      <c r="N31399" s="11"/>
      <c r="O31399" s="11"/>
      <c r="P31399" s="11"/>
    </row>
    <row r="31400" spans="8:16" x14ac:dyDescent="0.25">
      <c r="H31400" s="12"/>
      <c r="I31400" s="12"/>
      <c r="J31400" s="12"/>
      <c r="K31400" s="12"/>
      <c r="L31400" s="12"/>
      <c r="M31400" s="11"/>
      <c r="N31400" s="11"/>
      <c r="O31400" s="11"/>
      <c r="P31400" s="11"/>
    </row>
    <row r="31401" spans="8:16" x14ac:dyDescent="0.25">
      <c r="H31401" s="12"/>
      <c r="I31401" s="12"/>
      <c r="J31401" s="12"/>
      <c r="K31401" s="12"/>
      <c r="L31401" s="12"/>
      <c r="M31401" s="11"/>
      <c r="N31401" s="11"/>
      <c r="O31401" s="11"/>
      <c r="P31401" s="11"/>
    </row>
    <row r="31402" spans="8:16" x14ac:dyDescent="0.25">
      <c r="H31402" s="12"/>
      <c r="I31402" s="12"/>
      <c r="J31402" s="12"/>
      <c r="K31402" s="12"/>
      <c r="L31402" s="12"/>
      <c r="M31402" s="11"/>
      <c r="N31402" s="11"/>
      <c r="O31402" s="11"/>
      <c r="P31402" s="11"/>
    </row>
    <row r="31403" spans="8:16" x14ac:dyDescent="0.25">
      <c r="H31403" s="12"/>
      <c r="I31403" s="12"/>
      <c r="J31403" s="12"/>
      <c r="K31403" s="12"/>
      <c r="L31403" s="12"/>
      <c r="M31403" s="11"/>
      <c r="N31403" s="11"/>
      <c r="O31403" s="11"/>
      <c r="P31403" s="11"/>
    </row>
    <row r="31404" spans="8:16" x14ac:dyDescent="0.25">
      <c r="H31404" s="12"/>
      <c r="I31404" s="12"/>
      <c r="J31404" s="12"/>
      <c r="K31404" s="12"/>
      <c r="L31404" s="12"/>
      <c r="M31404" s="11"/>
      <c r="N31404" s="11"/>
      <c r="O31404" s="11"/>
      <c r="P31404" s="11"/>
    </row>
    <row r="31405" spans="8:16" x14ac:dyDescent="0.25">
      <c r="H31405" s="12"/>
      <c r="I31405" s="12"/>
      <c r="J31405" s="12"/>
      <c r="K31405" s="12"/>
      <c r="L31405" s="12"/>
      <c r="M31405" s="11"/>
      <c r="N31405" s="11"/>
      <c r="O31405" s="11"/>
      <c r="P31405" s="11"/>
    </row>
    <row r="31406" spans="8:16" x14ac:dyDescent="0.25">
      <c r="H31406" s="12"/>
      <c r="I31406" s="12"/>
      <c r="J31406" s="12"/>
      <c r="K31406" s="12"/>
      <c r="L31406" s="12"/>
      <c r="M31406" s="11"/>
      <c r="N31406" s="11"/>
      <c r="O31406" s="11"/>
      <c r="P31406" s="11"/>
    </row>
    <row r="31407" spans="8:16" x14ac:dyDescent="0.25">
      <c r="H31407" s="12"/>
      <c r="I31407" s="12"/>
      <c r="J31407" s="12"/>
      <c r="K31407" s="12"/>
      <c r="L31407" s="12"/>
      <c r="M31407" s="11"/>
      <c r="N31407" s="11"/>
      <c r="O31407" s="11"/>
      <c r="P31407" s="11"/>
    </row>
    <row r="31408" spans="8:16" x14ac:dyDescent="0.25">
      <c r="H31408" s="12"/>
      <c r="I31408" s="12"/>
      <c r="J31408" s="12"/>
      <c r="K31408" s="12"/>
      <c r="L31408" s="12"/>
      <c r="M31408" s="11"/>
      <c r="N31408" s="11"/>
      <c r="O31408" s="11"/>
      <c r="P31408" s="11"/>
    </row>
    <row r="31409" spans="8:16" x14ac:dyDescent="0.25">
      <c r="H31409" s="12"/>
      <c r="I31409" s="12"/>
      <c r="J31409" s="12"/>
      <c r="K31409" s="12"/>
      <c r="L31409" s="12"/>
      <c r="M31409" s="11"/>
      <c r="N31409" s="11"/>
      <c r="O31409" s="11"/>
      <c r="P31409" s="11"/>
    </row>
    <row r="31410" spans="8:16" x14ac:dyDescent="0.25">
      <c r="H31410" s="12"/>
      <c r="I31410" s="12"/>
      <c r="J31410" s="12"/>
      <c r="K31410" s="12"/>
      <c r="L31410" s="12"/>
      <c r="M31410" s="11"/>
      <c r="N31410" s="11"/>
      <c r="O31410" s="11"/>
      <c r="P31410" s="11"/>
    </row>
    <row r="31411" spans="8:16" x14ac:dyDescent="0.25">
      <c r="H31411" s="12"/>
      <c r="I31411" s="12"/>
      <c r="J31411" s="12"/>
      <c r="K31411" s="12"/>
      <c r="L31411" s="12"/>
      <c r="M31411" s="11"/>
      <c r="N31411" s="11"/>
      <c r="O31411" s="11"/>
      <c r="P31411" s="11"/>
    </row>
    <row r="31412" spans="8:16" x14ac:dyDescent="0.25">
      <c r="H31412" s="12"/>
      <c r="I31412" s="12"/>
      <c r="J31412" s="12"/>
      <c r="K31412" s="12"/>
      <c r="L31412" s="12"/>
      <c r="M31412" s="11"/>
      <c r="N31412" s="11"/>
      <c r="O31412" s="11"/>
      <c r="P31412" s="11"/>
    </row>
    <row r="31413" spans="8:16" x14ac:dyDescent="0.25">
      <c r="H31413" s="12"/>
      <c r="I31413" s="12"/>
      <c r="J31413" s="12"/>
      <c r="K31413" s="12"/>
      <c r="L31413" s="12"/>
      <c r="M31413" s="11"/>
      <c r="N31413" s="11"/>
      <c r="O31413" s="11"/>
      <c r="P31413" s="11"/>
    </row>
    <row r="31414" spans="8:16" x14ac:dyDescent="0.25">
      <c r="H31414" s="12"/>
      <c r="I31414" s="12"/>
      <c r="J31414" s="12"/>
      <c r="K31414" s="12"/>
      <c r="L31414" s="12"/>
      <c r="M31414" s="11"/>
      <c r="N31414" s="11"/>
      <c r="O31414" s="11"/>
      <c r="P31414" s="11"/>
    </row>
    <row r="31415" spans="8:16" x14ac:dyDescent="0.25">
      <c r="H31415" s="12"/>
      <c r="I31415" s="12"/>
      <c r="J31415" s="12"/>
      <c r="K31415" s="12"/>
      <c r="L31415" s="12"/>
      <c r="M31415" s="11"/>
      <c r="N31415" s="11"/>
      <c r="O31415" s="11"/>
      <c r="P31415" s="11"/>
    </row>
    <row r="31416" spans="8:16" x14ac:dyDescent="0.25">
      <c r="H31416" s="12"/>
      <c r="I31416" s="12"/>
      <c r="J31416" s="12"/>
      <c r="K31416" s="12"/>
      <c r="L31416" s="12"/>
      <c r="M31416" s="11"/>
      <c r="N31416" s="11"/>
      <c r="O31416" s="11"/>
      <c r="P31416" s="11"/>
    </row>
    <row r="31417" spans="8:16" x14ac:dyDescent="0.25">
      <c r="H31417" s="12"/>
      <c r="I31417" s="12"/>
      <c r="J31417" s="12"/>
      <c r="K31417" s="12"/>
      <c r="L31417" s="12"/>
      <c r="M31417" s="11"/>
      <c r="N31417" s="11"/>
      <c r="O31417" s="11"/>
      <c r="P31417" s="11"/>
    </row>
    <row r="31418" spans="8:16" x14ac:dyDescent="0.25">
      <c r="H31418" s="12"/>
      <c r="I31418" s="12"/>
      <c r="J31418" s="12"/>
      <c r="K31418" s="12"/>
      <c r="L31418" s="12"/>
      <c r="M31418" s="11"/>
      <c r="N31418" s="11"/>
      <c r="O31418" s="11"/>
      <c r="P31418" s="11"/>
    </row>
    <row r="31419" spans="8:16" x14ac:dyDescent="0.25">
      <c r="H31419" s="12"/>
      <c r="I31419" s="12"/>
      <c r="J31419" s="12"/>
      <c r="K31419" s="12"/>
      <c r="L31419" s="12"/>
      <c r="M31419" s="11"/>
      <c r="N31419" s="11"/>
      <c r="O31419" s="11"/>
      <c r="P31419" s="11"/>
    </row>
    <row r="31420" spans="8:16" x14ac:dyDescent="0.25">
      <c r="H31420" s="12"/>
      <c r="I31420" s="12"/>
      <c r="J31420" s="12"/>
      <c r="K31420" s="12"/>
      <c r="L31420" s="12"/>
      <c r="M31420" s="11"/>
      <c r="N31420" s="11"/>
      <c r="O31420" s="11"/>
      <c r="P31420" s="11"/>
    </row>
    <row r="31421" spans="8:16" x14ac:dyDescent="0.25">
      <c r="H31421" s="12"/>
      <c r="I31421" s="12"/>
      <c r="J31421" s="12"/>
      <c r="K31421" s="12"/>
      <c r="L31421" s="12"/>
      <c r="M31421" s="11"/>
      <c r="N31421" s="11"/>
      <c r="O31421" s="11"/>
      <c r="P31421" s="11"/>
    </row>
    <row r="31422" spans="8:16" x14ac:dyDescent="0.25">
      <c r="H31422" s="12"/>
      <c r="I31422" s="12"/>
      <c r="J31422" s="12"/>
      <c r="K31422" s="12"/>
      <c r="L31422" s="12"/>
      <c r="M31422" s="11"/>
      <c r="N31422" s="11"/>
      <c r="O31422" s="11"/>
      <c r="P31422" s="11"/>
    </row>
    <row r="31423" spans="8:16" x14ac:dyDescent="0.25">
      <c r="H31423" s="12"/>
      <c r="I31423" s="12"/>
      <c r="J31423" s="12"/>
      <c r="K31423" s="12"/>
      <c r="L31423" s="12"/>
      <c r="M31423" s="11"/>
      <c r="N31423" s="11"/>
      <c r="O31423" s="11"/>
      <c r="P31423" s="11"/>
    </row>
    <row r="31424" spans="8:16" x14ac:dyDescent="0.25">
      <c r="H31424" s="12"/>
      <c r="I31424" s="12"/>
      <c r="J31424" s="12"/>
      <c r="K31424" s="12"/>
      <c r="L31424" s="12"/>
      <c r="M31424" s="11"/>
      <c r="N31424" s="11"/>
      <c r="O31424" s="11"/>
      <c r="P31424" s="11"/>
    </row>
    <row r="31425" spans="8:16" x14ac:dyDescent="0.25">
      <c r="H31425" s="12"/>
      <c r="I31425" s="12"/>
      <c r="J31425" s="12"/>
      <c r="K31425" s="12"/>
      <c r="L31425" s="12"/>
      <c r="M31425" s="11"/>
      <c r="N31425" s="11"/>
      <c r="O31425" s="11"/>
      <c r="P31425" s="11"/>
    </row>
    <row r="31426" spans="8:16" x14ac:dyDescent="0.25">
      <c r="H31426" s="12"/>
      <c r="I31426" s="12"/>
      <c r="J31426" s="12"/>
      <c r="K31426" s="12"/>
      <c r="L31426" s="12"/>
      <c r="M31426" s="11"/>
      <c r="N31426" s="11"/>
      <c r="O31426" s="11"/>
      <c r="P31426" s="11"/>
    </row>
    <row r="31427" spans="8:16" x14ac:dyDescent="0.25">
      <c r="H31427" s="12"/>
      <c r="I31427" s="12"/>
      <c r="J31427" s="12"/>
      <c r="K31427" s="12"/>
      <c r="L31427" s="12"/>
      <c r="M31427" s="11"/>
      <c r="N31427" s="11"/>
      <c r="O31427" s="11"/>
      <c r="P31427" s="11"/>
    </row>
    <row r="31428" spans="8:16" x14ac:dyDescent="0.25">
      <c r="H31428" s="12"/>
      <c r="I31428" s="12"/>
      <c r="J31428" s="12"/>
      <c r="K31428" s="12"/>
      <c r="L31428" s="12"/>
      <c r="M31428" s="11"/>
      <c r="N31428" s="11"/>
      <c r="O31428" s="11"/>
      <c r="P31428" s="11"/>
    </row>
    <row r="31429" spans="8:16" x14ac:dyDescent="0.25">
      <c r="H31429" s="12"/>
      <c r="I31429" s="12"/>
      <c r="J31429" s="12"/>
      <c r="K31429" s="12"/>
      <c r="L31429" s="12"/>
      <c r="M31429" s="11"/>
      <c r="N31429" s="11"/>
      <c r="O31429" s="11"/>
      <c r="P31429" s="11"/>
    </row>
    <row r="31430" spans="8:16" x14ac:dyDescent="0.25">
      <c r="H31430" s="12"/>
      <c r="I31430" s="12"/>
      <c r="J31430" s="12"/>
      <c r="K31430" s="12"/>
      <c r="L31430" s="12"/>
      <c r="M31430" s="11"/>
      <c r="N31430" s="11"/>
      <c r="O31430" s="11"/>
      <c r="P31430" s="11"/>
    </row>
    <row r="31431" spans="8:16" x14ac:dyDescent="0.25">
      <c r="H31431" s="12"/>
      <c r="I31431" s="12"/>
      <c r="J31431" s="12"/>
      <c r="K31431" s="12"/>
      <c r="L31431" s="12"/>
      <c r="M31431" s="11"/>
      <c r="N31431" s="11"/>
      <c r="O31431" s="11"/>
      <c r="P31431" s="11"/>
    </row>
    <row r="31432" spans="8:16" x14ac:dyDescent="0.25">
      <c r="H31432" s="12"/>
      <c r="I31432" s="12"/>
      <c r="J31432" s="12"/>
      <c r="K31432" s="12"/>
      <c r="L31432" s="12"/>
      <c r="M31432" s="11"/>
      <c r="N31432" s="11"/>
      <c r="O31432" s="11"/>
      <c r="P31432" s="11"/>
    </row>
    <row r="31433" spans="8:16" x14ac:dyDescent="0.25">
      <c r="H31433" s="12"/>
      <c r="I31433" s="12"/>
      <c r="J31433" s="12"/>
      <c r="K31433" s="12"/>
      <c r="L31433" s="12"/>
      <c r="M31433" s="11"/>
      <c r="N31433" s="11"/>
      <c r="O31433" s="11"/>
      <c r="P31433" s="11"/>
    </row>
    <row r="31434" spans="8:16" x14ac:dyDescent="0.25">
      <c r="H31434" s="12"/>
      <c r="I31434" s="12"/>
      <c r="J31434" s="12"/>
      <c r="K31434" s="12"/>
      <c r="L31434" s="12"/>
      <c r="M31434" s="11"/>
      <c r="N31434" s="11"/>
      <c r="O31434" s="11"/>
      <c r="P31434" s="11"/>
    </row>
    <row r="31435" spans="8:16" x14ac:dyDescent="0.25">
      <c r="H31435" s="12"/>
      <c r="I31435" s="12"/>
      <c r="J31435" s="12"/>
      <c r="K31435" s="12"/>
      <c r="L31435" s="12"/>
      <c r="M31435" s="11"/>
      <c r="N31435" s="11"/>
      <c r="O31435" s="11"/>
      <c r="P31435" s="11"/>
    </row>
    <row r="31436" spans="8:16" x14ac:dyDescent="0.25">
      <c r="H31436" s="12"/>
      <c r="I31436" s="12"/>
      <c r="J31436" s="12"/>
      <c r="K31436" s="12"/>
      <c r="L31436" s="12"/>
      <c r="M31436" s="11"/>
      <c r="N31436" s="11"/>
      <c r="O31436" s="11"/>
      <c r="P31436" s="11"/>
    </row>
    <row r="31437" spans="8:16" x14ac:dyDescent="0.25">
      <c r="H31437" s="12"/>
      <c r="I31437" s="12"/>
      <c r="J31437" s="12"/>
      <c r="K31437" s="12"/>
      <c r="L31437" s="12"/>
      <c r="M31437" s="11"/>
      <c r="N31437" s="11"/>
      <c r="O31437" s="11"/>
      <c r="P31437" s="11"/>
    </row>
    <row r="31438" spans="8:16" x14ac:dyDescent="0.25">
      <c r="H31438" s="12"/>
      <c r="I31438" s="12"/>
      <c r="J31438" s="12"/>
      <c r="K31438" s="12"/>
      <c r="L31438" s="12"/>
      <c r="M31438" s="11"/>
      <c r="N31438" s="11"/>
      <c r="O31438" s="11"/>
      <c r="P31438" s="11"/>
    </row>
    <row r="31439" spans="8:16" x14ac:dyDescent="0.25">
      <c r="H31439" s="12"/>
      <c r="I31439" s="12"/>
      <c r="J31439" s="12"/>
      <c r="K31439" s="12"/>
      <c r="L31439" s="12"/>
      <c r="M31439" s="11"/>
      <c r="N31439" s="11"/>
      <c r="O31439" s="11"/>
      <c r="P31439" s="11"/>
    </row>
    <row r="31440" spans="8:16" x14ac:dyDescent="0.25">
      <c r="H31440" s="12"/>
      <c r="I31440" s="12"/>
      <c r="J31440" s="12"/>
      <c r="K31440" s="12"/>
      <c r="L31440" s="12"/>
      <c r="M31440" s="11"/>
      <c r="N31440" s="11"/>
      <c r="O31440" s="11"/>
      <c r="P31440" s="11"/>
    </row>
    <row r="31441" spans="8:16" x14ac:dyDescent="0.25">
      <c r="H31441" s="12"/>
      <c r="I31441" s="12"/>
      <c r="J31441" s="12"/>
      <c r="K31441" s="12"/>
      <c r="L31441" s="12"/>
      <c r="M31441" s="11"/>
      <c r="N31441" s="11"/>
      <c r="O31441" s="11"/>
      <c r="P31441" s="11"/>
    </row>
    <row r="31442" spans="8:16" x14ac:dyDescent="0.25">
      <c r="H31442" s="12"/>
      <c r="I31442" s="12"/>
      <c r="J31442" s="12"/>
      <c r="K31442" s="12"/>
      <c r="L31442" s="12"/>
      <c r="M31442" s="11"/>
      <c r="N31442" s="11"/>
      <c r="O31442" s="11"/>
      <c r="P31442" s="11"/>
    </row>
    <row r="31443" spans="8:16" x14ac:dyDescent="0.25">
      <c r="H31443" s="12"/>
      <c r="I31443" s="12"/>
      <c r="J31443" s="12"/>
      <c r="K31443" s="12"/>
      <c r="L31443" s="12"/>
      <c r="M31443" s="11"/>
      <c r="N31443" s="11"/>
      <c r="O31443" s="11"/>
      <c r="P31443" s="11"/>
    </row>
    <row r="31444" spans="8:16" x14ac:dyDescent="0.25">
      <c r="H31444" s="12"/>
      <c r="I31444" s="12"/>
      <c r="J31444" s="12"/>
      <c r="K31444" s="12"/>
      <c r="L31444" s="12"/>
      <c r="M31444" s="11"/>
      <c r="N31444" s="11"/>
      <c r="O31444" s="11"/>
      <c r="P31444" s="11"/>
    </row>
    <row r="31445" spans="8:16" x14ac:dyDescent="0.25">
      <c r="H31445" s="12"/>
      <c r="I31445" s="12"/>
      <c r="J31445" s="12"/>
      <c r="K31445" s="12"/>
      <c r="L31445" s="12"/>
      <c r="M31445" s="11"/>
      <c r="N31445" s="11"/>
      <c r="O31445" s="11"/>
      <c r="P31445" s="11"/>
    </row>
    <row r="31446" spans="8:16" x14ac:dyDescent="0.25">
      <c r="H31446" s="12"/>
      <c r="I31446" s="12"/>
      <c r="J31446" s="12"/>
      <c r="K31446" s="12"/>
      <c r="L31446" s="12"/>
      <c r="M31446" s="11"/>
      <c r="N31446" s="11"/>
      <c r="O31446" s="11"/>
      <c r="P31446" s="11"/>
    </row>
    <row r="31447" spans="8:16" x14ac:dyDescent="0.25">
      <c r="H31447" s="12"/>
      <c r="I31447" s="12"/>
      <c r="J31447" s="12"/>
      <c r="K31447" s="12"/>
      <c r="L31447" s="12"/>
      <c r="M31447" s="11"/>
      <c r="N31447" s="11"/>
      <c r="O31447" s="11"/>
      <c r="P31447" s="11"/>
    </row>
    <row r="31448" spans="8:16" x14ac:dyDescent="0.25">
      <c r="H31448" s="12"/>
      <c r="I31448" s="12"/>
      <c r="J31448" s="12"/>
      <c r="K31448" s="12"/>
      <c r="L31448" s="12"/>
      <c r="M31448" s="11"/>
      <c r="N31448" s="11"/>
      <c r="O31448" s="11"/>
      <c r="P31448" s="11"/>
    </row>
    <row r="31449" spans="8:16" x14ac:dyDescent="0.25">
      <c r="H31449" s="12"/>
      <c r="I31449" s="12"/>
      <c r="J31449" s="12"/>
      <c r="K31449" s="12"/>
      <c r="L31449" s="12"/>
      <c r="M31449" s="11"/>
      <c r="N31449" s="11"/>
      <c r="O31449" s="11"/>
      <c r="P31449" s="11"/>
    </row>
    <row r="31450" spans="8:16" x14ac:dyDescent="0.25">
      <c r="H31450" s="12"/>
      <c r="I31450" s="12"/>
      <c r="J31450" s="12"/>
      <c r="K31450" s="12"/>
      <c r="L31450" s="12"/>
      <c r="M31450" s="11"/>
      <c r="N31450" s="11"/>
      <c r="O31450" s="11"/>
      <c r="P31450" s="11"/>
    </row>
    <row r="31451" spans="8:16" x14ac:dyDescent="0.25">
      <c r="H31451" s="12"/>
      <c r="I31451" s="12"/>
      <c r="J31451" s="12"/>
      <c r="K31451" s="12"/>
      <c r="L31451" s="12"/>
      <c r="M31451" s="11"/>
      <c r="N31451" s="11"/>
      <c r="O31451" s="11"/>
      <c r="P31451" s="11"/>
    </row>
    <row r="31452" spans="8:16" x14ac:dyDescent="0.25">
      <c r="H31452" s="12"/>
      <c r="I31452" s="12"/>
      <c r="J31452" s="12"/>
      <c r="K31452" s="12"/>
      <c r="L31452" s="12"/>
      <c r="M31452" s="11"/>
      <c r="N31452" s="11"/>
      <c r="O31452" s="11"/>
      <c r="P31452" s="11"/>
    </row>
    <row r="31453" spans="8:16" x14ac:dyDescent="0.25">
      <c r="H31453" s="12"/>
      <c r="I31453" s="12"/>
      <c r="J31453" s="12"/>
      <c r="K31453" s="12"/>
      <c r="L31453" s="12"/>
      <c r="M31453" s="11"/>
      <c r="N31453" s="11"/>
      <c r="O31453" s="11"/>
      <c r="P31453" s="11"/>
    </row>
    <row r="31454" spans="8:16" x14ac:dyDescent="0.25">
      <c r="H31454" s="12"/>
      <c r="I31454" s="12"/>
      <c r="J31454" s="12"/>
      <c r="K31454" s="12"/>
      <c r="L31454" s="12"/>
      <c r="M31454" s="11"/>
      <c r="N31454" s="11"/>
      <c r="O31454" s="11"/>
      <c r="P31454" s="11"/>
    </row>
    <row r="31455" spans="8:16" x14ac:dyDescent="0.25">
      <c r="H31455" s="12"/>
      <c r="I31455" s="12"/>
      <c r="J31455" s="12"/>
      <c r="K31455" s="12"/>
      <c r="L31455" s="12"/>
      <c r="M31455" s="11"/>
      <c r="N31455" s="11"/>
      <c r="O31455" s="11"/>
      <c r="P31455" s="11"/>
    </row>
    <row r="31456" spans="8:16" x14ac:dyDescent="0.25">
      <c r="H31456" s="12"/>
      <c r="I31456" s="12"/>
      <c r="J31456" s="12"/>
      <c r="K31456" s="12"/>
      <c r="L31456" s="12"/>
      <c r="M31456" s="11"/>
      <c r="N31456" s="11"/>
      <c r="O31456" s="11"/>
      <c r="P31456" s="11"/>
    </row>
    <row r="31457" spans="8:16" x14ac:dyDescent="0.25">
      <c r="H31457" s="12"/>
      <c r="I31457" s="12"/>
      <c r="J31457" s="12"/>
      <c r="K31457" s="12"/>
      <c r="L31457" s="12"/>
      <c r="M31457" s="11"/>
      <c r="N31457" s="11"/>
      <c r="O31457" s="11"/>
      <c r="P31457" s="11"/>
    </row>
    <row r="31458" spans="8:16" x14ac:dyDescent="0.25">
      <c r="H31458" s="12"/>
      <c r="I31458" s="12"/>
      <c r="J31458" s="12"/>
      <c r="K31458" s="12"/>
      <c r="L31458" s="12"/>
      <c r="M31458" s="11"/>
      <c r="N31458" s="11"/>
      <c r="O31458" s="11"/>
      <c r="P31458" s="11"/>
    </row>
    <row r="31459" spans="8:16" x14ac:dyDescent="0.25">
      <c r="H31459" s="12"/>
      <c r="I31459" s="12"/>
      <c r="J31459" s="12"/>
      <c r="K31459" s="12"/>
      <c r="L31459" s="12"/>
      <c r="M31459" s="11"/>
      <c r="N31459" s="11"/>
      <c r="O31459" s="11"/>
      <c r="P31459" s="11"/>
    </row>
    <row r="31460" spans="8:16" x14ac:dyDescent="0.25">
      <c r="H31460" s="12"/>
      <c r="I31460" s="12"/>
      <c r="J31460" s="12"/>
      <c r="K31460" s="12"/>
      <c r="L31460" s="12"/>
      <c r="M31460" s="11"/>
      <c r="N31460" s="11"/>
      <c r="O31460" s="11"/>
      <c r="P31460" s="11"/>
    </row>
    <row r="31461" spans="8:16" x14ac:dyDescent="0.25">
      <c r="H31461" s="12"/>
      <c r="I31461" s="12"/>
      <c r="J31461" s="12"/>
      <c r="K31461" s="12"/>
      <c r="L31461" s="12"/>
      <c r="M31461" s="11"/>
      <c r="N31461" s="11"/>
      <c r="O31461" s="11"/>
      <c r="P31461" s="11"/>
    </row>
    <row r="31462" spans="8:16" x14ac:dyDescent="0.25">
      <c r="H31462" s="12"/>
      <c r="I31462" s="12"/>
      <c r="J31462" s="12"/>
      <c r="K31462" s="12"/>
      <c r="L31462" s="12"/>
      <c r="M31462" s="11"/>
      <c r="N31462" s="11"/>
      <c r="O31462" s="11"/>
      <c r="P31462" s="11"/>
    </row>
    <row r="31463" spans="8:16" x14ac:dyDescent="0.25">
      <c r="H31463" s="12"/>
      <c r="I31463" s="12"/>
      <c r="J31463" s="12"/>
      <c r="K31463" s="12"/>
      <c r="L31463" s="12"/>
      <c r="M31463" s="11"/>
      <c r="N31463" s="11"/>
      <c r="O31463" s="11"/>
      <c r="P31463" s="11"/>
    </row>
    <row r="31464" spans="8:16" x14ac:dyDescent="0.25">
      <c r="H31464" s="12"/>
      <c r="I31464" s="12"/>
      <c r="J31464" s="12"/>
      <c r="K31464" s="12"/>
      <c r="L31464" s="12"/>
      <c r="M31464" s="11"/>
      <c r="N31464" s="11"/>
      <c r="O31464" s="11"/>
      <c r="P31464" s="11"/>
    </row>
    <row r="31465" spans="8:16" x14ac:dyDescent="0.25">
      <c r="H31465" s="12"/>
      <c r="I31465" s="12"/>
      <c r="J31465" s="12"/>
      <c r="K31465" s="12"/>
      <c r="L31465" s="12"/>
      <c r="M31465" s="11"/>
      <c r="N31465" s="11"/>
      <c r="O31465" s="11"/>
      <c r="P31465" s="11"/>
    </row>
    <row r="31466" spans="8:16" x14ac:dyDescent="0.25">
      <c r="H31466" s="12"/>
      <c r="I31466" s="12"/>
      <c r="J31466" s="12"/>
      <c r="K31466" s="12"/>
      <c r="L31466" s="12"/>
      <c r="M31466" s="11"/>
      <c r="N31466" s="11"/>
      <c r="O31466" s="11"/>
      <c r="P31466" s="11"/>
    </row>
    <row r="31467" spans="8:16" x14ac:dyDescent="0.25">
      <c r="H31467" s="12"/>
      <c r="I31467" s="12"/>
      <c r="J31467" s="12"/>
      <c r="K31467" s="12"/>
      <c r="L31467" s="12"/>
      <c r="M31467" s="11"/>
      <c r="N31467" s="11"/>
      <c r="O31467" s="11"/>
      <c r="P31467" s="11"/>
    </row>
    <row r="31468" spans="8:16" x14ac:dyDescent="0.25">
      <c r="H31468" s="12"/>
      <c r="I31468" s="12"/>
      <c r="J31468" s="12"/>
      <c r="K31468" s="12"/>
      <c r="L31468" s="12"/>
      <c r="M31468" s="11"/>
      <c r="N31468" s="11"/>
      <c r="O31468" s="11"/>
      <c r="P31468" s="11"/>
    </row>
    <row r="31469" spans="8:16" x14ac:dyDescent="0.25">
      <c r="H31469" s="12"/>
      <c r="I31469" s="12"/>
      <c r="J31469" s="12"/>
      <c r="K31469" s="12"/>
      <c r="L31469" s="12"/>
      <c r="M31469" s="11"/>
      <c r="N31469" s="11"/>
      <c r="O31469" s="11"/>
      <c r="P31469" s="11"/>
    </row>
    <row r="31470" spans="8:16" x14ac:dyDescent="0.25">
      <c r="H31470" s="12"/>
      <c r="I31470" s="12"/>
      <c r="J31470" s="12"/>
      <c r="K31470" s="12"/>
      <c r="L31470" s="12"/>
      <c r="M31470" s="11"/>
      <c r="N31470" s="11"/>
      <c r="O31470" s="11"/>
      <c r="P31470" s="11"/>
    </row>
    <row r="31471" spans="8:16" x14ac:dyDescent="0.25">
      <c r="H31471" s="12"/>
      <c r="I31471" s="12"/>
      <c r="J31471" s="12"/>
      <c r="K31471" s="12"/>
      <c r="L31471" s="12"/>
      <c r="M31471" s="11"/>
      <c r="N31471" s="11"/>
      <c r="O31471" s="11"/>
      <c r="P31471" s="11"/>
    </row>
    <row r="31472" spans="8:16" x14ac:dyDescent="0.25">
      <c r="H31472" s="12"/>
      <c r="I31472" s="12"/>
      <c r="J31472" s="12"/>
      <c r="K31472" s="12"/>
      <c r="L31472" s="12"/>
      <c r="M31472" s="11"/>
      <c r="N31472" s="11"/>
      <c r="O31472" s="11"/>
      <c r="P31472" s="11"/>
    </row>
    <row r="31473" spans="8:16" x14ac:dyDescent="0.25">
      <c r="H31473" s="12"/>
      <c r="I31473" s="12"/>
      <c r="J31473" s="12"/>
      <c r="K31473" s="12"/>
      <c r="L31473" s="12"/>
      <c r="M31473" s="11"/>
      <c r="N31473" s="11"/>
      <c r="O31473" s="11"/>
      <c r="P31473" s="11"/>
    </row>
    <row r="31474" spans="8:16" x14ac:dyDescent="0.25">
      <c r="H31474" s="12"/>
      <c r="I31474" s="12"/>
      <c r="J31474" s="12"/>
      <c r="K31474" s="12"/>
      <c r="L31474" s="12"/>
      <c r="M31474" s="11"/>
      <c r="N31474" s="11"/>
      <c r="O31474" s="11"/>
      <c r="P31474" s="11"/>
    </row>
    <row r="31475" spans="8:16" x14ac:dyDescent="0.25">
      <c r="H31475" s="12"/>
      <c r="I31475" s="12"/>
      <c r="J31475" s="12"/>
      <c r="K31475" s="12"/>
      <c r="L31475" s="12"/>
      <c r="M31475" s="11"/>
      <c r="N31475" s="11"/>
      <c r="O31475" s="11"/>
      <c r="P31475" s="11"/>
    </row>
    <row r="31476" spans="8:16" x14ac:dyDescent="0.25">
      <c r="H31476" s="12"/>
      <c r="I31476" s="12"/>
      <c r="J31476" s="12"/>
      <c r="K31476" s="12"/>
      <c r="L31476" s="12"/>
      <c r="M31476" s="11"/>
      <c r="N31476" s="11"/>
      <c r="O31476" s="11"/>
      <c r="P31476" s="11"/>
    </row>
    <row r="31477" spans="8:16" x14ac:dyDescent="0.25">
      <c r="H31477" s="12"/>
      <c r="I31477" s="12"/>
      <c r="J31477" s="12"/>
      <c r="K31477" s="12"/>
      <c r="L31477" s="12"/>
      <c r="M31477" s="11"/>
      <c r="N31477" s="11"/>
      <c r="O31477" s="11"/>
      <c r="P31477" s="11"/>
    </row>
    <row r="31478" spans="8:16" x14ac:dyDescent="0.25">
      <c r="H31478" s="12"/>
      <c r="I31478" s="12"/>
      <c r="J31478" s="12"/>
      <c r="K31478" s="12"/>
      <c r="L31478" s="12"/>
      <c r="M31478" s="11"/>
      <c r="N31478" s="11"/>
      <c r="O31478" s="11"/>
      <c r="P31478" s="11"/>
    </row>
    <row r="31479" spans="8:16" x14ac:dyDescent="0.25">
      <c r="H31479" s="12"/>
      <c r="I31479" s="12"/>
      <c r="J31479" s="12"/>
      <c r="K31479" s="12"/>
      <c r="L31479" s="12"/>
      <c r="M31479" s="11"/>
      <c r="N31479" s="11"/>
      <c r="O31479" s="11"/>
      <c r="P31479" s="11"/>
    </row>
    <row r="31480" spans="8:16" x14ac:dyDescent="0.25">
      <c r="H31480" s="12"/>
      <c r="I31480" s="12"/>
      <c r="J31480" s="12"/>
      <c r="K31480" s="12"/>
      <c r="L31480" s="12"/>
      <c r="M31480" s="11"/>
      <c r="N31480" s="11"/>
      <c r="O31480" s="11"/>
      <c r="P31480" s="11"/>
    </row>
    <row r="31481" spans="8:16" x14ac:dyDescent="0.25">
      <c r="H31481" s="12"/>
      <c r="I31481" s="12"/>
      <c r="J31481" s="12"/>
      <c r="K31481" s="12"/>
      <c r="L31481" s="12"/>
      <c r="M31481" s="11"/>
      <c r="N31481" s="11"/>
      <c r="O31481" s="11"/>
      <c r="P31481" s="11"/>
    </row>
    <row r="31482" spans="8:16" x14ac:dyDescent="0.25">
      <c r="H31482" s="12"/>
      <c r="I31482" s="12"/>
      <c r="J31482" s="12"/>
      <c r="K31482" s="12"/>
      <c r="L31482" s="12"/>
      <c r="M31482" s="11"/>
      <c r="N31482" s="11"/>
      <c r="O31482" s="11"/>
      <c r="P31482" s="11"/>
    </row>
    <row r="31483" spans="8:16" x14ac:dyDescent="0.25">
      <c r="H31483" s="12"/>
      <c r="I31483" s="12"/>
      <c r="J31483" s="12"/>
      <c r="K31483" s="12"/>
      <c r="L31483" s="12"/>
      <c r="M31483" s="11"/>
      <c r="N31483" s="11"/>
      <c r="O31483" s="11"/>
      <c r="P31483" s="11"/>
    </row>
    <row r="31484" spans="8:16" x14ac:dyDescent="0.25">
      <c r="H31484" s="12"/>
      <c r="I31484" s="12"/>
      <c r="J31484" s="12"/>
      <c r="K31484" s="12"/>
      <c r="L31484" s="12"/>
      <c r="M31484" s="11"/>
      <c r="N31484" s="11"/>
      <c r="O31484" s="11"/>
      <c r="P31484" s="11"/>
    </row>
    <row r="31485" spans="8:16" x14ac:dyDescent="0.25">
      <c r="H31485" s="12"/>
      <c r="I31485" s="12"/>
      <c r="J31485" s="12"/>
      <c r="K31485" s="12"/>
      <c r="L31485" s="12"/>
      <c r="M31485" s="11"/>
      <c r="N31485" s="11"/>
      <c r="O31485" s="11"/>
      <c r="P31485" s="11"/>
    </row>
    <row r="31486" spans="8:16" x14ac:dyDescent="0.25">
      <c r="H31486" s="12"/>
      <c r="I31486" s="12"/>
      <c r="J31486" s="12"/>
      <c r="K31486" s="12"/>
      <c r="L31486" s="12"/>
      <c r="M31486" s="11"/>
      <c r="N31486" s="11"/>
      <c r="O31486" s="11"/>
      <c r="P31486" s="11"/>
    </row>
    <row r="31487" spans="8:16" x14ac:dyDescent="0.25">
      <c r="H31487" s="12"/>
      <c r="I31487" s="12"/>
      <c r="J31487" s="12"/>
      <c r="K31487" s="12"/>
      <c r="L31487" s="12"/>
      <c r="M31487" s="11"/>
      <c r="N31487" s="11"/>
      <c r="O31487" s="11"/>
      <c r="P31487" s="11"/>
    </row>
    <row r="31488" spans="8:16" x14ac:dyDescent="0.25">
      <c r="H31488" s="12"/>
      <c r="I31488" s="12"/>
      <c r="J31488" s="12"/>
      <c r="K31488" s="12"/>
      <c r="L31488" s="12"/>
      <c r="M31488" s="11"/>
      <c r="N31488" s="11"/>
      <c r="O31488" s="11"/>
      <c r="P31488" s="11"/>
    </row>
    <row r="31489" spans="8:16" x14ac:dyDescent="0.25">
      <c r="H31489" s="12"/>
      <c r="I31489" s="12"/>
      <c r="J31489" s="12"/>
      <c r="K31489" s="12"/>
      <c r="L31489" s="12"/>
      <c r="M31489" s="11"/>
      <c r="N31489" s="11"/>
      <c r="O31489" s="11"/>
      <c r="P31489" s="11"/>
    </row>
    <row r="31490" spans="8:16" x14ac:dyDescent="0.25">
      <c r="H31490" s="12"/>
      <c r="I31490" s="12"/>
      <c r="J31490" s="12"/>
      <c r="K31490" s="12"/>
      <c r="L31490" s="12"/>
      <c r="M31490" s="11"/>
      <c r="N31490" s="11"/>
      <c r="O31490" s="11"/>
      <c r="P31490" s="11"/>
    </row>
    <row r="31491" spans="8:16" x14ac:dyDescent="0.25">
      <c r="H31491" s="12"/>
      <c r="I31491" s="12"/>
      <c r="J31491" s="12"/>
      <c r="K31491" s="12"/>
      <c r="L31491" s="12"/>
      <c r="M31491" s="11"/>
      <c r="N31491" s="11"/>
      <c r="O31491" s="11"/>
      <c r="P31491" s="11"/>
    </row>
    <row r="31492" spans="8:16" x14ac:dyDescent="0.25">
      <c r="H31492" s="12"/>
      <c r="I31492" s="12"/>
      <c r="J31492" s="12"/>
      <c r="K31492" s="12"/>
      <c r="L31492" s="12"/>
      <c r="M31492" s="11"/>
      <c r="N31492" s="11"/>
      <c r="O31492" s="11"/>
      <c r="P31492" s="11"/>
    </row>
    <row r="31493" spans="8:16" x14ac:dyDescent="0.25">
      <c r="H31493" s="12"/>
      <c r="I31493" s="12"/>
      <c r="J31493" s="12"/>
      <c r="K31493" s="12"/>
      <c r="L31493" s="12"/>
      <c r="M31493" s="11"/>
      <c r="N31493" s="11"/>
      <c r="O31493" s="11"/>
      <c r="P31493" s="11"/>
    </row>
    <row r="31494" spans="8:16" x14ac:dyDescent="0.25">
      <c r="H31494" s="12"/>
      <c r="I31494" s="12"/>
      <c r="J31494" s="12"/>
      <c r="K31494" s="12"/>
      <c r="L31494" s="12"/>
      <c r="M31494" s="11"/>
      <c r="N31494" s="11"/>
      <c r="O31494" s="11"/>
      <c r="P31494" s="11"/>
    </row>
    <row r="31495" spans="8:16" x14ac:dyDescent="0.25">
      <c r="H31495" s="12"/>
      <c r="I31495" s="12"/>
      <c r="J31495" s="12"/>
      <c r="K31495" s="12"/>
      <c r="L31495" s="12"/>
      <c r="M31495" s="11"/>
      <c r="N31495" s="11"/>
      <c r="O31495" s="11"/>
      <c r="P31495" s="11"/>
    </row>
    <row r="31496" spans="8:16" x14ac:dyDescent="0.25">
      <c r="H31496" s="12"/>
      <c r="I31496" s="12"/>
      <c r="J31496" s="12"/>
      <c r="K31496" s="12"/>
      <c r="L31496" s="12"/>
      <c r="M31496" s="11"/>
      <c r="N31496" s="11"/>
      <c r="O31496" s="11"/>
      <c r="P31496" s="11"/>
    </row>
    <row r="31497" spans="8:16" x14ac:dyDescent="0.25">
      <c r="H31497" s="12"/>
      <c r="I31497" s="12"/>
      <c r="J31497" s="12"/>
      <c r="K31497" s="12"/>
      <c r="L31497" s="12"/>
      <c r="M31497" s="11"/>
      <c r="N31497" s="11"/>
      <c r="O31497" s="11"/>
      <c r="P31497" s="11"/>
    </row>
    <row r="31498" spans="8:16" x14ac:dyDescent="0.25">
      <c r="H31498" s="12"/>
      <c r="I31498" s="12"/>
      <c r="J31498" s="12"/>
      <c r="K31498" s="12"/>
      <c r="L31498" s="12"/>
      <c r="M31498" s="11"/>
      <c r="N31498" s="11"/>
      <c r="O31498" s="11"/>
      <c r="P31498" s="11"/>
    </row>
    <row r="31499" spans="8:16" x14ac:dyDescent="0.25">
      <c r="H31499" s="12"/>
      <c r="I31499" s="12"/>
      <c r="J31499" s="12"/>
      <c r="K31499" s="12"/>
      <c r="L31499" s="12"/>
      <c r="M31499" s="11"/>
      <c r="N31499" s="11"/>
      <c r="O31499" s="11"/>
      <c r="P31499" s="11"/>
    </row>
    <row r="31500" spans="8:16" x14ac:dyDescent="0.25">
      <c r="H31500" s="12"/>
      <c r="I31500" s="12"/>
      <c r="J31500" s="12"/>
      <c r="K31500" s="12"/>
      <c r="L31500" s="12"/>
      <c r="M31500" s="11"/>
      <c r="N31500" s="11"/>
      <c r="O31500" s="11"/>
      <c r="P31500" s="11"/>
    </row>
    <row r="31501" spans="8:16" x14ac:dyDescent="0.25">
      <c r="H31501" s="12"/>
      <c r="I31501" s="12"/>
      <c r="J31501" s="12"/>
      <c r="K31501" s="12"/>
      <c r="L31501" s="12"/>
      <c r="M31501" s="11"/>
      <c r="N31501" s="11"/>
      <c r="O31501" s="11"/>
      <c r="P31501" s="11"/>
    </row>
    <row r="31502" spans="8:16" x14ac:dyDescent="0.25">
      <c r="H31502" s="12"/>
      <c r="I31502" s="12"/>
      <c r="J31502" s="12"/>
      <c r="K31502" s="12"/>
      <c r="L31502" s="12"/>
      <c r="M31502" s="11"/>
      <c r="N31502" s="11"/>
      <c r="O31502" s="11"/>
      <c r="P31502" s="11"/>
    </row>
    <row r="31503" spans="8:16" x14ac:dyDescent="0.25">
      <c r="H31503" s="12"/>
      <c r="I31503" s="12"/>
      <c r="J31503" s="12"/>
      <c r="K31503" s="12"/>
      <c r="L31503" s="12"/>
      <c r="M31503" s="11"/>
      <c r="N31503" s="11"/>
      <c r="O31503" s="11"/>
      <c r="P31503" s="11"/>
    </row>
    <row r="31504" spans="8:16" x14ac:dyDescent="0.25">
      <c r="H31504" s="12"/>
      <c r="I31504" s="12"/>
      <c r="J31504" s="12"/>
      <c r="K31504" s="12"/>
      <c r="L31504" s="12"/>
      <c r="M31504" s="11"/>
      <c r="N31504" s="11"/>
      <c r="O31504" s="11"/>
      <c r="P31504" s="11"/>
    </row>
    <row r="31505" spans="8:16" x14ac:dyDescent="0.25">
      <c r="H31505" s="12"/>
      <c r="I31505" s="12"/>
      <c r="J31505" s="12"/>
      <c r="K31505" s="12"/>
      <c r="L31505" s="12"/>
      <c r="M31505" s="11"/>
      <c r="N31505" s="11"/>
      <c r="O31505" s="11"/>
      <c r="P31505" s="11"/>
    </row>
    <row r="31506" spans="8:16" x14ac:dyDescent="0.25">
      <c r="H31506" s="12"/>
      <c r="I31506" s="12"/>
      <c r="J31506" s="12"/>
      <c r="K31506" s="12"/>
      <c r="L31506" s="12"/>
      <c r="M31506" s="11"/>
      <c r="N31506" s="11"/>
      <c r="O31506" s="11"/>
      <c r="P31506" s="11"/>
    </row>
    <row r="31507" spans="8:16" x14ac:dyDescent="0.25">
      <c r="H31507" s="12"/>
      <c r="I31507" s="12"/>
      <c r="J31507" s="12"/>
      <c r="K31507" s="12"/>
      <c r="L31507" s="12"/>
      <c r="M31507" s="11"/>
      <c r="N31507" s="11"/>
      <c r="O31507" s="11"/>
      <c r="P31507" s="11"/>
    </row>
    <row r="31508" spans="8:16" x14ac:dyDescent="0.25">
      <c r="H31508" s="12"/>
      <c r="I31508" s="12"/>
      <c r="J31508" s="12"/>
      <c r="K31508" s="12"/>
      <c r="L31508" s="12"/>
      <c r="M31508" s="11"/>
      <c r="N31508" s="11"/>
      <c r="O31508" s="11"/>
      <c r="P31508" s="11"/>
    </row>
    <row r="31509" spans="8:16" x14ac:dyDescent="0.25">
      <c r="H31509" s="12"/>
      <c r="I31509" s="12"/>
      <c r="J31509" s="12"/>
      <c r="K31509" s="12"/>
      <c r="L31509" s="12"/>
      <c r="M31509" s="11"/>
      <c r="N31509" s="11"/>
      <c r="O31509" s="11"/>
      <c r="P31509" s="11"/>
    </row>
    <row r="31510" spans="8:16" x14ac:dyDescent="0.25">
      <c r="H31510" s="12"/>
      <c r="I31510" s="12"/>
      <c r="J31510" s="12"/>
      <c r="K31510" s="12"/>
      <c r="L31510" s="12"/>
      <c r="M31510" s="11"/>
      <c r="N31510" s="11"/>
      <c r="O31510" s="11"/>
      <c r="P31510" s="11"/>
    </row>
    <row r="31511" spans="8:16" x14ac:dyDescent="0.25">
      <c r="H31511" s="12"/>
      <c r="I31511" s="12"/>
      <c r="J31511" s="12"/>
      <c r="K31511" s="12"/>
      <c r="L31511" s="12"/>
      <c r="M31511" s="11"/>
      <c r="N31511" s="11"/>
      <c r="O31511" s="11"/>
      <c r="P31511" s="11"/>
    </row>
    <row r="31512" spans="8:16" x14ac:dyDescent="0.25">
      <c r="H31512" s="12"/>
      <c r="I31512" s="12"/>
      <c r="J31512" s="12"/>
      <c r="K31512" s="12"/>
      <c r="L31512" s="12"/>
      <c r="M31512" s="11"/>
      <c r="N31512" s="11"/>
      <c r="O31512" s="11"/>
      <c r="P31512" s="11"/>
    </row>
    <row r="31513" spans="8:16" x14ac:dyDescent="0.25">
      <c r="H31513" s="12"/>
      <c r="I31513" s="12"/>
      <c r="J31513" s="12"/>
      <c r="K31513" s="12"/>
      <c r="L31513" s="12"/>
      <c r="M31513" s="11"/>
      <c r="N31513" s="11"/>
      <c r="O31513" s="11"/>
      <c r="P31513" s="11"/>
    </row>
    <row r="31514" spans="8:16" x14ac:dyDescent="0.25">
      <c r="H31514" s="12"/>
      <c r="I31514" s="12"/>
      <c r="J31514" s="12"/>
      <c r="K31514" s="12"/>
      <c r="L31514" s="12"/>
      <c r="M31514" s="11"/>
      <c r="N31514" s="11"/>
      <c r="O31514" s="11"/>
      <c r="P31514" s="11"/>
    </row>
    <row r="31515" spans="8:16" x14ac:dyDescent="0.25">
      <c r="H31515" s="12"/>
      <c r="I31515" s="12"/>
      <c r="J31515" s="12"/>
      <c r="K31515" s="12"/>
      <c r="L31515" s="12"/>
      <c r="M31515" s="11"/>
      <c r="N31515" s="11"/>
      <c r="O31515" s="11"/>
      <c r="P31515" s="11"/>
    </row>
    <row r="31516" spans="8:16" x14ac:dyDescent="0.25">
      <c r="H31516" s="12"/>
      <c r="I31516" s="12"/>
      <c r="J31516" s="12"/>
      <c r="K31516" s="12"/>
      <c r="L31516" s="12"/>
      <c r="M31516" s="11"/>
      <c r="N31516" s="11"/>
      <c r="O31516" s="11"/>
      <c r="P31516" s="11"/>
    </row>
    <row r="31517" spans="8:16" x14ac:dyDescent="0.25">
      <c r="H31517" s="12"/>
      <c r="I31517" s="12"/>
      <c r="J31517" s="12"/>
      <c r="K31517" s="12"/>
      <c r="L31517" s="12"/>
      <c r="M31517" s="11"/>
      <c r="N31517" s="11"/>
      <c r="O31517" s="11"/>
      <c r="P31517" s="11"/>
    </row>
    <row r="31518" spans="8:16" x14ac:dyDescent="0.25">
      <c r="H31518" s="12"/>
      <c r="I31518" s="12"/>
      <c r="J31518" s="12"/>
      <c r="K31518" s="12"/>
      <c r="L31518" s="12"/>
      <c r="M31518" s="11"/>
      <c r="N31518" s="11"/>
      <c r="O31518" s="11"/>
      <c r="P31518" s="11"/>
    </row>
    <row r="31519" spans="8:16" x14ac:dyDescent="0.25">
      <c r="H31519" s="12"/>
      <c r="I31519" s="12"/>
      <c r="J31519" s="12"/>
      <c r="K31519" s="12"/>
      <c r="L31519" s="12"/>
      <c r="M31519" s="11"/>
      <c r="N31519" s="11"/>
      <c r="O31519" s="11"/>
      <c r="P31519" s="11"/>
    </row>
    <row r="31520" spans="8:16" x14ac:dyDescent="0.25">
      <c r="H31520" s="12"/>
      <c r="I31520" s="12"/>
      <c r="J31520" s="12"/>
      <c r="K31520" s="12"/>
      <c r="L31520" s="12"/>
      <c r="M31520" s="11"/>
      <c r="N31520" s="11"/>
      <c r="O31520" s="11"/>
      <c r="P31520" s="11"/>
    </row>
    <row r="31521" spans="8:16" x14ac:dyDescent="0.25">
      <c r="H31521" s="12"/>
      <c r="I31521" s="12"/>
      <c r="J31521" s="12"/>
      <c r="K31521" s="12"/>
      <c r="L31521" s="12"/>
      <c r="M31521" s="11"/>
      <c r="N31521" s="11"/>
      <c r="O31521" s="11"/>
      <c r="P31521" s="11"/>
    </row>
    <row r="31522" spans="8:16" x14ac:dyDescent="0.25">
      <c r="H31522" s="12"/>
      <c r="I31522" s="12"/>
      <c r="J31522" s="12"/>
      <c r="K31522" s="12"/>
      <c r="L31522" s="12"/>
      <c r="M31522" s="11"/>
      <c r="N31522" s="11"/>
      <c r="O31522" s="11"/>
      <c r="P31522" s="11"/>
    </row>
    <row r="31523" spans="8:16" x14ac:dyDescent="0.25">
      <c r="H31523" s="12"/>
      <c r="I31523" s="12"/>
      <c r="J31523" s="12"/>
      <c r="K31523" s="12"/>
      <c r="L31523" s="12"/>
      <c r="M31523" s="11"/>
      <c r="N31523" s="11"/>
      <c r="O31523" s="11"/>
      <c r="P31523" s="11"/>
    </row>
    <row r="31524" spans="8:16" x14ac:dyDescent="0.25">
      <c r="H31524" s="12"/>
      <c r="I31524" s="12"/>
      <c r="J31524" s="12"/>
      <c r="K31524" s="12"/>
      <c r="L31524" s="12"/>
      <c r="M31524" s="11"/>
      <c r="N31524" s="11"/>
      <c r="O31524" s="11"/>
      <c r="P31524" s="11"/>
    </row>
    <row r="31525" spans="8:16" x14ac:dyDescent="0.25">
      <c r="H31525" s="12"/>
      <c r="I31525" s="12"/>
      <c r="J31525" s="12"/>
      <c r="K31525" s="12"/>
      <c r="L31525" s="12"/>
      <c r="M31525" s="11"/>
      <c r="N31525" s="11"/>
      <c r="O31525" s="11"/>
      <c r="P31525" s="11"/>
    </row>
    <row r="31526" spans="8:16" x14ac:dyDescent="0.25">
      <c r="H31526" s="12"/>
      <c r="I31526" s="12"/>
      <c r="J31526" s="12"/>
      <c r="K31526" s="12"/>
      <c r="L31526" s="12"/>
      <c r="M31526" s="11"/>
      <c r="N31526" s="11"/>
      <c r="O31526" s="11"/>
      <c r="P31526" s="11"/>
    </row>
    <row r="31527" spans="8:16" x14ac:dyDescent="0.25">
      <c r="H31527" s="12"/>
      <c r="I31527" s="12"/>
      <c r="J31527" s="12"/>
      <c r="K31527" s="12"/>
      <c r="L31527" s="12"/>
      <c r="M31527" s="11"/>
      <c r="N31527" s="11"/>
      <c r="O31527" s="11"/>
      <c r="P31527" s="11"/>
    </row>
    <row r="31528" spans="8:16" x14ac:dyDescent="0.25">
      <c r="H31528" s="12"/>
      <c r="I31528" s="12"/>
      <c r="J31528" s="12"/>
      <c r="K31528" s="12"/>
      <c r="L31528" s="12"/>
      <c r="M31528" s="11"/>
      <c r="N31528" s="11"/>
      <c r="O31528" s="11"/>
      <c r="P31528" s="11"/>
    </row>
    <row r="31529" spans="8:16" x14ac:dyDescent="0.25">
      <c r="H31529" s="12"/>
      <c r="I31529" s="12"/>
      <c r="J31529" s="12"/>
      <c r="K31529" s="12"/>
      <c r="L31529" s="12"/>
      <c r="M31529" s="11"/>
      <c r="N31529" s="11"/>
      <c r="O31529" s="11"/>
      <c r="P31529" s="11"/>
    </row>
    <row r="31530" spans="8:16" x14ac:dyDescent="0.25">
      <c r="H31530" s="12"/>
      <c r="I31530" s="12"/>
      <c r="J31530" s="12"/>
      <c r="K31530" s="12"/>
      <c r="L31530" s="12"/>
      <c r="M31530" s="11"/>
      <c r="N31530" s="11"/>
      <c r="O31530" s="11"/>
      <c r="P31530" s="11"/>
    </row>
    <row r="31531" spans="8:16" x14ac:dyDescent="0.25">
      <c r="H31531" s="12"/>
      <c r="I31531" s="12"/>
      <c r="J31531" s="12"/>
      <c r="K31531" s="12"/>
      <c r="L31531" s="12"/>
      <c r="M31531" s="11"/>
      <c r="N31531" s="11"/>
      <c r="O31531" s="11"/>
      <c r="P31531" s="11"/>
    </row>
    <row r="31532" spans="8:16" x14ac:dyDescent="0.25">
      <c r="H31532" s="12"/>
      <c r="I31532" s="12"/>
      <c r="J31532" s="12"/>
      <c r="K31532" s="12"/>
      <c r="L31532" s="12"/>
      <c r="M31532" s="11"/>
      <c r="N31532" s="11"/>
      <c r="O31532" s="11"/>
      <c r="P31532" s="11"/>
    </row>
    <row r="31533" spans="8:16" x14ac:dyDescent="0.25">
      <c r="H31533" s="12"/>
      <c r="I31533" s="12"/>
      <c r="J31533" s="12"/>
      <c r="K31533" s="12"/>
      <c r="L31533" s="12"/>
      <c r="M31533" s="11"/>
      <c r="N31533" s="11"/>
      <c r="O31533" s="11"/>
      <c r="P31533" s="11"/>
    </row>
    <row r="31534" spans="8:16" x14ac:dyDescent="0.25">
      <c r="H31534" s="12"/>
      <c r="I31534" s="12"/>
      <c r="J31534" s="12"/>
      <c r="K31534" s="12"/>
      <c r="L31534" s="12"/>
      <c r="M31534" s="11"/>
      <c r="N31534" s="11"/>
      <c r="O31534" s="11"/>
      <c r="P31534" s="11"/>
    </row>
    <row r="31535" spans="8:16" x14ac:dyDescent="0.25">
      <c r="H31535" s="12"/>
      <c r="I31535" s="12"/>
      <c r="J31535" s="12"/>
      <c r="K31535" s="12"/>
      <c r="L31535" s="12"/>
      <c r="M31535" s="11"/>
      <c r="N31535" s="11"/>
      <c r="O31535" s="11"/>
      <c r="P31535" s="11"/>
    </row>
    <row r="31536" spans="8:16" x14ac:dyDescent="0.25">
      <c r="H31536" s="12"/>
      <c r="I31536" s="12"/>
      <c r="J31536" s="12"/>
      <c r="K31536" s="12"/>
      <c r="L31536" s="12"/>
      <c r="M31536" s="11"/>
      <c r="N31536" s="11"/>
      <c r="O31536" s="11"/>
      <c r="P31536" s="11"/>
    </row>
    <row r="31537" spans="8:16" x14ac:dyDescent="0.25">
      <c r="H31537" s="12"/>
      <c r="I31537" s="12"/>
      <c r="J31537" s="12"/>
      <c r="K31537" s="12"/>
      <c r="L31537" s="12"/>
      <c r="M31537" s="11"/>
      <c r="N31537" s="11"/>
      <c r="O31537" s="11"/>
      <c r="P31537" s="11"/>
    </row>
    <row r="31538" spans="8:16" x14ac:dyDescent="0.25">
      <c r="H31538" s="12"/>
      <c r="I31538" s="12"/>
      <c r="J31538" s="12"/>
      <c r="K31538" s="12"/>
      <c r="L31538" s="12"/>
      <c r="M31538" s="11"/>
      <c r="N31538" s="11"/>
      <c r="O31538" s="11"/>
      <c r="P31538" s="11"/>
    </row>
    <row r="31539" spans="8:16" x14ac:dyDescent="0.25">
      <c r="H31539" s="12"/>
      <c r="I31539" s="12"/>
      <c r="J31539" s="12"/>
      <c r="K31539" s="12"/>
      <c r="L31539" s="12"/>
      <c r="M31539" s="11"/>
      <c r="N31539" s="11"/>
      <c r="O31539" s="11"/>
      <c r="P31539" s="11"/>
    </row>
    <row r="31540" spans="8:16" x14ac:dyDescent="0.25">
      <c r="H31540" s="12"/>
      <c r="I31540" s="12"/>
      <c r="J31540" s="12"/>
      <c r="K31540" s="12"/>
      <c r="L31540" s="12"/>
      <c r="M31540" s="11"/>
      <c r="N31540" s="11"/>
      <c r="O31540" s="11"/>
      <c r="P31540" s="11"/>
    </row>
    <row r="31541" spans="8:16" x14ac:dyDescent="0.25">
      <c r="H31541" s="12"/>
      <c r="I31541" s="12"/>
      <c r="J31541" s="12"/>
      <c r="K31541" s="12"/>
      <c r="L31541" s="12"/>
      <c r="M31541" s="11"/>
      <c r="N31541" s="11"/>
      <c r="O31541" s="11"/>
      <c r="P31541" s="11"/>
    </row>
    <row r="31542" spans="8:16" x14ac:dyDescent="0.25">
      <c r="H31542" s="12"/>
      <c r="I31542" s="12"/>
      <c r="J31542" s="12"/>
      <c r="K31542" s="12"/>
      <c r="L31542" s="12"/>
      <c r="M31542" s="11"/>
      <c r="N31542" s="11"/>
      <c r="O31542" s="11"/>
      <c r="P31542" s="11"/>
    </row>
    <row r="31543" spans="8:16" x14ac:dyDescent="0.25">
      <c r="H31543" s="12"/>
      <c r="I31543" s="12"/>
      <c r="J31543" s="12"/>
      <c r="K31543" s="12"/>
      <c r="L31543" s="12"/>
      <c r="M31543" s="11"/>
      <c r="N31543" s="11"/>
      <c r="O31543" s="11"/>
      <c r="P31543" s="11"/>
    </row>
    <row r="31544" spans="8:16" x14ac:dyDescent="0.25">
      <c r="H31544" s="12"/>
      <c r="I31544" s="12"/>
      <c r="J31544" s="12"/>
      <c r="K31544" s="12"/>
      <c r="L31544" s="12"/>
      <c r="M31544" s="11"/>
      <c r="N31544" s="11"/>
      <c r="O31544" s="11"/>
      <c r="P31544" s="11"/>
    </row>
    <row r="31545" spans="8:16" x14ac:dyDescent="0.25">
      <c r="H31545" s="12"/>
      <c r="I31545" s="12"/>
      <c r="J31545" s="12"/>
      <c r="K31545" s="12"/>
      <c r="L31545" s="12"/>
      <c r="M31545" s="11"/>
      <c r="N31545" s="11"/>
      <c r="O31545" s="11"/>
      <c r="P31545" s="11"/>
    </row>
    <row r="31546" spans="8:16" x14ac:dyDescent="0.25">
      <c r="H31546" s="12"/>
      <c r="I31546" s="12"/>
      <c r="J31546" s="12"/>
      <c r="K31546" s="12"/>
      <c r="L31546" s="12"/>
      <c r="M31546" s="11"/>
      <c r="N31546" s="11"/>
      <c r="O31546" s="11"/>
      <c r="P31546" s="11"/>
    </row>
    <row r="31547" spans="8:16" x14ac:dyDescent="0.25">
      <c r="H31547" s="12"/>
      <c r="I31547" s="12"/>
      <c r="J31547" s="12"/>
      <c r="K31547" s="12"/>
      <c r="L31547" s="12"/>
      <c r="M31547" s="11"/>
      <c r="N31547" s="11"/>
      <c r="O31547" s="11"/>
      <c r="P31547" s="11"/>
    </row>
    <row r="31548" spans="8:16" x14ac:dyDescent="0.25">
      <c r="H31548" s="12"/>
      <c r="I31548" s="12"/>
      <c r="J31548" s="12"/>
      <c r="K31548" s="12"/>
      <c r="L31548" s="12"/>
      <c r="M31548" s="11"/>
      <c r="N31548" s="11"/>
      <c r="O31548" s="11"/>
      <c r="P31548" s="11"/>
    </row>
    <row r="31549" spans="8:16" x14ac:dyDescent="0.25">
      <c r="H31549" s="12"/>
      <c r="I31549" s="12"/>
      <c r="J31549" s="12"/>
      <c r="K31549" s="12"/>
      <c r="L31549" s="12"/>
      <c r="M31549" s="11"/>
      <c r="N31549" s="11"/>
      <c r="O31549" s="11"/>
      <c r="P31549" s="11"/>
    </row>
    <row r="31550" spans="8:16" x14ac:dyDescent="0.25">
      <c r="H31550" s="12"/>
      <c r="I31550" s="12"/>
      <c r="J31550" s="12"/>
      <c r="K31550" s="12"/>
      <c r="L31550" s="12"/>
      <c r="M31550" s="11"/>
      <c r="N31550" s="11"/>
      <c r="O31550" s="11"/>
      <c r="P31550" s="11"/>
    </row>
    <row r="31551" spans="8:16" x14ac:dyDescent="0.25">
      <c r="H31551" s="12"/>
      <c r="I31551" s="12"/>
      <c r="J31551" s="12"/>
      <c r="K31551" s="12"/>
      <c r="L31551" s="12"/>
      <c r="M31551" s="11"/>
      <c r="N31551" s="11"/>
      <c r="O31551" s="11"/>
      <c r="P31551" s="11"/>
    </row>
    <row r="31552" spans="8:16" x14ac:dyDescent="0.25">
      <c r="H31552" s="12"/>
      <c r="I31552" s="12"/>
      <c r="J31552" s="12"/>
      <c r="K31552" s="12"/>
      <c r="L31552" s="12"/>
      <c r="M31552" s="11"/>
      <c r="N31552" s="11"/>
      <c r="O31552" s="11"/>
      <c r="P31552" s="11"/>
    </row>
    <row r="31553" spans="8:16" x14ac:dyDescent="0.25">
      <c r="H31553" s="12"/>
      <c r="I31553" s="12"/>
      <c r="J31553" s="12"/>
      <c r="K31553" s="12"/>
      <c r="L31553" s="12"/>
      <c r="M31553" s="11"/>
      <c r="N31553" s="11"/>
      <c r="O31553" s="11"/>
      <c r="P31553" s="11"/>
    </row>
    <row r="31554" spans="8:16" x14ac:dyDescent="0.25">
      <c r="H31554" s="12"/>
      <c r="I31554" s="12"/>
      <c r="J31554" s="12"/>
      <c r="K31554" s="12"/>
      <c r="L31554" s="12"/>
      <c r="M31554" s="11"/>
      <c r="N31554" s="11"/>
      <c r="O31554" s="11"/>
      <c r="P31554" s="11"/>
    </row>
    <row r="31555" spans="8:16" x14ac:dyDescent="0.25">
      <c r="H31555" s="12"/>
      <c r="I31555" s="12"/>
      <c r="J31555" s="12"/>
      <c r="K31555" s="12"/>
      <c r="L31555" s="12"/>
      <c r="M31555" s="11"/>
      <c r="N31555" s="11"/>
      <c r="O31555" s="11"/>
      <c r="P31555" s="11"/>
    </row>
    <row r="31556" spans="8:16" x14ac:dyDescent="0.25">
      <c r="H31556" s="12"/>
      <c r="I31556" s="12"/>
      <c r="J31556" s="12"/>
      <c r="K31556" s="12"/>
      <c r="L31556" s="12"/>
      <c r="M31556" s="11"/>
      <c r="N31556" s="11"/>
      <c r="O31556" s="11"/>
      <c r="P31556" s="11"/>
    </row>
    <row r="31557" spans="8:16" x14ac:dyDescent="0.25">
      <c r="H31557" s="12"/>
      <c r="I31557" s="12"/>
      <c r="J31557" s="12"/>
      <c r="K31557" s="12"/>
      <c r="L31557" s="12"/>
      <c r="M31557" s="11"/>
      <c r="N31557" s="11"/>
      <c r="O31557" s="11"/>
      <c r="P31557" s="11"/>
    </row>
    <row r="31558" spans="8:16" x14ac:dyDescent="0.25">
      <c r="H31558" s="12"/>
      <c r="I31558" s="12"/>
      <c r="J31558" s="12"/>
      <c r="K31558" s="12"/>
      <c r="L31558" s="12"/>
      <c r="M31558" s="11"/>
      <c r="N31558" s="11"/>
      <c r="O31558" s="11"/>
      <c r="P31558" s="11"/>
    </row>
    <row r="31559" spans="8:16" x14ac:dyDescent="0.25">
      <c r="H31559" s="12"/>
      <c r="I31559" s="12"/>
      <c r="J31559" s="12"/>
      <c r="K31559" s="12"/>
      <c r="L31559" s="12"/>
      <c r="M31559" s="11"/>
      <c r="N31559" s="11"/>
      <c r="O31559" s="11"/>
      <c r="P31559" s="11"/>
    </row>
    <row r="31560" spans="8:16" x14ac:dyDescent="0.25">
      <c r="H31560" s="12"/>
      <c r="I31560" s="12"/>
      <c r="J31560" s="12"/>
      <c r="K31560" s="12"/>
      <c r="L31560" s="12"/>
      <c r="M31560" s="11"/>
      <c r="N31560" s="11"/>
      <c r="O31560" s="11"/>
      <c r="P31560" s="11"/>
    </row>
    <row r="31561" spans="8:16" x14ac:dyDescent="0.25">
      <c r="H31561" s="12"/>
      <c r="I31561" s="12"/>
      <c r="J31561" s="12"/>
      <c r="K31561" s="12"/>
      <c r="L31561" s="12"/>
      <c r="M31561" s="11"/>
      <c r="N31561" s="11"/>
      <c r="O31561" s="11"/>
      <c r="P31561" s="11"/>
    </row>
    <row r="31562" spans="8:16" x14ac:dyDescent="0.25">
      <c r="H31562" s="12"/>
      <c r="I31562" s="12"/>
      <c r="J31562" s="12"/>
      <c r="K31562" s="12"/>
      <c r="L31562" s="12"/>
      <c r="M31562" s="11"/>
      <c r="N31562" s="11"/>
      <c r="O31562" s="11"/>
      <c r="P31562" s="11"/>
    </row>
    <row r="31563" spans="8:16" x14ac:dyDescent="0.25">
      <c r="H31563" s="12"/>
      <c r="I31563" s="12"/>
      <c r="J31563" s="12"/>
      <c r="K31563" s="12"/>
      <c r="L31563" s="12"/>
      <c r="M31563" s="11"/>
      <c r="N31563" s="11"/>
      <c r="O31563" s="11"/>
      <c r="P31563" s="11"/>
    </row>
    <row r="31564" spans="8:16" x14ac:dyDescent="0.25">
      <c r="H31564" s="12"/>
      <c r="I31564" s="12"/>
      <c r="J31564" s="12"/>
      <c r="K31564" s="12"/>
      <c r="L31564" s="12"/>
      <c r="M31564" s="11"/>
      <c r="N31564" s="11"/>
      <c r="O31564" s="11"/>
      <c r="P31564" s="11"/>
    </row>
    <row r="31565" spans="8:16" x14ac:dyDescent="0.25">
      <c r="H31565" s="12"/>
      <c r="I31565" s="12"/>
      <c r="J31565" s="12"/>
      <c r="K31565" s="12"/>
      <c r="L31565" s="12"/>
      <c r="M31565" s="11"/>
      <c r="N31565" s="11"/>
      <c r="O31565" s="11"/>
      <c r="P31565" s="11"/>
    </row>
    <row r="31566" spans="8:16" x14ac:dyDescent="0.25">
      <c r="H31566" s="12"/>
      <c r="I31566" s="12"/>
      <c r="J31566" s="12"/>
      <c r="K31566" s="12"/>
      <c r="L31566" s="12"/>
      <c r="M31566" s="11"/>
      <c r="N31566" s="11"/>
      <c r="O31566" s="11"/>
      <c r="P31566" s="11"/>
    </row>
    <row r="31567" spans="8:16" x14ac:dyDescent="0.25">
      <c r="H31567" s="12"/>
      <c r="I31567" s="12"/>
      <c r="J31567" s="12"/>
      <c r="K31567" s="12"/>
      <c r="L31567" s="12"/>
      <c r="M31567" s="11"/>
      <c r="N31567" s="11"/>
      <c r="O31567" s="11"/>
      <c r="P31567" s="11"/>
    </row>
    <row r="31568" spans="8:16" x14ac:dyDescent="0.25">
      <c r="H31568" s="12"/>
      <c r="I31568" s="12"/>
      <c r="J31568" s="12"/>
      <c r="K31568" s="12"/>
      <c r="L31568" s="12"/>
      <c r="M31568" s="11"/>
      <c r="N31568" s="11"/>
      <c r="O31568" s="11"/>
      <c r="P31568" s="11"/>
    </row>
    <row r="31569" spans="8:16" x14ac:dyDescent="0.25">
      <c r="H31569" s="12"/>
      <c r="I31569" s="12"/>
      <c r="J31569" s="12"/>
      <c r="K31569" s="12"/>
      <c r="L31569" s="12"/>
      <c r="M31569" s="11"/>
      <c r="N31569" s="11"/>
      <c r="O31569" s="11"/>
      <c r="P31569" s="11"/>
    </row>
    <row r="31570" spans="8:16" x14ac:dyDescent="0.25">
      <c r="H31570" s="12"/>
      <c r="I31570" s="12"/>
      <c r="J31570" s="12"/>
      <c r="K31570" s="12"/>
      <c r="L31570" s="12"/>
      <c r="M31570" s="11"/>
      <c r="N31570" s="11"/>
      <c r="O31570" s="11"/>
      <c r="P31570" s="11"/>
    </row>
    <row r="31571" spans="8:16" x14ac:dyDescent="0.25">
      <c r="H31571" s="12"/>
      <c r="I31571" s="12"/>
      <c r="J31571" s="12"/>
      <c r="K31571" s="12"/>
      <c r="L31571" s="12"/>
      <c r="M31571" s="11"/>
      <c r="N31571" s="11"/>
      <c r="O31571" s="11"/>
      <c r="P31571" s="11"/>
    </row>
    <row r="31572" spans="8:16" x14ac:dyDescent="0.25">
      <c r="H31572" s="12"/>
      <c r="I31572" s="12"/>
      <c r="J31572" s="12"/>
      <c r="K31572" s="12"/>
      <c r="L31572" s="12"/>
      <c r="M31572" s="11"/>
      <c r="N31572" s="11"/>
      <c r="O31572" s="11"/>
      <c r="P31572" s="11"/>
    </row>
    <row r="31573" spans="8:16" x14ac:dyDescent="0.25">
      <c r="H31573" s="12"/>
      <c r="I31573" s="12"/>
      <c r="J31573" s="12"/>
      <c r="K31573" s="12"/>
      <c r="L31573" s="12"/>
      <c r="M31573" s="11"/>
      <c r="N31573" s="11"/>
      <c r="O31573" s="11"/>
      <c r="P31573" s="11"/>
    </row>
    <row r="31574" spans="8:16" x14ac:dyDescent="0.25">
      <c r="H31574" s="12"/>
      <c r="I31574" s="12"/>
      <c r="J31574" s="12"/>
      <c r="K31574" s="12"/>
      <c r="L31574" s="12"/>
      <c r="M31574" s="11"/>
      <c r="N31574" s="11"/>
      <c r="O31574" s="11"/>
      <c r="P31574" s="11"/>
    </row>
    <row r="31575" spans="8:16" x14ac:dyDescent="0.25">
      <c r="H31575" s="12"/>
      <c r="I31575" s="12"/>
      <c r="J31575" s="12"/>
      <c r="K31575" s="12"/>
      <c r="L31575" s="12"/>
      <c r="M31575" s="11"/>
      <c r="N31575" s="11"/>
      <c r="O31575" s="11"/>
      <c r="P31575" s="11"/>
    </row>
    <row r="31576" spans="8:16" x14ac:dyDescent="0.25">
      <c r="H31576" s="12"/>
      <c r="I31576" s="12"/>
      <c r="J31576" s="12"/>
      <c r="K31576" s="12"/>
      <c r="L31576" s="12"/>
      <c r="M31576" s="11"/>
      <c r="N31576" s="11"/>
      <c r="O31576" s="11"/>
      <c r="P31576" s="11"/>
    </row>
    <row r="31577" spans="8:16" x14ac:dyDescent="0.25">
      <c r="H31577" s="12"/>
      <c r="I31577" s="12"/>
      <c r="J31577" s="12"/>
      <c r="K31577" s="12"/>
      <c r="L31577" s="12"/>
      <c r="M31577" s="11"/>
      <c r="N31577" s="11"/>
      <c r="O31577" s="11"/>
      <c r="P31577" s="11"/>
    </row>
    <row r="31578" spans="8:16" x14ac:dyDescent="0.25">
      <c r="H31578" s="12"/>
      <c r="I31578" s="12"/>
      <c r="J31578" s="12"/>
      <c r="K31578" s="12"/>
      <c r="L31578" s="12"/>
      <c r="M31578" s="11"/>
      <c r="N31578" s="11"/>
      <c r="O31578" s="11"/>
      <c r="P31578" s="11"/>
    </row>
    <row r="31579" spans="8:16" x14ac:dyDescent="0.25">
      <c r="H31579" s="12"/>
      <c r="I31579" s="12"/>
      <c r="J31579" s="12"/>
      <c r="K31579" s="12"/>
      <c r="L31579" s="12"/>
      <c r="M31579" s="11"/>
      <c r="N31579" s="11"/>
      <c r="O31579" s="11"/>
      <c r="P31579" s="11"/>
    </row>
    <row r="31580" spans="8:16" x14ac:dyDescent="0.25">
      <c r="H31580" s="12"/>
      <c r="I31580" s="12"/>
      <c r="J31580" s="12"/>
      <c r="K31580" s="12"/>
      <c r="L31580" s="12"/>
      <c r="M31580" s="11"/>
      <c r="N31580" s="11"/>
      <c r="O31580" s="11"/>
      <c r="P31580" s="11"/>
    </row>
    <row r="31581" spans="8:16" x14ac:dyDescent="0.25">
      <c r="H31581" s="12"/>
      <c r="I31581" s="12"/>
      <c r="J31581" s="12"/>
      <c r="K31581" s="12"/>
      <c r="L31581" s="12"/>
      <c r="M31581" s="11"/>
      <c r="N31581" s="11"/>
      <c r="O31581" s="11"/>
      <c r="P31581" s="11"/>
    </row>
    <row r="31582" spans="8:16" x14ac:dyDescent="0.25">
      <c r="H31582" s="12"/>
      <c r="I31582" s="12"/>
      <c r="J31582" s="12"/>
      <c r="K31582" s="12"/>
      <c r="L31582" s="12"/>
      <c r="M31582" s="11"/>
      <c r="N31582" s="11"/>
      <c r="O31582" s="11"/>
      <c r="P31582" s="11"/>
    </row>
    <row r="31583" spans="8:16" x14ac:dyDescent="0.25">
      <c r="H31583" s="12"/>
      <c r="I31583" s="12"/>
      <c r="J31583" s="12"/>
      <c r="K31583" s="12"/>
      <c r="L31583" s="12"/>
      <c r="M31583" s="11"/>
      <c r="N31583" s="11"/>
      <c r="O31583" s="11"/>
      <c r="P31583" s="11"/>
    </row>
    <row r="31584" spans="8:16" x14ac:dyDescent="0.25">
      <c r="H31584" s="12"/>
      <c r="I31584" s="12"/>
      <c r="J31584" s="12"/>
      <c r="K31584" s="12"/>
      <c r="L31584" s="12"/>
      <c r="M31584" s="11"/>
      <c r="N31584" s="11"/>
      <c r="O31584" s="11"/>
      <c r="P31584" s="11"/>
    </row>
    <row r="31585" spans="8:16" x14ac:dyDescent="0.25">
      <c r="H31585" s="12"/>
      <c r="I31585" s="12"/>
      <c r="J31585" s="12"/>
      <c r="K31585" s="12"/>
      <c r="L31585" s="12"/>
      <c r="M31585" s="11"/>
      <c r="N31585" s="11"/>
      <c r="O31585" s="11"/>
      <c r="P31585" s="11"/>
    </row>
    <row r="31586" spans="8:16" x14ac:dyDescent="0.25">
      <c r="H31586" s="12"/>
      <c r="I31586" s="12"/>
      <c r="J31586" s="12"/>
      <c r="K31586" s="12"/>
      <c r="L31586" s="12"/>
      <c r="M31586" s="11"/>
      <c r="N31586" s="11"/>
      <c r="O31586" s="11"/>
      <c r="P31586" s="11"/>
    </row>
    <row r="31587" spans="8:16" x14ac:dyDescent="0.25">
      <c r="H31587" s="12"/>
      <c r="I31587" s="12"/>
      <c r="J31587" s="12"/>
      <c r="K31587" s="12"/>
      <c r="L31587" s="12"/>
      <c r="M31587" s="11"/>
      <c r="N31587" s="11"/>
      <c r="O31587" s="11"/>
      <c r="P31587" s="11"/>
    </row>
    <row r="31588" spans="8:16" x14ac:dyDescent="0.25">
      <c r="H31588" s="12"/>
      <c r="I31588" s="12"/>
      <c r="J31588" s="12"/>
      <c r="K31588" s="12"/>
      <c r="L31588" s="12"/>
      <c r="M31588" s="11"/>
      <c r="N31588" s="11"/>
      <c r="O31588" s="11"/>
      <c r="P31588" s="11"/>
    </row>
    <row r="31589" spans="8:16" x14ac:dyDescent="0.25">
      <c r="H31589" s="12"/>
      <c r="I31589" s="12"/>
      <c r="J31589" s="12"/>
      <c r="K31589" s="12"/>
      <c r="L31589" s="12"/>
      <c r="M31589" s="11"/>
      <c r="N31589" s="11"/>
      <c r="O31589" s="11"/>
      <c r="P31589" s="11"/>
    </row>
    <row r="31590" spans="8:16" x14ac:dyDescent="0.25">
      <c r="H31590" s="12"/>
      <c r="I31590" s="12"/>
      <c r="J31590" s="12"/>
      <c r="K31590" s="12"/>
      <c r="L31590" s="12"/>
      <c r="M31590" s="11"/>
      <c r="N31590" s="11"/>
      <c r="O31590" s="11"/>
      <c r="P31590" s="11"/>
    </row>
    <row r="31591" spans="8:16" x14ac:dyDescent="0.25">
      <c r="H31591" s="12"/>
      <c r="I31591" s="12"/>
      <c r="J31591" s="12"/>
      <c r="K31591" s="12"/>
      <c r="L31591" s="12"/>
      <c r="M31591" s="11"/>
      <c r="N31591" s="11"/>
      <c r="O31591" s="11"/>
      <c r="P31591" s="11"/>
    </row>
    <row r="31592" spans="8:16" x14ac:dyDescent="0.25">
      <c r="H31592" s="12"/>
      <c r="I31592" s="12"/>
      <c r="J31592" s="12"/>
      <c r="K31592" s="12"/>
      <c r="L31592" s="12"/>
      <c r="M31592" s="11"/>
      <c r="N31592" s="11"/>
      <c r="O31592" s="11"/>
      <c r="P31592" s="11"/>
    </row>
    <row r="31593" spans="8:16" x14ac:dyDescent="0.25">
      <c r="H31593" s="12"/>
      <c r="I31593" s="12"/>
      <c r="J31593" s="12"/>
      <c r="K31593" s="12"/>
      <c r="L31593" s="12"/>
      <c r="M31593" s="11"/>
      <c r="N31593" s="11"/>
      <c r="O31593" s="11"/>
      <c r="P31593" s="11"/>
    </row>
    <row r="31594" spans="8:16" x14ac:dyDescent="0.25">
      <c r="H31594" s="12"/>
      <c r="I31594" s="12"/>
      <c r="J31594" s="12"/>
      <c r="K31594" s="12"/>
      <c r="L31594" s="12"/>
      <c r="M31594" s="11"/>
      <c r="N31594" s="11"/>
      <c r="O31594" s="11"/>
      <c r="P31594" s="11"/>
    </row>
    <row r="31595" spans="8:16" x14ac:dyDescent="0.25">
      <c r="H31595" s="12"/>
      <c r="I31595" s="12"/>
      <c r="J31595" s="12"/>
      <c r="K31595" s="12"/>
      <c r="L31595" s="12"/>
      <c r="M31595" s="11"/>
      <c r="N31595" s="11"/>
      <c r="O31595" s="11"/>
      <c r="P31595" s="11"/>
    </row>
    <row r="31596" spans="8:16" x14ac:dyDescent="0.25">
      <c r="H31596" s="12"/>
      <c r="I31596" s="12"/>
      <c r="J31596" s="12"/>
      <c r="K31596" s="12"/>
      <c r="L31596" s="12"/>
      <c r="M31596" s="11"/>
      <c r="N31596" s="11"/>
      <c r="O31596" s="11"/>
      <c r="P31596" s="11"/>
    </row>
    <row r="31597" spans="8:16" x14ac:dyDescent="0.25">
      <c r="H31597" s="12"/>
      <c r="I31597" s="12"/>
      <c r="J31597" s="12"/>
      <c r="K31597" s="12"/>
      <c r="L31597" s="12"/>
      <c r="M31597" s="11"/>
      <c r="N31597" s="11"/>
      <c r="O31597" s="11"/>
      <c r="P31597" s="11"/>
    </row>
    <row r="31598" spans="8:16" x14ac:dyDescent="0.25">
      <c r="H31598" s="12"/>
      <c r="I31598" s="12"/>
      <c r="J31598" s="12"/>
      <c r="K31598" s="12"/>
      <c r="L31598" s="12"/>
      <c r="M31598" s="11"/>
      <c r="N31598" s="11"/>
      <c r="O31598" s="11"/>
      <c r="P31598" s="11"/>
    </row>
    <row r="31599" spans="8:16" x14ac:dyDescent="0.25">
      <c r="H31599" s="12"/>
      <c r="I31599" s="12"/>
      <c r="J31599" s="12"/>
      <c r="K31599" s="12"/>
      <c r="L31599" s="12"/>
      <c r="M31599" s="11"/>
      <c r="N31599" s="11"/>
      <c r="O31599" s="11"/>
      <c r="P31599" s="11"/>
    </row>
    <row r="31600" spans="8:16" x14ac:dyDescent="0.25">
      <c r="H31600" s="12"/>
      <c r="I31600" s="12"/>
      <c r="J31600" s="12"/>
      <c r="K31600" s="12"/>
      <c r="L31600" s="12"/>
      <c r="M31600" s="11"/>
      <c r="N31600" s="11"/>
      <c r="O31600" s="11"/>
      <c r="P31600" s="11"/>
    </row>
    <row r="31601" spans="8:16" x14ac:dyDescent="0.25">
      <c r="H31601" s="12"/>
      <c r="I31601" s="12"/>
      <c r="J31601" s="12"/>
      <c r="K31601" s="12"/>
      <c r="L31601" s="12"/>
      <c r="M31601" s="11"/>
      <c r="N31601" s="11"/>
      <c r="O31601" s="11"/>
      <c r="P31601" s="11"/>
    </row>
    <row r="31602" spans="8:16" x14ac:dyDescent="0.25">
      <c r="H31602" s="12"/>
      <c r="I31602" s="12"/>
      <c r="J31602" s="12"/>
      <c r="K31602" s="12"/>
      <c r="L31602" s="12"/>
      <c r="M31602" s="11"/>
      <c r="N31602" s="11"/>
      <c r="O31602" s="11"/>
      <c r="P31602" s="11"/>
    </row>
    <row r="31603" spans="8:16" x14ac:dyDescent="0.25">
      <c r="H31603" s="12"/>
      <c r="I31603" s="12"/>
      <c r="J31603" s="12"/>
      <c r="K31603" s="12"/>
      <c r="L31603" s="12"/>
      <c r="M31603" s="11"/>
      <c r="N31603" s="11"/>
      <c r="O31603" s="11"/>
      <c r="P31603" s="11"/>
    </row>
    <row r="31604" spans="8:16" x14ac:dyDescent="0.25">
      <c r="H31604" s="12"/>
      <c r="I31604" s="12"/>
      <c r="J31604" s="12"/>
      <c r="K31604" s="12"/>
      <c r="L31604" s="12"/>
      <c r="M31604" s="11"/>
      <c r="N31604" s="11"/>
      <c r="O31604" s="11"/>
      <c r="P31604" s="11"/>
    </row>
    <row r="31605" spans="8:16" x14ac:dyDescent="0.25">
      <c r="H31605" s="12"/>
      <c r="I31605" s="12"/>
      <c r="J31605" s="12"/>
      <c r="K31605" s="12"/>
      <c r="L31605" s="12"/>
      <c r="M31605" s="11"/>
      <c r="N31605" s="11"/>
      <c r="O31605" s="11"/>
      <c r="P31605" s="11"/>
    </row>
    <row r="31606" spans="8:16" x14ac:dyDescent="0.25">
      <c r="H31606" s="12"/>
      <c r="I31606" s="12"/>
      <c r="J31606" s="12"/>
      <c r="K31606" s="12"/>
      <c r="L31606" s="12"/>
      <c r="M31606" s="11"/>
      <c r="N31606" s="11"/>
      <c r="O31606" s="11"/>
      <c r="P31606" s="11"/>
    </row>
    <row r="31607" spans="8:16" x14ac:dyDescent="0.25">
      <c r="H31607" s="12"/>
      <c r="I31607" s="12"/>
      <c r="J31607" s="12"/>
      <c r="K31607" s="12"/>
      <c r="L31607" s="12"/>
      <c r="M31607" s="11"/>
      <c r="N31607" s="11"/>
      <c r="O31607" s="11"/>
      <c r="P31607" s="11"/>
    </row>
    <row r="31608" spans="8:16" x14ac:dyDescent="0.25">
      <c r="H31608" s="12"/>
      <c r="I31608" s="12"/>
      <c r="J31608" s="12"/>
      <c r="K31608" s="12"/>
      <c r="L31608" s="12"/>
      <c r="M31608" s="11"/>
      <c r="N31608" s="11"/>
      <c r="O31608" s="11"/>
      <c r="P31608" s="11"/>
    </row>
    <row r="31609" spans="8:16" x14ac:dyDescent="0.25">
      <c r="H31609" s="12"/>
      <c r="I31609" s="12"/>
      <c r="J31609" s="12"/>
      <c r="K31609" s="12"/>
      <c r="L31609" s="12"/>
      <c r="M31609" s="11"/>
      <c r="N31609" s="11"/>
      <c r="O31609" s="11"/>
      <c r="P31609" s="11"/>
    </row>
    <row r="31610" spans="8:16" x14ac:dyDescent="0.25">
      <c r="H31610" s="12"/>
      <c r="I31610" s="12"/>
      <c r="J31610" s="12"/>
      <c r="K31610" s="12"/>
      <c r="L31610" s="12"/>
      <c r="M31610" s="11"/>
      <c r="N31610" s="11"/>
      <c r="O31610" s="11"/>
      <c r="P31610" s="11"/>
    </row>
    <row r="31611" spans="8:16" x14ac:dyDescent="0.25">
      <c r="H31611" s="12"/>
      <c r="I31611" s="12"/>
      <c r="J31611" s="12"/>
      <c r="K31611" s="12"/>
      <c r="L31611" s="12"/>
      <c r="M31611" s="11"/>
      <c r="N31611" s="11"/>
      <c r="O31611" s="11"/>
      <c r="P31611" s="11"/>
    </row>
    <row r="31612" spans="8:16" x14ac:dyDescent="0.25">
      <c r="H31612" s="12"/>
      <c r="I31612" s="12"/>
      <c r="J31612" s="12"/>
      <c r="K31612" s="12"/>
      <c r="L31612" s="12"/>
      <c r="M31612" s="11"/>
      <c r="N31612" s="11"/>
      <c r="O31612" s="11"/>
      <c r="P31612" s="11"/>
    </row>
    <row r="31613" spans="8:16" x14ac:dyDescent="0.25">
      <c r="H31613" s="12"/>
      <c r="I31613" s="12"/>
      <c r="J31613" s="12"/>
      <c r="K31613" s="12"/>
      <c r="L31613" s="12"/>
      <c r="M31613" s="11"/>
      <c r="N31613" s="11"/>
      <c r="O31613" s="11"/>
      <c r="P31613" s="11"/>
    </row>
    <row r="31614" spans="8:16" x14ac:dyDescent="0.25">
      <c r="H31614" s="12"/>
      <c r="I31614" s="12"/>
      <c r="J31614" s="12"/>
      <c r="K31614" s="12"/>
      <c r="L31614" s="12"/>
      <c r="M31614" s="11"/>
      <c r="N31614" s="11"/>
      <c r="O31614" s="11"/>
      <c r="P31614" s="11"/>
    </row>
    <row r="31615" spans="8:16" x14ac:dyDescent="0.25">
      <c r="H31615" s="12"/>
      <c r="I31615" s="12"/>
      <c r="J31615" s="12"/>
      <c r="K31615" s="12"/>
      <c r="L31615" s="12"/>
      <c r="M31615" s="11"/>
      <c r="N31615" s="11"/>
      <c r="O31615" s="11"/>
      <c r="P31615" s="11"/>
    </row>
    <row r="31616" spans="8:16" x14ac:dyDescent="0.25">
      <c r="H31616" s="12"/>
      <c r="I31616" s="12"/>
      <c r="J31616" s="12"/>
      <c r="K31616" s="12"/>
      <c r="L31616" s="12"/>
      <c r="M31616" s="11"/>
      <c r="N31616" s="11"/>
      <c r="O31616" s="11"/>
      <c r="P31616" s="11"/>
    </row>
    <row r="31617" spans="8:16" x14ac:dyDescent="0.25">
      <c r="H31617" s="12"/>
      <c r="I31617" s="12"/>
      <c r="J31617" s="12"/>
      <c r="K31617" s="12"/>
      <c r="L31617" s="12"/>
      <c r="M31617" s="11"/>
      <c r="N31617" s="11"/>
      <c r="O31617" s="11"/>
      <c r="P31617" s="11"/>
    </row>
    <row r="31618" spans="8:16" x14ac:dyDescent="0.25">
      <c r="H31618" s="12"/>
      <c r="I31618" s="12"/>
      <c r="J31618" s="12"/>
      <c r="K31618" s="12"/>
      <c r="L31618" s="12"/>
      <c r="M31618" s="11"/>
      <c r="N31618" s="11"/>
      <c r="O31618" s="11"/>
      <c r="P31618" s="11"/>
    </row>
    <row r="31619" spans="8:16" x14ac:dyDescent="0.25">
      <c r="H31619" s="12"/>
      <c r="I31619" s="12"/>
      <c r="J31619" s="12"/>
      <c r="K31619" s="12"/>
      <c r="L31619" s="12"/>
      <c r="M31619" s="11"/>
      <c r="N31619" s="11"/>
      <c r="O31619" s="11"/>
      <c r="P31619" s="11"/>
    </row>
    <row r="31620" spans="8:16" x14ac:dyDescent="0.25">
      <c r="H31620" s="12"/>
      <c r="I31620" s="12"/>
      <c r="J31620" s="12"/>
      <c r="K31620" s="12"/>
      <c r="L31620" s="12"/>
      <c r="M31620" s="11"/>
      <c r="N31620" s="11"/>
      <c r="O31620" s="11"/>
      <c r="P31620" s="11"/>
    </row>
    <row r="31621" spans="8:16" x14ac:dyDescent="0.25">
      <c r="H31621" s="12"/>
      <c r="I31621" s="12"/>
      <c r="J31621" s="12"/>
      <c r="K31621" s="12"/>
      <c r="L31621" s="12"/>
      <c r="M31621" s="11"/>
      <c r="N31621" s="11"/>
      <c r="O31621" s="11"/>
      <c r="P31621" s="11"/>
    </row>
    <row r="31622" spans="8:16" x14ac:dyDescent="0.25">
      <c r="H31622" s="12"/>
      <c r="I31622" s="12"/>
      <c r="J31622" s="12"/>
      <c r="K31622" s="12"/>
      <c r="L31622" s="12"/>
      <c r="M31622" s="11"/>
      <c r="N31622" s="11"/>
      <c r="O31622" s="11"/>
      <c r="P31622" s="11"/>
    </row>
    <row r="31623" spans="8:16" x14ac:dyDescent="0.25">
      <c r="H31623" s="12"/>
      <c r="I31623" s="12"/>
      <c r="J31623" s="12"/>
      <c r="K31623" s="12"/>
      <c r="L31623" s="12"/>
      <c r="M31623" s="11"/>
      <c r="N31623" s="11"/>
      <c r="O31623" s="11"/>
      <c r="P31623" s="11"/>
    </row>
    <row r="31624" spans="8:16" x14ac:dyDescent="0.25">
      <c r="H31624" s="12"/>
      <c r="I31624" s="12"/>
      <c r="J31624" s="12"/>
      <c r="K31624" s="12"/>
      <c r="L31624" s="12"/>
      <c r="M31624" s="11"/>
      <c r="N31624" s="11"/>
      <c r="O31624" s="11"/>
      <c r="P31624" s="11"/>
    </row>
    <row r="31625" spans="8:16" x14ac:dyDescent="0.25">
      <c r="H31625" s="12"/>
      <c r="I31625" s="12"/>
      <c r="J31625" s="12"/>
      <c r="K31625" s="12"/>
      <c r="L31625" s="12"/>
      <c r="M31625" s="11"/>
      <c r="N31625" s="11"/>
      <c r="O31625" s="11"/>
      <c r="P31625" s="11"/>
    </row>
    <row r="31626" spans="8:16" x14ac:dyDescent="0.25">
      <c r="H31626" s="12"/>
      <c r="I31626" s="12"/>
      <c r="J31626" s="12"/>
      <c r="K31626" s="12"/>
      <c r="L31626" s="12"/>
      <c r="M31626" s="11"/>
      <c r="N31626" s="11"/>
      <c r="O31626" s="11"/>
      <c r="P31626" s="11"/>
    </row>
    <row r="31627" spans="8:16" x14ac:dyDescent="0.25">
      <c r="H31627" s="12"/>
      <c r="I31627" s="12"/>
      <c r="J31627" s="12"/>
      <c r="K31627" s="12"/>
      <c r="L31627" s="12"/>
      <c r="M31627" s="11"/>
      <c r="N31627" s="11"/>
      <c r="O31627" s="11"/>
      <c r="P31627" s="11"/>
    </row>
    <row r="31628" spans="8:16" x14ac:dyDescent="0.25">
      <c r="H31628" s="12"/>
      <c r="I31628" s="12"/>
      <c r="J31628" s="12"/>
      <c r="K31628" s="12"/>
      <c r="L31628" s="12"/>
      <c r="M31628" s="11"/>
      <c r="N31628" s="11"/>
      <c r="O31628" s="11"/>
      <c r="P31628" s="11"/>
    </row>
    <row r="31629" spans="8:16" x14ac:dyDescent="0.25">
      <c r="H31629" s="12"/>
      <c r="I31629" s="12"/>
      <c r="J31629" s="12"/>
      <c r="K31629" s="12"/>
      <c r="L31629" s="12"/>
      <c r="M31629" s="11"/>
      <c r="N31629" s="11"/>
      <c r="O31629" s="11"/>
      <c r="P31629" s="11"/>
    </row>
    <row r="31630" spans="8:16" x14ac:dyDescent="0.25">
      <c r="H31630" s="12"/>
      <c r="I31630" s="12"/>
      <c r="J31630" s="12"/>
      <c r="K31630" s="12"/>
      <c r="L31630" s="12"/>
      <c r="M31630" s="11"/>
      <c r="N31630" s="11"/>
      <c r="O31630" s="11"/>
      <c r="P31630" s="11"/>
    </row>
    <row r="31631" spans="8:16" x14ac:dyDescent="0.25">
      <c r="H31631" s="12"/>
      <c r="I31631" s="12"/>
      <c r="J31631" s="12"/>
      <c r="K31631" s="12"/>
      <c r="L31631" s="12"/>
      <c r="M31631" s="11"/>
      <c r="N31631" s="11"/>
      <c r="O31631" s="11"/>
      <c r="P31631" s="11"/>
    </row>
    <row r="31632" spans="8:16" x14ac:dyDescent="0.25">
      <c r="H31632" s="12"/>
      <c r="I31632" s="12"/>
      <c r="J31632" s="12"/>
      <c r="K31632" s="12"/>
      <c r="L31632" s="12"/>
      <c r="M31632" s="11"/>
      <c r="N31632" s="11"/>
      <c r="O31632" s="11"/>
      <c r="P31632" s="11"/>
    </row>
    <row r="31633" spans="8:16" x14ac:dyDescent="0.25">
      <c r="H31633" s="12"/>
      <c r="I31633" s="12"/>
      <c r="J31633" s="12"/>
      <c r="K31633" s="12"/>
      <c r="L31633" s="12"/>
      <c r="M31633" s="11"/>
      <c r="N31633" s="11"/>
      <c r="O31633" s="11"/>
      <c r="P31633" s="11"/>
    </row>
    <row r="31634" spans="8:16" x14ac:dyDescent="0.25">
      <c r="H31634" s="12"/>
      <c r="I31634" s="12"/>
      <c r="J31634" s="12"/>
      <c r="K31634" s="12"/>
      <c r="L31634" s="12"/>
      <c r="M31634" s="11"/>
      <c r="N31634" s="11"/>
      <c r="O31634" s="11"/>
      <c r="P31634" s="11"/>
    </row>
    <row r="31635" spans="8:16" x14ac:dyDescent="0.25">
      <c r="H31635" s="12"/>
      <c r="I31635" s="12"/>
      <c r="J31635" s="12"/>
      <c r="K31635" s="12"/>
      <c r="L31635" s="12"/>
      <c r="M31635" s="11"/>
      <c r="N31635" s="11"/>
      <c r="O31635" s="11"/>
      <c r="P31635" s="11"/>
    </row>
    <row r="31636" spans="8:16" x14ac:dyDescent="0.25">
      <c r="H31636" s="12"/>
      <c r="I31636" s="12"/>
      <c r="J31636" s="12"/>
      <c r="K31636" s="12"/>
      <c r="L31636" s="12"/>
      <c r="M31636" s="11"/>
      <c r="N31636" s="11"/>
      <c r="O31636" s="11"/>
      <c r="P31636" s="11"/>
    </row>
    <row r="31637" spans="8:16" x14ac:dyDescent="0.25">
      <c r="H31637" s="12"/>
      <c r="I31637" s="12"/>
      <c r="J31637" s="12"/>
      <c r="K31637" s="12"/>
      <c r="L31637" s="12"/>
      <c r="M31637" s="11"/>
      <c r="N31637" s="11"/>
      <c r="O31637" s="11"/>
      <c r="P31637" s="11"/>
    </row>
    <row r="31638" spans="8:16" x14ac:dyDescent="0.25">
      <c r="H31638" s="12"/>
      <c r="I31638" s="12"/>
      <c r="J31638" s="12"/>
      <c r="K31638" s="12"/>
      <c r="L31638" s="12"/>
      <c r="M31638" s="11"/>
      <c r="N31638" s="11"/>
      <c r="O31638" s="11"/>
      <c r="P31638" s="11"/>
    </row>
    <row r="31639" spans="8:16" x14ac:dyDescent="0.25">
      <c r="H31639" s="12"/>
      <c r="I31639" s="12"/>
      <c r="J31639" s="12"/>
      <c r="K31639" s="12"/>
      <c r="L31639" s="12"/>
      <c r="M31639" s="11"/>
      <c r="N31639" s="11"/>
      <c r="O31639" s="11"/>
      <c r="P31639" s="11"/>
    </row>
    <row r="31640" spans="8:16" x14ac:dyDescent="0.25">
      <c r="H31640" s="12"/>
      <c r="I31640" s="12"/>
      <c r="J31640" s="12"/>
      <c r="K31640" s="12"/>
      <c r="L31640" s="12"/>
      <c r="M31640" s="11"/>
      <c r="N31640" s="11"/>
      <c r="O31640" s="11"/>
      <c r="P31640" s="11"/>
    </row>
    <row r="31641" spans="8:16" x14ac:dyDescent="0.25">
      <c r="H31641" s="12"/>
      <c r="I31641" s="12"/>
      <c r="J31641" s="12"/>
      <c r="K31641" s="12"/>
      <c r="L31641" s="12"/>
      <c r="M31641" s="11"/>
      <c r="N31641" s="11"/>
      <c r="O31641" s="11"/>
      <c r="P31641" s="11"/>
    </row>
    <row r="31642" spans="8:16" x14ac:dyDescent="0.25">
      <c r="H31642" s="12"/>
      <c r="I31642" s="12"/>
      <c r="J31642" s="12"/>
      <c r="K31642" s="12"/>
      <c r="L31642" s="12"/>
      <c r="M31642" s="11"/>
      <c r="N31642" s="11"/>
      <c r="O31642" s="11"/>
      <c r="P31642" s="11"/>
    </row>
    <row r="31643" spans="8:16" x14ac:dyDescent="0.25">
      <c r="H31643" s="12"/>
      <c r="I31643" s="12"/>
      <c r="J31643" s="12"/>
      <c r="K31643" s="12"/>
      <c r="L31643" s="12"/>
      <c r="M31643" s="11"/>
      <c r="N31643" s="11"/>
      <c r="O31643" s="11"/>
      <c r="P31643" s="11"/>
    </row>
    <row r="31644" spans="8:16" x14ac:dyDescent="0.25">
      <c r="H31644" s="12"/>
      <c r="I31644" s="12"/>
      <c r="J31644" s="12"/>
      <c r="K31644" s="12"/>
      <c r="L31644" s="12"/>
      <c r="M31644" s="11"/>
      <c r="N31644" s="11"/>
      <c r="O31644" s="11"/>
      <c r="P31644" s="11"/>
    </row>
    <row r="31645" spans="8:16" x14ac:dyDescent="0.25">
      <c r="H31645" s="12"/>
      <c r="I31645" s="12"/>
      <c r="J31645" s="12"/>
      <c r="K31645" s="12"/>
      <c r="L31645" s="12"/>
      <c r="M31645" s="11"/>
      <c r="N31645" s="11"/>
      <c r="O31645" s="11"/>
      <c r="P31645" s="11"/>
    </row>
    <row r="31646" spans="8:16" x14ac:dyDescent="0.25">
      <c r="H31646" s="12"/>
      <c r="I31646" s="12"/>
      <c r="J31646" s="12"/>
      <c r="K31646" s="12"/>
      <c r="L31646" s="12"/>
      <c r="M31646" s="11"/>
      <c r="N31646" s="11"/>
      <c r="O31646" s="11"/>
      <c r="P31646" s="11"/>
    </row>
    <row r="31647" spans="8:16" x14ac:dyDescent="0.25">
      <c r="H31647" s="12"/>
      <c r="I31647" s="12"/>
      <c r="J31647" s="12"/>
      <c r="K31647" s="12"/>
      <c r="L31647" s="12"/>
      <c r="M31647" s="11"/>
      <c r="N31647" s="11"/>
      <c r="O31647" s="11"/>
      <c r="P31647" s="11"/>
    </row>
    <row r="31648" spans="8:16" x14ac:dyDescent="0.25">
      <c r="H31648" s="12"/>
      <c r="I31648" s="12"/>
      <c r="J31648" s="12"/>
      <c r="K31648" s="12"/>
      <c r="L31648" s="12"/>
      <c r="M31648" s="11"/>
      <c r="N31648" s="11"/>
      <c r="O31648" s="11"/>
      <c r="P31648" s="11"/>
    </row>
    <row r="31649" spans="8:16" x14ac:dyDescent="0.25">
      <c r="H31649" s="12"/>
      <c r="I31649" s="12"/>
      <c r="J31649" s="12"/>
      <c r="K31649" s="12"/>
      <c r="L31649" s="12"/>
      <c r="M31649" s="11"/>
      <c r="N31649" s="11"/>
      <c r="O31649" s="11"/>
      <c r="P31649" s="11"/>
    </row>
    <row r="31650" spans="8:16" x14ac:dyDescent="0.25">
      <c r="H31650" s="12"/>
      <c r="I31650" s="12"/>
      <c r="J31650" s="12"/>
      <c r="K31650" s="12"/>
      <c r="L31650" s="12"/>
      <c r="M31650" s="11"/>
      <c r="N31650" s="11"/>
      <c r="O31650" s="11"/>
      <c r="P31650" s="11"/>
    </row>
    <row r="31651" spans="8:16" x14ac:dyDescent="0.25">
      <c r="H31651" s="12"/>
      <c r="I31651" s="12"/>
      <c r="J31651" s="12"/>
      <c r="K31651" s="12"/>
      <c r="L31651" s="12"/>
      <c r="M31651" s="11"/>
      <c r="N31651" s="11"/>
      <c r="O31651" s="11"/>
      <c r="P31651" s="11"/>
    </row>
    <row r="31652" spans="8:16" x14ac:dyDescent="0.25">
      <c r="H31652" s="12"/>
      <c r="I31652" s="12"/>
      <c r="J31652" s="12"/>
      <c r="K31652" s="12"/>
      <c r="L31652" s="12"/>
      <c r="M31652" s="11"/>
      <c r="N31652" s="11"/>
      <c r="O31652" s="11"/>
      <c r="P31652" s="11"/>
    </row>
    <row r="31653" spans="8:16" x14ac:dyDescent="0.25">
      <c r="H31653" s="12"/>
      <c r="I31653" s="12"/>
      <c r="J31653" s="12"/>
      <c r="K31653" s="12"/>
      <c r="L31653" s="12"/>
      <c r="M31653" s="11"/>
      <c r="N31653" s="11"/>
      <c r="O31653" s="11"/>
      <c r="P31653" s="11"/>
    </row>
    <row r="31654" spans="8:16" x14ac:dyDescent="0.25">
      <c r="H31654" s="12"/>
      <c r="I31654" s="12"/>
      <c r="J31654" s="12"/>
      <c r="K31654" s="12"/>
      <c r="L31654" s="12"/>
      <c r="M31654" s="11"/>
      <c r="N31654" s="11"/>
      <c r="O31654" s="11"/>
      <c r="P31654" s="11"/>
    </row>
    <row r="31655" spans="8:16" x14ac:dyDescent="0.25">
      <c r="H31655" s="12"/>
      <c r="I31655" s="12"/>
      <c r="J31655" s="12"/>
      <c r="K31655" s="12"/>
      <c r="L31655" s="12"/>
      <c r="M31655" s="11"/>
      <c r="N31655" s="11"/>
      <c r="O31655" s="11"/>
      <c r="P31655" s="11"/>
    </row>
    <row r="31656" spans="8:16" x14ac:dyDescent="0.25">
      <c r="H31656" s="12"/>
      <c r="I31656" s="12"/>
      <c r="J31656" s="12"/>
      <c r="K31656" s="12"/>
      <c r="L31656" s="12"/>
      <c r="M31656" s="11"/>
      <c r="N31656" s="11"/>
      <c r="O31656" s="11"/>
      <c r="P31656" s="11"/>
    </row>
    <row r="31657" spans="8:16" x14ac:dyDescent="0.25">
      <c r="H31657" s="12"/>
      <c r="I31657" s="12"/>
      <c r="J31657" s="12"/>
      <c r="K31657" s="12"/>
      <c r="L31657" s="12"/>
      <c r="M31657" s="11"/>
      <c r="N31657" s="11"/>
      <c r="O31657" s="11"/>
      <c r="P31657" s="11"/>
    </row>
    <row r="31658" spans="8:16" x14ac:dyDescent="0.25">
      <c r="H31658" s="12"/>
      <c r="I31658" s="12"/>
      <c r="J31658" s="12"/>
      <c r="K31658" s="12"/>
      <c r="L31658" s="12"/>
      <c r="M31658" s="11"/>
      <c r="N31658" s="11"/>
      <c r="O31658" s="11"/>
      <c r="P31658" s="11"/>
    </row>
    <row r="31659" spans="8:16" x14ac:dyDescent="0.25">
      <c r="H31659" s="12"/>
      <c r="I31659" s="12"/>
      <c r="J31659" s="12"/>
      <c r="K31659" s="12"/>
      <c r="L31659" s="12"/>
      <c r="M31659" s="11"/>
      <c r="N31659" s="11"/>
      <c r="O31659" s="11"/>
      <c r="P31659" s="11"/>
    </row>
    <row r="31660" spans="8:16" x14ac:dyDescent="0.25">
      <c r="H31660" s="12"/>
      <c r="I31660" s="12"/>
      <c r="J31660" s="12"/>
      <c r="K31660" s="12"/>
      <c r="L31660" s="12"/>
      <c r="M31660" s="11"/>
      <c r="N31660" s="11"/>
      <c r="O31660" s="11"/>
      <c r="P31660" s="11"/>
    </row>
    <row r="31661" spans="8:16" x14ac:dyDescent="0.25">
      <c r="H31661" s="12"/>
      <c r="I31661" s="12"/>
      <c r="J31661" s="12"/>
      <c r="K31661" s="12"/>
      <c r="L31661" s="12"/>
      <c r="M31661" s="11"/>
      <c r="N31661" s="11"/>
      <c r="O31661" s="11"/>
      <c r="P31661" s="11"/>
    </row>
    <row r="31662" spans="8:16" x14ac:dyDescent="0.25">
      <c r="H31662" s="12"/>
      <c r="I31662" s="12"/>
      <c r="J31662" s="12"/>
      <c r="K31662" s="12"/>
      <c r="L31662" s="12"/>
      <c r="M31662" s="11"/>
      <c r="N31662" s="11"/>
      <c r="O31662" s="11"/>
      <c r="P31662" s="11"/>
    </row>
    <row r="31663" spans="8:16" x14ac:dyDescent="0.25">
      <c r="H31663" s="12"/>
      <c r="I31663" s="12"/>
      <c r="J31663" s="12"/>
      <c r="K31663" s="12"/>
      <c r="L31663" s="12"/>
      <c r="M31663" s="11"/>
      <c r="N31663" s="11"/>
      <c r="O31663" s="11"/>
      <c r="P31663" s="11"/>
    </row>
    <row r="31664" spans="8:16" x14ac:dyDescent="0.25">
      <c r="H31664" s="12"/>
      <c r="I31664" s="12"/>
      <c r="J31664" s="12"/>
      <c r="K31664" s="12"/>
      <c r="L31664" s="12"/>
      <c r="M31664" s="11"/>
      <c r="N31664" s="11"/>
      <c r="O31664" s="11"/>
      <c r="P31664" s="11"/>
    </row>
    <row r="31665" spans="8:16" x14ac:dyDescent="0.25">
      <c r="H31665" s="12"/>
      <c r="I31665" s="12"/>
      <c r="J31665" s="12"/>
      <c r="K31665" s="12"/>
      <c r="L31665" s="12"/>
      <c r="M31665" s="11"/>
      <c r="N31665" s="11"/>
      <c r="O31665" s="11"/>
      <c r="P31665" s="11"/>
    </row>
    <row r="31666" spans="8:16" x14ac:dyDescent="0.25">
      <c r="H31666" s="12"/>
      <c r="I31666" s="12"/>
      <c r="J31666" s="12"/>
      <c r="K31666" s="12"/>
      <c r="L31666" s="12"/>
      <c r="M31666" s="11"/>
      <c r="N31666" s="11"/>
      <c r="O31666" s="11"/>
      <c r="P31666" s="11"/>
    </row>
    <row r="31667" spans="8:16" x14ac:dyDescent="0.25">
      <c r="H31667" s="12"/>
      <c r="I31667" s="12"/>
      <c r="J31667" s="12"/>
      <c r="K31667" s="12"/>
      <c r="L31667" s="12"/>
      <c r="M31667" s="11"/>
      <c r="N31667" s="11"/>
      <c r="O31667" s="11"/>
      <c r="P31667" s="11"/>
    </row>
    <row r="31668" spans="8:16" x14ac:dyDescent="0.25">
      <c r="H31668" s="12"/>
      <c r="I31668" s="12"/>
      <c r="J31668" s="12"/>
      <c r="K31668" s="12"/>
      <c r="L31668" s="12"/>
      <c r="M31668" s="11"/>
      <c r="N31668" s="11"/>
      <c r="O31668" s="11"/>
      <c r="P31668" s="11"/>
    </row>
    <row r="31669" spans="8:16" x14ac:dyDescent="0.25">
      <c r="H31669" s="12"/>
      <c r="I31669" s="12"/>
      <c r="J31669" s="12"/>
      <c r="K31669" s="12"/>
      <c r="L31669" s="12"/>
      <c r="M31669" s="11"/>
      <c r="N31669" s="11"/>
      <c r="O31669" s="11"/>
      <c r="P31669" s="11"/>
    </row>
    <row r="31670" spans="8:16" x14ac:dyDescent="0.25">
      <c r="H31670" s="12"/>
      <c r="I31670" s="12"/>
      <c r="J31670" s="12"/>
      <c r="K31670" s="12"/>
      <c r="L31670" s="12"/>
      <c r="M31670" s="11"/>
      <c r="N31670" s="11"/>
      <c r="O31670" s="11"/>
      <c r="P31670" s="11"/>
    </row>
    <row r="31671" spans="8:16" x14ac:dyDescent="0.25">
      <c r="H31671" s="12"/>
      <c r="I31671" s="12"/>
      <c r="J31671" s="12"/>
      <c r="K31671" s="12"/>
      <c r="L31671" s="12"/>
      <c r="M31671" s="11"/>
      <c r="N31671" s="11"/>
      <c r="O31671" s="11"/>
      <c r="P31671" s="11"/>
    </row>
    <row r="31672" spans="8:16" x14ac:dyDescent="0.25">
      <c r="H31672" s="12"/>
      <c r="I31672" s="12"/>
      <c r="J31672" s="12"/>
      <c r="K31672" s="12"/>
      <c r="L31672" s="12"/>
      <c r="M31672" s="11"/>
      <c r="N31672" s="11"/>
      <c r="O31672" s="11"/>
      <c r="P31672" s="11"/>
    </row>
    <row r="31673" spans="8:16" x14ac:dyDescent="0.25">
      <c r="H31673" s="12"/>
      <c r="I31673" s="12"/>
      <c r="J31673" s="12"/>
      <c r="K31673" s="12"/>
      <c r="L31673" s="12"/>
      <c r="M31673" s="11"/>
      <c r="N31673" s="11"/>
      <c r="O31673" s="11"/>
      <c r="P31673" s="11"/>
    </row>
    <row r="31674" spans="8:16" x14ac:dyDescent="0.25">
      <c r="H31674" s="12"/>
      <c r="I31674" s="12"/>
      <c r="J31674" s="12"/>
      <c r="K31674" s="12"/>
      <c r="L31674" s="12"/>
      <c r="M31674" s="11"/>
      <c r="N31674" s="11"/>
      <c r="O31674" s="11"/>
      <c r="P31674" s="11"/>
    </row>
    <row r="31675" spans="8:16" x14ac:dyDescent="0.25">
      <c r="H31675" s="12"/>
      <c r="I31675" s="12"/>
      <c r="J31675" s="12"/>
      <c r="K31675" s="12"/>
      <c r="L31675" s="12"/>
      <c r="M31675" s="11"/>
      <c r="N31675" s="11"/>
      <c r="O31675" s="11"/>
      <c r="P31675" s="11"/>
    </row>
    <row r="31676" spans="8:16" x14ac:dyDescent="0.25">
      <c r="H31676" s="12"/>
      <c r="I31676" s="12"/>
      <c r="J31676" s="12"/>
      <c r="K31676" s="12"/>
      <c r="L31676" s="12"/>
      <c r="M31676" s="11"/>
      <c r="N31676" s="11"/>
      <c r="O31676" s="11"/>
      <c r="P31676" s="11"/>
    </row>
    <row r="31677" spans="8:16" x14ac:dyDescent="0.25">
      <c r="H31677" s="12"/>
      <c r="I31677" s="12"/>
      <c r="J31677" s="12"/>
      <c r="K31677" s="12"/>
      <c r="L31677" s="12"/>
      <c r="M31677" s="11"/>
      <c r="N31677" s="11"/>
      <c r="O31677" s="11"/>
      <c r="P31677" s="11"/>
    </row>
    <row r="31678" spans="8:16" x14ac:dyDescent="0.25">
      <c r="H31678" s="12"/>
      <c r="I31678" s="12"/>
      <c r="J31678" s="12"/>
      <c r="K31678" s="12"/>
      <c r="L31678" s="12"/>
      <c r="M31678" s="11"/>
      <c r="N31678" s="11"/>
      <c r="O31678" s="11"/>
      <c r="P31678" s="11"/>
    </row>
    <row r="31679" spans="8:16" x14ac:dyDescent="0.25">
      <c r="H31679" s="12"/>
      <c r="I31679" s="12"/>
      <c r="J31679" s="12"/>
      <c r="K31679" s="12"/>
      <c r="L31679" s="12"/>
      <c r="M31679" s="11"/>
      <c r="N31679" s="11"/>
      <c r="O31679" s="11"/>
      <c r="P31679" s="11"/>
    </row>
    <row r="31680" spans="8:16" x14ac:dyDescent="0.25">
      <c r="H31680" s="12"/>
      <c r="I31680" s="12"/>
      <c r="J31680" s="12"/>
      <c r="K31680" s="12"/>
      <c r="L31680" s="12"/>
      <c r="M31680" s="11"/>
      <c r="N31680" s="11"/>
      <c r="O31680" s="11"/>
      <c r="P31680" s="11"/>
    </row>
    <row r="31681" spans="8:16" x14ac:dyDescent="0.25">
      <c r="H31681" s="12"/>
      <c r="I31681" s="12"/>
      <c r="J31681" s="12"/>
      <c r="K31681" s="12"/>
      <c r="L31681" s="12"/>
      <c r="M31681" s="11"/>
      <c r="N31681" s="11"/>
      <c r="O31681" s="11"/>
      <c r="P31681" s="11"/>
    </row>
    <row r="31682" spans="8:16" x14ac:dyDescent="0.25">
      <c r="H31682" s="12"/>
      <c r="I31682" s="12"/>
      <c r="J31682" s="12"/>
      <c r="K31682" s="12"/>
      <c r="L31682" s="12"/>
      <c r="M31682" s="11"/>
      <c r="N31682" s="11"/>
      <c r="O31682" s="11"/>
      <c r="P31682" s="11"/>
    </row>
    <row r="31683" spans="8:16" x14ac:dyDescent="0.25">
      <c r="H31683" s="12"/>
      <c r="I31683" s="12"/>
      <c r="J31683" s="12"/>
      <c r="K31683" s="12"/>
      <c r="L31683" s="12"/>
      <c r="M31683" s="11"/>
      <c r="N31683" s="11"/>
      <c r="O31683" s="11"/>
      <c r="P31683" s="11"/>
    </row>
    <row r="31684" spans="8:16" x14ac:dyDescent="0.25">
      <c r="H31684" s="12"/>
      <c r="I31684" s="12"/>
      <c r="J31684" s="12"/>
      <c r="K31684" s="12"/>
      <c r="L31684" s="12"/>
      <c r="M31684" s="11"/>
      <c r="N31684" s="11"/>
      <c r="O31684" s="11"/>
      <c r="P31684" s="11"/>
    </row>
    <row r="31685" spans="8:16" x14ac:dyDescent="0.25">
      <c r="H31685" s="12"/>
      <c r="I31685" s="12"/>
      <c r="J31685" s="12"/>
      <c r="K31685" s="12"/>
      <c r="L31685" s="12"/>
      <c r="M31685" s="11"/>
      <c r="N31685" s="11"/>
      <c r="O31685" s="11"/>
      <c r="P31685" s="11"/>
    </row>
    <row r="31686" spans="8:16" x14ac:dyDescent="0.25">
      <c r="H31686" s="12"/>
      <c r="I31686" s="12"/>
      <c r="J31686" s="12"/>
      <c r="K31686" s="12"/>
      <c r="L31686" s="12"/>
      <c r="M31686" s="11"/>
      <c r="N31686" s="11"/>
      <c r="O31686" s="11"/>
      <c r="P31686" s="11"/>
    </row>
    <row r="31687" spans="8:16" x14ac:dyDescent="0.25">
      <c r="H31687" s="12"/>
      <c r="I31687" s="12"/>
      <c r="J31687" s="12"/>
      <c r="K31687" s="12"/>
      <c r="L31687" s="12"/>
      <c r="M31687" s="11"/>
      <c r="N31687" s="11"/>
      <c r="O31687" s="11"/>
      <c r="P31687" s="11"/>
    </row>
    <row r="31688" spans="8:16" x14ac:dyDescent="0.25">
      <c r="H31688" s="12"/>
      <c r="I31688" s="12"/>
      <c r="J31688" s="12"/>
      <c r="K31688" s="12"/>
      <c r="L31688" s="12"/>
      <c r="M31688" s="11"/>
      <c r="N31688" s="11"/>
      <c r="O31688" s="11"/>
      <c r="P31688" s="11"/>
    </row>
    <row r="31689" spans="8:16" x14ac:dyDescent="0.25">
      <c r="H31689" s="12"/>
      <c r="I31689" s="12"/>
      <c r="J31689" s="12"/>
      <c r="K31689" s="12"/>
      <c r="L31689" s="12"/>
      <c r="M31689" s="11"/>
      <c r="N31689" s="11"/>
      <c r="O31689" s="11"/>
      <c r="P31689" s="11"/>
    </row>
    <row r="31690" spans="8:16" x14ac:dyDescent="0.25">
      <c r="H31690" s="12"/>
      <c r="I31690" s="12"/>
      <c r="J31690" s="12"/>
      <c r="K31690" s="12"/>
      <c r="L31690" s="12"/>
      <c r="M31690" s="11"/>
      <c r="N31690" s="11"/>
      <c r="O31690" s="11"/>
      <c r="P31690" s="11"/>
    </row>
    <row r="31691" spans="8:16" x14ac:dyDescent="0.25">
      <c r="H31691" s="12"/>
      <c r="I31691" s="12"/>
      <c r="J31691" s="12"/>
      <c r="K31691" s="12"/>
      <c r="L31691" s="12"/>
      <c r="M31691" s="11"/>
      <c r="N31691" s="11"/>
      <c r="O31691" s="11"/>
      <c r="P31691" s="11"/>
    </row>
    <row r="31692" spans="8:16" x14ac:dyDescent="0.25">
      <c r="H31692" s="12"/>
      <c r="I31692" s="12"/>
      <c r="J31692" s="12"/>
      <c r="K31692" s="12"/>
      <c r="L31692" s="12"/>
      <c r="M31692" s="11"/>
      <c r="N31692" s="11"/>
      <c r="O31692" s="11"/>
      <c r="P31692" s="11"/>
    </row>
    <row r="31693" spans="8:16" x14ac:dyDescent="0.25">
      <c r="H31693" s="12"/>
      <c r="I31693" s="12"/>
      <c r="J31693" s="12"/>
      <c r="K31693" s="12"/>
      <c r="L31693" s="12"/>
      <c r="M31693" s="11"/>
      <c r="N31693" s="11"/>
      <c r="O31693" s="11"/>
      <c r="P31693" s="11"/>
    </row>
    <row r="31694" spans="8:16" x14ac:dyDescent="0.25">
      <c r="H31694" s="12"/>
      <c r="I31694" s="12"/>
      <c r="J31694" s="12"/>
      <c r="K31694" s="12"/>
      <c r="L31694" s="12"/>
      <c r="M31694" s="11"/>
      <c r="N31694" s="11"/>
      <c r="O31694" s="11"/>
      <c r="P31694" s="11"/>
    </row>
    <row r="31695" spans="8:16" x14ac:dyDescent="0.25">
      <c r="H31695" s="12"/>
      <c r="I31695" s="12"/>
      <c r="J31695" s="12"/>
      <c r="K31695" s="12"/>
      <c r="L31695" s="12"/>
      <c r="M31695" s="11"/>
      <c r="N31695" s="11"/>
      <c r="O31695" s="11"/>
      <c r="P31695" s="11"/>
    </row>
    <row r="31696" spans="8:16" x14ac:dyDescent="0.25">
      <c r="H31696" s="12"/>
      <c r="I31696" s="12"/>
      <c r="J31696" s="12"/>
      <c r="K31696" s="12"/>
      <c r="L31696" s="12"/>
      <c r="M31696" s="11"/>
      <c r="N31696" s="11"/>
      <c r="O31696" s="11"/>
      <c r="P31696" s="11"/>
    </row>
    <row r="31697" spans="8:16" x14ac:dyDescent="0.25">
      <c r="H31697" s="12"/>
      <c r="I31697" s="12"/>
      <c r="J31697" s="12"/>
      <c r="K31697" s="12"/>
      <c r="L31697" s="12"/>
      <c r="M31697" s="11"/>
      <c r="N31697" s="11"/>
      <c r="O31697" s="11"/>
      <c r="P31697" s="11"/>
    </row>
    <row r="31698" spans="8:16" x14ac:dyDescent="0.25">
      <c r="H31698" s="12"/>
      <c r="I31698" s="12"/>
      <c r="J31698" s="12"/>
      <c r="K31698" s="12"/>
      <c r="L31698" s="12"/>
      <c r="M31698" s="11"/>
      <c r="N31698" s="11"/>
      <c r="O31698" s="11"/>
      <c r="P31698" s="11"/>
    </row>
    <row r="31699" spans="8:16" x14ac:dyDescent="0.25">
      <c r="H31699" s="12"/>
      <c r="I31699" s="12"/>
      <c r="J31699" s="12"/>
      <c r="K31699" s="12"/>
      <c r="L31699" s="12"/>
      <c r="M31699" s="11"/>
      <c r="N31699" s="11"/>
      <c r="O31699" s="11"/>
      <c r="P31699" s="11"/>
    </row>
    <row r="31700" spans="8:16" x14ac:dyDescent="0.25">
      <c r="H31700" s="12"/>
      <c r="I31700" s="12"/>
      <c r="J31700" s="12"/>
      <c r="K31700" s="12"/>
      <c r="L31700" s="12"/>
      <c r="M31700" s="11"/>
      <c r="N31700" s="11"/>
      <c r="O31700" s="11"/>
      <c r="P31700" s="11"/>
    </row>
    <row r="31701" spans="8:16" x14ac:dyDescent="0.25">
      <c r="H31701" s="12"/>
      <c r="I31701" s="12"/>
      <c r="J31701" s="12"/>
      <c r="K31701" s="12"/>
      <c r="L31701" s="12"/>
      <c r="M31701" s="11"/>
      <c r="N31701" s="11"/>
      <c r="O31701" s="11"/>
      <c r="P31701" s="11"/>
    </row>
    <row r="31702" spans="8:16" x14ac:dyDescent="0.25">
      <c r="H31702" s="12"/>
      <c r="I31702" s="12"/>
      <c r="J31702" s="12"/>
      <c r="K31702" s="12"/>
      <c r="L31702" s="12"/>
      <c r="M31702" s="11"/>
      <c r="N31702" s="11"/>
      <c r="O31702" s="11"/>
      <c r="P31702" s="11"/>
    </row>
    <row r="31703" spans="8:16" x14ac:dyDescent="0.25">
      <c r="H31703" s="12"/>
      <c r="I31703" s="12"/>
      <c r="J31703" s="12"/>
      <c r="K31703" s="12"/>
      <c r="L31703" s="12"/>
      <c r="M31703" s="11"/>
      <c r="N31703" s="11"/>
      <c r="O31703" s="11"/>
      <c r="P31703" s="11"/>
    </row>
    <row r="31704" spans="8:16" x14ac:dyDescent="0.25">
      <c r="H31704" s="12"/>
      <c r="I31704" s="12"/>
      <c r="J31704" s="12"/>
      <c r="K31704" s="12"/>
      <c r="L31704" s="12"/>
      <c r="M31704" s="11"/>
      <c r="N31704" s="11"/>
      <c r="O31704" s="11"/>
      <c r="P31704" s="11"/>
    </row>
    <row r="31705" spans="8:16" x14ac:dyDescent="0.25">
      <c r="H31705" s="12"/>
      <c r="I31705" s="12"/>
      <c r="J31705" s="12"/>
      <c r="K31705" s="12"/>
      <c r="L31705" s="12"/>
      <c r="M31705" s="11"/>
      <c r="N31705" s="11"/>
      <c r="O31705" s="11"/>
      <c r="P31705" s="11"/>
    </row>
    <row r="31706" spans="8:16" x14ac:dyDescent="0.25">
      <c r="H31706" s="12"/>
      <c r="I31706" s="12"/>
      <c r="J31706" s="12"/>
      <c r="K31706" s="12"/>
      <c r="L31706" s="12"/>
      <c r="M31706" s="11"/>
      <c r="N31706" s="11"/>
      <c r="O31706" s="11"/>
      <c r="P31706" s="11"/>
    </row>
    <row r="31707" spans="8:16" x14ac:dyDescent="0.25">
      <c r="H31707" s="12"/>
      <c r="I31707" s="12"/>
      <c r="J31707" s="12"/>
      <c r="K31707" s="12"/>
      <c r="L31707" s="12"/>
      <c r="M31707" s="11"/>
      <c r="N31707" s="11"/>
      <c r="O31707" s="11"/>
      <c r="P31707" s="11"/>
    </row>
    <row r="31708" spans="8:16" x14ac:dyDescent="0.25">
      <c r="H31708" s="12"/>
      <c r="I31708" s="12"/>
      <c r="J31708" s="12"/>
      <c r="K31708" s="12"/>
      <c r="L31708" s="12"/>
      <c r="M31708" s="11"/>
      <c r="N31708" s="11"/>
      <c r="O31708" s="11"/>
      <c r="P31708" s="11"/>
    </row>
    <row r="31709" spans="8:16" x14ac:dyDescent="0.25">
      <c r="H31709" s="12"/>
      <c r="I31709" s="12"/>
      <c r="J31709" s="12"/>
      <c r="K31709" s="12"/>
      <c r="L31709" s="12"/>
      <c r="M31709" s="11"/>
      <c r="N31709" s="11"/>
      <c r="O31709" s="11"/>
      <c r="P31709" s="11"/>
    </row>
    <row r="31710" spans="8:16" x14ac:dyDescent="0.25">
      <c r="H31710" s="12"/>
      <c r="I31710" s="12"/>
      <c r="J31710" s="12"/>
      <c r="K31710" s="12"/>
      <c r="L31710" s="12"/>
      <c r="M31710" s="11"/>
      <c r="N31710" s="11"/>
      <c r="O31710" s="11"/>
      <c r="P31710" s="11"/>
    </row>
    <row r="31711" spans="8:16" x14ac:dyDescent="0.25">
      <c r="H31711" s="12"/>
      <c r="I31711" s="12"/>
      <c r="J31711" s="12"/>
      <c r="K31711" s="12"/>
      <c r="L31711" s="12"/>
      <c r="M31711" s="11"/>
      <c r="N31711" s="11"/>
      <c r="O31711" s="11"/>
      <c r="P31711" s="11"/>
    </row>
    <row r="31712" spans="8:16" x14ac:dyDescent="0.25">
      <c r="H31712" s="12"/>
      <c r="I31712" s="12"/>
      <c r="J31712" s="12"/>
      <c r="K31712" s="12"/>
      <c r="L31712" s="12"/>
      <c r="M31712" s="11"/>
      <c r="N31712" s="11"/>
      <c r="O31712" s="11"/>
      <c r="P31712" s="11"/>
    </row>
    <row r="31713" spans="8:16" x14ac:dyDescent="0.25">
      <c r="H31713" s="12"/>
      <c r="I31713" s="12"/>
      <c r="J31713" s="12"/>
      <c r="K31713" s="12"/>
      <c r="L31713" s="12"/>
      <c r="M31713" s="11"/>
      <c r="N31713" s="11"/>
      <c r="O31713" s="11"/>
      <c r="P31713" s="11"/>
    </row>
    <row r="31714" spans="8:16" x14ac:dyDescent="0.25">
      <c r="H31714" s="12"/>
      <c r="I31714" s="12"/>
      <c r="J31714" s="12"/>
      <c r="K31714" s="12"/>
      <c r="L31714" s="12"/>
      <c r="M31714" s="11"/>
      <c r="N31714" s="11"/>
      <c r="O31714" s="11"/>
      <c r="P31714" s="11"/>
    </row>
    <row r="31715" spans="8:16" x14ac:dyDescent="0.25">
      <c r="H31715" s="12"/>
      <c r="I31715" s="12"/>
      <c r="J31715" s="12"/>
      <c r="K31715" s="12"/>
      <c r="L31715" s="12"/>
      <c r="M31715" s="11"/>
      <c r="N31715" s="11"/>
      <c r="O31715" s="11"/>
      <c r="P31715" s="11"/>
    </row>
    <row r="31716" spans="8:16" x14ac:dyDescent="0.25">
      <c r="H31716" s="12"/>
      <c r="I31716" s="12"/>
      <c r="J31716" s="12"/>
      <c r="K31716" s="12"/>
      <c r="L31716" s="12"/>
      <c r="M31716" s="11"/>
      <c r="N31716" s="11"/>
      <c r="O31716" s="11"/>
      <c r="P31716" s="11"/>
    </row>
    <row r="31717" spans="8:16" x14ac:dyDescent="0.25">
      <c r="H31717" s="12"/>
      <c r="I31717" s="12"/>
      <c r="J31717" s="12"/>
      <c r="K31717" s="12"/>
      <c r="L31717" s="12"/>
      <c r="M31717" s="11"/>
      <c r="N31717" s="11"/>
      <c r="O31717" s="11"/>
      <c r="P31717" s="11"/>
    </row>
    <row r="31718" spans="8:16" x14ac:dyDescent="0.25">
      <c r="H31718" s="12"/>
      <c r="I31718" s="12"/>
      <c r="J31718" s="12"/>
      <c r="K31718" s="12"/>
      <c r="L31718" s="12"/>
      <c r="M31718" s="11"/>
      <c r="N31718" s="11"/>
      <c r="O31718" s="11"/>
      <c r="P31718" s="11"/>
    </row>
    <row r="31719" spans="8:16" x14ac:dyDescent="0.25">
      <c r="H31719" s="12"/>
      <c r="I31719" s="12"/>
      <c r="J31719" s="12"/>
      <c r="K31719" s="12"/>
      <c r="L31719" s="12"/>
      <c r="M31719" s="11"/>
      <c r="N31719" s="11"/>
      <c r="O31719" s="11"/>
      <c r="P31719" s="11"/>
    </row>
    <row r="31720" spans="8:16" x14ac:dyDescent="0.25">
      <c r="H31720" s="12"/>
      <c r="I31720" s="12"/>
      <c r="J31720" s="12"/>
      <c r="K31720" s="12"/>
      <c r="L31720" s="12"/>
      <c r="M31720" s="11"/>
      <c r="N31720" s="11"/>
      <c r="O31720" s="11"/>
      <c r="P31720" s="11"/>
    </row>
    <row r="31721" spans="8:16" x14ac:dyDescent="0.25">
      <c r="H31721" s="12"/>
      <c r="I31721" s="12"/>
      <c r="J31721" s="12"/>
      <c r="K31721" s="12"/>
      <c r="L31721" s="12"/>
      <c r="M31721" s="11"/>
      <c r="N31721" s="11"/>
      <c r="O31721" s="11"/>
      <c r="P31721" s="11"/>
    </row>
    <row r="31722" spans="8:16" x14ac:dyDescent="0.25">
      <c r="H31722" s="12"/>
      <c r="I31722" s="12"/>
      <c r="J31722" s="12"/>
      <c r="K31722" s="12"/>
      <c r="L31722" s="12"/>
      <c r="M31722" s="11"/>
      <c r="N31722" s="11"/>
      <c r="O31722" s="11"/>
      <c r="P31722" s="11"/>
    </row>
    <row r="31723" spans="8:16" x14ac:dyDescent="0.25">
      <c r="H31723" s="12"/>
      <c r="I31723" s="12"/>
      <c r="J31723" s="12"/>
      <c r="K31723" s="12"/>
      <c r="L31723" s="12"/>
      <c r="M31723" s="11"/>
      <c r="N31723" s="11"/>
      <c r="O31723" s="11"/>
      <c r="P31723" s="11"/>
    </row>
    <row r="31724" spans="8:16" x14ac:dyDescent="0.25">
      <c r="H31724" s="12"/>
      <c r="I31724" s="12"/>
      <c r="J31724" s="12"/>
      <c r="K31724" s="12"/>
      <c r="L31724" s="12"/>
      <c r="M31724" s="11"/>
      <c r="N31724" s="11"/>
      <c r="O31724" s="11"/>
      <c r="P31724" s="11"/>
    </row>
    <row r="31725" spans="8:16" x14ac:dyDescent="0.25">
      <c r="H31725" s="12"/>
      <c r="I31725" s="12"/>
      <c r="J31725" s="12"/>
      <c r="K31725" s="12"/>
      <c r="L31725" s="12"/>
      <c r="M31725" s="11"/>
      <c r="N31725" s="11"/>
      <c r="O31725" s="11"/>
      <c r="P31725" s="11"/>
    </row>
    <row r="31726" spans="8:16" x14ac:dyDescent="0.25">
      <c r="H31726" s="12"/>
      <c r="I31726" s="12"/>
      <c r="J31726" s="12"/>
      <c r="K31726" s="12"/>
      <c r="L31726" s="12"/>
      <c r="M31726" s="11"/>
      <c r="N31726" s="11"/>
      <c r="O31726" s="11"/>
      <c r="P31726" s="11"/>
    </row>
    <row r="31727" spans="8:16" x14ac:dyDescent="0.25">
      <c r="H31727" s="12"/>
      <c r="I31727" s="12"/>
      <c r="J31727" s="12"/>
      <c r="K31727" s="12"/>
      <c r="L31727" s="12"/>
      <c r="M31727" s="11"/>
      <c r="N31727" s="11"/>
      <c r="O31727" s="11"/>
      <c r="P31727" s="11"/>
    </row>
    <row r="31728" spans="8:16" x14ac:dyDescent="0.25">
      <c r="H31728" s="12"/>
      <c r="I31728" s="12"/>
      <c r="J31728" s="12"/>
      <c r="K31728" s="12"/>
      <c r="L31728" s="12"/>
      <c r="M31728" s="11"/>
      <c r="N31728" s="11"/>
      <c r="O31728" s="11"/>
      <c r="P31728" s="11"/>
    </row>
    <row r="31729" spans="8:16" x14ac:dyDescent="0.25">
      <c r="H31729" s="12"/>
      <c r="I31729" s="12"/>
      <c r="J31729" s="12"/>
      <c r="K31729" s="12"/>
      <c r="L31729" s="12"/>
      <c r="M31729" s="11"/>
      <c r="N31729" s="11"/>
      <c r="O31729" s="11"/>
      <c r="P31729" s="11"/>
    </row>
    <row r="31730" spans="8:16" x14ac:dyDescent="0.25">
      <c r="H31730" s="12"/>
      <c r="I31730" s="12"/>
      <c r="J31730" s="12"/>
      <c r="K31730" s="12"/>
      <c r="L31730" s="12"/>
      <c r="M31730" s="11"/>
      <c r="N31730" s="11"/>
      <c r="O31730" s="11"/>
      <c r="P31730" s="11"/>
    </row>
    <row r="31731" spans="8:16" x14ac:dyDescent="0.25">
      <c r="H31731" s="12"/>
      <c r="I31731" s="12"/>
      <c r="J31731" s="12"/>
      <c r="K31731" s="12"/>
      <c r="L31731" s="12"/>
      <c r="M31731" s="11"/>
      <c r="N31731" s="11"/>
      <c r="O31731" s="11"/>
      <c r="P31731" s="11"/>
    </row>
    <row r="31732" spans="8:16" x14ac:dyDescent="0.25">
      <c r="H31732" s="12"/>
      <c r="I31732" s="12"/>
      <c r="J31732" s="12"/>
      <c r="K31732" s="12"/>
      <c r="L31732" s="12"/>
      <c r="M31732" s="11"/>
      <c r="N31732" s="11"/>
      <c r="O31732" s="11"/>
      <c r="P31732" s="11"/>
    </row>
    <row r="31733" spans="8:16" x14ac:dyDescent="0.25">
      <c r="H31733" s="12"/>
      <c r="I31733" s="12"/>
      <c r="J31733" s="12"/>
      <c r="K31733" s="12"/>
      <c r="L31733" s="12"/>
      <c r="M31733" s="11"/>
      <c r="N31733" s="11"/>
      <c r="O31733" s="11"/>
      <c r="P31733" s="11"/>
    </row>
    <row r="31734" spans="8:16" x14ac:dyDescent="0.25">
      <c r="H31734" s="12"/>
      <c r="I31734" s="12"/>
      <c r="J31734" s="12"/>
      <c r="K31734" s="12"/>
      <c r="L31734" s="12"/>
      <c r="M31734" s="11"/>
      <c r="N31734" s="11"/>
      <c r="O31734" s="11"/>
      <c r="P31734" s="11"/>
    </row>
    <row r="31735" spans="8:16" x14ac:dyDescent="0.25">
      <c r="H31735" s="12"/>
      <c r="I31735" s="12"/>
      <c r="J31735" s="12"/>
      <c r="K31735" s="12"/>
      <c r="L31735" s="12"/>
      <c r="M31735" s="11"/>
      <c r="N31735" s="11"/>
      <c r="O31735" s="11"/>
      <c r="P31735" s="11"/>
    </row>
    <row r="31736" spans="8:16" x14ac:dyDescent="0.25">
      <c r="H31736" s="12"/>
      <c r="I31736" s="12"/>
      <c r="J31736" s="12"/>
      <c r="K31736" s="12"/>
      <c r="L31736" s="12"/>
      <c r="M31736" s="11"/>
      <c r="N31736" s="11"/>
      <c r="O31736" s="11"/>
      <c r="P31736" s="11"/>
    </row>
    <row r="31737" spans="8:16" x14ac:dyDescent="0.25">
      <c r="H31737" s="12"/>
      <c r="I31737" s="12"/>
      <c r="J31737" s="12"/>
      <c r="K31737" s="12"/>
      <c r="L31737" s="12"/>
      <c r="M31737" s="11"/>
      <c r="N31737" s="11"/>
      <c r="O31737" s="11"/>
      <c r="P31737" s="11"/>
    </row>
    <row r="31738" spans="8:16" x14ac:dyDescent="0.25">
      <c r="H31738" s="12"/>
      <c r="I31738" s="12"/>
      <c r="J31738" s="12"/>
      <c r="K31738" s="12"/>
      <c r="L31738" s="12"/>
      <c r="M31738" s="11"/>
      <c r="N31738" s="11"/>
      <c r="O31738" s="11"/>
      <c r="P31738" s="11"/>
    </row>
    <row r="31739" spans="8:16" x14ac:dyDescent="0.25">
      <c r="H31739" s="12"/>
      <c r="I31739" s="12"/>
      <c r="J31739" s="12"/>
      <c r="K31739" s="12"/>
      <c r="L31739" s="12"/>
      <c r="M31739" s="11"/>
      <c r="N31739" s="11"/>
      <c r="O31739" s="11"/>
      <c r="P31739" s="11"/>
    </row>
    <row r="31740" spans="8:16" x14ac:dyDescent="0.25">
      <c r="H31740" s="12"/>
      <c r="I31740" s="12"/>
      <c r="J31740" s="12"/>
      <c r="K31740" s="12"/>
      <c r="L31740" s="12"/>
      <c r="M31740" s="11"/>
      <c r="N31740" s="11"/>
      <c r="O31740" s="11"/>
      <c r="P31740" s="11"/>
    </row>
    <row r="31741" spans="8:16" x14ac:dyDescent="0.25">
      <c r="H31741" s="12"/>
      <c r="I31741" s="12"/>
      <c r="J31741" s="12"/>
      <c r="K31741" s="12"/>
      <c r="L31741" s="12"/>
      <c r="M31741" s="11"/>
      <c r="N31741" s="11"/>
      <c r="O31741" s="11"/>
      <c r="P31741" s="11"/>
    </row>
    <row r="31742" spans="8:16" x14ac:dyDescent="0.25">
      <c r="H31742" s="12"/>
      <c r="I31742" s="12"/>
      <c r="J31742" s="12"/>
      <c r="K31742" s="12"/>
      <c r="L31742" s="12"/>
      <c r="M31742" s="11"/>
      <c r="N31742" s="11"/>
      <c r="O31742" s="11"/>
      <c r="P31742" s="11"/>
    </row>
    <row r="31743" spans="8:16" x14ac:dyDescent="0.25">
      <c r="H31743" s="12"/>
      <c r="I31743" s="12"/>
      <c r="J31743" s="12"/>
      <c r="K31743" s="12"/>
      <c r="L31743" s="12"/>
      <c r="M31743" s="11"/>
      <c r="N31743" s="11"/>
      <c r="O31743" s="11"/>
      <c r="P31743" s="11"/>
    </row>
    <row r="31744" spans="8:16" x14ac:dyDescent="0.25">
      <c r="H31744" s="12"/>
      <c r="I31744" s="12"/>
      <c r="J31744" s="12"/>
      <c r="K31744" s="12"/>
      <c r="L31744" s="12"/>
      <c r="M31744" s="11"/>
      <c r="N31744" s="11"/>
      <c r="O31744" s="11"/>
      <c r="P31744" s="11"/>
    </row>
    <row r="31745" spans="8:16" x14ac:dyDescent="0.25">
      <c r="H31745" s="12"/>
      <c r="I31745" s="12"/>
      <c r="J31745" s="12"/>
      <c r="K31745" s="12"/>
      <c r="L31745" s="12"/>
      <c r="M31745" s="11"/>
      <c r="N31745" s="11"/>
      <c r="O31745" s="11"/>
      <c r="P31745" s="11"/>
    </row>
    <row r="31746" spans="8:16" x14ac:dyDescent="0.25">
      <c r="H31746" s="12"/>
      <c r="I31746" s="12"/>
      <c r="J31746" s="12"/>
      <c r="K31746" s="12"/>
      <c r="L31746" s="12"/>
      <c r="M31746" s="11"/>
      <c r="N31746" s="11"/>
      <c r="O31746" s="11"/>
      <c r="P31746" s="11"/>
    </row>
    <row r="31747" spans="8:16" x14ac:dyDescent="0.25">
      <c r="H31747" s="12"/>
      <c r="I31747" s="12"/>
      <c r="J31747" s="12"/>
      <c r="K31747" s="12"/>
      <c r="L31747" s="12"/>
      <c r="M31747" s="11"/>
      <c r="N31747" s="11"/>
      <c r="O31747" s="11"/>
      <c r="P31747" s="11"/>
    </row>
    <row r="31748" spans="8:16" x14ac:dyDescent="0.25">
      <c r="H31748" s="12"/>
      <c r="I31748" s="12"/>
      <c r="J31748" s="12"/>
      <c r="K31748" s="12"/>
      <c r="L31748" s="12"/>
      <c r="M31748" s="11"/>
      <c r="N31748" s="11"/>
      <c r="O31748" s="11"/>
      <c r="P31748" s="11"/>
    </row>
    <row r="31749" spans="8:16" x14ac:dyDescent="0.25">
      <c r="H31749" s="12"/>
      <c r="I31749" s="12"/>
      <c r="J31749" s="12"/>
      <c r="K31749" s="12"/>
      <c r="L31749" s="12"/>
      <c r="M31749" s="11"/>
      <c r="N31749" s="11"/>
      <c r="O31749" s="11"/>
      <c r="P31749" s="11"/>
    </row>
    <row r="31750" spans="8:16" x14ac:dyDescent="0.25">
      <c r="H31750" s="12"/>
      <c r="I31750" s="12"/>
      <c r="J31750" s="12"/>
      <c r="K31750" s="12"/>
      <c r="L31750" s="12"/>
      <c r="M31750" s="11"/>
      <c r="N31750" s="11"/>
      <c r="O31750" s="11"/>
      <c r="P31750" s="11"/>
    </row>
    <row r="31751" spans="8:16" x14ac:dyDescent="0.25">
      <c r="H31751" s="12"/>
      <c r="I31751" s="12"/>
      <c r="J31751" s="12"/>
      <c r="K31751" s="12"/>
      <c r="L31751" s="12"/>
      <c r="M31751" s="11"/>
      <c r="N31751" s="11"/>
      <c r="O31751" s="11"/>
      <c r="P31751" s="11"/>
    </row>
    <row r="31752" spans="8:16" x14ac:dyDescent="0.25">
      <c r="H31752" s="12"/>
      <c r="I31752" s="12"/>
      <c r="J31752" s="12"/>
      <c r="K31752" s="12"/>
      <c r="L31752" s="12"/>
      <c r="M31752" s="11"/>
      <c r="N31752" s="11"/>
      <c r="O31752" s="11"/>
      <c r="P31752" s="11"/>
    </row>
    <row r="31753" spans="8:16" x14ac:dyDescent="0.25">
      <c r="H31753" s="12"/>
      <c r="I31753" s="12"/>
      <c r="J31753" s="12"/>
      <c r="K31753" s="12"/>
      <c r="L31753" s="12"/>
      <c r="M31753" s="11"/>
      <c r="N31753" s="11"/>
      <c r="O31753" s="11"/>
      <c r="P31753" s="11"/>
    </row>
    <row r="31754" spans="8:16" x14ac:dyDescent="0.25">
      <c r="H31754" s="12"/>
      <c r="I31754" s="12"/>
      <c r="J31754" s="12"/>
      <c r="K31754" s="12"/>
      <c r="L31754" s="12"/>
      <c r="M31754" s="11"/>
      <c r="N31754" s="11"/>
      <c r="O31754" s="11"/>
      <c r="P31754" s="11"/>
    </row>
    <row r="31755" spans="8:16" x14ac:dyDescent="0.25">
      <c r="H31755" s="12"/>
      <c r="I31755" s="12"/>
      <c r="J31755" s="12"/>
      <c r="K31755" s="12"/>
      <c r="L31755" s="12"/>
      <c r="M31755" s="11"/>
      <c r="N31755" s="11"/>
      <c r="O31755" s="11"/>
      <c r="P31755" s="11"/>
    </row>
    <row r="31756" spans="8:16" x14ac:dyDescent="0.25">
      <c r="H31756" s="12"/>
      <c r="I31756" s="12"/>
      <c r="J31756" s="12"/>
      <c r="K31756" s="12"/>
      <c r="L31756" s="12"/>
      <c r="M31756" s="11"/>
      <c r="N31756" s="11"/>
      <c r="O31756" s="11"/>
      <c r="P31756" s="11"/>
    </row>
    <row r="31757" spans="8:16" x14ac:dyDescent="0.25">
      <c r="H31757" s="12"/>
      <c r="I31757" s="12"/>
      <c r="J31757" s="12"/>
      <c r="K31757" s="12"/>
      <c r="L31757" s="12"/>
      <c r="M31757" s="11"/>
      <c r="N31757" s="11"/>
      <c r="O31757" s="11"/>
      <c r="P31757" s="11"/>
    </row>
    <row r="31758" spans="8:16" x14ac:dyDescent="0.25">
      <c r="H31758" s="12"/>
      <c r="I31758" s="12"/>
      <c r="J31758" s="12"/>
      <c r="K31758" s="12"/>
      <c r="L31758" s="12"/>
      <c r="M31758" s="11"/>
      <c r="N31758" s="11"/>
      <c r="O31758" s="11"/>
      <c r="P31758" s="11"/>
    </row>
    <row r="31759" spans="8:16" x14ac:dyDescent="0.25">
      <c r="H31759" s="12"/>
      <c r="I31759" s="12"/>
      <c r="J31759" s="12"/>
      <c r="K31759" s="12"/>
      <c r="L31759" s="12"/>
      <c r="M31759" s="11"/>
      <c r="N31759" s="11"/>
      <c r="O31759" s="11"/>
      <c r="P31759" s="11"/>
    </row>
    <row r="31760" spans="8:16" x14ac:dyDescent="0.25">
      <c r="H31760" s="12"/>
      <c r="I31760" s="12"/>
      <c r="J31760" s="12"/>
      <c r="K31760" s="12"/>
      <c r="L31760" s="12"/>
      <c r="M31760" s="11"/>
      <c r="N31760" s="11"/>
      <c r="O31760" s="11"/>
      <c r="P31760" s="11"/>
    </row>
    <row r="31761" spans="8:16" x14ac:dyDescent="0.25">
      <c r="H31761" s="12"/>
      <c r="I31761" s="12"/>
      <c r="J31761" s="12"/>
      <c r="K31761" s="12"/>
      <c r="L31761" s="12"/>
      <c r="M31761" s="11"/>
      <c r="N31761" s="11"/>
      <c r="O31761" s="11"/>
      <c r="P31761" s="11"/>
    </row>
    <row r="31762" spans="8:16" x14ac:dyDescent="0.25">
      <c r="H31762" s="12"/>
      <c r="I31762" s="12"/>
      <c r="J31762" s="12"/>
      <c r="K31762" s="12"/>
      <c r="L31762" s="12"/>
      <c r="M31762" s="11"/>
      <c r="N31762" s="11"/>
      <c r="O31762" s="11"/>
      <c r="P31762" s="11"/>
    </row>
    <row r="31763" spans="8:16" x14ac:dyDescent="0.25">
      <c r="H31763" s="12"/>
      <c r="I31763" s="12"/>
      <c r="J31763" s="12"/>
      <c r="K31763" s="12"/>
      <c r="L31763" s="12"/>
      <c r="M31763" s="11"/>
      <c r="N31763" s="11"/>
      <c r="O31763" s="11"/>
      <c r="P31763" s="11"/>
    </row>
    <row r="31764" spans="8:16" x14ac:dyDescent="0.25">
      <c r="H31764" s="12"/>
      <c r="I31764" s="12"/>
      <c r="J31764" s="12"/>
      <c r="K31764" s="12"/>
      <c r="L31764" s="12"/>
      <c r="M31764" s="11"/>
      <c r="N31764" s="11"/>
      <c r="O31764" s="11"/>
      <c r="P31764" s="11"/>
    </row>
    <row r="31765" spans="8:16" x14ac:dyDescent="0.25">
      <c r="H31765" s="12"/>
      <c r="I31765" s="12"/>
      <c r="J31765" s="12"/>
      <c r="K31765" s="12"/>
      <c r="L31765" s="12"/>
      <c r="M31765" s="11"/>
      <c r="N31765" s="11"/>
      <c r="O31765" s="11"/>
      <c r="P31765" s="11"/>
    </row>
    <row r="31766" spans="8:16" x14ac:dyDescent="0.25">
      <c r="H31766" s="12"/>
      <c r="I31766" s="12"/>
      <c r="J31766" s="12"/>
      <c r="K31766" s="12"/>
      <c r="L31766" s="12"/>
      <c r="M31766" s="11"/>
      <c r="N31766" s="11"/>
      <c r="O31766" s="11"/>
      <c r="P31766" s="11"/>
    </row>
    <row r="31767" spans="8:16" x14ac:dyDescent="0.25">
      <c r="H31767" s="12"/>
      <c r="I31767" s="12"/>
      <c r="J31767" s="12"/>
      <c r="K31767" s="12"/>
      <c r="L31767" s="12"/>
      <c r="M31767" s="11"/>
      <c r="N31767" s="11"/>
      <c r="O31767" s="11"/>
      <c r="P31767" s="11"/>
    </row>
    <row r="31768" spans="8:16" x14ac:dyDescent="0.25">
      <c r="H31768" s="12"/>
      <c r="I31768" s="12"/>
      <c r="J31768" s="12"/>
      <c r="K31768" s="12"/>
      <c r="L31768" s="12"/>
      <c r="M31768" s="11"/>
      <c r="N31768" s="11"/>
      <c r="O31768" s="11"/>
      <c r="P31768" s="11"/>
    </row>
    <row r="31769" spans="8:16" x14ac:dyDescent="0.25">
      <c r="H31769" s="12"/>
      <c r="I31769" s="12"/>
      <c r="J31769" s="12"/>
      <c r="K31769" s="12"/>
      <c r="L31769" s="12"/>
      <c r="M31769" s="11"/>
      <c r="N31769" s="11"/>
      <c r="O31769" s="11"/>
      <c r="P31769" s="11"/>
    </row>
    <row r="31770" spans="8:16" x14ac:dyDescent="0.25">
      <c r="H31770" s="12"/>
      <c r="I31770" s="12"/>
      <c r="J31770" s="12"/>
      <c r="K31770" s="12"/>
      <c r="L31770" s="12"/>
      <c r="M31770" s="11"/>
      <c r="N31770" s="11"/>
      <c r="O31770" s="11"/>
      <c r="P31770" s="11"/>
    </row>
    <row r="31771" spans="8:16" x14ac:dyDescent="0.25">
      <c r="H31771" s="12"/>
      <c r="I31771" s="12"/>
      <c r="J31771" s="12"/>
      <c r="K31771" s="12"/>
      <c r="L31771" s="12"/>
      <c r="M31771" s="11"/>
      <c r="N31771" s="11"/>
      <c r="O31771" s="11"/>
      <c r="P31771" s="11"/>
    </row>
    <row r="31772" spans="8:16" x14ac:dyDescent="0.25">
      <c r="H31772" s="12"/>
      <c r="I31772" s="12"/>
      <c r="J31772" s="12"/>
      <c r="K31772" s="12"/>
      <c r="L31772" s="12"/>
      <c r="M31772" s="11"/>
      <c r="N31772" s="11"/>
      <c r="O31772" s="11"/>
      <c r="P31772" s="11"/>
    </row>
    <row r="31773" spans="8:16" x14ac:dyDescent="0.25">
      <c r="H31773" s="12"/>
      <c r="I31773" s="12"/>
      <c r="J31773" s="12"/>
      <c r="K31773" s="12"/>
      <c r="L31773" s="12"/>
      <c r="M31773" s="11"/>
      <c r="N31773" s="11"/>
      <c r="O31773" s="11"/>
      <c r="P31773" s="11"/>
    </row>
    <row r="31774" spans="8:16" x14ac:dyDescent="0.25">
      <c r="H31774" s="12"/>
      <c r="I31774" s="12"/>
      <c r="J31774" s="12"/>
      <c r="K31774" s="12"/>
      <c r="L31774" s="12"/>
      <c r="M31774" s="11"/>
      <c r="N31774" s="11"/>
      <c r="O31774" s="11"/>
      <c r="P31774" s="11"/>
    </row>
    <row r="31775" spans="8:16" x14ac:dyDescent="0.25">
      <c r="H31775" s="12"/>
      <c r="I31775" s="12"/>
      <c r="J31775" s="12"/>
      <c r="K31775" s="12"/>
      <c r="L31775" s="12"/>
      <c r="M31775" s="11"/>
      <c r="N31775" s="11"/>
      <c r="O31775" s="11"/>
      <c r="P31775" s="11"/>
    </row>
    <row r="31776" spans="8:16" x14ac:dyDescent="0.25">
      <c r="H31776" s="12"/>
      <c r="I31776" s="12"/>
      <c r="J31776" s="12"/>
      <c r="K31776" s="12"/>
      <c r="L31776" s="12"/>
      <c r="M31776" s="11"/>
      <c r="N31776" s="11"/>
      <c r="O31776" s="11"/>
      <c r="P31776" s="11"/>
    </row>
    <row r="31777" spans="8:16" x14ac:dyDescent="0.25">
      <c r="H31777" s="12"/>
      <c r="I31777" s="12"/>
      <c r="J31777" s="12"/>
      <c r="K31777" s="12"/>
      <c r="L31777" s="12"/>
      <c r="M31777" s="11"/>
      <c r="N31777" s="11"/>
      <c r="O31777" s="11"/>
      <c r="P31777" s="11"/>
    </row>
    <row r="31778" spans="8:16" x14ac:dyDescent="0.25">
      <c r="H31778" s="12"/>
      <c r="I31778" s="12"/>
      <c r="J31778" s="12"/>
      <c r="K31778" s="12"/>
      <c r="L31778" s="12"/>
      <c r="M31778" s="11"/>
      <c r="N31778" s="11"/>
      <c r="O31778" s="11"/>
      <c r="P31778" s="11"/>
    </row>
    <row r="31779" spans="8:16" x14ac:dyDescent="0.25">
      <c r="H31779" s="12"/>
      <c r="I31779" s="12"/>
      <c r="J31779" s="12"/>
      <c r="K31779" s="12"/>
      <c r="L31779" s="12"/>
      <c r="M31779" s="11"/>
      <c r="N31779" s="11"/>
      <c r="O31779" s="11"/>
      <c r="P31779" s="11"/>
    </row>
    <row r="31780" spans="8:16" x14ac:dyDescent="0.25">
      <c r="H31780" s="12"/>
      <c r="I31780" s="12"/>
      <c r="J31780" s="12"/>
      <c r="K31780" s="12"/>
      <c r="L31780" s="12"/>
      <c r="M31780" s="11"/>
      <c r="N31780" s="11"/>
      <c r="O31780" s="11"/>
      <c r="P31780" s="11"/>
    </row>
    <row r="31781" spans="8:16" x14ac:dyDescent="0.25">
      <c r="H31781" s="12"/>
      <c r="I31781" s="12"/>
      <c r="J31781" s="12"/>
      <c r="K31781" s="12"/>
      <c r="L31781" s="12"/>
      <c r="M31781" s="11"/>
      <c r="N31781" s="11"/>
      <c r="O31781" s="11"/>
      <c r="P31781" s="11"/>
    </row>
    <row r="31782" spans="8:16" x14ac:dyDescent="0.25">
      <c r="H31782" s="12"/>
      <c r="I31782" s="12"/>
      <c r="J31782" s="12"/>
      <c r="K31782" s="12"/>
      <c r="L31782" s="12"/>
      <c r="M31782" s="11"/>
      <c r="N31782" s="11"/>
      <c r="O31782" s="11"/>
      <c r="P31782" s="11"/>
    </row>
    <row r="31783" spans="8:16" x14ac:dyDescent="0.25">
      <c r="H31783" s="12"/>
      <c r="I31783" s="12"/>
      <c r="J31783" s="12"/>
      <c r="K31783" s="12"/>
      <c r="L31783" s="12"/>
      <c r="M31783" s="11"/>
      <c r="N31783" s="11"/>
      <c r="O31783" s="11"/>
      <c r="P31783" s="11"/>
    </row>
    <row r="31784" spans="8:16" x14ac:dyDescent="0.25">
      <c r="H31784" s="12"/>
      <c r="I31784" s="12"/>
      <c r="J31784" s="12"/>
      <c r="K31784" s="12"/>
      <c r="L31784" s="12"/>
      <c r="M31784" s="11"/>
      <c r="N31784" s="11"/>
      <c r="O31784" s="11"/>
      <c r="P31784" s="11"/>
    </row>
    <row r="31785" spans="8:16" x14ac:dyDescent="0.25">
      <c r="H31785" s="12"/>
      <c r="I31785" s="12"/>
      <c r="J31785" s="12"/>
      <c r="K31785" s="12"/>
      <c r="L31785" s="12"/>
      <c r="M31785" s="11"/>
      <c r="N31785" s="11"/>
      <c r="O31785" s="11"/>
      <c r="P31785" s="11"/>
    </row>
    <row r="31786" spans="8:16" x14ac:dyDescent="0.25">
      <c r="H31786" s="12"/>
      <c r="I31786" s="12"/>
      <c r="J31786" s="12"/>
      <c r="K31786" s="12"/>
      <c r="L31786" s="12"/>
      <c r="M31786" s="11"/>
      <c r="N31786" s="11"/>
      <c r="O31786" s="11"/>
      <c r="P31786" s="11"/>
    </row>
    <row r="31787" spans="8:16" x14ac:dyDescent="0.25">
      <c r="H31787" s="12"/>
      <c r="I31787" s="12"/>
      <c r="J31787" s="12"/>
      <c r="K31787" s="12"/>
      <c r="L31787" s="12"/>
      <c r="M31787" s="11"/>
      <c r="N31787" s="11"/>
      <c r="O31787" s="11"/>
      <c r="P31787" s="11"/>
    </row>
    <row r="31788" spans="8:16" x14ac:dyDescent="0.25">
      <c r="H31788" s="12"/>
      <c r="I31788" s="12"/>
      <c r="J31788" s="12"/>
      <c r="K31788" s="12"/>
      <c r="L31788" s="12"/>
      <c r="M31788" s="11"/>
      <c r="N31788" s="11"/>
      <c r="O31788" s="11"/>
      <c r="P31788" s="11"/>
    </row>
    <row r="31789" spans="8:16" x14ac:dyDescent="0.25">
      <c r="H31789" s="12"/>
      <c r="I31789" s="12"/>
      <c r="J31789" s="12"/>
      <c r="K31789" s="12"/>
      <c r="L31789" s="12"/>
      <c r="M31789" s="11"/>
      <c r="N31789" s="11"/>
      <c r="O31789" s="11"/>
      <c r="P31789" s="11"/>
    </row>
    <row r="31790" spans="8:16" x14ac:dyDescent="0.25">
      <c r="H31790" s="12"/>
      <c r="I31790" s="12"/>
      <c r="J31790" s="12"/>
      <c r="K31790" s="12"/>
      <c r="L31790" s="12"/>
      <c r="M31790" s="11"/>
      <c r="N31790" s="11"/>
      <c r="O31790" s="11"/>
      <c r="P31790" s="11"/>
    </row>
    <row r="31791" spans="8:16" x14ac:dyDescent="0.25">
      <c r="H31791" s="12"/>
      <c r="I31791" s="12"/>
      <c r="J31791" s="12"/>
      <c r="K31791" s="12"/>
      <c r="L31791" s="12"/>
      <c r="M31791" s="11"/>
      <c r="N31791" s="11"/>
      <c r="O31791" s="11"/>
      <c r="P31791" s="11"/>
    </row>
    <row r="31792" spans="8:16" x14ac:dyDescent="0.25">
      <c r="H31792" s="12"/>
      <c r="I31792" s="12"/>
      <c r="J31792" s="12"/>
      <c r="K31792" s="12"/>
      <c r="L31792" s="12"/>
      <c r="M31792" s="11"/>
      <c r="N31792" s="11"/>
      <c r="O31792" s="11"/>
      <c r="P31792" s="11"/>
    </row>
    <row r="31793" spans="8:16" x14ac:dyDescent="0.25">
      <c r="H31793" s="12"/>
      <c r="I31793" s="12"/>
      <c r="J31793" s="12"/>
      <c r="K31793" s="12"/>
      <c r="L31793" s="12"/>
      <c r="M31793" s="11"/>
      <c r="N31793" s="11"/>
      <c r="O31793" s="11"/>
      <c r="P31793" s="11"/>
    </row>
    <row r="31794" spans="8:16" x14ac:dyDescent="0.25">
      <c r="H31794" s="12"/>
      <c r="I31794" s="12"/>
      <c r="J31794" s="12"/>
      <c r="K31794" s="12"/>
      <c r="L31794" s="12"/>
      <c r="M31794" s="11"/>
      <c r="N31794" s="11"/>
      <c r="O31794" s="11"/>
      <c r="P31794" s="11"/>
    </row>
    <row r="31795" spans="8:16" x14ac:dyDescent="0.25">
      <c r="H31795" s="12"/>
      <c r="I31795" s="12"/>
      <c r="J31795" s="12"/>
      <c r="K31795" s="12"/>
      <c r="L31795" s="12"/>
      <c r="M31795" s="11"/>
      <c r="N31795" s="11"/>
      <c r="O31795" s="11"/>
      <c r="P31795" s="11"/>
    </row>
    <row r="31796" spans="8:16" x14ac:dyDescent="0.25">
      <c r="H31796" s="12"/>
      <c r="I31796" s="12"/>
      <c r="J31796" s="12"/>
      <c r="K31796" s="12"/>
      <c r="L31796" s="12"/>
      <c r="M31796" s="11"/>
      <c r="N31796" s="11"/>
      <c r="O31796" s="11"/>
      <c r="P31796" s="11"/>
    </row>
    <row r="31797" spans="8:16" x14ac:dyDescent="0.25">
      <c r="H31797" s="12"/>
      <c r="I31797" s="12"/>
      <c r="J31797" s="12"/>
      <c r="K31797" s="12"/>
      <c r="L31797" s="12"/>
      <c r="M31797" s="11"/>
      <c r="N31797" s="11"/>
      <c r="O31797" s="11"/>
      <c r="P31797" s="11"/>
    </row>
    <row r="31798" spans="8:16" x14ac:dyDescent="0.25">
      <c r="H31798" s="12"/>
      <c r="I31798" s="12"/>
      <c r="J31798" s="12"/>
      <c r="K31798" s="12"/>
      <c r="L31798" s="12"/>
      <c r="M31798" s="11"/>
      <c r="N31798" s="11"/>
      <c r="O31798" s="11"/>
      <c r="P31798" s="11"/>
    </row>
    <row r="31799" spans="8:16" x14ac:dyDescent="0.25">
      <c r="H31799" s="12"/>
      <c r="I31799" s="12"/>
      <c r="J31799" s="12"/>
      <c r="K31799" s="12"/>
      <c r="L31799" s="12"/>
      <c r="M31799" s="11"/>
      <c r="N31799" s="11"/>
      <c r="O31799" s="11"/>
      <c r="P31799" s="11"/>
    </row>
    <row r="31800" spans="8:16" x14ac:dyDescent="0.25">
      <c r="H31800" s="12"/>
      <c r="I31800" s="12"/>
      <c r="J31800" s="12"/>
      <c r="K31800" s="12"/>
      <c r="L31800" s="12"/>
      <c r="M31800" s="11"/>
      <c r="N31800" s="11"/>
      <c r="O31800" s="11"/>
      <c r="P31800" s="11"/>
    </row>
    <row r="31801" spans="8:16" x14ac:dyDescent="0.25">
      <c r="H31801" s="12"/>
      <c r="I31801" s="12"/>
      <c r="J31801" s="12"/>
      <c r="K31801" s="12"/>
      <c r="L31801" s="12"/>
      <c r="M31801" s="11"/>
      <c r="N31801" s="11"/>
      <c r="O31801" s="11"/>
      <c r="P31801" s="11"/>
    </row>
    <row r="31802" spans="8:16" x14ac:dyDescent="0.25">
      <c r="H31802" s="12"/>
      <c r="I31802" s="12"/>
      <c r="J31802" s="12"/>
      <c r="K31802" s="12"/>
      <c r="L31802" s="12"/>
      <c r="M31802" s="11"/>
      <c r="N31802" s="11"/>
      <c r="O31802" s="11"/>
      <c r="P31802" s="11"/>
    </row>
    <row r="31803" spans="8:16" x14ac:dyDescent="0.25">
      <c r="H31803" s="12"/>
      <c r="I31803" s="12"/>
      <c r="J31803" s="12"/>
      <c r="K31803" s="12"/>
      <c r="L31803" s="12"/>
      <c r="M31803" s="11"/>
      <c r="N31803" s="11"/>
      <c r="O31803" s="11"/>
      <c r="P31803" s="11"/>
    </row>
    <row r="31804" spans="8:16" x14ac:dyDescent="0.25">
      <c r="H31804" s="12"/>
      <c r="I31804" s="12"/>
      <c r="J31804" s="12"/>
      <c r="K31804" s="12"/>
      <c r="L31804" s="12"/>
      <c r="M31804" s="11"/>
      <c r="N31804" s="11"/>
      <c r="O31804" s="11"/>
      <c r="P31804" s="11"/>
    </row>
    <row r="31805" spans="8:16" x14ac:dyDescent="0.25">
      <c r="H31805" s="12"/>
      <c r="I31805" s="12"/>
      <c r="J31805" s="12"/>
      <c r="K31805" s="12"/>
      <c r="L31805" s="12"/>
      <c r="M31805" s="11"/>
      <c r="N31805" s="11"/>
      <c r="O31805" s="11"/>
      <c r="P31805" s="11"/>
    </row>
    <row r="31806" spans="8:16" x14ac:dyDescent="0.25">
      <c r="H31806" s="12"/>
      <c r="I31806" s="12"/>
      <c r="J31806" s="12"/>
      <c r="K31806" s="12"/>
      <c r="L31806" s="12"/>
      <c r="M31806" s="11"/>
      <c r="N31806" s="11"/>
      <c r="O31806" s="11"/>
      <c r="P31806" s="11"/>
    </row>
    <row r="31807" spans="8:16" x14ac:dyDescent="0.25">
      <c r="H31807" s="12"/>
      <c r="I31807" s="12"/>
      <c r="J31807" s="12"/>
      <c r="K31807" s="12"/>
      <c r="L31807" s="12"/>
      <c r="M31807" s="11"/>
      <c r="N31807" s="11"/>
      <c r="O31807" s="11"/>
      <c r="P31807" s="11"/>
    </row>
    <row r="31808" spans="8:16" x14ac:dyDescent="0.25">
      <c r="H31808" s="12"/>
      <c r="I31808" s="12"/>
      <c r="J31808" s="12"/>
      <c r="K31808" s="12"/>
      <c r="L31808" s="12"/>
      <c r="M31808" s="11"/>
      <c r="N31808" s="11"/>
      <c r="O31808" s="11"/>
      <c r="P31808" s="11"/>
    </row>
    <row r="31809" spans="8:16" x14ac:dyDescent="0.25">
      <c r="H31809" s="12"/>
      <c r="I31809" s="12"/>
      <c r="J31809" s="12"/>
      <c r="K31809" s="12"/>
      <c r="L31809" s="12"/>
      <c r="M31809" s="11"/>
      <c r="N31809" s="11"/>
      <c r="O31809" s="11"/>
      <c r="P31809" s="11"/>
    </row>
    <row r="31810" spans="8:16" x14ac:dyDescent="0.25">
      <c r="H31810" s="12"/>
      <c r="I31810" s="12"/>
      <c r="J31810" s="12"/>
      <c r="K31810" s="12"/>
      <c r="L31810" s="12"/>
      <c r="M31810" s="11"/>
      <c r="N31810" s="11"/>
      <c r="O31810" s="11"/>
      <c r="P31810" s="11"/>
    </row>
    <row r="31811" spans="8:16" x14ac:dyDescent="0.25">
      <c r="H31811" s="12"/>
      <c r="I31811" s="12"/>
      <c r="J31811" s="12"/>
      <c r="K31811" s="12"/>
      <c r="L31811" s="12"/>
      <c r="M31811" s="11"/>
      <c r="N31811" s="11"/>
      <c r="O31811" s="11"/>
      <c r="P31811" s="11"/>
    </row>
    <row r="31812" spans="8:16" x14ac:dyDescent="0.25">
      <c r="H31812" s="12"/>
      <c r="I31812" s="12"/>
      <c r="J31812" s="12"/>
      <c r="K31812" s="12"/>
      <c r="L31812" s="12"/>
      <c r="M31812" s="11"/>
      <c r="N31812" s="11"/>
      <c r="O31812" s="11"/>
      <c r="P31812" s="11"/>
    </row>
    <row r="31813" spans="8:16" x14ac:dyDescent="0.25">
      <c r="H31813" s="12"/>
      <c r="I31813" s="12"/>
      <c r="J31813" s="12"/>
      <c r="K31813" s="12"/>
      <c r="L31813" s="12"/>
      <c r="M31813" s="11"/>
      <c r="N31813" s="11"/>
      <c r="O31813" s="11"/>
      <c r="P31813" s="11"/>
    </row>
    <row r="31814" spans="8:16" x14ac:dyDescent="0.25">
      <c r="H31814" s="12"/>
      <c r="I31814" s="12"/>
      <c r="J31814" s="12"/>
      <c r="K31814" s="12"/>
      <c r="L31814" s="12"/>
      <c r="M31814" s="11"/>
      <c r="N31814" s="11"/>
      <c r="O31814" s="11"/>
      <c r="P31814" s="11"/>
    </row>
    <row r="31815" spans="8:16" x14ac:dyDescent="0.25">
      <c r="H31815" s="12"/>
      <c r="I31815" s="12"/>
      <c r="J31815" s="12"/>
      <c r="K31815" s="12"/>
      <c r="L31815" s="12"/>
      <c r="M31815" s="11"/>
      <c r="N31815" s="11"/>
      <c r="O31815" s="11"/>
      <c r="P31815" s="11"/>
    </row>
    <row r="31816" spans="8:16" x14ac:dyDescent="0.25">
      <c r="H31816" s="12"/>
      <c r="I31816" s="12"/>
      <c r="J31816" s="12"/>
      <c r="K31816" s="12"/>
      <c r="L31816" s="12"/>
      <c r="M31816" s="11"/>
      <c r="N31816" s="11"/>
      <c r="O31816" s="11"/>
      <c r="P31816" s="11"/>
    </row>
    <row r="31817" spans="8:16" x14ac:dyDescent="0.25">
      <c r="H31817" s="12"/>
      <c r="I31817" s="12"/>
      <c r="J31817" s="12"/>
      <c r="K31817" s="12"/>
      <c r="L31817" s="12"/>
      <c r="M31817" s="11"/>
      <c r="N31817" s="11"/>
      <c r="O31817" s="11"/>
      <c r="P31817" s="11"/>
    </row>
    <row r="31818" spans="8:16" x14ac:dyDescent="0.25">
      <c r="H31818" s="12"/>
      <c r="I31818" s="12"/>
      <c r="J31818" s="12"/>
      <c r="K31818" s="12"/>
      <c r="L31818" s="12"/>
      <c r="M31818" s="11"/>
      <c r="N31818" s="11"/>
      <c r="O31818" s="11"/>
      <c r="P31818" s="11"/>
    </row>
    <row r="31819" spans="8:16" x14ac:dyDescent="0.25">
      <c r="H31819" s="12"/>
      <c r="I31819" s="12"/>
      <c r="J31819" s="12"/>
      <c r="K31819" s="12"/>
      <c r="L31819" s="12"/>
      <c r="M31819" s="11"/>
      <c r="N31819" s="11"/>
      <c r="O31819" s="11"/>
      <c r="P31819" s="11"/>
    </row>
    <row r="31820" spans="8:16" x14ac:dyDescent="0.25">
      <c r="H31820" s="12"/>
      <c r="I31820" s="12"/>
      <c r="J31820" s="12"/>
      <c r="K31820" s="12"/>
      <c r="L31820" s="12"/>
      <c r="M31820" s="11"/>
      <c r="N31820" s="11"/>
      <c r="O31820" s="11"/>
      <c r="P31820" s="11"/>
    </row>
    <row r="31821" spans="8:16" x14ac:dyDescent="0.25">
      <c r="H31821" s="12"/>
      <c r="I31821" s="12"/>
      <c r="J31821" s="12"/>
      <c r="K31821" s="12"/>
      <c r="L31821" s="12"/>
      <c r="M31821" s="11"/>
      <c r="N31821" s="11"/>
      <c r="O31821" s="11"/>
      <c r="P31821" s="11"/>
    </row>
    <row r="31822" spans="8:16" x14ac:dyDescent="0.25">
      <c r="H31822" s="12"/>
      <c r="I31822" s="12"/>
      <c r="J31822" s="12"/>
      <c r="K31822" s="12"/>
      <c r="L31822" s="12"/>
      <c r="M31822" s="11"/>
      <c r="N31822" s="11"/>
      <c r="O31822" s="11"/>
      <c r="P31822" s="11"/>
    </row>
    <row r="31823" spans="8:16" x14ac:dyDescent="0.25">
      <c r="H31823" s="12"/>
      <c r="I31823" s="12"/>
      <c r="J31823" s="12"/>
      <c r="K31823" s="12"/>
      <c r="L31823" s="12"/>
      <c r="M31823" s="11"/>
      <c r="N31823" s="11"/>
      <c r="O31823" s="11"/>
      <c r="P31823" s="11"/>
    </row>
    <row r="31824" spans="8:16" x14ac:dyDescent="0.25">
      <c r="H31824" s="12"/>
      <c r="I31824" s="12"/>
      <c r="J31824" s="12"/>
      <c r="K31824" s="12"/>
      <c r="L31824" s="12"/>
      <c r="M31824" s="11"/>
      <c r="N31824" s="11"/>
      <c r="O31824" s="11"/>
      <c r="P31824" s="11"/>
    </row>
    <row r="31825" spans="8:16" x14ac:dyDescent="0.25">
      <c r="H31825" s="12"/>
      <c r="I31825" s="12"/>
      <c r="J31825" s="12"/>
      <c r="K31825" s="12"/>
      <c r="L31825" s="12"/>
      <c r="M31825" s="11"/>
      <c r="N31825" s="11"/>
      <c r="O31825" s="11"/>
      <c r="P31825" s="11"/>
    </row>
    <row r="31826" spans="8:16" x14ac:dyDescent="0.25">
      <c r="H31826" s="12"/>
      <c r="I31826" s="12"/>
      <c r="J31826" s="12"/>
      <c r="K31826" s="12"/>
      <c r="L31826" s="12"/>
      <c r="M31826" s="11"/>
      <c r="N31826" s="11"/>
      <c r="O31826" s="11"/>
      <c r="P31826" s="11"/>
    </row>
    <row r="31827" spans="8:16" x14ac:dyDescent="0.25">
      <c r="H31827" s="12"/>
      <c r="I31827" s="12"/>
      <c r="J31827" s="12"/>
      <c r="K31827" s="12"/>
      <c r="L31827" s="12"/>
      <c r="M31827" s="11"/>
      <c r="N31827" s="11"/>
      <c r="O31827" s="11"/>
      <c r="P31827" s="11"/>
    </row>
    <row r="31828" spans="8:16" x14ac:dyDescent="0.25">
      <c r="H31828" s="12"/>
      <c r="I31828" s="12"/>
      <c r="J31828" s="12"/>
      <c r="K31828" s="12"/>
      <c r="L31828" s="12"/>
      <c r="M31828" s="11"/>
      <c r="N31828" s="11"/>
      <c r="O31828" s="11"/>
      <c r="P31828" s="11"/>
    </row>
    <row r="31829" spans="8:16" x14ac:dyDescent="0.25">
      <c r="H31829" s="12"/>
      <c r="I31829" s="12"/>
      <c r="J31829" s="12"/>
      <c r="K31829" s="12"/>
      <c r="L31829" s="12"/>
      <c r="M31829" s="11"/>
      <c r="N31829" s="11"/>
      <c r="O31829" s="11"/>
      <c r="P31829" s="11"/>
    </row>
    <row r="31830" spans="8:16" x14ac:dyDescent="0.25">
      <c r="H31830" s="12"/>
      <c r="I31830" s="12"/>
      <c r="J31830" s="12"/>
      <c r="K31830" s="12"/>
      <c r="L31830" s="12"/>
      <c r="M31830" s="11"/>
      <c r="N31830" s="11"/>
      <c r="O31830" s="11"/>
      <c r="P31830" s="11"/>
    </row>
    <row r="31831" spans="8:16" x14ac:dyDescent="0.25">
      <c r="H31831" s="12"/>
      <c r="I31831" s="12"/>
      <c r="J31831" s="12"/>
      <c r="K31831" s="12"/>
      <c r="L31831" s="12"/>
      <c r="M31831" s="11"/>
      <c r="N31831" s="11"/>
      <c r="O31831" s="11"/>
      <c r="P31831" s="11"/>
    </row>
    <row r="31832" spans="8:16" x14ac:dyDescent="0.25">
      <c r="H31832" s="12"/>
      <c r="I31832" s="12"/>
      <c r="J31832" s="12"/>
      <c r="K31832" s="12"/>
      <c r="L31832" s="12"/>
      <c r="M31832" s="11"/>
      <c r="N31832" s="11"/>
      <c r="O31832" s="11"/>
      <c r="P31832" s="11"/>
    </row>
    <row r="31833" spans="8:16" x14ac:dyDescent="0.25">
      <c r="H31833" s="12"/>
      <c r="I31833" s="12"/>
      <c r="J31833" s="12"/>
      <c r="K31833" s="12"/>
      <c r="L31833" s="12"/>
      <c r="M31833" s="11"/>
      <c r="N31833" s="11"/>
      <c r="O31833" s="11"/>
      <c r="P31833" s="11"/>
    </row>
    <row r="31834" spans="8:16" x14ac:dyDescent="0.25">
      <c r="H31834" s="12"/>
      <c r="I31834" s="12"/>
      <c r="J31834" s="12"/>
      <c r="K31834" s="12"/>
      <c r="L31834" s="12"/>
      <c r="M31834" s="11"/>
      <c r="N31834" s="11"/>
      <c r="O31834" s="11"/>
      <c r="P31834" s="11"/>
    </row>
    <row r="31835" spans="8:16" x14ac:dyDescent="0.25">
      <c r="H31835" s="12"/>
      <c r="I31835" s="12"/>
      <c r="J31835" s="12"/>
      <c r="K31835" s="12"/>
      <c r="L31835" s="12"/>
      <c r="M31835" s="11"/>
      <c r="N31835" s="11"/>
      <c r="O31835" s="11"/>
      <c r="P31835" s="11"/>
    </row>
    <row r="31836" spans="8:16" x14ac:dyDescent="0.25">
      <c r="H31836" s="12"/>
      <c r="I31836" s="12"/>
      <c r="J31836" s="12"/>
      <c r="K31836" s="12"/>
      <c r="L31836" s="12"/>
      <c r="M31836" s="11"/>
      <c r="N31836" s="11"/>
      <c r="O31836" s="11"/>
      <c r="P31836" s="11"/>
    </row>
    <row r="31837" spans="8:16" x14ac:dyDescent="0.25">
      <c r="H31837" s="12"/>
      <c r="I31837" s="12"/>
      <c r="J31837" s="12"/>
      <c r="K31837" s="12"/>
      <c r="L31837" s="12"/>
      <c r="M31837" s="11"/>
      <c r="N31837" s="11"/>
      <c r="O31837" s="11"/>
      <c r="P31837" s="11"/>
    </row>
    <row r="31838" spans="8:16" x14ac:dyDescent="0.25">
      <c r="H31838" s="12"/>
      <c r="I31838" s="12"/>
      <c r="J31838" s="12"/>
      <c r="K31838" s="12"/>
      <c r="L31838" s="12"/>
      <c r="M31838" s="11"/>
      <c r="N31838" s="11"/>
      <c r="O31838" s="11"/>
      <c r="P31838" s="11"/>
    </row>
    <row r="31839" spans="8:16" x14ac:dyDescent="0.25">
      <c r="H31839" s="12"/>
      <c r="I31839" s="12"/>
      <c r="J31839" s="12"/>
      <c r="K31839" s="12"/>
      <c r="L31839" s="12"/>
      <c r="M31839" s="11"/>
      <c r="N31839" s="11"/>
      <c r="O31839" s="11"/>
      <c r="P31839" s="11"/>
    </row>
    <row r="31840" spans="8:16" x14ac:dyDescent="0.25">
      <c r="H31840" s="12"/>
      <c r="I31840" s="12"/>
      <c r="J31840" s="12"/>
      <c r="K31840" s="12"/>
      <c r="L31840" s="12"/>
      <c r="M31840" s="11"/>
      <c r="N31840" s="11"/>
      <c r="O31840" s="11"/>
      <c r="P31840" s="11"/>
    </row>
    <row r="31841" spans="8:16" x14ac:dyDescent="0.25">
      <c r="H31841" s="12"/>
      <c r="I31841" s="12"/>
      <c r="J31841" s="12"/>
      <c r="K31841" s="12"/>
      <c r="L31841" s="12"/>
      <c r="M31841" s="11"/>
      <c r="N31841" s="11"/>
      <c r="O31841" s="11"/>
      <c r="P31841" s="11"/>
    </row>
    <row r="31842" spans="8:16" x14ac:dyDescent="0.25">
      <c r="H31842" s="12"/>
      <c r="I31842" s="12"/>
      <c r="J31842" s="12"/>
      <c r="K31842" s="12"/>
      <c r="L31842" s="12"/>
      <c r="M31842" s="11"/>
      <c r="N31842" s="11"/>
      <c r="O31842" s="11"/>
      <c r="P31842" s="11"/>
    </row>
    <row r="31843" spans="8:16" x14ac:dyDescent="0.25">
      <c r="H31843" s="12"/>
      <c r="I31843" s="12"/>
      <c r="J31843" s="12"/>
      <c r="K31843" s="12"/>
      <c r="L31843" s="12"/>
      <c r="M31843" s="11"/>
      <c r="N31843" s="11"/>
      <c r="O31843" s="11"/>
      <c r="P31843" s="11"/>
    </row>
    <row r="31844" spans="8:16" x14ac:dyDescent="0.25">
      <c r="H31844" s="12"/>
      <c r="I31844" s="12"/>
      <c r="J31844" s="12"/>
      <c r="K31844" s="12"/>
      <c r="L31844" s="12"/>
      <c r="M31844" s="11"/>
      <c r="N31844" s="11"/>
      <c r="O31844" s="11"/>
      <c r="P31844" s="11"/>
    </row>
    <row r="31845" spans="8:16" x14ac:dyDescent="0.25">
      <c r="H31845" s="12"/>
      <c r="I31845" s="12"/>
      <c r="J31845" s="12"/>
      <c r="K31845" s="12"/>
      <c r="L31845" s="12"/>
      <c r="M31845" s="11"/>
      <c r="N31845" s="11"/>
      <c r="O31845" s="11"/>
      <c r="P31845" s="11"/>
    </row>
    <row r="31846" spans="8:16" x14ac:dyDescent="0.25">
      <c r="H31846" s="12"/>
      <c r="I31846" s="12"/>
      <c r="J31846" s="12"/>
      <c r="K31846" s="12"/>
      <c r="L31846" s="12"/>
      <c r="M31846" s="11"/>
      <c r="N31846" s="11"/>
      <c r="O31846" s="11"/>
      <c r="P31846" s="11"/>
    </row>
    <row r="31847" spans="8:16" x14ac:dyDescent="0.25">
      <c r="H31847" s="12"/>
      <c r="I31847" s="12"/>
      <c r="J31847" s="12"/>
      <c r="K31847" s="12"/>
      <c r="L31847" s="12"/>
      <c r="M31847" s="11"/>
      <c r="N31847" s="11"/>
      <c r="O31847" s="11"/>
      <c r="P31847" s="11"/>
    </row>
    <row r="31848" spans="8:16" x14ac:dyDescent="0.25">
      <c r="H31848" s="12"/>
      <c r="I31848" s="12"/>
      <c r="J31848" s="12"/>
      <c r="K31848" s="12"/>
      <c r="L31848" s="12"/>
      <c r="M31848" s="11"/>
      <c r="N31848" s="11"/>
      <c r="O31848" s="11"/>
      <c r="P31848" s="11"/>
    </row>
    <row r="31849" spans="8:16" x14ac:dyDescent="0.25">
      <c r="H31849" s="12"/>
      <c r="I31849" s="12"/>
      <c r="J31849" s="12"/>
      <c r="K31849" s="12"/>
      <c r="L31849" s="12"/>
      <c r="M31849" s="11"/>
      <c r="N31849" s="11"/>
      <c r="O31849" s="11"/>
      <c r="P31849" s="11"/>
    </row>
    <row r="31850" spans="8:16" x14ac:dyDescent="0.25">
      <c r="H31850" s="12"/>
      <c r="I31850" s="12"/>
      <c r="J31850" s="12"/>
      <c r="K31850" s="12"/>
      <c r="L31850" s="12"/>
      <c r="M31850" s="11"/>
      <c r="N31850" s="11"/>
      <c r="O31850" s="11"/>
      <c r="P31850" s="11"/>
    </row>
    <row r="31851" spans="8:16" x14ac:dyDescent="0.25">
      <c r="H31851" s="12"/>
      <c r="I31851" s="12"/>
      <c r="J31851" s="12"/>
      <c r="K31851" s="12"/>
      <c r="L31851" s="12"/>
      <c r="M31851" s="11"/>
      <c r="N31851" s="11"/>
      <c r="O31851" s="11"/>
      <c r="P31851" s="11"/>
    </row>
    <row r="31852" spans="8:16" x14ac:dyDescent="0.25">
      <c r="H31852" s="12"/>
      <c r="I31852" s="12"/>
      <c r="J31852" s="12"/>
      <c r="K31852" s="12"/>
      <c r="L31852" s="12"/>
      <c r="M31852" s="11"/>
      <c r="N31852" s="11"/>
      <c r="O31852" s="11"/>
      <c r="P31852" s="11"/>
    </row>
    <row r="31853" spans="8:16" x14ac:dyDescent="0.25">
      <c r="H31853" s="12"/>
      <c r="I31853" s="12"/>
      <c r="J31853" s="12"/>
      <c r="K31853" s="12"/>
      <c r="L31853" s="12"/>
      <c r="M31853" s="11"/>
      <c r="N31853" s="11"/>
      <c r="O31853" s="11"/>
      <c r="P31853" s="11"/>
    </row>
    <row r="31854" spans="8:16" x14ac:dyDescent="0.25">
      <c r="H31854" s="12"/>
      <c r="I31854" s="12"/>
      <c r="J31854" s="12"/>
      <c r="K31854" s="12"/>
      <c r="L31854" s="12"/>
      <c r="M31854" s="11"/>
      <c r="N31854" s="11"/>
      <c r="O31854" s="11"/>
      <c r="P31854" s="11"/>
    </row>
    <row r="31855" spans="8:16" x14ac:dyDescent="0.25">
      <c r="H31855" s="12"/>
      <c r="I31855" s="12"/>
      <c r="J31855" s="12"/>
      <c r="K31855" s="12"/>
      <c r="L31855" s="12"/>
      <c r="M31855" s="11"/>
      <c r="N31855" s="11"/>
      <c r="O31855" s="11"/>
      <c r="P31855" s="11"/>
    </row>
    <row r="31856" spans="8:16" x14ac:dyDescent="0.25">
      <c r="H31856" s="12"/>
      <c r="I31856" s="12"/>
      <c r="J31856" s="12"/>
      <c r="K31856" s="12"/>
      <c r="L31856" s="12"/>
      <c r="M31856" s="11"/>
      <c r="N31856" s="11"/>
      <c r="O31856" s="11"/>
      <c r="P31856" s="11"/>
    </row>
    <row r="31857" spans="8:16" x14ac:dyDescent="0.25">
      <c r="H31857" s="12"/>
      <c r="I31857" s="12"/>
      <c r="J31857" s="12"/>
      <c r="K31857" s="12"/>
      <c r="L31857" s="12"/>
      <c r="M31857" s="11"/>
      <c r="N31857" s="11"/>
      <c r="O31857" s="11"/>
      <c r="P31857" s="11"/>
    </row>
    <row r="31858" spans="8:16" x14ac:dyDescent="0.25">
      <c r="H31858" s="12"/>
      <c r="I31858" s="12"/>
      <c r="J31858" s="12"/>
      <c r="K31858" s="12"/>
      <c r="L31858" s="12"/>
      <c r="M31858" s="11"/>
      <c r="N31858" s="11"/>
      <c r="O31858" s="11"/>
      <c r="P31858" s="11"/>
    </row>
    <row r="31859" spans="8:16" x14ac:dyDescent="0.25">
      <c r="H31859" s="12"/>
      <c r="I31859" s="12"/>
      <c r="J31859" s="12"/>
      <c r="K31859" s="12"/>
      <c r="L31859" s="12"/>
      <c r="M31859" s="11"/>
      <c r="N31859" s="11"/>
      <c r="O31859" s="11"/>
      <c r="P31859" s="11"/>
    </row>
    <row r="31860" spans="8:16" x14ac:dyDescent="0.25">
      <c r="H31860" s="12"/>
      <c r="I31860" s="12"/>
      <c r="J31860" s="12"/>
      <c r="K31860" s="12"/>
      <c r="L31860" s="12"/>
      <c r="M31860" s="11"/>
      <c r="N31860" s="11"/>
      <c r="O31860" s="11"/>
      <c r="P31860" s="11"/>
    </row>
    <row r="31861" spans="8:16" x14ac:dyDescent="0.25">
      <c r="H31861" s="12"/>
      <c r="I31861" s="12"/>
      <c r="J31861" s="12"/>
      <c r="K31861" s="12"/>
      <c r="L31861" s="12"/>
      <c r="M31861" s="11"/>
      <c r="N31861" s="11"/>
      <c r="O31861" s="11"/>
      <c r="P31861" s="11"/>
    </row>
    <row r="31862" spans="8:16" x14ac:dyDescent="0.25">
      <c r="H31862" s="12"/>
      <c r="I31862" s="12"/>
      <c r="J31862" s="12"/>
      <c r="K31862" s="12"/>
      <c r="L31862" s="12"/>
      <c r="M31862" s="11"/>
      <c r="N31862" s="11"/>
      <c r="O31862" s="11"/>
      <c r="P31862" s="11"/>
    </row>
    <row r="31863" spans="8:16" x14ac:dyDescent="0.25">
      <c r="H31863" s="12"/>
      <c r="I31863" s="12"/>
      <c r="J31863" s="12"/>
      <c r="K31863" s="12"/>
      <c r="L31863" s="12"/>
      <c r="M31863" s="11"/>
      <c r="N31863" s="11"/>
      <c r="O31863" s="11"/>
      <c r="P31863" s="11"/>
    </row>
    <row r="31864" spans="8:16" x14ac:dyDescent="0.25">
      <c r="H31864" s="12"/>
      <c r="I31864" s="12"/>
      <c r="J31864" s="12"/>
      <c r="K31864" s="12"/>
      <c r="L31864" s="12"/>
      <c r="M31864" s="11"/>
      <c r="N31864" s="11"/>
      <c r="O31864" s="11"/>
      <c r="P31864" s="11"/>
    </row>
    <row r="31865" spans="8:16" x14ac:dyDescent="0.25">
      <c r="H31865" s="12"/>
      <c r="I31865" s="12"/>
      <c r="J31865" s="12"/>
      <c r="K31865" s="12"/>
      <c r="L31865" s="12"/>
      <c r="M31865" s="11"/>
      <c r="N31865" s="11"/>
      <c r="O31865" s="11"/>
      <c r="P31865" s="11"/>
    </row>
    <row r="31866" spans="8:16" x14ac:dyDescent="0.25">
      <c r="H31866" s="12"/>
      <c r="I31866" s="12"/>
      <c r="J31866" s="12"/>
      <c r="K31866" s="12"/>
      <c r="L31866" s="12"/>
      <c r="M31866" s="11"/>
      <c r="N31866" s="11"/>
      <c r="O31866" s="11"/>
      <c r="P31866" s="11"/>
    </row>
    <row r="31867" spans="8:16" x14ac:dyDescent="0.25">
      <c r="H31867" s="12"/>
      <c r="I31867" s="12"/>
      <c r="J31867" s="12"/>
      <c r="K31867" s="12"/>
      <c r="L31867" s="12"/>
      <c r="M31867" s="11"/>
      <c r="N31867" s="11"/>
      <c r="O31867" s="11"/>
      <c r="P31867" s="11"/>
    </row>
    <row r="31868" spans="8:16" x14ac:dyDescent="0.25">
      <c r="H31868" s="12"/>
      <c r="I31868" s="12"/>
      <c r="J31868" s="12"/>
      <c r="K31868" s="12"/>
      <c r="L31868" s="12"/>
      <c r="M31868" s="11"/>
      <c r="N31868" s="11"/>
      <c r="O31868" s="11"/>
      <c r="P31868" s="11"/>
    </row>
    <row r="31869" spans="8:16" x14ac:dyDescent="0.25">
      <c r="H31869" s="12"/>
      <c r="I31869" s="12"/>
      <c r="J31869" s="12"/>
      <c r="K31869" s="12"/>
      <c r="L31869" s="12"/>
      <c r="M31869" s="11"/>
      <c r="N31869" s="11"/>
      <c r="O31869" s="11"/>
      <c r="P31869" s="11"/>
    </row>
    <row r="31870" spans="8:16" x14ac:dyDescent="0.25">
      <c r="H31870" s="12"/>
      <c r="I31870" s="12"/>
      <c r="J31870" s="12"/>
      <c r="K31870" s="12"/>
      <c r="L31870" s="12"/>
      <c r="M31870" s="11"/>
      <c r="N31870" s="11"/>
      <c r="O31870" s="11"/>
      <c r="P31870" s="11"/>
    </row>
    <row r="31871" spans="8:16" x14ac:dyDescent="0.25">
      <c r="H31871" s="12"/>
      <c r="I31871" s="12"/>
      <c r="J31871" s="12"/>
      <c r="K31871" s="12"/>
      <c r="L31871" s="12"/>
      <c r="M31871" s="11"/>
      <c r="N31871" s="11"/>
      <c r="O31871" s="11"/>
      <c r="P31871" s="11"/>
    </row>
    <row r="31872" spans="8:16" x14ac:dyDescent="0.25">
      <c r="H31872" s="12"/>
      <c r="I31872" s="12"/>
      <c r="J31872" s="12"/>
      <c r="K31872" s="12"/>
      <c r="L31872" s="12"/>
      <c r="M31872" s="11"/>
      <c r="N31872" s="11"/>
      <c r="O31872" s="11"/>
      <c r="P31872" s="11"/>
    </row>
    <row r="31873" spans="8:16" x14ac:dyDescent="0.25">
      <c r="H31873" s="12"/>
      <c r="I31873" s="12"/>
      <c r="J31873" s="12"/>
      <c r="K31873" s="12"/>
      <c r="L31873" s="12"/>
      <c r="M31873" s="11"/>
      <c r="N31873" s="11"/>
      <c r="O31873" s="11"/>
      <c r="P31873" s="11"/>
    </row>
    <row r="31874" spans="8:16" x14ac:dyDescent="0.25">
      <c r="H31874" s="12"/>
      <c r="I31874" s="12"/>
      <c r="J31874" s="12"/>
      <c r="K31874" s="12"/>
      <c r="L31874" s="12"/>
      <c r="M31874" s="11"/>
      <c r="N31874" s="11"/>
      <c r="O31874" s="11"/>
      <c r="P31874" s="11"/>
    </row>
    <row r="31875" spans="8:16" x14ac:dyDescent="0.25">
      <c r="H31875" s="12"/>
      <c r="I31875" s="12"/>
      <c r="J31875" s="12"/>
      <c r="K31875" s="12"/>
      <c r="L31875" s="12"/>
      <c r="M31875" s="11"/>
      <c r="N31875" s="11"/>
      <c r="O31875" s="11"/>
      <c r="P31875" s="11"/>
    </row>
    <row r="31876" spans="8:16" x14ac:dyDescent="0.25">
      <c r="H31876" s="12"/>
      <c r="I31876" s="12"/>
      <c r="J31876" s="12"/>
      <c r="K31876" s="12"/>
      <c r="L31876" s="12"/>
      <c r="M31876" s="11"/>
      <c r="N31876" s="11"/>
      <c r="O31876" s="11"/>
      <c r="P31876" s="11"/>
    </row>
    <row r="31877" spans="8:16" x14ac:dyDescent="0.25">
      <c r="H31877" s="12"/>
      <c r="I31877" s="12"/>
      <c r="J31877" s="12"/>
      <c r="K31877" s="12"/>
      <c r="L31877" s="12"/>
      <c r="M31877" s="11"/>
      <c r="N31877" s="11"/>
      <c r="O31877" s="11"/>
      <c r="P31877" s="11"/>
    </row>
    <row r="31878" spans="8:16" x14ac:dyDescent="0.25">
      <c r="H31878" s="12"/>
      <c r="I31878" s="12"/>
      <c r="J31878" s="12"/>
      <c r="K31878" s="12"/>
      <c r="L31878" s="12"/>
      <c r="M31878" s="11"/>
      <c r="N31878" s="11"/>
      <c r="O31878" s="11"/>
      <c r="P31878" s="11"/>
    </row>
    <row r="31879" spans="8:16" x14ac:dyDescent="0.25">
      <c r="H31879" s="12"/>
      <c r="I31879" s="12"/>
      <c r="J31879" s="12"/>
      <c r="K31879" s="12"/>
      <c r="L31879" s="12"/>
      <c r="M31879" s="11"/>
      <c r="N31879" s="11"/>
      <c r="O31879" s="11"/>
      <c r="P31879" s="11"/>
    </row>
    <row r="31880" spans="8:16" x14ac:dyDescent="0.25">
      <c r="H31880" s="12"/>
      <c r="I31880" s="12"/>
      <c r="J31880" s="12"/>
      <c r="K31880" s="12"/>
      <c r="L31880" s="12"/>
      <c r="M31880" s="11"/>
      <c r="N31880" s="11"/>
      <c r="O31880" s="11"/>
      <c r="P31880" s="11"/>
    </row>
    <row r="31881" spans="8:16" x14ac:dyDescent="0.25">
      <c r="H31881" s="12"/>
      <c r="I31881" s="12"/>
      <c r="J31881" s="12"/>
      <c r="K31881" s="12"/>
      <c r="L31881" s="12"/>
      <c r="M31881" s="11"/>
      <c r="N31881" s="11"/>
      <c r="O31881" s="11"/>
      <c r="P31881" s="11"/>
    </row>
    <row r="31882" spans="8:16" x14ac:dyDescent="0.25">
      <c r="H31882" s="12"/>
      <c r="I31882" s="12"/>
      <c r="J31882" s="12"/>
      <c r="K31882" s="12"/>
      <c r="L31882" s="12"/>
      <c r="M31882" s="11"/>
      <c r="N31882" s="11"/>
      <c r="O31882" s="11"/>
      <c r="P31882" s="11"/>
    </row>
    <row r="31883" spans="8:16" x14ac:dyDescent="0.25">
      <c r="H31883" s="12"/>
      <c r="I31883" s="12"/>
      <c r="J31883" s="12"/>
      <c r="K31883" s="12"/>
      <c r="L31883" s="12"/>
      <c r="M31883" s="11"/>
      <c r="N31883" s="11"/>
      <c r="O31883" s="11"/>
      <c r="P31883" s="11"/>
    </row>
    <row r="31884" spans="8:16" x14ac:dyDescent="0.25">
      <c r="H31884" s="12"/>
      <c r="I31884" s="12"/>
      <c r="J31884" s="12"/>
      <c r="K31884" s="12"/>
      <c r="L31884" s="12"/>
      <c r="M31884" s="11"/>
      <c r="N31884" s="11"/>
      <c r="O31884" s="11"/>
      <c r="P31884" s="11"/>
    </row>
    <row r="31885" spans="8:16" x14ac:dyDescent="0.25">
      <c r="H31885" s="12"/>
      <c r="I31885" s="12"/>
      <c r="J31885" s="12"/>
      <c r="K31885" s="12"/>
      <c r="L31885" s="12"/>
      <c r="M31885" s="11"/>
      <c r="N31885" s="11"/>
      <c r="O31885" s="11"/>
      <c r="P31885" s="11"/>
    </row>
    <row r="31886" spans="8:16" x14ac:dyDescent="0.25">
      <c r="H31886" s="12"/>
      <c r="I31886" s="12"/>
      <c r="J31886" s="12"/>
      <c r="K31886" s="12"/>
      <c r="L31886" s="12"/>
      <c r="M31886" s="11"/>
      <c r="N31886" s="11"/>
      <c r="O31886" s="11"/>
      <c r="P31886" s="11"/>
    </row>
    <row r="31887" spans="8:16" x14ac:dyDescent="0.25">
      <c r="H31887" s="12"/>
      <c r="I31887" s="12"/>
      <c r="J31887" s="12"/>
      <c r="K31887" s="12"/>
      <c r="L31887" s="12"/>
      <c r="M31887" s="11"/>
      <c r="N31887" s="11"/>
      <c r="O31887" s="11"/>
      <c r="P31887" s="11"/>
    </row>
    <row r="31888" spans="8:16" x14ac:dyDescent="0.25">
      <c r="H31888" s="12"/>
      <c r="I31888" s="12"/>
      <c r="J31888" s="12"/>
      <c r="K31888" s="12"/>
      <c r="L31888" s="12"/>
      <c r="M31888" s="11"/>
      <c r="N31888" s="11"/>
      <c r="O31888" s="11"/>
      <c r="P31888" s="11"/>
    </row>
    <row r="31889" spans="8:16" x14ac:dyDescent="0.25">
      <c r="H31889" s="12"/>
      <c r="I31889" s="12"/>
      <c r="J31889" s="12"/>
      <c r="K31889" s="12"/>
      <c r="L31889" s="12"/>
      <c r="M31889" s="11"/>
      <c r="N31889" s="11"/>
      <c r="O31889" s="11"/>
      <c r="P31889" s="11"/>
    </row>
    <row r="31890" spans="8:16" x14ac:dyDescent="0.25">
      <c r="H31890" s="12"/>
      <c r="I31890" s="12"/>
      <c r="J31890" s="12"/>
      <c r="K31890" s="12"/>
      <c r="L31890" s="12"/>
      <c r="M31890" s="11"/>
      <c r="N31890" s="11"/>
      <c r="O31890" s="11"/>
      <c r="P31890" s="11"/>
    </row>
    <row r="31891" spans="8:16" x14ac:dyDescent="0.25">
      <c r="H31891" s="12"/>
      <c r="I31891" s="12"/>
      <c r="J31891" s="12"/>
      <c r="K31891" s="12"/>
      <c r="L31891" s="12"/>
      <c r="M31891" s="11"/>
      <c r="N31891" s="11"/>
      <c r="O31891" s="11"/>
      <c r="P31891" s="11"/>
    </row>
    <row r="31892" spans="8:16" x14ac:dyDescent="0.25">
      <c r="H31892" s="12"/>
      <c r="I31892" s="12"/>
      <c r="J31892" s="12"/>
      <c r="K31892" s="12"/>
      <c r="L31892" s="12"/>
      <c r="M31892" s="11"/>
      <c r="N31892" s="11"/>
      <c r="O31892" s="11"/>
      <c r="P31892" s="11"/>
    </row>
    <row r="31893" spans="8:16" x14ac:dyDescent="0.25">
      <c r="H31893" s="12"/>
      <c r="I31893" s="12"/>
      <c r="J31893" s="12"/>
      <c r="K31893" s="12"/>
      <c r="L31893" s="12"/>
      <c r="M31893" s="11"/>
      <c r="N31893" s="11"/>
      <c r="O31893" s="11"/>
      <c r="P31893" s="11"/>
    </row>
    <row r="31894" spans="8:16" x14ac:dyDescent="0.25">
      <c r="H31894" s="12"/>
      <c r="I31894" s="12"/>
      <c r="J31894" s="12"/>
      <c r="K31894" s="12"/>
      <c r="L31894" s="12"/>
      <c r="M31894" s="11"/>
      <c r="N31894" s="11"/>
      <c r="O31894" s="11"/>
      <c r="P31894" s="11"/>
    </row>
    <row r="31895" spans="8:16" x14ac:dyDescent="0.25">
      <c r="H31895" s="12"/>
      <c r="I31895" s="12"/>
      <c r="J31895" s="12"/>
      <c r="K31895" s="12"/>
      <c r="L31895" s="12"/>
      <c r="M31895" s="11"/>
      <c r="N31895" s="11"/>
      <c r="O31895" s="11"/>
      <c r="P31895" s="11"/>
    </row>
    <row r="31896" spans="8:16" x14ac:dyDescent="0.25">
      <c r="H31896" s="12"/>
      <c r="I31896" s="12"/>
      <c r="J31896" s="12"/>
      <c r="K31896" s="12"/>
      <c r="L31896" s="12"/>
      <c r="M31896" s="11"/>
      <c r="N31896" s="11"/>
      <c r="O31896" s="11"/>
      <c r="P31896" s="11"/>
    </row>
    <row r="31897" spans="8:16" x14ac:dyDescent="0.25">
      <c r="H31897" s="12"/>
      <c r="I31897" s="12"/>
      <c r="J31897" s="12"/>
      <c r="K31897" s="12"/>
      <c r="L31897" s="12"/>
      <c r="M31897" s="11"/>
      <c r="N31897" s="11"/>
      <c r="O31897" s="11"/>
      <c r="P31897" s="11"/>
    </row>
    <row r="31898" spans="8:16" x14ac:dyDescent="0.25">
      <c r="H31898" s="12"/>
      <c r="I31898" s="12"/>
      <c r="J31898" s="12"/>
      <c r="K31898" s="12"/>
      <c r="L31898" s="12"/>
      <c r="M31898" s="11"/>
      <c r="N31898" s="11"/>
      <c r="O31898" s="11"/>
      <c r="P31898" s="11"/>
    </row>
    <row r="31899" spans="8:16" x14ac:dyDescent="0.25">
      <c r="H31899" s="12"/>
      <c r="I31899" s="12"/>
      <c r="J31899" s="12"/>
      <c r="K31899" s="12"/>
      <c r="L31899" s="12"/>
      <c r="M31899" s="11"/>
      <c r="N31899" s="11"/>
      <c r="O31899" s="11"/>
      <c r="P31899" s="11"/>
    </row>
    <row r="31900" spans="8:16" x14ac:dyDescent="0.25">
      <c r="H31900" s="12"/>
      <c r="I31900" s="12"/>
      <c r="J31900" s="12"/>
      <c r="K31900" s="12"/>
      <c r="L31900" s="12"/>
      <c r="M31900" s="11"/>
      <c r="N31900" s="11"/>
      <c r="O31900" s="11"/>
      <c r="P31900" s="11"/>
    </row>
    <row r="31901" spans="8:16" x14ac:dyDescent="0.25">
      <c r="H31901" s="12"/>
      <c r="I31901" s="12"/>
      <c r="J31901" s="12"/>
      <c r="K31901" s="12"/>
      <c r="L31901" s="12"/>
      <c r="M31901" s="11"/>
      <c r="N31901" s="11"/>
      <c r="O31901" s="11"/>
      <c r="P31901" s="11"/>
    </row>
    <row r="31902" spans="8:16" x14ac:dyDescent="0.25">
      <c r="H31902" s="12"/>
      <c r="I31902" s="12"/>
      <c r="J31902" s="12"/>
      <c r="K31902" s="12"/>
      <c r="L31902" s="12"/>
      <c r="M31902" s="11"/>
      <c r="N31902" s="11"/>
      <c r="O31902" s="11"/>
      <c r="P31902" s="11"/>
    </row>
    <row r="31903" spans="8:16" x14ac:dyDescent="0.25">
      <c r="H31903" s="12"/>
      <c r="I31903" s="12"/>
      <c r="J31903" s="12"/>
      <c r="K31903" s="12"/>
      <c r="L31903" s="12"/>
      <c r="M31903" s="11"/>
      <c r="N31903" s="11"/>
      <c r="O31903" s="11"/>
      <c r="P31903" s="11"/>
    </row>
    <row r="31904" spans="8:16" x14ac:dyDescent="0.25">
      <c r="H31904" s="12"/>
      <c r="I31904" s="12"/>
      <c r="J31904" s="12"/>
      <c r="K31904" s="12"/>
      <c r="L31904" s="12"/>
      <c r="M31904" s="11"/>
      <c r="N31904" s="11"/>
      <c r="O31904" s="11"/>
      <c r="P31904" s="11"/>
    </row>
    <row r="31905" spans="8:16" x14ac:dyDescent="0.25">
      <c r="H31905" s="12"/>
      <c r="I31905" s="12"/>
      <c r="J31905" s="12"/>
      <c r="K31905" s="12"/>
      <c r="L31905" s="12"/>
      <c r="M31905" s="11"/>
      <c r="N31905" s="11"/>
      <c r="O31905" s="11"/>
      <c r="P31905" s="11"/>
    </row>
    <row r="31906" spans="8:16" x14ac:dyDescent="0.25">
      <c r="H31906" s="12"/>
      <c r="I31906" s="12"/>
      <c r="J31906" s="12"/>
      <c r="K31906" s="12"/>
      <c r="L31906" s="12"/>
      <c r="M31906" s="11"/>
      <c r="N31906" s="11"/>
      <c r="O31906" s="11"/>
      <c r="P31906" s="11"/>
    </row>
    <row r="31907" spans="8:16" x14ac:dyDescent="0.25">
      <c r="H31907" s="12"/>
      <c r="I31907" s="12"/>
      <c r="J31907" s="12"/>
      <c r="K31907" s="12"/>
      <c r="L31907" s="12"/>
      <c r="M31907" s="11"/>
      <c r="N31907" s="11"/>
      <c r="O31907" s="11"/>
      <c r="P31907" s="11"/>
    </row>
    <row r="31908" spans="8:16" x14ac:dyDescent="0.25">
      <c r="H31908" s="12"/>
      <c r="I31908" s="12"/>
      <c r="J31908" s="12"/>
      <c r="K31908" s="12"/>
      <c r="L31908" s="12"/>
      <c r="M31908" s="11"/>
      <c r="N31908" s="11"/>
      <c r="O31908" s="11"/>
      <c r="P31908" s="11"/>
    </row>
    <row r="31909" spans="8:16" x14ac:dyDescent="0.25">
      <c r="H31909" s="12"/>
      <c r="I31909" s="12"/>
      <c r="J31909" s="12"/>
      <c r="K31909" s="12"/>
      <c r="L31909" s="12"/>
      <c r="M31909" s="11"/>
      <c r="N31909" s="11"/>
      <c r="O31909" s="11"/>
      <c r="P31909" s="11"/>
    </row>
    <row r="31910" spans="8:16" x14ac:dyDescent="0.25">
      <c r="H31910" s="12"/>
      <c r="I31910" s="12"/>
      <c r="J31910" s="12"/>
      <c r="K31910" s="12"/>
      <c r="L31910" s="12"/>
      <c r="M31910" s="11"/>
      <c r="N31910" s="11"/>
      <c r="O31910" s="11"/>
      <c r="P31910" s="11"/>
    </row>
    <row r="31911" spans="8:16" x14ac:dyDescent="0.25">
      <c r="H31911" s="12"/>
      <c r="I31911" s="12"/>
      <c r="J31911" s="12"/>
      <c r="K31911" s="12"/>
      <c r="L31911" s="12"/>
      <c r="M31911" s="11"/>
      <c r="N31911" s="11"/>
      <c r="O31911" s="11"/>
      <c r="P31911" s="11"/>
    </row>
    <row r="31912" spans="8:16" x14ac:dyDescent="0.25">
      <c r="H31912" s="12"/>
      <c r="I31912" s="12"/>
      <c r="J31912" s="12"/>
      <c r="K31912" s="12"/>
      <c r="L31912" s="12"/>
      <c r="M31912" s="11"/>
      <c r="N31912" s="11"/>
      <c r="O31912" s="11"/>
      <c r="P31912" s="11"/>
    </row>
    <row r="31913" spans="8:16" x14ac:dyDescent="0.25">
      <c r="H31913" s="12"/>
      <c r="I31913" s="12"/>
      <c r="J31913" s="12"/>
      <c r="K31913" s="12"/>
      <c r="L31913" s="12"/>
      <c r="M31913" s="11"/>
      <c r="N31913" s="11"/>
      <c r="O31913" s="11"/>
      <c r="P31913" s="11"/>
    </row>
    <row r="31914" spans="8:16" x14ac:dyDescent="0.25">
      <c r="H31914" s="12"/>
      <c r="I31914" s="12"/>
      <c r="J31914" s="12"/>
      <c r="K31914" s="12"/>
      <c r="L31914" s="12"/>
      <c r="M31914" s="11"/>
      <c r="N31914" s="11"/>
      <c r="O31914" s="11"/>
      <c r="P31914" s="11"/>
    </row>
    <row r="31915" spans="8:16" x14ac:dyDescent="0.25">
      <c r="H31915" s="12"/>
      <c r="I31915" s="12"/>
      <c r="J31915" s="12"/>
      <c r="K31915" s="12"/>
      <c r="L31915" s="12"/>
      <c r="M31915" s="11"/>
      <c r="N31915" s="11"/>
      <c r="O31915" s="11"/>
      <c r="P31915" s="11"/>
    </row>
    <row r="31916" spans="8:16" x14ac:dyDescent="0.25">
      <c r="H31916" s="12"/>
      <c r="I31916" s="12"/>
      <c r="J31916" s="12"/>
      <c r="K31916" s="12"/>
      <c r="L31916" s="12"/>
      <c r="M31916" s="11"/>
      <c r="N31916" s="11"/>
      <c r="O31916" s="11"/>
      <c r="P31916" s="11"/>
    </row>
    <row r="31917" spans="8:16" x14ac:dyDescent="0.25">
      <c r="H31917" s="12"/>
      <c r="I31917" s="12"/>
      <c r="J31917" s="12"/>
      <c r="K31917" s="12"/>
      <c r="L31917" s="12"/>
      <c r="M31917" s="11"/>
      <c r="N31917" s="11"/>
      <c r="O31917" s="11"/>
      <c r="P31917" s="11"/>
    </row>
    <row r="31918" spans="8:16" x14ac:dyDescent="0.25">
      <c r="H31918" s="12"/>
      <c r="I31918" s="12"/>
      <c r="J31918" s="12"/>
      <c r="K31918" s="12"/>
      <c r="L31918" s="12"/>
      <c r="M31918" s="11"/>
      <c r="N31918" s="11"/>
      <c r="O31918" s="11"/>
      <c r="P31918" s="11"/>
    </row>
    <row r="31919" spans="8:16" x14ac:dyDescent="0.25">
      <c r="H31919" s="12"/>
      <c r="I31919" s="12"/>
      <c r="J31919" s="12"/>
      <c r="K31919" s="12"/>
      <c r="L31919" s="12"/>
      <c r="M31919" s="11"/>
      <c r="N31919" s="11"/>
      <c r="O31919" s="11"/>
      <c r="P31919" s="11"/>
    </row>
    <row r="31920" spans="8:16" x14ac:dyDescent="0.25">
      <c r="H31920" s="12"/>
      <c r="I31920" s="12"/>
      <c r="J31920" s="12"/>
      <c r="K31920" s="12"/>
      <c r="L31920" s="12"/>
      <c r="M31920" s="11"/>
      <c r="N31920" s="11"/>
      <c r="O31920" s="11"/>
      <c r="P31920" s="11"/>
    </row>
    <row r="31921" spans="8:16" x14ac:dyDescent="0.25">
      <c r="H31921" s="12"/>
      <c r="I31921" s="12"/>
      <c r="J31921" s="12"/>
      <c r="K31921" s="12"/>
      <c r="L31921" s="12"/>
      <c r="M31921" s="11"/>
      <c r="N31921" s="11"/>
      <c r="O31921" s="11"/>
      <c r="P31921" s="11"/>
    </row>
    <row r="31922" spans="8:16" x14ac:dyDescent="0.25">
      <c r="H31922" s="12"/>
      <c r="I31922" s="12"/>
      <c r="J31922" s="12"/>
      <c r="K31922" s="12"/>
      <c r="L31922" s="12"/>
      <c r="M31922" s="11"/>
      <c r="N31922" s="11"/>
      <c r="O31922" s="11"/>
      <c r="P31922" s="11"/>
    </row>
    <row r="31923" spans="8:16" x14ac:dyDescent="0.25">
      <c r="H31923" s="12"/>
      <c r="I31923" s="12"/>
      <c r="J31923" s="12"/>
      <c r="K31923" s="12"/>
      <c r="L31923" s="12"/>
      <c r="M31923" s="11"/>
      <c r="N31923" s="11"/>
      <c r="O31923" s="11"/>
      <c r="P31923" s="11"/>
    </row>
    <row r="31924" spans="8:16" x14ac:dyDescent="0.25">
      <c r="H31924" s="12"/>
      <c r="I31924" s="12"/>
      <c r="J31924" s="12"/>
      <c r="K31924" s="12"/>
      <c r="L31924" s="12"/>
      <c r="M31924" s="11"/>
      <c r="N31924" s="11"/>
      <c r="O31924" s="11"/>
      <c r="P31924" s="11"/>
    </row>
    <row r="31925" spans="8:16" x14ac:dyDescent="0.25">
      <c r="H31925" s="12"/>
      <c r="I31925" s="12"/>
      <c r="J31925" s="12"/>
      <c r="K31925" s="12"/>
      <c r="L31925" s="12"/>
      <c r="M31925" s="11"/>
      <c r="N31925" s="11"/>
      <c r="O31925" s="11"/>
      <c r="P31925" s="11"/>
    </row>
    <row r="31926" spans="8:16" x14ac:dyDescent="0.25">
      <c r="H31926" s="12"/>
      <c r="I31926" s="12"/>
      <c r="J31926" s="12"/>
      <c r="K31926" s="12"/>
      <c r="L31926" s="12"/>
      <c r="M31926" s="11"/>
      <c r="N31926" s="11"/>
      <c r="O31926" s="11"/>
      <c r="P31926" s="11"/>
    </row>
    <row r="31927" spans="8:16" x14ac:dyDescent="0.25">
      <c r="H31927" s="12"/>
      <c r="I31927" s="12"/>
      <c r="J31927" s="12"/>
      <c r="K31927" s="12"/>
      <c r="L31927" s="12"/>
      <c r="M31927" s="11"/>
      <c r="N31927" s="11"/>
      <c r="O31927" s="11"/>
      <c r="P31927" s="11"/>
    </row>
    <row r="31928" spans="8:16" x14ac:dyDescent="0.25">
      <c r="H31928" s="12"/>
      <c r="I31928" s="12"/>
      <c r="J31928" s="12"/>
      <c r="K31928" s="12"/>
      <c r="L31928" s="12"/>
      <c r="M31928" s="11"/>
      <c r="N31928" s="11"/>
      <c r="O31928" s="11"/>
      <c r="P31928" s="11"/>
    </row>
    <row r="31929" spans="8:16" x14ac:dyDescent="0.25">
      <c r="H31929" s="12"/>
      <c r="I31929" s="12"/>
      <c r="J31929" s="12"/>
      <c r="K31929" s="12"/>
      <c r="L31929" s="12"/>
      <c r="M31929" s="11"/>
      <c r="N31929" s="11"/>
      <c r="O31929" s="11"/>
      <c r="P31929" s="11"/>
    </row>
    <row r="31930" spans="8:16" x14ac:dyDescent="0.25">
      <c r="H31930" s="12"/>
      <c r="I31930" s="12"/>
      <c r="J31930" s="12"/>
      <c r="K31930" s="12"/>
      <c r="L31930" s="12"/>
      <c r="M31930" s="11"/>
      <c r="N31930" s="11"/>
      <c r="O31930" s="11"/>
      <c r="P31930" s="11"/>
    </row>
    <row r="31931" spans="8:16" x14ac:dyDescent="0.25">
      <c r="H31931" s="12"/>
      <c r="I31931" s="12"/>
      <c r="J31931" s="12"/>
      <c r="K31931" s="12"/>
      <c r="L31931" s="12"/>
      <c r="M31931" s="11"/>
      <c r="N31931" s="11"/>
      <c r="O31931" s="11"/>
      <c r="P31931" s="11"/>
    </row>
    <row r="31932" spans="8:16" x14ac:dyDescent="0.25">
      <c r="H31932" s="12"/>
      <c r="I31932" s="12"/>
      <c r="J31932" s="12"/>
      <c r="K31932" s="12"/>
      <c r="L31932" s="12"/>
      <c r="M31932" s="11"/>
      <c r="N31932" s="11"/>
      <c r="O31932" s="11"/>
      <c r="P31932" s="11"/>
    </row>
    <row r="31933" spans="8:16" x14ac:dyDescent="0.25">
      <c r="H31933" s="12"/>
      <c r="I31933" s="12"/>
      <c r="J31933" s="12"/>
      <c r="K31933" s="12"/>
      <c r="L31933" s="12"/>
      <c r="M31933" s="11"/>
      <c r="N31933" s="11"/>
      <c r="O31933" s="11"/>
      <c r="P31933" s="11"/>
    </row>
    <row r="31934" spans="8:16" x14ac:dyDescent="0.25">
      <c r="H31934" s="12"/>
      <c r="I31934" s="12"/>
      <c r="J31934" s="12"/>
      <c r="K31934" s="12"/>
      <c r="L31934" s="12"/>
      <c r="M31934" s="11"/>
      <c r="N31934" s="11"/>
      <c r="O31934" s="11"/>
      <c r="P31934" s="11"/>
    </row>
    <row r="31935" spans="8:16" x14ac:dyDescent="0.25">
      <c r="H31935" s="12"/>
      <c r="I31935" s="12"/>
      <c r="J31935" s="12"/>
      <c r="K31935" s="12"/>
      <c r="L31935" s="12"/>
      <c r="M31935" s="11"/>
      <c r="N31935" s="11"/>
      <c r="O31935" s="11"/>
      <c r="P31935" s="11"/>
    </row>
    <row r="31936" spans="8:16" x14ac:dyDescent="0.25">
      <c r="H31936" s="12"/>
      <c r="I31936" s="12"/>
      <c r="J31936" s="12"/>
      <c r="K31936" s="12"/>
      <c r="L31936" s="12"/>
      <c r="M31936" s="11"/>
      <c r="N31936" s="11"/>
      <c r="O31936" s="11"/>
      <c r="P31936" s="11"/>
    </row>
    <row r="31937" spans="8:16" x14ac:dyDescent="0.25">
      <c r="H31937" s="12"/>
      <c r="I31937" s="12"/>
      <c r="J31937" s="12"/>
      <c r="K31937" s="12"/>
      <c r="L31937" s="12"/>
      <c r="M31937" s="11"/>
      <c r="N31937" s="11"/>
      <c r="O31937" s="11"/>
      <c r="P31937" s="11"/>
    </row>
    <row r="31938" spans="8:16" x14ac:dyDescent="0.25">
      <c r="H31938" s="12"/>
      <c r="I31938" s="12"/>
      <c r="J31938" s="12"/>
      <c r="K31938" s="12"/>
      <c r="L31938" s="12"/>
      <c r="M31938" s="11"/>
      <c r="N31938" s="11"/>
      <c r="O31938" s="11"/>
      <c r="P31938" s="11"/>
    </row>
    <row r="31939" spans="8:16" x14ac:dyDescent="0.25">
      <c r="H31939" s="12"/>
      <c r="I31939" s="12"/>
      <c r="J31939" s="12"/>
      <c r="K31939" s="12"/>
      <c r="L31939" s="12"/>
      <c r="M31939" s="11"/>
      <c r="N31939" s="11"/>
      <c r="O31939" s="11"/>
      <c r="P31939" s="11"/>
    </row>
    <row r="31940" spans="8:16" x14ac:dyDescent="0.25">
      <c r="H31940" s="12"/>
      <c r="I31940" s="12"/>
      <c r="J31940" s="12"/>
      <c r="K31940" s="12"/>
      <c r="L31940" s="12"/>
      <c r="M31940" s="11"/>
      <c r="N31940" s="11"/>
      <c r="O31940" s="11"/>
      <c r="P31940" s="11"/>
    </row>
    <row r="31941" spans="8:16" x14ac:dyDescent="0.25">
      <c r="H31941" s="12"/>
      <c r="I31941" s="12"/>
      <c r="J31941" s="12"/>
      <c r="K31941" s="12"/>
      <c r="L31941" s="12"/>
      <c r="M31941" s="11"/>
      <c r="N31941" s="11"/>
      <c r="O31941" s="11"/>
      <c r="P31941" s="11"/>
    </row>
    <row r="31942" spans="8:16" x14ac:dyDescent="0.25">
      <c r="H31942" s="12"/>
      <c r="I31942" s="12"/>
      <c r="J31942" s="12"/>
      <c r="K31942" s="12"/>
      <c r="L31942" s="12"/>
      <c r="M31942" s="11"/>
      <c r="N31942" s="11"/>
      <c r="O31942" s="11"/>
      <c r="P31942" s="11"/>
    </row>
    <row r="31943" spans="8:16" x14ac:dyDescent="0.25">
      <c r="H31943" s="12"/>
      <c r="I31943" s="12"/>
      <c r="J31943" s="12"/>
      <c r="K31943" s="12"/>
      <c r="L31943" s="12"/>
      <c r="M31943" s="11"/>
      <c r="N31943" s="11"/>
      <c r="O31943" s="11"/>
      <c r="P31943" s="11"/>
    </row>
    <row r="31944" spans="8:16" x14ac:dyDescent="0.25">
      <c r="H31944" s="12"/>
      <c r="I31944" s="12"/>
      <c r="J31944" s="12"/>
      <c r="K31944" s="12"/>
      <c r="L31944" s="12"/>
      <c r="M31944" s="11"/>
      <c r="N31944" s="11"/>
      <c r="O31944" s="11"/>
      <c r="P31944" s="11"/>
    </row>
    <row r="31945" spans="8:16" x14ac:dyDescent="0.25">
      <c r="H31945" s="12"/>
      <c r="I31945" s="12"/>
      <c r="J31945" s="12"/>
      <c r="K31945" s="12"/>
      <c r="L31945" s="12"/>
      <c r="M31945" s="11"/>
      <c r="N31945" s="11"/>
      <c r="O31945" s="11"/>
      <c r="P31945" s="11"/>
    </row>
    <row r="31946" spans="8:16" x14ac:dyDescent="0.25">
      <c r="H31946" s="12"/>
      <c r="I31946" s="12"/>
      <c r="J31946" s="12"/>
      <c r="K31946" s="12"/>
      <c r="L31946" s="12"/>
      <c r="M31946" s="11"/>
      <c r="N31946" s="11"/>
      <c r="O31946" s="11"/>
      <c r="P31946" s="11"/>
    </row>
    <row r="31947" spans="8:16" x14ac:dyDescent="0.25">
      <c r="H31947" s="12"/>
      <c r="I31947" s="12"/>
      <c r="J31947" s="12"/>
      <c r="K31947" s="12"/>
      <c r="L31947" s="12"/>
      <c r="M31947" s="11"/>
      <c r="N31947" s="11"/>
      <c r="O31947" s="11"/>
      <c r="P31947" s="11"/>
    </row>
    <row r="31948" spans="8:16" x14ac:dyDescent="0.25">
      <c r="H31948" s="12"/>
      <c r="I31948" s="12"/>
      <c r="J31948" s="12"/>
      <c r="K31948" s="12"/>
      <c r="L31948" s="12"/>
      <c r="M31948" s="11"/>
      <c r="N31948" s="11"/>
      <c r="O31948" s="11"/>
      <c r="P31948" s="11"/>
    </row>
    <row r="31949" spans="8:16" x14ac:dyDescent="0.25">
      <c r="H31949" s="12"/>
      <c r="I31949" s="12"/>
      <c r="J31949" s="12"/>
      <c r="K31949" s="12"/>
      <c r="L31949" s="12"/>
      <c r="M31949" s="11"/>
      <c r="N31949" s="11"/>
      <c r="O31949" s="11"/>
      <c r="P31949" s="11"/>
    </row>
    <row r="31950" spans="8:16" x14ac:dyDescent="0.25">
      <c r="H31950" s="12"/>
      <c r="I31950" s="12"/>
      <c r="J31950" s="12"/>
      <c r="K31950" s="12"/>
      <c r="L31950" s="12"/>
      <c r="M31950" s="11"/>
      <c r="N31950" s="11"/>
      <c r="O31950" s="11"/>
      <c r="P31950" s="11"/>
    </row>
    <row r="31951" spans="8:16" x14ac:dyDescent="0.25">
      <c r="H31951" s="12"/>
      <c r="I31951" s="12"/>
      <c r="J31951" s="12"/>
      <c r="K31951" s="12"/>
      <c r="L31951" s="12"/>
      <c r="M31951" s="11"/>
      <c r="N31951" s="11"/>
      <c r="O31951" s="11"/>
      <c r="P31951" s="11"/>
    </row>
    <row r="31952" spans="8:16" x14ac:dyDescent="0.25">
      <c r="H31952" s="12"/>
      <c r="I31952" s="12"/>
      <c r="J31952" s="12"/>
      <c r="K31952" s="12"/>
      <c r="L31952" s="12"/>
      <c r="M31952" s="11"/>
      <c r="N31952" s="11"/>
      <c r="O31952" s="11"/>
      <c r="P31952" s="11"/>
    </row>
    <row r="31953" spans="8:16" x14ac:dyDescent="0.25">
      <c r="H31953" s="12"/>
      <c r="I31953" s="12"/>
      <c r="J31953" s="12"/>
      <c r="K31953" s="12"/>
      <c r="L31953" s="12"/>
      <c r="M31953" s="11"/>
      <c r="N31953" s="11"/>
      <c r="O31953" s="11"/>
      <c r="P31953" s="11"/>
    </row>
    <row r="31954" spans="8:16" x14ac:dyDescent="0.25">
      <c r="H31954" s="12"/>
      <c r="I31954" s="12"/>
      <c r="J31954" s="12"/>
      <c r="K31954" s="12"/>
      <c r="L31954" s="12"/>
      <c r="M31954" s="11"/>
      <c r="N31954" s="11"/>
      <c r="O31954" s="11"/>
      <c r="P31954" s="11"/>
    </row>
    <row r="31955" spans="8:16" x14ac:dyDescent="0.25">
      <c r="H31955" s="12"/>
      <c r="I31955" s="12"/>
      <c r="J31955" s="12"/>
      <c r="K31955" s="12"/>
      <c r="L31955" s="12"/>
      <c r="M31955" s="11"/>
      <c r="N31955" s="11"/>
      <c r="O31955" s="11"/>
      <c r="P31955" s="11"/>
    </row>
    <row r="31956" spans="8:16" x14ac:dyDescent="0.25">
      <c r="H31956" s="12"/>
      <c r="I31956" s="12"/>
      <c r="J31956" s="12"/>
      <c r="K31956" s="12"/>
      <c r="L31956" s="12"/>
      <c r="M31956" s="11"/>
      <c r="N31956" s="11"/>
      <c r="O31956" s="11"/>
      <c r="P31956" s="11"/>
    </row>
    <row r="31957" spans="8:16" x14ac:dyDescent="0.25">
      <c r="H31957" s="12"/>
      <c r="I31957" s="12"/>
      <c r="J31957" s="12"/>
      <c r="K31957" s="12"/>
      <c r="L31957" s="12"/>
      <c r="M31957" s="11"/>
      <c r="N31957" s="11"/>
      <c r="O31957" s="11"/>
      <c r="P31957" s="11"/>
    </row>
    <row r="31958" spans="8:16" x14ac:dyDescent="0.25">
      <c r="H31958" s="12"/>
      <c r="I31958" s="12"/>
      <c r="J31958" s="12"/>
      <c r="K31958" s="12"/>
      <c r="L31958" s="12"/>
      <c r="M31958" s="11"/>
      <c r="N31958" s="11"/>
      <c r="O31958" s="11"/>
      <c r="P31958" s="11"/>
    </row>
    <row r="31959" spans="8:16" x14ac:dyDescent="0.25">
      <c r="H31959" s="12"/>
      <c r="I31959" s="12"/>
      <c r="J31959" s="12"/>
      <c r="K31959" s="12"/>
      <c r="L31959" s="12"/>
      <c r="M31959" s="11"/>
      <c r="N31959" s="11"/>
      <c r="O31959" s="11"/>
      <c r="P31959" s="11"/>
    </row>
    <row r="31960" spans="8:16" x14ac:dyDescent="0.25">
      <c r="H31960" s="12"/>
      <c r="I31960" s="12"/>
      <c r="J31960" s="12"/>
      <c r="K31960" s="12"/>
      <c r="L31960" s="12"/>
      <c r="M31960" s="11"/>
      <c r="N31960" s="11"/>
      <c r="O31960" s="11"/>
      <c r="P31960" s="11"/>
    </row>
    <row r="31961" spans="8:16" x14ac:dyDescent="0.25">
      <c r="H31961" s="12"/>
      <c r="I31961" s="12"/>
      <c r="J31961" s="12"/>
      <c r="K31961" s="12"/>
      <c r="L31961" s="12"/>
      <c r="M31961" s="11"/>
      <c r="N31961" s="11"/>
      <c r="O31961" s="11"/>
      <c r="P31961" s="11"/>
    </row>
    <row r="31962" spans="8:16" x14ac:dyDescent="0.25">
      <c r="H31962" s="12"/>
      <c r="I31962" s="12"/>
      <c r="J31962" s="12"/>
      <c r="K31962" s="12"/>
      <c r="L31962" s="12"/>
      <c r="M31962" s="11"/>
      <c r="N31962" s="11"/>
      <c r="O31962" s="11"/>
      <c r="P31962" s="11"/>
    </row>
    <row r="31963" spans="8:16" x14ac:dyDescent="0.25">
      <c r="H31963" s="12"/>
      <c r="I31963" s="12"/>
      <c r="J31963" s="12"/>
      <c r="K31963" s="12"/>
      <c r="L31963" s="12"/>
      <c r="M31963" s="11"/>
      <c r="N31963" s="11"/>
      <c r="O31963" s="11"/>
      <c r="P31963" s="11"/>
    </row>
    <row r="31964" spans="8:16" x14ac:dyDescent="0.25">
      <c r="H31964" s="12"/>
      <c r="I31964" s="12"/>
      <c r="J31964" s="12"/>
      <c r="K31964" s="12"/>
      <c r="L31964" s="12"/>
      <c r="M31964" s="11"/>
      <c r="N31964" s="11"/>
      <c r="O31964" s="11"/>
      <c r="P31964" s="11"/>
    </row>
    <row r="31965" spans="8:16" x14ac:dyDescent="0.25">
      <c r="H31965" s="12"/>
      <c r="I31965" s="12"/>
      <c r="J31965" s="12"/>
      <c r="K31965" s="12"/>
      <c r="L31965" s="12"/>
      <c r="M31965" s="11"/>
      <c r="N31965" s="11"/>
      <c r="O31965" s="11"/>
      <c r="P31965" s="11"/>
    </row>
    <row r="31966" spans="8:16" x14ac:dyDescent="0.25">
      <c r="H31966" s="12"/>
      <c r="I31966" s="12"/>
      <c r="J31966" s="12"/>
      <c r="K31966" s="12"/>
      <c r="L31966" s="12"/>
      <c r="M31966" s="11"/>
      <c r="N31966" s="11"/>
      <c r="O31966" s="11"/>
      <c r="P31966" s="11"/>
    </row>
    <row r="31967" spans="8:16" x14ac:dyDescent="0.25">
      <c r="H31967" s="12"/>
      <c r="I31967" s="12"/>
      <c r="J31967" s="12"/>
      <c r="K31967" s="12"/>
      <c r="L31967" s="12"/>
      <c r="M31967" s="11"/>
      <c r="N31967" s="11"/>
      <c r="O31967" s="11"/>
      <c r="P31967" s="11"/>
    </row>
    <row r="31968" spans="8:16" x14ac:dyDescent="0.25">
      <c r="H31968" s="12"/>
      <c r="I31968" s="12"/>
      <c r="J31968" s="12"/>
      <c r="K31968" s="12"/>
      <c r="L31968" s="12"/>
      <c r="M31968" s="11"/>
      <c r="N31968" s="11"/>
      <c r="O31968" s="11"/>
      <c r="P31968" s="11"/>
    </row>
    <row r="31969" spans="8:16" x14ac:dyDescent="0.25">
      <c r="H31969" s="12"/>
      <c r="I31969" s="12"/>
      <c r="J31969" s="12"/>
      <c r="K31969" s="12"/>
      <c r="L31969" s="12"/>
      <c r="M31969" s="11"/>
      <c r="N31969" s="11"/>
      <c r="O31969" s="11"/>
      <c r="P31969" s="11"/>
    </row>
    <row r="31970" spans="8:16" x14ac:dyDescent="0.25">
      <c r="H31970" s="12"/>
      <c r="I31970" s="12"/>
      <c r="J31970" s="12"/>
      <c r="K31970" s="12"/>
      <c r="L31970" s="12"/>
      <c r="M31970" s="11"/>
      <c r="N31970" s="11"/>
      <c r="O31970" s="11"/>
      <c r="P31970" s="11"/>
    </row>
    <row r="31971" spans="8:16" x14ac:dyDescent="0.25">
      <c r="H31971" s="12"/>
      <c r="I31971" s="12"/>
      <c r="J31971" s="12"/>
      <c r="K31971" s="12"/>
      <c r="L31971" s="12"/>
      <c r="M31971" s="11"/>
      <c r="N31971" s="11"/>
      <c r="O31971" s="11"/>
      <c r="P31971" s="11"/>
    </row>
    <row r="31972" spans="8:16" x14ac:dyDescent="0.25">
      <c r="H31972" s="12"/>
      <c r="I31972" s="12"/>
      <c r="J31972" s="12"/>
      <c r="K31972" s="12"/>
      <c r="L31972" s="12"/>
      <c r="M31972" s="11"/>
      <c r="N31972" s="11"/>
      <c r="O31972" s="11"/>
      <c r="P31972" s="11"/>
    </row>
    <row r="31973" spans="8:16" x14ac:dyDescent="0.25">
      <c r="H31973" s="12"/>
      <c r="I31973" s="12"/>
      <c r="J31973" s="12"/>
      <c r="K31973" s="12"/>
      <c r="L31973" s="12"/>
      <c r="M31973" s="11"/>
      <c r="N31973" s="11"/>
      <c r="O31973" s="11"/>
      <c r="P31973" s="11"/>
    </row>
    <row r="31974" spans="8:16" x14ac:dyDescent="0.25">
      <c r="H31974" s="12"/>
      <c r="I31974" s="12"/>
      <c r="J31974" s="12"/>
      <c r="K31974" s="12"/>
      <c r="L31974" s="12"/>
      <c r="M31974" s="11"/>
      <c r="N31974" s="11"/>
      <c r="O31974" s="11"/>
      <c r="P31974" s="11"/>
    </row>
    <row r="31975" spans="8:16" x14ac:dyDescent="0.25">
      <c r="H31975" s="12"/>
      <c r="I31975" s="12"/>
      <c r="J31975" s="12"/>
      <c r="K31975" s="12"/>
      <c r="L31975" s="12"/>
      <c r="M31975" s="11"/>
      <c r="N31975" s="11"/>
      <c r="O31975" s="11"/>
      <c r="P31975" s="11"/>
    </row>
    <row r="31976" spans="8:16" x14ac:dyDescent="0.25">
      <c r="H31976" s="12"/>
      <c r="I31976" s="12"/>
      <c r="J31976" s="12"/>
      <c r="K31976" s="12"/>
      <c r="L31976" s="12"/>
      <c r="M31976" s="11"/>
      <c r="N31976" s="11"/>
      <c r="O31976" s="11"/>
      <c r="P31976" s="11"/>
    </row>
    <row r="31977" spans="8:16" x14ac:dyDescent="0.25">
      <c r="H31977" s="12"/>
      <c r="I31977" s="12"/>
      <c r="J31977" s="12"/>
      <c r="K31977" s="12"/>
      <c r="L31977" s="12"/>
      <c r="M31977" s="11"/>
      <c r="N31977" s="11"/>
      <c r="O31977" s="11"/>
      <c r="P31977" s="11"/>
    </row>
    <row r="31978" spans="8:16" x14ac:dyDescent="0.25">
      <c r="H31978" s="12"/>
      <c r="I31978" s="12"/>
      <c r="J31978" s="12"/>
      <c r="K31978" s="12"/>
      <c r="L31978" s="12"/>
      <c r="M31978" s="11"/>
      <c r="N31978" s="11"/>
      <c r="O31978" s="11"/>
      <c r="P31978" s="11"/>
    </row>
    <row r="31979" spans="8:16" x14ac:dyDescent="0.25">
      <c r="H31979" s="12"/>
      <c r="I31979" s="12"/>
      <c r="J31979" s="12"/>
      <c r="K31979" s="12"/>
      <c r="L31979" s="12"/>
      <c r="M31979" s="11"/>
      <c r="N31979" s="11"/>
      <c r="O31979" s="11"/>
      <c r="P31979" s="11"/>
    </row>
    <row r="31980" spans="8:16" x14ac:dyDescent="0.25">
      <c r="H31980" s="12"/>
      <c r="I31980" s="12"/>
      <c r="J31980" s="12"/>
      <c r="K31980" s="12"/>
      <c r="L31980" s="12"/>
      <c r="M31980" s="11"/>
      <c r="N31980" s="11"/>
      <c r="O31980" s="11"/>
      <c r="P31980" s="11"/>
    </row>
    <row r="31981" spans="8:16" x14ac:dyDescent="0.25">
      <c r="H31981" s="12"/>
      <c r="I31981" s="12"/>
      <c r="J31981" s="12"/>
      <c r="K31981" s="12"/>
      <c r="L31981" s="12"/>
      <c r="M31981" s="11"/>
      <c r="N31981" s="11"/>
      <c r="O31981" s="11"/>
      <c r="P31981" s="11"/>
    </row>
    <row r="31982" spans="8:16" x14ac:dyDescent="0.25">
      <c r="H31982" s="12"/>
      <c r="I31982" s="12"/>
      <c r="J31982" s="12"/>
      <c r="K31982" s="12"/>
      <c r="L31982" s="12"/>
      <c r="M31982" s="11"/>
      <c r="N31982" s="11"/>
      <c r="O31982" s="11"/>
      <c r="P31982" s="11"/>
    </row>
    <row r="31983" spans="8:16" x14ac:dyDescent="0.25">
      <c r="H31983" s="12"/>
      <c r="I31983" s="12"/>
      <c r="J31983" s="12"/>
      <c r="K31983" s="12"/>
      <c r="L31983" s="12"/>
      <c r="M31983" s="11"/>
      <c r="N31983" s="11"/>
      <c r="O31983" s="11"/>
      <c r="P31983" s="11"/>
    </row>
    <row r="31984" spans="8:16" x14ac:dyDescent="0.25">
      <c r="H31984" s="12"/>
      <c r="I31984" s="12"/>
      <c r="J31984" s="12"/>
      <c r="K31984" s="12"/>
      <c r="L31984" s="12"/>
      <c r="M31984" s="11"/>
      <c r="N31984" s="11"/>
      <c r="O31984" s="11"/>
      <c r="P31984" s="11"/>
    </row>
    <row r="31985" spans="8:16" x14ac:dyDescent="0.25">
      <c r="H31985" s="12"/>
      <c r="I31985" s="12"/>
      <c r="J31985" s="12"/>
      <c r="K31985" s="12"/>
      <c r="L31985" s="12"/>
      <c r="M31985" s="11"/>
      <c r="N31985" s="11"/>
      <c r="O31985" s="11"/>
      <c r="P31985" s="11"/>
    </row>
    <row r="31986" spans="8:16" x14ac:dyDescent="0.25">
      <c r="H31986" s="12"/>
      <c r="I31986" s="12"/>
      <c r="J31986" s="12"/>
      <c r="K31986" s="12"/>
      <c r="L31986" s="12"/>
      <c r="M31986" s="11"/>
      <c r="N31986" s="11"/>
      <c r="O31986" s="11"/>
      <c r="P31986" s="11"/>
    </row>
    <row r="31987" spans="8:16" x14ac:dyDescent="0.25">
      <c r="H31987" s="12"/>
      <c r="I31987" s="12"/>
      <c r="J31987" s="12"/>
      <c r="K31987" s="12"/>
      <c r="L31987" s="12"/>
      <c r="M31987" s="11"/>
      <c r="N31987" s="11"/>
      <c r="O31987" s="11"/>
      <c r="P31987" s="11"/>
    </row>
    <row r="31988" spans="8:16" x14ac:dyDescent="0.25">
      <c r="H31988" s="12"/>
      <c r="I31988" s="12"/>
      <c r="J31988" s="12"/>
      <c r="K31988" s="12"/>
      <c r="L31988" s="12"/>
      <c r="M31988" s="11"/>
      <c r="N31988" s="11"/>
      <c r="O31988" s="11"/>
      <c r="P31988" s="11"/>
    </row>
    <row r="31989" spans="8:16" x14ac:dyDescent="0.25">
      <c r="H31989" s="12"/>
      <c r="I31989" s="12"/>
      <c r="J31989" s="12"/>
      <c r="K31989" s="12"/>
      <c r="L31989" s="12"/>
      <c r="M31989" s="11"/>
      <c r="N31989" s="11"/>
      <c r="O31989" s="11"/>
      <c r="P31989" s="11"/>
    </row>
    <row r="31990" spans="8:16" x14ac:dyDescent="0.25">
      <c r="H31990" s="12"/>
      <c r="I31990" s="12"/>
      <c r="J31990" s="12"/>
      <c r="K31990" s="12"/>
      <c r="L31990" s="12"/>
      <c r="M31990" s="11"/>
      <c r="N31990" s="11"/>
      <c r="O31990" s="11"/>
      <c r="P31990" s="11"/>
    </row>
    <row r="31991" spans="8:16" x14ac:dyDescent="0.25">
      <c r="H31991" s="12"/>
      <c r="I31991" s="12"/>
      <c r="J31991" s="12"/>
      <c r="K31991" s="12"/>
      <c r="L31991" s="12"/>
      <c r="M31991" s="11"/>
      <c r="N31991" s="11"/>
      <c r="O31991" s="11"/>
      <c r="P31991" s="11"/>
    </row>
    <row r="31992" spans="8:16" x14ac:dyDescent="0.25">
      <c r="H31992" s="12"/>
      <c r="I31992" s="12"/>
      <c r="J31992" s="12"/>
      <c r="K31992" s="12"/>
      <c r="L31992" s="12"/>
      <c r="M31992" s="11"/>
      <c r="N31992" s="11"/>
      <c r="O31992" s="11"/>
      <c r="P31992" s="11"/>
    </row>
    <row r="31993" spans="8:16" x14ac:dyDescent="0.25">
      <c r="H31993" s="12"/>
      <c r="I31993" s="12"/>
      <c r="J31993" s="12"/>
      <c r="K31993" s="12"/>
      <c r="L31993" s="12"/>
      <c r="M31993" s="11"/>
      <c r="N31993" s="11"/>
      <c r="O31993" s="11"/>
      <c r="P31993" s="11"/>
    </row>
    <row r="31994" spans="8:16" x14ac:dyDescent="0.25">
      <c r="H31994" s="12"/>
      <c r="I31994" s="12"/>
      <c r="J31994" s="12"/>
      <c r="K31994" s="12"/>
      <c r="L31994" s="12"/>
      <c r="M31994" s="11"/>
      <c r="N31994" s="11"/>
      <c r="O31994" s="11"/>
      <c r="P31994" s="11"/>
    </row>
    <row r="31995" spans="8:16" x14ac:dyDescent="0.25">
      <c r="H31995" s="12"/>
      <c r="I31995" s="12"/>
      <c r="J31995" s="12"/>
      <c r="K31995" s="12"/>
      <c r="L31995" s="12"/>
      <c r="M31995" s="11"/>
      <c r="N31995" s="11"/>
      <c r="O31995" s="11"/>
      <c r="P31995" s="11"/>
    </row>
    <row r="31996" spans="8:16" x14ac:dyDescent="0.25">
      <c r="H31996" s="12"/>
      <c r="I31996" s="12"/>
      <c r="J31996" s="12"/>
      <c r="K31996" s="12"/>
      <c r="L31996" s="12"/>
      <c r="M31996" s="11"/>
      <c r="N31996" s="11"/>
      <c r="O31996" s="11"/>
      <c r="P31996" s="11"/>
    </row>
    <row r="31997" spans="8:16" x14ac:dyDescent="0.25">
      <c r="H31997" s="12"/>
      <c r="I31997" s="12"/>
      <c r="J31997" s="12"/>
      <c r="K31997" s="12"/>
      <c r="L31997" s="12"/>
      <c r="M31997" s="11"/>
      <c r="N31997" s="11"/>
      <c r="O31997" s="11"/>
      <c r="P31997" s="11"/>
    </row>
    <row r="31998" spans="8:16" x14ac:dyDescent="0.25">
      <c r="H31998" s="12"/>
      <c r="I31998" s="12"/>
      <c r="J31998" s="12"/>
      <c r="K31998" s="12"/>
      <c r="L31998" s="12"/>
      <c r="M31998" s="11"/>
      <c r="N31998" s="11"/>
      <c r="O31998" s="11"/>
      <c r="P31998" s="11"/>
    </row>
    <row r="31999" spans="8:16" x14ac:dyDescent="0.25">
      <c r="H31999" s="12"/>
      <c r="I31999" s="12"/>
      <c r="J31999" s="12"/>
      <c r="K31999" s="12"/>
      <c r="L31999" s="12"/>
      <c r="M31999" s="11"/>
      <c r="N31999" s="11"/>
      <c r="O31999" s="11"/>
      <c r="P31999" s="11"/>
    </row>
    <row r="32000" spans="8:16" x14ac:dyDescent="0.25">
      <c r="H32000" s="12"/>
      <c r="I32000" s="12"/>
      <c r="J32000" s="12"/>
      <c r="K32000" s="12"/>
      <c r="L32000" s="12"/>
      <c r="M32000" s="11"/>
      <c r="N32000" s="11"/>
      <c r="O32000" s="11"/>
      <c r="P32000" s="11"/>
    </row>
    <row r="32001" spans="8:16" x14ac:dyDescent="0.25">
      <c r="H32001" s="12"/>
      <c r="I32001" s="12"/>
      <c r="J32001" s="12"/>
      <c r="K32001" s="12"/>
      <c r="L32001" s="12"/>
      <c r="M32001" s="11"/>
      <c r="N32001" s="11"/>
      <c r="O32001" s="11"/>
      <c r="P32001" s="11"/>
    </row>
    <row r="32002" spans="8:16" x14ac:dyDescent="0.25">
      <c r="H32002" s="12"/>
      <c r="I32002" s="12"/>
      <c r="J32002" s="12"/>
      <c r="K32002" s="12"/>
      <c r="L32002" s="12"/>
      <c r="M32002" s="11"/>
      <c r="N32002" s="11"/>
      <c r="O32002" s="11"/>
      <c r="P32002" s="11"/>
    </row>
    <row r="32003" spans="8:16" x14ac:dyDescent="0.25">
      <c r="H32003" s="12"/>
      <c r="I32003" s="12"/>
      <c r="J32003" s="12"/>
      <c r="K32003" s="12"/>
      <c r="L32003" s="12"/>
      <c r="M32003" s="11"/>
      <c r="N32003" s="11"/>
      <c r="O32003" s="11"/>
      <c r="P32003" s="11"/>
    </row>
    <row r="32004" spans="8:16" x14ac:dyDescent="0.25">
      <c r="H32004" s="12"/>
      <c r="I32004" s="12"/>
      <c r="J32004" s="12"/>
      <c r="K32004" s="12"/>
      <c r="L32004" s="12"/>
      <c r="M32004" s="11"/>
      <c r="N32004" s="11"/>
      <c r="O32004" s="11"/>
      <c r="P32004" s="11"/>
    </row>
    <row r="32005" spans="8:16" x14ac:dyDescent="0.25">
      <c r="H32005" s="12"/>
      <c r="I32005" s="12"/>
      <c r="J32005" s="12"/>
      <c r="K32005" s="12"/>
      <c r="L32005" s="12"/>
      <c r="M32005" s="11"/>
      <c r="N32005" s="11"/>
      <c r="O32005" s="11"/>
      <c r="P32005" s="11"/>
    </row>
    <row r="32006" spans="8:16" x14ac:dyDescent="0.25">
      <c r="H32006" s="12"/>
      <c r="I32006" s="12"/>
      <c r="J32006" s="12"/>
      <c r="K32006" s="12"/>
      <c r="L32006" s="12"/>
      <c r="M32006" s="11"/>
      <c r="N32006" s="11"/>
      <c r="O32006" s="11"/>
      <c r="P32006" s="11"/>
    </row>
    <row r="32007" spans="8:16" x14ac:dyDescent="0.25">
      <c r="H32007" s="12"/>
      <c r="I32007" s="12"/>
      <c r="J32007" s="12"/>
      <c r="K32007" s="12"/>
      <c r="L32007" s="12"/>
      <c r="M32007" s="11"/>
      <c r="N32007" s="11"/>
      <c r="O32007" s="11"/>
      <c r="P32007" s="11"/>
    </row>
    <row r="32008" spans="8:16" x14ac:dyDescent="0.25">
      <c r="H32008" s="12"/>
      <c r="I32008" s="12"/>
      <c r="J32008" s="12"/>
      <c r="K32008" s="12"/>
      <c r="L32008" s="12"/>
      <c r="M32008" s="11"/>
      <c r="N32008" s="11"/>
      <c r="O32008" s="11"/>
      <c r="P32008" s="11"/>
    </row>
    <row r="32009" spans="8:16" x14ac:dyDescent="0.25">
      <c r="H32009" s="12"/>
      <c r="I32009" s="12"/>
      <c r="J32009" s="12"/>
      <c r="K32009" s="12"/>
      <c r="L32009" s="12"/>
      <c r="M32009" s="11"/>
      <c r="N32009" s="11"/>
      <c r="O32009" s="11"/>
      <c r="P32009" s="11"/>
    </row>
    <row r="32010" spans="8:16" x14ac:dyDescent="0.25">
      <c r="H32010" s="12"/>
      <c r="I32010" s="12"/>
      <c r="J32010" s="12"/>
      <c r="K32010" s="12"/>
      <c r="L32010" s="12"/>
      <c r="M32010" s="11"/>
      <c r="N32010" s="11"/>
      <c r="O32010" s="11"/>
      <c r="P32010" s="11"/>
    </row>
    <row r="32011" spans="8:16" x14ac:dyDescent="0.25">
      <c r="H32011" s="12"/>
      <c r="I32011" s="12"/>
      <c r="J32011" s="12"/>
      <c r="K32011" s="12"/>
      <c r="L32011" s="12"/>
      <c r="M32011" s="11"/>
      <c r="N32011" s="11"/>
      <c r="O32011" s="11"/>
      <c r="P32011" s="11"/>
    </row>
    <row r="32012" spans="8:16" x14ac:dyDescent="0.25">
      <c r="H32012" s="12"/>
      <c r="I32012" s="12"/>
      <c r="J32012" s="12"/>
      <c r="K32012" s="12"/>
      <c r="L32012" s="12"/>
      <c r="M32012" s="11"/>
      <c r="N32012" s="11"/>
      <c r="O32012" s="11"/>
      <c r="P32012" s="11"/>
    </row>
    <row r="32013" spans="8:16" x14ac:dyDescent="0.25">
      <c r="H32013" s="12"/>
      <c r="I32013" s="12"/>
      <c r="J32013" s="12"/>
      <c r="K32013" s="12"/>
      <c r="L32013" s="12"/>
      <c r="M32013" s="11"/>
      <c r="N32013" s="11"/>
      <c r="O32013" s="11"/>
      <c r="P32013" s="11"/>
    </row>
    <row r="32014" spans="8:16" x14ac:dyDescent="0.25">
      <c r="H32014" s="12"/>
      <c r="I32014" s="12"/>
      <c r="J32014" s="12"/>
      <c r="K32014" s="12"/>
      <c r="L32014" s="12"/>
      <c r="M32014" s="11"/>
      <c r="N32014" s="11"/>
      <c r="O32014" s="11"/>
      <c r="P32014" s="11"/>
    </row>
    <row r="32015" spans="8:16" x14ac:dyDescent="0.25">
      <c r="H32015" s="12"/>
      <c r="I32015" s="12"/>
      <c r="J32015" s="12"/>
      <c r="K32015" s="12"/>
      <c r="L32015" s="12"/>
      <c r="M32015" s="11"/>
      <c r="N32015" s="11"/>
      <c r="O32015" s="11"/>
      <c r="P32015" s="11"/>
    </row>
    <row r="32016" spans="8:16" x14ac:dyDescent="0.25">
      <c r="H32016" s="12"/>
      <c r="I32016" s="12"/>
      <c r="J32016" s="12"/>
      <c r="K32016" s="12"/>
      <c r="L32016" s="12"/>
      <c r="M32016" s="11"/>
      <c r="N32016" s="11"/>
      <c r="O32016" s="11"/>
      <c r="P32016" s="11"/>
    </row>
    <row r="32017" spans="8:16" x14ac:dyDescent="0.25">
      <c r="H32017" s="12"/>
      <c r="I32017" s="12"/>
      <c r="J32017" s="12"/>
      <c r="K32017" s="12"/>
      <c r="L32017" s="12"/>
      <c r="M32017" s="11"/>
      <c r="N32017" s="11"/>
      <c r="O32017" s="11"/>
      <c r="P32017" s="11"/>
    </row>
    <row r="32018" spans="8:16" x14ac:dyDescent="0.25">
      <c r="H32018" s="12"/>
      <c r="I32018" s="12"/>
      <c r="J32018" s="12"/>
      <c r="K32018" s="12"/>
      <c r="L32018" s="12"/>
      <c r="M32018" s="11"/>
      <c r="N32018" s="11"/>
      <c r="O32018" s="11"/>
      <c r="P32018" s="11"/>
    </row>
    <row r="32019" spans="8:16" x14ac:dyDescent="0.25">
      <c r="H32019" s="12"/>
      <c r="I32019" s="12"/>
      <c r="J32019" s="12"/>
      <c r="K32019" s="12"/>
      <c r="L32019" s="12"/>
      <c r="M32019" s="11"/>
      <c r="N32019" s="11"/>
      <c r="O32019" s="11"/>
      <c r="P32019" s="11"/>
    </row>
    <row r="32020" spans="8:16" x14ac:dyDescent="0.25">
      <c r="H32020" s="12"/>
      <c r="I32020" s="12"/>
      <c r="J32020" s="12"/>
      <c r="K32020" s="12"/>
      <c r="L32020" s="12"/>
      <c r="M32020" s="11"/>
      <c r="N32020" s="11"/>
      <c r="O32020" s="11"/>
      <c r="P32020" s="11"/>
    </row>
    <row r="32021" spans="8:16" x14ac:dyDescent="0.25">
      <c r="H32021" s="12"/>
      <c r="I32021" s="12"/>
      <c r="J32021" s="12"/>
      <c r="K32021" s="12"/>
      <c r="L32021" s="12"/>
      <c r="M32021" s="11"/>
      <c r="N32021" s="11"/>
      <c r="O32021" s="11"/>
      <c r="P32021" s="11"/>
    </row>
    <row r="32022" spans="8:16" x14ac:dyDescent="0.25">
      <c r="H32022" s="12"/>
      <c r="I32022" s="12"/>
      <c r="J32022" s="12"/>
      <c r="K32022" s="12"/>
      <c r="L32022" s="12"/>
      <c r="M32022" s="11"/>
      <c r="N32022" s="11"/>
      <c r="O32022" s="11"/>
      <c r="P32022" s="11"/>
    </row>
    <row r="32023" spans="8:16" x14ac:dyDescent="0.25">
      <c r="H32023" s="12"/>
      <c r="I32023" s="12"/>
      <c r="J32023" s="12"/>
      <c r="K32023" s="12"/>
      <c r="L32023" s="12"/>
      <c r="M32023" s="11"/>
      <c r="N32023" s="11"/>
      <c r="O32023" s="11"/>
      <c r="P32023" s="11"/>
    </row>
    <row r="32024" spans="8:16" x14ac:dyDescent="0.25">
      <c r="H32024" s="12"/>
      <c r="I32024" s="12"/>
      <c r="J32024" s="12"/>
      <c r="K32024" s="12"/>
      <c r="L32024" s="12"/>
      <c r="M32024" s="11"/>
      <c r="N32024" s="11"/>
      <c r="O32024" s="11"/>
      <c r="P32024" s="11"/>
    </row>
    <row r="32025" spans="8:16" x14ac:dyDescent="0.25">
      <c r="H32025" s="12"/>
      <c r="I32025" s="12"/>
      <c r="J32025" s="12"/>
      <c r="K32025" s="12"/>
      <c r="L32025" s="12"/>
      <c r="M32025" s="11"/>
      <c r="N32025" s="11"/>
      <c r="O32025" s="11"/>
      <c r="P32025" s="11"/>
    </row>
    <row r="32026" spans="8:16" x14ac:dyDescent="0.25">
      <c r="H32026" s="12"/>
      <c r="I32026" s="12"/>
      <c r="J32026" s="12"/>
      <c r="K32026" s="12"/>
      <c r="L32026" s="12"/>
      <c r="M32026" s="11"/>
      <c r="N32026" s="11"/>
      <c r="O32026" s="11"/>
      <c r="P32026" s="11"/>
    </row>
    <row r="32027" spans="8:16" x14ac:dyDescent="0.25">
      <c r="H32027" s="12"/>
      <c r="I32027" s="12"/>
      <c r="J32027" s="12"/>
      <c r="K32027" s="12"/>
      <c r="L32027" s="12"/>
      <c r="M32027" s="11"/>
      <c r="N32027" s="11"/>
      <c r="O32027" s="11"/>
      <c r="P32027" s="11"/>
    </row>
    <row r="32028" spans="8:16" x14ac:dyDescent="0.25">
      <c r="H32028" s="12"/>
      <c r="I32028" s="12"/>
      <c r="J32028" s="12"/>
      <c r="K32028" s="12"/>
      <c r="L32028" s="12"/>
      <c r="M32028" s="11"/>
      <c r="N32028" s="11"/>
      <c r="O32028" s="11"/>
      <c r="P32028" s="11"/>
    </row>
    <row r="32029" spans="8:16" x14ac:dyDescent="0.25">
      <c r="H32029" s="12"/>
      <c r="I32029" s="12"/>
      <c r="J32029" s="12"/>
      <c r="K32029" s="12"/>
      <c r="L32029" s="12"/>
      <c r="M32029" s="11"/>
      <c r="N32029" s="11"/>
      <c r="O32029" s="11"/>
      <c r="P32029" s="11"/>
    </row>
    <row r="32030" spans="8:16" x14ac:dyDescent="0.25">
      <c r="H32030" s="12"/>
      <c r="I32030" s="12"/>
      <c r="J32030" s="12"/>
      <c r="K32030" s="12"/>
      <c r="L32030" s="12"/>
      <c r="M32030" s="11"/>
      <c r="N32030" s="11"/>
      <c r="O32030" s="11"/>
      <c r="P32030" s="11"/>
    </row>
    <row r="32031" spans="8:16" x14ac:dyDescent="0.25">
      <c r="H32031" s="12"/>
      <c r="I32031" s="12"/>
      <c r="J32031" s="12"/>
      <c r="K32031" s="12"/>
      <c r="L32031" s="12"/>
      <c r="M32031" s="11"/>
      <c r="N32031" s="11"/>
      <c r="O32031" s="11"/>
      <c r="P32031" s="11"/>
    </row>
    <row r="32032" spans="8:16" x14ac:dyDescent="0.25">
      <c r="H32032" s="12"/>
      <c r="I32032" s="12"/>
      <c r="J32032" s="12"/>
      <c r="K32032" s="12"/>
      <c r="L32032" s="12"/>
      <c r="M32032" s="11"/>
      <c r="N32032" s="11"/>
      <c r="O32032" s="11"/>
      <c r="P32032" s="11"/>
    </row>
    <row r="32033" spans="8:16" x14ac:dyDescent="0.25">
      <c r="H32033" s="12"/>
      <c r="I32033" s="12"/>
      <c r="J32033" s="12"/>
      <c r="K32033" s="12"/>
      <c r="L32033" s="12"/>
      <c r="M32033" s="11"/>
      <c r="N32033" s="11"/>
      <c r="O32033" s="11"/>
      <c r="P32033" s="11"/>
    </row>
    <row r="32034" spans="8:16" x14ac:dyDescent="0.25">
      <c r="H32034" s="12"/>
      <c r="I32034" s="12"/>
      <c r="J32034" s="12"/>
      <c r="K32034" s="12"/>
      <c r="L32034" s="12"/>
      <c r="M32034" s="11"/>
      <c r="N32034" s="11"/>
      <c r="O32034" s="11"/>
      <c r="P32034" s="11"/>
    </row>
    <row r="32035" spans="8:16" x14ac:dyDescent="0.25">
      <c r="H32035" s="12"/>
      <c r="I32035" s="12"/>
      <c r="J32035" s="12"/>
      <c r="K32035" s="12"/>
      <c r="L32035" s="12"/>
      <c r="M32035" s="11"/>
      <c r="N32035" s="11"/>
      <c r="O32035" s="11"/>
      <c r="P32035" s="11"/>
    </row>
    <row r="32036" spans="8:16" x14ac:dyDescent="0.25">
      <c r="H32036" s="12"/>
      <c r="I32036" s="12"/>
      <c r="J32036" s="12"/>
      <c r="K32036" s="12"/>
      <c r="L32036" s="12"/>
      <c r="M32036" s="11"/>
      <c r="N32036" s="11"/>
      <c r="O32036" s="11"/>
      <c r="P32036" s="11"/>
    </row>
    <row r="32037" spans="8:16" x14ac:dyDescent="0.25">
      <c r="H32037" s="12"/>
      <c r="I32037" s="12"/>
      <c r="J32037" s="12"/>
      <c r="K32037" s="12"/>
      <c r="L32037" s="12"/>
      <c r="M32037" s="11"/>
      <c r="N32037" s="11"/>
      <c r="O32037" s="11"/>
      <c r="P32037" s="11"/>
    </row>
    <row r="32038" spans="8:16" x14ac:dyDescent="0.25">
      <c r="H32038" s="12"/>
      <c r="I32038" s="12"/>
      <c r="J32038" s="12"/>
      <c r="K32038" s="12"/>
      <c r="L32038" s="12"/>
      <c r="M32038" s="11"/>
      <c r="N32038" s="11"/>
      <c r="O32038" s="11"/>
      <c r="P32038" s="11"/>
    </row>
    <row r="32039" spans="8:16" x14ac:dyDescent="0.25">
      <c r="H32039" s="12"/>
      <c r="I32039" s="12"/>
      <c r="J32039" s="12"/>
      <c r="K32039" s="12"/>
      <c r="L32039" s="12"/>
      <c r="M32039" s="11"/>
      <c r="N32039" s="11"/>
      <c r="O32039" s="11"/>
      <c r="P32039" s="11"/>
    </row>
    <row r="32040" spans="8:16" x14ac:dyDescent="0.25">
      <c r="H32040" s="12"/>
      <c r="I32040" s="12"/>
      <c r="J32040" s="12"/>
      <c r="K32040" s="12"/>
      <c r="L32040" s="12"/>
      <c r="M32040" s="11"/>
      <c r="N32040" s="11"/>
      <c r="O32040" s="11"/>
      <c r="P32040" s="11"/>
    </row>
    <row r="32041" spans="8:16" x14ac:dyDescent="0.25">
      <c r="H32041" s="12"/>
      <c r="I32041" s="12"/>
      <c r="J32041" s="12"/>
      <c r="K32041" s="12"/>
      <c r="L32041" s="12"/>
      <c r="M32041" s="11"/>
      <c r="N32041" s="11"/>
      <c r="O32041" s="11"/>
      <c r="P32041" s="11"/>
    </row>
    <row r="32042" spans="8:16" x14ac:dyDescent="0.25">
      <c r="H32042" s="12"/>
      <c r="I32042" s="12"/>
      <c r="J32042" s="12"/>
      <c r="K32042" s="12"/>
      <c r="L32042" s="12"/>
      <c r="M32042" s="11"/>
      <c r="N32042" s="11"/>
      <c r="O32042" s="11"/>
      <c r="P32042" s="11"/>
    </row>
    <row r="32043" spans="8:16" x14ac:dyDescent="0.25">
      <c r="H32043" s="12"/>
      <c r="I32043" s="12"/>
      <c r="J32043" s="12"/>
      <c r="K32043" s="12"/>
      <c r="L32043" s="12"/>
      <c r="M32043" s="11"/>
      <c r="N32043" s="11"/>
      <c r="O32043" s="11"/>
      <c r="P32043" s="11"/>
    </row>
    <row r="32044" spans="8:16" x14ac:dyDescent="0.25">
      <c r="H32044" s="12"/>
      <c r="I32044" s="12"/>
      <c r="J32044" s="12"/>
      <c r="K32044" s="12"/>
      <c r="L32044" s="12"/>
      <c r="M32044" s="11"/>
      <c r="N32044" s="11"/>
      <c r="O32044" s="11"/>
      <c r="P32044" s="11"/>
    </row>
    <row r="32045" spans="8:16" x14ac:dyDescent="0.25">
      <c r="H32045" s="12"/>
      <c r="I32045" s="12"/>
      <c r="J32045" s="12"/>
      <c r="K32045" s="12"/>
      <c r="L32045" s="12"/>
      <c r="M32045" s="11"/>
      <c r="N32045" s="11"/>
      <c r="O32045" s="11"/>
      <c r="P32045" s="11"/>
    </row>
    <row r="32046" spans="8:16" x14ac:dyDescent="0.25">
      <c r="H32046" s="12"/>
      <c r="I32046" s="12"/>
      <c r="J32046" s="12"/>
      <c r="K32046" s="12"/>
      <c r="L32046" s="12"/>
      <c r="M32046" s="11"/>
      <c r="N32046" s="11"/>
      <c r="O32046" s="11"/>
      <c r="P32046" s="11"/>
    </row>
    <row r="32047" spans="8:16" x14ac:dyDescent="0.25">
      <c r="H32047" s="12"/>
      <c r="I32047" s="12"/>
      <c r="J32047" s="12"/>
      <c r="K32047" s="12"/>
      <c r="L32047" s="12"/>
      <c r="M32047" s="11"/>
      <c r="N32047" s="11"/>
      <c r="O32047" s="11"/>
      <c r="P32047" s="11"/>
    </row>
    <row r="32048" spans="8:16" x14ac:dyDescent="0.25">
      <c r="H32048" s="12"/>
      <c r="I32048" s="12"/>
      <c r="J32048" s="12"/>
      <c r="K32048" s="12"/>
      <c r="L32048" s="12"/>
      <c r="M32048" s="11"/>
      <c r="N32048" s="11"/>
      <c r="O32048" s="11"/>
      <c r="P32048" s="11"/>
    </row>
    <row r="32049" spans="8:16" x14ac:dyDescent="0.25">
      <c r="H32049" s="12"/>
      <c r="I32049" s="12"/>
      <c r="J32049" s="12"/>
      <c r="K32049" s="12"/>
      <c r="L32049" s="12"/>
      <c r="M32049" s="11"/>
      <c r="N32049" s="11"/>
      <c r="O32049" s="11"/>
      <c r="P32049" s="11"/>
    </row>
    <row r="32050" spans="8:16" x14ac:dyDescent="0.25">
      <c r="H32050" s="12"/>
      <c r="I32050" s="12"/>
      <c r="J32050" s="12"/>
      <c r="K32050" s="12"/>
      <c r="L32050" s="12"/>
      <c r="M32050" s="11"/>
      <c r="N32050" s="11"/>
      <c r="O32050" s="11"/>
      <c r="P32050" s="11"/>
    </row>
    <row r="32051" spans="8:16" x14ac:dyDescent="0.25">
      <c r="H32051" s="12"/>
      <c r="I32051" s="12"/>
      <c r="J32051" s="12"/>
      <c r="K32051" s="12"/>
      <c r="L32051" s="12"/>
      <c r="M32051" s="11"/>
      <c r="N32051" s="11"/>
      <c r="O32051" s="11"/>
      <c r="P32051" s="11"/>
    </row>
    <row r="32052" spans="8:16" x14ac:dyDescent="0.25">
      <c r="H32052" s="12"/>
      <c r="I32052" s="12"/>
      <c r="J32052" s="12"/>
      <c r="K32052" s="12"/>
      <c r="L32052" s="12"/>
      <c r="M32052" s="11"/>
      <c r="N32052" s="11"/>
      <c r="O32052" s="11"/>
      <c r="P32052" s="11"/>
    </row>
    <row r="32053" spans="8:16" x14ac:dyDescent="0.25">
      <c r="H32053" s="12"/>
      <c r="I32053" s="12"/>
      <c r="J32053" s="12"/>
      <c r="K32053" s="12"/>
      <c r="L32053" s="12"/>
      <c r="M32053" s="11"/>
      <c r="N32053" s="11"/>
      <c r="O32053" s="11"/>
      <c r="P32053" s="11"/>
    </row>
    <row r="32054" spans="8:16" x14ac:dyDescent="0.25">
      <c r="H32054" s="12"/>
      <c r="I32054" s="12"/>
      <c r="J32054" s="12"/>
      <c r="K32054" s="12"/>
      <c r="L32054" s="12"/>
      <c r="M32054" s="11"/>
      <c r="N32054" s="11"/>
      <c r="O32054" s="11"/>
      <c r="P32054" s="11"/>
    </row>
    <row r="32055" spans="8:16" x14ac:dyDescent="0.25">
      <c r="H32055" s="12"/>
      <c r="I32055" s="12"/>
      <c r="J32055" s="12"/>
      <c r="K32055" s="12"/>
      <c r="L32055" s="12"/>
      <c r="M32055" s="11"/>
      <c r="N32055" s="11"/>
      <c r="O32055" s="11"/>
      <c r="P32055" s="11"/>
    </row>
    <row r="32056" spans="8:16" x14ac:dyDescent="0.25">
      <c r="H32056" s="12"/>
      <c r="I32056" s="12"/>
      <c r="J32056" s="12"/>
      <c r="K32056" s="12"/>
      <c r="L32056" s="12"/>
      <c r="M32056" s="11"/>
      <c r="N32056" s="11"/>
      <c r="O32056" s="11"/>
      <c r="P32056" s="11"/>
    </row>
    <row r="32057" spans="8:16" x14ac:dyDescent="0.25">
      <c r="H32057" s="12"/>
      <c r="I32057" s="12"/>
      <c r="J32057" s="12"/>
      <c r="K32057" s="12"/>
      <c r="L32057" s="12"/>
      <c r="M32057" s="11"/>
      <c r="N32057" s="11"/>
      <c r="O32057" s="11"/>
      <c r="P32057" s="11"/>
    </row>
    <row r="32058" spans="8:16" x14ac:dyDescent="0.25">
      <c r="H32058" s="12"/>
      <c r="I32058" s="12"/>
      <c r="J32058" s="12"/>
      <c r="K32058" s="12"/>
      <c r="L32058" s="12"/>
      <c r="M32058" s="11"/>
      <c r="N32058" s="11"/>
      <c r="O32058" s="11"/>
      <c r="P32058" s="11"/>
    </row>
    <row r="32059" spans="8:16" x14ac:dyDescent="0.25">
      <c r="H32059" s="12"/>
      <c r="I32059" s="12"/>
      <c r="J32059" s="12"/>
      <c r="K32059" s="12"/>
      <c r="L32059" s="12"/>
      <c r="M32059" s="11"/>
      <c r="N32059" s="11"/>
      <c r="O32059" s="11"/>
      <c r="P32059" s="11"/>
    </row>
    <row r="32060" spans="8:16" x14ac:dyDescent="0.25">
      <c r="H32060" s="12"/>
      <c r="I32060" s="12"/>
      <c r="J32060" s="12"/>
      <c r="K32060" s="12"/>
      <c r="L32060" s="12"/>
      <c r="M32060" s="11"/>
      <c r="N32060" s="11"/>
      <c r="O32060" s="11"/>
      <c r="P32060" s="11"/>
    </row>
    <row r="32061" spans="8:16" x14ac:dyDescent="0.25">
      <c r="H32061" s="12"/>
      <c r="I32061" s="12"/>
      <c r="J32061" s="12"/>
      <c r="K32061" s="12"/>
      <c r="L32061" s="12"/>
      <c r="M32061" s="11"/>
      <c r="N32061" s="11"/>
      <c r="O32061" s="11"/>
      <c r="P32061" s="11"/>
    </row>
    <row r="32062" spans="8:16" x14ac:dyDescent="0.25">
      <c r="H32062" s="12"/>
      <c r="I32062" s="12"/>
      <c r="J32062" s="12"/>
      <c r="K32062" s="12"/>
      <c r="L32062" s="12"/>
      <c r="M32062" s="11"/>
      <c r="N32062" s="11"/>
      <c r="O32062" s="11"/>
      <c r="P32062" s="11"/>
    </row>
    <row r="32063" spans="8:16" x14ac:dyDescent="0.25">
      <c r="H32063" s="12"/>
      <c r="I32063" s="12"/>
      <c r="J32063" s="12"/>
      <c r="K32063" s="12"/>
      <c r="L32063" s="12"/>
      <c r="M32063" s="11"/>
      <c r="N32063" s="11"/>
      <c r="O32063" s="11"/>
      <c r="P32063" s="11"/>
    </row>
    <row r="32064" spans="8:16" x14ac:dyDescent="0.25">
      <c r="H32064" s="12"/>
      <c r="I32064" s="12"/>
      <c r="J32064" s="12"/>
      <c r="K32064" s="12"/>
      <c r="L32064" s="12"/>
      <c r="M32064" s="11"/>
      <c r="N32064" s="11"/>
      <c r="O32064" s="11"/>
      <c r="P32064" s="11"/>
    </row>
    <row r="32065" spans="8:16" x14ac:dyDescent="0.25">
      <c r="H32065" s="12"/>
      <c r="I32065" s="12"/>
      <c r="J32065" s="12"/>
      <c r="K32065" s="12"/>
      <c r="L32065" s="12"/>
      <c r="M32065" s="11"/>
      <c r="N32065" s="11"/>
      <c r="O32065" s="11"/>
      <c r="P32065" s="11"/>
    </row>
    <row r="32066" spans="8:16" x14ac:dyDescent="0.25">
      <c r="H32066" s="12"/>
      <c r="I32066" s="12"/>
      <c r="J32066" s="12"/>
      <c r="K32066" s="12"/>
      <c r="L32066" s="12"/>
      <c r="M32066" s="11"/>
      <c r="N32066" s="11"/>
      <c r="O32066" s="11"/>
      <c r="P32066" s="11"/>
    </row>
    <row r="32067" spans="8:16" x14ac:dyDescent="0.25">
      <c r="H32067" s="12"/>
      <c r="I32067" s="12"/>
      <c r="J32067" s="12"/>
      <c r="K32067" s="12"/>
      <c r="L32067" s="12"/>
      <c r="M32067" s="11"/>
      <c r="N32067" s="11"/>
      <c r="O32067" s="11"/>
      <c r="P32067" s="11"/>
    </row>
    <row r="32068" spans="8:16" x14ac:dyDescent="0.25">
      <c r="H32068" s="12"/>
      <c r="I32068" s="12"/>
      <c r="J32068" s="12"/>
      <c r="K32068" s="12"/>
      <c r="L32068" s="12"/>
      <c r="M32068" s="11"/>
      <c r="N32068" s="11"/>
      <c r="O32068" s="11"/>
      <c r="P32068" s="11"/>
    </row>
    <row r="32069" spans="8:16" x14ac:dyDescent="0.25">
      <c r="H32069" s="12"/>
      <c r="I32069" s="12"/>
      <c r="J32069" s="12"/>
      <c r="K32069" s="12"/>
      <c r="L32069" s="12"/>
      <c r="M32069" s="11"/>
      <c r="N32069" s="11"/>
      <c r="O32069" s="11"/>
      <c r="P32069" s="11"/>
    </row>
    <row r="32070" spans="8:16" x14ac:dyDescent="0.25">
      <c r="H32070" s="12"/>
      <c r="I32070" s="12"/>
      <c r="J32070" s="12"/>
      <c r="K32070" s="12"/>
      <c r="L32070" s="12"/>
      <c r="M32070" s="11"/>
      <c r="N32070" s="11"/>
      <c r="O32070" s="11"/>
      <c r="P32070" s="11"/>
    </row>
    <row r="32071" spans="8:16" x14ac:dyDescent="0.25">
      <c r="H32071" s="12"/>
      <c r="I32071" s="12"/>
      <c r="J32071" s="12"/>
      <c r="K32071" s="12"/>
      <c r="L32071" s="12"/>
      <c r="M32071" s="11"/>
      <c r="N32071" s="11"/>
      <c r="O32071" s="11"/>
      <c r="P32071" s="11"/>
    </row>
    <row r="32072" spans="8:16" x14ac:dyDescent="0.25">
      <c r="H32072" s="12"/>
      <c r="I32072" s="12"/>
      <c r="J32072" s="12"/>
      <c r="K32072" s="12"/>
      <c r="L32072" s="12"/>
      <c r="M32072" s="11"/>
      <c r="N32072" s="11"/>
      <c r="O32072" s="11"/>
      <c r="P32072" s="11"/>
    </row>
    <row r="32073" spans="8:16" x14ac:dyDescent="0.25">
      <c r="H32073" s="12"/>
      <c r="I32073" s="12"/>
      <c r="J32073" s="12"/>
      <c r="K32073" s="12"/>
      <c r="L32073" s="12"/>
      <c r="M32073" s="11"/>
      <c r="N32073" s="11"/>
      <c r="O32073" s="11"/>
      <c r="P32073" s="11"/>
    </row>
    <row r="32074" spans="8:16" x14ac:dyDescent="0.25">
      <c r="H32074" s="12"/>
      <c r="I32074" s="12"/>
      <c r="J32074" s="12"/>
      <c r="K32074" s="12"/>
      <c r="L32074" s="12"/>
      <c r="M32074" s="11"/>
      <c r="N32074" s="11"/>
      <c r="O32074" s="11"/>
      <c r="P32074" s="11"/>
    </row>
    <row r="32075" spans="8:16" x14ac:dyDescent="0.25">
      <c r="H32075" s="12"/>
      <c r="I32075" s="12"/>
      <c r="J32075" s="12"/>
      <c r="K32075" s="12"/>
      <c r="L32075" s="12"/>
      <c r="M32075" s="11"/>
      <c r="N32075" s="11"/>
      <c r="O32075" s="11"/>
      <c r="P32075" s="11"/>
    </row>
    <row r="32076" spans="8:16" x14ac:dyDescent="0.25">
      <c r="H32076" s="12"/>
      <c r="I32076" s="12"/>
      <c r="J32076" s="12"/>
      <c r="K32076" s="12"/>
      <c r="L32076" s="12"/>
      <c r="M32076" s="11"/>
      <c r="N32076" s="11"/>
      <c r="O32076" s="11"/>
      <c r="P32076" s="11"/>
    </row>
    <row r="32077" spans="8:16" x14ac:dyDescent="0.25">
      <c r="H32077" s="12"/>
      <c r="I32077" s="12"/>
      <c r="J32077" s="12"/>
      <c r="K32077" s="12"/>
      <c r="L32077" s="12"/>
      <c r="M32077" s="11"/>
      <c r="N32077" s="11"/>
      <c r="O32077" s="11"/>
      <c r="P32077" s="11"/>
    </row>
    <row r="32078" spans="8:16" x14ac:dyDescent="0.25">
      <c r="H32078" s="12"/>
      <c r="I32078" s="12"/>
      <c r="J32078" s="12"/>
      <c r="K32078" s="12"/>
      <c r="L32078" s="12"/>
      <c r="M32078" s="11"/>
      <c r="N32078" s="11"/>
      <c r="O32078" s="11"/>
      <c r="P32078" s="11"/>
    </row>
    <row r="32079" spans="8:16" x14ac:dyDescent="0.25">
      <c r="H32079" s="12"/>
      <c r="I32079" s="12"/>
      <c r="J32079" s="12"/>
      <c r="K32079" s="12"/>
      <c r="L32079" s="12"/>
      <c r="M32079" s="11"/>
      <c r="N32079" s="11"/>
      <c r="O32079" s="11"/>
      <c r="P32079" s="11"/>
    </row>
    <row r="32080" spans="8:16" x14ac:dyDescent="0.25">
      <c r="H32080" s="12"/>
      <c r="I32080" s="12"/>
      <c r="J32080" s="12"/>
      <c r="K32080" s="12"/>
      <c r="L32080" s="12"/>
      <c r="M32080" s="11"/>
      <c r="N32080" s="11"/>
      <c r="O32080" s="11"/>
      <c r="P32080" s="11"/>
    </row>
    <row r="32081" spans="8:16" x14ac:dyDescent="0.25">
      <c r="H32081" s="12"/>
      <c r="I32081" s="12"/>
      <c r="J32081" s="12"/>
      <c r="K32081" s="12"/>
      <c r="L32081" s="12"/>
      <c r="M32081" s="11"/>
      <c r="N32081" s="11"/>
      <c r="O32081" s="11"/>
      <c r="P32081" s="11"/>
    </row>
    <row r="32082" spans="8:16" x14ac:dyDescent="0.25">
      <c r="H32082" s="12"/>
      <c r="I32082" s="12"/>
      <c r="J32082" s="12"/>
      <c r="K32082" s="12"/>
      <c r="L32082" s="12"/>
      <c r="M32082" s="11"/>
      <c r="N32082" s="11"/>
      <c r="O32082" s="11"/>
      <c r="P32082" s="11"/>
    </row>
    <row r="32083" spans="8:16" x14ac:dyDescent="0.25">
      <c r="H32083" s="12"/>
      <c r="I32083" s="12"/>
      <c r="J32083" s="12"/>
      <c r="K32083" s="12"/>
      <c r="L32083" s="12"/>
      <c r="M32083" s="11"/>
      <c r="N32083" s="11"/>
      <c r="O32083" s="11"/>
      <c r="P32083" s="11"/>
    </row>
    <row r="32084" spans="8:16" x14ac:dyDescent="0.25">
      <c r="H32084" s="12"/>
      <c r="I32084" s="12"/>
      <c r="J32084" s="12"/>
      <c r="K32084" s="12"/>
      <c r="L32084" s="12"/>
      <c r="M32084" s="11"/>
      <c r="N32084" s="11"/>
      <c r="O32084" s="11"/>
      <c r="P32084" s="11"/>
    </row>
    <row r="32085" spans="8:16" x14ac:dyDescent="0.25">
      <c r="H32085" s="12"/>
      <c r="I32085" s="12"/>
      <c r="J32085" s="12"/>
      <c r="K32085" s="12"/>
      <c r="L32085" s="12"/>
      <c r="M32085" s="11"/>
      <c r="N32085" s="11"/>
      <c r="O32085" s="11"/>
      <c r="P32085" s="11"/>
    </row>
    <row r="32086" spans="8:16" x14ac:dyDescent="0.25">
      <c r="H32086" s="12"/>
      <c r="I32086" s="12"/>
      <c r="J32086" s="12"/>
      <c r="K32086" s="12"/>
      <c r="L32086" s="12"/>
      <c r="M32086" s="11"/>
      <c r="N32086" s="11"/>
      <c r="O32086" s="11"/>
      <c r="P32086" s="11"/>
    </row>
    <row r="32087" spans="8:16" x14ac:dyDescent="0.25">
      <c r="H32087" s="12"/>
      <c r="I32087" s="12"/>
      <c r="J32087" s="12"/>
      <c r="K32087" s="12"/>
      <c r="L32087" s="12"/>
      <c r="M32087" s="11"/>
      <c r="N32087" s="11"/>
      <c r="O32087" s="11"/>
      <c r="P32087" s="11"/>
    </row>
    <row r="32088" spans="8:16" x14ac:dyDescent="0.25">
      <c r="H32088" s="12"/>
      <c r="I32088" s="12"/>
      <c r="J32088" s="12"/>
      <c r="K32088" s="12"/>
      <c r="L32088" s="12"/>
      <c r="M32088" s="11"/>
      <c r="N32088" s="11"/>
      <c r="O32088" s="11"/>
      <c r="P32088" s="11"/>
    </row>
    <row r="32089" spans="8:16" x14ac:dyDescent="0.25">
      <c r="H32089" s="12"/>
      <c r="I32089" s="12"/>
      <c r="J32089" s="12"/>
      <c r="K32089" s="12"/>
      <c r="L32089" s="12"/>
      <c r="M32089" s="11"/>
      <c r="N32089" s="11"/>
      <c r="O32089" s="11"/>
      <c r="P32089" s="11"/>
    </row>
    <row r="32090" spans="8:16" x14ac:dyDescent="0.25">
      <c r="H32090" s="12"/>
      <c r="I32090" s="12"/>
      <c r="J32090" s="12"/>
      <c r="K32090" s="12"/>
      <c r="L32090" s="12"/>
      <c r="M32090" s="11"/>
      <c r="N32090" s="11"/>
      <c r="O32090" s="11"/>
      <c r="P32090" s="11"/>
    </row>
    <row r="32091" spans="8:16" x14ac:dyDescent="0.25">
      <c r="H32091" s="12"/>
      <c r="I32091" s="12"/>
      <c r="J32091" s="12"/>
      <c r="K32091" s="12"/>
      <c r="L32091" s="12"/>
      <c r="M32091" s="11"/>
      <c r="N32091" s="11"/>
      <c r="O32091" s="11"/>
      <c r="P32091" s="11"/>
    </row>
    <row r="32092" spans="8:16" x14ac:dyDescent="0.25">
      <c r="H32092" s="12"/>
      <c r="I32092" s="12"/>
      <c r="J32092" s="12"/>
      <c r="K32092" s="12"/>
      <c r="L32092" s="12"/>
      <c r="M32092" s="11"/>
      <c r="N32092" s="11"/>
      <c r="O32092" s="11"/>
      <c r="P32092" s="11"/>
    </row>
    <row r="32093" spans="8:16" x14ac:dyDescent="0.25">
      <c r="H32093" s="12"/>
      <c r="I32093" s="12"/>
      <c r="J32093" s="12"/>
      <c r="K32093" s="12"/>
      <c r="L32093" s="12"/>
      <c r="M32093" s="11"/>
      <c r="N32093" s="11"/>
      <c r="O32093" s="11"/>
      <c r="P32093" s="11"/>
    </row>
    <row r="32094" spans="8:16" x14ac:dyDescent="0.25">
      <c r="H32094" s="12"/>
      <c r="I32094" s="12"/>
      <c r="J32094" s="12"/>
      <c r="K32094" s="12"/>
      <c r="L32094" s="12"/>
      <c r="M32094" s="11"/>
      <c r="N32094" s="11"/>
      <c r="O32094" s="11"/>
      <c r="P32094" s="11"/>
    </row>
    <row r="32095" spans="8:16" x14ac:dyDescent="0.25">
      <c r="H32095" s="12"/>
      <c r="I32095" s="12"/>
      <c r="J32095" s="12"/>
      <c r="K32095" s="12"/>
      <c r="L32095" s="12"/>
      <c r="M32095" s="11"/>
      <c r="N32095" s="11"/>
      <c r="O32095" s="11"/>
      <c r="P32095" s="11"/>
    </row>
    <row r="32096" spans="8:16" x14ac:dyDescent="0.25">
      <c r="H32096" s="12"/>
      <c r="I32096" s="12"/>
      <c r="J32096" s="12"/>
      <c r="K32096" s="12"/>
      <c r="L32096" s="12"/>
      <c r="M32096" s="11"/>
      <c r="N32096" s="11"/>
      <c r="O32096" s="11"/>
      <c r="P32096" s="11"/>
    </row>
    <row r="32097" spans="8:16" x14ac:dyDescent="0.25">
      <c r="H32097" s="12"/>
      <c r="I32097" s="12"/>
      <c r="J32097" s="12"/>
      <c r="K32097" s="12"/>
      <c r="L32097" s="12"/>
      <c r="M32097" s="11"/>
      <c r="N32097" s="11"/>
      <c r="O32097" s="11"/>
      <c r="P32097" s="11"/>
    </row>
    <row r="32098" spans="8:16" x14ac:dyDescent="0.25">
      <c r="H32098" s="12"/>
      <c r="I32098" s="12"/>
      <c r="J32098" s="12"/>
      <c r="K32098" s="12"/>
      <c r="L32098" s="12"/>
      <c r="M32098" s="11"/>
      <c r="N32098" s="11"/>
      <c r="O32098" s="11"/>
      <c r="P32098" s="11"/>
    </row>
    <row r="32099" spans="8:16" x14ac:dyDescent="0.25">
      <c r="H32099" s="12"/>
      <c r="I32099" s="12"/>
      <c r="J32099" s="12"/>
      <c r="K32099" s="12"/>
      <c r="L32099" s="12"/>
      <c r="M32099" s="11"/>
      <c r="N32099" s="11"/>
      <c r="O32099" s="11"/>
      <c r="P32099" s="11"/>
    </row>
    <row r="32100" spans="8:16" x14ac:dyDescent="0.25">
      <c r="H32100" s="12"/>
      <c r="I32100" s="12"/>
      <c r="J32100" s="12"/>
      <c r="K32100" s="12"/>
      <c r="L32100" s="12"/>
      <c r="M32100" s="11"/>
      <c r="N32100" s="11"/>
      <c r="O32100" s="11"/>
      <c r="P32100" s="11"/>
    </row>
    <row r="32101" spans="8:16" x14ac:dyDescent="0.25">
      <c r="H32101" s="12"/>
      <c r="I32101" s="12"/>
      <c r="J32101" s="12"/>
      <c r="K32101" s="12"/>
      <c r="L32101" s="12"/>
      <c r="M32101" s="11"/>
      <c r="N32101" s="11"/>
      <c r="O32101" s="11"/>
      <c r="P32101" s="11"/>
    </row>
    <row r="32102" spans="8:16" x14ac:dyDescent="0.25">
      <c r="H32102" s="12"/>
      <c r="I32102" s="12"/>
      <c r="J32102" s="12"/>
      <c r="K32102" s="12"/>
      <c r="L32102" s="12"/>
      <c r="M32102" s="11"/>
      <c r="N32102" s="11"/>
      <c r="O32102" s="11"/>
      <c r="P32102" s="11"/>
    </row>
    <row r="32103" spans="8:16" x14ac:dyDescent="0.25">
      <c r="H32103" s="12"/>
      <c r="I32103" s="12"/>
      <c r="J32103" s="12"/>
      <c r="K32103" s="12"/>
      <c r="L32103" s="12"/>
      <c r="M32103" s="11"/>
      <c r="N32103" s="11"/>
      <c r="O32103" s="11"/>
      <c r="P32103" s="11"/>
    </row>
    <row r="32104" spans="8:16" x14ac:dyDescent="0.25">
      <c r="H32104" s="12"/>
      <c r="I32104" s="12"/>
      <c r="J32104" s="12"/>
      <c r="K32104" s="12"/>
      <c r="L32104" s="12"/>
      <c r="M32104" s="11"/>
      <c r="N32104" s="11"/>
      <c r="O32104" s="11"/>
      <c r="P32104" s="11"/>
    </row>
    <row r="32105" spans="8:16" x14ac:dyDescent="0.25">
      <c r="H32105" s="12"/>
      <c r="I32105" s="12"/>
      <c r="J32105" s="12"/>
      <c r="K32105" s="12"/>
      <c r="L32105" s="12"/>
      <c r="M32105" s="11"/>
      <c r="N32105" s="11"/>
      <c r="O32105" s="11"/>
      <c r="P32105" s="11"/>
    </row>
    <row r="32106" spans="8:16" x14ac:dyDescent="0.25">
      <c r="H32106" s="12"/>
      <c r="I32106" s="12"/>
      <c r="J32106" s="12"/>
      <c r="K32106" s="12"/>
      <c r="L32106" s="12"/>
      <c r="M32106" s="11"/>
      <c r="N32106" s="11"/>
      <c r="O32106" s="11"/>
      <c r="P32106" s="11"/>
    </row>
    <row r="32107" spans="8:16" x14ac:dyDescent="0.25">
      <c r="H32107" s="12"/>
      <c r="I32107" s="12"/>
      <c r="J32107" s="12"/>
      <c r="K32107" s="12"/>
      <c r="L32107" s="12"/>
      <c r="M32107" s="11"/>
      <c r="N32107" s="11"/>
      <c r="O32107" s="11"/>
      <c r="P32107" s="11"/>
    </row>
    <row r="32108" spans="8:16" x14ac:dyDescent="0.25">
      <c r="H32108" s="12"/>
      <c r="I32108" s="12"/>
      <c r="J32108" s="12"/>
      <c r="K32108" s="12"/>
      <c r="L32108" s="12"/>
      <c r="M32108" s="11"/>
      <c r="N32108" s="11"/>
      <c r="O32108" s="11"/>
      <c r="P32108" s="11"/>
    </row>
    <row r="32109" spans="8:16" x14ac:dyDescent="0.25">
      <c r="H32109" s="12"/>
      <c r="I32109" s="12"/>
      <c r="J32109" s="12"/>
      <c r="K32109" s="12"/>
      <c r="L32109" s="12"/>
      <c r="M32109" s="11"/>
      <c r="N32109" s="11"/>
      <c r="O32109" s="11"/>
      <c r="P32109" s="11"/>
    </row>
    <row r="32110" spans="8:16" x14ac:dyDescent="0.25">
      <c r="H32110" s="12"/>
      <c r="I32110" s="12"/>
      <c r="J32110" s="12"/>
      <c r="K32110" s="12"/>
      <c r="L32110" s="12"/>
      <c r="M32110" s="11"/>
      <c r="N32110" s="11"/>
      <c r="O32110" s="11"/>
      <c r="P32110" s="11"/>
    </row>
    <row r="32111" spans="8:16" x14ac:dyDescent="0.25">
      <c r="H32111" s="12"/>
      <c r="I32111" s="12"/>
      <c r="J32111" s="12"/>
      <c r="K32111" s="12"/>
      <c r="L32111" s="12"/>
      <c r="M32111" s="11"/>
      <c r="N32111" s="11"/>
      <c r="O32111" s="11"/>
      <c r="P32111" s="11"/>
    </row>
    <row r="32112" spans="8:16" x14ac:dyDescent="0.25">
      <c r="H32112" s="12"/>
      <c r="I32112" s="12"/>
      <c r="J32112" s="12"/>
      <c r="K32112" s="12"/>
      <c r="L32112" s="12"/>
      <c r="M32112" s="11"/>
      <c r="N32112" s="11"/>
      <c r="O32112" s="11"/>
      <c r="P32112" s="11"/>
    </row>
    <row r="32113" spans="8:16" x14ac:dyDescent="0.25">
      <c r="H32113" s="12"/>
      <c r="I32113" s="12"/>
      <c r="J32113" s="12"/>
      <c r="K32113" s="12"/>
      <c r="L32113" s="12"/>
      <c r="M32113" s="11"/>
      <c r="N32113" s="11"/>
      <c r="O32113" s="11"/>
      <c r="P32113" s="11"/>
    </row>
    <row r="32114" spans="8:16" x14ac:dyDescent="0.25">
      <c r="H32114" s="12"/>
      <c r="I32114" s="12"/>
      <c r="J32114" s="12"/>
      <c r="K32114" s="12"/>
      <c r="L32114" s="12"/>
      <c r="M32114" s="11"/>
      <c r="N32114" s="11"/>
      <c r="O32114" s="11"/>
      <c r="P32114" s="11"/>
    </row>
    <row r="32115" spans="8:16" x14ac:dyDescent="0.25">
      <c r="H32115" s="12"/>
      <c r="I32115" s="12"/>
      <c r="J32115" s="12"/>
      <c r="K32115" s="12"/>
      <c r="L32115" s="12"/>
      <c r="M32115" s="11"/>
      <c r="N32115" s="11"/>
      <c r="O32115" s="11"/>
      <c r="P32115" s="11"/>
    </row>
    <row r="32116" spans="8:16" x14ac:dyDescent="0.25">
      <c r="H32116" s="12"/>
      <c r="I32116" s="12"/>
      <c r="J32116" s="12"/>
      <c r="K32116" s="12"/>
      <c r="L32116" s="12"/>
      <c r="M32116" s="11"/>
      <c r="N32116" s="11"/>
      <c r="O32116" s="11"/>
      <c r="P32116" s="11"/>
    </row>
    <row r="32117" spans="8:16" x14ac:dyDescent="0.25">
      <c r="H32117" s="12"/>
      <c r="I32117" s="12"/>
      <c r="J32117" s="12"/>
      <c r="K32117" s="12"/>
      <c r="L32117" s="12"/>
      <c r="M32117" s="11"/>
      <c r="N32117" s="11"/>
      <c r="O32117" s="11"/>
      <c r="P32117" s="11"/>
    </row>
    <row r="32118" spans="8:16" x14ac:dyDescent="0.25">
      <c r="H32118" s="12"/>
      <c r="I32118" s="12"/>
      <c r="J32118" s="12"/>
      <c r="K32118" s="12"/>
      <c r="L32118" s="12"/>
      <c r="M32118" s="11"/>
      <c r="N32118" s="11"/>
      <c r="O32118" s="11"/>
      <c r="P32118" s="11"/>
    </row>
    <row r="32119" spans="8:16" x14ac:dyDescent="0.25">
      <c r="H32119" s="12"/>
      <c r="I32119" s="12"/>
      <c r="J32119" s="12"/>
      <c r="K32119" s="12"/>
      <c r="L32119" s="12"/>
      <c r="M32119" s="11"/>
      <c r="N32119" s="11"/>
      <c r="O32119" s="11"/>
      <c r="P32119" s="11"/>
    </row>
    <row r="32120" spans="8:16" x14ac:dyDescent="0.25">
      <c r="H32120" s="12"/>
      <c r="I32120" s="12"/>
      <c r="J32120" s="12"/>
      <c r="K32120" s="12"/>
      <c r="L32120" s="12"/>
      <c r="M32120" s="11"/>
      <c r="N32120" s="11"/>
      <c r="O32120" s="11"/>
      <c r="P32120" s="11"/>
    </row>
    <row r="32121" spans="8:16" x14ac:dyDescent="0.25">
      <c r="H32121" s="12"/>
      <c r="I32121" s="12"/>
      <c r="J32121" s="12"/>
      <c r="K32121" s="12"/>
      <c r="L32121" s="12"/>
      <c r="M32121" s="11"/>
      <c r="N32121" s="11"/>
      <c r="O32121" s="11"/>
      <c r="P32121" s="11"/>
    </row>
    <row r="32122" spans="8:16" x14ac:dyDescent="0.25">
      <c r="H32122" s="12"/>
      <c r="I32122" s="12"/>
      <c r="J32122" s="12"/>
      <c r="K32122" s="12"/>
      <c r="L32122" s="12"/>
      <c r="M32122" s="11"/>
      <c r="N32122" s="11"/>
      <c r="O32122" s="11"/>
      <c r="P32122" s="11"/>
    </row>
    <row r="32123" spans="8:16" x14ac:dyDescent="0.25">
      <c r="H32123" s="12"/>
      <c r="I32123" s="12"/>
      <c r="J32123" s="12"/>
      <c r="K32123" s="12"/>
      <c r="L32123" s="12"/>
      <c r="M32123" s="11"/>
      <c r="N32123" s="11"/>
      <c r="O32123" s="11"/>
      <c r="P32123" s="11"/>
    </row>
    <row r="32124" spans="8:16" x14ac:dyDescent="0.25">
      <c r="H32124" s="12"/>
      <c r="I32124" s="12"/>
      <c r="J32124" s="12"/>
      <c r="K32124" s="12"/>
      <c r="L32124" s="12"/>
      <c r="M32124" s="11"/>
      <c r="N32124" s="11"/>
      <c r="O32124" s="11"/>
      <c r="P32124" s="11"/>
    </row>
    <row r="32125" spans="8:16" x14ac:dyDescent="0.25">
      <c r="H32125" s="12"/>
      <c r="I32125" s="12"/>
      <c r="J32125" s="12"/>
      <c r="K32125" s="12"/>
      <c r="L32125" s="12"/>
      <c r="M32125" s="11"/>
      <c r="N32125" s="11"/>
      <c r="O32125" s="11"/>
      <c r="P32125" s="11"/>
    </row>
    <row r="32126" spans="8:16" x14ac:dyDescent="0.25">
      <c r="H32126" s="12"/>
      <c r="I32126" s="12"/>
      <c r="J32126" s="12"/>
      <c r="K32126" s="12"/>
      <c r="L32126" s="12"/>
      <c r="M32126" s="11"/>
      <c r="N32126" s="11"/>
      <c r="O32126" s="11"/>
      <c r="P32126" s="11"/>
    </row>
    <row r="32127" spans="8:16" x14ac:dyDescent="0.25">
      <c r="H32127" s="12"/>
      <c r="I32127" s="12"/>
      <c r="J32127" s="12"/>
      <c r="K32127" s="12"/>
      <c r="L32127" s="12"/>
      <c r="M32127" s="11"/>
      <c r="N32127" s="11"/>
      <c r="O32127" s="11"/>
      <c r="P32127" s="11"/>
    </row>
    <row r="32128" spans="8:16" x14ac:dyDescent="0.25">
      <c r="H32128" s="12"/>
      <c r="I32128" s="12"/>
      <c r="J32128" s="12"/>
      <c r="K32128" s="12"/>
      <c r="L32128" s="12"/>
      <c r="M32128" s="11"/>
      <c r="N32128" s="11"/>
      <c r="O32128" s="11"/>
      <c r="P32128" s="11"/>
    </row>
    <row r="32129" spans="8:16" x14ac:dyDescent="0.25">
      <c r="H32129" s="12"/>
      <c r="I32129" s="12"/>
      <c r="J32129" s="12"/>
      <c r="K32129" s="12"/>
      <c r="L32129" s="12"/>
      <c r="M32129" s="11"/>
      <c r="N32129" s="11"/>
      <c r="O32129" s="11"/>
      <c r="P32129" s="11"/>
    </row>
    <row r="32130" spans="8:16" x14ac:dyDescent="0.25">
      <c r="H32130" s="12"/>
      <c r="I32130" s="12"/>
      <c r="J32130" s="12"/>
      <c r="K32130" s="12"/>
      <c r="L32130" s="12"/>
      <c r="M32130" s="11"/>
      <c r="N32130" s="11"/>
      <c r="O32130" s="11"/>
      <c r="P32130" s="11"/>
    </row>
    <row r="32131" spans="8:16" x14ac:dyDescent="0.25">
      <c r="H32131" s="12"/>
      <c r="I32131" s="12"/>
      <c r="J32131" s="12"/>
      <c r="K32131" s="12"/>
      <c r="L32131" s="12"/>
      <c r="M32131" s="11"/>
      <c r="N32131" s="11"/>
      <c r="O32131" s="11"/>
      <c r="P32131" s="11"/>
    </row>
    <row r="32132" spans="8:16" x14ac:dyDescent="0.25">
      <c r="H32132" s="12"/>
      <c r="I32132" s="12"/>
      <c r="J32132" s="12"/>
      <c r="K32132" s="12"/>
      <c r="L32132" s="12"/>
      <c r="M32132" s="11"/>
      <c r="N32132" s="11"/>
      <c r="O32132" s="11"/>
      <c r="P32132" s="11"/>
    </row>
    <row r="32133" spans="8:16" x14ac:dyDescent="0.25">
      <c r="H32133" s="12"/>
      <c r="I32133" s="12"/>
      <c r="J32133" s="12"/>
      <c r="K32133" s="12"/>
      <c r="L32133" s="12"/>
      <c r="M32133" s="11"/>
      <c r="N32133" s="11"/>
      <c r="O32133" s="11"/>
      <c r="P32133" s="11"/>
    </row>
    <row r="32134" spans="8:16" x14ac:dyDescent="0.25">
      <c r="H32134" s="12"/>
      <c r="I32134" s="12"/>
      <c r="J32134" s="12"/>
      <c r="K32134" s="12"/>
      <c r="L32134" s="12"/>
      <c r="M32134" s="11"/>
      <c r="N32134" s="11"/>
      <c r="O32134" s="11"/>
      <c r="P32134" s="11"/>
    </row>
    <row r="32135" spans="8:16" x14ac:dyDescent="0.25">
      <c r="H32135" s="12"/>
      <c r="I32135" s="12"/>
      <c r="J32135" s="12"/>
      <c r="K32135" s="12"/>
      <c r="L32135" s="12"/>
      <c r="M32135" s="11"/>
      <c r="N32135" s="11"/>
      <c r="O32135" s="11"/>
      <c r="P32135" s="11"/>
    </row>
    <row r="32136" spans="8:16" x14ac:dyDescent="0.25">
      <c r="H32136" s="12"/>
      <c r="I32136" s="12"/>
      <c r="J32136" s="12"/>
      <c r="K32136" s="12"/>
      <c r="L32136" s="12"/>
      <c r="M32136" s="11"/>
      <c r="N32136" s="11"/>
      <c r="O32136" s="11"/>
      <c r="P32136" s="11"/>
    </row>
    <row r="32137" spans="8:16" x14ac:dyDescent="0.25">
      <c r="H32137" s="12"/>
      <c r="I32137" s="12"/>
      <c r="J32137" s="12"/>
      <c r="K32137" s="12"/>
      <c r="L32137" s="12"/>
      <c r="M32137" s="11"/>
      <c r="N32137" s="11"/>
      <c r="O32137" s="11"/>
      <c r="P32137" s="11"/>
    </row>
    <row r="32138" spans="8:16" x14ac:dyDescent="0.25">
      <c r="H32138" s="12"/>
      <c r="I32138" s="12"/>
      <c r="J32138" s="12"/>
      <c r="K32138" s="12"/>
      <c r="L32138" s="12"/>
      <c r="M32138" s="11"/>
      <c r="N32138" s="11"/>
      <c r="O32138" s="11"/>
      <c r="P32138" s="11"/>
    </row>
    <row r="32139" spans="8:16" x14ac:dyDescent="0.25">
      <c r="H32139" s="12"/>
      <c r="I32139" s="12"/>
      <c r="J32139" s="12"/>
      <c r="K32139" s="12"/>
      <c r="L32139" s="12"/>
      <c r="M32139" s="11"/>
      <c r="N32139" s="11"/>
      <c r="O32139" s="11"/>
      <c r="P32139" s="11"/>
    </row>
    <row r="32140" spans="8:16" x14ac:dyDescent="0.25">
      <c r="H32140" s="12"/>
      <c r="I32140" s="12"/>
      <c r="J32140" s="12"/>
      <c r="K32140" s="12"/>
      <c r="L32140" s="12"/>
      <c r="M32140" s="11"/>
      <c r="N32140" s="11"/>
      <c r="O32140" s="11"/>
      <c r="P32140" s="11"/>
    </row>
    <row r="32141" spans="8:16" x14ac:dyDescent="0.25">
      <c r="H32141" s="12"/>
      <c r="I32141" s="12"/>
      <c r="J32141" s="12"/>
      <c r="K32141" s="12"/>
      <c r="L32141" s="12"/>
      <c r="M32141" s="11"/>
      <c r="N32141" s="11"/>
      <c r="O32141" s="11"/>
      <c r="P32141" s="11"/>
    </row>
    <row r="32142" spans="8:16" x14ac:dyDescent="0.25">
      <c r="H32142" s="12"/>
      <c r="I32142" s="12"/>
      <c r="J32142" s="12"/>
      <c r="K32142" s="12"/>
      <c r="L32142" s="12"/>
      <c r="M32142" s="11"/>
      <c r="N32142" s="11"/>
      <c r="O32142" s="11"/>
      <c r="P32142" s="11"/>
    </row>
    <row r="32143" spans="8:16" x14ac:dyDescent="0.25">
      <c r="H32143" s="12"/>
      <c r="I32143" s="12"/>
      <c r="J32143" s="12"/>
      <c r="K32143" s="12"/>
      <c r="L32143" s="12"/>
      <c r="M32143" s="11"/>
      <c r="N32143" s="11"/>
      <c r="O32143" s="11"/>
      <c r="P32143" s="11"/>
    </row>
    <row r="32144" spans="8:16" x14ac:dyDescent="0.25">
      <c r="H32144" s="12"/>
      <c r="I32144" s="12"/>
      <c r="J32144" s="12"/>
      <c r="K32144" s="12"/>
      <c r="L32144" s="12"/>
      <c r="M32144" s="11"/>
      <c r="N32144" s="11"/>
      <c r="O32144" s="11"/>
      <c r="P32144" s="11"/>
    </row>
    <row r="32145" spans="8:16" x14ac:dyDescent="0.25">
      <c r="H32145" s="12"/>
      <c r="I32145" s="12"/>
      <c r="J32145" s="12"/>
      <c r="K32145" s="12"/>
      <c r="L32145" s="12"/>
      <c r="M32145" s="11"/>
      <c r="N32145" s="11"/>
      <c r="O32145" s="11"/>
      <c r="P32145" s="11"/>
    </row>
    <row r="32146" spans="8:16" x14ac:dyDescent="0.25">
      <c r="H32146" s="12"/>
      <c r="I32146" s="12"/>
      <c r="J32146" s="12"/>
      <c r="K32146" s="12"/>
      <c r="L32146" s="12"/>
      <c r="M32146" s="11"/>
      <c r="N32146" s="11"/>
      <c r="O32146" s="11"/>
      <c r="P32146" s="11"/>
    </row>
    <row r="32147" spans="8:16" x14ac:dyDescent="0.25">
      <c r="H32147" s="12"/>
      <c r="I32147" s="12"/>
      <c r="J32147" s="12"/>
      <c r="K32147" s="12"/>
      <c r="L32147" s="12"/>
      <c r="M32147" s="11"/>
      <c r="N32147" s="11"/>
      <c r="O32147" s="11"/>
      <c r="P32147" s="11"/>
    </row>
    <row r="32148" spans="8:16" x14ac:dyDescent="0.25">
      <c r="H32148" s="12"/>
      <c r="I32148" s="12"/>
      <c r="J32148" s="12"/>
      <c r="K32148" s="12"/>
      <c r="L32148" s="12"/>
      <c r="M32148" s="11"/>
      <c r="N32148" s="11"/>
      <c r="O32148" s="11"/>
      <c r="P32148" s="11"/>
    </row>
    <row r="32149" spans="8:16" x14ac:dyDescent="0.25">
      <c r="H32149" s="12"/>
      <c r="I32149" s="12"/>
      <c r="J32149" s="12"/>
      <c r="K32149" s="12"/>
      <c r="L32149" s="12"/>
      <c r="M32149" s="11"/>
      <c r="N32149" s="11"/>
      <c r="O32149" s="11"/>
      <c r="P32149" s="11"/>
    </row>
    <row r="32150" spans="8:16" x14ac:dyDescent="0.25">
      <c r="H32150" s="12"/>
      <c r="I32150" s="12"/>
      <c r="J32150" s="12"/>
      <c r="K32150" s="12"/>
      <c r="L32150" s="12"/>
      <c r="M32150" s="11"/>
      <c r="N32150" s="11"/>
      <c r="O32150" s="11"/>
      <c r="P32150" s="11"/>
    </row>
    <row r="32151" spans="8:16" x14ac:dyDescent="0.25">
      <c r="H32151" s="12"/>
      <c r="I32151" s="12"/>
      <c r="J32151" s="12"/>
      <c r="K32151" s="12"/>
      <c r="L32151" s="12"/>
      <c r="M32151" s="11"/>
      <c r="N32151" s="11"/>
      <c r="O32151" s="11"/>
      <c r="P32151" s="11"/>
    </row>
    <row r="32152" spans="8:16" x14ac:dyDescent="0.25">
      <c r="H32152" s="12"/>
      <c r="I32152" s="12"/>
      <c r="J32152" s="12"/>
      <c r="K32152" s="12"/>
      <c r="L32152" s="12"/>
      <c r="M32152" s="11"/>
      <c r="N32152" s="11"/>
      <c r="O32152" s="11"/>
      <c r="P32152" s="11"/>
    </row>
    <row r="32153" spans="8:16" x14ac:dyDescent="0.25">
      <c r="H32153" s="12"/>
      <c r="I32153" s="12"/>
      <c r="J32153" s="12"/>
      <c r="K32153" s="12"/>
      <c r="L32153" s="12"/>
      <c r="M32153" s="11"/>
      <c r="N32153" s="11"/>
      <c r="O32153" s="11"/>
      <c r="P32153" s="11"/>
    </row>
    <row r="32154" spans="8:16" x14ac:dyDescent="0.25">
      <c r="H32154" s="12"/>
      <c r="I32154" s="12"/>
      <c r="J32154" s="12"/>
      <c r="K32154" s="12"/>
      <c r="L32154" s="12"/>
      <c r="M32154" s="11"/>
      <c r="N32154" s="11"/>
      <c r="O32154" s="11"/>
      <c r="P32154" s="11"/>
    </row>
    <row r="32155" spans="8:16" x14ac:dyDescent="0.25">
      <c r="H32155" s="12"/>
      <c r="I32155" s="12"/>
      <c r="J32155" s="12"/>
      <c r="K32155" s="12"/>
      <c r="L32155" s="12"/>
      <c r="M32155" s="11"/>
      <c r="N32155" s="11"/>
      <c r="O32155" s="11"/>
      <c r="P32155" s="11"/>
    </row>
    <row r="32156" spans="8:16" x14ac:dyDescent="0.25">
      <c r="H32156" s="12"/>
      <c r="I32156" s="12"/>
      <c r="J32156" s="12"/>
      <c r="K32156" s="12"/>
      <c r="L32156" s="12"/>
      <c r="M32156" s="11"/>
      <c r="N32156" s="11"/>
      <c r="O32156" s="11"/>
      <c r="P32156" s="11"/>
    </row>
    <row r="32157" spans="8:16" x14ac:dyDescent="0.25">
      <c r="H32157" s="12"/>
      <c r="I32157" s="12"/>
      <c r="J32157" s="12"/>
      <c r="K32157" s="12"/>
      <c r="L32157" s="12"/>
      <c r="M32157" s="11"/>
      <c r="N32157" s="11"/>
      <c r="O32157" s="11"/>
      <c r="P32157" s="11"/>
    </row>
    <row r="32158" spans="8:16" x14ac:dyDescent="0.25">
      <c r="H32158" s="12"/>
      <c r="I32158" s="12"/>
      <c r="J32158" s="12"/>
      <c r="K32158" s="12"/>
      <c r="L32158" s="12"/>
      <c r="M32158" s="11"/>
      <c r="N32158" s="11"/>
      <c r="O32158" s="11"/>
      <c r="P32158" s="11"/>
    </row>
    <row r="32159" spans="8:16" x14ac:dyDescent="0.25">
      <c r="H32159" s="12"/>
      <c r="I32159" s="12"/>
      <c r="J32159" s="12"/>
      <c r="K32159" s="12"/>
      <c r="L32159" s="12"/>
      <c r="M32159" s="11"/>
      <c r="N32159" s="11"/>
      <c r="O32159" s="11"/>
      <c r="P32159" s="11"/>
    </row>
    <row r="32160" spans="8:16" x14ac:dyDescent="0.25">
      <c r="H32160" s="12"/>
      <c r="I32160" s="12"/>
      <c r="J32160" s="12"/>
      <c r="K32160" s="12"/>
      <c r="L32160" s="12"/>
      <c r="M32160" s="11"/>
      <c r="N32160" s="11"/>
      <c r="O32160" s="11"/>
      <c r="P32160" s="11"/>
    </row>
    <row r="32161" spans="8:16" x14ac:dyDescent="0.25">
      <c r="H32161" s="12"/>
      <c r="I32161" s="12"/>
      <c r="J32161" s="12"/>
      <c r="K32161" s="12"/>
      <c r="L32161" s="12"/>
      <c r="M32161" s="11"/>
      <c r="N32161" s="11"/>
      <c r="O32161" s="11"/>
      <c r="P32161" s="11"/>
    </row>
    <row r="32162" spans="8:16" x14ac:dyDescent="0.25">
      <c r="H32162" s="12"/>
      <c r="I32162" s="12"/>
      <c r="J32162" s="12"/>
      <c r="K32162" s="12"/>
      <c r="L32162" s="12"/>
      <c r="M32162" s="11"/>
      <c r="N32162" s="11"/>
      <c r="O32162" s="11"/>
      <c r="P32162" s="11"/>
    </row>
    <row r="32163" spans="8:16" x14ac:dyDescent="0.25">
      <c r="H32163" s="12"/>
      <c r="I32163" s="12"/>
      <c r="J32163" s="12"/>
      <c r="K32163" s="12"/>
      <c r="L32163" s="12"/>
      <c r="M32163" s="11"/>
      <c r="N32163" s="11"/>
      <c r="O32163" s="11"/>
      <c r="P32163" s="11"/>
    </row>
    <row r="32164" spans="8:16" x14ac:dyDescent="0.25">
      <c r="H32164" s="12"/>
      <c r="I32164" s="12"/>
      <c r="J32164" s="12"/>
      <c r="K32164" s="12"/>
      <c r="L32164" s="12"/>
      <c r="M32164" s="11"/>
      <c r="N32164" s="11"/>
      <c r="O32164" s="11"/>
      <c r="P32164" s="11"/>
    </row>
    <row r="32165" spans="8:16" x14ac:dyDescent="0.25">
      <c r="H32165" s="12"/>
      <c r="I32165" s="12"/>
      <c r="J32165" s="12"/>
      <c r="K32165" s="12"/>
      <c r="L32165" s="12"/>
      <c r="M32165" s="11"/>
      <c r="N32165" s="11"/>
      <c r="O32165" s="11"/>
      <c r="P32165" s="11"/>
    </row>
    <row r="32166" spans="8:16" x14ac:dyDescent="0.25">
      <c r="H32166" s="12"/>
      <c r="I32166" s="12"/>
      <c r="J32166" s="12"/>
      <c r="K32166" s="12"/>
      <c r="L32166" s="12"/>
      <c r="M32166" s="11"/>
      <c r="N32166" s="11"/>
      <c r="O32166" s="11"/>
      <c r="P32166" s="11"/>
    </row>
    <row r="32167" spans="8:16" x14ac:dyDescent="0.25">
      <c r="H32167" s="12"/>
      <c r="I32167" s="12"/>
      <c r="J32167" s="12"/>
      <c r="K32167" s="12"/>
      <c r="L32167" s="12"/>
      <c r="M32167" s="11"/>
      <c r="N32167" s="11"/>
      <c r="O32167" s="11"/>
      <c r="P32167" s="11"/>
    </row>
    <row r="32168" spans="8:16" x14ac:dyDescent="0.25">
      <c r="H32168" s="12"/>
      <c r="I32168" s="12"/>
      <c r="J32168" s="12"/>
      <c r="K32168" s="12"/>
      <c r="L32168" s="12"/>
      <c r="M32168" s="11"/>
      <c r="N32168" s="11"/>
      <c r="O32168" s="11"/>
      <c r="P32168" s="11"/>
    </row>
    <row r="32169" spans="8:16" x14ac:dyDescent="0.25">
      <c r="H32169" s="12"/>
      <c r="I32169" s="12"/>
      <c r="J32169" s="12"/>
      <c r="K32169" s="12"/>
      <c r="L32169" s="12"/>
      <c r="M32169" s="11"/>
      <c r="N32169" s="11"/>
      <c r="O32169" s="11"/>
      <c r="P32169" s="11"/>
    </row>
    <row r="32170" spans="8:16" x14ac:dyDescent="0.25">
      <c r="H32170" s="12"/>
      <c r="I32170" s="12"/>
      <c r="J32170" s="12"/>
      <c r="K32170" s="12"/>
      <c r="L32170" s="12"/>
      <c r="M32170" s="11"/>
      <c r="N32170" s="11"/>
      <c r="O32170" s="11"/>
      <c r="P32170" s="11"/>
    </row>
    <row r="32171" spans="8:16" x14ac:dyDescent="0.25">
      <c r="H32171" s="12"/>
      <c r="I32171" s="12"/>
      <c r="J32171" s="12"/>
      <c r="K32171" s="12"/>
      <c r="L32171" s="12"/>
      <c r="M32171" s="11"/>
      <c r="N32171" s="11"/>
      <c r="O32171" s="11"/>
      <c r="P32171" s="11"/>
    </row>
    <row r="32172" spans="8:16" x14ac:dyDescent="0.25">
      <c r="H32172" s="12"/>
      <c r="I32172" s="12"/>
      <c r="J32172" s="12"/>
      <c r="K32172" s="12"/>
      <c r="L32172" s="12"/>
      <c r="M32172" s="11"/>
      <c r="N32172" s="11"/>
      <c r="O32172" s="11"/>
      <c r="P32172" s="11"/>
    </row>
    <row r="32173" spans="8:16" x14ac:dyDescent="0.25">
      <c r="H32173" s="12"/>
      <c r="I32173" s="12"/>
      <c r="J32173" s="12"/>
      <c r="K32173" s="12"/>
      <c r="L32173" s="12"/>
      <c r="M32173" s="11"/>
      <c r="N32173" s="11"/>
      <c r="O32173" s="11"/>
      <c r="P32173" s="11"/>
    </row>
    <row r="32174" spans="8:16" x14ac:dyDescent="0.25">
      <c r="H32174" s="12"/>
      <c r="I32174" s="12"/>
      <c r="J32174" s="12"/>
      <c r="K32174" s="12"/>
      <c r="L32174" s="12"/>
      <c r="M32174" s="11"/>
      <c r="N32174" s="11"/>
      <c r="O32174" s="11"/>
      <c r="P32174" s="11"/>
    </row>
    <row r="32175" spans="8:16" x14ac:dyDescent="0.25">
      <c r="H32175" s="12"/>
      <c r="I32175" s="12"/>
      <c r="J32175" s="12"/>
      <c r="K32175" s="12"/>
      <c r="L32175" s="12"/>
      <c r="M32175" s="11"/>
      <c r="N32175" s="11"/>
      <c r="O32175" s="11"/>
      <c r="P32175" s="11"/>
    </row>
    <row r="32176" spans="8:16" x14ac:dyDescent="0.25">
      <c r="H32176" s="12"/>
      <c r="I32176" s="12"/>
      <c r="J32176" s="12"/>
      <c r="K32176" s="12"/>
      <c r="L32176" s="12"/>
      <c r="M32176" s="11"/>
      <c r="N32176" s="11"/>
      <c r="O32176" s="11"/>
      <c r="P32176" s="11"/>
    </row>
    <row r="32177" spans="8:16" x14ac:dyDescent="0.25">
      <c r="H32177" s="12"/>
      <c r="I32177" s="12"/>
      <c r="J32177" s="12"/>
      <c r="K32177" s="12"/>
      <c r="L32177" s="12"/>
      <c r="M32177" s="11"/>
      <c r="N32177" s="11"/>
      <c r="O32177" s="11"/>
      <c r="P32177" s="11"/>
    </row>
    <row r="32178" spans="8:16" x14ac:dyDescent="0.25">
      <c r="H32178" s="12"/>
      <c r="I32178" s="12"/>
      <c r="J32178" s="12"/>
      <c r="K32178" s="12"/>
      <c r="L32178" s="12"/>
      <c r="M32178" s="11"/>
      <c r="N32178" s="11"/>
      <c r="O32178" s="11"/>
      <c r="P32178" s="11"/>
    </row>
    <row r="32179" spans="8:16" x14ac:dyDescent="0.25">
      <c r="H32179" s="12"/>
      <c r="I32179" s="12"/>
      <c r="J32179" s="12"/>
      <c r="K32179" s="12"/>
      <c r="L32179" s="12"/>
      <c r="M32179" s="11"/>
      <c r="N32179" s="11"/>
      <c r="O32179" s="11"/>
      <c r="P32179" s="11"/>
    </row>
    <row r="32180" spans="8:16" x14ac:dyDescent="0.25">
      <c r="H32180" s="12"/>
      <c r="I32180" s="12"/>
      <c r="J32180" s="12"/>
      <c r="K32180" s="12"/>
      <c r="L32180" s="12"/>
      <c r="M32180" s="11"/>
      <c r="N32180" s="11"/>
      <c r="O32180" s="11"/>
      <c r="P32180" s="11"/>
    </row>
    <row r="32181" spans="8:16" x14ac:dyDescent="0.25">
      <c r="H32181" s="12"/>
      <c r="I32181" s="12"/>
      <c r="J32181" s="12"/>
      <c r="K32181" s="12"/>
      <c r="L32181" s="12"/>
      <c r="M32181" s="11"/>
      <c r="N32181" s="11"/>
      <c r="O32181" s="11"/>
      <c r="P32181" s="11"/>
    </row>
    <row r="32182" spans="8:16" x14ac:dyDescent="0.25">
      <c r="H32182" s="12"/>
      <c r="I32182" s="12"/>
      <c r="J32182" s="12"/>
      <c r="K32182" s="12"/>
      <c r="L32182" s="12"/>
      <c r="M32182" s="11"/>
      <c r="N32182" s="11"/>
      <c r="O32182" s="11"/>
      <c r="P32182" s="11"/>
    </row>
    <row r="32183" spans="8:16" x14ac:dyDescent="0.25">
      <c r="H32183" s="12"/>
      <c r="I32183" s="12"/>
      <c r="J32183" s="12"/>
      <c r="K32183" s="12"/>
      <c r="L32183" s="12"/>
      <c r="M32183" s="11"/>
      <c r="N32183" s="11"/>
      <c r="O32183" s="11"/>
      <c r="P32183" s="11"/>
    </row>
    <row r="32184" spans="8:16" x14ac:dyDescent="0.25">
      <c r="H32184" s="12"/>
      <c r="I32184" s="12"/>
      <c r="J32184" s="12"/>
      <c r="K32184" s="12"/>
      <c r="L32184" s="12"/>
      <c r="M32184" s="11"/>
      <c r="N32184" s="11"/>
      <c r="O32184" s="11"/>
      <c r="P32184" s="11"/>
    </row>
    <row r="32185" spans="8:16" x14ac:dyDescent="0.25">
      <c r="H32185" s="12"/>
      <c r="I32185" s="12"/>
      <c r="J32185" s="12"/>
      <c r="K32185" s="12"/>
      <c r="L32185" s="12"/>
      <c r="M32185" s="11"/>
      <c r="N32185" s="11"/>
      <c r="O32185" s="11"/>
      <c r="P32185" s="11"/>
    </row>
    <row r="32186" spans="8:16" x14ac:dyDescent="0.25">
      <c r="H32186" s="12"/>
      <c r="I32186" s="12"/>
      <c r="J32186" s="12"/>
      <c r="K32186" s="12"/>
      <c r="L32186" s="12"/>
      <c r="M32186" s="11"/>
      <c r="N32186" s="11"/>
      <c r="O32186" s="11"/>
      <c r="P32186" s="11"/>
    </row>
    <row r="32187" spans="8:16" x14ac:dyDescent="0.25">
      <c r="H32187" s="12"/>
      <c r="I32187" s="12"/>
      <c r="J32187" s="12"/>
      <c r="K32187" s="12"/>
      <c r="L32187" s="12"/>
      <c r="M32187" s="11"/>
      <c r="N32187" s="11"/>
      <c r="O32187" s="11"/>
      <c r="P32187" s="11"/>
    </row>
    <row r="32188" spans="8:16" x14ac:dyDescent="0.25">
      <c r="H32188" s="12"/>
      <c r="I32188" s="12"/>
      <c r="J32188" s="12"/>
      <c r="K32188" s="12"/>
      <c r="L32188" s="12"/>
      <c r="M32188" s="11"/>
      <c r="N32188" s="11"/>
      <c r="O32188" s="11"/>
      <c r="P32188" s="11"/>
    </row>
    <row r="32189" spans="8:16" x14ac:dyDescent="0.25">
      <c r="H32189" s="12"/>
      <c r="I32189" s="12"/>
      <c r="J32189" s="12"/>
      <c r="K32189" s="12"/>
      <c r="L32189" s="12"/>
      <c r="M32189" s="11"/>
      <c r="N32189" s="11"/>
      <c r="O32189" s="11"/>
      <c r="P32189" s="11"/>
    </row>
    <row r="32190" spans="8:16" x14ac:dyDescent="0.25">
      <c r="H32190" s="12"/>
      <c r="I32190" s="12"/>
      <c r="J32190" s="12"/>
      <c r="K32190" s="12"/>
      <c r="L32190" s="12"/>
      <c r="M32190" s="11"/>
      <c r="N32190" s="11"/>
      <c r="O32190" s="11"/>
      <c r="P32190" s="11"/>
    </row>
    <row r="32191" spans="8:16" x14ac:dyDescent="0.25">
      <c r="H32191" s="12"/>
      <c r="I32191" s="12"/>
      <c r="J32191" s="12"/>
      <c r="K32191" s="12"/>
      <c r="L32191" s="12"/>
      <c r="M32191" s="11"/>
      <c r="N32191" s="11"/>
      <c r="O32191" s="11"/>
      <c r="P32191" s="11"/>
    </row>
    <row r="32192" spans="8:16" x14ac:dyDescent="0.25">
      <c r="H32192" s="12"/>
      <c r="I32192" s="12"/>
      <c r="J32192" s="12"/>
      <c r="K32192" s="12"/>
      <c r="L32192" s="12"/>
      <c r="M32192" s="11"/>
      <c r="N32192" s="11"/>
      <c r="O32192" s="11"/>
      <c r="P32192" s="11"/>
    </row>
    <row r="32193" spans="8:16" x14ac:dyDescent="0.25">
      <c r="H32193" s="12"/>
      <c r="I32193" s="12"/>
      <c r="J32193" s="12"/>
      <c r="K32193" s="12"/>
      <c r="L32193" s="12"/>
      <c r="M32193" s="11"/>
      <c r="N32193" s="11"/>
      <c r="O32193" s="11"/>
      <c r="P32193" s="11"/>
    </row>
    <row r="32194" spans="8:16" x14ac:dyDescent="0.25">
      <c r="H32194" s="12"/>
      <c r="I32194" s="12"/>
      <c r="J32194" s="12"/>
      <c r="K32194" s="12"/>
      <c r="L32194" s="12"/>
      <c r="M32194" s="11"/>
      <c r="N32194" s="11"/>
      <c r="O32194" s="11"/>
      <c r="P32194" s="11"/>
    </row>
    <row r="32195" spans="8:16" x14ac:dyDescent="0.25">
      <c r="H32195" s="12"/>
      <c r="I32195" s="12"/>
      <c r="J32195" s="12"/>
      <c r="K32195" s="12"/>
      <c r="L32195" s="12"/>
      <c r="M32195" s="11"/>
      <c r="N32195" s="11"/>
      <c r="O32195" s="11"/>
      <c r="P32195" s="11"/>
    </row>
    <row r="32196" spans="8:16" x14ac:dyDescent="0.25">
      <c r="H32196" s="12"/>
      <c r="I32196" s="12"/>
      <c r="J32196" s="12"/>
      <c r="K32196" s="12"/>
      <c r="L32196" s="12"/>
      <c r="M32196" s="11"/>
      <c r="N32196" s="11"/>
      <c r="O32196" s="11"/>
      <c r="P32196" s="11"/>
    </row>
    <row r="32197" spans="8:16" x14ac:dyDescent="0.25">
      <c r="H32197" s="12"/>
      <c r="I32197" s="12"/>
      <c r="J32197" s="12"/>
      <c r="K32197" s="12"/>
      <c r="L32197" s="12"/>
      <c r="M32197" s="11"/>
      <c r="N32197" s="11"/>
      <c r="O32197" s="11"/>
      <c r="P32197" s="11"/>
    </row>
    <row r="32198" spans="8:16" x14ac:dyDescent="0.25">
      <c r="H32198" s="12"/>
      <c r="I32198" s="12"/>
      <c r="J32198" s="12"/>
      <c r="K32198" s="12"/>
      <c r="L32198" s="12"/>
      <c r="M32198" s="11"/>
      <c r="N32198" s="11"/>
      <c r="O32198" s="11"/>
      <c r="P32198" s="11"/>
    </row>
    <row r="32199" spans="8:16" x14ac:dyDescent="0.25">
      <c r="H32199" s="12"/>
      <c r="I32199" s="12"/>
      <c r="J32199" s="12"/>
      <c r="K32199" s="12"/>
      <c r="L32199" s="12"/>
      <c r="M32199" s="11"/>
      <c r="N32199" s="11"/>
      <c r="O32199" s="11"/>
      <c r="P32199" s="11"/>
    </row>
    <row r="32200" spans="8:16" x14ac:dyDescent="0.25">
      <c r="H32200" s="12"/>
      <c r="I32200" s="12"/>
      <c r="J32200" s="12"/>
      <c r="K32200" s="12"/>
      <c r="L32200" s="12"/>
      <c r="M32200" s="11"/>
      <c r="N32200" s="11"/>
      <c r="O32200" s="11"/>
      <c r="P32200" s="11"/>
    </row>
    <row r="32201" spans="8:16" x14ac:dyDescent="0.25">
      <c r="H32201" s="12"/>
      <c r="I32201" s="12"/>
      <c r="J32201" s="12"/>
      <c r="K32201" s="12"/>
      <c r="L32201" s="12"/>
      <c r="M32201" s="11"/>
      <c r="N32201" s="11"/>
      <c r="O32201" s="11"/>
      <c r="P32201" s="11"/>
    </row>
    <row r="32202" spans="8:16" x14ac:dyDescent="0.25">
      <c r="H32202" s="12"/>
      <c r="I32202" s="12"/>
      <c r="J32202" s="12"/>
      <c r="K32202" s="12"/>
      <c r="L32202" s="12"/>
      <c r="M32202" s="11"/>
      <c r="N32202" s="11"/>
      <c r="O32202" s="11"/>
      <c r="P32202" s="11"/>
    </row>
    <row r="32203" spans="8:16" x14ac:dyDescent="0.25">
      <c r="H32203" s="12"/>
      <c r="I32203" s="12"/>
      <c r="J32203" s="12"/>
      <c r="K32203" s="12"/>
      <c r="L32203" s="12"/>
      <c r="M32203" s="11"/>
      <c r="N32203" s="11"/>
      <c r="O32203" s="11"/>
      <c r="P32203" s="11"/>
    </row>
    <row r="32204" spans="8:16" x14ac:dyDescent="0.25">
      <c r="H32204" s="12"/>
      <c r="I32204" s="12"/>
      <c r="J32204" s="12"/>
      <c r="K32204" s="12"/>
      <c r="L32204" s="12"/>
      <c r="M32204" s="11"/>
      <c r="N32204" s="11"/>
      <c r="O32204" s="11"/>
      <c r="P32204" s="11"/>
    </row>
    <row r="32205" spans="8:16" x14ac:dyDescent="0.25">
      <c r="H32205" s="12"/>
      <c r="I32205" s="12"/>
      <c r="J32205" s="12"/>
      <c r="K32205" s="12"/>
      <c r="L32205" s="12"/>
      <c r="M32205" s="11"/>
      <c r="N32205" s="11"/>
      <c r="O32205" s="11"/>
      <c r="P32205" s="11"/>
    </row>
    <row r="32206" spans="8:16" x14ac:dyDescent="0.25">
      <c r="H32206" s="12"/>
      <c r="I32206" s="12"/>
      <c r="J32206" s="12"/>
      <c r="K32206" s="12"/>
      <c r="L32206" s="12"/>
      <c r="M32206" s="11"/>
      <c r="N32206" s="11"/>
      <c r="O32206" s="11"/>
      <c r="P32206" s="11"/>
    </row>
    <row r="32207" spans="8:16" x14ac:dyDescent="0.25">
      <c r="H32207" s="12"/>
      <c r="I32207" s="12"/>
      <c r="J32207" s="12"/>
      <c r="K32207" s="12"/>
      <c r="L32207" s="12"/>
      <c r="M32207" s="11"/>
      <c r="N32207" s="11"/>
      <c r="O32207" s="11"/>
      <c r="P32207" s="11"/>
    </row>
    <row r="32208" spans="8:16" x14ac:dyDescent="0.25">
      <c r="H32208" s="12"/>
      <c r="I32208" s="12"/>
      <c r="J32208" s="12"/>
      <c r="K32208" s="12"/>
      <c r="L32208" s="12"/>
      <c r="M32208" s="11"/>
      <c r="N32208" s="11"/>
      <c r="O32208" s="11"/>
      <c r="P32208" s="11"/>
    </row>
    <row r="32209" spans="8:16" x14ac:dyDescent="0.25">
      <c r="H32209" s="12"/>
      <c r="I32209" s="12"/>
      <c r="J32209" s="12"/>
      <c r="K32209" s="12"/>
      <c r="L32209" s="12"/>
      <c r="M32209" s="11"/>
      <c r="N32209" s="11"/>
      <c r="O32209" s="11"/>
      <c r="P32209" s="11"/>
    </row>
    <row r="32210" spans="8:16" x14ac:dyDescent="0.25">
      <c r="H32210" s="12"/>
      <c r="I32210" s="12"/>
      <c r="J32210" s="12"/>
      <c r="K32210" s="12"/>
      <c r="L32210" s="12"/>
      <c r="M32210" s="11"/>
      <c r="N32210" s="11"/>
      <c r="O32210" s="11"/>
      <c r="P32210" s="11"/>
    </row>
    <row r="32211" spans="8:16" x14ac:dyDescent="0.25">
      <c r="H32211" s="12"/>
      <c r="I32211" s="12"/>
      <c r="J32211" s="12"/>
      <c r="K32211" s="12"/>
      <c r="L32211" s="12"/>
      <c r="M32211" s="11"/>
      <c r="N32211" s="11"/>
      <c r="O32211" s="11"/>
      <c r="P32211" s="11"/>
    </row>
    <row r="32212" spans="8:16" x14ac:dyDescent="0.25">
      <c r="H32212" s="12"/>
      <c r="I32212" s="12"/>
      <c r="J32212" s="12"/>
      <c r="K32212" s="12"/>
      <c r="L32212" s="12"/>
      <c r="M32212" s="11"/>
      <c r="N32212" s="11"/>
      <c r="O32212" s="11"/>
      <c r="P32212" s="11"/>
    </row>
    <row r="32213" spans="8:16" x14ac:dyDescent="0.25">
      <c r="H32213" s="12"/>
      <c r="I32213" s="12"/>
      <c r="J32213" s="12"/>
      <c r="K32213" s="12"/>
      <c r="L32213" s="12"/>
      <c r="M32213" s="11"/>
      <c r="N32213" s="11"/>
      <c r="O32213" s="11"/>
      <c r="P32213" s="11"/>
    </row>
    <row r="32214" spans="8:16" x14ac:dyDescent="0.25">
      <c r="H32214" s="12"/>
      <c r="I32214" s="12"/>
      <c r="J32214" s="12"/>
      <c r="K32214" s="12"/>
      <c r="L32214" s="12"/>
      <c r="M32214" s="11"/>
      <c r="N32214" s="11"/>
      <c r="O32214" s="11"/>
      <c r="P32214" s="11"/>
    </row>
    <row r="32215" spans="8:16" x14ac:dyDescent="0.25">
      <c r="H32215" s="12"/>
      <c r="I32215" s="12"/>
      <c r="J32215" s="12"/>
      <c r="K32215" s="12"/>
      <c r="L32215" s="12"/>
      <c r="M32215" s="11"/>
      <c r="N32215" s="11"/>
      <c r="O32215" s="11"/>
      <c r="P32215" s="11"/>
    </row>
    <row r="32216" spans="8:16" x14ac:dyDescent="0.25">
      <c r="H32216" s="12"/>
      <c r="I32216" s="12"/>
      <c r="J32216" s="12"/>
      <c r="K32216" s="12"/>
      <c r="L32216" s="12"/>
      <c r="M32216" s="11"/>
      <c r="N32216" s="11"/>
      <c r="O32216" s="11"/>
      <c r="P32216" s="11"/>
    </row>
    <row r="32217" spans="8:16" x14ac:dyDescent="0.25">
      <c r="H32217" s="12"/>
      <c r="I32217" s="12"/>
      <c r="J32217" s="12"/>
      <c r="K32217" s="12"/>
      <c r="L32217" s="12"/>
      <c r="M32217" s="11"/>
      <c r="N32217" s="11"/>
      <c r="O32217" s="11"/>
      <c r="P32217" s="11"/>
    </row>
    <row r="32218" spans="8:16" x14ac:dyDescent="0.25">
      <c r="H32218" s="12"/>
      <c r="I32218" s="12"/>
      <c r="J32218" s="12"/>
      <c r="K32218" s="12"/>
      <c r="L32218" s="12"/>
      <c r="M32218" s="11"/>
      <c r="N32218" s="11"/>
      <c r="O32218" s="11"/>
      <c r="P32218" s="11"/>
    </row>
    <row r="32219" spans="8:16" x14ac:dyDescent="0.25">
      <c r="H32219" s="12"/>
      <c r="I32219" s="12"/>
      <c r="J32219" s="12"/>
      <c r="K32219" s="12"/>
      <c r="L32219" s="12"/>
      <c r="M32219" s="11"/>
      <c r="N32219" s="11"/>
      <c r="O32219" s="11"/>
      <c r="P32219" s="11"/>
    </row>
    <row r="32220" spans="8:16" x14ac:dyDescent="0.25">
      <c r="H32220" s="12"/>
      <c r="I32220" s="12"/>
      <c r="J32220" s="12"/>
      <c r="K32220" s="12"/>
      <c r="L32220" s="12"/>
      <c r="M32220" s="11"/>
      <c r="N32220" s="11"/>
      <c r="O32220" s="11"/>
      <c r="P32220" s="11"/>
    </row>
    <row r="32221" spans="8:16" x14ac:dyDescent="0.25">
      <c r="H32221" s="12"/>
      <c r="I32221" s="12"/>
      <c r="J32221" s="12"/>
      <c r="K32221" s="12"/>
      <c r="L32221" s="12"/>
      <c r="M32221" s="11"/>
      <c r="N32221" s="11"/>
      <c r="O32221" s="11"/>
      <c r="P32221" s="11"/>
    </row>
    <row r="32222" spans="8:16" x14ac:dyDescent="0.25">
      <c r="H32222" s="12"/>
      <c r="I32222" s="12"/>
      <c r="J32222" s="12"/>
      <c r="K32222" s="12"/>
      <c r="L32222" s="12"/>
      <c r="M32222" s="11"/>
      <c r="N32222" s="11"/>
      <c r="O32222" s="11"/>
      <c r="P32222" s="11"/>
    </row>
    <row r="32223" spans="8:16" x14ac:dyDescent="0.25">
      <c r="H32223" s="12"/>
      <c r="I32223" s="12"/>
      <c r="J32223" s="12"/>
      <c r="K32223" s="12"/>
      <c r="L32223" s="12"/>
      <c r="M32223" s="11"/>
      <c r="N32223" s="11"/>
      <c r="O32223" s="11"/>
      <c r="P32223" s="11"/>
    </row>
    <row r="32224" spans="8:16" x14ac:dyDescent="0.25">
      <c r="H32224" s="12"/>
      <c r="I32224" s="12"/>
      <c r="J32224" s="12"/>
      <c r="K32224" s="12"/>
      <c r="L32224" s="12"/>
      <c r="M32224" s="11"/>
      <c r="N32224" s="11"/>
      <c r="O32224" s="11"/>
      <c r="P32224" s="11"/>
    </row>
    <row r="32225" spans="8:16" x14ac:dyDescent="0.25">
      <c r="H32225" s="12"/>
      <c r="I32225" s="12"/>
      <c r="J32225" s="12"/>
      <c r="K32225" s="12"/>
      <c r="L32225" s="12"/>
      <c r="M32225" s="11"/>
      <c r="N32225" s="11"/>
      <c r="O32225" s="11"/>
      <c r="P32225" s="11"/>
    </row>
    <row r="32226" spans="8:16" x14ac:dyDescent="0.25">
      <c r="H32226" s="12"/>
      <c r="I32226" s="12"/>
      <c r="J32226" s="12"/>
      <c r="K32226" s="12"/>
      <c r="L32226" s="12"/>
      <c r="M32226" s="11"/>
      <c r="N32226" s="11"/>
      <c r="O32226" s="11"/>
      <c r="P32226" s="11"/>
    </row>
    <row r="32227" spans="8:16" x14ac:dyDescent="0.25">
      <c r="H32227" s="12"/>
      <c r="I32227" s="12"/>
      <c r="J32227" s="12"/>
      <c r="K32227" s="12"/>
      <c r="L32227" s="12"/>
      <c r="M32227" s="11"/>
      <c r="N32227" s="11"/>
      <c r="O32227" s="11"/>
      <c r="P32227" s="11"/>
    </row>
    <row r="32228" spans="8:16" x14ac:dyDescent="0.25">
      <c r="H32228" s="12"/>
      <c r="I32228" s="12"/>
      <c r="J32228" s="12"/>
      <c r="K32228" s="12"/>
      <c r="L32228" s="12"/>
      <c r="M32228" s="11"/>
      <c r="N32228" s="11"/>
      <c r="O32228" s="11"/>
      <c r="P32228" s="11"/>
    </row>
    <row r="32229" spans="8:16" x14ac:dyDescent="0.25">
      <c r="H32229" s="12"/>
      <c r="I32229" s="12"/>
      <c r="J32229" s="12"/>
      <c r="K32229" s="12"/>
      <c r="L32229" s="12"/>
      <c r="M32229" s="11"/>
      <c r="N32229" s="11"/>
      <c r="O32229" s="11"/>
      <c r="P32229" s="11"/>
    </row>
    <row r="32230" spans="8:16" x14ac:dyDescent="0.25">
      <c r="H32230" s="12"/>
      <c r="I32230" s="12"/>
      <c r="J32230" s="12"/>
      <c r="K32230" s="12"/>
      <c r="L32230" s="12"/>
      <c r="M32230" s="11"/>
      <c r="N32230" s="11"/>
      <c r="O32230" s="11"/>
      <c r="P32230" s="11"/>
    </row>
    <row r="32231" spans="8:16" x14ac:dyDescent="0.25">
      <c r="H32231" s="12"/>
      <c r="I32231" s="12"/>
      <c r="J32231" s="12"/>
      <c r="K32231" s="12"/>
      <c r="L32231" s="12"/>
      <c r="M32231" s="11"/>
      <c r="N32231" s="11"/>
      <c r="O32231" s="11"/>
      <c r="P32231" s="11"/>
    </row>
    <row r="32232" spans="8:16" x14ac:dyDescent="0.25">
      <c r="H32232" s="12"/>
      <c r="I32232" s="12"/>
      <c r="J32232" s="12"/>
      <c r="K32232" s="12"/>
      <c r="L32232" s="12"/>
      <c r="M32232" s="11"/>
      <c r="N32232" s="11"/>
      <c r="O32232" s="11"/>
      <c r="P32232" s="11"/>
    </row>
    <row r="32233" spans="8:16" x14ac:dyDescent="0.25">
      <c r="H32233" s="12"/>
      <c r="I32233" s="12"/>
      <c r="J32233" s="12"/>
      <c r="K32233" s="12"/>
      <c r="L32233" s="12"/>
      <c r="M32233" s="11"/>
      <c r="N32233" s="11"/>
      <c r="O32233" s="11"/>
      <c r="P32233" s="11"/>
    </row>
    <row r="32234" spans="8:16" x14ac:dyDescent="0.25">
      <c r="H32234" s="12"/>
      <c r="I32234" s="12"/>
      <c r="J32234" s="12"/>
      <c r="K32234" s="12"/>
      <c r="L32234" s="12"/>
      <c r="M32234" s="11"/>
      <c r="N32234" s="11"/>
      <c r="O32234" s="11"/>
      <c r="P32234" s="11"/>
    </row>
    <row r="32235" spans="8:16" x14ac:dyDescent="0.25">
      <c r="H32235" s="12"/>
      <c r="I32235" s="12"/>
      <c r="J32235" s="12"/>
      <c r="K32235" s="12"/>
      <c r="L32235" s="12"/>
      <c r="M32235" s="11"/>
      <c r="N32235" s="11"/>
      <c r="O32235" s="11"/>
      <c r="P32235" s="11"/>
    </row>
    <row r="32236" spans="8:16" x14ac:dyDescent="0.25">
      <c r="H32236" s="12"/>
      <c r="I32236" s="12"/>
      <c r="J32236" s="12"/>
      <c r="K32236" s="12"/>
      <c r="L32236" s="12"/>
      <c r="M32236" s="11"/>
      <c r="N32236" s="11"/>
      <c r="O32236" s="11"/>
      <c r="P32236" s="11"/>
    </row>
    <row r="32237" spans="8:16" x14ac:dyDescent="0.25">
      <c r="H32237" s="12"/>
      <c r="I32237" s="12"/>
      <c r="J32237" s="12"/>
      <c r="K32237" s="12"/>
      <c r="L32237" s="12"/>
      <c r="M32237" s="11"/>
      <c r="N32237" s="11"/>
      <c r="O32237" s="11"/>
      <c r="P32237" s="11"/>
    </row>
    <row r="32238" spans="8:16" x14ac:dyDescent="0.25">
      <c r="H32238" s="12"/>
      <c r="I32238" s="12"/>
      <c r="J32238" s="12"/>
      <c r="K32238" s="12"/>
      <c r="L32238" s="12"/>
      <c r="M32238" s="11"/>
      <c r="N32238" s="11"/>
      <c r="O32238" s="11"/>
      <c r="P32238" s="11"/>
    </row>
    <row r="32239" spans="8:16" x14ac:dyDescent="0.25">
      <c r="H32239" s="12"/>
      <c r="I32239" s="12"/>
      <c r="J32239" s="12"/>
      <c r="K32239" s="12"/>
      <c r="L32239" s="12"/>
      <c r="M32239" s="11"/>
      <c r="N32239" s="11"/>
      <c r="O32239" s="11"/>
      <c r="P32239" s="11"/>
    </row>
    <row r="32240" spans="8:16" x14ac:dyDescent="0.25">
      <c r="H32240" s="12"/>
      <c r="I32240" s="12"/>
      <c r="J32240" s="12"/>
      <c r="K32240" s="12"/>
      <c r="L32240" s="12"/>
      <c r="M32240" s="11"/>
      <c r="N32240" s="11"/>
      <c r="O32240" s="11"/>
      <c r="P32240" s="11"/>
    </row>
    <row r="32241" spans="8:16" x14ac:dyDescent="0.25">
      <c r="H32241" s="12"/>
      <c r="I32241" s="12"/>
      <c r="J32241" s="12"/>
      <c r="K32241" s="12"/>
      <c r="L32241" s="12"/>
      <c r="M32241" s="11"/>
      <c r="N32241" s="11"/>
      <c r="O32241" s="11"/>
      <c r="P32241" s="11"/>
    </row>
    <row r="32242" spans="8:16" x14ac:dyDescent="0.25">
      <c r="H32242" s="12"/>
      <c r="I32242" s="12"/>
      <c r="J32242" s="12"/>
      <c r="K32242" s="12"/>
      <c r="L32242" s="12"/>
      <c r="M32242" s="11"/>
      <c r="N32242" s="11"/>
      <c r="O32242" s="11"/>
      <c r="P32242" s="11"/>
    </row>
    <row r="32243" spans="8:16" x14ac:dyDescent="0.25">
      <c r="H32243" s="12"/>
      <c r="I32243" s="12"/>
      <c r="J32243" s="12"/>
      <c r="K32243" s="12"/>
      <c r="L32243" s="12"/>
      <c r="M32243" s="11"/>
      <c r="N32243" s="11"/>
      <c r="O32243" s="11"/>
      <c r="P32243" s="11"/>
    </row>
    <row r="32244" spans="8:16" x14ac:dyDescent="0.25">
      <c r="H32244" s="12"/>
      <c r="I32244" s="12"/>
      <c r="J32244" s="12"/>
      <c r="K32244" s="12"/>
      <c r="L32244" s="12"/>
      <c r="M32244" s="11"/>
      <c r="N32244" s="11"/>
      <c r="O32244" s="11"/>
      <c r="P32244" s="11"/>
    </row>
    <row r="32245" spans="8:16" x14ac:dyDescent="0.25">
      <c r="H32245" s="12"/>
      <c r="I32245" s="12"/>
      <c r="J32245" s="12"/>
      <c r="K32245" s="12"/>
      <c r="L32245" s="12"/>
      <c r="M32245" s="11"/>
      <c r="N32245" s="11"/>
      <c r="O32245" s="11"/>
      <c r="P32245" s="11"/>
    </row>
    <row r="32246" spans="8:16" x14ac:dyDescent="0.25">
      <c r="H32246" s="12"/>
      <c r="I32246" s="12"/>
      <c r="J32246" s="12"/>
      <c r="K32246" s="12"/>
      <c r="L32246" s="12"/>
      <c r="M32246" s="11"/>
      <c r="N32246" s="11"/>
      <c r="O32246" s="11"/>
      <c r="P32246" s="11"/>
    </row>
    <row r="32247" spans="8:16" x14ac:dyDescent="0.25">
      <c r="H32247" s="12"/>
      <c r="I32247" s="12"/>
      <c r="J32247" s="12"/>
      <c r="K32247" s="12"/>
      <c r="L32247" s="12"/>
      <c r="M32247" s="11"/>
      <c r="N32247" s="11"/>
      <c r="O32247" s="11"/>
      <c r="P32247" s="11"/>
    </row>
    <row r="32248" spans="8:16" x14ac:dyDescent="0.25">
      <c r="H32248" s="12"/>
      <c r="I32248" s="12"/>
      <c r="J32248" s="12"/>
      <c r="K32248" s="12"/>
      <c r="L32248" s="12"/>
      <c r="M32248" s="11"/>
      <c r="N32248" s="11"/>
      <c r="O32248" s="11"/>
      <c r="P32248" s="11"/>
    </row>
    <row r="32249" spans="8:16" x14ac:dyDescent="0.25">
      <c r="H32249" s="12"/>
      <c r="I32249" s="12"/>
      <c r="J32249" s="12"/>
      <c r="K32249" s="12"/>
      <c r="L32249" s="12"/>
      <c r="M32249" s="11"/>
      <c r="N32249" s="11"/>
      <c r="O32249" s="11"/>
      <c r="P32249" s="11"/>
    </row>
    <row r="32250" spans="8:16" x14ac:dyDescent="0.25">
      <c r="H32250" s="12"/>
      <c r="I32250" s="12"/>
      <c r="J32250" s="12"/>
      <c r="K32250" s="12"/>
      <c r="L32250" s="12"/>
      <c r="M32250" s="11"/>
      <c r="N32250" s="11"/>
      <c r="O32250" s="11"/>
      <c r="P32250" s="11"/>
    </row>
    <row r="32251" spans="8:16" x14ac:dyDescent="0.25">
      <c r="H32251" s="12"/>
      <c r="I32251" s="12"/>
      <c r="J32251" s="12"/>
      <c r="K32251" s="12"/>
      <c r="L32251" s="12"/>
      <c r="M32251" s="11"/>
      <c r="N32251" s="11"/>
      <c r="O32251" s="11"/>
      <c r="P32251" s="11"/>
    </row>
    <row r="32252" spans="8:16" x14ac:dyDescent="0.25">
      <c r="H32252" s="12"/>
      <c r="I32252" s="12"/>
      <c r="J32252" s="12"/>
      <c r="K32252" s="12"/>
      <c r="L32252" s="12"/>
      <c r="M32252" s="11"/>
      <c r="N32252" s="11"/>
      <c r="O32252" s="11"/>
      <c r="P32252" s="11"/>
    </row>
    <row r="32253" spans="8:16" x14ac:dyDescent="0.25">
      <c r="H32253" s="12"/>
      <c r="I32253" s="12"/>
      <c r="J32253" s="12"/>
      <c r="K32253" s="12"/>
      <c r="L32253" s="12"/>
      <c r="M32253" s="11"/>
      <c r="N32253" s="11"/>
      <c r="O32253" s="11"/>
      <c r="P32253" s="11"/>
    </row>
    <row r="32254" spans="8:16" x14ac:dyDescent="0.25">
      <c r="H32254" s="12"/>
      <c r="I32254" s="12"/>
      <c r="J32254" s="12"/>
      <c r="K32254" s="12"/>
      <c r="L32254" s="12"/>
      <c r="M32254" s="11"/>
      <c r="N32254" s="11"/>
      <c r="O32254" s="11"/>
      <c r="P32254" s="11"/>
    </row>
    <row r="32255" spans="8:16" x14ac:dyDescent="0.25">
      <c r="H32255" s="12"/>
      <c r="I32255" s="12"/>
      <c r="J32255" s="12"/>
      <c r="K32255" s="12"/>
      <c r="L32255" s="12"/>
      <c r="M32255" s="11"/>
      <c r="N32255" s="11"/>
      <c r="O32255" s="11"/>
      <c r="P32255" s="11"/>
    </row>
    <row r="32256" spans="8:16" x14ac:dyDescent="0.25">
      <c r="H32256" s="12"/>
      <c r="I32256" s="12"/>
      <c r="J32256" s="12"/>
      <c r="K32256" s="12"/>
      <c r="L32256" s="12"/>
      <c r="M32256" s="11"/>
      <c r="N32256" s="11"/>
      <c r="O32256" s="11"/>
      <c r="P32256" s="11"/>
    </row>
    <row r="32257" spans="8:16" x14ac:dyDescent="0.25">
      <c r="H32257" s="12"/>
      <c r="I32257" s="12"/>
      <c r="J32257" s="12"/>
      <c r="K32257" s="12"/>
      <c r="L32257" s="12"/>
      <c r="M32257" s="11"/>
      <c r="N32257" s="11"/>
      <c r="O32257" s="11"/>
      <c r="P32257" s="11"/>
    </row>
    <row r="32258" spans="8:16" x14ac:dyDescent="0.25">
      <c r="H32258" s="12"/>
      <c r="I32258" s="12"/>
      <c r="J32258" s="12"/>
      <c r="K32258" s="12"/>
      <c r="L32258" s="12"/>
      <c r="M32258" s="11"/>
      <c r="N32258" s="11"/>
      <c r="O32258" s="11"/>
      <c r="P32258" s="11"/>
    </row>
    <row r="32259" spans="8:16" x14ac:dyDescent="0.25">
      <c r="H32259" s="12"/>
      <c r="I32259" s="12"/>
      <c r="J32259" s="12"/>
      <c r="K32259" s="12"/>
      <c r="L32259" s="12"/>
      <c r="M32259" s="11"/>
      <c r="N32259" s="11"/>
      <c r="O32259" s="11"/>
      <c r="P32259" s="11"/>
    </row>
    <row r="32260" spans="8:16" x14ac:dyDescent="0.25">
      <c r="H32260" s="12"/>
      <c r="I32260" s="12"/>
      <c r="J32260" s="12"/>
      <c r="K32260" s="12"/>
      <c r="L32260" s="12"/>
      <c r="M32260" s="11"/>
      <c r="N32260" s="11"/>
      <c r="O32260" s="11"/>
      <c r="P32260" s="11"/>
    </row>
    <row r="32261" spans="8:16" x14ac:dyDescent="0.25">
      <c r="H32261" s="12"/>
      <c r="I32261" s="12"/>
      <c r="J32261" s="12"/>
      <c r="K32261" s="12"/>
      <c r="L32261" s="12"/>
      <c r="M32261" s="11"/>
      <c r="N32261" s="11"/>
      <c r="O32261" s="11"/>
      <c r="P32261" s="11"/>
    </row>
    <row r="32262" spans="8:16" x14ac:dyDescent="0.25">
      <c r="H32262" s="12"/>
      <c r="I32262" s="12"/>
      <c r="J32262" s="12"/>
      <c r="K32262" s="12"/>
      <c r="L32262" s="12"/>
      <c r="M32262" s="11"/>
      <c r="N32262" s="11"/>
      <c r="O32262" s="11"/>
      <c r="P32262" s="11"/>
    </row>
    <row r="32263" spans="8:16" x14ac:dyDescent="0.25">
      <c r="H32263" s="12"/>
      <c r="I32263" s="12"/>
      <c r="J32263" s="12"/>
      <c r="K32263" s="12"/>
      <c r="L32263" s="12"/>
      <c r="M32263" s="11"/>
      <c r="N32263" s="11"/>
      <c r="O32263" s="11"/>
      <c r="P32263" s="11"/>
    </row>
    <row r="32264" spans="8:16" x14ac:dyDescent="0.25">
      <c r="H32264" s="12"/>
      <c r="I32264" s="12"/>
      <c r="J32264" s="12"/>
      <c r="K32264" s="12"/>
      <c r="L32264" s="12"/>
      <c r="M32264" s="11"/>
      <c r="N32264" s="11"/>
      <c r="O32264" s="11"/>
      <c r="P32264" s="11"/>
    </row>
    <row r="32265" spans="8:16" x14ac:dyDescent="0.25">
      <c r="H32265" s="12"/>
      <c r="I32265" s="12"/>
      <c r="J32265" s="12"/>
      <c r="K32265" s="12"/>
      <c r="L32265" s="12"/>
      <c r="M32265" s="11"/>
      <c r="N32265" s="11"/>
      <c r="O32265" s="11"/>
      <c r="P32265" s="11"/>
    </row>
    <row r="32266" spans="8:16" x14ac:dyDescent="0.25">
      <c r="H32266" s="12"/>
      <c r="I32266" s="12"/>
      <c r="J32266" s="12"/>
      <c r="K32266" s="12"/>
      <c r="L32266" s="12"/>
      <c r="M32266" s="11"/>
      <c r="N32266" s="11"/>
      <c r="O32266" s="11"/>
      <c r="P32266" s="11"/>
    </row>
    <row r="32267" spans="8:16" x14ac:dyDescent="0.25">
      <c r="H32267" s="12"/>
      <c r="I32267" s="12"/>
      <c r="J32267" s="12"/>
      <c r="K32267" s="12"/>
      <c r="L32267" s="12"/>
      <c r="M32267" s="11"/>
      <c r="N32267" s="11"/>
      <c r="O32267" s="11"/>
      <c r="P32267" s="11"/>
    </row>
    <row r="32268" spans="8:16" x14ac:dyDescent="0.25">
      <c r="H32268" s="12"/>
      <c r="I32268" s="12"/>
      <c r="J32268" s="12"/>
      <c r="K32268" s="12"/>
      <c r="L32268" s="12"/>
      <c r="M32268" s="11"/>
      <c r="N32268" s="11"/>
      <c r="O32268" s="11"/>
      <c r="P32268" s="11"/>
    </row>
    <row r="32269" spans="8:16" x14ac:dyDescent="0.25">
      <c r="H32269" s="12"/>
      <c r="I32269" s="12"/>
      <c r="J32269" s="12"/>
      <c r="K32269" s="12"/>
      <c r="L32269" s="12"/>
      <c r="M32269" s="11"/>
      <c r="N32269" s="11"/>
      <c r="O32269" s="11"/>
      <c r="P32269" s="11"/>
    </row>
    <row r="32270" spans="8:16" x14ac:dyDescent="0.25">
      <c r="H32270" s="12"/>
      <c r="I32270" s="12"/>
      <c r="J32270" s="12"/>
      <c r="K32270" s="12"/>
      <c r="L32270" s="12"/>
      <c r="M32270" s="11"/>
      <c r="N32270" s="11"/>
      <c r="O32270" s="11"/>
      <c r="P32270" s="11"/>
    </row>
    <row r="32271" spans="8:16" x14ac:dyDescent="0.25">
      <c r="H32271" s="12"/>
      <c r="I32271" s="12"/>
      <c r="J32271" s="12"/>
      <c r="K32271" s="12"/>
      <c r="L32271" s="12"/>
      <c r="M32271" s="11"/>
      <c r="N32271" s="11"/>
      <c r="O32271" s="11"/>
      <c r="P32271" s="11"/>
    </row>
    <row r="32272" spans="8:16" x14ac:dyDescent="0.25">
      <c r="H32272" s="12"/>
      <c r="I32272" s="12"/>
      <c r="J32272" s="12"/>
      <c r="K32272" s="12"/>
      <c r="L32272" s="12"/>
      <c r="M32272" s="11"/>
      <c r="N32272" s="11"/>
      <c r="O32272" s="11"/>
      <c r="P32272" s="11"/>
    </row>
    <row r="32273" spans="8:16" x14ac:dyDescent="0.25">
      <c r="H32273" s="12"/>
      <c r="I32273" s="12"/>
      <c r="J32273" s="12"/>
      <c r="K32273" s="12"/>
      <c r="L32273" s="12"/>
      <c r="M32273" s="11"/>
      <c r="N32273" s="11"/>
      <c r="O32273" s="11"/>
      <c r="P32273" s="11"/>
    </row>
    <row r="32274" spans="8:16" x14ac:dyDescent="0.25">
      <c r="H32274" s="12"/>
      <c r="I32274" s="12"/>
      <c r="J32274" s="12"/>
      <c r="K32274" s="12"/>
      <c r="L32274" s="12"/>
      <c r="M32274" s="11"/>
      <c r="N32274" s="11"/>
      <c r="O32274" s="11"/>
      <c r="P32274" s="11"/>
    </row>
    <row r="32275" spans="8:16" x14ac:dyDescent="0.25">
      <c r="H32275" s="12"/>
      <c r="I32275" s="12"/>
      <c r="J32275" s="12"/>
      <c r="K32275" s="12"/>
      <c r="L32275" s="12"/>
      <c r="M32275" s="11"/>
      <c r="N32275" s="11"/>
      <c r="O32275" s="11"/>
      <c r="P32275" s="11"/>
    </row>
    <row r="32276" spans="8:16" x14ac:dyDescent="0.25">
      <c r="H32276" s="12"/>
      <c r="I32276" s="12"/>
      <c r="J32276" s="12"/>
      <c r="K32276" s="12"/>
      <c r="L32276" s="12"/>
      <c r="M32276" s="11"/>
      <c r="N32276" s="11"/>
      <c r="O32276" s="11"/>
      <c r="P32276" s="11"/>
    </row>
    <row r="32277" spans="8:16" x14ac:dyDescent="0.25">
      <c r="H32277" s="12"/>
      <c r="I32277" s="12"/>
      <c r="J32277" s="12"/>
      <c r="K32277" s="12"/>
      <c r="L32277" s="12"/>
      <c r="M32277" s="11"/>
      <c r="N32277" s="11"/>
      <c r="O32277" s="11"/>
      <c r="P32277" s="11"/>
    </row>
    <row r="32278" spans="8:16" x14ac:dyDescent="0.25">
      <c r="H32278" s="12"/>
      <c r="I32278" s="12"/>
      <c r="J32278" s="12"/>
      <c r="K32278" s="12"/>
      <c r="L32278" s="12"/>
      <c r="M32278" s="11"/>
      <c r="N32278" s="11"/>
      <c r="O32278" s="11"/>
      <c r="P32278" s="11"/>
    </row>
    <row r="32279" spans="8:16" x14ac:dyDescent="0.25">
      <c r="H32279" s="12"/>
      <c r="I32279" s="12"/>
      <c r="J32279" s="12"/>
      <c r="K32279" s="12"/>
      <c r="L32279" s="12"/>
      <c r="M32279" s="11"/>
      <c r="N32279" s="11"/>
      <c r="O32279" s="11"/>
      <c r="P32279" s="11"/>
    </row>
    <row r="32280" spans="8:16" x14ac:dyDescent="0.25">
      <c r="H32280" s="12"/>
      <c r="I32280" s="12"/>
      <c r="J32280" s="12"/>
      <c r="K32280" s="12"/>
      <c r="L32280" s="12"/>
      <c r="M32280" s="11"/>
      <c r="N32280" s="11"/>
      <c r="O32280" s="11"/>
      <c r="P32280" s="11"/>
    </row>
    <row r="32281" spans="8:16" x14ac:dyDescent="0.25">
      <c r="H32281" s="12"/>
      <c r="I32281" s="12"/>
      <c r="J32281" s="12"/>
      <c r="K32281" s="12"/>
      <c r="L32281" s="12"/>
      <c r="M32281" s="11"/>
      <c r="N32281" s="11"/>
      <c r="O32281" s="11"/>
      <c r="P32281" s="11"/>
    </row>
    <row r="32282" spans="8:16" x14ac:dyDescent="0.25">
      <c r="H32282" s="12"/>
      <c r="I32282" s="12"/>
      <c r="J32282" s="12"/>
      <c r="K32282" s="12"/>
      <c r="L32282" s="12"/>
      <c r="M32282" s="11"/>
      <c r="N32282" s="11"/>
      <c r="O32282" s="11"/>
      <c r="P32282" s="11"/>
    </row>
    <row r="32283" spans="8:16" x14ac:dyDescent="0.25">
      <c r="H32283" s="12"/>
      <c r="I32283" s="12"/>
      <c r="J32283" s="12"/>
      <c r="K32283" s="12"/>
      <c r="L32283" s="12"/>
      <c r="M32283" s="11"/>
      <c r="N32283" s="11"/>
      <c r="O32283" s="11"/>
      <c r="P32283" s="11"/>
    </row>
    <row r="32284" spans="8:16" x14ac:dyDescent="0.25">
      <c r="H32284" s="12"/>
      <c r="I32284" s="12"/>
      <c r="J32284" s="12"/>
      <c r="K32284" s="12"/>
      <c r="L32284" s="12"/>
      <c r="M32284" s="11"/>
      <c r="N32284" s="11"/>
      <c r="O32284" s="11"/>
      <c r="P32284" s="11"/>
    </row>
    <row r="32285" spans="8:16" x14ac:dyDescent="0.25">
      <c r="H32285" s="12"/>
      <c r="I32285" s="12"/>
      <c r="J32285" s="12"/>
      <c r="K32285" s="12"/>
      <c r="L32285" s="12"/>
      <c r="M32285" s="11"/>
      <c r="N32285" s="11"/>
      <c r="O32285" s="11"/>
      <c r="P32285" s="11"/>
    </row>
    <row r="32286" spans="8:16" x14ac:dyDescent="0.25">
      <c r="H32286" s="12"/>
      <c r="I32286" s="12"/>
      <c r="J32286" s="12"/>
      <c r="K32286" s="12"/>
      <c r="L32286" s="12"/>
      <c r="M32286" s="11"/>
      <c r="N32286" s="11"/>
      <c r="O32286" s="11"/>
      <c r="P32286" s="11"/>
    </row>
    <row r="32287" spans="8:16" x14ac:dyDescent="0.25">
      <c r="H32287" s="12"/>
      <c r="I32287" s="12"/>
      <c r="J32287" s="12"/>
      <c r="K32287" s="12"/>
      <c r="L32287" s="12"/>
      <c r="M32287" s="11"/>
      <c r="N32287" s="11"/>
      <c r="O32287" s="11"/>
      <c r="P32287" s="11"/>
    </row>
    <row r="32288" spans="8:16" x14ac:dyDescent="0.25">
      <c r="H32288" s="12"/>
      <c r="I32288" s="12"/>
      <c r="J32288" s="12"/>
      <c r="K32288" s="12"/>
      <c r="L32288" s="12"/>
      <c r="M32288" s="11"/>
      <c r="N32288" s="11"/>
      <c r="O32288" s="11"/>
      <c r="P32288" s="11"/>
    </row>
    <row r="32289" spans="8:16" x14ac:dyDescent="0.25">
      <c r="H32289" s="12"/>
      <c r="I32289" s="12"/>
      <c r="J32289" s="12"/>
      <c r="K32289" s="12"/>
      <c r="L32289" s="12"/>
      <c r="M32289" s="11"/>
      <c r="N32289" s="11"/>
      <c r="O32289" s="11"/>
      <c r="P32289" s="11"/>
    </row>
    <row r="32290" spans="8:16" x14ac:dyDescent="0.25">
      <c r="H32290" s="12"/>
      <c r="I32290" s="12"/>
      <c r="J32290" s="12"/>
      <c r="K32290" s="12"/>
      <c r="L32290" s="12"/>
      <c r="M32290" s="11"/>
      <c r="N32290" s="11"/>
      <c r="O32290" s="11"/>
      <c r="P32290" s="11"/>
    </row>
    <row r="32291" spans="8:16" x14ac:dyDescent="0.25">
      <c r="H32291" s="12"/>
      <c r="I32291" s="12"/>
      <c r="J32291" s="12"/>
      <c r="K32291" s="12"/>
      <c r="L32291" s="12"/>
      <c r="M32291" s="11"/>
      <c r="N32291" s="11"/>
      <c r="O32291" s="11"/>
      <c r="P32291" s="11"/>
    </row>
    <row r="32292" spans="8:16" x14ac:dyDescent="0.25">
      <c r="H32292" s="12"/>
      <c r="I32292" s="12"/>
      <c r="J32292" s="12"/>
      <c r="K32292" s="12"/>
      <c r="L32292" s="12"/>
      <c r="M32292" s="11"/>
      <c r="N32292" s="11"/>
      <c r="O32292" s="11"/>
      <c r="P32292" s="11"/>
    </row>
    <row r="32293" spans="8:16" x14ac:dyDescent="0.25">
      <c r="H32293" s="12"/>
      <c r="I32293" s="12"/>
      <c r="J32293" s="12"/>
      <c r="K32293" s="12"/>
      <c r="L32293" s="12"/>
      <c r="M32293" s="11"/>
      <c r="N32293" s="11"/>
      <c r="O32293" s="11"/>
      <c r="P32293" s="11"/>
    </row>
    <row r="32294" spans="8:16" x14ac:dyDescent="0.25">
      <c r="H32294" s="12"/>
      <c r="I32294" s="12"/>
      <c r="J32294" s="12"/>
      <c r="K32294" s="12"/>
      <c r="L32294" s="12"/>
      <c r="M32294" s="11"/>
      <c r="N32294" s="11"/>
      <c r="O32294" s="11"/>
      <c r="P32294" s="11"/>
    </row>
    <row r="32295" spans="8:16" x14ac:dyDescent="0.25">
      <c r="H32295" s="12"/>
      <c r="I32295" s="12"/>
      <c r="J32295" s="12"/>
      <c r="K32295" s="12"/>
      <c r="L32295" s="12"/>
      <c r="M32295" s="11"/>
      <c r="N32295" s="11"/>
      <c r="O32295" s="11"/>
      <c r="P32295" s="11"/>
    </row>
    <row r="32296" spans="8:16" x14ac:dyDescent="0.25">
      <c r="H32296" s="12"/>
      <c r="I32296" s="12"/>
      <c r="J32296" s="12"/>
      <c r="K32296" s="12"/>
      <c r="L32296" s="12"/>
      <c r="M32296" s="11"/>
      <c r="N32296" s="11"/>
      <c r="O32296" s="11"/>
      <c r="P32296" s="11"/>
    </row>
    <row r="32297" spans="8:16" x14ac:dyDescent="0.25">
      <c r="H32297" s="12"/>
      <c r="I32297" s="12"/>
      <c r="J32297" s="12"/>
      <c r="K32297" s="12"/>
      <c r="L32297" s="12"/>
      <c r="M32297" s="11"/>
      <c r="N32297" s="11"/>
      <c r="O32297" s="11"/>
      <c r="P32297" s="11"/>
    </row>
    <row r="32298" spans="8:16" x14ac:dyDescent="0.25">
      <c r="H32298" s="12"/>
      <c r="I32298" s="12"/>
      <c r="J32298" s="12"/>
      <c r="K32298" s="12"/>
      <c r="L32298" s="12"/>
      <c r="M32298" s="11"/>
      <c r="N32298" s="11"/>
      <c r="O32298" s="11"/>
      <c r="P32298" s="11"/>
    </row>
    <row r="32299" spans="8:16" x14ac:dyDescent="0.25">
      <c r="H32299" s="12"/>
      <c r="I32299" s="12"/>
      <c r="J32299" s="12"/>
      <c r="K32299" s="12"/>
      <c r="L32299" s="12"/>
      <c r="M32299" s="11"/>
      <c r="N32299" s="11"/>
      <c r="O32299" s="11"/>
      <c r="P32299" s="11"/>
    </row>
    <row r="32300" spans="8:16" x14ac:dyDescent="0.25">
      <c r="H32300" s="12"/>
      <c r="I32300" s="12"/>
      <c r="J32300" s="12"/>
      <c r="K32300" s="12"/>
      <c r="L32300" s="12"/>
      <c r="M32300" s="11"/>
      <c r="N32300" s="11"/>
      <c r="O32300" s="11"/>
      <c r="P32300" s="11"/>
    </row>
    <row r="32301" spans="8:16" x14ac:dyDescent="0.25">
      <c r="H32301" s="12"/>
      <c r="I32301" s="12"/>
      <c r="J32301" s="12"/>
      <c r="K32301" s="12"/>
      <c r="L32301" s="12"/>
      <c r="M32301" s="11"/>
      <c r="N32301" s="11"/>
      <c r="O32301" s="11"/>
      <c r="P32301" s="11"/>
    </row>
    <row r="32302" spans="8:16" x14ac:dyDescent="0.25">
      <c r="H32302" s="12"/>
      <c r="I32302" s="12"/>
      <c r="J32302" s="12"/>
      <c r="K32302" s="12"/>
      <c r="L32302" s="12"/>
      <c r="M32302" s="11"/>
      <c r="N32302" s="11"/>
      <c r="O32302" s="11"/>
      <c r="P32302" s="11"/>
    </row>
    <row r="32303" spans="8:16" x14ac:dyDescent="0.25">
      <c r="H32303" s="12"/>
      <c r="I32303" s="12"/>
      <c r="J32303" s="12"/>
      <c r="K32303" s="12"/>
      <c r="L32303" s="12"/>
      <c r="M32303" s="11"/>
      <c r="N32303" s="11"/>
      <c r="O32303" s="11"/>
      <c r="P32303" s="11"/>
    </row>
    <row r="32304" spans="8:16" x14ac:dyDescent="0.25">
      <c r="H32304" s="12"/>
      <c r="I32304" s="12"/>
      <c r="J32304" s="12"/>
      <c r="K32304" s="12"/>
      <c r="L32304" s="12"/>
      <c r="M32304" s="11"/>
      <c r="N32304" s="11"/>
      <c r="O32304" s="11"/>
      <c r="P32304" s="11"/>
    </row>
    <row r="32305" spans="8:16" x14ac:dyDescent="0.25">
      <c r="H32305" s="12"/>
      <c r="I32305" s="12"/>
      <c r="J32305" s="12"/>
      <c r="K32305" s="12"/>
      <c r="L32305" s="12"/>
      <c r="M32305" s="11"/>
      <c r="N32305" s="11"/>
      <c r="O32305" s="11"/>
      <c r="P32305" s="11"/>
    </row>
    <row r="32306" spans="8:16" x14ac:dyDescent="0.25">
      <c r="H32306" s="12"/>
      <c r="I32306" s="12"/>
      <c r="J32306" s="12"/>
      <c r="K32306" s="12"/>
      <c r="L32306" s="12"/>
      <c r="M32306" s="11"/>
      <c r="N32306" s="11"/>
      <c r="O32306" s="11"/>
      <c r="P32306" s="11"/>
    </row>
    <row r="32307" spans="8:16" x14ac:dyDescent="0.25">
      <c r="H32307" s="12"/>
      <c r="I32307" s="12"/>
      <c r="J32307" s="12"/>
      <c r="K32307" s="12"/>
      <c r="L32307" s="12"/>
      <c r="M32307" s="11"/>
      <c r="N32307" s="11"/>
      <c r="O32307" s="11"/>
      <c r="P32307" s="11"/>
    </row>
    <row r="32308" spans="8:16" x14ac:dyDescent="0.25">
      <c r="H32308" s="12"/>
      <c r="I32308" s="12"/>
      <c r="J32308" s="12"/>
      <c r="K32308" s="12"/>
      <c r="L32308" s="12"/>
      <c r="M32308" s="11"/>
      <c r="N32308" s="11"/>
      <c r="O32308" s="11"/>
      <c r="P32308" s="11"/>
    </row>
    <row r="32309" spans="8:16" x14ac:dyDescent="0.25">
      <c r="H32309" s="12"/>
      <c r="I32309" s="12"/>
      <c r="J32309" s="12"/>
      <c r="K32309" s="12"/>
      <c r="L32309" s="12"/>
      <c r="M32309" s="11"/>
      <c r="N32309" s="11"/>
      <c r="O32309" s="11"/>
      <c r="P32309" s="11"/>
    </row>
    <row r="32310" spans="8:16" x14ac:dyDescent="0.25">
      <c r="H32310" s="12"/>
      <c r="I32310" s="12"/>
      <c r="J32310" s="12"/>
      <c r="K32310" s="12"/>
      <c r="L32310" s="12"/>
      <c r="M32310" s="11"/>
      <c r="N32310" s="11"/>
      <c r="O32310" s="11"/>
      <c r="P32310" s="11"/>
    </row>
    <row r="32311" spans="8:16" x14ac:dyDescent="0.25">
      <c r="H32311" s="12"/>
      <c r="I32311" s="12"/>
      <c r="J32311" s="12"/>
      <c r="K32311" s="12"/>
      <c r="L32311" s="12"/>
      <c r="M32311" s="11"/>
      <c r="N32311" s="11"/>
      <c r="O32311" s="11"/>
      <c r="P32311" s="11"/>
    </row>
    <row r="32312" spans="8:16" x14ac:dyDescent="0.25">
      <c r="H32312" s="12"/>
      <c r="I32312" s="12"/>
      <c r="J32312" s="12"/>
      <c r="K32312" s="12"/>
      <c r="L32312" s="12"/>
      <c r="M32312" s="11"/>
      <c r="N32312" s="11"/>
      <c r="O32312" s="11"/>
      <c r="P32312" s="11"/>
    </row>
    <row r="32313" spans="8:16" x14ac:dyDescent="0.25">
      <c r="H32313" s="12"/>
      <c r="I32313" s="12"/>
      <c r="J32313" s="12"/>
      <c r="K32313" s="12"/>
      <c r="L32313" s="12"/>
      <c r="M32313" s="11"/>
      <c r="N32313" s="11"/>
      <c r="O32313" s="11"/>
      <c r="P32313" s="11"/>
    </row>
    <row r="32314" spans="8:16" x14ac:dyDescent="0.25">
      <c r="H32314" s="12"/>
      <c r="I32314" s="12"/>
      <c r="J32314" s="12"/>
      <c r="K32314" s="12"/>
      <c r="L32314" s="12"/>
      <c r="M32314" s="11"/>
      <c r="N32314" s="11"/>
      <c r="O32314" s="11"/>
      <c r="P32314" s="11"/>
    </row>
    <row r="32315" spans="8:16" x14ac:dyDescent="0.25">
      <c r="H32315" s="12"/>
      <c r="I32315" s="12"/>
      <c r="J32315" s="12"/>
      <c r="K32315" s="12"/>
      <c r="L32315" s="12"/>
      <c r="M32315" s="11"/>
      <c r="N32315" s="11"/>
      <c r="O32315" s="11"/>
      <c r="P32315" s="11"/>
    </row>
    <row r="32316" spans="8:16" x14ac:dyDescent="0.25">
      <c r="H32316" s="12"/>
      <c r="I32316" s="12"/>
      <c r="J32316" s="12"/>
      <c r="K32316" s="12"/>
      <c r="L32316" s="12"/>
      <c r="M32316" s="11"/>
      <c r="N32316" s="11"/>
      <c r="O32316" s="11"/>
      <c r="P32316" s="11"/>
    </row>
    <row r="32317" spans="8:16" x14ac:dyDescent="0.25">
      <c r="H32317" s="12"/>
      <c r="I32317" s="12"/>
      <c r="J32317" s="12"/>
      <c r="K32317" s="12"/>
      <c r="L32317" s="12"/>
      <c r="M32317" s="11"/>
      <c r="N32317" s="11"/>
      <c r="O32317" s="11"/>
      <c r="P32317" s="11"/>
    </row>
    <row r="32318" spans="8:16" x14ac:dyDescent="0.25">
      <c r="H32318" s="12"/>
      <c r="I32318" s="12"/>
      <c r="J32318" s="12"/>
      <c r="K32318" s="12"/>
      <c r="L32318" s="12"/>
      <c r="M32318" s="11"/>
      <c r="N32318" s="11"/>
      <c r="O32318" s="11"/>
      <c r="P32318" s="11"/>
    </row>
    <row r="32319" spans="8:16" x14ac:dyDescent="0.25">
      <c r="H32319" s="12"/>
      <c r="I32319" s="12"/>
      <c r="J32319" s="12"/>
      <c r="K32319" s="12"/>
      <c r="L32319" s="12"/>
      <c r="M32319" s="11"/>
      <c r="N32319" s="11"/>
      <c r="O32319" s="11"/>
      <c r="P32319" s="11"/>
    </row>
    <row r="32320" spans="8:16" x14ac:dyDescent="0.25">
      <c r="H32320" s="12"/>
      <c r="I32320" s="12"/>
      <c r="J32320" s="12"/>
      <c r="K32320" s="12"/>
      <c r="L32320" s="12"/>
      <c r="M32320" s="11"/>
      <c r="N32320" s="11"/>
      <c r="O32320" s="11"/>
      <c r="P32320" s="11"/>
    </row>
    <row r="32321" spans="8:16" x14ac:dyDescent="0.25">
      <c r="H32321" s="12"/>
      <c r="I32321" s="12"/>
      <c r="J32321" s="12"/>
      <c r="K32321" s="12"/>
      <c r="L32321" s="12"/>
      <c r="M32321" s="11"/>
      <c r="N32321" s="11"/>
      <c r="O32321" s="11"/>
      <c r="P32321" s="11"/>
    </row>
    <row r="32322" spans="8:16" x14ac:dyDescent="0.25">
      <c r="H32322" s="12"/>
      <c r="I32322" s="12"/>
      <c r="J32322" s="12"/>
      <c r="K32322" s="12"/>
      <c r="L32322" s="12"/>
      <c r="M32322" s="11"/>
      <c r="N32322" s="11"/>
      <c r="O32322" s="11"/>
      <c r="P32322" s="11"/>
    </row>
    <row r="32323" spans="8:16" x14ac:dyDescent="0.25">
      <c r="H32323" s="12"/>
      <c r="I32323" s="12"/>
      <c r="J32323" s="12"/>
      <c r="K32323" s="12"/>
      <c r="L32323" s="12"/>
      <c r="M32323" s="11"/>
      <c r="N32323" s="11"/>
      <c r="O32323" s="11"/>
      <c r="P32323" s="11"/>
    </row>
    <row r="32324" spans="8:16" x14ac:dyDescent="0.25">
      <c r="H32324" s="12"/>
      <c r="I32324" s="12"/>
      <c r="J32324" s="12"/>
      <c r="K32324" s="12"/>
      <c r="L32324" s="12"/>
      <c r="M32324" s="11"/>
      <c r="N32324" s="11"/>
      <c r="O32324" s="11"/>
      <c r="P32324" s="11"/>
    </row>
    <row r="32325" spans="8:16" x14ac:dyDescent="0.25">
      <c r="H32325" s="12"/>
      <c r="I32325" s="12"/>
      <c r="J32325" s="12"/>
      <c r="K32325" s="12"/>
      <c r="L32325" s="12"/>
      <c r="M32325" s="11"/>
      <c r="N32325" s="11"/>
      <c r="O32325" s="11"/>
      <c r="P32325" s="11"/>
    </row>
    <row r="32326" spans="8:16" x14ac:dyDescent="0.25">
      <c r="H32326" s="12"/>
      <c r="I32326" s="12"/>
      <c r="J32326" s="12"/>
      <c r="K32326" s="12"/>
      <c r="L32326" s="12"/>
      <c r="M32326" s="11"/>
      <c r="N32326" s="11"/>
      <c r="O32326" s="11"/>
      <c r="P32326" s="11"/>
    </row>
    <row r="32327" spans="8:16" x14ac:dyDescent="0.25">
      <c r="H32327" s="12"/>
      <c r="I32327" s="12"/>
      <c r="J32327" s="12"/>
      <c r="K32327" s="12"/>
      <c r="L32327" s="12"/>
      <c r="M32327" s="11"/>
      <c r="N32327" s="11"/>
      <c r="O32327" s="11"/>
      <c r="P32327" s="11"/>
    </row>
    <row r="32328" spans="8:16" x14ac:dyDescent="0.25">
      <c r="H32328" s="12"/>
      <c r="I32328" s="12"/>
      <c r="J32328" s="12"/>
      <c r="K32328" s="12"/>
      <c r="L32328" s="12"/>
      <c r="M32328" s="11"/>
      <c r="N32328" s="11"/>
      <c r="O32328" s="11"/>
      <c r="P32328" s="11"/>
    </row>
    <row r="32329" spans="8:16" x14ac:dyDescent="0.25">
      <c r="H32329" s="12"/>
      <c r="I32329" s="12"/>
      <c r="J32329" s="12"/>
      <c r="K32329" s="12"/>
      <c r="L32329" s="12"/>
      <c r="M32329" s="11"/>
      <c r="N32329" s="11"/>
      <c r="O32329" s="11"/>
      <c r="P32329" s="11"/>
    </row>
    <row r="32330" spans="8:16" x14ac:dyDescent="0.25">
      <c r="H32330" s="12"/>
      <c r="I32330" s="12"/>
      <c r="J32330" s="12"/>
      <c r="K32330" s="12"/>
      <c r="L32330" s="12"/>
      <c r="M32330" s="11"/>
      <c r="N32330" s="11"/>
      <c r="O32330" s="11"/>
      <c r="P32330" s="11"/>
    </row>
    <row r="32331" spans="8:16" x14ac:dyDescent="0.25">
      <c r="H32331" s="12"/>
      <c r="I32331" s="12"/>
      <c r="J32331" s="12"/>
      <c r="K32331" s="12"/>
      <c r="L32331" s="12"/>
      <c r="M32331" s="11"/>
      <c r="N32331" s="11"/>
      <c r="O32331" s="11"/>
      <c r="P32331" s="11"/>
    </row>
    <row r="32332" spans="8:16" x14ac:dyDescent="0.25">
      <c r="H32332" s="12"/>
      <c r="I32332" s="12"/>
      <c r="J32332" s="12"/>
      <c r="K32332" s="12"/>
      <c r="L32332" s="12"/>
      <c r="M32332" s="11"/>
      <c r="N32332" s="11"/>
      <c r="O32332" s="11"/>
      <c r="P32332" s="11"/>
    </row>
    <row r="32333" spans="8:16" x14ac:dyDescent="0.25">
      <c r="H32333" s="12"/>
      <c r="I32333" s="12"/>
      <c r="J32333" s="12"/>
      <c r="K32333" s="12"/>
      <c r="L32333" s="12"/>
      <c r="M32333" s="11"/>
      <c r="N32333" s="11"/>
      <c r="O32333" s="11"/>
      <c r="P32333" s="11"/>
    </row>
    <row r="32334" spans="8:16" x14ac:dyDescent="0.25">
      <c r="H32334" s="12"/>
      <c r="I32334" s="12"/>
      <c r="J32334" s="12"/>
      <c r="K32334" s="12"/>
      <c r="L32334" s="12"/>
      <c r="M32334" s="11"/>
      <c r="N32334" s="11"/>
      <c r="O32334" s="11"/>
      <c r="P32334" s="11"/>
    </row>
    <row r="32335" spans="8:16" x14ac:dyDescent="0.25">
      <c r="H32335" s="12"/>
      <c r="I32335" s="12"/>
      <c r="J32335" s="12"/>
      <c r="K32335" s="12"/>
      <c r="L32335" s="12"/>
      <c r="M32335" s="11"/>
      <c r="N32335" s="11"/>
      <c r="O32335" s="11"/>
      <c r="P32335" s="11"/>
    </row>
    <row r="32336" spans="8:16" x14ac:dyDescent="0.25">
      <c r="H32336" s="12"/>
      <c r="I32336" s="12"/>
      <c r="J32336" s="12"/>
      <c r="K32336" s="12"/>
      <c r="L32336" s="12"/>
      <c r="M32336" s="11"/>
      <c r="N32336" s="11"/>
      <c r="O32336" s="11"/>
      <c r="P32336" s="11"/>
    </row>
    <row r="32337" spans="8:16" x14ac:dyDescent="0.25">
      <c r="H32337" s="12"/>
      <c r="I32337" s="12"/>
      <c r="J32337" s="12"/>
      <c r="K32337" s="12"/>
      <c r="L32337" s="12"/>
      <c r="M32337" s="11"/>
      <c r="N32337" s="11"/>
      <c r="O32337" s="11"/>
      <c r="P32337" s="11"/>
    </row>
    <row r="32338" spans="8:16" x14ac:dyDescent="0.25">
      <c r="H32338" s="12"/>
      <c r="I32338" s="12"/>
      <c r="J32338" s="12"/>
      <c r="K32338" s="12"/>
      <c r="L32338" s="12"/>
      <c r="M32338" s="11"/>
      <c r="N32338" s="11"/>
      <c r="O32338" s="11"/>
      <c r="P32338" s="11"/>
    </row>
    <row r="32339" spans="8:16" x14ac:dyDescent="0.25">
      <c r="H32339" s="12"/>
      <c r="I32339" s="12"/>
      <c r="J32339" s="12"/>
      <c r="K32339" s="12"/>
      <c r="L32339" s="12"/>
      <c r="M32339" s="11"/>
      <c r="N32339" s="11"/>
      <c r="O32339" s="11"/>
      <c r="P32339" s="11"/>
    </row>
    <row r="32340" spans="8:16" x14ac:dyDescent="0.25">
      <c r="H32340" s="12"/>
      <c r="I32340" s="12"/>
      <c r="J32340" s="12"/>
      <c r="K32340" s="12"/>
      <c r="L32340" s="12"/>
      <c r="M32340" s="11"/>
      <c r="N32340" s="11"/>
      <c r="O32340" s="11"/>
      <c r="P32340" s="11"/>
    </row>
    <row r="32341" spans="8:16" x14ac:dyDescent="0.25">
      <c r="H32341" s="12"/>
      <c r="I32341" s="12"/>
      <c r="J32341" s="12"/>
      <c r="K32341" s="12"/>
      <c r="L32341" s="12"/>
      <c r="M32341" s="11"/>
      <c r="N32341" s="11"/>
      <c r="O32341" s="11"/>
      <c r="P32341" s="11"/>
    </row>
    <row r="32342" spans="8:16" x14ac:dyDescent="0.25">
      <c r="H32342" s="12"/>
      <c r="I32342" s="12"/>
      <c r="J32342" s="12"/>
      <c r="K32342" s="12"/>
      <c r="L32342" s="12"/>
      <c r="M32342" s="11"/>
      <c r="N32342" s="11"/>
      <c r="O32342" s="11"/>
      <c r="P32342" s="11"/>
    </row>
    <row r="32343" spans="8:16" x14ac:dyDescent="0.25">
      <c r="H32343" s="12"/>
      <c r="I32343" s="12"/>
      <c r="J32343" s="12"/>
      <c r="K32343" s="12"/>
      <c r="L32343" s="12"/>
      <c r="M32343" s="11"/>
      <c r="N32343" s="11"/>
      <c r="O32343" s="11"/>
      <c r="P32343" s="11"/>
    </row>
    <row r="32344" spans="8:16" x14ac:dyDescent="0.25">
      <c r="H32344" s="12"/>
      <c r="I32344" s="12"/>
      <c r="J32344" s="12"/>
      <c r="K32344" s="12"/>
      <c r="L32344" s="12"/>
      <c r="M32344" s="11"/>
      <c r="N32344" s="11"/>
      <c r="O32344" s="11"/>
      <c r="P32344" s="11"/>
    </row>
    <row r="32345" spans="8:16" x14ac:dyDescent="0.25">
      <c r="H32345" s="12"/>
      <c r="I32345" s="12"/>
      <c r="J32345" s="12"/>
      <c r="K32345" s="12"/>
      <c r="L32345" s="12"/>
      <c r="M32345" s="11"/>
      <c r="N32345" s="11"/>
      <c r="O32345" s="11"/>
      <c r="P32345" s="11"/>
    </row>
    <row r="32346" spans="8:16" x14ac:dyDescent="0.25">
      <c r="H32346" s="12"/>
      <c r="I32346" s="12"/>
      <c r="J32346" s="12"/>
      <c r="K32346" s="12"/>
      <c r="L32346" s="12"/>
      <c r="M32346" s="11"/>
      <c r="N32346" s="11"/>
      <c r="O32346" s="11"/>
      <c r="P32346" s="11"/>
    </row>
    <row r="32347" spans="8:16" x14ac:dyDescent="0.25">
      <c r="H32347" s="12"/>
      <c r="I32347" s="12"/>
      <c r="J32347" s="12"/>
      <c r="K32347" s="12"/>
      <c r="L32347" s="12"/>
      <c r="M32347" s="11"/>
      <c r="N32347" s="11"/>
      <c r="O32347" s="11"/>
      <c r="P32347" s="11"/>
    </row>
    <row r="32348" spans="8:16" x14ac:dyDescent="0.25">
      <c r="H32348" s="12"/>
      <c r="I32348" s="12"/>
      <c r="J32348" s="12"/>
      <c r="K32348" s="12"/>
      <c r="L32348" s="12"/>
      <c r="M32348" s="11"/>
      <c r="N32348" s="11"/>
      <c r="O32348" s="11"/>
      <c r="P32348" s="11"/>
    </row>
    <row r="32349" spans="8:16" x14ac:dyDescent="0.25">
      <c r="H32349" s="12"/>
      <c r="I32349" s="12"/>
      <c r="J32349" s="12"/>
      <c r="K32349" s="12"/>
      <c r="L32349" s="12"/>
      <c r="M32349" s="11"/>
      <c r="N32349" s="11"/>
      <c r="O32349" s="11"/>
      <c r="P32349" s="11"/>
    </row>
    <row r="32350" spans="8:16" x14ac:dyDescent="0.25">
      <c r="H32350" s="12"/>
      <c r="I32350" s="12"/>
      <c r="J32350" s="12"/>
      <c r="K32350" s="12"/>
      <c r="L32350" s="12"/>
      <c r="M32350" s="11"/>
      <c r="N32350" s="11"/>
      <c r="O32350" s="11"/>
      <c r="P32350" s="11"/>
    </row>
    <row r="32351" spans="8:16" x14ac:dyDescent="0.25">
      <c r="H32351" s="12"/>
      <c r="I32351" s="12"/>
      <c r="J32351" s="12"/>
      <c r="K32351" s="12"/>
      <c r="L32351" s="12"/>
      <c r="M32351" s="11"/>
      <c r="N32351" s="11"/>
      <c r="O32351" s="11"/>
      <c r="P32351" s="11"/>
    </row>
    <row r="32352" spans="8:16" x14ac:dyDescent="0.25">
      <c r="H32352" s="12"/>
      <c r="I32352" s="12"/>
      <c r="J32352" s="12"/>
      <c r="K32352" s="12"/>
      <c r="L32352" s="12"/>
      <c r="M32352" s="11"/>
      <c r="N32352" s="11"/>
      <c r="O32352" s="11"/>
      <c r="P32352" s="11"/>
    </row>
    <row r="32353" spans="8:16" x14ac:dyDescent="0.25">
      <c r="H32353" s="12"/>
      <c r="I32353" s="12"/>
      <c r="J32353" s="12"/>
      <c r="K32353" s="12"/>
      <c r="L32353" s="12"/>
      <c r="M32353" s="11"/>
      <c r="N32353" s="11"/>
      <c r="O32353" s="11"/>
      <c r="P32353" s="11"/>
    </row>
    <row r="32354" spans="8:16" x14ac:dyDescent="0.25">
      <c r="H32354" s="12"/>
      <c r="I32354" s="12"/>
      <c r="J32354" s="12"/>
      <c r="K32354" s="12"/>
      <c r="L32354" s="12"/>
      <c r="M32354" s="11"/>
      <c r="N32354" s="11"/>
      <c r="O32354" s="11"/>
      <c r="P32354" s="11"/>
    </row>
    <row r="32355" spans="8:16" x14ac:dyDescent="0.25">
      <c r="H32355" s="12"/>
      <c r="I32355" s="12"/>
      <c r="J32355" s="12"/>
      <c r="K32355" s="12"/>
      <c r="L32355" s="12"/>
      <c r="M32355" s="11"/>
      <c r="N32355" s="11"/>
      <c r="O32355" s="11"/>
      <c r="P32355" s="11"/>
    </row>
    <row r="32356" spans="8:16" x14ac:dyDescent="0.25">
      <c r="H32356" s="12"/>
      <c r="I32356" s="12"/>
      <c r="J32356" s="12"/>
      <c r="K32356" s="12"/>
      <c r="L32356" s="12"/>
      <c r="M32356" s="11"/>
      <c r="N32356" s="11"/>
      <c r="O32356" s="11"/>
      <c r="P32356" s="11"/>
    </row>
    <row r="32357" spans="8:16" x14ac:dyDescent="0.25">
      <c r="H32357" s="12"/>
      <c r="I32357" s="12"/>
      <c r="J32357" s="12"/>
      <c r="K32357" s="12"/>
      <c r="L32357" s="12"/>
      <c r="M32357" s="11"/>
      <c r="N32357" s="11"/>
      <c r="O32357" s="11"/>
      <c r="P32357" s="11"/>
    </row>
    <row r="32358" spans="8:16" x14ac:dyDescent="0.25">
      <c r="H32358" s="12"/>
      <c r="I32358" s="12"/>
      <c r="J32358" s="12"/>
      <c r="K32358" s="12"/>
      <c r="L32358" s="12"/>
      <c r="M32358" s="11"/>
      <c r="N32358" s="11"/>
      <c r="O32358" s="11"/>
      <c r="P32358" s="11"/>
    </row>
    <row r="32359" spans="8:16" x14ac:dyDescent="0.25">
      <c r="H32359" s="12"/>
      <c r="I32359" s="12"/>
      <c r="J32359" s="12"/>
      <c r="K32359" s="12"/>
      <c r="L32359" s="12"/>
      <c r="M32359" s="11"/>
      <c r="N32359" s="11"/>
      <c r="O32359" s="11"/>
      <c r="P32359" s="11"/>
    </row>
    <row r="32360" spans="8:16" x14ac:dyDescent="0.25">
      <c r="H32360" s="12"/>
      <c r="I32360" s="12"/>
      <c r="J32360" s="12"/>
      <c r="K32360" s="12"/>
      <c r="L32360" s="12"/>
      <c r="M32360" s="11"/>
      <c r="N32360" s="11"/>
      <c r="O32360" s="11"/>
      <c r="P32360" s="11"/>
    </row>
    <row r="32361" spans="8:16" x14ac:dyDescent="0.25">
      <c r="H32361" s="12"/>
      <c r="I32361" s="12"/>
      <c r="J32361" s="12"/>
      <c r="K32361" s="12"/>
      <c r="L32361" s="12"/>
      <c r="M32361" s="11"/>
      <c r="N32361" s="11"/>
      <c r="O32361" s="11"/>
      <c r="P32361" s="11"/>
    </row>
    <row r="32362" spans="8:16" x14ac:dyDescent="0.25">
      <c r="H32362" s="12"/>
      <c r="I32362" s="12"/>
      <c r="J32362" s="12"/>
      <c r="K32362" s="12"/>
      <c r="L32362" s="12"/>
      <c r="M32362" s="11"/>
      <c r="N32362" s="11"/>
      <c r="O32362" s="11"/>
      <c r="P32362" s="11"/>
    </row>
    <row r="32363" spans="8:16" x14ac:dyDescent="0.25">
      <c r="H32363" s="12"/>
      <c r="I32363" s="12"/>
      <c r="J32363" s="12"/>
      <c r="K32363" s="12"/>
      <c r="L32363" s="12"/>
      <c r="M32363" s="11"/>
      <c r="N32363" s="11"/>
      <c r="O32363" s="11"/>
      <c r="P32363" s="11"/>
    </row>
    <row r="32364" spans="8:16" x14ac:dyDescent="0.25">
      <c r="H32364" s="12"/>
      <c r="I32364" s="12"/>
      <c r="J32364" s="12"/>
      <c r="K32364" s="12"/>
      <c r="L32364" s="12"/>
      <c r="M32364" s="11"/>
      <c r="N32364" s="11"/>
      <c r="O32364" s="11"/>
      <c r="P32364" s="11"/>
    </row>
    <row r="32365" spans="8:16" x14ac:dyDescent="0.25">
      <c r="H32365" s="12"/>
      <c r="I32365" s="12"/>
      <c r="J32365" s="12"/>
      <c r="K32365" s="12"/>
      <c r="L32365" s="12"/>
      <c r="M32365" s="11"/>
      <c r="N32365" s="11"/>
      <c r="O32365" s="11"/>
      <c r="P32365" s="11"/>
    </row>
    <row r="32366" spans="8:16" x14ac:dyDescent="0.25">
      <c r="H32366" s="12"/>
      <c r="I32366" s="12"/>
      <c r="J32366" s="12"/>
      <c r="K32366" s="12"/>
      <c r="L32366" s="12"/>
      <c r="M32366" s="11"/>
      <c r="N32366" s="11"/>
      <c r="O32366" s="11"/>
      <c r="P32366" s="11"/>
    </row>
    <row r="32367" spans="8:16" x14ac:dyDescent="0.25">
      <c r="H32367" s="12"/>
      <c r="I32367" s="12"/>
      <c r="J32367" s="12"/>
      <c r="K32367" s="12"/>
      <c r="L32367" s="12"/>
      <c r="M32367" s="11"/>
      <c r="N32367" s="11"/>
      <c r="O32367" s="11"/>
      <c r="P32367" s="11"/>
    </row>
    <row r="32368" spans="8:16" x14ac:dyDescent="0.25">
      <c r="H32368" s="12"/>
      <c r="I32368" s="12"/>
      <c r="J32368" s="12"/>
      <c r="K32368" s="12"/>
      <c r="L32368" s="12"/>
      <c r="M32368" s="11"/>
      <c r="N32368" s="11"/>
      <c r="O32368" s="11"/>
      <c r="P32368" s="11"/>
    </row>
    <row r="32369" spans="8:16" x14ac:dyDescent="0.25">
      <c r="H32369" s="12"/>
      <c r="I32369" s="12"/>
      <c r="J32369" s="12"/>
      <c r="K32369" s="12"/>
      <c r="L32369" s="12"/>
      <c r="M32369" s="11"/>
      <c r="N32369" s="11"/>
      <c r="O32369" s="11"/>
      <c r="P32369" s="11"/>
    </row>
    <row r="32370" spans="8:16" x14ac:dyDescent="0.25">
      <c r="H32370" s="12"/>
      <c r="I32370" s="12"/>
      <c r="J32370" s="12"/>
      <c r="K32370" s="12"/>
      <c r="L32370" s="12"/>
      <c r="M32370" s="11"/>
      <c r="N32370" s="11"/>
      <c r="O32370" s="11"/>
      <c r="P32370" s="11"/>
    </row>
    <row r="32371" spans="8:16" x14ac:dyDescent="0.25">
      <c r="H32371" s="12"/>
      <c r="I32371" s="12"/>
      <c r="J32371" s="12"/>
      <c r="K32371" s="12"/>
      <c r="L32371" s="12"/>
      <c r="M32371" s="11"/>
      <c r="N32371" s="11"/>
      <c r="O32371" s="11"/>
      <c r="P32371" s="11"/>
    </row>
    <row r="32372" spans="8:16" x14ac:dyDescent="0.25">
      <c r="H32372" s="12"/>
      <c r="I32372" s="12"/>
      <c r="J32372" s="12"/>
      <c r="K32372" s="12"/>
      <c r="L32372" s="12"/>
      <c r="M32372" s="11"/>
      <c r="N32372" s="11"/>
      <c r="O32372" s="11"/>
      <c r="P32372" s="11"/>
    </row>
    <row r="32373" spans="8:16" x14ac:dyDescent="0.25">
      <c r="H32373" s="12"/>
      <c r="I32373" s="12"/>
      <c r="J32373" s="12"/>
      <c r="K32373" s="12"/>
      <c r="L32373" s="12"/>
      <c r="M32373" s="11"/>
      <c r="N32373" s="11"/>
      <c r="O32373" s="11"/>
      <c r="P32373" s="11"/>
    </row>
    <row r="32374" spans="8:16" x14ac:dyDescent="0.25">
      <c r="H32374" s="12"/>
      <c r="I32374" s="12"/>
      <c r="J32374" s="12"/>
      <c r="K32374" s="12"/>
      <c r="L32374" s="12"/>
      <c r="M32374" s="11"/>
      <c r="N32374" s="11"/>
      <c r="O32374" s="11"/>
      <c r="P32374" s="11"/>
    </row>
    <row r="32375" spans="8:16" x14ac:dyDescent="0.25">
      <c r="H32375" s="12"/>
      <c r="I32375" s="12"/>
      <c r="J32375" s="12"/>
      <c r="K32375" s="12"/>
      <c r="L32375" s="12"/>
      <c r="M32375" s="11"/>
      <c r="N32375" s="11"/>
      <c r="O32375" s="11"/>
      <c r="P32375" s="11"/>
    </row>
    <row r="32376" spans="8:16" x14ac:dyDescent="0.25">
      <c r="H32376" s="12"/>
      <c r="I32376" s="12"/>
      <c r="J32376" s="12"/>
      <c r="K32376" s="12"/>
      <c r="L32376" s="12"/>
      <c r="M32376" s="11"/>
      <c r="N32376" s="11"/>
      <c r="O32376" s="11"/>
      <c r="P32376" s="11"/>
    </row>
    <row r="32377" spans="8:16" x14ac:dyDescent="0.25">
      <c r="H32377" s="12"/>
      <c r="I32377" s="12"/>
      <c r="J32377" s="12"/>
      <c r="K32377" s="12"/>
      <c r="L32377" s="12"/>
      <c r="M32377" s="11"/>
      <c r="N32377" s="11"/>
      <c r="O32377" s="11"/>
      <c r="P32377" s="11"/>
    </row>
    <row r="32378" spans="8:16" x14ac:dyDescent="0.25">
      <c r="H32378" s="12"/>
      <c r="I32378" s="12"/>
      <c r="J32378" s="12"/>
      <c r="K32378" s="12"/>
      <c r="L32378" s="12"/>
      <c r="M32378" s="11"/>
      <c r="N32378" s="11"/>
      <c r="O32378" s="11"/>
      <c r="P32378" s="11"/>
    </row>
    <row r="32379" spans="8:16" x14ac:dyDescent="0.25">
      <c r="H32379" s="12"/>
      <c r="I32379" s="12"/>
      <c r="J32379" s="12"/>
      <c r="K32379" s="12"/>
      <c r="L32379" s="12"/>
      <c r="M32379" s="11"/>
      <c r="N32379" s="11"/>
      <c r="O32379" s="11"/>
      <c r="P32379" s="11"/>
    </row>
    <row r="32380" spans="8:16" x14ac:dyDescent="0.25">
      <c r="H32380" s="12"/>
      <c r="I32380" s="12"/>
      <c r="J32380" s="12"/>
      <c r="K32380" s="12"/>
      <c r="L32380" s="12"/>
      <c r="M32380" s="11"/>
      <c r="N32380" s="11"/>
      <c r="O32380" s="11"/>
      <c r="P32380" s="11"/>
    </row>
    <row r="32381" spans="8:16" x14ac:dyDescent="0.25">
      <c r="H32381" s="12"/>
      <c r="I32381" s="12"/>
      <c r="J32381" s="12"/>
      <c r="K32381" s="12"/>
      <c r="L32381" s="12"/>
      <c r="M32381" s="11"/>
      <c r="N32381" s="11"/>
      <c r="O32381" s="11"/>
      <c r="P32381" s="11"/>
    </row>
    <row r="32382" spans="8:16" x14ac:dyDescent="0.25">
      <c r="H32382" s="12"/>
      <c r="I32382" s="12"/>
      <c r="J32382" s="12"/>
      <c r="K32382" s="12"/>
      <c r="L32382" s="12"/>
      <c r="M32382" s="11"/>
      <c r="N32382" s="11"/>
      <c r="O32382" s="11"/>
      <c r="P32382" s="11"/>
    </row>
    <row r="32383" spans="8:16" x14ac:dyDescent="0.25">
      <c r="H32383" s="12"/>
      <c r="I32383" s="12"/>
      <c r="J32383" s="12"/>
      <c r="K32383" s="12"/>
      <c r="L32383" s="12"/>
      <c r="M32383" s="11"/>
      <c r="N32383" s="11"/>
      <c r="O32383" s="11"/>
      <c r="P32383" s="11"/>
    </row>
    <row r="32384" spans="8:16" x14ac:dyDescent="0.25">
      <c r="H32384" s="12"/>
      <c r="I32384" s="12"/>
      <c r="J32384" s="12"/>
      <c r="K32384" s="12"/>
      <c r="L32384" s="12"/>
      <c r="M32384" s="11"/>
      <c r="N32384" s="11"/>
      <c r="O32384" s="11"/>
      <c r="P32384" s="11"/>
    </row>
    <row r="32385" spans="8:16" x14ac:dyDescent="0.25">
      <c r="H32385" s="12"/>
      <c r="I32385" s="12"/>
      <c r="J32385" s="12"/>
      <c r="K32385" s="12"/>
      <c r="L32385" s="12"/>
      <c r="M32385" s="11"/>
      <c r="N32385" s="11"/>
      <c r="O32385" s="11"/>
      <c r="P32385" s="11"/>
    </row>
    <row r="32386" spans="8:16" x14ac:dyDescent="0.25">
      <c r="H32386" s="12"/>
      <c r="I32386" s="12"/>
      <c r="J32386" s="12"/>
      <c r="K32386" s="12"/>
      <c r="L32386" s="12"/>
      <c r="M32386" s="11"/>
      <c r="N32386" s="11"/>
      <c r="O32386" s="11"/>
      <c r="P32386" s="11"/>
    </row>
    <row r="32387" spans="8:16" x14ac:dyDescent="0.25">
      <c r="H32387" s="12"/>
      <c r="I32387" s="12"/>
      <c r="J32387" s="12"/>
      <c r="K32387" s="12"/>
      <c r="L32387" s="12"/>
      <c r="M32387" s="11"/>
      <c r="N32387" s="11"/>
      <c r="O32387" s="11"/>
      <c r="P32387" s="11"/>
    </row>
    <row r="32388" spans="8:16" x14ac:dyDescent="0.25">
      <c r="H32388" s="12"/>
      <c r="I32388" s="12"/>
      <c r="J32388" s="12"/>
      <c r="K32388" s="12"/>
      <c r="L32388" s="12"/>
      <c r="M32388" s="11"/>
      <c r="N32388" s="11"/>
      <c r="O32388" s="11"/>
      <c r="P32388" s="11"/>
    </row>
    <row r="32389" spans="8:16" x14ac:dyDescent="0.25">
      <c r="H32389" s="12"/>
      <c r="I32389" s="12"/>
      <c r="J32389" s="12"/>
      <c r="K32389" s="12"/>
      <c r="L32389" s="12"/>
      <c r="M32389" s="11"/>
      <c r="N32389" s="11"/>
      <c r="O32389" s="11"/>
      <c r="P32389" s="11"/>
    </row>
    <row r="32390" spans="8:16" x14ac:dyDescent="0.25">
      <c r="H32390" s="12"/>
      <c r="I32390" s="12"/>
      <c r="J32390" s="12"/>
      <c r="K32390" s="12"/>
      <c r="L32390" s="12"/>
      <c r="M32390" s="11"/>
      <c r="N32390" s="11"/>
      <c r="O32390" s="11"/>
      <c r="P32390" s="11"/>
    </row>
    <row r="32391" spans="8:16" x14ac:dyDescent="0.25">
      <c r="H32391" s="12"/>
      <c r="I32391" s="12"/>
      <c r="J32391" s="12"/>
      <c r="K32391" s="12"/>
      <c r="L32391" s="12"/>
      <c r="M32391" s="11"/>
      <c r="N32391" s="11"/>
      <c r="O32391" s="11"/>
      <c r="P32391" s="11"/>
    </row>
    <row r="32392" spans="8:16" x14ac:dyDescent="0.25">
      <c r="H32392" s="12"/>
      <c r="I32392" s="12"/>
      <c r="J32392" s="12"/>
      <c r="K32392" s="12"/>
      <c r="L32392" s="12"/>
      <c r="M32392" s="11"/>
      <c r="N32392" s="11"/>
      <c r="O32392" s="11"/>
      <c r="P32392" s="11"/>
    </row>
    <row r="32393" spans="8:16" x14ac:dyDescent="0.25">
      <c r="H32393" s="12"/>
      <c r="I32393" s="12"/>
      <c r="J32393" s="12"/>
      <c r="K32393" s="12"/>
      <c r="L32393" s="12"/>
      <c r="M32393" s="11"/>
      <c r="N32393" s="11"/>
      <c r="O32393" s="11"/>
      <c r="P32393" s="11"/>
    </row>
    <row r="32394" spans="8:16" x14ac:dyDescent="0.25">
      <c r="H32394" s="12"/>
      <c r="I32394" s="12"/>
      <c r="J32394" s="12"/>
      <c r="K32394" s="12"/>
      <c r="L32394" s="12"/>
      <c r="M32394" s="11"/>
      <c r="N32394" s="11"/>
      <c r="O32394" s="11"/>
      <c r="P32394" s="11"/>
    </row>
    <row r="32395" spans="8:16" x14ac:dyDescent="0.25">
      <c r="H32395" s="12"/>
      <c r="I32395" s="12"/>
      <c r="J32395" s="12"/>
      <c r="K32395" s="12"/>
      <c r="L32395" s="12"/>
      <c r="M32395" s="11"/>
      <c r="N32395" s="11"/>
      <c r="O32395" s="11"/>
      <c r="P32395" s="11"/>
    </row>
    <row r="32396" spans="8:16" x14ac:dyDescent="0.25">
      <c r="H32396" s="12"/>
      <c r="I32396" s="12"/>
      <c r="J32396" s="12"/>
      <c r="K32396" s="12"/>
      <c r="L32396" s="12"/>
      <c r="M32396" s="11"/>
      <c r="N32396" s="11"/>
      <c r="O32396" s="11"/>
      <c r="P32396" s="11"/>
    </row>
    <row r="32397" spans="8:16" x14ac:dyDescent="0.25">
      <c r="H32397" s="12"/>
      <c r="I32397" s="12"/>
      <c r="J32397" s="12"/>
      <c r="K32397" s="12"/>
      <c r="L32397" s="12"/>
      <c r="M32397" s="11"/>
      <c r="N32397" s="11"/>
      <c r="O32397" s="11"/>
      <c r="P32397" s="11"/>
    </row>
    <row r="32398" spans="8:16" x14ac:dyDescent="0.25">
      <c r="H32398" s="12"/>
      <c r="I32398" s="12"/>
      <c r="J32398" s="12"/>
      <c r="K32398" s="12"/>
      <c r="L32398" s="12"/>
      <c r="M32398" s="11"/>
      <c r="N32398" s="11"/>
      <c r="O32398" s="11"/>
      <c r="P32398" s="11"/>
    </row>
    <row r="32399" spans="8:16" x14ac:dyDescent="0.25">
      <c r="H32399" s="12"/>
      <c r="I32399" s="12"/>
      <c r="J32399" s="12"/>
      <c r="K32399" s="12"/>
      <c r="L32399" s="12"/>
      <c r="M32399" s="11"/>
      <c r="N32399" s="11"/>
      <c r="O32399" s="11"/>
      <c r="P32399" s="11"/>
    </row>
    <row r="32400" spans="8:16" x14ac:dyDescent="0.25">
      <c r="H32400" s="12"/>
      <c r="I32400" s="12"/>
      <c r="J32400" s="12"/>
      <c r="K32400" s="12"/>
      <c r="L32400" s="12"/>
      <c r="M32400" s="11"/>
      <c r="N32400" s="11"/>
      <c r="O32400" s="11"/>
      <c r="P32400" s="11"/>
    </row>
    <row r="32401" spans="8:16" x14ac:dyDescent="0.25">
      <c r="H32401" s="12"/>
      <c r="I32401" s="12"/>
      <c r="J32401" s="12"/>
      <c r="K32401" s="12"/>
      <c r="L32401" s="12"/>
      <c r="M32401" s="11"/>
      <c r="N32401" s="11"/>
      <c r="O32401" s="11"/>
      <c r="P32401" s="11"/>
    </row>
    <row r="32402" spans="8:16" x14ac:dyDescent="0.25">
      <c r="H32402" s="12"/>
      <c r="I32402" s="12"/>
      <c r="J32402" s="12"/>
      <c r="K32402" s="12"/>
      <c r="L32402" s="12"/>
      <c r="M32402" s="11"/>
      <c r="N32402" s="11"/>
      <c r="O32402" s="11"/>
      <c r="P32402" s="11"/>
    </row>
    <row r="32403" spans="8:16" x14ac:dyDescent="0.25">
      <c r="H32403" s="12"/>
      <c r="I32403" s="12"/>
      <c r="J32403" s="12"/>
      <c r="K32403" s="12"/>
      <c r="L32403" s="12"/>
      <c r="M32403" s="11"/>
      <c r="N32403" s="11"/>
      <c r="O32403" s="11"/>
      <c r="P32403" s="11"/>
    </row>
    <row r="32404" spans="8:16" x14ac:dyDescent="0.25">
      <c r="H32404" s="12"/>
      <c r="I32404" s="12"/>
      <c r="J32404" s="12"/>
      <c r="K32404" s="12"/>
      <c r="L32404" s="12"/>
      <c r="M32404" s="11"/>
      <c r="N32404" s="11"/>
      <c r="O32404" s="11"/>
      <c r="P32404" s="11"/>
    </row>
    <row r="32405" spans="8:16" x14ac:dyDescent="0.25">
      <c r="H32405" s="12"/>
      <c r="I32405" s="12"/>
      <c r="J32405" s="12"/>
      <c r="K32405" s="12"/>
      <c r="L32405" s="12"/>
      <c r="M32405" s="11"/>
      <c r="N32405" s="11"/>
      <c r="O32405" s="11"/>
      <c r="P32405" s="11"/>
    </row>
    <row r="32406" spans="8:16" x14ac:dyDescent="0.25">
      <c r="H32406" s="12"/>
      <c r="I32406" s="12"/>
      <c r="J32406" s="12"/>
      <c r="K32406" s="12"/>
      <c r="L32406" s="12"/>
      <c r="M32406" s="11"/>
      <c r="N32406" s="11"/>
      <c r="O32406" s="11"/>
      <c r="P32406" s="11"/>
    </row>
    <row r="32407" spans="8:16" x14ac:dyDescent="0.25">
      <c r="H32407" s="12"/>
      <c r="I32407" s="12"/>
      <c r="J32407" s="12"/>
      <c r="K32407" s="12"/>
      <c r="L32407" s="12"/>
      <c r="M32407" s="11"/>
      <c r="N32407" s="11"/>
      <c r="O32407" s="11"/>
      <c r="P32407" s="11"/>
    </row>
    <row r="32408" spans="8:16" x14ac:dyDescent="0.25">
      <c r="H32408" s="12"/>
      <c r="I32408" s="12"/>
      <c r="J32408" s="12"/>
      <c r="K32408" s="12"/>
      <c r="L32408" s="12"/>
      <c r="M32408" s="11"/>
      <c r="N32408" s="11"/>
      <c r="O32408" s="11"/>
      <c r="P32408" s="11"/>
    </row>
    <row r="32409" spans="8:16" x14ac:dyDescent="0.25">
      <c r="H32409" s="12"/>
      <c r="I32409" s="12"/>
      <c r="J32409" s="12"/>
      <c r="K32409" s="12"/>
      <c r="L32409" s="12"/>
      <c r="M32409" s="11"/>
      <c r="N32409" s="11"/>
      <c r="O32409" s="11"/>
      <c r="P32409" s="11"/>
    </row>
    <row r="32410" spans="8:16" x14ac:dyDescent="0.25">
      <c r="H32410" s="12"/>
      <c r="I32410" s="12"/>
      <c r="J32410" s="12"/>
      <c r="K32410" s="12"/>
      <c r="L32410" s="12"/>
      <c r="M32410" s="11"/>
      <c r="N32410" s="11"/>
      <c r="O32410" s="11"/>
      <c r="P32410" s="11"/>
    </row>
    <row r="32411" spans="8:16" x14ac:dyDescent="0.25">
      <c r="H32411" s="12"/>
      <c r="I32411" s="12"/>
      <c r="J32411" s="12"/>
      <c r="K32411" s="12"/>
      <c r="L32411" s="12"/>
      <c r="M32411" s="11"/>
      <c r="N32411" s="11"/>
      <c r="O32411" s="11"/>
      <c r="P32411" s="11"/>
    </row>
    <row r="32412" spans="8:16" x14ac:dyDescent="0.25">
      <c r="H32412" s="12"/>
      <c r="I32412" s="12"/>
      <c r="J32412" s="12"/>
      <c r="K32412" s="12"/>
      <c r="L32412" s="12"/>
      <c r="M32412" s="11"/>
      <c r="N32412" s="11"/>
      <c r="O32412" s="11"/>
      <c r="P32412" s="11"/>
    </row>
    <row r="32413" spans="8:16" x14ac:dyDescent="0.25">
      <c r="H32413" s="12"/>
      <c r="I32413" s="12"/>
      <c r="J32413" s="12"/>
      <c r="K32413" s="12"/>
      <c r="L32413" s="12"/>
      <c r="M32413" s="11"/>
      <c r="N32413" s="11"/>
      <c r="O32413" s="11"/>
      <c r="P32413" s="11"/>
    </row>
    <row r="32414" spans="8:16" x14ac:dyDescent="0.25">
      <c r="H32414" s="12"/>
      <c r="I32414" s="12"/>
      <c r="J32414" s="12"/>
      <c r="K32414" s="12"/>
      <c r="L32414" s="12"/>
      <c r="M32414" s="11"/>
      <c r="N32414" s="11"/>
      <c r="O32414" s="11"/>
      <c r="P32414" s="11"/>
    </row>
    <row r="32415" spans="8:16" x14ac:dyDescent="0.25">
      <c r="H32415" s="12"/>
      <c r="I32415" s="12"/>
      <c r="J32415" s="12"/>
      <c r="K32415" s="12"/>
      <c r="L32415" s="12"/>
      <c r="M32415" s="11"/>
      <c r="N32415" s="11"/>
      <c r="O32415" s="11"/>
      <c r="P32415" s="11"/>
    </row>
    <row r="32416" spans="8:16" x14ac:dyDescent="0.25">
      <c r="H32416" s="12"/>
      <c r="I32416" s="12"/>
      <c r="J32416" s="12"/>
      <c r="K32416" s="12"/>
      <c r="L32416" s="12"/>
      <c r="M32416" s="11"/>
      <c r="N32416" s="11"/>
      <c r="O32416" s="11"/>
      <c r="P32416" s="11"/>
    </row>
    <row r="32417" spans="8:16" x14ac:dyDescent="0.25">
      <c r="H32417" s="12"/>
      <c r="I32417" s="12"/>
      <c r="J32417" s="12"/>
      <c r="K32417" s="12"/>
      <c r="L32417" s="12"/>
      <c r="M32417" s="11"/>
      <c r="N32417" s="11"/>
      <c r="O32417" s="11"/>
      <c r="P32417" s="11"/>
    </row>
    <row r="32418" spans="8:16" x14ac:dyDescent="0.25">
      <c r="H32418" s="12"/>
      <c r="I32418" s="12"/>
      <c r="J32418" s="12"/>
      <c r="K32418" s="12"/>
      <c r="L32418" s="12"/>
      <c r="M32418" s="11"/>
      <c r="N32418" s="11"/>
      <c r="O32418" s="11"/>
      <c r="P32418" s="11"/>
    </row>
    <row r="32419" spans="8:16" x14ac:dyDescent="0.25">
      <c r="H32419" s="12"/>
      <c r="I32419" s="12"/>
      <c r="J32419" s="12"/>
      <c r="K32419" s="12"/>
      <c r="L32419" s="12"/>
      <c r="M32419" s="11"/>
      <c r="N32419" s="11"/>
      <c r="O32419" s="11"/>
      <c r="P32419" s="11"/>
    </row>
    <row r="32420" spans="8:16" x14ac:dyDescent="0.25">
      <c r="H32420" s="12"/>
      <c r="I32420" s="12"/>
      <c r="J32420" s="12"/>
      <c r="K32420" s="12"/>
      <c r="L32420" s="12"/>
      <c r="M32420" s="11"/>
      <c r="N32420" s="11"/>
      <c r="O32420" s="11"/>
      <c r="P32420" s="11"/>
    </row>
    <row r="32421" spans="8:16" x14ac:dyDescent="0.25">
      <c r="H32421" s="12"/>
      <c r="I32421" s="12"/>
      <c r="J32421" s="12"/>
      <c r="K32421" s="12"/>
      <c r="L32421" s="12"/>
      <c r="M32421" s="11"/>
      <c r="N32421" s="11"/>
      <c r="O32421" s="11"/>
      <c r="P32421" s="11"/>
    </row>
    <row r="32422" spans="8:16" x14ac:dyDescent="0.25">
      <c r="H32422" s="12"/>
      <c r="I32422" s="12"/>
      <c r="J32422" s="12"/>
      <c r="K32422" s="12"/>
      <c r="L32422" s="12"/>
      <c r="M32422" s="11"/>
      <c r="N32422" s="11"/>
      <c r="O32422" s="11"/>
      <c r="P32422" s="11"/>
    </row>
    <row r="32423" spans="8:16" x14ac:dyDescent="0.25">
      <c r="H32423" s="12"/>
      <c r="I32423" s="12"/>
      <c r="J32423" s="12"/>
      <c r="K32423" s="12"/>
      <c r="L32423" s="12"/>
      <c r="M32423" s="11"/>
      <c r="N32423" s="11"/>
      <c r="O32423" s="11"/>
      <c r="P32423" s="11"/>
    </row>
    <row r="32424" spans="8:16" x14ac:dyDescent="0.25">
      <c r="H32424" s="12"/>
      <c r="I32424" s="12"/>
      <c r="J32424" s="12"/>
      <c r="K32424" s="12"/>
      <c r="L32424" s="12"/>
      <c r="M32424" s="11"/>
      <c r="N32424" s="11"/>
      <c r="O32424" s="11"/>
      <c r="P32424" s="11"/>
    </row>
    <row r="32425" spans="8:16" x14ac:dyDescent="0.25">
      <c r="H32425" s="12"/>
      <c r="I32425" s="12"/>
      <c r="J32425" s="12"/>
      <c r="K32425" s="12"/>
      <c r="L32425" s="12"/>
      <c r="M32425" s="11"/>
      <c r="N32425" s="11"/>
      <c r="O32425" s="11"/>
      <c r="P32425" s="11"/>
    </row>
    <row r="32426" spans="8:16" x14ac:dyDescent="0.25">
      <c r="H32426" s="12"/>
      <c r="I32426" s="12"/>
      <c r="J32426" s="12"/>
      <c r="K32426" s="12"/>
      <c r="L32426" s="12"/>
      <c r="M32426" s="11"/>
      <c r="N32426" s="11"/>
      <c r="O32426" s="11"/>
      <c r="P32426" s="11"/>
    </row>
    <row r="32427" spans="8:16" x14ac:dyDescent="0.25">
      <c r="H32427" s="12"/>
      <c r="I32427" s="12"/>
      <c r="J32427" s="12"/>
      <c r="K32427" s="12"/>
      <c r="L32427" s="12"/>
      <c r="M32427" s="11"/>
      <c r="N32427" s="11"/>
      <c r="O32427" s="11"/>
      <c r="P32427" s="11"/>
    </row>
    <row r="32428" spans="8:16" x14ac:dyDescent="0.25">
      <c r="H32428" s="12"/>
      <c r="I32428" s="12"/>
      <c r="J32428" s="12"/>
      <c r="K32428" s="12"/>
      <c r="L32428" s="12"/>
      <c r="M32428" s="11"/>
      <c r="N32428" s="11"/>
      <c r="O32428" s="11"/>
      <c r="P32428" s="11"/>
    </row>
    <row r="32429" spans="8:16" x14ac:dyDescent="0.25">
      <c r="H32429" s="12"/>
      <c r="I32429" s="12"/>
      <c r="J32429" s="12"/>
      <c r="K32429" s="12"/>
      <c r="L32429" s="12"/>
      <c r="M32429" s="11"/>
      <c r="N32429" s="11"/>
      <c r="O32429" s="11"/>
      <c r="P32429" s="11"/>
    </row>
    <row r="32430" spans="8:16" x14ac:dyDescent="0.25">
      <c r="H32430" s="12"/>
      <c r="I32430" s="12"/>
      <c r="J32430" s="12"/>
      <c r="K32430" s="12"/>
      <c r="L32430" s="12"/>
      <c r="M32430" s="11"/>
      <c r="N32430" s="11"/>
      <c r="O32430" s="11"/>
      <c r="P32430" s="11"/>
    </row>
    <row r="32431" spans="8:16" x14ac:dyDescent="0.25">
      <c r="H32431" s="12"/>
      <c r="I32431" s="12"/>
      <c r="J32431" s="12"/>
      <c r="K32431" s="12"/>
      <c r="L32431" s="12"/>
      <c r="M32431" s="11"/>
      <c r="N32431" s="11"/>
      <c r="O32431" s="11"/>
      <c r="P32431" s="11"/>
    </row>
    <row r="32432" spans="8:16" x14ac:dyDescent="0.25">
      <c r="H32432" s="12"/>
      <c r="I32432" s="12"/>
      <c r="J32432" s="12"/>
      <c r="K32432" s="12"/>
      <c r="L32432" s="12"/>
      <c r="M32432" s="11"/>
      <c r="N32432" s="11"/>
      <c r="O32432" s="11"/>
      <c r="P32432" s="11"/>
    </row>
    <row r="32433" spans="8:16" x14ac:dyDescent="0.25">
      <c r="H32433" s="12"/>
      <c r="I32433" s="12"/>
      <c r="J32433" s="12"/>
      <c r="K32433" s="12"/>
      <c r="L32433" s="12"/>
      <c r="M32433" s="11"/>
      <c r="N32433" s="11"/>
      <c r="O32433" s="11"/>
      <c r="P32433" s="11"/>
    </row>
    <row r="32434" spans="8:16" x14ac:dyDescent="0.25">
      <c r="H32434" s="12"/>
      <c r="I32434" s="12"/>
      <c r="J32434" s="12"/>
      <c r="K32434" s="12"/>
      <c r="L32434" s="12"/>
      <c r="M32434" s="11"/>
      <c r="N32434" s="11"/>
      <c r="O32434" s="11"/>
      <c r="P32434" s="11"/>
    </row>
    <row r="32435" spans="8:16" x14ac:dyDescent="0.25">
      <c r="H32435" s="12"/>
      <c r="I32435" s="12"/>
      <c r="J32435" s="12"/>
      <c r="K32435" s="12"/>
      <c r="L32435" s="12"/>
      <c r="M32435" s="11"/>
      <c r="N32435" s="11"/>
      <c r="O32435" s="11"/>
      <c r="P32435" s="11"/>
    </row>
    <row r="32436" spans="8:16" x14ac:dyDescent="0.25">
      <c r="H32436" s="12"/>
      <c r="I32436" s="12"/>
      <c r="J32436" s="12"/>
      <c r="K32436" s="12"/>
      <c r="L32436" s="12"/>
      <c r="M32436" s="11"/>
      <c r="N32436" s="11"/>
      <c r="O32436" s="11"/>
      <c r="P32436" s="11"/>
    </row>
    <row r="32437" spans="8:16" x14ac:dyDescent="0.25">
      <c r="H32437" s="12"/>
      <c r="I32437" s="12"/>
      <c r="J32437" s="12"/>
      <c r="K32437" s="12"/>
      <c r="L32437" s="12"/>
      <c r="M32437" s="11"/>
      <c r="N32437" s="11"/>
      <c r="O32437" s="11"/>
      <c r="P32437" s="11"/>
    </row>
    <row r="32438" spans="8:16" x14ac:dyDescent="0.25">
      <c r="H32438" s="12"/>
      <c r="I32438" s="12"/>
      <c r="J32438" s="12"/>
      <c r="K32438" s="12"/>
      <c r="L32438" s="12"/>
      <c r="M32438" s="11"/>
      <c r="N32438" s="11"/>
      <c r="O32438" s="11"/>
      <c r="P32438" s="11"/>
    </row>
    <row r="32439" spans="8:16" x14ac:dyDescent="0.25">
      <c r="H32439" s="12"/>
      <c r="I32439" s="12"/>
      <c r="J32439" s="12"/>
      <c r="K32439" s="12"/>
      <c r="L32439" s="12"/>
      <c r="M32439" s="11"/>
      <c r="N32439" s="11"/>
      <c r="O32439" s="11"/>
      <c r="P32439" s="11"/>
    </row>
    <row r="32440" spans="8:16" x14ac:dyDescent="0.25">
      <c r="H32440" s="12"/>
      <c r="I32440" s="12"/>
      <c r="J32440" s="12"/>
      <c r="K32440" s="12"/>
      <c r="L32440" s="12"/>
      <c r="M32440" s="11"/>
      <c r="N32440" s="11"/>
      <c r="O32440" s="11"/>
      <c r="P32440" s="11"/>
    </row>
    <row r="32441" spans="8:16" x14ac:dyDescent="0.25">
      <c r="H32441" s="12"/>
      <c r="I32441" s="12"/>
      <c r="J32441" s="12"/>
      <c r="K32441" s="12"/>
      <c r="L32441" s="12"/>
      <c r="M32441" s="11"/>
      <c r="N32441" s="11"/>
      <c r="O32441" s="11"/>
      <c r="P32441" s="11"/>
    </row>
    <row r="32442" spans="8:16" x14ac:dyDescent="0.25">
      <c r="H32442" s="12"/>
      <c r="I32442" s="12"/>
      <c r="J32442" s="12"/>
      <c r="K32442" s="12"/>
      <c r="L32442" s="12"/>
      <c r="M32442" s="11"/>
      <c r="N32442" s="11"/>
      <c r="O32442" s="11"/>
      <c r="P32442" s="11"/>
    </row>
    <row r="32443" spans="8:16" x14ac:dyDescent="0.25">
      <c r="H32443" s="12"/>
      <c r="I32443" s="12"/>
      <c r="J32443" s="12"/>
      <c r="K32443" s="12"/>
      <c r="L32443" s="12"/>
      <c r="M32443" s="11"/>
      <c r="N32443" s="11"/>
      <c r="O32443" s="11"/>
      <c r="P32443" s="11"/>
    </row>
    <row r="32444" spans="8:16" x14ac:dyDescent="0.25">
      <c r="H32444" s="12"/>
      <c r="I32444" s="12"/>
      <c r="J32444" s="12"/>
      <c r="K32444" s="12"/>
      <c r="L32444" s="12"/>
      <c r="M32444" s="11"/>
      <c r="N32444" s="11"/>
      <c r="O32444" s="11"/>
      <c r="P32444" s="11"/>
    </row>
    <row r="32445" spans="8:16" x14ac:dyDescent="0.25">
      <c r="H32445" s="12"/>
      <c r="I32445" s="12"/>
      <c r="J32445" s="12"/>
      <c r="K32445" s="12"/>
      <c r="L32445" s="12"/>
      <c r="M32445" s="11"/>
      <c r="N32445" s="11"/>
      <c r="O32445" s="11"/>
      <c r="P32445" s="11"/>
    </row>
    <row r="32446" spans="8:16" x14ac:dyDescent="0.25">
      <c r="H32446" s="12"/>
      <c r="I32446" s="12"/>
      <c r="J32446" s="12"/>
      <c r="K32446" s="12"/>
      <c r="L32446" s="12"/>
      <c r="M32446" s="11"/>
      <c r="N32446" s="11"/>
      <c r="O32446" s="11"/>
      <c r="P32446" s="11"/>
    </row>
    <row r="32447" spans="8:16" x14ac:dyDescent="0.25">
      <c r="H32447" s="12"/>
      <c r="I32447" s="12"/>
      <c r="J32447" s="12"/>
      <c r="K32447" s="12"/>
      <c r="L32447" s="12"/>
      <c r="M32447" s="11"/>
      <c r="N32447" s="11"/>
      <c r="O32447" s="11"/>
      <c r="P32447" s="11"/>
    </row>
    <row r="32448" spans="8:16" x14ac:dyDescent="0.25">
      <c r="H32448" s="12"/>
      <c r="I32448" s="12"/>
      <c r="J32448" s="12"/>
      <c r="K32448" s="12"/>
      <c r="L32448" s="12"/>
      <c r="M32448" s="11"/>
      <c r="N32448" s="11"/>
      <c r="O32448" s="11"/>
      <c r="P32448" s="11"/>
    </row>
    <row r="32449" spans="8:16" x14ac:dyDescent="0.25">
      <c r="H32449" s="12"/>
      <c r="I32449" s="12"/>
      <c r="J32449" s="12"/>
      <c r="K32449" s="12"/>
      <c r="L32449" s="12"/>
      <c r="M32449" s="11"/>
      <c r="N32449" s="11"/>
      <c r="O32449" s="11"/>
      <c r="P32449" s="11"/>
    </row>
    <row r="32450" spans="8:16" x14ac:dyDescent="0.25">
      <c r="H32450" s="12"/>
      <c r="I32450" s="12"/>
      <c r="J32450" s="12"/>
      <c r="K32450" s="12"/>
      <c r="L32450" s="12"/>
      <c r="M32450" s="11"/>
      <c r="N32450" s="11"/>
      <c r="O32450" s="11"/>
      <c r="P32450" s="11"/>
    </row>
    <row r="32451" spans="8:16" x14ac:dyDescent="0.25">
      <c r="H32451" s="12"/>
      <c r="I32451" s="12"/>
      <c r="J32451" s="12"/>
      <c r="K32451" s="12"/>
      <c r="L32451" s="12"/>
      <c r="M32451" s="11"/>
      <c r="N32451" s="11"/>
      <c r="O32451" s="11"/>
      <c r="P32451" s="11"/>
    </row>
    <row r="32452" spans="8:16" x14ac:dyDescent="0.25">
      <c r="H32452" s="12"/>
      <c r="I32452" s="12"/>
      <c r="J32452" s="12"/>
      <c r="K32452" s="12"/>
      <c r="L32452" s="12"/>
      <c r="M32452" s="11"/>
      <c r="N32452" s="11"/>
      <c r="O32452" s="11"/>
      <c r="P32452" s="11"/>
    </row>
    <row r="32453" spans="8:16" x14ac:dyDescent="0.25">
      <c r="H32453" s="12"/>
      <c r="I32453" s="12"/>
      <c r="J32453" s="12"/>
      <c r="K32453" s="12"/>
      <c r="L32453" s="12"/>
      <c r="M32453" s="11"/>
      <c r="N32453" s="11"/>
      <c r="O32453" s="11"/>
      <c r="P32453" s="11"/>
    </row>
    <row r="32454" spans="8:16" x14ac:dyDescent="0.25">
      <c r="H32454" s="12"/>
      <c r="I32454" s="12"/>
      <c r="J32454" s="12"/>
      <c r="K32454" s="12"/>
      <c r="L32454" s="12"/>
      <c r="M32454" s="11"/>
      <c r="N32454" s="11"/>
      <c r="O32454" s="11"/>
      <c r="P32454" s="11"/>
    </row>
    <row r="32455" spans="8:16" x14ac:dyDescent="0.25">
      <c r="H32455" s="12"/>
      <c r="I32455" s="12"/>
      <c r="J32455" s="12"/>
      <c r="K32455" s="12"/>
      <c r="L32455" s="12"/>
      <c r="M32455" s="11"/>
      <c r="N32455" s="11"/>
      <c r="O32455" s="11"/>
      <c r="P32455" s="11"/>
    </row>
    <row r="32456" spans="8:16" x14ac:dyDescent="0.25">
      <c r="H32456" s="12"/>
      <c r="I32456" s="12"/>
      <c r="J32456" s="12"/>
      <c r="K32456" s="12"/>
      <c r="L32456" s="12"/>
      <c r="M32456" s="11"/>
      <c r="N32456" s="11"/>
      <c r="O32456" s="11"/>
      <c r="P32456" s="11"/>
    </row>
    <row r="32457" spans="8:16" x14ac:dyDescent="0.25">
      <c r="H32457" s="12"/>
      <c r="I32457" s="12"/>
      <c r="J32457" s="12"/>
      <c r="K32457" s="12"/>
      <c r="L32457" s="12"/>
      <c r="M32457" s="11"/>
      <c r="N32457" s="11"/>
      <c r="O32457" s="11"/>
      <c r="P32457" s="11"/>
    </row>
    <row r="32458" spans="8:16" x14ac:dyDescent="0.25">
      <c r="H32458" s="12"/>
      <c r="I32458" s="12"/>
      <c r="J32458" s="12"/>
      <c r="K32458" s="12"/>
      <c r="L32458" s="12"/>
      <c r="M32458" s="11"/>
      <c r="N32458" s="11"/>
      <c r="O32458" s="11"/>
      <c r="P32458" s="11"/>
    </row>
    <row r="32459" spans="8:16" x14ac:dyDescent="0.25">
      <c r="H32459" s="12"/>
      <c r="I32459" s="12"/>
      <c r="J32459" s="12"/>
      <c r="K32459" s="12"/>
      <c r="L32459" s="12"/>
      <c r="M32459" s="11"/>
      <c r="N32459" s="11"/>
      <c r="O32459" s="11"/>
      <c r="P32459" s="11"/>
    </row>
    <row r="32460" spans="8:16" x14ac:dyDescent="0.25">
      <c r="H32460" s="12"/>
      <c r="I32460" s="12"/>
      <c r="J32460" s="12"/>
      <c r="K32460" s="12"/>
      <c r="L32460" s="12"/>
      <c r="M32460" s="11"/>
      <c r="N32460" s="11"/>
      <c r="O32460" s="11"/>
      <c r="P32460" s="11"/>
    </row>
    <row r="32461" spans="8:16" x14ac:dyDescent="0.25">
      <c r="H32461" s="12"/>
      <c r="I32461" s="12"/>
      <c r="J32461" s="12"/>
      <c r="K32461" s="12"/>
      <c r="L32461" s="12"/>
      <c r="M32461" s="11"/>
      <c r="N32461" s="11"/>
      <c r="O32461" s="11"/>
      <c r="P32461" s="11"/>
    </row>
    <row r="32462" spans="8:16" x14ac:dyDescent="0.25">
      <c r="H32462" s="12"/>
      <c r="I32462" s="12"/>
      <c r="J32462" s="12"/>
      <c r="K32462" s="12"/>
      <c r="L32462" s="12"/>
      <c r="M32462" s="11"/>
      <c r="N32462" s="11"/>
      <c r="O32462" s="11"/>
      <c r="P32462" s="11"/>
    </row>
    <row r="32463" spans="8:16" x14ac:dyDescent="0.25">
      <c r="H32463" s="12"/>
      <c r="I32463" s="12"/>
      <c r="J32463" s="12"/>
      <c r="K32463" s="12"/>
      <c r="L32463" s="12"/>
      <c r="M32463" s="11"/>
      <c r="N32463" s="11"/>
      <c r="O32463" s="11"/>
      <c r="P32463" s="11"/>
    </row>
    <row r="32464" spans="8:16" x14ac:dyDescent="0.25">
      <c r="H32464" s="12"/>
      <c r="I32464" s="12"/>
      <c r="J32464" s="12"/>
      <c r="K32464" s="12"/>
      <c r="L32464" s="12"/>
      <c r="M32464" s="11"/>
      <c r="N32464" s="11"/>
      <c r="O32464" s="11"/>
      <c r="P32464" s="11"/>
    </row>
    <row r="32465" spans="8:16" x14ac:dyDescent="0.25">
      <c r="H32465" s="12"/>
      <c r="I32465" s="12"/>
      <c r="J32465" s="12"/>
      <c r="K32465" s="12"/>
      <c r="L32465" s="12"/>
      <c r="M32465" s="11"/>
      <c r="N32465" s="11"/>
      <c r="O32465" s="11"/>
      <c r="P32465" s="11"/>
    </row>
    <row r="32466" spans="8:16" x14ac:dyDescent="0.25">
      <c r="H32466" s="12"/>
      <c r="I32466" s="12"/>
      <c r="J32466" s="12"/>
      <c r="K32466" s="12"/>
      <c r="L32466" s="12"/>
      <c r="M32466" s="11"/>
      <c r="N32466" s="11"/>
      <c r="O32466" s="11"/>
      <c r="P32466" s="11"/>
    </row>
    <row r="32467" spans="8:16" x14ac:dyDescent="0.25">
      <c r="H32467" s="12"/>
      <c r="I32467" s="12"/>
      <c r="J32467" s="12"/>
      <c r="K32467" s="12"/>
      <c r="L32467" s="12"/>
      <c r="M32467" s="11"/>
      <c r="N32467" s="11"/>
      <c r="O32467" s="11"/>
      <c r="P32467" s="11"/>
    </row>
    <row r="32468" spans="8:16" x14ac:dyDescent="0.25">
      <c r="H32468" s="12"/>
      <c r="I32468" s="12"/>
      <c r="J32468" s="12"/>
      <c r="K32468" s="12"/>
      <c r="L32468" s="12"/>
      <c r="M32468" s="11"/>
      <c r="N32468" s="11"/>
      <c r="O32468" s="11"/>
      <c r="P32468" s="11"/>
    </row>
    <row r="32469" spans="8:16" x14ac:dyDescent="0.25">
      <c r="H32469" s="12"/>
      <c r="I32469" s="12"/>
      <c r="J32469" s="12"/>
      <c r="K32469" s="12"/>
      <c r="L32469" s="12"/>
      <c r="M32469" s="11"/>
      <c r="N32469" s="11"/>
      <c r="O32469" s="11"/>
      <c r="P32469" s="11"/>
    </row>
    <row r="32470" spans="8:16" x14ac:dyDescent="0.25">
      <c r="H32470" s="12"/>
      <c r="I32470" s="12"/>
      <c r="J32470" s="12"/>
      <c r="K32470" s="12"/>
      <c r="L32470" s="12"/>
      <c r="M32470" s="11"/>
      <c r="N32470" s="11"/>
      <c r="O32470" s="11"/>
      <c r="P32470" s="11"/>
    </row>
    <row r="32471" spans="8:16" x14ac:dyDescent="0.25">
      <c r="H32471" s="12"/>
      <c r="I32471" s="12"/>
      <c r="J32471" s="12"/>
      <c r="K32471" s="12"/>
      <c r="L32471" s="12"/>
      <c r="M32471" s="11"/>
      <c r="N32471" s="11"/>
      <c r="O32471" s="11"/>
      <c r="P32471" s="11"/>
    </row>
    <row r="32472" spans="8:16" x14ac:dyDescent="0.25">
      <c r="H32472" s="12"/>
      <c r="I32472" s="12"/>
      <c r="J32472" s="12"/>
      <c r="K32472" s="12"/>
      <c r="L32472" s="12"/>
      <c r="M32472" s="11"/>
      <c r="N32472" s="11"/>
      <c r="O32472" s="11"/>
      <c r="P32472" s="11"/>
    </row>
    <row r="32473" spans="8:16" x14ac:dyDescent="0.25">
      <c r="H32473" s="12"/>
      <c r="I32473" s="12"/>
      <c r="J32473" s="12"/>
      <c r="K32473" s="12"/>
      <c r="L32473" s="12"/>
      <c r="M32473" s="11"/>
      <c r="N32473" s="11"/>
      <c r="O32473" s="11"/>
      <c r="P32473" s="11"/>
    </row>
    <row r="32474" spans="8:16" x14ac:dyDescent="0.25">
      <c r="H32474" s="12"/>
      <c r="I32474" s="12"/>
      <c r="J32474" s="12"/>
      <c r="K32474" s="12"/>
      <c r="L32474" s="12"/>
      <c r="M32474" s="11"/>
      <c r="N32474" s="11"/>
      <c r="O32474" s="11"/>
      <c r="P32474" s="11"/>
    </row>
    <row r="32475" spans="8:16" x14ac:dyDescent="0.25">
      <c r="H32475" s="12"/>
      <c r="I32475" s="12"/>
      <c r="J32475" s="12"/>
      <c r="K32475" s="12"/>
      <c r="L32475" s="12"/>
      <c r="M32475" s="11"/>
      <c r="N32475" s="11"/>
      <c r="O32475" s="11"/>
      <c r="P32475" s="11"/>
    </row>
    <row r="32476" spans="8:16" x14ac:dyDescent="0.25">
      <c r="H32476" s="12"/>
      <c r="I32476" s="12"/>
      <c r="J32476" s="12"/>
      <c r="K32476" s="12"/>
      <c r="L32476" s="12"/>
      <c r="M32476" s="11"/>
      <c r="N32476" s="11"/>
      <c r="O32476" s="11"/>
      <c r="P32476" s="11"/>
    </row>
    <row r="32477" spans="8:16" x14ac:dyDescent="0.25">
      <c r="H32477" s="12"/>
      <c r="I32477" s="12"/>
      <c r="J32477" s="12"/>
      <c r="K32477" s="12"/>
      <c r="L32477" s="12"/>
      <c r="M32477" s="11"/>
      <c r="N32477" s="11"/>
      <c r="O32477" s="11"/>
      <c r="P32477" s="11"/>
    </row>
    <row r="32478" spans="8:16" x14ac:dyDescent="0.25">
      <c r="H32478" s="12"/>
      <c r="I32478" s="12"/>
      <c r="J32478" s="12"/>
      <c r="K32478" s="12"/>
      <c r="L32478" s="12"/>
      <c r="M32478" s="11"/>
      <c r="N32478" s="11"/>
      <c r="O32478" s="11"/>
      <c r="P32478" s="11"/>
    </row>
    <row r="32479" spans="8:16" x14ac:dyDescent="0.25">
      <c r="H32479" s="12"/>
      <c r="I32479" s="12"/>
      <c r="J32479" s="12"/>
      <c r="K32479" s="12"/>
      <c r="L32479" s="12"/>
      <c r="M32479" s="11"/>
      <c r="N32479" s="11"/>
      <c r="O32479" s="11"/>
      <c r="P32479" s="11"/>
    </row>
    <row r="32480" spans="8:16" x14ac:dyDescent="0.25">
      <c r="H32480" s="12"/>
      <c r="I32480" s="12"/>
      <c r="J32480" s="12"/>
      <c r="K32480" s="12"/>
      <c r="L32480" s="12"/>
      <c r="M32480" s="11"/>
      <c r="N32480" s="11"/>
      <c r="O32480" s="11"/>
      <c r="P32480" s="11"/>
    </row>
    <row r="32481" spans="8:16" x14ac:dyDescent="0.25">
      <c r="H32481" s="12"/>
      <c r="I32481" s="12"/>
      <c r="J32481" s="12"/>
      <c r="K32481" s="12"/>
      <c r="L32481" s="12"/>
      <c r="M32481" s="11"/>
      <c r="N32481" s="11"/>
      <c r="O32481" s="11"/>
      <c r="P32481" s="11"/>
    </row>
    <row r="32482" spans="8:16" x14ac:dyDescent="0.25">
      <c r="H32482" s="12"/>
      <c r="I32482" s="12"/>
      <c r="J32482" s="12"/>
      <c r="K32482" s="12"/>
      <c r="L32482" s="12"/>
      <c r="M32482" s="11"/>
      <c r="N32482" s="11"/>
      <c r="O32482" s="11"/>
      <c r="P32482" s="11"/>
    </row>
    <row r="32483" spans="8:16" x14ac:dyDescent="0.25">
      <c r="H32483" s="12"/>
      <c r="I32483" s="12"/>
      <c r="J32483" s="12"/>
      <c r="K32483" s="12"/>
      <c r="L32483" s="12"/>
      <c r="M32483" s="11"/>
      <c r="N32483" s="11"/>
      <c r="O32483" s="11"/>
      <c r="P32483" s="11"/>
    </row>
    <row r="32484" spans="8:16" x14ac:dyDescent="0.25">
      <c r="H32484" s="12"/>
      <c r="I32484" s="12"/>
      <c r="J32484" s="12"/>
      <c r="K32484" s="12"/>
      <c r="L32484" s="12"/>
      <c r="M32484" s="11"/>
      <c r="N32484" s="11"/>
      <c r="O32484" s="11"/>
      <c r="P32484" s="11"/>
    </row>
    <row r="32485" spans="8:16" x14ac:dyDescent="0.25">
      <c r="H32485" s="12"/>
      <c r="I32485" s="12"/>
      <c r="J32485" s="12"/>
      <c r="K32485" s="12"/>
      <c r="L32485" s="12"/>
      <c r="M32485" s="11"/>
      <c r="N32485" s="11"/>
      <c r="O32485" s="11"/>
      <c r="P32485" s="11"/>
    </row>
    <row r="32486" spans="8:16" x14ac:dyDescent="0.25">
      <c r="H32486" s="12"/>
      <c r="I32486" s="12"/>
      <c r="J32486" s="12"/>
      <c r="K32486" s="12"/>
      <c r="L32486" s="12"/>
      <c r="M32486" s="11"/>
      <c r="N32486" s="11"/>
      <c r="O32486" s="11"/>
      <c r="P32486" s="11"/>
    </row>
    <row r="32487" spans="8:16" x14ac:dyDescent="0.25">
      <c r="H32487" s="12"/>
      <c r="I32487" s="12"/>
      <c r="J32487" s="12"/>
      <c r="K32487" s="12"/>
      <c r="L32487" s="12"/>
      <c r="M32487" s="11"/>
      <c r="N32487" s="11"/>
      <c r="O32487" s="11"/>
      <c r="P32487" s="11"/>
    </row>
    <row r="32488" spans="8:16" x14ac:dyDescent="0.25">
      <c r="H32488" s="12"/>
      <c r="I32488" s="12"/>
      <c r="J32488" s="12"/>
      <c r="K32488" s="12"/>
      <c r="L32488" s="12"/>
      <c r="M32488" s="11"/>
      <c r="N32488" s="11"/>
      <c r="O32488" s="11"/>
      <c r="P32488" s="11"/>
    </row>
    <row r="32489" spans="8:16" x14ac:dyDescent="0.25">
      <c r="H32489" s="12"/>
      <c r="I32489" s="12"/>
      <c r="J32489" s="12"/>
      <c r="K32489" s="12"/>
      <c r="L32489" s="12"/>
      <c r="M32489" s="11"/>
      <c r="N32489" s="11"/>
      <c r="O32489" s="11"/>
      <c r="P32489" s="11"/>
    </row>
    <row r="32490" spans="8:16" x14ac:dyDescent="0.25">
      <c r="H32490" s="12"/>
      <c r="I32490" s="12"/>
      <c r="J32490" s="12"/>
      <c r="K32490" s="12"/>
      <c r="L32490" s="12"/>
      <c r="M32490" s="11"/>
      <c r="N32490" s="11"/>
      <c r="O32490" s="11"/>
      <c r="P32490" s="11"/>
    </row>
    <row r="32491" spans="8:16" x14ac:dyDescent="0.25">
      <c r="H32491" s="12"/>
      <c r="I32491" s="12"/>
      <c r="J32491" s="12"/>
      <c r="K32491" s="12"/>
      <c r="L32491" s="12"/>
      <c r="M32491" s="11"/>
      <c r="N32491" s="11"/>
      <c r="O32491" s="11"/>
      <c r="P32491" s="11"/>
    </row>
    <row r="32492" spans="8:16" x14ac:dyDescent="0.25">
      <c r="H32492" s="12"/>
      <c r="I32492" s="12"/>
      <c r="J32492" s="12"/>
      <c r="K32492" s="12"/>
      <c r="L32492" s="12"/>
      <c r="M32492" s="11"/>
      <c r="N32492" s="11"/>
      <c r="O32492" s="11"/>
      <c r="P32492" s="11"/>
    </row>
    <row r="32493" spans="8:16" x14ac:dyDescent="0.25">
      <c r="H32493" s="12"/>
      <c r="I32493" s="12"/>
      <c r="J32493" s="12"/>
      <c r="K32493" s="12"/>
      <c r="L32493" s="12"/>
      <c r="M32493" s="11"/>
      <c r="N32493" s="11"/>
      <c r="O32493" s="11"/>
      <c r="P32493" s="11"/>
    </row>
    <row r="32494" spans="8:16" x14ac:dyDescent="0.25">
      <c r="H32494" s="12"/>
      <c r="I32494" s="12"/>
      <c r="J32494" s="12"/>
      <c r="K32494" s="12"/>
      <c r="L32494" s="12"/>
      <c r="M32494" s="11"/>
      <c r="N32494" s="11"/>
      <c r="O32494" s="11"/>
      <c r="P32494" s="11"/>
    </row>
    <row r="32495" spans="8:16" x14ac:dyDescent="0.25">
      <c r="H32495" s="12"/>
      <c r="I32495" s="12"/>
      <c r="J32495" s="12"/>
      <c r="K32495" s="12"/>
      <c r="L32495" s="12"/>
      <c r="M32495" s="11"/>
      <c r="N32495" s="11"/>
      <c r="O32495" s="11"/>
      <c r="P32495" s="11"/>
    </row>
    <row r="32496" spans="8:16" x14ac:dyDescent="0.25">
      <c r="H32496" s="12"/>
      <c r="I32496" s="12"/>
      <c r="J32496" s="12"/>
      <c r="K32496" s="12"/>
      <c r="L32496" s="12"/>
      <c r="M32496" s="11"/>
      <c r="N32496" s="11"/>
      <c r="O32496" s="11"/>
      <c r="P32496" s="11"/>
    </row>
    <row r="32497" spans="8:16" x14ac:dyDescent="0.25">
      <c r="H32497" s="12"/>
      <c r="I32497" s="12"/>
      <c r="J32497" s="12"/>
      <c r="K32497" s="12"/>
      <c r="L32497" s="12"/>
      <c r="M32497" s="11"/>
      <c r="N32497" s="11"/>
      <c r="O32497" s="11"/>
      <c r="P32497" s="11"/>
    </row>
    <row r="32498" spans="8:16" x14ac:dyDescent="0.25">
      <c r="H32498" s="12"/>
      <c r="I32498" s="12"/>
      <c r="J32498" s="12"/>
      <c r="K32498" s="12"/>
      <c r="L32498" s="12"/>
      <c r="M32498" s="11"/>
      <c r="N32498" s="11"/>
      <c r="O32498" s="11"/>
      <c r="P32498" s="11"/>
    </row>
    <row r="32499" spans="8:16" x14ac:dyDescent="0.25">
      <c r="H32499" s="12"/>
      <c r="I32499" s="12"/>
      <c r="J32499" s="12"/>
      <c r="K32499" s="12"/>
      <c r="L32499" s="12"/>
      <c r="M32499" s="11"/>
      <c r="N32499" s="11"/>
      <c r="O32499" s="11"/>
      <c r="P32499" s="11"/>
    </row>
    <row r="32500" spans="8:16" x14ac:dyDescent="0.25">
      <c r="H32500" s="12"/>
      <c r="I32500" s="12"/>
      <c r="J32500" s="12"/>
      <c r="K32500" s="12"/>
      <c r="L32500" s="12"/>
      <c r="M32500" s="11"/>
      <c r="N32500" s="11"/>
      <c r="O32500" s="11"/>
      <c r="P32500" s="11"/>
    </row>
    <row r="32501" spans="8:16" x14ac:dyDescent="0.25">
      <c r="H32501" s="12"/>
      <c r="I32501" s="12"/>
      <c r="J32501" s="12"/>
      <c r="K32501" s="12"/>
      <c r="L32501" s="12"/>
      <c r="M32501" s="11"/>
      <c r="N32501" s="11"/>
      <c r="O32501" s="11"/>
      <c r="P32501" s="11"/>
    </row>
    <row r="32502" spans="8:16" x14ac:dyDescent="0.25">
      <c r="H32502" s="12"/>
      <c r="I32502" s="12"/>
      <c r="J32502" s="12"/>
      <c r="K32502" s="12"/>
      <c r="L32502" s="12"/>
      <c r="M32502" s="11"/>
      <c r="N32502" s="11"/>
      <c r="O32502" s="11"/>
      <c r="P32502" s="11"/>
    </row>
    <row r="32503" spans="8:16" x14ac:dyDescent="0.25">
      <c r="H32503" s="12"/>
      <c r="I32503" s="12"/>
      <c r="J32503" s="12"/>
      <c r="K32503" s="12"/>
      <c r="L32503" s="12"/>
      <c r="M32503" s="11"/>
      <c r="N32503" s="11"/>
      <c r="O32503" s="11"/>
      <c r="P32503" s="11"/>
    </row>
    <row r="32504" spans="8:16" x14ac:dyDescent="0.25">
      <c r="H32504" s="12"/>
      <c r="I32504" s="12"/>
      <c r="J32504" s="12"/>
      <c r="K32504" s="12"/>
      <c r="L32504" s="12"/>
      <c r="M32504" s="11"/>
      <c r="N32504" s="11"/>
      <c r="O32504" s="11"/>
      <c r="P32504" s="11"/>
    </row>
    <row r="32505" spans="8:16" x14ac:dyDescent="0.25">
      <c r="H32505" s="12"/>
      <c r="I32505" s="12"/>
      <c r="J32505" s="12"/>
      <c r="K32505" s="12"/>
      <c r="L32505" s="12"/>
      <c r="M32505" s="11"/>
      <c r="N32505" s="11"/>
      <c r="O32505" s="11"/>
      <c r="P32505" s="11"/>
    </row>
    <row r="32506" spans="8:16" x14ac:dyDescent="0.25">
      <c r="H32506" s="12"/>
      <c r="I32506" s="12"/>
      <c r="J32506" s="12"/>
      <c r="K32506" s="12"/>
      <c r="L32506" s="12"/>
      <c r="M32506" s="11"/>
      <c r="N32506" s="11"/>
      <c r="O32506" s="11"/>
      <c r="P32506" s="11"/>
    </row>
    <row r="32507" spans="8:16" x14ac:dyDescent="0.25">
      <c r="H32507" s="12"/>
      <c r="I32507" s="12"/>
      <c r="J32507" s="12"/>
      <c r="K32507" s="12"/>
      <c r="L32507" s="12"/>
      <c r="M32507" s="11"/>
      <c r="N32507" s="11"/>
      <c r="O32507" s="11"/>
      <c r="P32507" s="11"/>
    </row>
    <row r="32508" spans="8:16" x14ac:dyDescent="0.25">
      <c r="H32508" s="12"/>
      <c r="I32508" s="12"/>
      <c r="J32508" s="12"/>
      <c r="K32508" s="12"/>
      <c r="L32508" s="12"/>
      <c r="M32508" s="11"/>
      <c r="N32508" s="11"/>
      <c r="O32508" s="11"/>
      <c r="P32508" s="11"/>
    </row>
    <row r="32509" spans="8:16" x14ac:dyDescent="0.25">
      <c r="H32509" s="12"/>
      <c r="I32509" s="12"/>
      <c r="J32509" s="12"/>
      <c r="K32509" s="12"/>
      <c r="L32509" s="12"/>
      <c r="M32509" s="11"/>
      <c r="N32509" s="11"/>
      <c r="O32509" s="11"/>
      <c r="P32509" s="11"/>
    </row>
    <row r="32510" spans="8:16" x14ac:dyDescent="0.25">
      <c r="H32510" s="12"/>
      <c r="I32510" s="12"/>
      <c r="J32510" s="12"/>
      <c r="K32510" s="12"/>
      <c r="L32510" s="12"/>
      <c r="M32510" s="11"/>
      <c r="N32510" s="11"/>
      <c r="O32510" s="11"/>
      <c r="P32510" s="11"/>
    </row>
    <row r="32511" spans="8:16" x14ac:dyDescent="0.25">
      <c r="H32511" s="12"/>
      <c r="I32511" s="12"/>
      <c r="J32511" s="12"/>
      <c r="K32511" s="12"/>
      <c r="L32511" s="12"/>
      <c r="M32511" s="11"/>
      <c r="N32511" s="11"/>
      <c r="O32511" s="11"/>
      <c r="P32511" s="11"/>
    </row>
    <row r="32512" spans="8:16" x14ac:dyDescent="0.25">
      <c r="H32512" s="12"/>
      <c r="I32512" s="12"/>
      <c r="J32512" s="12"/>
      <c r="K32512" s="12"/>
      <c r="L32512" s="12"/>
      <c r="M32512" s="11"/>
      <c r="N32512" s="11"/>
      <c r="O32512" s="11"/>
      <c r="P32512" s="11"/>
    </row>
    <row r="32513" spans="8:16" x14ac:dyDescent="0.25">
      <c r="H32513" s="12"/>
      <c r="I32513" s="12"/>
      <c r="J32513" s="12"/>
      <c r="K32513" s="12"/>
      <c r="L32513" s="12"/>
      <c r="M32513" s="11"/>
      <c r="N32513" s="11"/>
      <c r="O32513" s="11"/>
      <c r="P32513" s="11"/>
    </row>
    <row r="32514" spans="8:16" x14ac:dyDescent="0.25">
      <c r="H32514" s="12"/>
      <c r="I32514" s="12"/>
      <c r="J32514" s="12"/>
      <c r="K32514" s="12"/>
      <c r="L32514" s="12"/>
      <c r="M32514" s="11"/>
      <c r="N32514" s="11"/>
      <c r="O32514" s="11"/>
      <c r="P32514" s="11"/>
    </row>
    <row r="32515" spans="8:16" x14ac:dyDescent="0.25">
      <c r="H32515" s="12"/>
      <c r="I32515" s="12"/>
      <c r="J32515" s="12"/>
      <c r="K32515" s="12"/>
      <c r="L32515" s="12"/>
      <c r="M32515" s="11"/>
      <c r="N32515" s="11"/>
      <c r="O32515" s="11"/>
      <c r="P32515" s="11"/>
    </row>
    <row r="32516" spans="8:16" x14ac:dyDescent="0.25">
      <c r="H32516" s="12"/>
      <c r="I32516" s="12"/>
      <c r="J32516" s="12"/>
      <c r="K32516" s="12"/>
      <c r="L32516" s="12"/>
      <c r="M32516" s="11"/>
      <c r="N32516" s="11"/>
      <c r="O32516" s="11"/>
      <c r="P32516" s="11"/>
    </row>
    <row r="32517" spans="8:16" x14ac:dyDescent="0.25">
      <c r="H32517" s="12"/>
      <c r="I32517" s="12"/>
      <c r="J32517" s="12"/>
      <c r="K32517" s="12"/>
      <c r="L32517" s="12"/>
      <c r="M32517" s="11"/>
      <c r="N32517" s="11"/>
      <c r="O32517" s="11"/>
      <c r="P32517" s="11"/>
    </row>
    <row r="32518" spans="8:16" x14ac:dyDescent="0.25">
      <c r="H32518" s="12"/>
      <c r="I32518" s="12"/>
      <c r="J32518" s="12"/>
      <c r="K32518" s="12"/>
      <c r="L32518" s="12"/>
      <c r="M32518" s="11"/>
      <c r="N32518" s="11"/>
      <c r="O32518" s="11"/>
      <c r="P32518" s="11"/>
    </row>
    <row r="32519" spans="8:16" x14ac:dyDescent="0.25">
      <c r="H32519" s="12"/>
      <c r="I32519" s="12"/>
      <c r="J32519" s="12"/>
      <c r="K32519" s="12"/>
      <c r="L32519" s="12"/>
      <c r="M32519" s="11"/>
      <c r="N32519" s="11"/>
      <c r="O32519" s="11"/>
      <c r="P32519" s="11"/>
    </row>
    <row r="32520" spans="8:16" x14ac:dyDescent="0.25">
      <c r="H32520" s="12"/>
      <c r="I32520" s="12"/>
      <c r="J32520" s="12"/>
      <c r="K32520" s="12"/>
      <c r="L32520" s="12"/>
      <c r="M32520" s="11"/>
      <c r="N32520" s="11"/>
      <c r="O32520" s="11"/>
      <c r="P32520" s="11"/>
    </row>
    <row r="32521" spans="8:16" x14ac:dyDescent="0.25">
      <c r="H32521" s="12"/>
      <c r="I32521" s="12"/>
      <c r="J32521" s="12"/>
      <c r="K32521" s="12"/>
      <c r="L32521" s="12"/>
      <c r="M32521" s="11"/>
      <c r="N32521" s="11"/>
      <c r="O32521" s="11"/>
      <c r="P32521" s="11"/>
    </row>
    <row r="32522" spans="8:16" x14ac:dyDescent="0.25">
      <c r="H32522" s="12"/>
      <c r="I32522" s="12"/>
      <c r="J32522" s="12"/>
      <c r="K32522" s="12"/>
      <c r="L32522" s="12"/>
      <c r="M32522" s="11"/>
      <c r="N32522" s="11"/>
      <c r="O32522" s="11"/>
      <c r="P32522" s="11"/>
    </row>
    <row r="32523" spans="8:16" x14ac:dyDescent="0.25">
      <c r="H32523" s="12"/>
      <c r="I32523" s="12"/>
      <c r="J32523" s="12"/>
      <c r="K32523" s="12"/>
      <c r="L32523" s="12"/>
      <c r="M32523" s="11"/>
      <c r="N32523" s="11"/>
      <c r="O32523" s="11"/>
      <c r="P32523" s="11"/>
    </row>
    <row r="32524" spans="8:16" x14ac:dyDescent="0.25">
      <c r="H32524" s="12"/>
      <c r="I32524" s="12"/>
      <c r="J32524" s="12"/>
      <c r="K32524" s="12"/>
      <c r="L32524" s="12"/>
      <c r="M32524" s="11"/>
      <c r="N32524" s="11"/>
      <c r="O32524" s="11"/>
      <c r="P32524" s="11"/>
    </row>
    <row r="32525" spans="8:16" x14ac:dyDescent="0.25">
      <c r="H32525" s="12"/>
      <c r="I32525" s="12"/>
      <c r="J32525" s="12"/>
      <c r="K32525" s="12"/>
      <c r="L32525" s="12"/>
      <c r="M32525" s="11"/>
      <c r="N32525" s="11"/>
      <c r="O32525" s="11"/>
      <c r="P32525" s="11"/>
    </row>
    <row r="32526" spans="8:16" x14ac:dyDescent="0.25">
      <c r="H32526" s="12"/>
      <c r="I32526" s="12"/>
      <c r="J32526" s="12"/>
      <c r="K32526" s="12"/>
      <c r="L32526" s="12"/>
      <c r="M32526" s="11"/>
      <c r="N32526" s="11"/>
      <c r="O32526" s="11"/>
      <c r="P32526" s="11"/>
    </row>
    <row r="32527" spans="8:16" x14ac:dyDescent="0.25">
      <c r="H32527" s="12"/>
      <c r="I32527" s="12"/>
      <c r="J32527" s="12"/>
      <c r="K32527" s="12"/>
      <c r="L32527" s="12"/>
      <c r="M32527" s="11"/>
      <c r="N32527" s="11"/>
      <c r="O32527" s="11"/>
      <c r="P32527" s="11"/>
    </row>
    <row r="32528" spans="8:16" x14ac:dyDescent="0.25">
      <c r="H32528" s="12"/>
      <c r="I32528" s="12"/>
      <c r="J32528" s="12"/>
      <c r="K32528" s="12"/>
      <c r="L32528" s="12"/>
      <c r="M32528" s="11"/>
      <c r="N32528" s="11"/>
      <c r="O32528" s="11"/>
      <c r="P32528" s="11"/>
    </row>
    <row r="32529" spans="8:16" x14ac:dyDescent="0.25">
      <c r="H32529" s="12"/>
      <c r="I32529" s="12"/>
      <c r="J32529" s="12"/>
      <c r="K32529" s="12"/>
      <c r="L32529" s="12"/>
      <c r="M32529" s="11"/>
      <c r="N32529" s="11"/>
      <c r="O32529" s="11"/>
      <c r="P32529" s="11"/>
    </row>
    <row r="32530" spans="8:16" x14ac:dyDescent="0.25">
      <c r="H32530" s="12"/>
      <c r="I32530" s="12"/>
      <c r="J32530" s="12"/>
      <c r="K32530" s="12"/>
      <c r="L32530" s="12"/>
      <c r="M32530" s="11"/>
      <c r="N32530" s="11"/>
      <c r="O32530" s="11"/>
      <c r="P32530" s="11"/>
    </row>
    <row r="32531" spans="8:16" x14ac:dyDescent="0.25">
      <c r="H32531" s="12"/>
      <c r="I32531" s="12"/>
      <c r="J32531" s="12"/>
      <c r="K32531" s="12"/>
      <c r="L32531" s="12"/>
      <c r="M32531" s="11"/>
      <c r="N32531" s="11"/>
      <c r="O32531" s="11"/>
      <c r="P32531" s="11"/>
    </row>
    <row r="32532" spans="8:16" x14ac:dyDescent="0.25">
      <c r="H32532" s="12"/>
      <c r="I32532" s="12"/>
      <c r="J32532" s="12"/>
      <c r="K32532" s="12"/>
      <c r="L32532" s="12"/>
      <c r="M32532" s="11"/>
      <c r="N32532" s="11"/>
      <c r="O32532" s="11"/>
      <c r="P32532" s="11"/>
    </row>
    <row r="32533" spans="8:16" x14ac:dyDescent="0.25">
      <c r="H32533" s="12"/>
      <c r="I32533" s="12"/>
      <c r="J32533" s="12"/>
      <c r="K32533" s="12"/>
      <c r="L32533" s="12"/>
      <c r="M32533" s="11"/>
      <c r="N32533" s="11"/>
      <c r="O32533" s="11"/>
      <c r="P32533" s="11"/>
    </row>
    <row r="32534" spans="8:16" x14ac:dyDescent="0.25">
      <c r="H32534" s="12"/>
      <c r="I32534" s="12"/>
      <c r="J32534" s="12"/>
      <c r="K32534" s="12"/>
      <c r="L32534" s="12"/>
      <c r="M32534" s="11"/>
      <c r="N32534" s="11"/>
      <c r="O32534" s="11"/>
      <c r="P32534" s="11"/>
    </row>
    <row r="32535" spans="8:16" x14ac:dyDescent="0.25">
      <c r="H32535" s="12"/>
      <c r="I32535" s="12"/>
      <c r="J32535" s="12"/>
      <c r="K32535" s="12"/>
      <c r="L32535" s="12"/>
      <c r="M32535" s="11"/>
      <c r="N32535" s="11"/>
      <c r="O32535" s="11"/>
      <c r="P32535" s="11"/>
    </row>
    <row r="32536" spans="8:16" x14ac:dyDescent="0.25">
      <c r="H32536" s="12"/>
      <c r="I32536" s="12"/>
      <c r="J32536" s="12"/>
      <c r="K32536" s="12"/>
      <c r="L32536" s="12"/>
      <c r="M32536" s="11"/>
      <c r="N32536" s="11"/>
      <c r="O32536" s="11"/>
      <c r="P32536" s="11"/>
    </row>
    <row r="32537" spans="8:16" x14ac:dyDescent="0.25">
      <c r="H32537" s="12"/>
      <c r="I32537" s="12"/>
      <c r="J32537" s="12"/>
      <c r="K32537" s="12"/>
      <c r="L32537" s="12"/>
      <c r="M32537" s="11"/>
      <c r="N32537" s="11"/>
      <c r="O32537" s="11"/>
      <c r="P32537" s="11"/>
    </row>
    <row r="32538" spans="8:16" x14ac:dyDescent="0.25">
      <c r="H32538" s="12"/>
      <c r="I32538" s="12"/>
      <c r="J32538" s="12"/>
      <c r="K32538" s="12"/>
      <c r="L32538" s="12"/>
      <c r="M32538" s="11"/>
      <c r="N32538" s="11"/>
      <c r="O32538" s="11"/>
      <c r="P32538" s="11"/>
    </row>
    <row r="32539" spans="8:16" x14ac:dyDescent="0.25">
      <c r="H32539" s="12"/>
      <c r="I32539" s="12"/>
      <c r="J32539" s="12"/>
      <c r="K32539" s="12"/>
      <c r="L32539" s="12"/>
      <c r="M32539" s="11"/>
      <c r="N32539" s="11"/>
      <c r="O32539" s="11"/>
      <c r="P32539" s="11"/>
    </row>
    <row r="32540" spans="8:16" x14ac:dyDescent="0.25">
      <c r="H32540" s="12"/>
      <c r="I32540" s="12"/>
      <c r="J32540" s="12"/>
      <c r="K32540" s="12"/>
      <c r="L32540" s="12"/>
      <c r="M32540" s="11"/>
      <c r="N32540" s="11"/>
      <c r="O32540" s="11"/>
      <c r="P32540" s="11"/>
    </row>
    <row r="32541" spans="8:16" x14ac:dyDescent="0.25">
      <c r="H32541" s="12"/>
      <c r="I32541" s="12"/>
      <c r="J32541" s="12"/>
      <c r="K32541" s="12"/>
      <c r="L32541" s="12"/>
      <c r="M32541" s="11"/>
      <c r="N32541" s="11"/>
      <c r="O32541" s="11"/>
      <c r="P32541" s="11"/>
    </row>
    <row r="32542" spans="8:16" x14ac:dyDescent="0.25">
      <c r="H32542" s="12"/>
      <c r="I32542" s="12"/>
      <c r="J32542" s="12"/>
      <c r="K32542" s="12"/>
      <c r="L32542" s="12"/>
      <c r="M32542" s="11"/>
      <c r="N32542" s="11"/>
      <c r="O32542" s="11"/>
      <c r="P32542" s="11"/>
    </row>
    <row r="32543" spans="8:16" x14ac:dyDescent="0.25">
      <c r="H32543" s="12"/>
      <c r="I32543" s="12"/>
      <c r="J32543" s="12"/>
      <c r="K32543" s="12"/>
      <c r="L32543" s="12"/>
      <c r="M32543" s="11"/>
      <c r="N32543" s="11"/>
      <c r="O32543" s="11"/>
      <c r="P32543" s="11"/>
    </row>
    <row r="32544" spans="8:16" x14ac:dyDescent="0.25">
      <c r="H32544" s="12"/>
      <c r="I32544" s="12"/>
      <c r="J32544" s="12"/>
      <c r="K32544" s="12"/>
      <c r="L32544" s="12"/>
      <c r="M32544" s="11"/>
      <c r="N32544" s="11"/>
      <c r="O32544" s="11"/>
      <c r="P32544" s="11"/>
    </row>
    <row r="32545" spans="8:16" x14ac:dyDescent="0.25">
      <c r="H32545" s="12"/>
      <c r="I32545" s="12"/>
      <c r="J32545" s="12"/>
      <c r="K32545" s="12"/>
      <c r="L32545" s="12"/>
      <c r="M32545" s="11"/>
      <c r="N32545" s="11"/>
      <c r="O32545" s="11"/>
      <c r="P32545" s="11"/>
    </row>
    <row r="32546" spans="8:16" x14ac:dyDescent="0.25">
      <c r="H32546" s="12"/>
      <c r="I32546" s="12"/>
      <c r="J32546" s="12"/>
      <c r="K32546" s="12"/>
      <c r="L32546" s="12"/>
      <c r="M32546" s="11"/>
      <c r="N32546" s="11"/>
      <c r="O32546" s="11"/>
      <c r="P32546" s="11"/>
    </row>
    <row r="32547" spans="8:16" x14ac:dyDescent="0.25">
      <c r="H32547" s="12"/>
      <c r="I32547" s="12"/>
      <c r="J32547" s="12"/>
      <c r="K32547" s="12"/>
      <c r="L32547" s="12"/>
      <c r="M32547" s="11"/>
      <c r="N32547" s="11"/>
      <c r="O32547" s="11"/>
      <c r="P32547" s="11"/>
    </row>
    <row r="32548" spans="8:16" x14ac:dyDescent="0.25">
      <c r="H32548" s="12"/>
      <c r="I32548" s="12"/>
      <c r="J32548" s="12"/>
      <c r="K32548" s="12"/>
      <c r="L32548" s="12"/>
      <c r="M32548" s="11"/>
      <c r="N32548" s="11"/>
      <c r="O32548" s="11"/>
      <c r="P32548" s="11"/>
    </row>
    <row r="32549" spans="8:16" x14ac:dyDescent="0.25">
      <c r="H32549" s="12"/>
      <c r="I32549" s="12"/>
      <c r="J32549" s="12"/>
      <c r="K32549" s="12"/>
      <c r="L32549" s="12"/>
      <c r="M32549" s="11"/>
      <c r="N32549" s="11"/>
      <c r="O32549" s="11"/>
      <c r="P32549" s="11"/>
    </row>
    <row r="32550" spans="8:16" x14ac:dyDescent="0.25">
      <c r="H32550" s="12"/>
      <c r="I32550" s="12"/>
      <c r="J32550" s="12"/>
      <c r="K32550" s="12"/>
      <c r="L32550" s="12"/>
      <c r="M32550" s="11"/>
      <c r="N32550" s="11"/>
      <c r="O32550" s="11"/>
      <c r="P32550" s="11"/>
    </row>
    <row r="32551" spans="8:16" x14ac:dyDescent="0.25">
      <c r="H32551" s="12"/>
      <c r="I32551" s="12"/>
      <c r="J32551" s="12"/>
      <c r="K32551" s="12"/>
      <c r="L32551" s="12"/>
      <c r="M32551" s="11"/>
      <c r="N32551" s="11"/>
      <c r="O32551" s="11"/>
      <c r="P32551" s="11"/>
    </row>
    <row r="32552" spans="8:16" x14ac:dyDescent="0.25">
      <c r="H32552" s="12"/>
      <c r="I32552" s="12"/>
      <c r="J32552" s="12"/>
      <c r="K32552" s="12"/>
      <c r="L32552" s="12"/>
      <c r="M32552" s="11"/>
      <c r="N32552" s="11"/>
      <c r="O32552" s="11"/>
      <c r="P32552" s="11"/>
    </row>
    <row r="32553" spans="8:16" x14ac:dyDescent="0.25">
      <c r="H32553" s="12"/>
      <c r="I32553" s="12"/>
      <c r="J32553" s="12"/>
      <c r="K32553" s="12"/>
      <c r="L32553" s="12"/>
      <c r="M32553" s="11"/>
      <c r="N32553" s="11"/>
      <c r="O32553" s="11"/>
      <c r="P32553" s="11"/>
    </row>
    <row r="32554" spans="8:16" x14ac:dyDescent="0.25">
      <c r="H32554" s="12"/>
      <c r="I32554" s="12"/>
      <c r="J32554" s="12"/>
      <c r="K32554" s="12"/>
      <c r="L32554" s="12"/>
      <c r="M32554" s="11"/>
      <c r="N32554" s="11"/>
      <c r="O32554" s="11"/>
      <c r="P32554" s="11"/>
    </row>
    <row r="32555" spans="8:16" x14ac:dyDescent="0.25">
      <c r="H32555" s="12"/>
      <c r="I32555" s="12"/>
      <c r="J32555" s="12"/>
      <c r="K32555" s="12"/>
      <c r="L32555" s="12"/>
      <c r="M32555" s="11"/>
      <c r="N32555" s="11"/>
      <c r="O32555" s="11"/>
      <c r="P32555" s="11"/>
    </row>
    <row r="32556" spans="8:16" x14ac:dyDescent="0.25">
      <c r="H32556" s="12"/>
      <c r="I32556" s="12"/>
      <c r="J32556" s="12"/>
      <c r="K32556" s="12"/>
      <c r="L32556" s="12"/>
      <c r="M32556" s="11"/>
      <c r="N32556" s="11"/>
      <c r="O32556" s="11"/>
      <c r="P32556" s="11"/>
    </row>
    <row r="32557" spans="8:16" x14ac:dyDescent="0.25">
      <c r="H32557" s="12"/>
      <c r="I32557" s="12"/>
      <c r="J32557" s="12"/>
      <c r="K32557" s="12"/>
      <c r="L32557" s="12"/>
      <c r="M32557" s="11"/>
      <c r="N32557" s="11"/>
      <c r="O32557" s="11"/>
      <c r="P32557" s="11"/>
    </row>
    <row r="32558" spans="8:16" x14ac:dyDescent="0.25">
      <c r="H32558" s="12"/>
      <c r="I32558" s="12"/>
      <c r="J32558" s="12"/>
      <c r="K32558" s="12"/>
      <c r="L32558" s="12"/>
      <c r="M32558" s="11"/>
      <c r="N32558" s="11"/>
      <c r="O32558" s="11"/>
      <c r="P32558" s="11"/>
    </row>
    <row r="32559" spans="8:16" x14ac:dyDescent="0.25">
      <c r="H32559" s="12"/>
      <c r="I32559" s="12"/>
      <c r="J32559" s="12"/>
      <c r="K32559" s="12"/>
      <c r="L32559" s="12"/>
      <c r="M32559" s="11"/>
      <c r="N32559" s="11"/>
      <c r="O32559" s="11"/>
      <c r="P32559" s="11"/>
    </row>
    <row r="32560" spans="8:16" x14ac:dyDescent="0.25">
      <c r="H32560" s="12"/>
      <c r="I32560" s="12"/>
      <c r="J32560" s="12"/>
      <c r="K32560" s="12"/>
      <c r="L32560" s="12"/>
      <c r="M32560" s="11"/>
      <c r="N32560" s="11"/>
      <c r="O32560" s="11"/>
      <c r="P32560" s="11"/>
    </row>
    <row r="32561" spans="8:16" x14ac:dyDescent="0.25">
      <c r="H32561" s="12"/>
      <c r="I32561" s="12"/>
      <c r="J32561" s="12"/>
      <c r="K32561" s="12"/>
      <c r="L32561" s="12"/>
      <c r="M32561" s="11"/>
      <c r="N32561" s="11"/>
      <c r="O32561" s="11"/>
      <c r="P32561" s="11"/>
    </row>
    <row r="32562" spans="8:16" x14ac:dyDescent="0.25">
      <c r="H32562" s="12"/>
      <c r="I32562" s="12"/>
      <c r="J32562" s="12"/>
      <c r="K32562" s="12"/>
      <c r="L32562" s="12"/>
      <c r="M32562" s="11"/>
      <c r="N32562" s="11"/>
      <c r="O32562" s="11"/>
      <c r="P32562" s="11"/>
    </row>
    <row r="32563" spans="8:16" x14ac:dyDescent="0.25">
      <c r="H32563" s="12"/>
      <c r="I32563" s="12"/>
      <c r="J32563" s="12"/>
      <c r="K32563" s="12"/>
      <c r="L32563" s="12"/>
      <c r="M32563" s="11"/>
      <c r="N32563" s="11"/>
      <c r="O32563" s="11"/>
      <c r="P32563" s="11"/>
    </row>
    <row r="32564" spans="8:16" x14ac:dyDescent="0.25">
      <c r="H32564" s="12"/>
      <c r="I32564" s="12"/>
      <c r="J32564" s="12"/>
      <c r="K32564" s="12"/>
      <c r="L32564" s="12"/>
      <c r="M32564" s="11"/>
      <c r="N32564" s="11"/>
      <c r="O32564" s="11"/>
      <c r="P32564" s="11"/>
    </row>
    <row r="32565" spans="8:16" x14ac:dyDescent="0.25">
      <c r="H32565" s="12"/>
      <c r="I32565" s="12"/>
      <c r="J32565" s="12"/>
      <c r="K32565" s="12"/>
      <c r="L32565" s="12"/>
      <c r="M32565" s="11"/>
      <c r="N32565" s="11"/>
      <c r="O32565" s="11"/>
      <c r="P32565" s="11"/>
    </row>
    <row r="32566" spans="8:16" x14ac:dyDescent="0.25">
      <c r="H32566" s="12"/>
      <c r="I32566" s="12"/>
      <c r="J32566" s="12"/>
      <c r="K32566" s="12"/>
      <c r="L32566" s="12"/>
      <c r="M32566" s="11"/>
      <c r="N32566" s="11"/>
      <c r="O32566" s="11"/>
      <c r="P32566" s="11"/>
    </row>
    <row r="32567" spans="8:16" x14ac:dyDescent="0.25">
      <c r="H32567" s="12"/>
      <c r="I32567" s="12"/>
      <c r="J32567" s="12"/>
      <c r="K32567" s="12"/>
      <c r="L32567" s="12"/>
      <c r="M32567" s="11"/>
      <c r="N32567" s="11"/>
      <c r="O32567" s="11"/>
      <c r="P32567" s="11"/>
    </row>
    <row r="32568" spans="8:16" x14ac:dyDescent="0.25">
      <c r="H32568" s="12"/>
      <c r="I32568" s="12"/>
      <c r="J32568" s="12"/>
      <c r="K32568" s="12"/>
      <c r="L32568" s="12"/>
      <c r="M32568" s="11"/>
      <c r="N32568" s="11"/>
      <c r="O32568" s="11"/>
      <c r="P32568" s="11"/>
    </row>
    <row r="32569" spans="8:16" x14ac:dyDescent="0.25">
      <c r="H32569" s="12"/>
      <c r="I32569" s="12"/>
      <c r="J32569" s="12"/>
      <c r="K32569" s="12"/>
      <c r="L32569" s="12"/>
      <c r="M32569" s="11"/>
      <c r="N32569" s="11"/>
      <c r="O32569" s="11"/>
      <c r="P32569" s="11"/>
    </row>
    <row r="32570" spans="8:16" x14ac:dyDescent="0.25">
      <c r="H32570" s="12"/>
      <c r="I32570" s="12"/>
      <c r="J32570" s="12"/>
      <c r="K32570" s="12"/>
      <c r="L32570" s="12"/>
      <c r="M32570" s="11"/>
      <c r="N32570" s="11"/>
      <c r="O32570" s="11"/>
      <c r="P32570" s="11"/>
    </row>
    <row r="32571" spans="8:16" x14ac:dyDescent="0.25">
      <c r="H32571" s="12"/>
      <c r="I32571" s="12"/>
      <c r="J32571" s="12"/>
      <c r="K32571" s="12"/>
      <c r="L32571" s="12"/>
      <c r="M32571" s="11"/>
      <c r="N32571" s="11"/>
      <c r="O32571" s="11"/>
      <c r="P32571" s="11"/>
    </row>
    <row r="32572" spans="8:16" x14ac:dyDescent="0.25">
      <c r="H32572" s="12"/>
      <c r="I32572" s="12"/>
      <c r="J32572" s="12"/>
      <c r="K32572" s="12"/>
      <c r="L32572" s="12"/>
      <c r="M32572" s="11"/>
      <c r="N32572" s="11"/>
      <c r="O32572" s="11"/>
      <c r="P32572" s="11"/>
    </row>
    <row r="32573" spans="8:16" x14ac:dyDescent="0.25">
      <c r="H32573" s="12"/>
      <c r="I32573" s="12"/>
      <c r="J32573" s="12"/>
      <c r="K32573" s="12"/>
      <c r="L32573" s="12"/>
      <c r="M32573" s="11"/>
      <c r="N32573" s="11"/>
      <c r="O32573" s="11"/>
      <c r="P32573" s="11"/>
    </row>
    <row r="32574" spans="8:16" x14ac:dyDescent="0.25">
      <c r="H32574" s="12"/>
      <c r="I32574" s="12"/>
      <c r="J32574" s="12"/>
      <c r="K32574" s="12"/>
      <c r="L32574" s="12"/>
      <c r="M32574" s="11"/>
      <c r="N32574" s="11"/>
      <c r="O32574" s="11"/>
      <c r="P32574" s="11"/>
    </row>
    <row r="32575" spans="8:16" x14ac:dyDescent="0.25">
      <c r="H32575" s="12"/>
      <c r="I32575" s="12"/>
      <c r="J32575" s="12"/>
      <c r="K32575" s="12"/>
      <c r="L32575" s="12"/>
      <c r="M32575" s="11"/>
      <c r="N32575" s="11"/>
      <c r="O32575" s="11"/>
      <c r="P32575" s="11"/>
    </row>
    <row r="32576" spans="8:16" x14ac:dyDescent="0.25">
      <c r="H32576" s="12"/>
      <c r="I32576" s="12"/>
      <c r="J32576" s="12"/>
      <c r="K32576" s="12"/>
      <c r="L32576" s="12"/>
      <c r="M32576" s="11"/>
      <c r="N32576" s="11"/>
      <c r="O32576" s="11"/>
      <c r="P32576" s="11"/>
    </row>
    <row r="32577" spans="8:16" x14ac:dyDescent="0.25">
      <c r="H32577" s="12"/>
      <c r="I32577" s="12"/>
      <c r="J32577" s="12"/>
      <c r="K32577" s="12"/>
      <c r="L32577" s="12"/>
      <c r="M32577" s="11"/>
      <c r="N32577" s="11"/>
      <c r="O32577" s="11"/>
      <c r="P32577" s="11"/>
    </row>
    <row r="32578" spans="8:16" x14ac:dyDescent="0.25">
      <c r="H32578" s="12"/>
      <c r="I32578" s="12"/>
      <c r="J32578" s="12"/>
      <c r="K32578" s="12"/>
      <c r="L32578" s="12"/>
      <c r="M32578" s="11"/>
      <c r="N32578" s="11"/>
      <c r="O32578" s="11"/>
      <c r="P32578" s="11"/>
    </row>
    <row r="32579" spans="8:16" x14ac:dyDescent="0.25">
      <c r="H32579" s="12"/>
      <c r="I32579" s="12"/>
      <c r="J32579" s="12"/>
      <c r="K32579" s="12"/>
      <c r="L32579" s="12"/>
      <c r="M32579" s="11"/>
      <c r="N32579" s="11"/>
      <c r="O32579" s="11"/>
      <c r="P32579" s="11"/>
    </row>
    <row r="32580" spans="8:16" x14ac:dyDescent="0.25">
      <c r="H32580" s="12"/>
      <c r="I32580" s="12"/>
      <c r="J32580" s="12"/>
      <c r="K32580" s="12"/>
      <c r="L32580" s="12"/>
      <c r="M32580" s="11"/>
      <c r="N32580" s="11"/>
      <c r="O32580" s="11"/>
      <c r="P32580" s="11"/>
    </row>
    <row r="32581" spans="8:16" x14ac:dyDescent="0.25">
      <c r="H32581" s="12"/>
      <c r="I32581" s="12"/>
      <c r="J32581" s="12"/>
      <c r="K32581" s="12"/>
      <c r="L32581" s="12"/>
      <c r="M32581" s="11"/>
      <c r="N32581" s="11"/>
      <c r="O32581" s="11"/>
      <c r="P32581" s="11"/>
    </row>
    <row r="32582" spans="8:16" x14ac:dyDescent="0.25">
      <c r="H32582" s="12"/>
      <c r="I32582" s="12"/>
      <c r="J32582" s="12"/>
      <c r="K32582" s="12"/>
      <c r="L32582" s="12"/>
      <c r="M32582" s="11"/>
      <c r="N32582" s="11"/>
      <c r="O32582" s="11"/>
      <c r="P32582" s="11"/>
    </row>
    <row r="32583" spans="8:16" x14ac:dyDescent="0.25">
      <c r="H32583" s="12"/>
      <c r="I32583" s="12"/>
      <c r="J32583" s="12"/>
      <c r="K32583" s="12"/>
      <c r="L32583" s="12"/>
      <c r="M32583" s="11"/>
      <c r="N32583" s="11"/>
      <c r="O32583" s="11"/>
      <c r="P32583" s="11"/>
    </row>
    <row r="32584" spans="8:16" x14ac:dyDescent="0.25">
      <c r="H32584" s="12"/>
      <c r="I32584" s="12"/>
      <c r="J32584" s="12"/>
      <c r="K32584" s="12"/>
      <c r="L32584" s="12"/>
      <c r="M32584" s="11"/>
      <c r="N32584" s="11"/>
      <c r="O32584" s="11"/>
      <c r="P32584" s="11"/>
    </row>
    <row r="32585" spans="8:16" x14ac:dyDescent="0.25">
      <c r="H32585" s="12"/>
      <c r="I32585" s="12"/>
      <c r="J32585" s="12"/>
      <c r="K32585" s="12"/>
      <c r="L32585" s="12"/>
      <c r="M32585" s="11"/>
      <c r="N32585" s="11"/>
      <c r="O32585" s="11"/>
      <c r="P32585" s="11"/>
    </row>
    <row r="32586" spans="8:16" x14ac:dyDescent="0.25">
      <c r="H32586" s="12"/>
      <c r="I32586" s="12"/>
      <c r="J32586" s="12"/>
      <c r="K32586" s="12"/>
      <c r="L32586" s="12"/>
      <c r="M32586" s="11"/>
      <c r="N32586" s="11"/>
      <c r="O32586" s="11"/>
      <c r="P32586" s="11"/>
    </row>
    <row r="32587" spans="8:16" x14ac:dyDescent="0.25">
      <c r="H32587" s="12"/>
      <c r="I32587" s="12"/>
      <c r="J32587" s="12"/>
      <c r="K32587" s="12"/>
      <c r="L32587" s="12"/>
      <c r="M32587" s="11"/>
      <c r="N32587" s="11"/>
      <c r="O32587" s="11"/>
      <c r="P32587" s="11"/>
    </row>
    <row r="32588" spans="8:16" x14ac:dyDescent="0.25">
      <c r="H32588" s="12"/>
      <c r="I32588" s="12"/>
      <c r="J32588" s="12"/>
      <c r="K32588" s="12"/>
      <c r="L32588" s="12"/>
      <c r="M32588" s="11"/>
      <c r="N32588" s="11"/>
      <c r="O32588" s="11"/>
      <c r="P32588" s="11"/>
    </row>
    <row r="32589" spans="8:16" x14ac:dyDescent="0.25">
      <c r="H32589" s="12"/>
      <c r="I32589" s="12"/>
      <c r="J32589" s="12"/>
      <c r="K32589" s="12"/>
      <c r="L32589" s="12"/>
      <c r="M32589" s="11"/>
      <c r="N32589" s="11"/>
      <c r="O32589" s="11"/>
      <c r="P32589" s="11"/>
    </row>
    <row r="32590" spans="8:16" x14ac:dyDescent="0.25">
      <c r="H32590" s="12"/>
      <c r="I32590" s="12"/>
      <c r="J32590" s="12"/>
      <c r="K32590" s="12"/>
      <c r="L32590" s="12"/>
      <c r="M32590" s="11"/>
      <c r="N32590" s="11"/>
      <c r="O32590" s="11"/>
      <c r="P32590" s="11"/>
    </row>
    <row r="32591" spans="8:16" x14ac:dyDescent="0.25">
      <c r="H32591" s="12"/>
      <c r="I32591" s="12"/>
      <c r="J32591" s="12"/>
      <c r="K32591" s="12"/>
      <c r="L32591" s="12"/>
      <c r="M32591" s="11"/>
      <c r="N32591" s="11"/>
      <c r="O32591" s="11"/>
      <c r="P32591" s="11"/>
    </row>
    <row r="32592" spans="8:16" x14ac:dyDescent="0.25">
      <c r="H32592" s="12"/>
      <c r="I32592" s="12"/>
      <c r="J32592" s="12"/>
      <c r="K32592" s="12"/>
      <c r="L32592" s="12"/>
      <c r="M32592" s="11"/>
      <c r="N32592" s="11"/>
      <c r="O32592" s="11"/>
      <c r="P32592" s="11"/>
    </row>
    <row r="32593" spans="8:16" x14ac:dyDescent="0.25">
      <c r="H32593" s="12"/>
      <c r="I32593" s="12"/>
      <c r="J32593" s="12"/>
      <c r="K32593" s="12"/>
      <c r="L32593" s="12"/>
      <c r="M32593" s="11"/>
      <c r="N32593" s="11"/>
      <c r="O32593" s="11"/>
      <c r="P32593" s="11"/>
    </row>
    <row r="32594" spans="8:16" x14ac:dyDescent="0.25">
      <c r="H32594" s="12"/>
      <c r="I32594" s="12"/>
      <c r="J32594" s="12"/>
      <c r="K32594" s="12"/>
      <c r="L32594" s="12"/>
      <c r="M32594" s="11"/>
      <c r="N32594" s="11"/>
      <c r="O32594" s="11"/>
      <c r="P32594" s="11"/>
    </row>
    <row r="32595" spans="8:16" x14ac:dyDescent="0.25">
      <c r="H32595" s="12"/>
      <c r="I32595" s="12"/>
      <c r="J32595" s="12"/>
      <c r="K32595" s="12"/>
      <c r="L32595" s="12"/>
      <c r="M32595" s="11"/>
      <c r="N32595" s="11"/>
      <c r="O32595" s="11"/>
      <c r="P32595" s="11"/>
    </row>
    <row r="32596" spans="8:16" x14ac:dyDescent="0.25">
      <c r="H32596" s="12"/>
      <c r="I32596" s="12"/>
      <c r="J32596" s="12"/>
      <c r="K32596" s="12"/>
      <c r="L32596" s="12"/>
      <c r="M32596" s="11"/>
      <c r="N32596" s="11"/>
      <c r="O32596" s="11"/>
      <c r="P32596" s="11"/>
    </row>
    <row r="32597" spans="8:16" x14ac:dyDescent="0.25">
      <c r="H32597" s="12"/>
      <c r="I32597" s="12"/>
      <c r="J32597" s="12"/>
      <c r="K32597" s="12"/>
      <c r="L32597" s="12"/>
      <c r="M32597" s="11"/>
      <c r="N32597" s="11"/>
      <c r="O32597" s="11"/>
      <c r="P32597" s="11"/>
    </row>
    <row r="32598" spans="8:16" x14ac:dyDescent="0.25">
      <c r="H32598" s="12"/>
      <c r="I32598" s="12"/>
      <c r="J32598" s="12"/>
      <c r="K32598" s="12"/>
      <c r="L32598" s="12"/>
      <c r="M32598" s="11"/>
      <c r="N32598" s="11"/>
      <c r="O32598" s="11"/>
      <c r="P32598" s="11"/>
    </row>
    <row r="32599" spans="8:16" x14ac:dyDescent="0.25">
      <c r="H32599" s="12"/>
      <c r="I32599" s="12"/>
      <c r="J32599" s="12"/>
      <c r="K32599" s="12"/>
      <c r="L32599" s="12"/>
      <c r="M32599" s="11"/>
      <c r="N32599" s="11"/>
      <c r="O32599" s="11"/>
      <c r="P32599" s="11"/>
    </row>
    <row r="32600" spans="8:16" x14ac:dyDescent="0.25">
      <c r="H32600" s="12"/>
      <c r="I32600" s="12"/>
      <c r="J32600" s="12"/>
      <c r="K32600" s="12"/>
      <c r="L32600" s="12"/>
      <c r="M32600" s="11"/>
      <c r="N32600" s="11"/>
      <c r="O32600" s="11"/>
      <c r="P32600" s="11"/>
    </row>
    <row r="32601" spans="8:16" x14ac:dyDescent="0.25">
      <c r="H32601" s="12"/>
      <c r="I32601" s="12"/>
      <c r="J32601" s="12"/>
      <c r="K32601" s="12"/>
      <c r="L32601" s="12"/>
      <c r="M32601" s="11"/>
      <c r="N32601" s="11"/>
      <c r="O32601" s="11"/>
      <c r="P32601" s="11"/>
    </row>
    <row r="32602" spans="8:16" x14ac:dyDescent="0.25">
      <c r="H32602" s="12"/>
      <c r="I32602" s="12"/>
      <c r="J32602" s="12"/>
      <c r="K32602" s="12"/>
      <c r="L32602" s="12"/>
      <c r="M32602" s="11"/>
      <c r="N32602" s="11"/>
      <c r="O32602" s="11"/>
      <c r="P32602" s="11"/>
    </row>
    <row r="32603" spans="8:16" x14ac:dyDescent="0.25">
      <c r="H32603" s="12"/>
      <c r="I32603" s="12"/>
      <c r="J32603" s="12"/>
      <c r="K32603" s="12"/>
      <c r="L32603" s="12"/>
      <c r="M32603" s="11"/>
      <c r="N32603" s="11"/>
      <c r="O32603" s="11"/>
      <c r="P32603" s="11"/>
    </row>
    <row r="32604" spans="8:16" x14ac:dyDescent="0.25">
      <c r="H32604" s="12"/>
      <c r="I32604" s="12"/>
      <c r="J32604" s="12"/>
      <c r="K32604" s="12"/>
      <c r="L32604" s="12"/>
      <c r="M32604" s="11"/>
      <c r="N32604" s="11"/>
      <c r="O32604" s="11"/>
      <c r="P32604" s="11"/>
    </row>
    <row r="32605" spans="8:16" x14ac:dyDescent="0.25">
      <c r="H32605" s="12"/>
      <c r="I32605" s="12"/>
      <c r="J32605" s="12"/>
      <c r="K32605" s="12"/>
      <c r="L32605" s="12"/>
      <c r="M32605" s="11"/>
      <c r="N32605" s="11"/>
      <c r="O32605" s="11"/>
      <c r="P32605" s="11"/>
    </row>
    <row r="32606" spans="8:16" x14ac:dyDescent="0.25">
      <c r="H32606" s="12"/>
      <c r="I32606" s="12"/>
      <c r="J32606" s="12"/>
      <c r="K32606" s="12"/>
      <c r="L32606" s="12"/>
      <c r="M32606" s="11"/>
      <c r="N32606" s="11"/>
      <c r="O32606" s="11"/>
      <c r="P32606" s="11"/>
    </row>
    <row r="32607" spans="8:16" x14ac:dyDescent="0.25">
      <c r="H32607" s="12"/>
      <c r="I32607" s="12"/>
      <c r="J32607" s="12"/>
      <c r="K32607" s="12"/>
      <c r="L32607" s="12"/>
      <c r="M32607" s="11"/>
      <c r="N32607" s="11"/>
      <c r="O32607" s="11"/>
      <c r="P32607" s="11"/>
    </row>
    <row r="32608" spans="8:16" x14ac:dyDescent="0.25">
      <c r="H32608" s="12"/>
      <c r="I32608" s="12"/>
      <c r="J32608" s="12"/>
      <c r="K32608" s="12"/>
      <c r="L32608" s="12"/>
      <c r="M32608" s="11"/>
      <c r="N32608" s="11"/>
      <c r="O32608" s="11"/>
      <c r="P32608" s="11"/>
    </row>
    <row r="32609" spans="8:16" x14ac:dyDescent="0.25">
      <c r="H32609" s="12"/>
      <c r="I32609" s="12"/>
      <c r="J32609" s="12"/>
      <c r="K32609" s="12"/>
      <c r="L32609" s="12"/>
      <c r="M32609" s="11"/>
      <c r="N32609" s="11"/>
      <c r="O32609" s="11"/>
      <c r="P32609" s="11"/>
    </row>
    <row r="32610" spans="8:16" x14ac:dyDescent="0.25">
      <c r="H32610" s="12"/>
      <c r="I32610" s="12"/>
      <c r="J32610" s="12"/>
      <c r="K32610" s="12"/>
      <c r="L32610" s="12"/>
      <c r="M32610" s="11"/>
      <c r="N32610" s="11"/>
      <c r="O32610" s="11"/>
      <c r="P32610" s="11"/>
    </row>
    <row r="32611" spans="8:16" x14ac:dyDescent="0.25">
      <c r="H32611" s="12"/>
      <c r="I32611" s="12"/>
      <c r="J32611" s="12"/>
      <c r="K32611" s="12"/>
      <c r="L32611" s="12"/>
      <c r="M32611" s="11"/>
      <c r="N32611" s="11"/>
      <c r="O32611" s="11"/>
      <c r="P32611" s="11"/>
    </row>
    <row r="32612" spans="8:16" x14ac:dyDescent="0.25">
      <c r="H32612" s="12"/>
      <c r="I32612" s="12"/>
      <c r="J32612" s="12"/>
      <c r="K32612" s="12"/>
      <c r="L32612" s="12"/>
      <c r="M32612" s="11"/>
      <c r="N32612" s="11"/>
      <c r="O32612" s="11"/>
      <c r="P32612" s="11"/>
    </row>
    <row r="32613" spans="8:16" x14ac:dyDescent="0.25">
      <c r="H32613" s="12"/>
      <c r="I32613" s="12"/>
      <c r="J32613" s="12"/>
      <c r="K32613" s="12"/>
      <c r="L32613" s="12"/>
      <c r="M32613" s="11"/>
      <c r="N32613" s="11"/>
      <c r="O32613" s="11"/>
      <c r="P32613" s="11"/>
    </row>
    <row r="32614" spans="8:16" x14ac:dyDescent="0.25">
      <c r="H32614" s="12"/>
      <c r="I32614" s="12"/>
      <c r="J32614" s="12"/>
      <c r="K32614" s="12"/>
      <c r="L32614" s="12"/>
      <c r="M32614" s="11"/>
      <c r="N32614" s="11"/>
      <c r="O32614" s="11"/>
      <c r="P32614" s="11"/>
    </row>
    <row r="32615" spans="8:16" x14ac:dyDescent="0.25">
      <c r="H32615" s="12"/>
      <c r="I32615" s="12"/>
      <c r="J32615" s="12"/>
      <c r="K32615" s="12"/>
      <c r="L32615" s="12"/>
      <c r="M32615" s="11"/>
      <c r="N32615" s="11"/>
      <c r="O32615" s="11"/>
      <c r="P32615" s="11"/>
    </row>
    <row r="32616" spans="8:16" x14ac:dyDescent="0.25">
      <c r="H32616" s="12"/>
      <c r="I32616" s="12"/>
      <c r="J32616" s="12"/>
      <c r="K32616" s="12"/>
      <c r="L32616" s="12"/>
      <c r="M32616" s="11"/>
      <c r="N32616" s="11"/>
      <c r="O32616" s="11"/>
      <c r="P32616" s="11"/>
    </row>
    <row r="32617" spans="8:16" x14ac:dyDescent="0.25">
      <c r="H32617" s="12"/>
      <c r="I32617" s="12"/>
      <c r="J32617" s="12"/>
      <c r="K32617" s="12"/>
      <c r="L32617" s="12"/>
      <c r="M32617" s="11"/>
      <c r="N32617" s="11"/>
      <c r="O32617" s="11"/>
      <c r="P32617" s="11"/>
    </row>
    <row r="32618" spans="8:16" x14ac:dyDescent="0.25">
      <c r="H32618" s="12"/>
      <c r="I32618" s="12"/>
      <c r="J32618" s="12"/>
      <c r="K32618" s="12"/>
      <c r="L32618" s="12"/>
      <c r="M32618" s="11"/>
      <c r="N32618" s="11"/>
      <c r="O32618" s="11"/>
      <c r="P32618" s="11"/>
    </row>
    <row r="32619" spans="8:16" x14ac:dyDescent="0.25">
      <c r="H32619" s="12"/>
      <c r="I32619" s="12"/>
      <c r="J32619" s="12"/>
      <c r="K32619" s="12"/>
      <c r="L32619" s="12"/>
      <c r="M32619" s="11"/>
      <c r="N32619" s="11"/>
      <c r="O32619" s="11"/>
      <c r="P32619" s="11"/>
    </row>
    <row r="32620" spans="8:16" x14ac:dyDescent="0.25">
      <c r="H32620" s="12"/>
      <c r="I32620" s="12"/>
      <c r="J32620" s="12"/>
      <c r="K32620" s="12"/>
      <c r="L32620" s="12"/>
      <c r="M32620" s="11"/>
      <c r="N32620" s="11"/>
      <c r="O32620" s="11"/>
      <c r="P32620" s="11"/>
    </row>
    <row r="32621" spans="8:16" x14ac:dyDescent="0.25">
      <c r="H32621" s="12"/>
      <c r="I32621" s="12"/>
      <c r="J32621" s="12"/>
      <c r="K32621" s="12"/>
      <c r="L32621" s="12"/>
      <c r="M32621" s="11"/>
      <c r="N32621" s="11"/>
      <c r="O32621" s="11"/>
      <c r="P32621" s="11"/>
    </row>
    <row r="32622" spans="8:16" x14ac:dyDescent="0.25">
      <c r="H32622" s="12"/>
      <c r="I32622" s="12"/>
      <c r="J32622" s="12"/>
      <c r="K32622" s="12"/>
      <c r="L32622" s="12"/>
      <c r="M32622" s="11"/>
      <c r="N32622" s="11"/>
      <c r="O32622" s="11"/>
      <c r="P32622" s="11"/>
    </row>
    <row r="32623" spans="8:16" x14ac:dyDescent="0.25">
      <c r="H32623" s="12"/>
      <c r="I32623" s="12"/>
      <c r="J32623" s="12"/>
      <c r="K32623" s="12"/>
      <c r="L32623" s="12"/>
      <c r="M32623" s="11"/>
      <c r="N32623" s="11"/>
      <c r="O32623" s="11"/>
      <c r="P32623" s="11"/>
    </row>
    <row r="32624" spans="8:16" x14ac:dyDescent="0.25">
      <c r="H32624" s="12"/>
      <c r="I32624" s="12"/>
      <c r="J32624" s="12"/>
      <c r="K32624" s="12"/>
      <c r="L32624" s="12"/>
      <c r="M32624" s="11"/>
      <c r="N32624" s="11"/>
      <c r="O32624" s="11"/>
      <c r="P32624" s="11"/>
    </row>
    <row r="32625" spans="8:16" x14ac:dyDescent="0.25">
      <c r="H32625" s="12"/>
      <c r="I32625" s="12"/>
      <c r="J32625" s="12"/>
      <c r="K32625" s="12"/>
      <c r="L32625" s="12"/>
      <c r="M32625" s="11"/>
      <c r="N32625" s="11"/>
      <c r="O32625" s="11"/>
      <c r="P32625" s="11"/>
    </row>
    <row r="32626" spans="8:16" x14ac:dyDescent="0.25">
      <c r="H32626" s="12"/>
      <c r="I32626" s="12"/>
      <c r="J32626" s="12"/>
      <c r="K32626" s="12"/>
      <c r="L32626" s="12"/>
      <c r="M32626" s="11"/>
      <c r="N32626" s="11"/>
      <c r="O32626" s="11"/>
      <c r="P32626" s="11"/>
    </row>
    <row r="32627" spans="8:16" x14ac:dyDescent="0.25">
      <c r="H32627" s="12"/>
      <c r="I32627" s="12"/>
      <c r="J32627" s="12"/>
      <c r="K32627" s="12"/>
      <c r="L32627" s="12"/>
      <c r="M32627" s="11"/>
      <c r="N32627" s="11"/>
      <c r="O32627" s="11"/>
      <c r="P32627" s="11"/>
    </row>
    <row r="32628" spans="8:16" x14ac:dyDescent="0.25">
      <c r="H32628" s="12"/>
      <c r="I32628" s="12"/>
      <c r="J32628" s="12"/>
      <c r="K32628" s="12"/>
      <c r="L32628" s="12"/>
      <c r="M32628" s="11"/>
      <c r="N32628" s="11"/>
      <c r="O32628" s="11"/>
      <c r="P32628" s="11"/>
    </row>
    <row r="32629" spans="8:16" x14ac:dyDescent="0.25">
      <c r="H32629" s="12"/>
      <c r="I32629" s="12"/>
      <c r="J32629" s="12"/>
      <c r="K32629" s="12"/>
      <c r="L32629" s="12"/>
      <c r="M32629" s="11"/>
      <c r="N32629" s="11"/>
      <c r="O32629" s="11"/>
      <c r="P32629" s="11"/>
    </row>
    <row r="32630" spans="8:16" x14ac:dyDescent="0.25">
      <c r="H32630" s="12"/>
      <c r="I32630" s="12"/>
      <c r="J32630" s="12"/>
      <c r="K32630" s="12"/>
      <c r="L32630" s="12"/>
      <c r="M32630" s="11"/>
      <c r="N32630" s="11"/>
      <c r="O32630" s="11"/>
      <c r="P32630" s="11"/>
    </row>
    <row r="32631" spans="8:16" x14ac:dyDescent="0.25">
      <c r="H32631" s="12"/>
      <c r="I32631" s="12"/>
      <c r="J32631" s="12"/>
      <c r="K32631" s="12"/>
      <c r="L32631" s="12"/>
      <c r="M32631" s="11"/>
      <c r="N32631" s="11"/>
      <c r="O32631" s="11"/>
      <c r="P32631" s="11"/>
    </row>
    <row r="32632" spans="8:16" x14ac:dyDescent="0.25">
      <c r="H32632" s="12"/>
      <c r="I32632" s="12"/>
      <c r="J32632" s="12"/>
      <c r="K32632" s="12"/>
      <c r="L32632" s="12"/>
      <c r="M32632" s="11"/>
      <c r="N32632" s="11"/>
      <c r="O32632" s="11"/>
      <c r="P32632" s="11"/>
    </row>
    <row r="32633" spans="8:16" x14ac:dyDescent="0.25">
      <c r="H32633" s="12"/>
      <c r="I32633" s="12"/>
      <c r="J32633" s="12"/>
      <c r="K32633" s="12"/>
      <c r="L32633" s="12"/>
      <c r="M32633" s="11"/>
      <c r="N32633" s="11"/>
      <c r="O32633" s="11"/>
      <c r="P32633" s="11"/>
    </row>
    <row r="32634" spans="8:16" x14ac:dyDescent="0.25">
      <c r="H32634" s="12"/>
      <c r="I32634" s="12"/>
      <c r="J32634" s="12"/>
      <c r="K32634" s="12"/>
      <c r="L32634" s="12"/>
      <c r="M32634" s="11"/>
      <c r="N32634" s="11"/>
      <c r="O32634" s="11"/>
      <c r="P32634" s="11"/>
    </row>
    <row r="32635" spans="8:16" x14ac:dyDescent="0.25">
      <c r="H32635" s="12"/>
      <c r="I32635" s="12"/>
      <c r="J32635" s="12"/>
      <c r="K32635" s="12"/>
      <c r="L32635" s="12"/>
      <c r="M32635" s="11"/>
      <c r="N32635" s="11"/>
      <c r="O32635" s="11"/>
      <c r="P32635" s="11"/>
    </row>
    <row r="32636" spans="8:16" x14ac:dyDescent="0.25">
      <c r="H32636" s="12"/>
      <c r="I32636" s="12"/>
      <c r="J32636" s="12"/>
      <c r="K32636" s="12"/>
      <c r="L32636" s="12"/>
      <c r="M32636" s="11"/>
      <c r="N32636" s="11"/>
      <c r="O32636" s="11"/>
      <c r="P32636" s="11"/>
    </row>
    <row r="32637" spans="8:16" x14ac:dyDescent="0.25">
      <c r="H32637" s="12"/>
      <c r="I32637" s="12"/>
      <c r="J32637" s="12"/>
      <c r="K32637" s="12"/>
      <c r="L32637" s="12"/>
      <c r="M32637" s="11"/>
      <c r="N32637" s="11"/>
      <c r="O32637" s="11"/>
      <c r="P32637" s="11"/>
    </row>
    <row r="32638" spans="8:16" x14ac:dyDescent="0.25">
      <c r="H32638" s="12"/>
      <c r="I32638" s="12"/>
      <c r="J32638" s="12"/>
      <c r="K32638" s="12"/>
      <c r="L32638" s="12"/>
      <c r="M32638" s="11"/>
      <c r="N32638" s="11"/>
      <c r="O32638" s="11"/>
      <c r="P32638" s="11"/>
    </row>
    <row r="32639" spans="8:16" x14ac:dyDescent="0.25">
      <c r="H32639" s="12"/>
      <c r="I32639" s="12"/>
      <c r="J32639" s="12"/>
      <c r="K32639" s="12"/>
      <c r="L32639" s="12"/>
      <c r="M32639" s="11"/>
      <c r="N32639" s="11"/>
      <c r="O32639" s="11"/>
      <c r="P32639" s="11"/>
    </row>
    <row r="32640" spans="8:16" x14ac:dyDescent="0.25">
      <c r="H32640" s="12"/>
      <c r="I32640" s="12"/>
      <c r="J32640" s="12"/>
      <c r="K32640" s="12"/>
      <c r="L32640" s="12"/>
      <c r="M32640" s="11"/>
      <c r="N32640" s="11"/>
      <c r="O32640" s="11"/>
      <c r="P32640" s="11"/>
    </row>
    <row r="32641" spans="8:16" x14ac:dyDescent="0.25">
      <c r="H32641" s="12"/>
      <c r="I32641" s="12"/>
      <c r="J32641" s="12"/>
      <c r="K32641" s="12"/>
      <c r="L32641" s="12"/>
      <c r="M32641" s="11"/>
      <c r="N32641" s="11"/>
      <c r="O32641" s="11"/>
      <c r="P32641" s="11"/>
    </row>
    <row r="32642" spans="8:16" x14ac:dyDescent="0.25">
      <c r="H32642" s="12"/>
      <c r="I32642" s="12"/>
      <c r="J32642" s="12"/>
      <c r="K32642" s="12"/>
      <c r="L32642" s="12"/>
      <c r="M32642" s="11"/>
      <c r="N32642" s="11"/>
      <c r="O32642" s="11"/>
      <c r="P32642" s="11"/>
    </row>
    <row r="32643" spans="8:16" x14ac:dyDescent="0.25">
      <c r="H32643" s="12"/>
      <c r="I32643" s="12"/>
      <c r="J32643" s="12"/>
      <c r="K32643" s="12"/>
      <c r="L32643" s="12"/>
      <c r="M32643" s="11"/>
      <c r="N32643" s="11"/>
      <c r="O32643" s="11"/>
      <c r="P32643" s="11"/>
    </row>
    <row r="32644" spans="8:16" x14ac:dyDescent="0.25">
      <c r="H32644" s="12"/>
      <c r="I32644" s="12"/>
      <c r="J32644" s="12"/>
      <c r="K32644" s="12"/>
      <c r="L32644" s="12"/>
      <c r="M32644" s="11"/>
      <c r="N32644" s="11"/>
      <c r="O32644" s="11"/>
      <c r="P32644" s="11"/>
    </row>
    <row r="32645" spans="8:16" x14ac:dyDescent="0.25">
      <c r="H32645" s="12"/>
      <c r="I32645" s="12"/>
      <c r="J32645" s="12"/>
      <c r="K32645" s="12"/>
      <c r="L32645" s="12"/>
      <c r="M32645" s="11"/>
      <c r="N32645" s="11"/>
      <c r="O32645" s="11"/>
      <c r="P32645" s="11"/>
    </row>
    <row r="32646" spans="8:16" x14ac:dyDescent="0.25">
      <c r="H32646" s="12"/>
      <c r="I32646" s="12"/>
      <c r="J32646" s="12"/>
      <c r="K32646" s="12"/>
      <c r="L32646" s="12"/>
      <c r="M32646" s="11"/>
      <c r="N32646" s="11"/>
      <c r="O32646" s="11"/>
      <c r="P32646" s="11"/>
    </row>
    <row r="32647" spans="8:16" x14ac:dyDescent="0.25">
      <c r="H32647" s="12"/>
      <c r="I32647" s="12"/>
      <c r="J32647" s="12"/>
      <c r="K32647" s="12"/>
      <c r="L32647" s="12"/>
      <c r="M32647" s="11"/>
      <c r="N32647" s="11"/>
      <c r="O32647" s="11"/>
      <c r="P32647" s="11"/>
    </row>
    <row r="32648" spans="8:16" x14ac:dyDescent="0.25">
      <c r="H32648" s="12"/>
      <c r="I32648" s="12"/>
      <c r="J32648" s="12"/>
      <c r="K32648" s="12"/>
      <c r="L32648" s="12"/>
      <c r="M32648" s="11"/>
      <c r="N32648" s="11"/>
      <c r="O32648" s="11"/>
      <c r="P32648" s="11"/>
    </row>
    <row r="32649" spans="8:16" x14ac:dyDescent="0.25">
      <c r="H32649" s="12"/>
      <c r="I32649" s="12"/>
      <c r="J32649" s="12"/>
      <c r="K32649" s="12"/>
      <c r="L32649" s="12"/>
      <c r="M32649" s="11"/>
      <c r="N32649" s="11"/>
      <c r="O32649" s="11"/>
      <c r="P32649" s="11"/>
    </row>
    <row r="32650" spans="8:16" x14ac:dyDescent="0.25">
      <c r="H32650" s="12"/>
      <c r="I32650" s="12"/>
      <c r="J32650" s="12"/>
      <c r="K32650" s="12"/>
      <c r="L32650" s="12"/>
      <c r="M32650" s="11"/>
      <c r="N32650" s="11"/>
      <c r="O32650" s="11"/>
      <c r="P32650" s="11"/>
    </row>
    <row r="32651" spans="8:16" x14ac:dyDescent="0.25">
      <c r="H32651" s="12"/>
      <c r="I32651" s="12"/>
      <c r="J32651" s="12"/>
      <c r="K32651" s="12"/>
      <c r="L32651" s="12"/>
      <c r="M32651" s="11"/>
      <c r="N32651" s="11"/>
      <c r="O32651" s="11"/>
      <c r="P32651" s="11"/>
    </row>
    <row r="32652" spans="8:16" x14ac:dyDescent="0.25">
      <c r="H32652" s="12"/>
      <c r="I32652" s="12"/>
      <c r="J32652" s="12"/>
      <c r="K32652" s="12"/>
      <c r="L32652" s="12"/>
      <c r="M32652" s="11"/>
      <c r="N32652" s="11"/>
      <c r="O32652" s="11"/>
      <c r="P32652" s="11"/>
    </row>
    <row r="32653" spans="8:16" x14ac:dyDescent="0.25">
      <c r="H32653" s="12"/>
      <c r="I32653" s="12"/>
      <c r="J32653" s="12"/>
      <c r="K32653" s="12"/>
      <c r="L32653" s="12"/>
      <c r="M32653" s="11"/>
      <c r="N32653" s="11"/>
      <c r="O32653" s="11"/>
      <c r="P32653" s="11"/>
    </row>
    <row r="32654" spans="8:16" x14ac:dyDescent="0.25">
      <c r="H32654" s="12"/>
      <c r="I32654" s="12"/>
      <c r="J32654" s="12"/>
      <c r="K32654" s="12"/>
      <c r="L32654" s="12"/>
      <c r="M32654" s="11"/>
      <c r="N32654" s="11"/>
      <c r="O32654" s="11"/>
      <c r="P32654" s="11"/>
    </row>
    <row r="32655" spans="8:16" x14ac:dyDescent="0.25">
      <c r="H32655" s="12"/>
      <c r="I32655" s="12"/>
      <c r="J32655" s="12"/>
      <c r="K32655" s="12"/>
      <c r="L32655" s="12"/>
      <c r="M32655" s="11"/>
      <c r="N32655" s="11"/>
      <c r="O32655" s="11"/>
      <c r="P32655" s="11"/>
    </row>
    <row r="32656" spans="8:16" x14ac:dyDescent="0.25">
      <c r="H32656" s="12"/>
      <c r="I32656" s="12"/>
      <c r="J32656" s="12"/>
      <c r="K32656" s="12"/>
      <c r="L32656" s="12"/>
      <c r="M32656" s="11"/>
      <c r="N32656" s="11"/>
      <c r="O32656" s="11"/>
      <c r="P32656" s="11"/>
    </row>
    <row r="32657" spans="8:16" x14ac:dyDescent="0.25">
      <c r="H32657" s="12"/>
      <c r="I32657" s="12"/>
      <c r="J32657" s="12"/>
      <c r="K32657" s="12"/>
      <c r="L32657" s="12"/>
      <c r="M32657" s="11"/>
      <c r="N32657" s="11"/>
      <c r="O32657" s="11"/>
      <c r="P32657" s="11"/>
    </row>
    <row r="32658" spans="8:16" x14ac:dyDescent="0.25">
      <c r="H32658" s="12"/>
      <c r="I32658" s="12"/>
      <c r="J32658" s="12"/>
      <c r="K32658" s="12"/>
      <c r="L32658" s="12"/>
      <c r="M32658" s="11"/>
      <c r="N32658" s="11"/>
      <c r="O32658" s="11"/>
      <c r="P32658" s="11"/>
    </row>
    <row r="32659" spans="8:16" x14ac:dyDescent="0.25">
      <c r="H32659" s="12"/>
      <c r="I32659" s="12"/>
      <c r="J32659" s="12"/>
      <c r="K32659" s="12"/>
      <c r="L32659" s="12"/>
      <c r="M32659" s="11"/>
      <c r="N32659" s="11"/>
      <c r="O32659" s="11"/>
      <c r="P32659" s="11"/>
    </row>
    <row r="32660" spans="8:16" x14ac:dyDescent="0.25">
      <c r="H32660" s="12"/>
      <c r="I32660" s="12"/>
      <c r="J32660" s="12"/>
      <c r="K32660" s="12"/>
      <c r="L32660" s="12"/>
      <c r="M32660" s="11"/>
      <c r="N32660" s="11"/>
      <c r="O32660" s="11"/>
      <c r="P32660" s="11"/>
    </row>
    <row r="32661" spans="8:16" x14ac:dyDescent="0.25">
      <c r="H32661" s="12"/>
      <c r="I32661" s="12"/>
      <c r="J32661" s="12"/>
      <c r="K32661" s="12"/>
      <c r="L32661" s="12"/>
      <c r="M32661" s="11"/>
      <c r="N32661" s="11"/>
      <c r="O32661" s="11"/>
      <c r="P32661" s="11"/>
    </row>
    <row r="32662" spans="8:16" x14ac:dyDescent="0.25">
      <c r="H32662" s="12"/>
      <c r="I32662" s="12"/>
      <c r="J32662" s="12"/>
      <c r="K32662" s="12"/>
      <c r="L32662" s="12"/>
      <c r="M32662" s="11"/>
      <c r="N32662" s="11"/>
      <c r="O32662" s="11"/>
      <c r="P32662" s="11"/>
    </row>
    <row r="32663" spans="8:16" x14ac:dyDescent="0.25">
      <c r="H32663" s="12"/>
      <c r="I32663" s="12"/>
      <c r="J32663" s="12"/>
      <c r="K32663" s="12"/>
      <c r="L32663" s="12"/>
      <c r="M32663" s="11"/>
      <c r="N32663" s="11"/>
      <c r="O32663" s="11"/>
      <c r="P32663" s="11"/>
    </row>
    <row r="32664" spans="8:16" x14ac:dyDescent="0.25">
      <c r="H32664" s="12"/>
      <c r="I32664" s="12"/>
      <c r="J32664" s="12"/>
      <c r="K32664" s="12"/>
      <c r="L32664" s="12"/>
      <c r="M32664" s="11"/>
      <c r="N32664" s="11"/>
      <c r="O32664" s="11"/>
      <c r="P32664" s="11"/>
    </row>
    <row r="32665" spans="8:16" x14ac:dyDescent="0.25">
      <c r="H32665" s="12"/>
      <c r="I32665" s="12"/>
      <c r="J32665" s="12"/>
      <c r="K32665" s="12"/>
      <c r="L32665" s="12"/>
      <c r="M32665" s="11"/>
      <c r="N32665" s="11"/>
      <c r="O32665" s="11"/>
      <c r="P32665" s="11"/>
    </row>
    <row r="32666" spans="8:16" x14ac:dyDescent="0.25">
      <c r="H32666" s="12"/>
      <c r="I32666" s="12"/>
      <c r="J32666" s="12"/>
      <c r="K32666" s="12"/>
      <c r="L32666" s="12"/>
      <c r="M32666" s="11"/>
      <c r="N32666" s="11"/>
      <c r="O32666" s="11"/>
      <c r="P32666" s="11"/>
    </row>
    <row r="32667" spans="8:16" x14ac:dyDescent="0.25">
      <c r="H32667" s="12"/>
      <c r="I32667" s="12"/>
      <c r="J32667" s="12"/>
      <c r="K32667" s="12"/>
      <c r="L32667" s="12"/>
      <c r="M32667" s="11"/>
      <c r="N32667" s="11"/>
      <c r="O32667" s="11"/>
      <c r="P32667" s="11"/>
    </row>
    <row r="32668" spans="8:16" x14ac:dyDescent="0.25">
      <c r="H32668" s="12"/>
      <c r="I32668" s="12"/>
      <c r="J32668" s="12"/>
      <c r="K32668" s="12"/>
      <c r="L32668" s="12"/>
      <c r="M32668" s="11"/>
      <c r="N32668" s="11"/>
      <c r="O32668" s="11"/>
      <c r="P32668" s="11"/>
    </row>
    <row r="32669" spans="8:16" x14ac:dyDescent="0.25">
      <c r="H32669" s="12"/>
      <c r="I32669" s="12"/>
      <c r="J32669" s="12"/>
      <c r="K32669" s="12"/>
      <c r="L32669" s="12"/>
      <c r="M32669" s="11"/>
      <c r="N32669" s="11"/>
      <c r="O32669" s="11"/>
      <c r="P32669" s="11"/>
    </row>
    <row r="32670" spans="8:16" x14ac:dyDescent="0.25">
      <c r="H32670" s="12"/>
      <c r="I32670" s="12"/>
      <c r="J32670" s="12"/>
      <c r="K32670" s="12"/>
      <c r="L32670" s="12"/>
      <c r="M32670" s="11"/>
      <c r="N32670" s="11"/>
      <c r="O32670" s="11"/>
      <c r="P32670" s="11"/>
    </row>
    <row r="32671" spans="8:16" x14ac:dyDescent="0.25">
      <c r="H32671" s="12"/>
      <c r="I32671" s="12"/>
      <c r="J32671" s="12"/>
      <c r="K32671" s="12"/>
      <c r="L32671" s="12"/>
      <c r="M32671" s="11"/>
      <c r="N32671" s="11"/>
      <c r="O32671" s="11"/>
      <c r="P32671" s="11"/>
    </row>
    <row r="32672" spans="8:16" x14ac:dyDescent="0.25">
      <c r="H32672" s="12"/>
      <c r="I32672" s="12"/>
      <c r="J32672" s="12"/>
      <c r="K32672" s="12"/>
      <c r="L32672" s="12"/>
      <c r="M32672" s="11"/>
      <c r="N32672" s="11"/>
      <c r="O32672" s="11"/>
      <c r="P32672" s="11"/>
    </row>
    <row r="32673" spans="8:16" x14ac:dyDescent="0.25">
      <c r="H32673" s="12"/>
      <c r="I32673" s="12"/>
      <c r="J32673" s="12"/>
      <c r="K32673" s="12"/>
      <c r="L32673" s="12"/>
      <c r="M32673" s="11"/>
      <c r="N32673" s="11"/>
      <c r="O32673" s="11"/>
      <c r="P32673" s="11"/>
    </row>
    <row r="32674" spans="8:16" x14ac:dyDescent="0.25">
      <c r="H32674" s="12"/>
      <c r="I32674" s="12"/>
      <c r="J32674" s="12"/>
      <c r="K32674" s="12"/>
      <c r="L32674" s="12"/>
      <c r="M32674" s="11"/>
      <c r="N32674" s="11"/>
      <c r="O32674" s="11"/>
      <c r="P32674" s="11"/>
    </row>
    <row r="32675" spans="8:16" x14ac:dyDescent="0.25">
      <c r="H32675" s="12"/>
      <c r="I32675" s="12"/>
      <c r="J32675" s="12"/>
      <c r="K32675" s="12"/>
      <c r="L32675" s="12"/>
      <c r="M32675" s="11"/>
      <c r="N32675" s="11"/>
      <c r="O32675" s="11"/>
      <c r="P32675" s="11"/>
    </row>
    <row r="32676" spans="8:16" x14ac:dyDescent="0.25">
      <c r="H32676" s="12"/>
      <c r="I32676" s="12"/>
      <c r="J32676" s="12"/>
      <c r="K32676" s="12"/>
      <c r="L32676" s="12"/>
      <c r="M32676" s="11"/>
      <c r="N32676" s="11"/>
      <c r="O32676" s="11"/>
      <c r="P32676" s="11"/>
    </row>
    <row r="32677" spans="8:16" x14ac:dyDescent="0.25">
      <c r="H32677" s="12"/>
      <c r="I32677" s="12"/>
      <c r="J32677" s="12"/>
      <c r="K32677" s="12"/>
      <c r="L32677" s="12"/>
      <c r="M32677" s="11"/>
      <c r="N32677" s="11"/>
      <c r="O32677" s="11"/>
      <c r="P32677" s="11"/>
    </row>
    <row r="32678" spans="8:16" x14ac:dyDescent="0.25">
      <c r="H32678" s="12"/>
      <c r="I32678" s="12"/>
      <c r="J32678" s="12"/>
      <c r="K32678" s="12"/>
      <c r="L32678" s="12"/>
      <c r="M32678" s="11"/>
      <c r="N32678" s="11"/>
      <c r="O32678" s="11"/>
      <c r="P32678" s="11"/>
    </row>
    <row r="32679" spans="8:16" x14ac:dyDescent="0.25">
      <c r="H32679" s="12"/>
      <c r="I32679" s="12"/>
      <c r="J32679" s="12"/>
      <c r="K32679" s="12"/>
      <c r="L32679" s="12"/>
      <c r="M32679" s="11"/>
      <c r="N32679" s="11"/>
      <c r="O32679" s="11"/>
      <c r="P32679" s="11"/>
    </row>
    <row r="32680" spans="8:16" x14ac:dyDescent="0.25">
      <c r="H32680" s="12"/>
      <c r="I32680" s="12"/>
      <c r="J32680" s="12"/>
      <c r="K32680" s="12"/>
      <c r="L32680" s="12"/>
      <c r="M32680" s="11"/>
      <c r="N32680" s="11"/>
      <c r="O32680" s="11"/>
      <c r="P32680" s="11"/>
    </row>
    <row r="32681" spans="8:16" x14ac:dyDescent="0.25">
      <c r="H32681" s="12"/>
      <c r="I32681" s="12"/>
      <c r="J32681" s="12"/>
      <c r="K32681" s="12"/>
      <c r="L32681" s="12"/>
      <c r="M32681" s="11"/>
      <c r="N32681" s="11"/>
      <c r="O32681" s="11"/>
      <c r="P32681" s="11"/>
    </row>
    <row r="32682" spans="8:16" x14ac:dyDescent="0.25">
      <c r="H32682" s="12"/>
      <c r="I32682" s="12"/>
      <c r="J32682" s="12"/>
      <c r="K32682" s="12"/>
      <c r="L32682" s="12"/>
      <c r="M32682" s="11"/>
      <c r="N32682" s="11"/>
      <c r="O32682" s="11"/>
      <c r="P32682" s="11"/>
    </row>
    <row r="32683" spans="8:16" x14ac:dyDescent="0.25">
      <c r="H32683" s="12"/>
      <c r="I32683" s="12"/>
      <c r="J32683" s="12"/>
      <c r="K32683" s="12"/>
      <c r="L32683" s="12"/>
      <c r="M32683" s="11"/>
      <c r="N32683" s="11"/>
      <c r="O32683" s="11"/>
      <c r="P32683" s="11"/>
    </row>
    <row r="32684" spans="8:16" x14ac:dyDescent="0.25">
      <c r="H32684" s="12"/>
      <c r="I32684" s="12"/>
      <c r="J32684" s="12"/>
      <c r="K32684" s="12"/>
      <c r="L32684" s="12"/>
      <c r="M32684" s="11"/>
      <c r="N32684" s="11"/>
      <c r="O32684" s="11"/>
      <c r="P32684" s="11"/>
    </row>
    <row r="32685" spans="8:16" x14ac:dyDescent="0.25">
      <c r="H32685" s="12"/>
      <c r="I32685" s="12"/>
      <c r="J32685" s="12"/>
      <c r="K32685" s="12"/>
      <c r="L32685" s="12"/>
      <c r="M32685" s="11"/>
      <c r="N32685" s="11"/>
      <c r="O32685" s="11"/>
      <c r="P32685" s="11"/>
    </row>
    <row r="32686" spans="8:16" x14ac:dyDescent="0.25">
      <c r="H32686" s="12"/>
      <c r="I32686" s="12"/>
      <c r="J32686" s="12"/>
      <c r="K32686" s="12"/>
      <c r="L32686" s="12"/>
      <c r="M32686" s="11"/>
      <c r="N32686" s="11"/>
      <c r="O32686" s="11"/>
      <c r="P32686" s="11"/>
    </row>
    <row r="32687" spans="8:16" x14ac:dyDescent="0.25">
      <c r="H32687" s="12"/>
      <c r="I32687" s="12"/>
      <c r="J32687" s="12"/>
      <c r="K32687" s="12"/>
      <c r="L32687" s="12"/>
      <c r="M32687" s="11"/>
      <c r="N32687" s="11"/>
      <c r="O32687" s="11"/>
      <c r="P32687" s="11"/>
    </row>
    <row r="32688" spans="8:16" x14ac:dyDescent="0.25">
      <c r="H32688" s="12"/>
      <c r="I32688" s="12"/>
      <c r="J32688" s="12"/>
      <c r="K32688" s="12"/>
      <c r="L32688" s="12"/>
      <c r="M32688" s="11"/>
      <c r="N32688" s="11"/>
      <c r="O32688" s="11"/>
      <c r="P32688" s="11"/>
    </row>
    <row r="32689" spans="8:16" x14ac:dyDescent="0.25">
      <c r="H32689" s="12"/>
      <c r="I32689" s="12"/>
      <c r="J32689" s="12"/>
      <c r="K32689" s="12"/>
      <c r="L32689" s="12"/>
      <c r="M32689" s="11"/>
      <c r="N32689" s="11"/>
      <c r="O32689" s="11"/>
      <c r="P32689" s="11"/>
    </row>
    <row r="32690" spans="8:16" x14ac:dyDescent="0.25">
      <c r="H32690" s="12"/>
      <c r="I32690" s="12"/>
      <c r="J32690" s="12"/>
      <c r="K32690" s="12"/>
      <c r="L32690" s="12"/>
      <c r="M32690" s="11"/>
      <c r="N32690" s="11"/>
      <c r="O32690" s="11"/>
      <c r="P32690" s="11"/>
    </row>
    <row r="32691" spans="8:16" x14ac:dyDescent="0.25">
      <c r="H32691" s="12"/>
      <c r="I32691" s="12"/>
      <c r="J32691" s="12"/>
      <c r="K32691" s="12"/>
      <c r="L32691" s="12"/>
      <c r="M32691" s="11"/>
      <c r="N32691" s="11"/>
      <c r="O32691" s="11"/>
      <c r="P32691" s="11"/>
    </row>
    <row r="32692" spans="8:16" x14ac:dyDescent="0.25">
      <c r="H32692" s="12"/>
      <c r="I32692" s="12"/>
      <c r="J32692" s="12"/>
      <c r="K32692" s="12"/>
      <c r="L32692" s="12"/>
      <c r="M32692" s="11"/>
      <c r="N32692" s="11"/>
      <c r="O32692" s="11"/>
      <c r="P32692" s="11"/>
    </row>
    <row r="32693" spans="8:16" x14ac:dyDescent="0.25">
      <c r="H32693" s="12"/>
      <c r="I32693" s="12"/>
      <c r="J32693" s="12"/>
      <c r="K32693" s="12"/>
      <c r="L32693" s="12"/>
      <c r="M32693" s="11"/>
      <c r="N32693" s="11"/>
      <c r="O32693" s="11"/>
      <c r="P32693" s="11"/>
    </row>
    <row r="32694" spans="8:16" x14ac:dyDescent="0.25">
      <c r="H32694" s="12"/>
      <c r="I32694" s="12"/>
      <c r="J32694" s="12"/>
      <c r="K32694" s="12"/>
      <c r="L32694" s="12"/>
      <c r="M32694" s="11"/>
      <c r="N32694" s="11"/>
      <c r="O32694" s="11"/>
      <c r="P32694" s="11"/>
    </row>
    <row r="32695" spans="8:16" x14ac:dyDescent="0.25">
      <c r="H32695" s="12"/>
      <c r="I32695" s="12"/>
      <c r="J32695" s="12"/>
      <c r="K32695" s="12"/>
      <c r="L32695" s="12"/>
      <c r="M32695" s="11"/>
      <c r="N32695" s="11"/>
      <c r="O32695" s="11"/>
      <c r="P32695" s="11"/>
    </row>
    <row r="32696" spans="8:16" x14ac:dyDescent="0.25">
      <c r="H32696" s="12"/>
      <c r="I32696" s="12"/>
      <c r="J32696" s="12"/>
      <c r="K32696" s="12"/>
      <c r="L32696" s="12"/>
      <c r="M32696" s="11"/>
      <c r="N32696" s="11"/>
      <c r="O32696" s="11"/>
      <c r="P32696" s="11"/>
    </row>
    <row r="32697" spans="8:16" x14ac:dyDescent="0.25">
      <c r="H32697" s="12"/>
      <c r="I32697" s="12"/>
      <c r="J32697" s="12"/>
      <c r="K32697" s="12"/>
      <c r="L32697" s="12"/>
      <c r="M32697" s="11"/>
      <c r="N32697" s="11"/>
      <c r="O32697" s="11"/>
      <c r="P32697" s="11"/>
    </row>
    <row r="32698" spans="8:16" x14ac:dyDescent="0.25">
      <c r="H32698" s="12"/>
      <c r="I32698" s="12"/>
      <c r="J32698" s="12"/>
      <c r="K32698" s="12"/>
      <c r="L32698" s="12"/>
      <c r="M32698" s="11"/>
      <c r="N32698" s="11"/>
      <c r="O32698" s="11"/>
      <c r="P32698" s="11"/>
    </row>
    <row r="32699" spans="8:16" x14ac:dyDescent="0.25">
      <c r="H32699" s="12"/>
      <c r="I32699" s="12"/>
      <c r="J32699" s="12"/>
      <c r="K32699" s="12"/>
      <c r="L32699" s="12"/>
      <c r="M32699" s="11"/>
      <c r="N32699" s="11"/>
      <c r="O32699" s="11"/>
      <c r="P32699" s="11"/>
    </row>
    <row r="32700" spans="8:16" x14ac:dyDescent="0.25">
      <c r="H32700" s="12"/>
      <c r="I32700" s="12"/>
      <c r="J32700" s="12"/>
      <c r="K32700" s="12"/>
      <c r="L32700" s="12"/>
      <c r="M32700" s="11"/>
      <c r="N32700" s="11"/>
      <c r="O32700" s="11"/>
      <c r="P32700" s="11"/>
    </row>
    <row r="32701" spans="8:16" x14ac:dyDescent="0.25">
      <c r="H32701" s="12"/>
      <c r="I32701" s="12"/>
      <c r="J32701" s="12"/>
      <c r="K32701" s="12"/>
      <c r="L32701" s="12"/>
      <c r="M32701" s="11"/>
      <c r="N32701" s="11"/>
      <c r="O32701" s="11"/>
      <c r="P32701" s="11"/>
    </row>
    <row r="32702" spans="8:16" x14ac:dyDescent="0.25">
      <c r="H32702" s="12"/>
      <c r="I32702" s="12"/>
      <c r="J32702" s="12"/>
      <c r="K32702" s="12"/>
      <c r="L32702" s="12"/>
      <c r="M32702" s="11"/>
      <c r="N32702" s="11"/>
      <c r="O32702" s="11"/>
      <c r="P32702" s="11"/>
    </row>
    <row r="32703" spans="8:16" x14ac:dyDescent="0.25">
      <c r="H32703" s="12"/>
      <c r="I32703" s="12"/>
      <c r="J32703" s="12"/>
      <c r="K32703" s="12"/>
      <c r="L32703" s="12"/>
      <c r="M32703" s="11"/>
      <c r="N32703" s="11"/>
      <c r="O32703" s="11"/>
      <c r="P32703" s="11"/>
    </row>
    <row r="32704" spans="8:16" x14ac:dyDescent="0.25">
      <c r="H32704" s="12"/>
      <c r="I32704" s="12"/>
      <c r="J32704" s="12"/>
      <c r="K32704" s="12"/>
      <c r="L32704" s="12"/>
      <c r="M32704" s="11"/>
      <c r="N32704" s="11"/>
      <c r="O32704" s="11"/>
      <c r="P32704" s="11"/>
    </row>
    <row r="32705" spans="8:16" x14ac:dyDescent="0.25">
      <c r="H32705" s="12"/>
      <c r="I32705" s="12"/>
      <c r="J32705" s="12"/>
      <c r="K32705" s="12"/>
      <c r="L32705" s="12"/>
      <c r="M32705" s="11"/>
      <c r="N32705" s="11"/>
      <c r="O32705" s="11"/>
      <c r="P32705" s="11"/>
    </row>
    <row r="32706" spans="8:16" x14ac:dyDescent="0.25">
      <c r="H32706" s="12"/>
      <c r="I32706" s="12"/>
      <c r="J32706" s="12"/>
      <c r="K32706" s="12"/>
      <c r="L32706" s="12"/>
      <c r="M32706" s="11"/>
      <c r="N32706" s="11"/>
      <c r="O32706" s="11"/>
      <c r="P32706" s="11"/>
    </row>
    <row r="32707" spans="8:16" x14ac:dyDescent="0.25">
      <c r="H32707" s="12"/>
      <c r="I32707" s="12"/>
      <c r="J32707" s="12"/>
      <c r="K32707" s="12"/>
      <c r="L32707" s="12"/>
      <c r="M32707" s="11"/>
      <c r="N32707" s="11"/>
      <c r="O32707" s="11"/>
      <c r="P32707" s="11"/>
    </row>
    <row r="32708" spans="8:16" x14ac:dyDescent="0.25">
      <c r="H32708" s="12"/>
      <c r="I32708" s="12"/>
      <c r="J32708" s="12"/>
      <c r="K32708" s="12"/>
      <c r="L32708" s="12"/>
      <c r="M32708" s="11"/>
      <c r="N32708" s="11"/>
      <c r="O32708" s="11"/>
      <c r="P32708" s="11"/>
    </row>
    <row r="32709" spans="8:16" x14ac:dyDescent="0.25">
      <c r="H32709" s="12"/>
      <c r="I32709" s="12"/>
      <c r="J32709" s="12"/>
      <c r="K32709" s="12"/>
      <c r="L32709" s="12"/>
      <c r="M32709" s="11"/>
      <c r="N32709" s="11"/>
      <c r="O32709" s="11"/>
      <c r="P32709" s="11"/>
    </row>
    <row r="32710" spans="8:16" x14ac:dyDescent="0.25">
      <c r="H32710" s="12"/>
      <c r="I32710" s="12"/>
      <c r="J32710" s="12"/>
      <c r="K32710" s="12"/>
      <c r="L32710" s="12"/>
      <c r="M32710" s="11"/>
      <c r="N32710" s="11"/>
      <c r="O32710" s="11"/>
      <c r="P32710" s="11"/>
    </row>
    <row r="32711" spans="8:16" x14ac:dyDescent="0.25">
      <c r="H32711" s="12"/>
      <c r="I32711" s="12"/>
      <c r="J32711" s="12"/>
      <c r="K32711" s="12"/>
      <c r="L32711" s="12"/>
      <c r="M32711" s="11"/>
      <c r="N32711" s="11"/>
      <c r="O32711" s="11"/>
      <c r="P32711" s="11"/>
    </row>
    <row r="32712" spans="8:16" x14ac:dyDescent="0.25">
      <c r="H32712" s="12"/>
      <c r="I32712" s="12"/>
      <c r="J32712" s="12"/>
      <c r="K32712" s="12"/>
      <c r="L32712" s="12"/>
      <c r="M32712" s="11"/>
      <c r="N32712" s="11"/>
      <c r="O32712" s="11"/>
      <c r="P32712" s="11"/>
    </row>
    <row r="32713" spans="8:16" x14ac:dyDescent="0.25">
      <c r="H32713" s="12"/>
      <c r="I32713" s="12"/>
      <c r="J32713" s="12"/>
      <c r="K32713" s="12"/>
      <c r="L32713" s="12"/>
      <c r="M32713" s="11"/>
      <c r="N32713" s="11"/>
      <c r="O32713" s="11"/>
      <c r="P32713" s="11"/>
    </row>
    <row r="32714" spans="8:16" x14ac:dyDescent="0.25">
      <c r="H32714" s="12"/>
      <c r="I32714" s="12"/>
      <c r="J32714" s="12"/>
      <c r="K32714" s="12"/>
      <c r="L32714" s="12"/>
      <c r="M32714" s="11"/>
      <c r="N32714" s="11"/>
      <c r="O32714" s="11"/>
      <c r="P32714" s="11"/>
    </row>
    <row r="32715" spans="8:16" x14ac:dyDescent="0.25">
      <c r="H32715" s="12"/>
      <c r="I32715" s="12"/>
      <c r="J32715" s="12"/>
      <c r="K32715" s="12"/>
      <c r="L32715" s="12"/>
      <c r="M32715" s="11"/>
      <c r="N32715" s="11"/>
      <c r="O32715" s="11"/>
      <c r="P32715" s="11"/>
    </row>
    <row r="32716" spans="8:16" x14ac:dyDescent="0.25">
      <c r="H32716" s="12"/>
      <c r="I32716" s="12"/>
      <c r="J32716" s="12"/>
      <c r="K32716" s="12"/>
      <c r="L32716" s="12"/>
      <c r="M32716" s="11"/>
      <c r="N32716" s="11"/>
      <c r="O32716" s="11"/>
      <c r="P32716" s="11"/>
    </row>
    <row r="32717" spans="8:16" x14ac:dyDescent="0.25">
      <c r="H32717" s="12"/>
      <c r="I32717" s="12"/>
      <c r="J32717" s="12"/>
      <c r="K32717" s="12"/>
      <c r="L32717" s="12"/>
      <c r="M32717" s="11"/>
      <c r="N32717" s="11"/>
      <c r="O32717" s="11"/>
      <c r="P32717" s="11"/>
    </row>
    <row r="32718" spans="8:16" x14ac:dyDescent="0.25">
      <c r="H32718" s="12"/>
      <c r="I32718" s="12"/>
      <c r="J32718" s="12"/>
      <c r="K32718" s="12"/>
      <c r="L32718" s="12"/>
      <c r="M32718" s="11"/>
      <c r="N32718" s="11"/>
      <c r="O32718" s="11"/>
      <c r="P32718" s="11"/>
    </row>
    <row r="32719" spans="8:16" x14ac:dyDescent="0.25">
      <c r="H32719" s="12"/>
      <c r="I32719" s="12"/>
      <c r="J32719" s="12"/>
      <c r="K32719" s="12"/>
      <c r="L32719" s="12"/>
      <c r="M32719" s="11"/>
      <c r="N32719" s="11"/>
      <c r="O32719" s="11"/>
      <c r="P32719" s="11"/>
    </row>
    <row r="32720" spans="8:16" x14ac:dyDescent="0.25">
      <c r="H32720" s="12"/>
      <c r="I32720" s="12"/>
      <c r="J32720" s="12"/>
      <c r="K32720" s="12"/>
      <c r="L32720" s="12"/>
      <c r="M32720" s="11"/>
      <c r="N32720" s="11"/>
      <c r="O32720" s="11"/>
      <c r="P32720" s="11"/>
    </row>
    <row r="32721" spans="8:16" x14ac:dyDescent="0.25">
      <c r="H32721" s="12"/>
      <c r="I32721" s="12"/>
      <c r="J32721" s="12"/>
      <c r="K32721" s="12"/>
      <c r="L32721" s="12"/>
      <c r="M32721" s="11"/>
      <c r="N32721" s="11"/>
      <c r="O32721" s="11"/>
      <c r="P32721" s="11"/>
    </row>
    <row r="32722" spans="8:16" x14ac:dyDescent="0.25">
      <c r="H32722" s="12"/>
      <c r="I32722" s="12"/>
      <c r="J32722" s="12"/>
      <c r="K32722" s="12"/>
      <c r="L32722" s="12"/>
      <c r="M32722" s="11"/>
      <c r="N32722" s="11"/>
      <c r="O32722" s="11"/>
      <c r="P32722" s="11"/>
    </row>
    <row r="32723" spans="8:16" x14ac:dyDescent="0.25">
      <c r="H32723" s="12"/>
      <c r="I32723" s="12"/>
      <c r="J32723" s="12"/>
      <c r="K32723" s="12"/>
      <c r="L32723" s="12"/>
      <c r="M32723" s="11"/>
      <c r="N32723" s="11"/>
      <c r="O32723" s="11"/>
      <c r="P32723" s="11"/>
    </row>
    <row r="32724" spans="8:16" x14ac:dyDescent="0.25">
      <c r="H32724" s="12"/>
      <c r="I32724" s="12"/>
      <c r="J32724" s="12"/>
      <c r="K32724" s="12"/>
      <c r="L32724" s="12"/>
      <c r="M32724" s="11"/>
      <c r="N32724" s="11"/>
      <c r="O32724" s="11"/>
      <c r="P32724" s="11"/>
    </row>
    <row r="32725" spans="8:16" x14ac:dyDescent="0.25">
      <c r="H32725" s="12"/>
      <c r="I32725" s="12"/>
      <c r="J32725" s="12"/>
      <c r="K32725" s="12"/>
      <c r="L32725" s="12"/>
      <c r="M32725" s="11"/>
      <c r="N32725" s="11"/>
      <c r="O32725" s="11"/>
      <c r="P32725" s="11"/>
    </row>
    <row r="32726" spans="8:16" x14ac:dyDescent="0.25">
      <c r="H32726" s="12"/>
      <c r="I32726" s="12"/>
      <c r="J32726" s="12"/>
      <c r="K32726" s="12"/>
      <c r="L32726" s="12"/>
      <c r="M32726" s="11"/>
      <c r="N32726" s="11"/>
      <c r="O32726" s="11"/>
      <c r="P32726" s="11"/>
    </row>
    <row r="32727" spans="8:16" x14ac:dyDescent="0.25">
      <c r="H32727" s="12"/>
      <c r="I32727" s="12"/>
      <c r="J32727" s="12"/>
      <c r="K32727" s="12"/>
      <c r="L32727" s="12"/>
      <c r="M32727" s="11"/>
      <c r="N32727" s="11"/>
      <c r="O32727" s="11"/>
      <c r="P32727" s="11"/>
    </row>
    <row r="32728" spans="8:16" x14ac:dyDescent="0.25">
      <c r="H32728" s="12"/>
      <c r="I32728" s="12"/>
      <c r="J32728" s="12"/>
      <c r="K32728" s="12"/>
      <c r="L32728" s="12"/>
      <c r="M32728" s="11"/>
      <c r="N32728" s="11"/>
      <c r="O32728" s="11"/>
      <c r="P32728" s="11"/>
    </row>
    <row r="32729" spans="8:16" x14ac:dyDescent="0.25">
      <c r="H32729" s="12"/>
      <c r="I32729" s="12"/>
      <c r="J32729" s="12"/>
      <c r="K32729" s="12"/>
      <c r="L32729" s="12"/>
      <c r="M32729" s="11"/>
      <c r="N32729" s="11"/>
      <c r="O32729" s="11"/>
      <c r="P32729" s="11"/>
    </row>
    <row r="32730" spans="8:16" x14ac:dyDescent="0.25">
      <c r="H32730" s="12"/>
      <c r="I32730" s="12"/>
      <c r="J32730" s="12"/>
      <c r="K32730" s="12"/>
      <c r="L32730" s="12"/>
      <c r="M32730" s="11"/>
      <c r="N32730" s="11"/>
      <c r="O32730" s="11"/>
      <c r="P32730" s="11"/>
    </row>
    <row r="32731" spans="8:16" x14ac:dyDescent="0.25">
      <c r="H32731" s="12"/>
      <c r="I32731" s="12"/>
      <c r="J32731" s="12"/>
      <c r="K32731" s="12"/>
      <c r="L32731" s="12"/>
      <c r="M32731" s="11"/>
      <c r="N32731" s="11"/>
      <c r="O32731" s="11"/>
      <c r="P32731" s="11"/>
    </row>
    <row r="32732" spans="8:16" x14ac:dyDescent="0.25">
      <c r="H32732" s="12"/>
      <c r="I32732" s="12"/>
      <c r="J32732" s="12"/>
      <c r="K32732" s="12"/>
      <c r="L32732" s="12"/>
      <c r="M32732" s="11"/>
      <c r="N32732" s="11"/>
      <c r="O32732" s="11"/>
      <c r="P32732" s="11"/>
    </row>
    <row r="32733" spans="8:16" x14ac:dyDescent="0.25">
      <c r="H32733" s="12"/>
      <c r="I32733" s="12"/>
      <c r="J32733" s="12"/>
      <c r="K32733" s="12"/>
      <c r="L32733" s="12"/>
      <c r="M32733" s="11"/>
      <c r="N32733" s="11"/>
      <c r="O32733" s="11"/>
      <c r="P32733" s="11"/>
    </row>
    <row r="32734" spans="8:16" x14ac:dyDescent="0.25">
      <c r="H32734" s="12"/>
      <c r="I32734" s="12"/>
      <c r="J32734" s="12"/>
      <c r="K32734" s="12"/>
      <c r="L32734" s="12"/>
      <c r="M32734" s="11"/>
      <c r="N32734" s="11"/>
      <c r="O32734" s="11"/>
      <c r="P32734" s="11"/>
    </row>
    <row r="32735" spans="8:16" x14ac:dyDescent="0.25">
      <c r="H32735" s="12"/>
      <c r="I32735" s="12"/>
      <c r="J32735" s="12"/>
      <c r="K32735" s="12"/>
      <c r="L32735" s="12"/>
      <c r="M32735" s="11"/>
      <c r="N32735" s="11"/>
      <c r="O32735" s="11"/>
      <c r="P32735" s="11"/>
    </row>
    <row r="32736" spans="8:16" x14ac:dyDescent="0.25">
      <c r="H32736" s="12"/>
      <c r="I32736" s="12"/>
      <c r="J32736" s="12"/>
      <c r="K32736" s="12"/>
      <c r="L32736" s="12"/>
      <c r="M32736" s="11"/>
      <c r="N32736" s="11"/>
      <c r="O32736" s="11"/>
      <c r="P32736" s="11"/>
    </row>
    <row r="32737" spans="8:16" x14ac:dyDescent="0.25">
      <c r="H32737" s="12"/>
      <c r="I32737" s="12"/>
      <c r="J32737" s="12"/>
      <c r="K32737" s="12"/>
      <c r="L32737" s="12"/>
      <c r="M32737" s="11"/>
      <c r="N32737" s="11"/>
      <c r="O32737" s="11"/>
      <c r="P32737" s="11"/>
    </row>
    <row r="32738" spans="8:16" x14ac:dyDescent="0.25">
      <c r="H32738" s="12"/>
      <c r="I32738" s="12"/>
      <c r="J32738" s="12"/>
      <c r="K32738" s="12"/>
      <c r="L32738" s="12"/>
      <c r="M32738" s="11"/>
      <c r="N32738" s="11"/>
      <c r="O32738" s="11"/>
      <c r="P32738" s="11"/>
    </row>
    <row r="32739" spans="8:16" x14ac:dyDescent="0.25">
      <c r="H32739" s="12"/>
      <c r="I32739" s="12"/>
      <c r="J32739" s="12"/>
      <c r="K32739" s="12"/>
      <c r="L32739" s="12"/>
      <c r="M32739" s="11"/>
      <c r="N32739" s="11"/>
      <c r="O32739" s="11"/>
      <c r="P32739" s="11"/>
    </row>
    <row r="32740" spans="8:16" x14ac:dyDescent="0.25">
      <c r="H32740" s="12"/>
      <c r="I32740" s="12"/>
      <c r="J32740" s="12"/>
      <c r="K32740" s="12"/>
      <c r="L32740" s="12"/>
      <c r="M32740" s="11"/>
      <c r="N32740" s="11"/>
      <c r="O32740" s="11"/>
      <c r="P32740" s="11"/>
    </row>
    <row r="32741" spans="8:16" x14ac:dyDescent="0.25">
      <c r="H32741" s="12"/>
      <c r="I32741" s="12"/>
      <c r="J32741" s="12"/>
      <c r="K32741" s="12"/>
      <c r="L32741" s="12"/>
      <c r="M32741" s="11"/>
      <c r="N32741" s="11"/>
      <c r="O32741" s="11"/>
      <c r="P32741" s="11"/>
    </row>
    <row r="32742" spans="8:16" x14ac:dyDescent="0.25">
      <c r="H32742" s="12"/>
      <c r="I32742" s="12"/>
      <c r="J32742" s="12"/>
      <c r="K32742" s="12"/>
      <c r="L32742" s="12"/>
      <c r="M32742" s="11"/>
      <c r="N32742" s="11"/>
      <c r="O32742" s="11"/>
      <c r="P32742" s="11"/>
    </row>
    <row r="32743" spans="8:16" x14ac:dyDescent="0.25">
      <c r="H32743" s="12"/>
      <c r="I32743" s="12"/>
      <c r="J32743" s="12"/>
      <c r="K32743" s="12"/>
      <c r="L32743" s="12"/>
      <c r="M32743" s="11"/>
      <c r="N32743" s="11"/>
      <c r="O32743" s="11"/>
      <c r="P32743" s="11"/>
    </row>
    <row r="32744" spans="8:16" x14ac:dyDescent="0.25">
      <c r="H32744" s="12"/>
      <c r="I32744" s="12"/>
      <c r="J32744" s="12"/>
      <c r="K32744" s="12"/>
      <c r="L32744" s="12"/>
      <c r="M32744" s="11"/>
      <c r="N32744" s="11"/>
      <c r="O32744" s="11"/>
      <c r="P32744" s="11"/>
    </row>
    <row r="32745" spans="8:16" x14ac:dyDescent="0.25">
      <c r="H32745" s="12"/>
      <c r="I32745" s="12"/>
      <c r="J32745" s="12"/>
      <c r="K32745" s="12"/>
      <c r="L32745" s="12"/>
      <c r="M32745" s="11"/>
      <c r="N32745" s="11"/>
      <c r="O32745" s="11"/>
      <c r="P32745" s="11"/>
    </row>
    <row r="32746" spans="8:16" x14ac:dyDescent="0.25">
      <c r="H32746" s="12"/>
      <c r="I32746" s="12"/>
      <c r="J32746" s="12"/>
      <c r="K32746" s="12"/>
      <c r="L32746" s="12"/>
      <c r="M32746" s="11"/>
      <c r="N32746" s="11"/>
      <c r="O32746" s="11"/>
      <c r="P32746" s="11"/>
    </row>
    <row r="32747" spans="8:16" x14ac:dyDescent="0.25">
      <c r="H32747" s="12"/>
      <c r="I32747" s="12"/>
      <c r="J32747" s="12"/>
      <c r="K32747" s="12"/>
      <c r="L32747" s="12"/>
      <c r="M32747" s="11"/>
      <c r="N32747" s="11"/>
      <c r="O32747" s="11"/>
      <c r="P32747" s="11"/>
    </row>
    <row r="32748" spans="8:16" x14ac:dyDescent="0.25">
      <c r="H32748" s="12"/>
      <c r="I32748" s="12"/>
      <c r="J32748" s="12"/>
      <c r="K32748" s="12"/>
      <c r="L32748" s="12"/>
      <c r="M32748" s="11"/>
      <c r="N32748" s="11"/>
      <c r="O32748" s="11"/>
      <c r="P32748" s="11"/>
    </row>
    <row r="32749" spans="8:16" x14ac:dyDescent="0.25">
      <c r="H32749" s="12"/>
      <c r="I32749" s="12"/>
      <c r="J32749" s="12"/>
      <c r="K32749" s="12"/>
      <c r="L32749" s="12"/>
      <c r="M32749" s="11"/>
      <c r="N32749" s="11"/>
      <c r="O32749" s="11"/>
      <c r="P32749" s="11"/>
    </row>
    <row r="32750" spans="8:16" x14ac:dyDescent="0.25">
      <c r="H32750" s="12"/>
      <c r="I32750" s="12"/>
      <c r="J32750" s="12"/>
      <c r="K32750" s="12"/>
      <c r="L32750" s="12"/>
      <c r="M32750" s="11"/>
      <c r="N32750" s="11"/>
      <c r="O32750" s="11"/>
      <c r="P32750" s="11"/>
    </row>
    <row r="32751" spans="8:16" x14ac:dyDescent="0.25">
      <c r="H32751" s="12"/>
      <c r="I32751" s="12"/>
      <c r="J32751" s="12"/>
      <c r="K32751" s="12"/>
      <c r="L32751" s="12"/>
      <c r="M32751" s="11"/>
      <c r="N32751" s="11"/>
      <c r="O32751" s="11"/>
      <c r="P32751" s="11"/>
    </row>
    <row r="32752" spans="8:16" x14ac:dyDescent="0.25">
      <c r="H32752" s="12"/>
      <c r="I32752" s="12"/>
      <c r="J32752" s="12"/>
      <c r="K32752" s="12"/>
      <c r="L32752" s="12"/>
      <c r="M32752" s="11"/>
      <c r="N32752" s="11"/>
      <c r="O32752" s="11"/>
      <c r="P32752" s="11"/>
    </row>
    <row r="32753" spans="8:16" x14ac:dyDescent="0.25">
      <c r="H32753" s="12"/>
      <c r="I32753" s="12"/>
      <c r="J32753" s="12"/>
      <c r="K32753" s="12"/>
      <c r="L32753" s="12"/>
      <c r="M32753" s="11"/>
      <c r="N32753" s="11"/>
      <c r="O32753" s="11"/>
      <c r="P32753" s="11"/>
    </row>
    <row r="32754" spans="8:16" x14ac:dyDescent="0.25">
      <c r="H32754" s="12"/>
      <c r="I32754" s="12"/>
      <c r="J32754" s="12"/>
      <c r="K32754" s="12"/>
      <c r="L32754" s="12"/>
      <c r="M32754" s="11"/>
      <c r="N32754" s="11"/>
      <c r="O32754" s="11"/>
      <c r="P32754" s="11"/>
    </row>
    <row r="32755" spans="8:16" x14ac:dyDescent="0.25">
      <c r="H32755" s="12"/>
      <c r="I32755" s="12"/>
      <c r="J32755" s="12"/>
      <c r="K32755" s="12"/>
      <c r="L32755" s="12"/>
      <c r="M32755" s="11"/>
      <c r="N32755" s="11"/>
      <c r="O32755" s="11"/>
      <c r="P32755" s="11"/>
    </row>
    <row r="32756" spans="8:16" x14ac:dyDescent="0.25">
      <c r="H32756" s="12"/>
      <c r="I32756" s="12"/>
      <c r="J32756" s="12"/>
      <c r="K32756" s="12"/>
      <c r="L32756" s="12"/>
      <c r="M32756" s="11"/>
      <c r="N32756" s="11"/>
      <c r="O32756" s="11"/>
      <c r="P32756" s="11"/>
    </row>
    <row r="32757" spans="8:16" x14ac:dyDescent="0.25">
      <c r="H32757" s="12"/>
      <c r="I32757" s="12"/>
      <c r="J32757" s="12"/>
      <c r="K32757" s="12"/>
      <c r="L32757" s="12"/>
      <c r="M32757" s="11"/>
      <c r="N32757" s="11"/>
      <c r="O32757" s="11"/>
      <c r="P32757" s="11"/>
    </row>
    <row r="32758" spans="8:16" x14ac:dyDescent="0.25">
      <c r="H32758" s="12"/>
      <c r="I32758" s="12"/>
      <c r="J32758" s="12"/>
      <c r="K32758" s="12"/>
      <c r="L32758" s="12"/>
      <c r="M32758" s="11"/>
      <c r="N32758" s="11"/>
      <c r="O32758" s="11"/>
      <c r="P32758" s="11"/>
    </row>
    <row r="32759" spans="8:16" x14ac:dyDescent="0.25">
      <c r="H32759" s="12"/>
      <c r="I32759" s="12"/>
      <c r="J32759" s="12"/>
      <c r="K32759" s="12"/>
      <c r="L32759" s="12"/>
      <c r="M32759" s="11"/>
      <c r="N32759" s="11"/>
      <c r="O32759" s="11"/>
      <c r="P32759" s="11"/>
    </row>
    <row r="32760" spans="8:16" x14ac:dyDescent="0.25">
      <c r="H32760" s="12"/>
      <c r="I32760" s="12"/>
      <c r="J32760" s="12"/>
      <c r="K32760" s="12"/>
      <c r="L32760" s="12"/>
      <c r="M32760" s="11"/>
      <c r="N32760" s="11"/>
      <c r="O32760" s="11"/>
      <c r="P32760" s="11"/>
    </row>
    <row r="32761" spans="8:16" x14ac:dyDescent="0.25">
      <c r="H32761" s="12"/>
      <c r="I32761" s="12"/>
      <c r="J32761" s="12"/>
      <c r="K32761" s="12"/>
      <c r="L32761" s="12"/>
      <c r="M32761" s="11"/>
      <c r="N32761" s="11"/>
      <c r="O32761" s="11"/>
      <c r="P32761" s="11"/>
    </row>
    <row r="32762" spans="8:16" x14ac:dyDescent="0.25">
      <c r="H32762" s="12"/>
      <c r="I32762" s="12"/>
      <c r="J32762" s="12"/>
      <c r="K32762" s="12"/>
      <c r="L32762" s="12"/>
      <c r="M32762" s="11"/>
      <c r="N32762" s="11"/>
      <c r="O32762" s="11"/>
      <c r="P32762" s="11"/>
    </row>
    <row r="32763" spans="8:16" x14ac:dyDescent="0.25">
      <c r="H32763" s="12"/>
      <c r="I32763" s="12"/>
      <c r="J32763" s="12"/>
      <c r="K32763" s="12"/>
      <c r="L32763" s="12"/>
      <c r="M32763" s="11"/>
      <c r="N32763" s="11"/>
      <c r="O32763" s="11"/>
      <c r="P32763" s="11"/>
    </row>
    <row r="32764" spans="8:16" x14ac:dyDescent="0.25">
      <c r="H32764" s="12"/>
      <c r="I32764" s="12"/>
      <c r="J32764" s="12"/>
      <c r="K32764" s="12"/>
      <c r="L32764" s="12"/>
      <c r="M32764" s="11"/>
      <c r="N32764" s="11"/>
      <c r="O32764" s="11"/>
      <c r="P32764" s="11"/>
    </row>
    <row r="32765" spans="8:16" x14ac:dyDescent="0.25">
      <c r="H32765" s="12"/>
      <c r="I32765" s="12"/>
      <c r="J32765" s="12"/>
      <c r="K32765" s="12"/>
      <c r="L32765" s="12"/>
      <c r="M32765" s="11"/>
      <c r="N32765" s="11"/>
      <c r="O32765" s="11"/>
      <c r="P32765" s="11"/>
    </row>
    <row r="32766" spans="8:16" x14ac:dyDescent="0.25">
      <c r="H32766" s="12"/>
      <c r="I32766" s="12"/>
      <c r="J32766" s="12"/>
      <c r="K32766" s="12"/>
      <c r="L32766" s="12"/>
      <c r="M32766" s="11"/>
      <c r="N32766" s="11"/>
      <c r="O32766" s="11"/>
      <c r="P32766" s="11"/>
    </row>
    <row r="32767" spans="8:16" x14ac:dyDescent="0.25">
      <c r="H32767" s="12"/>
      <c r="I32767" s="12"/>
      <c r="J32767" s="12"/>
      <c r="K32767" s="12"/>
      <c r="L32767" s="12"/>
      <c r="M32767" s="11"/>
      <c r="N32767" s="11"/>
      <c r="O32767" s="11"/>
      <c r="P32767" s="11"/>
    </row>
    <row r="32768" spans="8:16" x14ac:dyDescent="0.25">
      <c r="H32768" s="12"/>
      <c r="I32768" s="12"/>
      <c r="J32768" s="12"/>
      <c r="K32768" s="12"/>
      <c r="L32768" s="12"/>
      <c r="M32768" s="11"/>
      <c r="N32768" s="11"/>
      <c r="O32768" s="11"/>
      <c r="P32768" s="11"/>
    </row>
    <row r="32769" spans="8:16" x14ac:dyDescent="0.25">
      <c r="H32769" s="12"/>
      <c r="I32769" s="12"/>
      <c r="J32769" s="12"/>
      <c r="K32769" s="12"/>
      <c r="L32769" s="12"/>
      <c r="M32769" s="11"/>
      <c r="N32769" s="11"/>
      <c r="O32769" s="11"/>
      <c r="P32769" s="11"/>
    </row>
    <row r="32770" spans="8:16" x14ac:dyDescent="0.25">
      <c r="H32770" s="12"/>
      <c r="I32770" s="12"/>
      <c r="J32770" s="12"/>
      <c r="K32770" s="12"/>
      <c r="L32770" s="12"/>
      <c r="M32770" s="11"/>
      <c r="N32770" s="11"/>
      <c r="O32770" s="11"/>
      <c r="P32770" s="11"/>
    </row>
    <row r="32771" spans="8:16" x14ac:dyDescent="0.25">
      <c r="H32771" s="12"/>
      <c r="I32771" s="12"/>
      <c r="J32771" s="12"/>
      <c r="K32771" s="12"/>
      <c r="L32771" s="12"/>
      <c r="M32771" s="11"/>
      <c r="N32771" s="11"/>
      <c r="O32771" s="11"/>
      <c r="P32771" s="11"/>
    </row>
    <row r="32772" spans="8:16" x14ac:dyDescent="0.25">
      <c r="H32772" s="12"/>
      <c r="I32772" s="12"/>
      <c r="J32772" s="12"/>
      <c r="K32772" s="12"/>
      <c r="L32772" s="12"/>
      <c r="M32772" s="11"/>
      <c r="N32772" s="11"/>
      <c r="O32772" s="11"/>
      <c r="P32772" s="11"/>
    </row>
    <row r="32773" spans="8:16" x14ac:dyDescent="0.25">
      <c r="H32773" s="12"/>
      <c r="I32773" s="12"/>
      <c r="J32773" s="12"/>
      <c r="K32773" s="12"/>
      <c r="L32773" s="12"/>
      <c r="M32773" s="11"/>
      <c r="N32773" s="11"/>
      <c r="O32773" s="11"/>
      <c r="P32773" s="11"/>
    </row>
    <row r="32774" spans="8:16" x14ac:dyDescent="0.25">
      <c r="H32774" s="12"/>
      <c r="I32774" s="12"/>
      <c r="J32774" s="12"/>
      <c r="K32774" s="12"/>
      <c r="L32774" s="12"/>
      <c r="M32774" s="11"/>
      <c r="N32774" s="11"/>
      <c r="O32774" s="11"/>
      <c r="P32774" s="11"/>
    </row>
    <row r="32775" spans="8:16" x14ac:dyDescent="0.25">
      <c r="H32775" s="12"/>
      <c r="I32775" s="12"/>
      <c r="J32775" s="12"/>
      <c r="K32775" s="12"/>
      <c r="L32775" s="12"/>
      <c r="M32775" s="11"/>
      <c r="N32775" s="11"/>
      <c r="O32775" s="11"/>
      <c r="P32775" s="11"/>
    </row>
    <row r="32776" spans="8:16" x14ac:dyDescent="0.25">
      <c r="H32776" s="12"/>
      <c r="I32776" s="12"/>
      <c r="J32776" s="12"/>
      <c r="K32776" s="12"/>
      <c r="L32776" s="12"/>
      <c r="M32776" s="11"/>
      <c r="N32776" s="11"/>
      <c r="O32776" s="11"/>
      <c r="P32776" s="11"/>
    </row>
    <row r="32777" spans="8:16" x14ac:dyDescent="0.25">
      <c r="H32777" s="12"/>
      <c r="I32777" s="12"/>
      <c r="J32777" s="12"/>
      <c r="K32777" s="12"/>
      <c r="L32777" s="12"/>
      <c r="M32777" s="11"/>
      <c r="N32777" s="11"/>
      <c r="O32777" s="11"/>
      <c r="P32777" s="11"/>
    </row>
    <row r="32778" spans="8:16" x14ac:dyDescent="0.25">
      <c r="H32778" s="12"/>
      <c r="I32778" s="12"/>
      <c r="J32778" s="12"/>
      <c r="K32778" s="12"/>
      <c r="L32778" s="12"/>
      <c r="M32778" s="11"/>
      <c r="N32778" s="11"/>
      <c r="O32778" s="11"/>
      <c r="P32778" s="11"/>
    </row>
    <row r="32779" spans="8:16" x14ac:dyDescent="0.25">
      <c r="H32779" s="12"/>
      <c r="I32779" s="12"/>
      <c r="J32779" s="12"/>
      <c r="K32779" s="12"/>
      <c r="L32779" s="12"/>
      <c r="M32779" s="11"/>
      <c r="N32779" s="11"/>
      <c r="O32779" s="11"/>
      <c r="P32779" s="11"/>
    </row>
    <row r="32780" spans="8:16" x14ac:dyDescent="0.25">
      <c r="H32780" s="12"/>
      <c r="I32780" s="12"/>
      <c r="J32780" s="12"/>
      <c r="K32780" s="12"/>
      <c r="L32780" s="12"/>
      <c r="M32780" s="11"/>
      <c r="N32780" s="11"/>
      <c r="O32780" s="11"/>
      <c r="P32780" s="11"/>
    </row>
    <row r="32781" spans="8:16" x14ac:dyDescent="0.25">
      <c r="H32781" s="12"/>
      <c r="I32781" s="12"/>
      <c r="J32781" s="12"/>
      <c r="K32781" s="12"/>
      <c r="L32781" s="12"/>
      <c r="M32781" s="11"/>
      <c r="N32781" s="11"/>
      <c r="O32781" s="11"/>
      <c r="P32781" s="11"/>
    </row>
    <row r="32782" spans="8:16" x14ac:dyDescent="0.25">
      <c r="H32782" s="12"/>
      <c r="I32782" s="12"/>
      <c r="J32782" s="12"/>
      <c r="K32782" s="12"/>
      <c r="L32782" s="12"/>
      <c r="M32782" s="11"/>
      <c r="N32782" s="11"/>
      <c r="O32782" s="11"/>
      <c r="P32782" s="11"/>
    </row>
    <row r="32783" spans="8:16" x14ac:dyDescent="0.25">
      <c r="H32783" s="12"/>
      <c r="I32783" s="12"/>
      <c r="J32783" s="12"/>
      <c r="K32783" s="12"/>
      <c r="L32783" s="12"/>
      <c r="M32783" s="11"/>
      <c r="N32783" s="11"/>
      <c r="O32783" s="11"/>
      <c r="P32783" s="11"/>
    </row>
    <row r="32784" spans="8:16" x14ac:dyDescent="0.25">
      <c r="H32784" s="12"/>
      <c r="I32784" s="12"/>
      <c r="J32784" s="12"/>
      <c r="K32784" s="12"/>
      <c r="L32784" s="12"/>
      <c r="M32784" s="11"/>
      <c r="N32784" s="11"/>
      <c r="O32784" s="11"/>
      <c r="P32784" s="11"/>
    </row>
    <row r="32785" spans="8:16" x14ac:dyDescent="0.25">
      <c r="H32785" s="12"/>
      <c r="I32785" s="12"/>
      <c r="J32785" s="12"/>
      <c r="K32785" s="12"/>
      <c r="L32785" s="12"/>
      <c r="M32785" s="11"/>
      <c r="N32785" s="11"/>
      <c r="O32785" s="11"/>
      <c r="P32785" s="11"/>
    </row>
    <row r="32786" spans="8:16" x14ac:dyDescent="0.25">
      <c r="H32786" s="12"/>
      <c r="I32786" s="12"/>
      <c r="J32786" s="12"/>
      <c r="K32786" s="12"/>
      <c r="L32786" s="12"/>
      <c r="M32786" s="11"/>
      <c r="N32786" s="11"/>
      <c r="O32786" s="11"/>
      <c r="P32786" s="11"/>
    </row>
    <row r="32787" spans="8:16" x14ac:dyDescent="0.25">
      <c r="H32787" s="12"/>
      <c r="I32787" s="12"/>
      <c r="J32787" s="12"/>
      <c r="K32787" s="12"/>
      <c r="L32787" s="12"/>
      <c r="M32787" s="11"/>
      <c r="N32787" s="11"/>
      <c r="O32787" s="11"/>
      <c r="P32787" s="11"/>
    </row>
    <row r="32788" spans="8:16" x14ac:dyDescent="0.25">
      <c r="H32788" s="12"/>
      <c r="I32788" s="12"/>
      <c r="J32788" s="12"/>
      <c r="K32788" s="12"/>
      <c r="L32788" s="12"/>
      <c r="M32788" s="11"/>
      <c r="N32788" s="11"/>
      <c r="O32788" s="11"/>
      <c r="P32788" s="11"/>
    </row>
    <row r="32789" spans="8:16" x14ac:dyDescent="0.25">
      <c r="H32789" s="12"/>
      <c r="I32789" s="12"/>
      <c r="J32789" s="12"/>
      <c r="K32789" s="12"/>
      <c r="L32789" s="12"/>
      <c r="M32789" s="11"/>
      <c r="N32789" s="11"/>
      <c r="O32789" s="11"/>
      <c r="P32789" s="11"/>
    </row>
    <row r="32790" spans="8:16" x14ac:dyDescent="0.25">
      <c r="H32790" s="12"/>
      <c r="I32790" s="12"/>
      <c r="J32790" s="12"/>
      <c r="K32790" s="12"/>
      <c r="L32790" s="12"/>
      <c r="M32790" s="11"/>
      <c r="N32790" s="11"/>
      <c r="O32790" s="11"/>
      <c r="P32790" s="11"/>
    </row>
    <row r="32791" spans="8:16" x14ac:dyDescent="0.25">
      <c r="H32791" s="12"/>
      <c r="I32791" s="12"/>
      <c r="J32791" s="12"/>
      <c r="K32791" s="12"/>
      <c r="L32791" s="12"/>
      <c r="M32791" s="11"/>
      <c r="N32791" s="11"/>
      <c r="O32791" s="11"/>
      <c r="P32791" s="11"/>
    </row>
    <row r="32792" spans="8:16" x14ac:dyDescent="0.25">
      <c r="H32792" s="12"/>
      <c r="I32792" s="12"/>
      <c r="J32792" s="12"/>
      <c r="K32792" s="12"/>
      <c r="L32792" s="12"/>
      <c r="M32792" s="11"/>
      <c r="N32792" s="11"/>
      <c r="O32792" s="11"/>
      <c r="P32792" s="11"/>
    </row>
    <row r="32793" spans="8:16" x14ac:dyDescent="0.25">
      <c r="H32793" s="12"/>
      <c r="I32793" s="12"/>
      <c r="J32793" s="12"/>
      <c r="K32793" s="12"/>
      <c r="L32793" s="12"/>
      <c r="M32793" s="11"/>
      <c r="N32793" s="11"/>
      <c r="O32793" s="11"/>
      <c r="P32793" s="11"/>
    </row>
    <row r="32794" spans="8:16" x14ac:dyDescent="0.25">
      <c r="H32794" s="12"/>
      <c r="I32794" s="12"/>
      <c r="J32794" s="12"/>
      <c r="K32794" s="12"/>
      <c r="L32794" s="12"/>
      <c r="M32794" s="11"/>
      <c r="N32794" s="11"/>
      <c r="O32794" s="11"/>
      <c r="P32794" s="11"/>
    </row>
    <row r="32795" spans="8:16" x14ac:dyDescent="0.25">
      <c r="H32795" s="12"/>
      <c r="I32795" s="12"/>
      <c r="J32795" s="12"/>
      <c r="K32795" s="12"/>
      <c r="L32795" s="12"/>
      <c r="M32795" s="11"/>
      <c r="N32795" s="11"/>
      <c r="O32795" s="11"/>
      <c r="P32795" s="11"/>
    </row>
    <row r="32796" spans="8:16" x14ac:dyDescent="0.25">
      <c r="H32796" s="12"/>
      <c r="I32796" s="12"/>
      <c r="J32796" s="12"/>
      <c r="K32796" s="12"/>
      <c r="L32796" s="12"/>
      <c r="M32796" s="11"/>
      <c r="N32796" s="11"/>
      <c r="O32796" s="11"/>
      <c r="P32796" s="11"/>
    </row>
    <row r="32797" spans="8:16" x14ac:dyDescent="0.25">
      <c r="H32797" s="12"/>
      <c r="I32797" s="12"/>
      <c r="J32797" s="12"/>
      <c r="K32797" s="12"/>
      <c r="L32797" s="12"/>
      <c r="M32797" s="11"/>
      <c r="N32797" s="11"/>
      <c r="O32797" s="11"/>
      <c r="P32797" s="11"/>
    </row>
    <row r="32798" spans="8:16" x14ac:dyDescent="0.25">
      <c r="H32798" s="12"/>
      <c r="I32798" s="12"/>
      <c r="J32798" s="12"/>
      <c r="K32798" s="12"/>
      <c r="L32798" s="12"/>
      <c r="M32798" s="11"/>
      <c r="N32798" s="11"/>
      <c r="O32798" s="11"/>
      <c r="P32798" s="11"/>
    </row>
    <row r="32799" spans="8:16" x14ac:dyDescent="0.25">
      <c r="H32799" s="12"/>
      <c r="I32799" s="12"/>
      <c r="J32799" s="12"/>
      <c r="K32799" s="12"/>
      <c r="L32799" s="12"/>
      <c r="M32799" s="11"/>
      <c r="N32799" s="11"/>
      <c r="O32799" s="11"/>
      <c r="P32799" s="11"/>
    </row>
    <row r="32800" spans="8:16" x14ac:dyDescent="0.25">
      <c r="H32800" s="12"/>
      <c r="I32800" s="12"/>
      <c r="J32800" s="12"/>
      <c r="K32800" s="12"/>
      <c r="L32800" s="12"/>
      <c r="M32800" s="11"/>
      <c r="N32800" s="11"/>
      <c r="O32800" s="11"/>
      <c r="P32800" s="11"/>
    </row>
    <row r="32801" spans="8:16" x14ac:dyDescent="0.25">
      <c r="H32801" s="12"/>
      <c r="I32801" s="12"/>
      <c r="J32801" s="12"/>
      <c r="K32801" s="12"/>
      <c r="L32801" s="12"/>
      <c r="M32801" s="11"/>
      <c r="N32801" s="11"/>
      <c r="O32801" s="11"/>
      <c r="P32801" s="11"/>
    </row>
    <row r="32802" spans="8:16" x14ac:dyDescent="0.25">
      <c r="H32802" s="12"/>
      <c r="I32802" s="12"/>
      <c r="J32802" s="12"/>
      <c r="K32802" s="12"/>
      <c r="L32802" s="12"/>
      <c r="M32802" s="11"/>
      <c r="N32802" s="11"/>
      <c r="O32802" s="11"/>
      <c r="P32802" s="11"/>
    </row>
    <row r="32803" spans="8:16" x14ac:dyDescent="0.25">
      <c r="H32803" s="12"/>
      <c r="I32803" s="12"/>
      <c r="J32803" s="12"/>
      <c r="K32803" s="12"/>
      <c r="L32803" s="12"/>
      <c r="M32803" s="11"/>
      <c r="N32803" s="11"/>
      <c r="O32803" s="11"/>
      <c r="P32803" s="11"/>
    </row>
    <row r="32804" spans="8:16" x14ac:dyDescent="0.25">
      <c r="H32804" s="12"/>
      <c r="I32804" s="12"/>
      <c r="J32804" s="12"/>
      <c r="K32804" s="12"/>
      <c r="L32804" s="12"/>
      <c r="M32804" s="11"/>
      <c r="N32804" s="11"/>
      <c r="O32804" s="11"/>
      <c r="P32804" s="11"/>
    </row>
    <row r="32805" spans="8:16" x14ac:dyDescent="0.25">
      <c r="H32805" s="12"/>
      <c r="I32805" s="12"/>
      <c r="J32805" s="12"/>
      <c r="K32805" s="12"/>
      <c r="L32805" s="12"/>
      <c r="M32805" s="11"/>
      <c r="N32805" s="11"/>
      <c r="O32805" s="11"/>
      <c r="P32805" s="11"/>
    </row>
    <row r="32806" spans="8:16" x14ac:dyDescent="0.25">
      <c r="H32806" s="12"/>
      <c r="I32806" s="12"/>
      <c r="J32806" s="12"/>
      <c r="K32806" s="12"/>
      <c r="L32806" s="12"/>
      <c r="M32806" s="11"/>
      <c r="N32806" s="11"/>
      <c r="O32806" s="11"/>
      <c r="P32806" s="11"/>
    </row>
    <row r="32807" spans="8:16" x14ac:dyDescent="0.25">
      <c r="H32807" s="12"/>
      <c r="I32807" s="12"/>
      <c r="J32807" s="12"/>
      <c r="K32807" s="12"/>
      <c r="L32807" s="12"/>
      <c r="M32807" s="11"/>
      <c r="N32807" s="11"/>
      <c r="O32807" s="11"/>
      <c r="P32807" s="11"/>
    </row>
    <row r="32808" spans="8:16" x14ac:dyDescent="0.25">
      <c r="H32808" s="12"/>
      <c r="I32808" s="12"/>
      <c r="J32808" s="12"/>
      <c r="K32808" s="12"/>
      <c r="L32808" s="12"/>
      <c r="M32808" s="11"/>
      <c r="N32808" s="11"/>
      <c r="O32808" s="11"/>
      <c r="P32808" s="11"/>
    </row>
    <row r="32809" spans="8:16" x14ac:dyDescent="0.25">
      <c r="H32809" s="12"/>
      <c r="I32809" s="12"/>
      <c r="J32809" s="12"/>
      <c r="K32809" s="12"/>
      <c r="L32809" s="12"/>
      <c r="M32809" s="11"/>
      <c r="N32809" s="11"/>
      <c r="O32809" s="11"/>
      <c r="P32809" s="11"/>
    </row>
    <row r="32810" spans="8:16" x14ac:dyDescent="0.25">
      <c r="H32810" s="12"/>
      <c r="I32810" s="12"/>
      <c r="J32810" s="12"/>
      <c r="K32810" s="12"/>
      <c r="L32810" s="12"/>
      <c r="M32810" s="11"/>
      <c r="N32810" s="11"/>
      <c r="O32810" s="11"/>
      <c r="P32810" s="11"/>
    </row>
    <row r="32811" spans="8:16" x14ac:dyDescent="0.25">
      <c r="H32811" s="12"/>
      <c r="I32811" s="12"/>
      <c r="J32811" s="12"/>
      <c r="K32811" s="12"/>
      <c r="L32811" s="12"/>
      <c r="M32811" s="11"/>
      <c r="N32811" s="11"/>
      <c r="O32811" s="11"/>
      <c r="P32811" s="11"/>
    </row>
    <row r="32812" spans="8:16" x14ac:dyDescent="0.25">
      <c r="H32812" s="12"/>
      <c r="I32812" s="12"/>
      <c r="J32812" s="12"/>
      <c r="K32812" s="12"/>
      <c r="L32812" s="12"/>
      <c r="M32812" s="11"/>
      <c r="N32812" s="11"/>
      <c r="O32812" s="11"/>
      <c r="P32812" s="11"/>
    </row>
    <row r="32813" spans="8:16" x14ac:dyDescent="0.25">
      <c r="H32813" s="12"/>
      <c r="I32813" s="12"/>
      <c r="J32813" s="12"/>
      <c r="K32813" s="12"/>
      <c r="L32813" s="12"/>
      <c r="M32813" s="11"/>
      <c r="N32813" s="11"/>
      <c r="O32813" s="11"/>
      <c r="P32813" s="11"/>
    </row>
    <row r="32814" spans="8:16" x14ac:dyDescent="0.25">
      <c r="H32814" s="12"/>
      <c r="I32814" s="12"/>
      <c r="J32814" s="12"/>
      <c r="K32814" s="12"/>
      <c r="L32814" s="12"/>
      <c r="M32814" s="11"/>
      <c r="N32814" s="11"/>
      <c r="O32814" s="11"/>
      <c r="P32814" s="11"/>
    </row>
    <row r="32815" spans="8:16" x14ac:dyDescent="0.25">
      <c r="H32815" s="12"/>
      <c r="I32815" s="12"/>
      <c r="J32815" s="12"/>
      <c r="K32815" s="12"/>
      <c r="L32815" s="12"/>
      <c r="M32815" s="11"/>
      <c r="N32815" s="11"/>
      <c r="O32815" s="11"/>
      <c r="P32815" s="11"/>
    </row>
    <row r="32816" spans="8:16" x14ac:dyDescent="0.25">
      <c r="H32816" s="12"/>
      <c r="I32816" s="12"/>
      <c r="J32816" s="12"/>
      <c r="K32816" s="12"/>
      <c r="L32816" s="12"/>
      <c r="M32816" s="11"/>
      <c r="N32816" s="11"/>
      <c r="O32816" s="11"/>
      <c r="P32816" s="11"/>
    </row>
    <row r="32817" spans="8:16" x14ac:dyDescent="0.25">
      <c r="H32817" s="12"/>
      <c r="I32817" s="12"/>
      <c r="J32817" s="12"/>
      <c r="K32817" s="12"/>
      <c r="L32817" s="12"/>
      <c r="M32817" s="11"/>
      <c r="N32817" s="11"/>
      <c r="O32817" s="11"/>
      <c r="P32817" s="11"/>
    </row>
    <row r="32818" spans="8:16" x14ac:dyDescent="0.25">
      <c r="H32818" s="12"/>
      <c r="I32818" s="12"/>
      <c r="J32818" s="12"/>
      <c r="K32818" s="12"/>
      <c r="L32818" s="12"/>
      <c r="M32818" s="11"/>
      <c r="N32818" s="11"/>
      <c r="O32818" s="11"/>
      <c r="P32818" s="11"/>
    </row>
    <row r="32819" spans="8:16" x14ac:dyDescent="0.25">
      <c r="H32819" s="12"/>
      <c r="I32819" s="12"/>
      <c r="J32819" s="12"/>
      <c r="K32819" s="12"/>
      <c r="L32819" s="12"/>
      <c r="M32819" s="11"/>
      <c r="N32819" s="11"/>
      <c r="O32819" s="11"/>
      <c r="P32819" s="11"/>
    </row>
    <row r="32820" spans="8:16" x14ac:dyDescent="0.25">
      <c r="H32820" s="12"/>
      <c r="I32820" s="12"/>
      <c r="J32820" s="12"/>
      <c r="K32820" s="12"/>
      <c r="L32820" s="12"/>
      <c r="M32820" s="11"/>
      <c r="N32820" s="11"/>
      <c r="O32820" s="11"/>
      <c r="P32820" s="11"/>
    </row>
    <row r="32821" spans="8:16" x14ac:dyDescent="0.25">
      <c r="H32821" s="12"/>
      <c r="I32821" s="12"/>
      <c r="J32821" s="12"/>
      <c r="K32821" s="12"/>
      <c r="L32821" s="12"/>
      <c r="M32821" s="11"/>
      <c r="N32821" s="11"/>
      <c r="O32821" s="11"/>
      <c r="P32821" s="11"/>
    </row>
    <row r="32822" spans="8:16" x14ac:dyDescent="0.25">
      <c r="H32822" s="12"/>
      <c r="I32822" s="12"/>
      <c r="J32822" s="12"/>
      <c r="K32822" s="12"/>
      <c r="L32822" s="12"/>
      <c r="M32822" s="11"/>
      <c r="N32822" s="11"/>
      <c r="O32822" s="11"/>
      <c r="P32822" s="11"/>
    </row>
    <row r="32823" spans="8:16" x14ac:dyDescent="0.25">
      <c r="H32823" s="12"/>
      <c r="I32823" s="12"/>
      <c r="J32823" s="12"/>
      <c r="K32823" s="12"/>
      <c r="L32823" s="12"/>
      <c r="M32823" s="11"/>
      <c r="N32823" s="11"/>
      <c r="O32823" s="11"/>
      <c r="P32823" s="11"/>
    </row>
    <row r="32824" spans="8:16" x14ac:dyDescent="0.25">
      <c r="H32824" s="12"/>
      <c r="I32824" s="12"/>
      <c r="J32824" s="12"/>
      <c r="K32824" s="12"/>
      <c r="L32824" s="12"/>
      <c r="M32824" s="11"/>
      <c r="N32824" s="11"/>
      <c r="O32824" s="11"/>
      <c r="P32824" s="11"/>
    </row>
    <row r="32825" spans="8:16" x14ac:dyDescent="0.25">
      <c r="H32825" s="12"/>
      <c r="I32825" s="12"/>
      <c r="J32825" s="12"/>
      <c r="K32825" s="12"/>
      <c r="L32825" s="12"/>
      <c r="M32825" s="11"/>
      <c r="N32825" s="11"/>
      <c r="O32825" s="11"/>
      <c r="P32825" s="11"/>
    </row>
    <row r="32826" spans="8:16" x14ac:dyDescent="0.25">
      <c r="H32826" s="12"/>
      <c r="I32826" s="12"/>
      <c r="J32826" s="12"/>
      <c r="K32826" s="12"/>
      <c r="L32826" s="12"/>
      <c r="M32826" s="11"/>
      <c r="N32826" s="11"/>
      <c r="O32826" s="11"/>
      <c r="P32826" s="11"/>
    </row>
    <row r="32827" spans="8:16" x14ac:dyDescent="0.25">
      <c r="H32827" s="12"/>
      <c r="I32827" s="12"/>
      <c r="J32827" s="12"/>
      <c r="K32827" s="12"/>
      <c r="L32827" s="12"/>
      <c r="M32827" s="11"/>
      <c r="N32827" s="11"/>
      <c r="O32827" s="11"/>
      <c r="P32827" s="11"/>
    </row>
    <row r="32828" spans="8:16" x14ac:dyDescent="0.25">
      <c r="H32828" s="12"/>
      <c r="I32828" s="12"/>
      <c r="J32828" s="12"/>
      <c r="K32828" s="12"/>
      <c r="L32828" s="12"/>
      <c r="M32828" s="11"/>
      <c r="N32828" s="11"/>
      <c r="O32828" s="11"/>
      <c r="P32828" s="11"/>
    </row>
    <row r="32829" spans="8:16" x14ac:dyDescent="0.25">
      <c r="H32829" s="12"/>
      <c r="I32829" s="12"/>
      <c r="J32829" s="12"/>
      <c r="K32829" s="12"/>
      <c r="L32829" s="12"/>
      <c r="M32829" s="11"/>
      <c r="N32829" s="11"/>
      <c r="O32829" s="11"/>
      <c r="P32829" s="11"/>
    </row>
    <row r="32830" spans="8:16" x14ac:dyDescent="0.25">
      <c r="H32830" s="12"/>
      <c r="I32830" s="12"/>
      <c r="J32830" s="12"/>
      <c r="K32830" s="12"/>
      <c r="L32830" s="12"/>
      <c r="M32830" s="11"/>
      <c r="N32830" s="11"/>
      <c r="O32830" s="11"/>
      <c r="P32830" s="11"/>
    </row>
    <row r="32831" spans="8:16" x14ac:dyDescent="0.25">
      <c r="H32831" s="12"/>
      <c r="I32831" s="12"/>
      <c r="J32831" s="12"/>
      <c r="K32831" s="12"/>
      <c r="L32831" s="12"/>
      <c r="M32831" s="11"/>
      <c r="N32831" s="11"/>
      <c r="O32831" s="11"/>
      <c r="P32831" s="11"/>
    </row>
    <row r="32832" spans="8:16" x14ac:dyDescent="0.25">
      <c r="H32832" s="12"/>
      <c r="I32832" s="12"/>
      <c r="J32832" s="12"/>
      <c r="K32832" s="12"/>
      <c r="L32832" s="12"/>
      <c r="M32832" s="11"/>
      <c r="N32832" s="11"/>
      <c r="O32832" s="11"/>
      <c r="P32832" s="11"/>
    </row>
    <row r="32833" spans="8:16" x14ac:dyDescent="0.25">
      <c r="H32833" s="12"/>
      <c r="I32833" s="12"/>
      <c r="J32833" s="12"/>
      <c r="K32833" s="12"/>
      <c r="L32833" s="12"/>
      <c r="M32833" s="11"/>
      <c r="N32833" s="11"/>
      <c r="O32833" s="11"/>
      <c r="P32833" s="11"/>
    </row>
    <row r="32834" spans="8:16" x14ac:dyDescent="0.25">
      <c r="H32834" s="12"/>
      <c r="I32834" s="12"/>
      <c r="J32834" s="12"/>
      <c r="K32834" s="12"/>
      <c r="L32834" s="12"/>
      <c r="M32834" s="11"/>
      <c r="N32834" s="11"/>
      <c r="O32834" s="11"/>
      <c r="P32834" s="11"/>
    </row>
    <row r="32835" spans="8:16" x14ac:dyDescent="0.25">
      <c r="H32835" s="12"/>
      <c r="I32835" s="12"/>
      <c r="J32835" s="12"/>
      <c r="K32835" s="12"/>
      <c r="L32835" s="12"/>
      <c r="M32835" s="11"/>
      <c r="N32835" s="11"/>
      <c r="O32835" s="11"/>
      <c r="P32835" s="11"/>
    </row>
    <row r="32836" spans="8:16" x14ac:dyDescent="0.25">
      <c r="H32836" s="12"/>
      <c r="I32836" s="12"/>
      <c r="J32836" s="12"/>
      <c r="K32836" s="12"/>
      <c r="L32836" s="12"/>
      <c r="M32836" s="11"/>
      <c r="N32836" s="11"/>
      <c r="O32836" s="11"/>
      <c r="P32836" s="11"/>
    </row>
    <row r="32837" spans="8:16" x14ac:dyDescent="0.25">
      <c r="H32837" s="12"/>
      <c r="I32837" s="12"/>
      <c r="J32837" s="12"/>
      <c r="K32837" s="12"/>
      <c r="L32837" s="12"/>
      <c r="M32837" s="11"/>
      <c r="N32837" s="11"/>
      <c r="O32837" s="11"/>
      <c r="P32837" s="11"/>
    </row>
    <row r="32838" spans="8:16" x14ac:dyDescent="0.25">
      <c r="H32838" s="12"/>
      <c r="I32838" s="12"/>
      <c r="J32838" s="12"/>
      <c r="K32838" s="12"/>
      <c r="L32838" s="12"/>
      <c r="M32838" s="11"/>
      <c r="N32838" s="11"/>
      <c r="O32838" s="11"/>
      <c r="P32838" s="11"/>
    </row>
    <row r="32839" spans="8:16" x14ac:dyDescent="0.25">
      <c r="H32839" s="12"/>
      <c r="I32839" s="12"/>
      <c r="J32839" s="12"/>
      <c r="K32839" s="12"/>
      <c r="L32839" s="12"/>
      <c r="M32839" s="11"/>
      <c r="N32839" s="11"/>
      <c r="O32839" s="11"/>
      <c r="P32839" s="11"/>
    </row>
    <row r="32840" spans="8:16" x14ac:dyDescent="0.25">
      <c r="H32840" s="12"/>
      <c r="I32840" s="12"/>
      <c r="J32840" s="12"/>
      <c r="K32840" s="12"/>
      <c r="L32840" s="12"/>
      <c r="M32840" s="11"/>
      <c r="N32840" s="11"/>
      <c r="O32840" s="11"/>
      <c r="P32840" s="11"/>
    </row>
    <row r="32841" spans="8:16" x14ac:dyDescent="0.25">
      <c r="H32841" s="12"/>
      <c r="I32841" s="12"/>
      <c r="J32841" s="12"/>
      <c r="K32841" s="12"/>
      <c r="L32841" s="12"/>
      <c r="M32841" s="11"/>
      <c r="N32841" s="11"/>
      <c r="O32841" s="11"/>
      <c r="P32841" s="11"/>
    </row>
    <row r="32842" spans="8:16" x14ac:dyDescent="0.25">
      <c r="H32842" s="12"/>
      <c r="I32842" s="12"/>
      <c r="J32842" s="12"/>
      <c r="K32842" s="12"/>
      <c r="L32842" s="12"/>
      <c r="M32842" s="11"/>
      <c r="N32842" s="11"/>
      <c r="O32842" s="11"/>
      <c r="P32842" s="11"/>
    </row>
    <row r="32843" spans="8:16" x14ac:dyDescent="0.25">
      <c r="H32843" s="12"/>
      <c r="I32843" s="12"/>
      <c r="J32843" s="12"/>
      <c r="K32843" s="12"/>
      <c r="L32843" s="12"/>
      <c r="M32843" s="11"/>
      <c r="N32843" s="11"/>
      <c r="O32843" s="11"/>
      <c r="P32843" s="11"/>
    </row>
    <row r="32844" spans="8:16" x14ac:dyDescent="0.25">
      <c r="H32844" s="12"/>
      <c r="I32844" s="12"/>
      <c r="J32844" s="12"/>
      <c r="K32844" s="12"/>
      <c r="L32844" s="12"/>
      <c r="M32844" s="11"/>
      <c r="N32844" s="11"/>
      <c r="O32844" s="11"/>
      <c r="P32844" s="11"/>
    </row>
    <row r="32845" spans="8:16" x14ac:dyDescent="0.25">
      <c r="H32845" s="12"/>
      <c r="I32845" s="12"/>
      <c r="J32845" s="12"/>
      <c r="K32845" s="12"/>
      <c r="L32845" s="12"/>
      <c r="M32845" s="11"/>
      <c r="N32845" s="11"/>
      <c r="O32845" s="11"/>
      <c r="P32845" s="11"/>
    </row>
    <row r="32846" spans="8:16" x14ac:dyDescent="0.25">
      <c r="H32846" s="12"/>
      <c r="I32846" s="12"/>
      <c r="J32846" s="12"/>
      <c r="K32846" s="12"/>
      <c r="L32846" s="12"/>
      <c r="M32846" s="11"/>
      <c r="N32846" s="11"/>
      <c r="O32846" s="11"/>
      <c r="P32846" s="11"/>
    </row>
    <row r="32847" spans="8:16" x14ac:dyDescent="0.25">
      <c r="H32847" s="12"/>
      <c r="I32847" s="12"/>
      <c r="J32847" s="12"/>
      <c r="K32847" s="12"/>
      <c r="L32847" s="12"/>
      <c r="M32847" s="11"/>
      <c r="N32847" s="11"/>
      <c r="O32847" s="11"/>
      <c r="P32847" s="11"/>
    </row>
    <row r="32848" spans="8:16" x14ac:dyDescent="0.25">
      <c r="H32848" s="12"/>
      <c r="I32848" s="12"/>
      <c r="J32848" s="12"/>
      <c r="K32848" s="12"/>
      <c r="L32848" s="12"/>
      <c r="M32848" s="11"/>
      <c r="N32848" s="11"/>
      <c r="O32848" s="11"/>
      <c r="P32848" s="11"/>
    </row>
    <row r="32849" spans="8:16" x14ac:dyDescent="0.25">
      <c r="H32849" s="12"/>
      <c r="I32849" s="12"/>
      <c r="J32849" s="12"/>
      <c r="K32849" s="12"/>
      <c r="L32849" s="12"/>
      <c r="M32849" s="11"/>
      <c r="N32849" s="11"/>
      <c r="O32849" s="11"/>
      <c r="P32849" s="11"/>
    </row>
    <row r="32850" spans="8:16" x14ac:dyDescent="0.25">
      <c r="H32850" s="12"/>
      <c r="I32850" s="12"/>
      <c r="J32850" s="12"/>
      <c r="K32850" s="12"/>
      <c r="L32850" s="12"/>
      <c r="M32850" s="11"/>
      <c r="N32850" s="11"/>
      <c r="O32850" s="11"/>
      <c r="P32850" s="11"/>
    </row>
    <row r="32851" spans="8:16" x14ac:dyDescent="0.25">
      <c r="H32851" s="12"/>
      <c r="I32851" s="12"/>
      <c r="J32851" s="12"/>
      <c r="K32851" s="12"/>
      <c r="L32851" s="12"/>
      <c r="M32851" s="11"/>
      <c r="N32851" s="11"/>
      <c r="O32851" s="11"/>
      <c r="P32851" s="11"/>
    </row>
    <row r="32852" spans="8:16" x14ac:dyDescent="0.25">
      <c r="H32852" s="12"/>
      <c r="I32852" s="12"/>
      <c r="J32852" s="12"/>
      <c r="K32852" s="12"/>
      <c r="L32852" s="12"/>
      <c r="M32852" s="11"/>
      <c r="N32852" s="11"/>
      <c r="O32852" s="11"/>
      <c r="P32852" s="11"/>
    </row>
    <row r="32853" spans="8:16" x14ac:dyDescent="0.25">
      <c r="H32853" s="12"/>
      <c r="I32853" s="12"/>
      <c r="J32853" s="12"/>
      <c r="K32853" s="12"/>
      <c r="L32853" s="12"/>
      <c r="M32853" s="11"/>
      <c r="N32853" s="11"/>
      <c r="O32853" s="11"/>
      <c r="P32853" s="11"/>
    </row>
    <row r="32854" spans="8:16" x14ac:dyDescent="0.25">
      <c r="H32854" s="12"/>
      <c r="I32854" s="12"/>
      <c r="J32854" s="12"/>
      <c r="K32854" s="12"/>
      <c r="L32854" s="12"/>
      <c r="M32854" s="11"/>
      <c r="N32854" s="11"/>
      <c r="O32854" s="11"/>
      <c r="P32854" s="11"/>
    </row>
    <row r="32855" spans="8:16" x14ac:dyDescent="0.25">
      <c r="H32855" s="12"/>
      <c r="I32855" s="12"/>
      <c r="J32855" s="12"/>
      <c r="K32855" s="12"/>
      <c r="L32855" s="12"/>
      <c r="M32855" s="11"/>
      <c r="N32855" s="11"/>
      <c r="O32855" s="11"/>
      <c r="P32855" s="11"/>
    </row>
    <row r="32856" spans="8:16" x14ac:dyDescent="0.25">
      <c r="H32856" s="12"/>
      <c r="I32856" s="12"/>
      <c r="J32856" s="12"/>
      <c r="K32856" s="12"/>
      <c r="L32856" s="12"/>
      <c r="M32856" s="11"/>
      <c r="N32856" s="11"/>
      <c r="O32856" s="11"/>
      <c r="P32856" s="11"/>
    </row>
    <row r="32857" spans="8:16" x14ac:dyDescent="0.25">
      <c r="H32857" s="12"/>
      <c r="I32857" s="12"/>
      <c r="J32857" s="12"/>
      <c r="K32857" s="12"/>
      <c r="L32857" s="12"/>
      <c r="M32857" s="11"/>
      <c r="N32857" s="11"/>
      <c r="O32857" s="11"/>
      <c r="P32857" s="11"/>
    </row>
    <row r="32858" spans="8:16" x14ac:dyDescent="0.25">
      <c r="H32858" s="12"/>
      <c r="I32858" s="12"/>
      <c r="J32858" s="12"/>
      <c r="K32858" s="12"/>
      <c r="L32858" s="12"/>
      <c r="M32858" s="11"/>
      <c r="N32858" s="11"/>
      <c r="O32858" s="11"/>
      <c r="P32858" s="11"/>
    </row>
    <row r="32859" spans="8:16" x14ac:dyDescent="0.25">
      <c r="H32859" s="12"/>
      <c r="I32859" s="12"/>
      <c r="J32859" s="12"/>
      <c r="K32859" s="12"/>
      <c r="L32859" s="12"/>
      <c r="M32859" s="11"/>
      <c r="N32859" s="11"/>
      <c r="O32859" s="11"/>
      <c r="P32859" s="11"/>
    </row>
    <row r="32860" spans="8:16" x14ac:dyDescent="0.25">
      <c r="H32860" s="12"/>
      <c r="I32860" s="12"/>
      <c r="J32860" s="12"/>
      <c r="K32860" s="12"/>
      <c r="L32860" s="12"/>
      <c r="M32860" s="11"/>
      <c r="N32860" s="11"/>
      <c r="O32860" s="11"/>
      <c r="P32860" s="11"/>
    </row>
    <row r="32861" spans="8:16" x14ac:dyDescent="0.25">
      <c r="H32861" s="12"/>
      <c r="I32861" s="12"/>
      <c r="J32861" s="12"/>
      <c r="K32861" s="12"/>
      <c r="L32861" s="12"/>
      <c r="M32861" s="11"/>
      <c r="N32861" s="11"/>
      <c r="O32861" s="11"/>
      <c r="P32861" s="11"/>
    </row>
    <row r="32862" spans="8:16" x14ac:dyDescent="0.25">
      <c r="H32862" s="12"/>
      <c r="I32862" s="12"/>
      <c r="J32862" s="12"/>
      <c r="K32862" s="12"/>
      <c r="L32862" s="12"/>
      <c r="M32862" s="11"/>
      <c r="N32862" s="11"/>
      <c r="O32862" s="11"/>
      <c r="P32862" s="11"/>
    </row>
    <row r="32863" spans="8:16" x14ac:dyDescent="0.25">
      <c r="H32863" s="12"/>
      <c r="I32863" s="12"/>
      <c r="J32863" s="12"/>
      <c r="K32863" s="12"/>
      <c r="L32863" s="12"/>
      <c r="M32863" s="11"/>
      <c r="N32863" s="11"/>
      <c r="O32863" s="11"/>
      <c r="P32863" s="11"/>
    </row>
    <row r="32864" spans="8:16" x14ac:dyDescent="0.25">
      <c r="H32864" s="12"/>
      <c r="I32864" s="12"/>
      <c r="J32864" s="12"/>
      <c r="K32864" s="12"/>
      <c r="L32864" s="12"/>
      <c r="M32864" s="11"/>
      <c r="N32864" s="11"/>
      <c r="O32864" s="11"/>
      <c r="P32864" s="11"/>
    </row>
    <row r="32865" spans="8:16" x14ac:dyDescent="0.25">
      <c r="H32865" s="12"/>
      <c r="I32865" s="12"/>
      <c r="J32865" s="12"/>
      <c r="K32865" s="12"/>
      <c r="L32865" s="12"/>
      <c r="M32865" s="11"/>
      <c r="N32865" s="11"/>
      <c r="O32865" s="11"/>
      <c r="P32865" s="11"/>
    </row>
    <row r="32866" spans="8:16" x14ac:dyDescent="0.25">
      <c r="H32866" s="12"/>
      <c r="I32866" s="12"/>
      <c r="J32866" s="12"/>
      <c r="K32866" s="12"/>
      <c r="L32866" s="12"/>
      <c r="M32866" s="11"/>
      <c r="N32866" s="11"/>
      <c r="O32866" s="11"/>
      <c r="P32866" s="11"/>
    </row>
    <row r="32867" spans="8:16" x14ac:dyDescent="0.25">
      <c r="H32867" s="12"/>
      <c r="I32867" s="12"/>
      <c r="J32867" s="12"/>
      <c r="K32867" s="12"/>
      <c r="L32867" s="12"/>
      <c r="M32867" s="11"/>
      <c r="N32867" s="11"/>
      <c r="O32867" s="11"/>
      <c r="P32867" s="11"/>
    </row>
    <row r="32868" spans="8:16" x14ac:dyDescent="0.25">
      <c r="H32868" s="12"/>
      <c r="I32868" s="12"/>
      <c r="J32868" s="12"/>
      <c r="K32868" s="12"/>
      <c r="L32868" s="12"/>
      <c r="M32868" s="11"/>
      <c r="N32868" s="11"/>
      <c r="O32868" s="11"/>
      <c r="P32868" s="11"/>
    </row>
    <row r="32869" spans="8:16" x14ac:dyDescent="0.25">
      <c r="H32869" s="12"/>
      <c r="I32869" s="12"/>
      <c r="J32869" s="12"/>
      <c r="K32869" s="12"/>
      <c r="L32869" s="12"/>
      <c r="M32869" s="11"/>
      <c r="N32869" s="11"/>
      <c r="O32869" s="11"/>
      <c r="P32869" s="11"/>
    </row>
    <row r="32870" spans="8:16" x14ac:dyDescent="0.25">
      <c r="H32870" s="12"/>
      <c r="I32870" s="12"/>
      <c r="J32870" s="12"/>
      <c r="K32870" s="12"/>
      <c r="L32870" s="12"/>
      <c r="M32870" s="11"/>
      <c r="N32870" s="11"/>
      <c r="O32870" s="11"/>
      <c r="P32870" s="11"/>
    </row>
    <row r="32871" spans="8:16" x14ac:dyDescent="0.25">
      <c r="H32871" s="12"/>
      <c r="I32871" s="12"/>
      <c r="J32871" s="12"/>
      <c r="K32871" s="12"/>
      <c r="L32871" s="12"/>
      <c r="M32871" s="11"/>
      <c r="N32871" s="11"/>
      <c r="O32871" s="11"/>
      <c r="P32871" s="11"/>
    </row>
    <row r="32872" spans="8:16" x14ac:dyDescent="0.25">
      <c r="H32872" s="12"/>
      <c r="I32872" s="12"/>
      <c r="J32872" s="12"/>
      <c r="K32872" s="12"/>
      <c r="L32872" s="12"/>
      <c r="M32872" s="11"/>
      <c r="N32872" s="11"/>
      <c r="O32872" s="11"/>
      <c r="P32872" s="11"/>
    </row>
    <row r="32873" spans="8:16" x14ac:dyDescent="0.25">
      <c r="H32873" s="12"/>
      <c r="I32873" s="12"/>
      <c r="J32873" s="12"/>
      <c r="K32873" s="12"/>
      <c r="L32873" s="12"/>
      <c r="M32873" s="11"/>
      <c r="N32873" s="11"/>
      <c r="O32873" s="11"/>
      <c r="P32873" s="11"/>
    </row>
    <row r="32874" spans="8:16" x14ac:dyDescent="0.25">
      <c r="H32874" s="12"/>
      <c r="I32874" s="12"/>
      <c r="J32874" s="12"/>
      <c r="K32874" s="12"/>
      <c r="L32874" s="12"/>
      <c r="M32874" s="11"/>
      <c r="N32874" s="11"/>
      <c r="O32874" s="11"/>
      <c r="P32874" s="11"/>
    </row>
    <row r="32875" spans="8:16" x14ac:dyDescent="0.25">
      <c r="H32875" s="12"/>
      <c r="I32875" s="12"/>
      <c r="J32875" s="12"/>
      <c r="K32875" s="12"/>
      <c r="L32875" s="12"/>
      <c r="M32875" s="11"/>
      <c r="N32875" s="11"/>
      <c r="O32875" s="11"/>
      <c r="P32875" s="11"/>
    </row>
    <row r="32876" spans="8:16" x14ac:dyDescent="0.25">
      <c r="H32876" s="12"/>
      <c r="I32876" s="12"/>
      <c r="J32876" s="12"/>
      <c r="K32876" s="12"/>
      <c r="L32876" s="12"/>
      <c r="M32876" s="11"/>
      <c r="N32876" s="11"/>
      <c r="O32876" s="11"/>
      <c r="P32876" s="11"/>
    </row>
    <row r="32877" spans="8:16" x14ac:dyDescent="0.25">
      <c r="H32877" s="12"/>
      <c r="I32877" s="12"/>
      <c r="J32877" s="12"/>
      <c r="K32877" s="12"/>
      <c r="L32877" s="12"/>
      <c r="M32877" s="11"/>
      <c r="N32877" s="11"/>
      <c r="O32877" s="11"/>
      <c r="P32877" s="11"/>
    </row>
    <row r="32878" spans="8:16" x14ac:dyDescent="0.25">
      <c r="H32878" s="12"/>
      <c r="I32878" s="12"/>
      <c r="J32878" s="12"/>
      <c r="K32878" s="12"/>
      <c r="L32878" s="12"/>
      <c r="M32878" s="11"/>
      <c r="N32878" s="11"/>
      <c r="O32878" s="11"/>
      <c r="P32878" s="11"/>
    </row>
    <row r="32879" spans="8:16" x14ac:dyDescent="0.25">
      <c r="H32879" s="12"/>
      <c r="I32879" s="12"/>
      <c r="J32879" s="12"/>
      <c r="K32879" s="12"/>
      <c r="L32879" s="12"/>
      <c r="M32879" s="11"/>
      <c r="N32879" s="11"/>
      <c r="O32879" s="11"/>
      <c r="P32879" s="11"/>
    </row>
    <row r="32880" spans="8:16" x14ac:dyDescent="0.25">
      <c r="H32880" s="12"/>
      <c r="I32880" s="12"/>
      <c r="J32880" s="12"/>
      <c r="K32880" s="12"/>
      <c r="L32880" s="12"/>
      <c r="M32880" s="11"/>
      <c r="N32880" s="11"/>
      <c r="O32880" s="11"/>
      <c r="P32880" s="11"/>
    </row>
    <row r="32881" spans="8:16" x14ac:dyDescent="0.25">
      <c r="H32881" s="12"/>
      <c r="I32881" s="12"/>
      <c r="J32881" s="12"/>
      <c r="K32881" s="12"/>
      <c r="L32881" s="12"/>
      <c r="M32881" s="11"/>
      <c r="N32881" s="11"/>
      <c r="O32881" s="11"/>
      <c r="P32881" s="11"/>
    </row>
    <row r="32882" spans="8:16" x14ac:dyDescent="0.25">
      <c r="H32882" s="12"/>
      <c r="I32882" s="12"/>
      <c r="J32882" s="12"/>
      <c r="K32882" s="12"/>
      <c r="L32882" s="12"/>
      <c r="M32882" s="11"/>
      <c r="N32882" s="11"/>
      <c r="O32882" s="11"/>
      <c r="P32882" s="11"/>
    </row>
    <row r="32883" spans="8:16" x14ac:dyDescent="0.25">
      <c r="H32883" s="12"/>
      <c r="I32883" s="12"/>
      <c r="J32883" s="12"/>
      <c r="K32883" s="12"/>
      <c r="L32883" s="12"/>
      <c r="M32883" s="11"/>
      <c r="N32883" s="11"/>
      <c r="O32883" s="11"/>
      <c r="P32883" s="11"/>
    </row>
    <row r="32884" spans="8:16" x14ac:dyDescent="0.25">
      <c r="H32884" s="12"/>
      <c r="I32884" s="12"/>
      <c r="J32884" s="12"/>
      <c r="K32884" s="12"/>
      <c r="L32884" s="12"/>
      <c r="M32884" s="11"/>
      <c r="N32884" s="11"/>
      <c r="O32884" s="11"/>
      <c r="P32884" s="11"/>
    </row>
    <row r="32885" spans="8:16" x14ac:dyDescent="0.25">
      <c r="H32885" s="12"/>
      <c r="I32885" s="12"/>
      <c r="J32885" s="12"/>
      <c r="K32885" s="12"/>
      <c r="L32885" s="12"/>
      <c r="M32885" s="11"/>
      <c r="N32885" s="11"/>
      <c r="O32885" s="11"/>
      <c r="P32885" s="11"/>
    </row>
    <row r="32886" spans="8:16" x14ac:dyDescent="0.25">
      <c r="H32886" s="12"/>
      <c r="I32886" s="12"/>
      <c r="J32886" s="12"/>
      <c r="K32886" s="12"/>
      <c r="L32886" s="12"/>
      <c r="M32886" s="11"/>
      <c r="N32886" s="11"/>
      <c r="O32886" s="11"/>
      <c r="P32886" s="11"/>
    </row>
    <row r="32887" spans="8:16" x14ac:dyDescent="0.25">
      <c r="H32887" s="12"/>
      <c r="I32887" s="12"/>
      <c r="J32887" s="12"/>
      <c r="K32887" s="12"/>
      <c r="L32887" s="12"/>
      <c r="M32887" s="11"/>
      <c r="N32887" s="11"/>
      <c r="O32887" s="11"/>
      <c r="P32887" s="11"/>
    </row>
    <row r="32888" spans="8:16" x14ac:dyDescent="0.25">
      <c r="H32888" s="12"/>
      <c r="I32888" s="12"/>
      <c r="J32888" s="12"/>
      <c r="K32888" s="12"/>
      <c r="L32888" s="12"/>
      <c r="M32888" s="11"/>
      <c r="N32888" s="11"/>
      <c r="O32888" s="11"/>
      <c r="P32888" s="11"/>
    </row>
    <row r="32889" spans="8:16" x14ac:dyDescent="0.25">
      <c r="H32889" s="12"/>
      <c r="I32889" s="12"/>
      <c r="J32889" s="12"/>
      <c r="K32889" s="12"/>
      <c r="L32889" s="12"/>
      <c r="M32889" s="11"/>
      <c r="N32889" s="11"/>
      <c r="O32889" s="11"/>
      <c r="P32889" s="11"/>
    </row>
    <row r="32890" spans="8:16" x14ac:dyDescent="0.25">
      <c r="H32890" s="12"/>
      <c r="I32890" s="12"/>
      <c r="J32890" s="12"/>
      <c r="K32890" s="12"/>
      <c r="L32890" s="12"/>
      <c r="M32890" s="11"/>
      <c r="N32890" s="11"/>
      <c r="O32890" s="11"/>
      <c r="P32890" s="11"/>
    </row>
    <row r="32891" spans="8:16" x14ac:dyDescent="0.25">
      <c r="H32891" s="12"/>
      <c r="I32891" s="12"/>
      <c r="J32891" s="12"/>
      <c r="K32891" s="12"/>
      <c r="L32891" s="12"/>
      <c r="M32891" s="11"/>
      <c r="N32891" s="11"/>
      <c r="O32891" s="11"/>
      <c r="P32891" s="11"/>
    </row>
    <row r="32892" spans="8:16" x14ac:dyDescent="0.25">
      <c r="H32892" s="12"/>
      <c r="I32892" s="12"/>
      <c r="J32892" s="12"/>
      <c r="K32892" s="12"/>
      <c r="L32892" s="12"/>
      <c r="M32892" s="11"/>
      <c r="N32892" s="11"/>
      <c r="O32892" s="11"/>
      <c r="P32892" s="11"/>
    </row>
    <row r="32893" spans="8:16" x14ac:dyDescent="0.25">
      <c r="H32893" s="12"/>
      <c r="I32893" s="12"/>
      <c r="J32893" s="12"/>
      <c r="K32893" s="12"/>
      <c r="L32893" s="12"/>
      <c r="M32893" s="11"/>
      <c r="N32893" s="11"/>
      <c r="O32893" s="11"/>
      <c r="P32893" s="11"/>
    </row>
    <row r="32894" spans="8:16" x14ac:dyDescent="0.25">
      <c r="H32894" s="12"/>
      <c r="I32894" s="12"/>
      <c r="J32894" s="12"/>
      <c r="K32894" s="12"/>
      <c r="L32894" s="12"/>
      <c r="M32894" s="11"/>
      <c r="N32894" s="11"/>
      <c r="O32894" s="11"/>
      <c r="P32894" s="11"/>
    </row>
    <row r="32895" spans="8:16" x14ac:dyDescent="0.25">
      <c r="H32895" s="12"/>
      <c r="I32895" s="12"/>
      <c r="J32895" s="12"/>
      <c r="K32895" s="12"/>
      <c r="L32895" s="12"/>
      <c r="M32895" s="11"/>
      <c r="N32895" s="11"/>
      <c r="O32895" s="11"/>
      <c r="P32895" s="11"/>
    </row>
    <row r="32896" spans="8:16" x14ac:dyDescent="0.25">
      <c r="H32896" s="12"/>
      <c r="I32896" s="12"/>
      <c r="J32896" s="12"/>
      <c r="K32896" s="12"/>
      <c r="L32896" s="12"/>
      <c r="M32896" s="11"/>
      <c r="N32896" s="11"/>
      <c r="O32896" s="11"/>
      <c r="P32896" s="11"/>
    </row>
    <row r="32897" spans="8:16" x14ac:dyDescent="0.25">
      <c r="H32897" s="12"/>
      <c r="I32897" s="12"/>
      <c r="J32897" s="12"/>
      <c r="K32897" s="12"/>
      <c r="L32897" s="12"/>
      <c r="M32897" s="11"/>
      <c r="N32897" s="11"/>
      <c r="O32897" s="11"/>
      <c r="P32897" s="11"/>
    </row>
    <row r="32898" spans="8:16" x14ac:dyDescent="0.25">
      <c r="H32898" s="12"/>
      <c r="I32898" s="12"/>
      <c r="J32898" s="12"/>
      <c r="K32898" s="12"/>
      <c r="L32898" s="12"/>
      <c r="M32898" s="11"/>
      <c r="N32898" s="11"/>
      <c r="O32898" s="11"/>
      <c r="P32898" s="11"/>
    </row>
    <row r="32899" spans="8:16" x14ac:dyDescent="0.25">
      <c r="H32899" s="12"/>
      <c r="I32899" s="12"/>
      <c r="J32899" s="12"/>
      <c r="K32899" s="12"/>
      <c r="L32899" s="12"/>
      <c r="M32899" s="11"/>
      <c r="N32899" s="11"/>
      <c r="O32899" s="11"/>
      <c r="P32899" s="11"/>
    </row>
    <row r="32900" spans="8:16" x14ac:dyDescent="0.25">
      <c r="H32900" s="12"/>
      <c r="I32900" s="12"/>
      <c r="J32900" s="12"/>
      <c r="K32900" s="12"/>
      <c r="L32900" s="12"/>
      <c r="M32900" s="11"/>
      <c r="N32900" s="11"/>
      <c r="O32900" s="11"/>
      <c r="P32900" s="11"/>
    </row>
    <row r="32901" spans="8:16" x14ac:dyDescent="0.25">
      <c r="H32901" s="12"/>
      <c r="I32901" s="12"/>
      <c r="J32901" s="12"/>
      <c r="K32901" s="12"/>
      <c r="L32901" s="12"/>
      <c r="M32901" s="11"/>
      <c r="N32901" s="11"/>
      <c r="O32901" s="11"/>
      <c r="P32901" s="11"/>
    </row>
    <row r="32902" spans="8:16" x14ac:dyDescent="0.25">
      <c r="H32902" s="12"/>
      <c r="I32902" s="12"/>
      <c r="J32902" s="12"/>
      <c r="K32902" s="12"/>
      <c r="L32902" s="12"/>
      <c r="M32902" s="11"/>
      <c r="N32902" s="11"/>
      <c r="O32902" s="11"/>
      <c r="P32902" s="11"/>
    </row>
    <row r="32903" spans="8:16" x14ac:dyDescent="0.25">
      <c r="H32903" s="12"/>
      <c r="I32903" s="12"/>
      <c r="J32903" s="12"/>
      <c r="K32903" s="12"/>
      <c r="L32903" s="12"/>
      <c r="M32903" s="11"/>
      <c r="N32903" s="11"/>
      <c r="O32903" s="11"/>
      <c r="P32903" s="11"/>
    </row>
    <row r="32904" spans="8:16" x14ac:dyDescent="0.25">
      <c r="H32904" s="12"/>
      <c r="I32904" s="12"/>
      <c r="J32904" s="12"/>
      <c r="K32904" s="12"/>
      <c r="L32904" s="12"/>
      <c r="M32904" s="11"/>
      <c r="N32904" s="11"/>
      <c r="O32904" s="11"/>
      <c r="P32904" s="11"/>
    </row>
    <row r="32905" spans="8:16" x14ac:dyDescent="0.25">
      <c r="H32905" s="12"/>
      <c r="I32905" s="12"/>
      <c r="J32905" s="12"/>
      <c r="K32905" s="12"/>
      <c r="L32905" s="12"/>
      <c r="M32905" s="11"/>
      <c r="N32905" s="11"/>
      <c r="O32905" s="11"/>
      <c r="P32905" s="11"/>
    </row>
    <row r="32906" spans="8:16" x14ac:dyDescent="0.25">
      <c r="H32906" s="12"/>
      <c r="I32906" s="12"/>
      <c r="J32906" s="12"/>
      <c r="K32906" s="12"/>
      <c r="L32906" s="12"/>
      <c r="M32906" s="11"/>
      <c r="N32906" s="11"/>
      <c r="O32906" s="11"/>
      <c r="P32906" s="11"/>
    </row>
    <row r="32907" spans="8:16" x14ac:dyDescent="0.25">
      <c r="H32907" s="12"/>
      <c r="I32907" s="12"/>
      <c r="J32907" s="12"/>
      <c r="K32907" s="12"/>
      <c r="L32907" s="12"/>
      <c r="M32907" s="11"/>
      <c r="N32907" s="11"/>
      <c r="O32907" s="11"/>
      <c r="P32907" s="11"/>
    </row>
    <row r="32908" spans="8:16" x14ac:dyDescent="0.25">
      <c r="H32908" s="12"/>
      <c r="I32908" s="12"/>
      <c r="J32908" s="12"/>
      <c r="K32908" s="12"/>
      <c r="L32908" s="12"/>
      <c r="M32908" s="11"/>
      <c r="N32908" s="11"/>
      <c r="O32908" s="11"/>
      <c r="P32908" s="11"/>
    </row>
    <row r="32909" spans="8:16" x14ac:dyDescent="0.25">
      <c r="H32909" s="12"/>
      <c r="I32909" s="12"/>
      <c r="J32909" s="12"/>
      <c r="K32909" s="12"/>
      <c r="L32909" s="12"/>
      <c r="M32909" s="11"/>
      <c r="N32909" s="11"/>
      <c r="O32909" s="11"/>
      <c r="P32909" s="11"/>
    </row>
    <row r="32910" spans="8:16" x14ac:dyDescent="0.25">
      <c r="H32910" s="12"/>
      <c r="I32910" s="12"/>
      <c r="J32910" s="12"/>
      <c r="K32910" s="12"/>
      <c r="L32910" s="12"/>
      <c r="M32910" s="11"/>
      <c r="N32910" s="11"/>
      <c r="O32910" s="11"/>
      <c r="P32910" s="11"/>
    </row>
    <row r="32911" spans="8:16" x14ac:dyDescent="0.25">
      <c r="H32911" s="12"/>
      <c r="I32911" s="12"/>
      <c r="J32911" s="12"/>
      <c r="K32911" s="12"/>
      <c r="L32911" s="12"/>
      <c r="M32911" s="11"/>
      <c r="N32911" s="11"/>
      <c r="O32911" s="11"/>
      <c r="P32911" s="11"/>
    </row>
    <row r="32912" spans="8:16" x14ac:dyDescent="0.25">
      <c r="H32912" s="12"/>
      <c r="I32912" s="12"/>
      <c r="J32912" s="12"/>
      <c r="K32912" s="12"/>
      <c r="L32912" s="12"/>
      <c r="M32912" s="11"/>
      <c r="N32912" s="11"/>
      <c r="O32912" s="11"/>
      <c r="P32912" s="11"/>
    </row>
    <row r="32913" spans="8:16" x14ac:dyDescent="0.25">
      <c r="H32913" s="12"/>
      <c r="I32913" s="12"/>
      <c r="J32913" s="12"/>
      <c r="K32913" s="12"/>
      <c r="L32913" s="12"/>
      <c r="M32913" s="11"/>
      <c r="N32913" s="11"/>
      <c r="O32913" s="11"/>
      <c r="P32913" s="11"/>
    </row>
    <row r="32914" spans="8:16" x14ac:dyDescent="0.25">
      <c r="H32914" s="12"/>
      <c r="I32914" s="12"/>
      <c r="J32914" s="12"/>
      <c r="K32914" s="12"/>
      <c r="L32914" s="12"/>
      <c r="M32914" s="11"/>
      <c r="N32914" s="11"/>
      <c r="O32914" s="11"/>
      <c r="P32914" s="11"/>
    </row>
    <row r="32915" spans="8:16" x14ac:dyDescent="0.25">
      <c r="H32915" s="12"/>
      <c r="I32915" s="12"/>
      <c r="J32915" s="12"/>
      <c r="K32915" s="12"/>
      <c r="L32915" s="12"/>
      <c r="M32915" s="11"/>
      <c r="N32915" s="11"/>
      <c r="O32915" s="11"/>
      <c r="P32915" s="11"/>
    </row>
    <row r="32916" spans="8:16" x14ac:dyDescent="0.25">
      <c r="H32916" s="12"/>
      <c r="I32916" s="12"/>
      <c r="J32916" s="12"/>
      <c r="K32916" s="12"/>
      <c r="L32916" s="12"/>
      <c r="M32916" s="11"/>
      <c r="N32916" s="11"/>
      <c r="O32916" s="11"/>
      <c r="P32916" s="11"/>
    </row>
    <row r="32917" spans="8:16" x14ac:dyDescent="0.25">
      <c r="H32917" s="12"/>
      <c r="I32917" s="12"/>
      <c r="J32917" s="12"/>
      <c r="K32917" s="12"/>
      <c r="L32917" s="12"/>
      <c r="M32917" s="11"/>
      <c r="N32917" s="11"/>
      <c r="O32917" s="11"/>
      <c r="P32917" s="11"/>
    </row>
    <row r="32918" spans="8:16" x14ac:dyDescent="0.25">
      <c r="H32918" s="12"/>
      <c r="I32918" s="12"/>
      <c r="J32918" s="12"/>
      <c r="K32918" s="12"/>
      <c r="L32918" s="12"/>
      <c r="M32918" s="11"/>
      <c r="N32918" s="11"/>
      <c r="O32918" s="11"/>
      <c r="P32918" s="11"/>
    </row>
    <row r="32919" spans="8:16" x14ac:dyDescent="0.25">
      <c r="H32919" s="12"/>
      <c r="I32919" s="12"/>
      <c r="J32919" s="12"/>
      <c r="K32919" s="12"/>
      <c r="L32919" s="12"/>
      <c r="M32919" s="11"/>
      <c r="N32919" s="11"/>
      <c r="O32919" s="11"/>
      <c r="P32919" s="11"/>
    </row>
    <row r="32920" spans="8:16" x14ac:dyDescent="0.25">
      <c r="H32920" s="12"/>
      <c r="I32920" s="12"/>
      <c r="J32920" s="12"/>
      <c r="K32920" s="12"/>
      <c r="L32920" s="12"/>
      <c r="M32920" s="11"/>
      <c r="N32920" s="11"/>
      <c r="O32920" s="11"/>
      <c r="P32920" s="11"/>
    </row>
    <row r="32921" spans="8:16" x14ac:dyDescent="0.25">
      <c r="H32921" s="12"/>
      <c r="I32921" s="12"/>
      <c r="J32921" s="12"/>
      <c r="K32921" s="12"/>
      <c r="L32921" s="12"/>
      <c r="M32921" s="11"/>
      <c r="N32921" s="11"/>
      <c r="O32921" s="11"/>
      <c r="P32921" s="11"/>
    </row>
    <row r="32922" spans="8:16" x14ac:dyDescent="0.25">
      <c r="H32922" s="12"/>
      <c r="I32922" s="12"/>
      <c r="J32922" s="12"/>
      <c r="K32922" s="12"/>
      <c r="L32922" s="12"/>
      <c r="M32922" s="11"/>
      <c r="N32922" s="11"/>
      <c r="O32922" s="11"/>
      <c r="P32922" s="11"/>
    </row>
    <row r="32923" spans="8:16" x14ac:dyDescent="0.25">
      <c r="H32923" s="12"/>
      <c r="I32923" s="12"/>
      <c r="J32923" s="12"/>
      <c r="K32923" s="12"/>
      <c r="L32923" s="12"/>
      <c r="M32923" s="11"/>
      <c r="N32923" s="11"/>
      <c r="O32923" s="11"/>
      <c r="P32923" s="11"/>
    </row>
    <row r="32924" spans="8:16" x14ac:dyDescent="0.25">
      <c r="H32924" s="12"/>
      <c r="I32924" s="12"/>
      <c r="J32924" s="12"/>
      <c r="K32924" s="12"/>
      <c r="L32924" s="12"/>
      <c r="M32924" s="11"/>
      <c r="N32924" s="11"/>
      <c r="O32924" s="11"/>
      <c r="P32924" s="11"/>
    </row>
    <row r="32925" spans="8:16" x14ac:dyDescent="0.25">
      <c r="H32925" s="12"/>
      <c r="I32925" s="12"/>
      <c r="J32925" s="12"/>
      <c r="K32925" s="12"/>
      <c r="L32925" s="12"/>
      <c r="M32925" s="11"/>
      <c r="N32925" s="11"/>
      <c r="O32925" s="11"/>
      <c r="P32925" s="11"/>
    </row>
    <row r="32926" spans="8:16" x14ac:dyDescent="0.25">
      <c r="H32926" s="12"/>
      <c r="I32926" s="12"/>
      <c r="J32926" s="12"/>
      <c r="K32926" s="12"/>
      <c r="L32926" s="12"/>
      <c r="M32926" s="11"/>
      <c r="N32926" s="11"/>
      <c r="O32926" s="11"/>
      <c r="P32926" s="11"/>
    </row>
    <row r="32927" spans="8:16" x14ac:dyDescent="0.25">
      <c r="H32927" s="12"/>
      <c r="I32927" s="12"/>
      <c r="J32927" s="12"/>
      <c r="K32927" s="12"/>
      <c r="L32927" s="12"/>
      <c r="M32927" s="11"/>
      <c r="N32927" s="11"/>
      <c r="O32927" s="11"/>
      <c r="P32927" s="11"/>
    </row>
    <row r="32928" spans="8:16" x14ac:dyDescent="0.25">
      <c r="H32928" s="12"/>
      <c r="I32928" s="12"/>
      <c r="J32928" s="12"/>
      <c r="K32928" s="12"/>
      <c r="L32928" s="12"/>
      <c r="M32928" s="11"/>
      <c r="N32928" s="11"/>
      <c r="O32928" s="11"/>
      <c r="P32928" s="11"/>
    </row>
    <row r="32929" spans="8:16" x14ac:dyDescent="0.25">
      <c r="H32929" s="12"/>
      <c r="I32929" s="12"/>
      <c r="J32929" s="12"/>
      <c r="K32929" s="12"/>
      <c r="L32929" s="12"/>
      <c r="M32929" s="11"/>
      <c r="N32929" s="11"/>
      <c r="O32929" s="11"/>
      <c r="P32929" s="11"/>
    </row>
    <row r="32930" spans="8:16" x14ac:dyDescent="0.25">
      <c r="H32930" s="12"/>
      <c r="I32930" s="12"/>
      <c r="J32930" s="12"/>
      <c r="K32930" s="12"/>
      <c r="L32930" s="12"/>
      <c r="M32930" s="11"/>
      <c r="N32930" s="11"/>
      <c r="O32930" s="11"/>
      <c r="P32930" s="11"/>
    </row>
    <row r="32931" spans="8:16" x14ac:dyDescent="0.25">
      <c r="H32931" s="12"/>
      <c r="I32931" s="12"/>
      <c r="J32931" s="12"/>
      <c r="K32931" s="12"/>
      <c r="L32931" s="12"/>
      <c r="M32931" s="11"/>
      <c r="N32931" s="11"/>
      <c r="O32931" s="11"/>
      <c r="P32931" s="11"/>
    </row>
    <row r="32932" spans="8:16" x14ac:dyDescent="0.25">
      <c r="H32932" s="12"/>
      <c r="I32932" s="12"/>
      <c r="J32932" s="12"/>
      <c r="K32932" s="12"/>
      <c r="L32932" s="12"/>
      <c r="M32932" s="11"/>
      <c r="N32932" s="11"/>
      <c r="O32932" s="11"/>
      <c r="P32932" s="11"/>
    </row>
    <row r="32933" spans="8:16" x14ac:dyDescent="0.25">
      <c r="H32933" s="12"/>
      <c r="I32933" s="12"/>
      <c r="J32933" s="12"/>
      <c r="K32933" s="12"/>
      <c r="L32933" s="12"/>
      <c r="M32933" s="11"/>
      <c r="N32933" s="11"/>
      <c r="O32933" s="11"/>
      <c r="P32933" s="11"/>
    </row>
    <row r="32934" spans="8:16" x14ac:dyDescent="0.25">
      <c r="H32934" s="12"/>
      <c r="I32934" s="12"/>
      <c r="J32934" s="12"/>
      <c r="K32934" s="12"/>
      <c r="L32934" s="12"/>
      <c r="M32934" s="11"/>
      <c r="N32934" s="11"/>
      <c r="O32934" s="11"/>
      <c r="P32934" s="11"/>
    </row>
    <row r="32935" spans="8:16" x14ac:dyDescent="0.25">
      <c r="H32935" s="12"/>
      <c r="I32935" s="12"/>
      <c r="J32935" s="12"/>
      <c r="K32935" s="12"/>
      <c r="L32935" s="12"/>
      <c r="M32935" s="11"/>
      <c r="N32935" s="11"/>
      <c r="O32935" s="11"/>
      <c r="P32935" s="11"/>
    </row>
    <row r="32936" spans="8:16" x14ac:dyDescent="0.25">
      <c r="H32936" s="12"/>
      <c r="I32936" s="12"/>
      <c r="J32936" s="12"/>
      <c r="K32936" s="12"/>
      <c r="L32936" s="12"/>
      <c r="M32936" s="11"/>
      <c r="N32936" s="11"/>
      <c r="O32936" s="11"/>
      <c r="P32936" s="11"/>
    </row>
    <row r="32937" spans="8:16" x14ac:dyDescent="0.25">
      <c r="H32937" s="12"/>
      <c r="I32937" s="12"/>
      <c r="J32937" s="12"/>
      <c r="K32937" s="12"/>
      <c r="L32937" s="12"/>
      <c r="M32937" s="11"/>
      <c r="N32937" s="11"/>
      <c r="O32937" s="11"/>
      <c r="P32937" s="11"/>
    </row>
    <row r="32938" spans="8:16" x14ac:dyDescent="0.25">
      <c r="H32938" s="12"/>
      <c r="I32938" s="12"/>
      <c r="J32938" s="12"/>
      <c r="K32938" s="12"/>
      <c r="L32938" s="12"/>
      <c r="M32938" s="11"/>
      <c r="N32938" s="11"/>
      <c r="O32938" s="11"/>
      <c r="P32938" s="11"/>
    </row>
    <row r="32939" spans="8:16" x14ac:dyDescent="0.25">
      <c r="H32939" s="12"/>
      <c r="I32939" s="12"/>
      <c r="J32939" s="12"/>
      <c r="K32939" s="12"/>
      <c r="L32939" s="12"/>
      <c r="M32939" s="11"/>
      <c r="N32939" s="11"/>
      <c r="O32939" s="11"/>
      <c r="P32939" s="11"/>
    </row>
    <row r="32940" spans="8:16" x14ac:dyDescent="0.25">
      <c r="H32940" s="12"/>
      <c r="I32940" s="12"/>
      <c r="J32940" s="12"/>
      <c r="K32940" s="12"/>
      <c r="L32940" s="12"/>
      <c r="M32940" s="11"/>
      <c r="N32940" s="11"/>
      <c r="O32940" s="11"/>
      <c r="P32940" s="11"/>
    </row>
    <row r="32941" spans="8:16" x14ac:dyDescent="0.25">
      <c r="H32941" s="12"/>
      <c r="I32941" s="12"/>
      <c r="J32941" s="12"/>
      <c r="K32941" s="12"/>
      <c r="L32941" s="12"/>
      <c r="M32941" s="11"/>
      <c r="N32941" s="11"/>
      <c r="O32941" s="11"/>
      <c r="P32941" s="11"/>
    </row>
    <row r="32942" spans="8:16" x14ac:dyDescent="0.25">
      <c r="H32942" s="12"/>
      <c r="I32942" s="12"/>
      <c r="J32942" s="12"/>
      <c r="K32942" s="12"/>
      <c r="L32942" s="12"/>
      <c r="M32942" s="11"/>
      <c r="N32942" s="11"/>
      <c r="O32942" s="11"/>
      <c r="P32942" s="11"/>
    </row>
    <row r="32943" spans="8:16" x14ac:dyDescent="0.25">
      <c r="H32943" s="12"/>
      <c r="I32943" s="12"/>
      <c r="J32943" s="12"/>
      <c r="K32943" s="12"/>
      <c r="L32943" s="12"/>
      <c r="M32943" s="11"/>
      <c r="N32943" s="11"/>
      <c r="O32943" s="11"/>
      <c r="P32943" s="11"/>
    </row>
    <row r="32944" spans="8:16" x14ac:dyDescent="0.25">
      <c r="H32944" s="12"/>
      <c r="I32944" s="12"/>
      <c r="J32944" s="12"/>
      <c r="K32944" s="12"/>
      <c r="L32944" s="12"/>
      <c r="M32944" s="11"/>
      <c r="N32944" s="11"/>
      <c r="O32944" s="11"/>
      <c r="P32944" s="11"/>
    </row>
    <row r="32945" spans="8:16" x14ac:dyDescent="0.25">
      <c r="H32945" s="12"/>
      <c r="I32945" s="12"/>
      <c r="J32945" s="12"/>
      <c r="K32945" s="12"/>
      <c r="L32945" s="12"/>
      <c r="M32945" s="11"/>
      <c r="N32945" s="11"/>
      <c r="O32945" s="11"/>
      <c r="P32945" s="11"/>
    </row>
    <row r="32946" spans="8:16" x14ac:dyDescent="0.25">
      <c r="H32946" s="12"/>
      <c r="I32946" s="12"/>
      <c r="J32946" s="12"/>
      <c r="K32946" s="12"/>
      <c r="L32946" s="12"/>
      <c r="M32946" s="11"/>
      <c r="N32946" s="11"/>
      <c r="O32946" s="11"/>
      <c r="P32946" s="11"/>
    </row>
    <row r="32947" spans="8:16" x14ac:dyDescent="0.25">
      <c r="H32947" s="12"/>
      <c r="I32947" s="12"/>
      <c r="J32947" s="12"/>
      <c r="K32947" s="12"/>
      <c r="L32947" s="12"/>
      <c r="M32947" s="11"/>
      <c r="N32947" s="11"/>
      <c r="O32947" s="11"/>
      <c r="P32947" s="11"/>
    </row>
    <row r="32948" spans="8:16" x14ac:dyDescent="0.25">
      <c r="H32948" s="12"/>
      <c r="I32948" s="12"/>
      <c r="J32948" s="12"/>
      <c r="K32948" s="12"/>
      <c r="L32948" s="12"/>
      <c r="M32948" s="11"/>
      <c r="N32948" s="11"/>
      <c r="O32948" s="11"/>
      <c r="P32948" s="11"/>
    </row>
    <row r="32949" spans="8:16" x14ac:dyDescent="0.25">
      <c r="H32949" s="12"/>
      <c r="I32949" s="12"/>
      <c r="J32949" s="12"/>
      <c r="K32949" s="12"/>
      <c r="L32949" s="12"/>
      <c r="M32949" s="11"/>
      <c r="N32949" s="11"/>
      <c r="O32949" s="11"/>
      <c r="P32949" s="11"/>
    </row>
    <row r="32950" spans="8:16" x14ac:dyDescent="0.25">
      <c r="H32950" s="12"/>
      <c r="I32950" s="12"/>
      <c r="J32950" s="12"/>
      <c r="K32950" s="12"/>
      <c r="L32950" s="12"/>
      <c r="M32950" s="11"/>
      <c r="N32950" s="11"/>
      <c r="O32950" s="11"/>
      <c r="P32950" s="11"/>
    </row>
    <row r="32951" spans="8:16" x14ac:dyDescent="0.25">
      <c r="H32951" s="12"/>
      <c r="I32951" s="12"/>
      <c r="J32951" s="12"/>
      <c r="K32951" s="12"/>
      <c r="L32951" s="12"/>
      <c r="M32951" s="11"/>
      <c r="N32951" s="11"/>
      <c r="O32951" s="11"/>
      <c r="P32951" s="11"/>
    </row>
    <row r="32952" spans="8:16" x14ac:dyDescent="0.25">
      <c r="H32952" s="12"/>
      <c r="I32952" s="12"/>
      <c r="J32952" s="12"/>
      <c r="K32952" s="12"/>
      <c r="L32952" s="12"/>
      <c r="M32952" s="11"/>
      <c r="N32952" s="11"/>
      <c r="O32952" s="11"/>
      <c r="P32952" s="11"/>
    </row>
    <row r="32953" spans="8:16" x14ac:dyDescent="0.25">
      <c r="H32953" s="12"/>
      <c r="I32953" s="12"/>
      <c r="J32953" s="12"/>
      <c r="K32953" s="12"/>
      <c r="L32953" s="12"/>
      <c r="M32953" s="11"/>
      <c r="N32953" s="11"/>
      <c r="O32953" s="11"/>
      <c r="P32953" s="11"/>
    </row>
    <row r="32954" spans="8:16" x14ac:dyDescent="0.25">
      <c r="H32954" s="12"/>
      <c r="I32954" s="12"/>
      <c r="J32954" s="12"/>
      <c r="K32954" s="12"/>
      <c r="L32954" s="12"/>
      <c r="M32954" s="11"/>
      <c r="N32954" s="11"/>
      <c r="O32954" s="11"/>
      <c r="P32954" s="11"/>
    </row>
    <row r="32955" spans="8:16" x14ac:dyDescent="0.25">
      <c r="H32955" s="12"/>
      <c r="I32955" s="12"/>
      <c r="J32955" s="12"/>
      <c r="K32955" s="12"/>
      <c r="L32955" s="12"/>
      <c r="M32955" s="11"/>
      <c r="N32955" s="11"/>
      <c r="O32955" s="11"/>
      <c r="P32955" s="11"/>
    </row>
    <row r="32956" spans="8:16" x14ac:dyDescent="0.25">
      <c r="H32956" s="12"/>
      <c r="I32956" s="12"/>
      <c r="J32956" s="12"/>
      <c r="K32956" s="12"/>
      <c r="L32956" s="12"/>
      <c r="M32956" s="11"/>
      <c r="N32956" s="11"/>
      <c r="O32956" s="11"/>
      <c r="P32956" s="11"/>
    </row>
    <row r="32957" spans="8:16" x14ac:dyDescent="0.25">
      <c r="H32957" s="12"/>
      <c r="I32957" s="12"/>
      <c r="J32957" s="12"/>
      <c r="K32957" s="12"/>
      <c r="L32957" s="12"/>
      <c r="M32957" s="11"/>
      <c r="N32957" s="11"/>
      <c r="O32957" s="11"/>
      <c r="P32957" s="11"/>
    </row>
    <row r="32958" spans="8:16" x14ac:dyDescent="0.25">
      <c r="H32958" s="12"/>
      <c r="I32958" s="12"/>
      <c r="J32958" s="12"/>
      <c r="K32958" s="12"/>
      <c r="L32958" s="12"/>
      <c r="M32958" s="11"/>
      <c r="N32958" s="11"/>
      <c r="O32958" s="11"/>
      <c r="P32958" s="11"/>
    </row>
    <row r="32959" spans="8:16" x14ac:dyDescent="0.25">
      <c r="H32959" s="12"/>
      <c r="I32959" s="12"/>
      <c r="J32959" s="12"/>
      <c r="K32959" s="12"/>
      <c r="L32959" s="12"/>
      <c r="M32959" s="11"/>
      <c r="N32959" s="11"/>
      <c r="O32959" s="11"/>
      <c r="P32959" s="11"/>
    </row>
    <row r="32960" spans="8:16" x14ac:dyDescent="0.25">
      <c r="H32960" s="12"/>
      <c r="I32960" s="12"/>
      <c r="J32960" s="12"/>
      <c r="K32960" s="12"/>
      <c r="L32960" s="12"/>
      <c r="M32960" s="11"/>
      <c r="N32960" s="11"/>
      <c r="O32960" s="11"/>
      <c r="P32960" s="11"/>
    </row>
    <row r="32961" spans="8:16" x14ac:dyDescent="0.25">
      <c r="H32961" s="12"/>
      <c r="I32961" s="12"/>
      <c r="J32961" s="12"/>
      <c r="K32961" s="12"/>
      <c r="L32961" s="12"/>
      <c r="M32961" s="11"/>
      <c r="N32961" s="11"/>
      <c r="O32961" s="11"/>
      <c r="P32961" s="11"/>
    </row>
    <row r="32962" spans="8:16" x14ac:dyDescent="0.25">
      <c r="H32962" s="12"/>
      <c r="I32962" s="12"/>
      <c r="J32962" s="12"/>
      <c r="K32962" s="12"/>
      <c r="L32962" s="12"/>
      <c r="M32962" s="11"/>
      <c r="N32962" s="11"/>
      <c r="O32962" s="11"/>
      <c r="P32962" s="11"/>
    </row>
    <row r="32963" spans="8:16" x14ac:dyDescent="0.25">
      <c r="H32963" s="12"/>
      <c r="I32963" s="12"/>
      <c r="J32963" s="12"/>
      <c r="K32963" s="12"/>
      <c r="L32963" s="12"/>
      <c r="M32963" s="11"/>
      <c r="N32963" s="11"/>
      <c r="O32963" s="11"/>
      <c r="P32963" s="11"/>
    </row>
    <row r="32964" spans="8:16" x14ac:dyDescent="0.25">
      <c r="H32964" s="12"/>
      <c r="I32964" s="12"/>
      <c r="J32964" s="12"/>
      <c r="K32964" s="12"/>
      <c r="L32964" s="12"/>
      <c r="M32964" s="11"/>
      <c r="N32964" s="11"/>
      <c r="O32964" s="11"/>
      <c r="P32964" s="11"/>
    </row>
    <row r="32965" spans="8:16" x14ac:dyDescent="0.25">
      <c r="H32965" s="12"/>
      <c r="I32965" s="12"/>
      <c r="J32965" s="12"/>
      <c r="K32965" s="12"/>
      <c r="L32965" s="12"/>
      <c r="M32965" s="11"/>
      <c r="N32965" s="11"/>
      <c r="O32965" s="11"/>
      <c r="P32965" s="11"/>
    </row>
    <row r="32966" spans="8:16" x14ac:dyDescent="0.25">
      <c r="H32966" s="12"/>
      <c r="I32966" s="12"/>
      <c r="J32966" s="12"/>
      <c r="K32966" s="12"/>
      <c r="L32966" s="12"/>
      <c r="M32966" s="11"/>
      <c r="N32966" s="11"/>
      <c r="O32966" s="11"/>
      <c r="P32966" s="11"/>
    </row>
    <row r="32967" spans="8:16" x14ac:dyDescent="0.25">
      <c r="H32967" s="12"/>
      <c r="I32967" s="12"/>
      <c r="J32967" s="12"/>
      <c r="K32967" s="12"/>
      <c r="L32967" s="12"/>
      <c r="M32967" s="11"/>
      <c r="N32967" s="11"/>
      <c r="O32967" s="11"/>
      <c r="P32967" s="11"/>
    </row>
    <row r="32968" spans="8:16" x14ac:dyDescent="0.25">
      <c r="H32968" s="12"/>
      <c r="I32968" s="12"/>
      <c r="J32968" s="12"/>
      <c r="K32968" s="12"/>
      <c r="L32968" s="12"/>
      <c r="M32968" s="11"/>
      <c r="N32968" s="11"/>
      <c r="O32968" s="11"/>
      <c r="P32968" s="11"/>
    </row>
    <row r="32969" spans="8:16" x14ac:dyDescent="0.25">
      <c r="H32969" s="12"/>
      <c r="I32969" s="12"/>
      <c r="J32969" s="12"/>
      <c r="K32969" s="12"/>
      <c r="L32969" s="12"/>
      <c r="M32969" s="11"/>
      <c r="N32969" s="11"/>
      <c r="O32969" s="11"/>
      <c r="P32969" s="11"/>
    </row>
    <row r="32970" spans="8:16" x14ac:dyDescent="0.25">
      <c r="H32970" s="12"/>
      <c r="I32970" s="12"/>
      <c r="J32970" s="12"/>
      <c r="K32970" s="12"/>
      <c r="L32970" s="12"/>
      <c r="M32970" s="11"/>
      <c r="N32970" s="11"/>
      <c r="O32970" s="11"/>
      <c r="P32970" s="11"/>
    </row>
    <row r="32971" spans="8:16" x14ac:dyDescent="0.25">
      <c r="H32971" s="12"/>
      <c r="I32971" s="12"/>
      <c r="J32971" s="12"/>
      <c r="K32971" s="12"/>
      <c r="L32971" s="12"/>
      <c r="M32971" s="11"/>
      <c r="N32971" s="11"/>
      <c r="O32971" s="11"/>
      <c r="P32971" s="11"/>
    </row>
    <row r="32972" spans="8:16" x14ac:dyDescent="0.25">
      <c r="H32972" s="12"/>
      <c r="I32972" s="12"/>
      <c r="J32972" s="12"/>
      <c r="K32972" s="12"/>
      <c r="L32972" s="12"/>
      <c r="M32972" s="11"/>
      <c r="N32972" s="11"/>
      <c r="O32972" s="11"/>
      <c r="P32972" s="11"/>
    </row>
    <row r="32973" spans="8:16" x14ac:dyDescent="0.25">
      <c r="H32973" s="12"/>
      <c r="I32973" s="12"/>
      <c r="J32973" s="12"/>
      <c r="K32973" s="12"/>
      <c r="L32973" s="12"/>
      <c r="M32973" s="11"/>
      <c r="N32973" s="11"/>
      <c r="O32973" s="11"/>
      <c r="P32973" s="11"/>
    </row>
    <row r="32974" spans="8:16" x14ac:dyDescent="0.25">
      <c r="H32974" s="12"/>
      <c r="I32974" s="12"/>
      <c r="J32974" s="12"/>
      <c r="K32974" s="12"/>
      <c r="L32974" s="12"/>
      <c r="M32974" s="11"/>
      <c r="N32974" s="11"/>
      <c r="O32974" s="11"/>
      <c r="P32974" s="11"/>
    </row>
    <row r="32975" spans="8:16" x14ac:dyDescent="0.25">
      <c r="H32975" s="12"/>
      <c r="I32975" s="12"/>
      <c r="J32975" s="12"/>
      <c r="K32975" s="12"/>
      <c r="L32975" s="12"/>
      <c r="M32975" s="11"/>
      <c r="N32975" s="11"/>
      <c r="O32975" s="11"/>
      <c r="P32975" s="11"/>
    </row>
    <row r="32976" spans="8:16" x14ac:dyDescent="0.25">
      <c r="H32976" s="12"/>
      <c r="I32976" s="12"/>
      <c r="J32976" s="12"/>
      <c r="K32976" s="12"/>
      <c r="L32976" s="12"/>
      <c r="M32976" s="11"/>
      <c r="N32976" s="11"/>
      <c r="O32976" s="11"/>
      <c r="P32976" s="11"/>
    </row>
    <row r="32977" spans="8:16" x14ac:dyDescent="0.25">
      <c r="H32977" s="12"/>
      <c r="I32977" s="12"/>
      <c r="J32977" s="12"/>
      <c r="K32977" s="12"/>
      <c r="L32977" s="12"/>
      <c r="M32977" s="11"/>
      <c r="N32977" s="11"/>
      <c r="O32977" s="11"/>
      <c r="P32977" s="11"/>
    </row>
    <row r="32978" spans="8:16" x14ac:dyDescent="0.25">
      <c r="H32978" s="12"/>
      <c r="I32978" s="12"/>
      <c r="J32978" s="12"/>
      <c r="K32978" s="12"/>
      <c r="L32978" s="12"/>
      <c r="M32978" s="11"/>
      <c r="N32978" s="11"/>
      <c r="O32978" s="11"/>
      <c r="P32978" s="11"/>
    </row>
    <row r="32979" spans="8:16" x14ac:dyDescent="0.25">
      <c r="H32979" s="12"/>
      <c r="I32979" s="12"/>
      <c r="J32979" s="12"/>
      <c r="K32979" s="12"/>
      <c r="L32979" s="12"/>
      <c r="M32979" s="11"/>
      <c r="N32979" s="11"/>
      <c r="O32979" s="11"/>
      <c r="P32979" s="11"/>
    </row>
    <row r="32980" spans="8:16" x14ac:dyDescent="0.25">
      <c r="H32980" s="12"/>
      <c r="I32980" s="12"/>
      <c r="J32980" s="12"/>
      <c r="K32980" s="12"/>
      <c r="L32980" s="12"/>
      <c r="M32980" s="11"/>
      <c r="N32980" s="11"/>
      <c r="O32980" s="11"/>
      <c r="P32980" s="11"/>
    </row>
    <row r="32981" spans="8:16" x14ac:dyDescent="0.25">
      <c r="H32981" s="12"/>
      <c r="I32981" s="12"/>
      <c r="J32981" s="12"/>
      <c r="K32981" s="12"/>
      <c r="L32981" s="12"/>
      <c r="M32981" s="11"/>
      <c r="N32981" s="11"/>
      <c r="O32981" s="11"/>
      <c r="P32981" s="11"/>
    </row>
    <row r="32982" spans="8:16" x14ac:dyDescent="0.25">
      <c r="H32982" s="12"/>
      <c r="I32982" s="12"/>
      <c r="J32982" s="12"/>
      <c r="K32982" s="12"/>
      <c r="L32982" s="12"/>
      <c r="M32982" s="11"/>
      <c r="N32982" s="11"/>
      <c r="O32982" s="11"/>
      <c r="P32982" s="11"/>
    </row>
    <row r="32983" spans="8:16" x14ac:dyDescent="0.25">
      <c r="H32983" s="12"/>
      <c r="I32983" s="12"/>
      <c r="J32983" s="12"/>
      <c r="K32983" s="12"/>
      <c r="L32983" s="12"/>
      <c r="M32983" s="11"/>
      <c r="N32983" s="11"/>
      <c r="O32983" s="11"/>
      <c r="P32983" s="11"/>
    </row>
    <row r="32984" spans="8:16" x14ac:dyDescent="0.25">
      <c r="H32984" s="12"/>
      <c r="I32984" s="12"/>
      <c r="J32984" s="12"/>
      <c r="K32984" s="12"/>
      <c r="L32984" s="12"/>
      <c r="M32984" s="11"/>
      <c r="N32984" s="11"/>
      <c r="O32984" s="11"/>
      <c r="P32984" s="11"/>
    </row>
    <row r="32985" spans="8:16" x14ac:dyDescent="0.25">
      <c r="H32985" s="12"/>
      <c r="I32985" s="12"/>
      <c r="J32985" s="12"/>
      <c r="K32985" s="12"/>
      <c r="L32985" s="12"/>
      <c r="M32985" s="11"/>
      <c r="N32985" s="11"/>
      <c r="O32985" s="11"/>
      <c r="P32985" s="11"/>
    </row>
    <row r="32986" spans="8:16" x14ac:dyDescent="0.25">
      <c r="H32986" s="12"/>
      <c r="I32986" s="12"/>
      <c r="J32986" s="12"/>
      <c r="K32986" s="12"/>
      <c r="L32986" s="12"/>
      <c r="M32986" s="11"/>
      <c r="N32986" s="11"/>
      <c r="O32986" s="11"/>
      <c r="P32986" s="11"/>
    </row>
    <row r="32987" spans="8:16" x14ac:dyDescent="0.25">
      <c r="H32987" s="12"/>
      <c r="I32987" s="12"/>
      <c r="J32987" s="12"/>
      <c r="K32987" s="12"/>
      <c r="L32987" s="12"/>
      <c r="M32987" s="11"/>
      <c r="N32987" s="11"/>
      <c r="O32987" s="11"/>
      <c r="P32987" s="11"/>
    </row>
    <row r="32988" spans="8:16" x14ac:dyDescent="0.25">
      <c r="H32988" s="12"/>
      <c r="I32988" s="12"/>
      <c r="J32988" s="12"/>
      <c r="K32988" s="12"/>
      <c r="L32988" s="12"/>
      <c r="M32988" s="11"/>
      <c r="N32988" s="11"/>
      <c r="O32988" s="11"/>
      <c r="P32988" s="11"/>
    </row>
    <row r="32989" spans="8:16" x14ac:dyDescent="0.25">
      <c r="H32989" s="12"/>
      <c r="I32989" s="12"/>
      <c r="J32989" s="12"/>
      <c r="K32989" s="12"/>
      <c r="L32989" s="12"/>
      <c r="M32989" s="11"/>
      <c r="N32989" s="11"/>
      <c r="O32989" s="11"/>
      <c r="P32989" s="11"/>
    </row>
    <row r="32990" spans="8:16" x14ac:dyDescent="0.25">
      <c r="H32990" s="12"/>
      <c r="I32990" s="12"/>
      <c r="J32990" s="12"/>
      <c r="K32990" s="12"/>
      <c r="L32990" s="12"/>
      <c r="M32990" s="11"/>
      <c r="N32990" s="11"/>
      <c r="O32990" s="11"/>
      <c r="P32990" s="11"/>
    </row>
    <row r="32991" spans="8:16" x14ac:dyDescent="0.25">
      <c r="H32991" s="12"/>
      <c r="I32991" s="12"/>
      <c r="J32991" s="12"/>
      <c r="K32991" s="12"/>
      <c r="L32991" s="12"/>
      <c r="M32991" s="11"/>
      <c r="N32991" s="11"/>
      <c r="O32991" s="11"/>
      <c r="P32991" s="11"/>
    </row>
    <row r="32992" spans="8:16" x14ac:dyDescent="0.25">
      <c r="H32992" s="12"/>
      <c r="I32992" s="12"/>
      <c r="J32992" s="12"/>
      <c r="K32992" s="12"/>
      <c r="L32992" s="12"/>
      <c r="M32992" s="11"/>
      <c r="N32992" s="11"/>
      <c r="O32992" s="11"/>
      <c r="P32992" s="11"/>
    </row>
    <row r="32993" spans="8:16" x14ac:dyDescent="0.25">
      <c r="H32993" s="12"/>
      <c r="I32993" s="12"/>
      <c r="J32993" s="12"/>
      <c r="K32993" s="12"/>
      <c r="L32993" s="12"/>
      <c r="M32993" s="11"/>
      <c r="N32993" s="11"/>
      <c r="O32993" s="11"/>
      <c r="P32993" s="11"/>
    </row>
    <row r="32994" spans="8:16" x14ac:dyDescent="0.25">
      <c r="H32994" s="12"/>
      <c r="I32994" s="12"/>
      <c r="J32994" s="12"/>
      <c r="K32994" s="12"/>
      <c r="L32994" s="12"/>
      <c r="M32994" s="11"/>
      <c r="N32994" s="11"/>
      <c r="O32994" s="11"/>
      <c r="P32994" s="11"/>
    </row>
    <row r="32995" spans="8:16" x14ac:dyDescent="0.25">
      <c r="H32995" s="12"/>
      <c r="I32995" s="12"/>
      <c r="J32995" s="12"/>
      <c r="K32995" s="12"/>
      <c r="L32995" s="12"/>
      <c r="M32995" s="11"/>
      <c r="N32995" s="11"/>
      <c r="O32995" s="11"/>
      <c r="P32995" s="11"/>
    </row>
    <row r="32996" spans="8:16" x14ac:dyDescent="0.25">
      <c r="H32996" s="12"/>
      <c r="I32996" s="12"/>
      <c r="J32996" s="12"/>
      <c r="K32996" s="12"/>
      <c r="L32996" s="12"/>
      <c r="M32996" s="11"/>
      <c r="N32996" s="11"/>
      <c r="O32996" s="11"/>
      <c r="P32996" s="11"/>
    </row>
    <row r="32997" spans="8:16" x14ac:dyDescent="0.25">
      <c r="H32997" s="12"/>
      <c r="I32997" s="12"/>
      <c r="J32997" s="12"/>
      <c r="K32997" s="12"/>
      <c r="L32997" s="12"/>
      <c r="M32997" s="11"/>
      <c r="N32997" s="11"/>
      <c r="O32997" s="11"/>
      <c r="P32997" s="11"/>
    </row>
    <row r="32998" spans="8:16" x14ac:dyDescent="0.25">
      <c r="H32998" s="12"/>
      <c r="I32998" s="12"/>
      <c r="J32998" s="12"/>
      <c r="K32998" s="12"/>
      <c r="L32998" s="12"/>
      <c r="M32998" s="11"/>
      <c r="N32998" s="11"/>
      <c r="O32998" s="11"/>
      <c r="P32998" s="11"/>
    </row>
    <row r="32999" spans="8:16" x14ac:dyDescent="0.25">
      <c r="H32999" s="12"/>
      <c r="I32999" s="12"/>
      <c r="J32999" s="12"/>
      <c r="K32999" s="12"/>
      <c r="L32999" s="12"/>
      <c r="M32999" s="11"/>
      <c r="N32999" s="11"/>
      <c r="O32999" s="11"/>
      <c r="P32999" s="11"/>
    </row>
    <row r="33000" spans="8:16" x14ac:dyDescent="0.25">
      <c r="H33000" s="12"/>
      <c r="I33000" s="12"/>
      <c r="J33000" s="12"/>
      <c r="K33000" s="12"/>
      <c r="L33000" s="12"/>
      <c r="M33000" s="11"/>
      <c r="N33000" s="11"/>
      <c r="O33000" s="11"/>
      <c r="P33000" s="11"/>
    </row>
    <row r="33001" spans="8:16" x14ac:dyDescent="0.25">
      <c r="H33001" s="12"/>
      <c r="I33001" s="12"/>
      <c r="J33001" s="12"/>
      <c r="K33001" s="12"/>
      <c r="L33001" s="12"/>
      <c r="M33001" s="11"/>
      <c r="N33001" s="11"/>
      <c r="O33001" s="11"/>
      <c r="P33001" s="11"/>
    </row>
    <row r="33002" spans="8:16" x14ac:dyDescent="0.25">
      <c r="H33002" s="12"/>
      <c r="I33002" s="12"/>
      <c r="J33002" s="12"/>
      <c r="K33002" s="12"/>
      <c r="L33002" s="12"/>
      <c r="M33002" s="11"/>
      <c r="N33002" s="11"/>
      <c r="O33002" s="11"/>
      <c r="P33002" s="11"/>
    </row>
    <row r="33003" spans="8:16" x14ac:dyDescent="0.25">
      <c r="H33003" s="12"/>
      <c r="I33003" s="12"/>
      <c r="J33003" s="12"/>
      <c r="K33003" s="12"/>
      <c r="L33003" s="12"/>
      <c r="M33003" s="11"/>
      <c r="N33003" s="11"/>
      <c r="O33003" s="11"/>
      <c r="P33003" s="11"/>
    </row>
    <row r="33004" spans="8:16" x14ac:dyDescent="0.25">
      <c r="H33004" s="12"/>
      <c r="I33004" s="12"/>
      <c r="J33004" s="12"/>
      <c r="K33004" s="12"/>
      <c r="L33004" s="12"/>
      <c r="M33004" s="11"/>
      <c r="N33004" s="11"/>
      <c r="O33004" s="11"/>
      <c r="P33004" s="11"/>
    </row>
    <row r="33005" spans="8:16" x14ac:dyDescent="0.25">
      <c r="H33005" s="12"/>
      <c r="I33005" s="12"/>
      <c r="J33005" s="12"/>
      <c r="K33005" s="12"/>
      <c r="L33005" s="12"/>
      <c r="M33005" s="11"/>
      <c r="N33005" s="11"/>
      <c r="O33005" s="11"/>
      <c r="P33005" s="11"/>
    </row>
    <row r="33006" spans="8:16" x14ac:dyDescent="0.25">
      <c r="H33006" s="12"/>
      <c r="I33006" s="12"/>
      <c r="J33006" s="12"/>
      <c r="K33006" s="12"/>
      <c r="L33006" s="12"/>
      <c r="M33006" s="11"/>
      <c r="N33006" s="11"/>
      <c r="O33006" s="11"/>
      <c r="P33006" s="11"/>
    </row>
    <row r="33007" spans="8:16" x14ac:dyDescent="0.25">
      <c r="H33007" s="12"/>
      <c r="I33007" s="12"/>
      <c r="J33007" s="12"/>
      <c r="K33007" s="12"/>
      <c r="L33007" s="12"/>
      <c r="M33007" s="11"/>
      <c r="N33007" s="11"/>
      <c r="O33007" s="11"/>
      <c r="P33007" s="11"/>
    </row>
    <row r="33008" spans="8:16" x14ac:dyDescent="0.25">
      <c r="H33008" s="12"/>
      <c r="I33008" s="12"/>
      <c r="J33008" s="12"/>
      <c r="K33008" s="12"/>
      <c r="L33008" s="12"/>
      <c r="M33008" s="11"/>
      <c r="N33008" s="11"/>
      <c r="O33008" s="11"/>
      <c r="P33008" s="11"/>
    </row>
    <row r="33009" spans="8:16" x14ac:dyDescent="0.25">
      <c r="H33009" s="12"/>
      <c r="I33009" s="12"/>
      <c r="J33009" s="12"/>
      <c r="K33009" s="12"/>
      <c r="L33009" s="12"/>
      <c r="M33009" s="11"/>
      <c r="N33009" s="11"/>
      <c r="O33009" s="11"/>
      <c r="P33009" s="11"/>
    </row>
    <row r="33010" spans="8:16" x14ac:dyDescent="0.25">
      <c r="H33010" s="12"/>
      <c r="I33010" s="12"/>
      <c r="J33010" s="12"/>
      <c r="K33010" s="12"/>
      <c r="L33010" s="12"/>
      <c r="M33010" s="11"/>
      <c r="N33010" s="11"/>
      <c r="O33010" s="11"/>
      <c r="P33010" s="11"/>
    </row>
    <row r="33011" spans="8:16" x14ac:dyDescent="0.25">
      <c r="H33011" s="12"/>
      <c r="I33011" s="12"/>
      <c r="J33011" s="12"/>
      <c r="K33011" s="12"/>
      <c r="L33011" s="12"/>
      <c r="M33011" s="11"/>
      <c r="N33011" s="11"/>
      <c r="O33011" s="11"/>
      <c r="P33011" s="11"/>
    </row>
    <row r="33012" spans="8:16" x14ac:dyDescent="0.25">
      <c r="H33012" s="12"/>
      <c r="I33012" s="12"/>
      <c r="J33012" s="12"/>
      <c r="K33012" s="12"/>
      <c r="L33012" s="12"/>
      <c r="M33012" s="11"/>
      <c r="N33012" s="11"/>
      <c r="O33012" s="11"/>
      <c r="P33012" s="11"/>
    </row>
    <row r="33013" spans="8:16" x14ac:dyDescent="0.25">
      <c r="H33013" s="12"/>
      <c r="I33013" s="12"/>
      <c r="J33013" s="12"/>
      <c r="K33013" s="12"/>
      <c r="L33013" s="12"/>
      <c r="M33013" s="11"/>
      <c r="N33013" s="11"/>
      <c r="O33013" s="11"/>
      <c r="P33013" s="11"/>
    </row>
    <row r="33014" spans="8:16" x14ac:dyDescent="0.25">
      <c r="H33014" s="12"/>
      <c r="I33014" s="12"/>
      <c r="J33014" s="12"/>
      <c r="K33014" s="12"/>
      <c r="L33014" s="12"/>
      <c r="M33014" s="11"/>
      <c r="N33014" s="11"/>
      <c r="O33014" s="11"/>
      <c r="P33014" s="11"/>
    </row>
    <row r="33015" spans="8:16" x14ac:dyDescent="0.25">
      <c r="H33015" s="12"/>
      <c r="I33015" s="12"/>
      <c r="J33015" s="12"/>
      <c r="K33015" s="12"/>
      <c r="L33015" s="12"/>
      <c r="M33015" s="11"/>
      <c r="N33015" s="11"/>
      <c r="O33015" s="11"/>
      <c r="P33015" s="11"/>
    </row>
    <row r="33016" spans="8:16" x14ac:dyDescent="0.25">
      <c r="H33016" s="12"/>
      <c r="I33016" s="12"/>
      <c r="J33016" s="12"/>
      <c r="K33016" s="12"/>
      <c r="L33016" s="12"/>
      <c r="M33016" s="11"/>
      <c r="N33016" s="11"/>
      <c r="O33016" s="11"/>
      <c r="P33016" s="11"/>
    </row>
    <row r="33017" spans="8:16" x14ac:dyDescent="0.25">
      <c r="H33017" s="12"/>
      <c r="I33017" s="12"/>
      <c r="J33017" s="12"/>
      <c r="K33017" s="12"/>
      <c r="L33017" s="12"/>
      <c r="M33017" s="11"/>
      <c r="N33017" s="11"/>
      <c r="O33017" s="11"/>
      <c r="P33017" s="11"/>
    </row>
    <row r="33018" spans="8:16" x14ac:dyDescent="0.25">
      <c r="H33018" s="12"/>
      <c r="I33018" s="12"/>
      <c r="J33018" s="12"/>
      <c r="K33018" s="12"/>
      <c r="L33018" s="12"/>
      <c r="M33018" s="11"/>
      <c r="N33018" s="11"/>
      <c r="O33018" s="11"/>
      <c r="P33018" s="11"/>
    </row>
    <row r="33019" spans="8:16" x14ac:dyDescent="0.25">
      <c r="H33019" s="12"/>
      <c r="I33019" s="12"/>
      <c r="J33019" s="12"/>
      <c r="K33019" s="12"/>
      <c r="L33019" s="12"/>
      <c r="M33019" s="11"/>
      <c r="N33019" s="11"/>
      <c r="O33019" s="11"/>
      <c r="P33019" s="11"/>
    </row>
    <row r="33020" spans="8:16" x14ac:dyDescent="0.25">
      <c r="H33020" s="12"/>
      <c r="I33020" s="12"/>
      <c r="J33020" s="12"/>
      <c r="K33020" s="12"/>
      <c r="L33020" s="12"/>
      <c r="M33020" s="11"/>
      <c r="N33020" s="11"/>
      <c r="O33020" s="11"/>
      <c r="P33020" s="11"/>
    </row>
    <row r="33021" spans="8:16" x14ac:dyDescent="0.25">
      <c r="H33021" s="12"/>
      <c r="I33021" s="12"/>
      <c r="J33021" s="12"/>
      <c r="K33021" s="12"/>
      <c r="L33021" s="12"/>
      <c r="M33021" s="11"/>
      <c r="N33021" s="11"/>
      <c r="O33021" s="11"/>
      <c r="P33021" s="11"/>
    </row>
    <row r="33022" spans="8:16" x14ac:dyDescent="0.25">
      <c r="H33022" s="12"/>
      <c r="I33022" s="12"/>
      <c r="J33022" s="12"/>
      <c r="K33022" s="12"/>
      <c r="L33022" s="12"/>
      <c r="M33022" s="11"/>
      <c r="N33022" s="11"/>
      <c r="O33022" s="11"/>
      <c r="P33022" s="11"/>
    </row>
    <row r="33023" spans="8:16" x14ac:dyDescent="0.25">
      <c r="H33023" s="12"/>
      <c r="I33023" s="12"/>
      <c r="J33023" s="12"/>
      <c r="K33023" s="12"/>
      <c r="L33023" s="12"/>
      <c r="M33023" s="11"/>
      <c r="N33023" s="11"/>
      <c r="O33023" s="11"/>
      <c r="P33023" s="11"/>
    </row>
    <row r="33024" spans="8:16" x14ac:dyDescent="0.25">
      <c r="H33024" s="12"/>
      <c r="I33024" s="12"/>
      <c r="J33024" s="12"/>
      <c r="K33024" s="12"/>
      <c r="L33024" s="12"/>
      <c r="M33024" s="11"/>
      <c r="N33024" s="11"/>
      <c r="O33024" s="11"/>
      <c r="P33024" s="11"/>
    </row>
    <row r="33025" spans="8:16" x14ac:dyDescent="0.25">
      <c r="H33025" s="12"/>
      <c r="I33025" s="12"/>
      <c r="J33025" s="12"/>
      <c r="K33025" s="12"/>
      <c r="L33025" s="12"/>
      <c r="M33025" s="11"/>
      <c r="N33025" s="11"/>
      <c r="O33025" s="11"/>
      <c r="P33025" s="11"/>
    </row>
    <row r="33026" spans="8:16" x14ac:dyDescent="0.25">
      <c r="H33026" s="12"/>
      <c r="I33026" s="12"/>
      <c r="J33026" s="12"/>
      <c r="K33026" s="12"/>
      <c r="L33026" s="12"/>
      <c r="M33026" s="11"/>
      <c r="N33026" s="11"/>
      <c r="O33026" s="11"/>
      <c r="P33026" s="11"/>
    </row>
    <row r="33027" spans="8:16" x14ac:dyDescent="0.25">
      <c r="H33027" s="12"/>
      <c r="I33027" s="12"/>
      <c r="J33027" s="12"/>
      <c r="K33027" s="12"/>
      <c r="L33027" s="12"/>
      <c r="M33027" s="11"/>
      <c r="N33027" s="11"/>
      <c r="O33027" s="11"/>
      <c r="P33027" s="11"/>
    </row>
    <row r="33028" spans="8:16" x14ac:dyDescent="0.25">
      <c r="H33028" s="12"/>
      <c r="I33028" s="12"/>
      <c r="J33028" s="12"/>
      <c r="K33028" s="12"/>
      <c r="L33028" s="12"/>
      <c r="M33028" s="11"/>
      <c r="N33028" s="11"/>
      <c r="O33028" s="11"/>
      <c r="P33028" s="11"/>
    </row>
    <row r="33029" spans="8:16" x14ac:dyDescent="0.25">
      <c r="H33029" s="12"/>
      <c r="I33029" s="12"/>
      <c r="J33029" s="12"/>
      <c r="K33029" s="12"/>
      <c r="L33029" s="12"/>
      <c r="M33029" s="11"/>
      <c r="N33029" s="11"/>
      <c r="O33029" s="11"/>
      <c r="P33029" s="11"/>
    </row>
    <row r="33030" spans="8:16" x14ac:dyDescent="0.25">
      <c r="H33030" s="12"/>
      <c r="I33030" s="12"/>
      <c r="J33030" s="12"/>
      <c r="K33030" s="12"/>
      <c r="L33030" s="12"/>
      <c r="M33030" s="11"/>
      <c r="N33030" s="11"/>
      <c r="O33030" s="11"/>
      <c r="P33030" s="11"/>
    </row>
    <row r="33031" spans="8:16" x14ac:dyDescent="0.25">
      <c r="H33031" s="12"/>
      <c r="I33031" s="12"/>
      <c r="J33031" s="12"/>
      <c r="K33031" s="12"/>
      <c r="L33031" s="12"/>
      <c r="M33031" s="11"/>
      <c r="N33031" s="11"/>
      <c r="O33031" s="11"/>
      <c r="P33031" s="11"/>
    </row>
    <row r="33032" spans="8:16" x14ac:dyDescent="0.25">
      <c r="H33032" s="12"/>
      <c r="I33032" s="12"/>
      <c r="J33032" s="12"/>
      <c r="K33032" s="12"/>
      <c r="L33032" s="12"/>
      <c r="M33032" s="11"/>
      <c r="N33032" s="11"/>
      <c r="O33032" s="11"/>
      <c r="P33032" s="11"/>
    </row>
    <row r="33033" spans="8:16" x14ac:dyDescent="0.25">
      <c r="H33033" s="12"/>
      <c r="I33033" s="12"/>
      <c r="J33033" s="12"/>
      <c r="K33033" s="12"/>
      <c r="L33033" s="12"/>
      <c r="M33033" s="11"/>
      <c r="N33033" s="11"/>
      <c r="O33033" s="11"/>
      <c r="P33033" s="11"/>
    </row>
    <row r="33034" spans="8:16" x14ac:dyDescent="0.25">
      <c r="H33034" s="12"/>
      <c r="I33034" s="12"/>
      <c r="J33034" s="12"/>
      <c r="K33034" s="12"/>
      <c r="L33034" s="12"/>
      <c r="M33034" s="11"/>
      <c r="N33034" s="11"/>
      <c r="O33034" s="11"/>
      <c r="P33034" s="11"/>
    </row>
    <row r="33035" spans="8:16" x14ac:dyDescent="0.25">
      <c r="H33035" s="12"/>
      <c r="I33035" s="12"/>
      <c r="J33035" s="12"/>
      <c r="K33035" s="12"/>
      <c r="L33035" s="12"/>
      <c r="M33035" s="11"/>
      <c r="N33035" s="11"/>
      <c r="O33035" s="11"/>
      <c r="P33035" s="11"/>
    </row>
    <row r="33036" spans="8:16" x14ac:dyDescent="0.25">
      <c r="H33036" s="12"/>
      <c r="I33036" s="12"/>
      <c r="J33036" s="12"/>
      <c r="K33036" s="12"/>
      <c r="L33036" s="12"/>
      <c r="M33036" s="11"/>
      <c r="N33036" s="11"/>
      <c r="O33036" s="11"/>
      <c r="P33036" s="11"/>
    </row>
    <row r="33037" spans="8:16" x14ac:dyDescent="0.25">
      <c r="H33037" s="12"/>
      <c r="I33037" s="12"/>
      <c r="J33037" s="12"/>
      <c r="K33037" s="12"/>
      <c r="L33037" s="12"/>
      <c r="M33037" s="11"/>
      <c r="N33037" s="11"/>
      <c r="O33037" s="11"/>
      <c r="P33037" s="11"/>
    </row>
    <row r="33038" spans="8:16" x14ac:dyDescent="0.25">
      <c r="H33038" s="12"/>
      <c r="I33038" s="12"/>
      <c r="J33038" s="12"/>
      <c r="K33038" s="12"/>
      <c r="L33038" s="12"/>
      <c r="M33038" s="11"/>
      <c r="N33038" s="11"/>
      <c r="O33038" s="11"/>
      <c r="P33038" s="11"/>
    </row>
    <row r="33039" spans="8:16" x14ac:dyDescent="0.25">
      <c r="H33039" s="12"/>
      <c r="I33039" s="12"/>
      <c r="J33039" s="12"/>
      <c r="K33039" s="12"/>
      <c r="L33039" s="12"/>
      <c r="M33039" s="11"/>
      <c r="N33039" s="11"/>
      <c r="O33039" s="11"/>
      <c r="P33039" s="11"/>
    </row>
    <row r="33040" spans="8:16" x14ac:dyDescent="0.25">
      <c r="H33040" s="12"/>
      <c r="I33040" s="12"/>
      <c r="J33040" s="12"/>
      <c r="K33040" s="12"/>
      <c r="L33040" s="12"/>
      <c r="M33040" s="11"/>
      <c r="N33040" s="11"/>
      <c r="O33040" s="11"/>
      <c r="P33040" s="11"/>
    </row>
    <row r="33041" spans="8:16" x14ac:dyDescent="0.25">
      <c r="H33041" s="12"/>
      <c r="I33041" s="12"/>
      <c r="J33041" s="12"/>
      <c r="K33041" s="12"/>
      <c r="L33041" s="12"/>
      <c r="M33041" s="11"/>
      <c r="N33041" s="11"/>
      <c r="O33041" s="11"/>
      <c r="P33041" s="11"/>
    </row>
    <row r="33042" spans="8:16" x14ac:dyDescent="0.25">
      <c r="H33042" s="12"/>
      <c r="I33042" s="12"/>
      <c r="J33042" s="12"/>
      <c r="K33042" s="12"/>
      <c r="L33042" s="12"/>
      <c r="M33042" s="11"/>
      <c r="N33042" s="11"/>
      <c r="O33042" s="11"/>
      <c r="P33042" s="11"/>
    </row>
    <row r="33043" spans="8:16" x14ac:dyDescent="0.25">
      <c r="H33043" s="12"/>
      <c r="I33043" s="12"/>
      <c r="J33043" s="12"/>
      <c r="K33043" s="12"/>
      <c r="L33043" s="12"/>
      <c r="M33043" s="11"/>
      <c r="N33043" s="11"/>
      <c r="O33043" s="11"/>
      <c r="P33043" s="11"/>
    </row>
    <row r="33044" spans="8:16" x14ac:dyDescent="0.25">
      <c r="H33044" s="12"/>
      <c r="I33044" s="12"/>
      <c r="J33044" s="12"/>
      <c r="K33044" s="12"/>
      <c r="L33044" s="12"/>
      <c r="M33044" s="11"/>
      <c r="N33044" s="11"/>
      <c r="O33044" s="11"/>
      <c r="P33044" s="11"/>
    </row>
    <row r="33045" spans="8:16" x14ac:dyDescent="0.25">
      <c r="H33045" s="12"/>
      <c r="I33045" s="12"/>
      <c r="J33045" s="12"/>
      <c r="K33045" s="12"/>
      <c r="L33045" s="12"/>
      <c r="M33045" s="11"/>
      <c r="N33045" s="11"/>
      <c r="O33045" s="11"/>
      <c r="P33045" s="11"/>
    </row>
    <row r="33046" spans="8:16" x14ac:dyDescent="0.25">
      <c r="H33046" s="12"/>
      <c r="I33046" s="12"/>
      <c r="J33046" s="12"/>
      <c r="K33046" s="12"/>
      <c r="L33046" s="12"/>
      <c r="M33046" s="11"/>
      <c r="N33046" s="11"/>
      <c r="O33046" s="11"/>
      <c r="P33046" s="11"/>
    </row>
    <row r="33047" spans="8:16" x14ac:dyDescent="0.25">
      <c r="H33047" s="12"/>
      <c r="I33047" s="12"/>
      <c r="J33047" s="12"/>
      <c r="K33047" s="12"/>
      <c r="L33047" s="12"/>
      <c r="M33047" s="11"/>
      <c r="N33047" s="11"/>
      <c r="O33047" s="11"/>
      <c r="P33047" s="11"/>
    </row>
    <row r="33048" spans="8:16" x14ac:dyDescent="0.25">
      <c r="H33048" s="12"/>
      <c r="I33048" s="12"/>
      <c r="J33048" s="12"/>
      <c r="K33048" s="12"/>
      <c r="L33048" s="12"/>
      <c r="M33048" s="11"/>
      <c r="N33048" s="11"/>
      <c r="O33048" s="11"/>
      <c r="P33048" s="11"/>
    </row>
    <row r="33049" spans="8:16" x14ac:dyDescent="0.25">
      <c r="H33049" s="12"/>
      <c r="I33049" s="12"/>
      <c r="J33049" s="12"/>
      <c r="K33049" s="12"/>
      <c r="L33049" s="12"/>
      <c r="M33049" s="11"/>
      <c r="N33049" s="11"/>
      <c r="O33049" s="11"/>
      <c r="P33049" s="11"/>
    </row>
    <row r="33050" spans="8:16" x14ac:dyDescent="0.25">
      <c r="H33050" s="12"/>
      <c r="I33050" s="12"/>
      <c r="J33050" s="12"/>
      <c r="K33050" s="12"/>
      <c r="L33050" s="12"/>
      <c r="M33050" s="11"/>
      <c r="N33050" s="11"/>
      <c r="O33050" s="11"/>
      <c r="P33050" s="11"/>
    </row>
    <row r="33051" spans="8:16" x14ac:dyDescent="0.25">
      <c r="H33051" s="12"/>
      <c r="I33051" s="12"/>
      <c r="J33051" s="12"/>
      <c r="K33051" s="12"/>
      <c r="L33051" s="12"/>
      <c r="M33051" s="11"/>
      <c r="N33051" s="11"/>
      <c r="O33051" s="11"/>
      <c r="P33051" s="11"/>
    </row>
    <row r="33052" spans="8:16" x14ac:dyDescent="0.25">
      <c r="H33052" s="12"/>
      <c r="I33052" s="12"/>
      <c r="J33052" s="12"/>
      <c r="K33052" s="12"/>
      <c r="L33052" s="12"/>
      <c r="M33052" s="11"/>
      <c r="N33052" s="11"/>
      <c r="O33052" s="11"/>
      <c r="P33052" s="11"/>
    </row>
    <row r="33053" spans="8:16" x14ac:dyDescent="0.25">
      <c r="H33053" s="12"/>
      <c r="I33053" s="12"/>
      <c r="J33053" s="12"/>
      <c r="K33053" s="12"/>
      <c r="L33053" s="12"/>
      <c r="M33053" s="11"/>
      <c r="N33053" s="11"/>
      <c r="O33053" s="11"/>
      <c r="P33053" s="11"/>
    </row>
    <row r="33054" spans="8:16" x14ac:dyDescent="0.25">
      <c r="H33054" s="12"/>
      <c r="I33054" s="12"/>
      <c r="J33054" s="12"/>
      <c r="K33054" s="12"/>
      <c r="L33054" s="12"/>
      <c r="M33054" s="11"/>
      <c r="N33054" s="11"/>
      <c r="O33054" s="11"/>
      <c r="P33054" s="11"/>
    </row>
    <row r="33055" spans="8:16" x14ac:dyDescent="0.25">
      <c r="H33055" s="12"/>
      <c r="I33055" s="12"/>
      <c r="J33055" s="12"/>
      <c r="K33055" s="12"/>
      <c r="L33055" s="12"/>
      <c r="M33055" s="11"/>
      <c r="N33055" s="11"/>
      <c r="O33055" s="11"/>
      <c r="P33055" s="11"/>
    </row>
    <row r="33056" spans="8:16" x14ac:dyDescent="0.25">
      <c r="H33056" s="12"/>
      <c r="I33056" s="12"/>
      <c r="J33056" s="12"/>
      <c r="K33056" s="12"/>
      <c r="L33056" s="12"/>
      <c r="M33056" s="11"/>
      <c r="N33056" s="11"/>
      <c r="O33056" s="11"/>
      <c r="P33056" s="11"/>
    </row>
    <row r="33057" spans="8:16" x14ac:dyDescent="0.25">
      <c r="H33057" s="12"/>
      <c r="I33057" s="12"/>
      <c r="J33057" s="12"/>
      <c r="K33057" s="12"/>
      <c r="L33057" s="12"/>
      <c r="M33057" s="11"/>
      <c r="N33057" s="11"/>
      <c r="O33057" s="11"/>
      <c r="P33057" s="11"/>
    </row>
    <row r="33058" spans="8:16" x14ac:dyDescent="0.25">
      <c r="H33058" s="12"/>
      <c r="I33058" s="12"/>
      <c r="J33058" s="12"/>
      <c r="K33058" s="12"/>
      <c r="L33058" s="12"/>
      <c r="M33058" s="11"/>
      <c r="N33058" s="11"/>
      <c r="O33058" s="11"/>
      <c r="P33058" s="11"/>
    </row>
    <row r="33059" spans="8:16" x14ac:dyDescent="0.25">
      <c r="H33059" s="12"/>
      <c r="I33059" s="12"/>
      <c r="J33059" s="12"/>
      <c r="K33059" s="12"/>
      <c r="L33059" s="12"/>
      <c r="M33059" s="11"/>
      <c r="N33059" s="11"/>
      <c r="O33059" s="11"/>
      <c r="P33059" s="11"/>
    </row>
    <row r="33060" spans="8:16" x14ac:dyDescent="0.25">
      <c r="H33060" s="12"/>
      <c r="I33060" s="12"/>
      <c r="J33060" s="12"/>
      <c r="K33060" s="12"/>
      <c r="L33060" s="12"/>
      <c r="M33060" s="11"/>
      <c r="N33060" s="11"/>
      <c r="O33060" s="11"/>
      <c r="P33060" s="11"/>
    </row>
    <row r="33061" spans="8:16" x14ac:dyDescent="0.25">
      <c r="H33061" s="12"/>
      <c r="I33061" s="12"/>
      <c r="J33061" s="12"/>
      <c r="K33061" s="12"/>
      <c r="L33061" s="12"/>
      <c r="M33061" s="11"/>
      <c r="N33061" s="11"/>
      <c r="O33061" s="11"/>
      <c r="P33061" s="11"/>
    </row>
    <row r="33062" spans="8:16" x14ac:dyDescent="0.25">
      <c r="H33062" s="12"/>
      <c r="I33062" s="12"/>
      <c r="J33062" s="12"/>
      <c r="K33062" s="12"/>
      <c r="L33062" s="12"/>
      <c r="M33062" s="11"/>
      <c r="N33062" s="11"/>
      <c r="O33062" s="11"/>
      <c r="P33062" s="11"/>
    </row>
    <row r="33063" spans="8:16" x14ac:dyDescent="0.25">
      <c r="H33063" s="12"/>
      <c r="I33063" s="12"/>
      <c r="J33063" s="12"/>
      <c r="K33063" s="12"/>
      <c r="L33063" s="12"/>
      <c r="M33063" s="11"/>
      <c r="N33063" s="11"/>
      <c r="O33063" s="11"/>
      <c r="P33063" s="11"/>
    </row>
    <row r="33064" spans="8:16" x14ac:dyDescent="0.25">
      <c r="H33064" s="12"/>
      <c r="I33064" s="12"/>
      <c r="J33064" s="12"/>
      <c r="K33064" s="12"/>
      <c r="L33064" s="12"/>
      <c r="M33064" s="11"/>
      <c r="N33064" s="11"/>
      <c r="O33064" s="11"/>
      <c r="P33064" s="11"/>
    </row>
    <row r="33065" spans="8:16" x14ac:dyDescent="0.25">
      <c r="H33065" s="12"/>
      <c r="I33065" s="12"/>
      <c r="J33065" s="12"/>
      <c r="K33065" s="12"/>
      <c r="L33065" s="12"/>
      <c r="M33065" s="11"/>
      <c r="N33065" s="11"/>
      <c r="O33065" s="11"/>
      <c r="P33065" s="11"/>
    </row>
    <row r="33066" spans="8:16" x14ac:dyDescent="0.25">
      <c r="H33066" s="12"/>
      <c r="I33066" s="12"/>
      <c r="J33066" s="12"/>
      <c r="K33066" s="12"/>
      <c r="L33066" s="12"/>
      <c r="M33066" s="11"/>
      <c r="N33066" s="11"/>
      <c r="O33066" s="11"/>
      <c r="P33066" s="11"/>
    </row>
    <row r="33067" spans="8:16" x14ac:dyDescent="0.25">
      <c r="H33067" s="12"/>
      <c r="I33067" s="12"/>
      <c r="J33067" s="12"/>
      <c r="K33067" s="12"/>
      <c r="L33067" s="12"/>
      <c r="M33067" s="11"/>
      <c r="N33067" s="11"/>
      <c r="O33067" s="11"/>
      <c r="P33067" s="11"/>
    </row>
    <row r="33068" spans="8:16" x14ac:dyDescent="0.25">
      <c r="H33068" s="12"/>
      <c r="I33068" s="12"/>
      <c r="J33068" s="12"/>
      <c r="K33068" s="12"/>
      <c r="L33068" s="12"/>
      <c r="M33068" s="11"/>
      <c r="N33068" s="11"/>
      <c r="O33068" s="11"/>
      <c r="P33068" s="11"/>
    </row>
    <row r="33069" spans="8:16" x14ac:dyDescent="0.25">
      <c r="H33069" s="12"/>
      <c r="I33069" s="12"/>
      <c r="J33069" s="12"/>
      <c r="K33069" s="12"/>
      <c r="L33069" s="12"/>
      <c r="M33069" s="11"/>
      <c r="N33069" s="11"/>
      <c r="O33069" s="11"/>
      <c r="P33069" s="11"/>
    </row>
    <row r="33070" spans="8:16" x14ac:dyDescent="0.25">
      <c r="H33070" s="12"/>
      <c r="I33070" s="12"/>
      <c r="J33070" s="12"/>
      <c r="K33070" s="12"/>
      <c r="L33070" s="12"/>
      <c r="M33070" s="11"/>
      <c r="N33070" s="11"/>
      <c r="O33070" s="11"/>
      <c r="P33070" s="11"/>
    </row>
    <row r="33071" spans="8:16" x14ac:dyDescent="0.25">
      <c r="H33071" s="12"/>
      <c r="I33071" s="12"/>
      <c r="J33071" s="12"/>
      <c r="K33071" s="12"/>
      <c r="L33071" s="12"/>
      <c r="M33071" s="11"/>
      <c r="N33071" s="11"/>
      <c r="O33071" s="11"/>
      <c r="P33071" s="11"/>
    </row>
    <row r="33072" spans="8:16" x14ac:dyDescent="0.25">
      <c r="H33072" s="12"/>
      <c r="I33072" s="12"/>
      <c r="J33072" s="12"/>
      <c r="K33072" s="12"/>
      <c r="L33072" s="12"/>
      <c r="M33072" s="11"/>
      <c r="N33072" s="11"/>
      <c r="O33072" s="11"/>
      <c r="P33072" s="11"/>
    </row>
    <row r="33073" spans="8:16" x14ac:dyDescent="0.25">
      <c r="H33073" s="12"/>
      <c r="I33073" s="12"/>
      <c r="J33073" s="12"/>
      <c r="K33073" s="12"/>
      <c r="L33073" s="12"/>
      <c r="M33073" s="11"/>
      <c r="N33073" s="11"/>
      <c r="O33073" s="11"/>
      <c r="P33073" s="11"/>
    </row>
    <row r="33074" spans="8:16" x14ac:dyDescent="0.25">
      <c r="H33074" s="12"/>
      <c r="I33074" s="12"/>
      <c r="J33074" s="12"/>
      <c r="K33074" s="12"/>
      <c r="L33074" s="12"/>
      <c r="M33074" s="11"/>
      <c r="N33074" s="11"/>
      <c r="O33074" s="11"/>
      <c r="P33074" s="11"/>
    </row>
    <row r="33075" spans="8:16" x14ac:dyDescent="0.25">
      <c r="H33075" s="12"/>
      <c r="I33075" s="12"/>
      <c r="J33075" s="12"/>
      <c r="K33075" s="12"/>
      <c r="L33075" s="12"/>
      <c r="M33075" s="11"/>
      <c r="N33075" s="11"/>
      <c r="O33075" s="11"/>
      <c r="P33075" s="11"/>
    </row>
    <row r="33076" spans="8:16" x14ac:dyDescent="0.25">
      <c r="H33076" s="12"/>
      <c r="I33076" s="12"/>
      <c r="J33076" s="12"/>
      <c r="K33076" s="12"/>
      <c r="L33076" s="12"/>
      <c r="M33076" s="11"/>
      <c r="N33076" s="11"/>
      <c r="O33076" s="11"/>
      <c r="P33076" s="11"/>
    </row>
    <row r="33077" spans="8:16" x14ac:dyDescent="0.25">
      <c r="H33077" s="12"/>
      <c r="I33077" s="12"/>
      <c r="J33077" s="12"/>
      <c r="K33077" s="12"/>
      <c r="L33077" s="12"/>
      <c r="M33077" s="11"/>
      <c r="N33077" s="11"/>
      <c r="O33077" s="11"/>
      <c r="P33077" s="11"/>
    </row>
    <row r="33078" spans="8:16" x14ac:dyDescent="0.25">
      <c r="H33078" s="12"/>
      <c r="I33078" s="12"/>
      <c r="J33078" s="12"/>
      <c r="K33078" s="12"/>
      <c r="L33078" s="12"/>
      <c r="M33078" s="11"/>
      <c r="N33078" s="11"/>
      <c r="O33078" s="11"/>
      <c r="P33078" s="11"/>
    </row>
    <row r="33079" spans="8:16" x14ac:dyDescent="0.25">
      <c r="H33079" s="12"/>
      <c r="I33079" s="12"/>
      <c r="J33079" s="12"/>
      <c r="K33079" s="12"/>
      <c r="L33079" s="12"/>
      <c r="M33079" s="11"/>
      <c r="N33079" s="11"/>
      <c r="O33079" s="11"/>
      <c r="P33079" s="11"/>
    </row>
    <row r="33080" spans="8:16" x14ac:dyDescent="0.25">
      <c r="H33080" s="12"/>
      <c r="I33080" s="12"/>
      <c r="J33080" s="12"/>
      <c r="K33080" s="12"/>
      <c r="L33080" s="12"/>
      <c r="M33080" s="11"/>
      <c r="N33080" s="11"/>
      <c r="O33080" s="11"/>
      <c r="P33080" s="11"/>
    </row>
    <row r="33081" spans="8:16" x14ac:dyDescent="0.25">
      <c r="H33081" s="12"/>
      <c r="I33081" s="12"/>
      <c r="J33081" s="12"/>
      <c r="K33081" s="12"/>
      <c r="L33081" s="12"/>
      <c r="M33081" s="11"/>
      <c r="N33081" s="11"/>
      <c r="O33081" s="11"/>
      <c r="P33081" s="11"/>
    </row>
    <row r="33082" spans="8:16" x14ac:dyDescent="0.25">
      <c r="H33082" s="12"/>
      <c r="I33082" s="12"/>
      <c r="J33082" s="12"/>
      <c r="K33082" s="12"/>
      <c r="L33082" s="12"/>
      <c r="M33082" s="11"/>
      <c r="N33082" s="11"/>
      <c r="O33082" s="11"/>
      <c r="P33082" s="11"/>
    </row>
    <row r="33083" spans="8:16" x14ac:dyDescent="0.25">
      <c r="H33083" s="12"/>
      <c r="I33083" s="12"/>
      <c r="J33083" s="12"/>
      <c r="K33083" s="12"/>
      <c r="L33083" s="12"/>
      <c r="M33083" s="11"/>
      <c r="N33083" s="11"/>
      <c r="O33083" s="11"/>
      <c r="P33083" s="11"/>
    </row>
    <row r="33084" spans="8:16" x14ac:dyDescent="0.25">
      <c r="H33084" s="12"/>
      <c r="I33084" s="12"/>
      <c r="J33084" s="12"/>
      <c r="K33084" s="12"/>
      <c r="L33084" s="12"/>
      <c r="M33084" s="11"/>
      <c r="N33084" s="11"/>
      <c r="O33084" s="11"/>
      <c r="P33084" s="11"/>
    </row>
    <row r="33085" spans="8:16" x14ac:dyDescent="0.25">
      <c r="H33085" s="12"/>
      <c r="I33085" s="12"/>
      <c r="J33085" s="12"/>
      <c r="K33085" s="12"/>
      <c r="L33085" s="12"/>
      <c r="M33085" s="11"/>
      <c r="N33085" s="11"/>
      <c r="O33085" s="11"/>
      <c r="P33085" s="11"/>
    </row>
    <row r="33086" spans="8:16" x14ac:dyDescent="0.25">
      <c r="H33086" s="12"/>
      <c r="I33086" s="12"/>
      <c r="J33086" s="12"/>
      <c r="K33086" s="12"/>
      <c r="L33086" s="12"/>
      <c r="M33086" s="11"/>
      <c r="N33086" s="11"/>
      <c r="O33086" s="11"/>
      <c r="P33086" s="11"/>
    </row>
    <row r="33087" spans="8:16" x14ac:dyDescent="0.25">
      <c r="H33087" s="12"/>
      <c r="I33087" s="12"/>
      <c r="J33087" s="12"/>
      <c r="K33087" s="12"/>
      <c r="L33087" s="12"/>
      <c r="M33087" s="11"/>
      <c r="N33087" s="11"/>
      <c r="O33087" s="11"/>
      <c r="P33087" s="11"/>
    </row>
    <row r="33088" spans="8:16" x14ac:dyDescent="0.25">
      <c r="H33088" s="12"/>
      <c r="I33088" s="12"/>
      <c r="J33088" s="12"/>
      <c r="K33088" s="12"/>
      <c r="L33088" s="12"/>
      <c r="M33088" s="11"/>
      <c r="N33088" s="11"/>
      <c r="O33088" s="11"/>
      <c r="P33088" s="11"/>
    </row>
    <row r="33089" spans="8:16" x14ac:dyDescent="0.25">
      <c r="H33089" s="12"/>
      <c r="I33089" s="12"/>
      <c r="J33089" s="12"/>
      <c r="K33089" s="12"/>
      <c r="L33089" s="12"/>
      <c r="M33089" s="11"/>
      <c r="N33089" s="11"/>
      <c r="O33089" s="11"/>
      <c r="P33089" s="11"/>
    </row>
    <row r="33090" spans="8:16" x14ac:dyDescent="0.25">
      <c r="H33090" s="12"/>
      <c r="I33090" s="12"/>
      <c r="J33090" s="12"/>
      <c r="K33090" s="12"/>
      <c r="L33090" s="12"/>
      <c r="M33090" s="11"/>
      <c r="N33090" s="11"/>
      <c r="O33090" s="11"/>
      <c r="P33090" s="11"/>
    </row>
    <row r="33091" spans="8:16" x14ac:dyDescent="0.25">
      <c r="H33091" s="12"/>
      <c r="I33091" s="12"/>
      <c r="J33091" s="12"/>
      <c r="K33091" s="12"/>
      <c r="L33091" s="12"/>
      <c r="M33091" s="11"/>
      <c r="N33091" s="11"/>
      <c r="O33091" s="11"/>
      <c r="P33091" s="11"/>
    </row>
    <row r="33092" spans="8:16" x14ac:dyDescent="0.25">
      <c r="H33092" s="12"/>
      <c r="I33092" s="12"/>
      <c r="J33092" s="12"/>
      <c r="K33092" s="12"/>
      <c r="L33092" s="12"/>
      <c r="M33092" s="11"/>
      <c r="N33092" s="11"/>
      <c r="O33092" s="11"/>
      <c r="P33092" s="11"/>
    </row>
    <row r="33093" spans="8:16" x14ac:dyDescent="0.25">
      <c r="H33093" s="12"/>
      <c r="I33093" s="12"/>
      <c r="J33093" s="12"/>
      <c r="K33093" s="12"/>
      <c r="L33093" s="12"/>
      <c r="M33093" s="11"/>
      <c r="N33093" s="11"/>
      <c r="O33093" s="11"/>
      <c r="P33093" s="11"/>
    </row>
    <row r="33094" spans="8:16" x14ac:dyDescent="0.25">
      <c r="H33094" s="12"/>
      <c r="I33094" s="12"/>
      <c r="J33094" s="12"/>
      <c r="K33094" s="12"/>
      <c r="L33094" s="12"/>
      <c r="M33094" s="11"/>
      <c r="N33094" s="11"/>
      <c r="O33094" s="11"/>
      <c r="P33094" s="11"/>
    </row>
    <row r="33095" spans="8:16" x14ac:dyDescent="0.25">
      <c r="H33095" s="12"/>
      <c r="I33095" s="12"/>
      <c r="J33095" s="12"/>
      <c r="K33095" s="12"/>
      <c r="L33095" s="12"/>
      <c r="M33095" s="11"/>
      <c r="N33095" s="11"/>
      <c r="O33095" s="11"/>
      <c r="P33095" s="11"/>
    </row>
    <row r="33096" spans="8:16" x14ac:dyDescent="0.25">
      <c r="H33096" s="12"/>
      <c r="I33096" s="12"/>
      <c r="J33096" s="12"/>
      <c r="K33096" s="12"/>
      <c r="L33096" s="12"/>
      <c r="M33096" s="11"/>
      <c r="N33096" s="11"/>
      <c r="O33096" s="11"/>
      <c r="P33096" s="11"/>
    </row>
    <row r="33097" spans="8:16" x14ac:dyDescent="0.25">
      <c r="H33097" s="12"/>
      <c r="I33097" s="12"/>
      <c r="J33097" s="12"/>
      <c r="K33097" s="12"/>
      <c r="L33097" s="12"/>
      <c r="M33097" s="11"/>
      <c r="N33097" s="11"/>
      <c r="O33097" s="11"/>
      <c r="P33097" s="11"/>
    </row>
    <row r="33098" spans="8:16" x14ac:dyDescent="0.25">
      <c r="H33098" s="12"/>
      <c r="I33098" s="12"/>
      <c r="J33098" s="12"/>
      <c r="K33098" s="12"/>
      <c r="L33098" s="12"/>
      <c r="M33098" s="11"/>
      <c r="N33098" s="11"/>
      <c r="O33098" s="11"/>
      <c r="P33098" s="11"/>
    </row>
    <row r="33099" spans="8:16" x14ac:dyDescent="0.25">
      <c r="H33099" s="12"/>
      <c r="I33099" s="12"/>
      <c r="J33099" s="12"/>
      <c r="K33099" s="12"/>
      <c r="L33099" s="12"/>
      <c r="M33099" s="11"/>
      <c r="N33099" s="11"/>
      <c r="O33099" s="11"/>
      <c r="P33099" s="11"/>
    </row>
    <row r="33100" spans="8:16" x14ac:dyDescent="0.25">
      <c r="H33100" s="12"/>
      <c r="I33100" s="12"/>
      <c r="J33100" s="12"/>
      <c r="K33100" s="12"/>
      <c r="L33100" s="12"/>
      <c r="M33100" s="11"/>
      <c r="N33100" s="11"/>
      <c r="O33100" s="11"/>
      <c r="P33100" s="11"/>
    </row>
    <row r="33101" spans="8:16" x14ac:dyDescent="0.25">
      <c r="H33101" s="12"/>
      <c r="I33101" s="12"/>
      <c r="J33101" s="12"/>
      <c r="K33101" s="12"/>
      <c r="L33101" s="12"/>
      <c r="M33101" s="11"/>
      <c r="N33101" s="11"/>
      <c r="O33101" s="11"/>
      <c r="P33101" s="11"/>
    </row>
    <row r="33102" spans="8:16" x14ac:dyDescent="0.25">
      <c r="H33102" s="12"/>
      <c r="I33102" s="12"/>
      <c r="J33102" s="12"/>
      <c r="K33102" s="12"/>
      <c r="L33102" s="12"/>
      <c r="M33102" s="11"/>
      <c r="N33102" s="11"/>
      <c r="O33102" s="11"/>
      <c r="P33102" s="11"/>
    </row>
    <row r="33103" spans="8:16" x14ac:dyDescent="0.25">
      <c r="H33103" s="12"/>
      <c r="I33103" s="12"/>
      <c r="J33103" s="12"/>
      <c r="K33103" s="12"/>
      <c r="L33103" s="12"/>
      <c r="M33103" s="11"/>
      <c r="N33103" s="11"/>
      <c r="O33103" s="11"/>
      <c r="P33103" s="11"/>
    </row>
    <row r="33104" spans="8:16" x14ac:dyDescent="0.25">
      <c r="H33104" s="12"/>
      <c r="I33104" s="12"/>
      <c r="J33104" s="12"/>
      <c r="K33104" s="12"/>
      <c r="L33104" s="12"/>
      <c r="M33104" s="11"/>
      <c r="N33104" s="11"/>
      <c r="O33104" s="11"/>
      <c r="P33104" s="11"/>
    </row>
    <row r="33105" spans="8:16" x14ac:dyDescent="0.25">
      <c r="H33105" s="12"/>
      <c r="I33105" s="12"/>
      <c r="J33105" s="12"/>
      <c r="K33105" s="12"/>
      <c r="L33105" s="12"/>
      <c r="M33105" s="11"/>
      <c r="N33105" s="11"/>
      <c r="O33105" s="11"/>
      <c r="P33105" s="11"/>
    </row>
    <row r="33106" spans="8:16" x14ac:dyDescent="0.25">
      <c r="H33106" s="12"/>
      <c r="I33106" s="12"/>
      <c r="J33106" s="12"/>
      <c r="K33106" s="12"/>
      <c r="L33106" s="12"/>
      <c r="M33106" s="11"/>
      <c r="N33106" s="11"/>
      <c r="O33106" s="11"/>
      <c r="P33106" s="11"/>
    </row>
    <row r="33107" spans="8:16" x14ac:dyDescent="0.25">
      <c r="H33107" s="12"/>
      <c r="I33107" s="12"/>
      <c r="J33107" s="12"/>
      <c r="K33107" s="12"/>
      <c r="L33107" s="12"/>
      <c r="M33107" s="11"/>
      <c r="N33107" s="11"/>
      <c r="O33107" s="11"/>
      <c r="P33107" s="11"/>
    </row>
    <row r="33108" spans="8:16" x14ac:dyDescent="0.25">
      <c r="H33108" s="12"/>
      <c r="I33108" s="12"/>
      <c r="J33108" s="12"/>
      <c r="K33108" s="12"/>
      <c r="L33108" s="12"/>
      <c r="M33108" s="11"/>
      <c r="N33108" s="11"/>
      <c r="O33108" s="11"/>
      <c r="P33108" s="11"/>
    </row>
    <row r="33109" spans="8:16" x14ac:dyDescent="0.25">
      <c r="H33109" s="12"/>
      <c r="I33109" s="12"/>
      <c r="J33109" s="12"/>
      <c r="K33109" s="12"/>
      <c r="L33109" s="12"/>
      <c r="M33109" s="11"/>
      <c r="N33109" s="11"/>
      <c r="O33109" s="11"/>
      <c r="P33109" s="11"/>
    </row>
    <row r="33110" spans="8:16" x14ac:dyDescent="0.25">
      <c r="H33110" s="12"/>
      <c r="I33110" s="12"/>
      <c r="J33110" s="12"/>
      <c r="K33110" s="12"/>
      <c r="L33110" s="12"/>
      <c r="M33110" s="11"/>
      <c r="N33110" s="11"/>
      <c r="O33110" s="11"/>
      <c r="P33110" s="11"/>
    </row>
    <row r="33111" spans="8:16" x14ac:dyDescent="0.25">
      <c r="H33111" s="12"/>
      <c r="I33111" s="12"/>
      <c r="J33111" s="12"/>
      <c r="K33111" s="12"/>
      <c r="L33111" s="12"/>
      <c r="M33111" s="11"/>
      <c r="N33111" s="11"/>
      <c r="O33111" s="11"/>
      <c r="P33111" s="11"/>
    </row>
    <row r="33112" spans="8:16" x14ac:dyDescent="0.25">
      <c r="H33112" s="12"/>
      <c r="I33112" s="12"/>
      <c r="J33112" s="12"/>
      <c r="K33112" s="12"/>
      <c r="L33112" s="12"/>
      <c r="M33112" s="11"/>
      <c r="N33112" s="11"/>
      <c r="O33112" s="11"/>
      <c r="P33112" s="11"/>
    </row>
    <row r="33113" spans="8:16" x14ac:dyDescent="0.25">
      <c r="H33113" s="12"/>
      <c r="I33113" s="12"/>
      <c r="J33113" s="12"/>
      <c r="K33113" s="12"/>
      <c r="L33113" s="12"/>
      <c r="M33113" s="11"/>
      <c r="N33113" s="11"/>
      <c r="O33113" s="11"/>
      <c r="P33113" s="11"/>
    </row>
    <row r="33114" spans="8:16" x14ac:dyDescent="0.25">
      <c r="H33114" s="12"/>
      <c r="I33114" s="12"/>
      <c r="J33114" s="12"/>
      <c r="K33114" s="12"/>
      <c r="L33114" s="12"/>
      <c r="M33114" s="11"/>
      <c r="N33114" s="11"/>
      <c r="O33114" s="11"/>
      <c r="P33114" s="11"/>
    </row>
    <row r="33115" spans="8:16" x14ac:dyDescent="0.25">
      <c r="H33115" s="12"/>
      <c r="I33115" s="12"/>
      <c r="J33115" s="12"/>
      <c r="K33115" s="12"/>
      <c r="L33115" s="12"/>
      <c r="M33115" s="11"/>
      <c r="N33115" s="11"/>
      <c r="O33115" s="11"/>
      <c r="P33115" s="11"/>
    </row>
    <row r="33116" spans="8:16" x14ac:dyDescent="0.25">
      <c r="H33116" s="12"/>
      <c r="I33116" s="12"/>
      <c r="J33116" s="12"/>
      <c r="K33116" s="12"/>
      <c r="L33116" s="12"/>
      <c r="M33116" s="11"/>
      <c r="N33116" s="11"/>
      <c r="O33116" s="11"/>
      <c r="P33116" s="11"/>
    </row>
    <row r="33117" spans="8:16" x14ac:dyDescent="0.25">
      <c r="H33117" s="12"/>
      <c r="I33117" s="12"/>
      <c r="J33117" s="12"/>
      <c r="K33117" s="12"/>
      <c r="L33117" s="12"/>
      <c r="M33117" s="11"/>
      <c r="N33117" s="11"/>
      <c r="O33117" s="11"/>
      <c r="P33117" s="11"/>
    </row>
    <row r="33118" spans="8:16" x14ac:dyDescent="0.25">
      <c r="H33118" s="12"/>
      <c r="I33118" s="12"/>
      <c r="J33118" s="12"/>
      <c r="K33118" s="12"/>
      <c r="L33118" s="12"/>
      <c r="M33118" s="11"/>
      <c r="N33118" s="11"/>
      <c r="O33118" s="11"/>
      <c r="P33118" s="11"/>
    </row>
    <row r="33119" spans="8:16" x14ac:dyDescent="0.25">
      <c r="H33119" s="12"/>
      <c r="I33119" s="12"/>
      <c r="J33119" s="12"/>
      <c r="K33119" s="12"/>
      <c r="L33119" s="12"/>
      <c r="M33119" s="11"/>
      <c r="N33119" s="11"/>
      <c r="O33119" s="11"/>
      <c r="P33119" s="11"/>
    </row>
    <row r="33120" spans="8:16" x14ac:dyDescent="0.25">
      <c r="H33120" s="12"/>
      <c r="I33120" s="12"/>
      <c r="J33120" s="12"/>
      <c r="K33120" s="12"/>
      <c r="L33120" s="12"/>
      <c r="M33120" s="11"/>
      <c r="N33120" s="11"/>
      <c r="O33120" s="11"/>
      <c r="P33120" s="11"/>
    </row>
    <row r="33121" spans="8:16" x14ac:dyDescent="0.25">
      <c r="H33121" s="12"/>
      <c r="I33121" s="12"/>
      <c r="J33121" s="12"/>
      <c r="K33121" s="12"/>
      <c r="L33121" s="12"/>
      <c r="M33121" s="11"/>
      <c r="N33121" s="11"/>
      <c r="O33121" s="11"/>
      <c r="P33121" s="11"/>
    </row>
    <row r="33122" spans="8:16" x14ac:dyDescent="0.25">
      <c r="H33122" s="12"/>
      <c r="I33122" s="12"/>
      <c r="J33122" s="12"/>
      <c r="K33122" s="12"/>
      <c r="L33122" s="12"/>
      <c r="M33122" s="11"/>
      <c r="N33122" s="11"/>
      <c r="O33122" s="11"/>
      <c r="P33122" s="11"/>
    </row>
    <row r="33123" spans="8:16" x14ac:dyDescent="0.25">
      <c r="H33123" s="12"/>
      <c r="I33123" s="12"/>
      <c r="J33123" s="12"/>
      <c r="K33123" s="12"/>
      <c r="L33123" s="12"/>
      <c r="M33123" s="11"/>
      <c r="N33123" s="11"/>
      <c r="O33123" s="11"/>
      <c r="P33123" s="11"/>
    </row>
    <row r="33124" spans="8:16" x14ac:dyDescent="0.25">
      <c r="H33124" s="12"/>
      <c r="I33124" s="12"/>
      <c r="J33124" s="12"/>
      <c r="K33124" s="12"/>
      <c r="L33124" s="12"/>
      <c r="M33124" s="11"/>
      <c r="N33124" s="11"/>
      <c r="O33124" s="11"/>
      <c r="P33124" s="11"/>
    </row>
    <row r="33125" spans="8:16" x14ac:dyDescent="0.25">
      <c r="H33125" s="12"/>
      <c r="I33125" s="12"/>
      <c r="J33125" s="12"/>
      <c r="K33125" s="12"/>
      <c r="L33125" s="12"/>
      <c r="M33125" s="11"/>
      <c r="N33125" s="11"/>
      <c r="O33125" s="11"/>
      <c r="P33125" s="11"/>
    </row>
    <row r="33126" spans="8:16" x14ac:dyDescent="0.25">
      <c r="H33126" s="12"/>
      <c r="I33126" s="12"/>
      <c r="J33126" s="12"/>
      <c r="K33126" s="12"/>
      <c r="L33126" s="12"/>
      <c r="M33126" s="11"/>
      <c r="N33126" s="11"/>
      <c r="O33126" s="11"/>
      <c r="P33126" s="11"/>
    </row>
    <row r="33127" spans="8:16" x14ac:dyDescent="0.25">
      <c r="H33127" s="12"/>
      <c r="I33127" s="12"/>
      <c r="J33127" s="12"/>
      <c r="K33127" s="12"/>
      <c r="L33127" s="12"/>
      <c r="M33127" s="11"/>
      <c r="N33127" s="11"/>
      <c r="O33127" s="11"/>
      <c r="P33127" s="11"/>
    </row>
    <row r="33128" spans="8:16" x14ac:dyDescent="0.25">
      <c r="H33128" s="12"/>
      <c r="I33128" s="12"/>
      <c r="J33128" s="12"/>
      <c r="K33128" s="12"/>
      <c r="L33128" s="12"/>
      <c r="M33128" s="11"/>
      <c r="N33128" s="11"/>
      <c r="O33128" s="11"/>
      <c r="P33128" s="11"/>
    </row>
    <row r="33129" spans="8:16" x14ac:dyDescent="0.25">
      <c r="H33129" s="12"/>
      <c r="I33129" s="12"/>
      <c r="J33129" s="12"/>
      <c r="K33129" s="12"/>
      <c r="L33129" s="12"/>
      <c r="M33129" s="11"/>
      <c r="N33129" s="11"/>
      <c r="O33129" s="11"/>
      <c r="P33129" s="11"/>
    </row>
    <row r="33130" spans="8:16" x14ac:dyDescent="0.25">
      <c r="H33130" s="12"/>
      <c r="I33130" s="12"/>
      <c r="J33130" s="12"/>
      <c r="K33130" s="12"/>
      <c r="L33130" s="12"/>
      <c r="M33130" s="11"/>
      <c r="N33130" s="11"/>
      <c r="O33130" s="11"/>
      <c r="P33130" s="11"/>
    </row>
    <row r="33131" spans="8:16" x14ac:dyDescent="0.25">
      <c r="H33131" s="12"/>
      <c r="I33131" s="12"/>
      <c r="J33131" s="12"/>
      <c r="K33131" s="12"/>
      <c r="L33131" s="12"/>
      <c r="M33131" s="11"/>
      <c r="N33131" s="11"/>
      <c r="O33131" s="11"/>
      <c r="P33131" s="11"/>
    </row>
    <row r="33132" spans="8:16" x14ac:dyDescent="0.25">
      <c r="H33132" s="12"/>
      <c r="I33132" s="12"/>
      <c r="J33132" s="12"/>
      <c r="K33132" s="12"/>
      <c r="L33132" s="12"/>
      <c r="M33132" s="11"/>
      <c r="N33132" s="11"/>
      <c r="O33132" s="11"/>
      <c r="P33132" s="11"/>
    </row>
    <row r="33133" spans="8:16" x14ac:dyDescent="0.25">
      <c r="H33133" s="12"/>
      <c r="I33133" s="12"/>
      <c r="J33133" s="12"/>
      <c r="K33133" s="12"/>
      <c r="L33133" s="12"/>
      <c r="M33133" s="11"/>
      <c r="N33133" s="11"/>
      <c r="O33133" s="11"/>
      <c r="P33133" s="11"/>
    </row>
    <row r="33134" spans="8:16" x14ac:dyDescent="0.25">
      <c r="H33134" s="12"/>
      <c r="I33134" s="12"/>
      <c r="J33134" s="12"/>
      <c r="K33134" s="12"/>
      <c r="L33134" s="12"/>
      <c r="M33134" s="11"/>
      <c r="N33134" s="11"/>
      <c r="O33134" s="11"/>
      <c r="P33134" s="11"/>
    </row>
    <row r="33135" spans="8:16" x14ac:dyDescent="0.25">
      <c r="H33135" s="12"/>
      <c r="I33135" s="12"/>
      <c r="J33135" s="12"/>
      <c r="K33135" s="12"/>
      <c r="L33135" s="12"/>
      <c r="M33135" s="11"/>
      <c r="N33135" s="11"/>
      <c r="O33135" s="11"/>
      <c r="P33135" s="11"/>
    </row>
    <row r="33136" spans="8:16" x14ac:dyDescent="0.25">
      <c r="H33136" s="12"/>
      <c r="I33136" s="12"/>
      <c r="J33136" s="12"/>
      <c r="K33136" s="12"/>
      <c r="L33136" s="12"/>
      <c r="M33136" s="11"/>
      <c r="N33136" s="11"/>
      <c r="O33136" s="11"/>
      <c r="P33136" s="11"/>
    </row>
    <row r="33137" spans="8:16" x14ac:dyDescent="0.25">
      <c r="H33137" s="12"/>
      <c r="I33137" s="12"/>
      <c r="J33137" s="12"/>
      <c r="K33137" s="12"/>
      <c r="L33137" s="12"/>
      <c r="M33137" s="11"/>
      <c r="N33137" s="11"/>
      <c r="O33137" s="11"/>
      <c r="P33137" s="11"/>
    </row>
    <row r="33138" spans="8:16" x14ac:dyDescent="0.25">
      <c r="H33138" s="12"/>
      <c r="I33138" s="12"/>
      <c r="J33138" s="12"/>
      <c r="K33138" s="12"/>
      <c r="L33138" s="12"/>
      <c r="M33138" s="11"/>
      <c r="N33138" s="11"/>
      <c r="O33138" s="11"/>
      <c r="P33138" s="11"/>
    </row>
    <row r="33139" spans="8:16" x14ac:dyDescent="0.25">
      <c r="H33139" s="12"/>
      <c r="I33139" s="12"/>
      <c r="J33139" s="12"/>
      <c r="K33139" s="12"/>
      <c r="L33139" s="12"/>
      <c r="M33139" s="11"/>
      <c r="N33139" s="11"/>
      <c r="O33139" s="11"/>
      <c r="P33139" s="11"/>
    </row>
    <row r="33140" spans="8:16" x14ac:dyDescent="0.25">
      <c r="H33140" s="12"/>
      <c r="I33140" s="12"/>
      <c r="J33140" s="12"/>
      <c r="K33140" s="12"/>
      <c r="L33140" s="12"/>
      <c r="M33140" s="11"/>
      <c r="N33140" s="11"/>
      <c r="O33140" s="11"/>
      <c r="P33140" s="11"/>
    </row>
    <row r="33141" spans="8:16" x14ac:dyDescent="0.25">
      <c r="H33141" s="12"/>
      <c r="I33141" s="12"/>
      <c r="J33141" s="12"/>
      <c r="K33141" s="12"/>
      <c r="L33141" s="12"/>
      <c r="M33141" s="11"/>
      <c r="N33141" s="11"/>
      <c r="O33141" s="11"/>
      <c r="P33141" s="11"/>
    </row>
    <row r="33142" spans="8:16" x14ac:dyDescent="0.25">
      <c r="H33142" s="12"/>
      <c r="I33142" s="12"/>
      <c r="J33142" s="12"/>
      <c r="K33142" s="12"/>
      <c r="L33142" s="12"/>
      <c r="M33142" s="11"/>
      <c r="N33142" s="11"/>
      <c r="O33142" s="11"/>
      <c r="P33142" s="11"/>
    </row>
    <row r="33143" spans="8:16" x14ac:dyDescent="0.25">
      <c r="H33143" s="12"/>
      <c r="I33143" s="12"/>
      <c r="J33143" s="12"/>
      <c r="K33143" s="12"/>
      <c r="L33143" s="12"/>
      <c r="M33143" s="11"/>
      <c r="N33143" s="11"/>
      <c r="O33143" s="11"/>
      <c r="P33143" s="11"/>
    </row>
    <row r="33144" spans="8:16" x14ac:dyDescent="0.25">
      <c r="H33144" s="12"/>
      <c r="I33144" s="12"/>
      <c r="J33144" s="12"/>
      <c r="K33144" s="12"/>
      <c r="L33144" s="12"/>
      <c r="M33144" s="11"/>
      <c r="N33144" s="11"/>
      <c r="O33144" s="11"/>
      <c r="P33144" s="11"/>
    </row>
    <row r="33145" spans="8:16" x14ac:dyDescent="0.25">
      <c r="H33145" s="12"/>
      <c r="I33145" s="12"/>
      <c r="J33145" s="12"/>
      <c r="K33145" s="12"/>
      <c r="L33145" s="12"/>
      <c r="M33145" s="11"/>
      <c r="N33145" s="11"/>
      <c r="O33145" s="11"/>
      <c r="P33145" s="11"/>
    </row>
    <row r="33146" spans="8:16" x14ac:dyDescent="0.25">
      <c r="H33146" s="12"/>
      <c r="I33146" s="12"/>
      <c r="J33146" s="12"/>
      <c r="K33146" s="12"/>
      <c r="L33146" s="12"/>
      <c r="M33146" s="11"/>
      <c r="N33146" s="11"/>
      <c r="O33146" s="11"/>
      <c r="P33146" s="11"/>
    </row>
    <row r="33147" spans="8:16" x14ac:dyDescent="0.25">
      <c r="H33147" s="12"/>
      <c r="I33147" s="12"/>
      <c r="J33147" s="12"/>
      <c r="K33147" s="12"/>
      <c r="L33147" s="12"/>
      <c r="M33147" s="11"/>
      <c r="N33147" s="11"/>
      <c r="O33147" s="11"/>
      <c r="P33147" s="11"/>
    </row>
    <row r="33148" spans="8:16" x14ac:dyDescent="0.25">
      <c r="H33148" s="12"/>
      <c r="I33148" s="12"/>
      <c r="J33148" s="12"/>
      <c r="K33148" s="12"/>
      <c r="L33148" s="12"/>
      <c r="M33148" s="11"/>
      <c r="N33148" s="11"/>
      <c r="O33148" s="11"/>
      <c r="P33148" s="11"/>
    </row>
    <row r="33149" spans="8:16" x14ac:dyDescent="0.25">
      <c r="H33149" s="12"/>
      <c r="I33149" s="12"/>
      <c r="J33149" s="12"/>
      <c r="K33149" s="12"/>
      <c r="L33149" s="12"/>
      <c r="M33149" s="11"/>
      <c r="N33149" s="11"/>
      <c r="O33149" s="11"/>
      <c r="P33149" s="11"/>
    </row>
    <row r="33150" spans="8:16" x14ac:dyDescent="0.25">
      <c r="H33150" s="12"/>
      <c r="I33150" s="12"/>
      <c r="J33150" s="12"/>
      <c r="K33150" s="12"/>
      <c r="L33150" s="12"/>
      <c r="M33150" s="11"/>
      <c r="N33150" s="11"/>
      <c r="O33150" s="11"/>
      <c r="P33150" s="11"/>
    </row>
    <row r="33151" spans="8:16" x14ac:dyDescent="0.25">
      <c r="H33151" s="12"/>
      <c r="I33151" s="12"/>
      <c r="J33151" s="12"/>
      <c r="K33151" s="12"/>
      <c r="L33151" s="12"/>
      <c r="M33151" s="11"/>
      <c r="N33151" s="11"/>
      <c r="O33151" s="11"/>
      <c r="P33151" s="11"/>
    </row>
    <row r="33152" spans="8:16" x14ac:dyDescent="0.25">
      <c r="H33152" s="12"/>
      <c r="I33152" s="12"/>
      <c r="J33152" s="12"/>
      <c r="K33152" s="12"/>
      <c r="L33152" s="12"/>
      <c r="M33152" s="11"/>
      <c r="N33152" s="11"/>
      <c r="O33152" s="11"/>
      <c r="P33152" s="11"/>
    </row>
    <row r="33153" spans="8:16" x14ac:dyDescent="0.25">
      <c r="H33153" s="12"/>
      <c r="I33153" s="12"/>
      <c r="J33153" s="12"/>
      <c r="K33153" s="12"/>
      <c r="L33153" s="12"/>
      <c r="M33153" s="11"/>
      <c r="N33153" s="11"/>
      <c r="O33153" s="11"/>
      <c r="P33153" s="11"/>
    </row>
    <row r="33154" spans="8:16" x14ac:dyDescent="0.25">
      <c r="H33154" s="12"/>
      <c r="I33154" s="12"/>
      <c r="J33154" s="12"/>
      <c r="K33154" s="12"/>
      <c r="L33154" s="12"/>
      <c r="M33154" s="11"/>
      <c r="N33154" s="11"/>
      <c r="O33154" s="11"/>
      <c r="P33154" s="11"/>
    </row>
    <row r="33155" spans="8:16" x14ac:dyDescent="0.25">
      <c r="H33155" s="12"/>
      <c r="I33155" s="12"/>
      <c r="J33155" s="12"/>
      <c r="K33155" s="12"/>
      <c r="L33155" s="12"/>
      <c r="M33155" s="11"/>
      <c r="N33155" s="11"/>
      <c r="O33155" s="11"/>
      <c r="P33155" s="11"/>
    </row>
    <row r="33156" spans="8:16" x14ac:dyDescent="0.25">
      <c r="H33156" s="12"/>
      <c r="I33156" s="12"/>
      <c r="J33156" s="12"/>
      <c r="K33156" s="12"/>
      <c r="L33156" s="12"/>
      <c r="M33156" s="11"/>
      <c r="N33156" s="11"/>
      <c r="O33156" s="11"/>
      <c r="P33156" s="11"/>
    </row>
    <row r="33157" spans="8:16" x14ac:dyDescent="0.25">
      <c r="H33157" s="12"/>
      <c r="I33157" s="12"/>
      <c r="J33157" s="12"/>
      <c r="K33157" s="12"/>
      <c r="L33157" s="12"/>
      <c r="M33157" s="11"/>
      <c r="N33157" s="11"/>
      <c r="O33157" s="11"/>
      <c r="P33157" s="11"/>
    </row>
    <row r="33158" spans="8:16" x14ac:dyDescent="0.25">
      <c r="H33158" s="12"/>
      <c r="I33158" s="12"/>
      <c r="J33158" s="12"/>
      <c r="K33158" s="12"/>
      <c r="L33158" s="12"/>
      <c r="M33158" s="11"/>
      <c r="N33158" s="11"/>
      <c r="O33158" s="11"/>
      <c r="P33158" s="11"/>
    </row>
    <row r="33159" spans="8:16" x14ac:dyDescent="0.25">
      <c r="H33159" s="12"/>
      <c r="I33159" s="12"/>
      <c r="J33159" s="12"/>
      <c r="K33159" s="12"/>
      <c r="L33159" s="12"/>
      <c r="M33159" s="11"/>
      <c r="N33159" s="11"/>
      <c r="O33159" s="11"/>
      <c r="P33159" s="11"/>
    </row>
    <row r="33160" spans="8:16" x14ac:dyDescent="0.25">
      <c r="H33160" s="12"/>
      <c r="I33160" s="12"/>
      <c r="J33160" s="12"/>
      <c r="K33160" s="12"/>
      <c r="L33160" s="12"/>
      <c r="M33160" s="11"/>
      <c r="N33160" s="11"/>
      <c r="O33160" s="11"/>
      <c r="P33160" s="11"/>
    </row>
    <row r="33161" spans="8:16" x14ac:dyDescent="0.25">
      <c r="H33161" s="12"/>
      <c r="I33161" s="12"/>
      <c r="J33161" s="12"/>
      <c r="K33161" s="12"/>
      <c r="L33161" s="12"/>
      <c r="M33161" s="11"/>
      <c r="N33161" s="11"/>
      <c r="O33161" s="11"/>
      <c r="P33161" s="11"/>
    </row>
    <row r="33162" spans="8:16" x14ac:dyDescent="0.25">
      <c r="H33162" s="12"/>
      <c r="I33162" s="12"/>
      <c r="J33162" s="12"/>
      <c r="K33162" s="12"/>
      <c r="L33162" s="12"/>
      <c r="M33162" s="11"/>
      <c r="N33162" s="11"/>
      <c r="O33162" s="11"/>
      <c r="P33162" s="11"/>
    </row>
    <row r="33163" spans="8:16" x14ac:dyDescent="0.25">
      <c r="H33163" s="12"/>
      <c r="I33163" s="12"/>
      <c r="J33163" s="12"/>
      <c r="K33163" s="12"/>
      <c r="L33163" s="12"/>
      <c r="M33163" s="11"/>
      <c r="N33163" s="11"/>
      <c r="O33163" s="11"/>
      <c r="P33163" s="11"/>
    </row>
    <row r="33164" spans="8:16" x14ac:dyDescent="0.25">
      <c r="H33164" s="12"/>
      <c r="I33164" s="12"/>
      <c r="J33164" s="12"/>
      <c r="K33164" s="12"/>
      <c r="L33164" s="12"/>
      <c r="M33164" s="11"/>
      <c r="N33164" s="11"/>
      <c r="O33164" s="11"/>
      <c r="P33164" s="11"/>
    </row>
    <row r="33165" spans="8:16" x14ac:dyDescent="0.25">
      <c r="H33165" s="12"/>
      <c r="I33165" s="12"/>
      <c r="J33165" s="12"/>
      <c r="K33165" s="12"/>
      <c r="L33165" s="12"/>
      <c r="M33165" s="11"/>
      <c r="N33165" s="11"/>
      <c r="O33165" s="11"/>
      <c r="P33165" s="11"/>
    </row>
    <row r="33166" spans="8:16" x14ac:dyDescent="0.25">
      <c r="H33166" s="12"/>
      <c r="I33166" s="12"/>
      <c r="J33166" s="12"/>
      <c r="K33166" s="12"/>
      <c r="L33166" s="12"/>
      <c r="M33166" s="11"/>
      <c r="N33166" s="11"/>
      <c r="O33166" s="11"/>
      <c r="P33166" s="11"/>
    </row>
    <row r="33167" spans="8:16" x14ac:dyDescent="0.25">
      <c r="H33167" s="12"/>
      <c r="I33167" s="12"/>
      <c r="J33167" s="12"/>
      <c r="K33167" s="12"/>
      <c r="L33167" s="12"/>
      <c r="M33167" s="11"/>
      <c r="N33167" s="11"/>
      <c r="O33167" s="11"/>
      <c r="P33167" s="11"/>
    </row>
    <row r="33168" spans="8:16" x14ac:dyDescent="0.25">
      <c r="H33168" s="12"/>
      <c r="I33168" s="12"/>
      <c r="J33168" s="12"/>
      <c r="K33168" s="12"/>
      <c r="L33168" s="12"/>
      <c r="M33168" s="11"/>
      <c r="N33168" s="11"/>
      <c r="O33168" s="11"/>
      <c r="P33168" s="11"/>
    </row>
    <row r="33169" spans="8:16" x14ac:dyDescent="0.25">
      <c r="H33169" s="12"/>
      <c r="I33169" s="12"/>
      <c r="J33169" s="12"/>
      <c r="K33169" s="12"/>
      <c r="L33169" s="12"/>
      <c r="M33169" s="11"/>
      <c r="N33169" s="11"/>
      <c r="O33169" s="11"/>
      <c r="P33169" s="11"/>
    </row>
    <row r="33170" spans="8:16" x14ac:dyDescent="0.25">
      <c r="H33170" s="12"/>
      <c r="I33170" s="12"/>
      <c r="J33170" s="12"/>
      <c r="K33170" s="12"/>
      <c r="L33170" s="12"/>
      <c r="M33170" s="11"/>
      <c r="N33170" s="11"/>
      <c r="O33170" s="11"/>
      <c r="P33170" s="11"/>
    </row>
    <row r="33171" spans="8:16" x14ac:dyDescent="0.25">
      <c r="H33171" s="12"/>
      <c r="I33171" s="12"/>
      <c r="J33171" s="12"/>
      <c r="K33171" s="12"/>
      <c r="L33171" s="12"/>
      <c r="M33171" s="11"/>
      <c r="N33171" s="11"/>
      <c r="O33171" s="11"/>
      <c r="P33171" s="11"/>
    </row>
    <row r="33172" spans="8:16" x14ac:dyDescent="0.25">
      <c r="H33172" s="12"/>
      <c r="I33172" s="12"/>
      <c r="J33172" s="12"/>
      <c r="K33172" s="12"/>
      <c r="L33172" s="12"/>
      <c r="M33172" s="11"/>
      <c r="N33172" s="11"/>
      <c r="O33172" s="11"/>
      <c r="P33172" s="11"/>
    </row>
    <row r="33173" spans="8:16" x14ac:dyDescent="0.25">
      <c r="H33173" s="12"/>
      <c r="I33173" s="12"/>
      <c r="J33173" s="12"/>
      <c r="K33173" s="12"/>
      <c r="L33173" s="12"/>
      <c r="M33173" s="11"/>
      <c r="N33173" s="11"/>
      <c r="O33173" s="11"/>
      <c r="P33173" s="11"/>
    </row>
    <row r="33174" spans="8:16" x14ac:dyDescent="0.25">
      <c r="H33174" s="12"/>
      <c r="I33174" s="12"/>
      <c r="J33174" s="12"/>
      <c r="K33174" s="12"/>
      <c r="L33174" s="12"/>
      <c r="M33174" s="11"/>
      <c r="N33174" s="11"/>
      <c r="O33174" s="11"/>
      <c r="P33174" s="11"/>
    </row>
    <row r="33175" spans="8:16" x14ac:dyDescent="0.25">
      <c r="H33175" s="12"/>
      <c r="I33175" s="12"/>
      <c r="J33175" s="12"/>
      <c r="K33175" s="12"/>
      <c r="L33175" s="12"/>
      <c r="M33175" s="11"/>
      <c r="N33175" s="11"/>
      <c r="O33175" s="11"/>
      <c r="P33175" s="11"/>
    </row>
    <row r="33176" spans="8:16" x14ac:dyDescent="0.25">
      <c r="H33176" s="12"/>
      <c r="I33176" s="12"/>
      <c r="J33176" s="12"/>
      <c r="K33176" s="12"/>
      <c r="L33176" s="12"/>
      <c r="M33176" s="11"/>
      <c r="N33176" s="11"/>
      <c r="O33176" s="11"/>
      <c r="P33176" s="11"/>
    </row>
    <row r="33177" spans="8:16" x14ac:dyDescent="0.25">
      <c r="H33177" s="12"/>
      <c r="I33177" s="12"/>
      <c r="J33177" s="12"/>
      <c r="K33177" s="12"/>
      <c r="L33177" s="12"/>
      <c r="M33177" s="11"/>
      <c r="N33177" s="11"/>
      <c r="O33177" s="11"/>
      <c r="P33177" s="11"/>
    </row>
    <row r="33178" spans="8:16" x14ac:dyDescent="0.25">
      <c r="H33178" s="12"/>
      <c r="I33178" s="12"/>
      <c r="J33178" s="12"/>
      <c r="K33178" s="12"/>
      <c r="L33178" s="12"/>
      <c r="M33178" s="11"/>
      <c r="N33178" s="11"/>
      <c r="O33178" s="11"/>
      <c r="P33178" s="11"/>
    </row>
    <row r="33179" spans="8:16" x14ac:dyDescent="0.25">
      <c r="H33179" s="12"/>
      <c r="I33179" s="12"/>
      <c r="J33179" s="12"/>
      <c r="K33179" s="12"/>
      <c r="L33179" s="12"/>
      <c r="M33179" s="11"/>
      <c r="N33179" s="11"/>
      <c r="O33179" s="11"/>
      <c r="P33179" s="11"/>
    </row>
    <row r="33180" spans="8:16" x14ac:dyDescent="0.25">
      <c r="H33180" s="12"/>
      <c r="I33180" s="12"/>
      <c r="J33180" s="12"/>
      <c r="K33180" s="12"/>
      <c r="L33180" s="12"/>
      <c r="M33180" s="11"/>
      <c r="N33180" s="11"/>
      <c r="O33180" s="11"/>
      <c r="P33180" s="11"/>
    </row>
    <row r="33181" spans="8:16" x14ac:dyDescent="0.25">
      <c r="H33181" s="12"/>
      <c r="I33181" s="12"/>
      <c r="J33181" s="12"/>
      <c r="K33181" s="12"/>
      <c r="L33181" s="12"/>
      <c r="M33181" s="11"/>
      <c r="N33181" s="11"/>
      <c r="O33181" s="11"/>
      <c r="P33181" s="11"/>
    </row>
    <row r="33182" spans="8:16" x14ac:dyDescent="0.25">
      <c r="H33182" s="12"/>
      <c r="I33182" s="12"/>
      <c r="J33182" s="12"/>
      <c r="K33182" s="12"/>
      <c r="L33182" s="12"/>
      <c r="M33182" s="11"/>
      <c r="N33182" s="11"/>
      <c r="O33182" s="11"/>
      <c r="P33182" s="11"/>
    </row>
    <row r="33183" spans="8:16" x14ac:dyDescent="0.25">
      <c r="H33183" s="12"/>
      <c r="I33183" s="12"/>
      <c r="J33183" s="12"/>
      <c r="K33183" s="12"/>
      <c r="L33183" s="12"/>
      <c r="M33183" s="11"/>
      <c r="N33183" s="11"/>
      <c r="O33183" s="11"/>
      <c r="P33183" s="11"/>
    </row>
    <row r="33184" spans="8:16" x14ac:dyDescent="0.25">
      <c r="H33184" s="12"/>
      <c r="I33184" s="12"/>
      <c r="J33184" s="12"/>
      <c r="K33184" s="12"/>
      <c r="L33184" s="12"/>
      <c r="M33184" s="11"/>
      <c r="N33184" s="11"/>
      <c r="O33184" s="11"/>
      <c r="P33184" s="11"/>
    </row>
    <row r="33185" spans="8:16" x14ac:dyDescent="0.25">
      <c r="H33185" s="12"/>
      <c r="I33185" s="12"/>
      <c r="J33185" s="12"/>
      <c r="K33185" s="12"/>
      <c r="L33185" s="12"/>
      <c r="M33185" s="11"/>
      <c r="N33185" s="11"/>
      <c r="O33185" s="11"/>
      <c r="P33185" s="11"/>
    </row>
    <row r="33186" spans="8:16" x14ac:dyDescent="0.25">
      <c r="H33186" s="12"/>
      <c r="I33186" s="12"/>
      <c r="J33186" s="12"/>
      <c r="K33186" s="12"/>
      <c r="L33186" s="12"/>
      <c r="M33186" s="11"/>
      <c r="N33186" s="11"/>
      <c r="O33186" s="11"/>
      <c r="P33186" s="11"/>
    </row>
    <row r="33187" spans="8:16" x14ac:dyDescent="0.25">
      <c r="H33187" s="12"/>
      <c r="I33187" s="12"/>
      <c r="J33187" s="12"/>
      <c r="K33187" s="12"/>
      <c r="L33187" s="12"/>
      <c r="M33187" s="11"/>
      <c r="N33187" s="11"/>
      <c r="O33187" s="11"/>
      <c r="P33187" s="11"/>
    </row>
    <row r="33188" spans="8:16" x14ac:dyDescent="0.25">
      <c r="H33188" s="12"/>
      <c r="I33188" s="12"/>
      <c r="J33188" s="12"/>
      <c r="K33188" s="12"/>
      <c r="L33188" s="12"/>
      <c r="M33188" s="11"/>
      <c r="N33188" s="11"/>
      <c r="O33188" s="11"/>
      <c r="P33188" s="11"/>
    </row>
    <row r="33189" spans="8:16" x14ac:dyDescent="0.25">
      <c r="H33189" s="12"/>
      <c r="I33189" s="12"/>
      <c r="J33189" s="12"/>
      <c r="K33189" s="12"/>
      <c r="L33189" s="12"/>
      <c r="M33189" s="11"/>
      <c r="N33189" s="11"/>
      <c r="O33189" s="11"/>
      <c r="P33189" s="11"/>
    </row>
    <row r="33190" spans="8:16" x14ac:dyDescent="0.25">
      <c r="H33190" s="12"/>
      <c r="I33190" s="12"/>
      <c r="J33190" s="12"/>
      <c r="K33190" s="12"/>
      <c r="L33190" s="12"/>
      <c r="M33190" s="11"/>
      <c r="N33190" s="11"/>
      <c r="O33190" s="11"/>
      <c r="P33190" s="11"/>
    </row>
    <row r="33191" spans="8:16" x14ac:dyDescent="0.25">
      <c r="H33191" s="12"/>
      <c r="I33191" s="12"/>
      <c r="J33191" s="12"/>
      <c r="K33191" s="12"/>
      <c r="L33191" s="12"/>
      <c r="M33191" s="11"/>
      <c r="N33191" s="11"/>
      <c r="O33191" s="11"/>
      <c r="P33191" s="11"/>
    </row>
    <row r="33192" spans="8:16" x14ac:dyDescent="0.25">
      <c r="H33192" s="12"/>
      <c r="I33192" s="12"/>
      <c r="J33192" s="12"/>
      <c r="K33192" s="12"/>
      <c r="L33192" s="12"/>
      <c r="M33192" s="11"/>
      <c r="N33192" s="11"/>
      <c r="O33192" s="11"/>
      <c r="P33192" s="11"/>
    </row>
    <row r="33193" spans="8:16" x14ac:dyDescent="0.25">
      <c r="H33193" s="12"/>
      <c r="I33193" s="12"/>
      <c r="J33193" s="12"/>
      <c r="K33193" s="12"/>
      <c r="L33193" s="12"/>
      <c r="M33193" s="11"/>
      <c r="N33193" s="11"/>
      <c r="O33193" s="11"/>
      <c r="P33193" s="11"/>
    </row>
    <row r="33194" spans="8:16" x14ac:dyDescent="0.25">
      <c r="H33194" s="12"/>
      <c r="I33194" s="12"/>
      <c r="J33194" s="12"/>
      <c r="K33194" s="12"/>
      <c r="L33194" s="12"/>
      <c r="M33194" s="11"/>
      <c r="N33194" s="11"/>
      <c r="O33194" s="11"/>
      <c r="P33194" s="11"/>
    </row>
    <row r="33195" spans="8:16" x14ac:dyDescent="0.25">
      <c r="H33195" s="12"/>
      <c r="I33195" s="12"/>
      <c r="J33195" s="12"/>
      <c r="K33195" s="12"/>
      <c r="L33195" s="12"/>
      <c r="M33195" s="11"/>
      <c r="N33195" s="11"/>
      <c r="O33195" s="11"/>
      <c r="P33195" s="11"/>
    </row>
    <row r="33196" spans="8:16" x14ac:dyDescent="0.25">
      <c r="H33196" s="12"/>
      <c r="I33196" s="12"/>
      <c r="J33196" s="12"/>
      <c r="K33196" s="12"/>
      <c r="L33196" s="12"/>
      <c r="M33196" s="11"/>
      <c r="N33196" s="11"/>
      <c r="O33196" s="11"/>
      <c r="P33196" s="11"/>
    </row>
    <row r="33197" spans="8:16" x14ac:dyDescent="0.25">
      <c r="H33197" s="12"/>
      <c r="I33197" s="12"/>
      <c r="J33197" s="12"/>
      <c r="K33197" s="12"/>
      <c r="L33197" s="12"/>
      <c r="M33197" s="11"/>
      <c r="N33197" s="11"/>
      <c r="O33197" s="11"/>
      <c r="P33197" s="11"/>
    </row>
    <row r="33198" spans="8:16" x14ac:dyDescent="0.25">
      <c r="H33198" s="12"/>
      <c r="I33198" s="12"/>
      <c r="J33198" s="12"/>
      <c r="K33198" s="12"/>
      <c r="L33198" s="12"/>
      <c r="M33198" s="11"/>
      <c r="N33198" s="11"/>
      <c r="O33198" s="11"/>
      <c r="P33198" s="11"/>
    </row>
    <row r="33199" spans="8:16" x14ac:dyDescent="0.25">
      <c r="H33199" s="12"/>
      <c r="I33199" s="12"/>
      <c r="J33199" s="12"/>
      <c r="K33199" s="12"/>
      <c r="L33199" s="12"/>
      <c r="M33199" s="11"/>
      <c r="N33199" s="11"/>
      <c r="O33199" s="11"/>
      <c r="P33199" s="11"/>
    </row>
    <row r="33200" spans="8:16" x14ac:dyDescent="0.25">
      <c r="H33200" s="12"/>
      <c r="I33200" s="12"/>
      <c r="J33200" s="12"/>
      <c r="K33200" s="12"/>
      <c r="L33200" s="12"/>
      <c r="M33200" s="11"/>
      <c r="N33200" s="11"/>
      <c r="O33200" s="11"/>
      <c r="P33200" s="11"/>
    </row>
    <row r="33201" spans="8:16" x14ac:dyDescent="0.25">
      <c r="H33201" s="12"/>
      <c r="I33201" s="12"/>
      <c r="J33201" s="12"/>
      <c r="K33201" s="12"/>
      <c r="L33201" s="12"/>
      <c r="M33201" s="11"/>
      <c r="N33201" s="11"/>
      <c r="O33201" s="11"/>
      <c r="P33201" s="11"/>
    </row>
    <row r="33202" spans="8:16" x14ac:dyDescent="0.25">
      <c r="H33202" s="12"/>
      <c r="I33202" s="12"/>
      <c r="J33202" s="12"/>
      <c r="K33202" s="12"/>
      <c r="L33202" s="12"/>
      <c r="M33202" s="11"/>
      <c r="N33202" s="11"/>
      <c r="O33202" s="11"/>
      <c r="P33202" s="11"/>
    </row>
    <row r="33203" spans="8:16" x14ac:dyDescent="0.25">
      <c r="H33203" s="12"/>
      <c r="I33203" s="12"/>
      <c r="J33203" s="12"/>
      <c r="K33203" s="12"/>
      <c r="L33203" s="12"/>
      <c r="M33203" s="11"/>
      <c r="N33203" s="11"/>
      <c r="O33203" s="11"/>
      <c r="P33203" s="11"/>
    </row>
    <row r="33204" spans="8:16" x14ac:dyDescent="0.25">
      <c r="H33204" s="12"/>
      <c r="I33204" s="12"/>
      <c r="J33204" s="12"/>
      <c r="K33204" s="12"/>
      <c r="L33204" s="12"/>
      <c r="M33204" s="11"/>
      <c r="N33204" s="11"/>
      <c r="O33204" s="11"/>
      <c r="P33204" s="11"/>
    </row>
    <row r="33205" spans="8:16" x14ac:dyDescent="0.25">
      <c r="H33205" s="12"/>
      <c r="I33205" s="12"/>
      <c r="J33205" s="12"/>
      <c r="K33205" s="12"/>
      <c r="L33205" s="12"/>
      <c r="M33205" s="11"/>
      <c r="N33205" s="11"/>
      <c r="O33205" s="11"/>
      <c r="P33205" s="11"/>
    </row>
    <row r="33206" spans="8:16" x14ac:dyDescent="0.25">
      <c r="H33206" s="12"/>
      <c r="I33206" s="12"/>
      <c r="J33206" s="12"/>
      <c r="K33206" s="12"/>
      <c r="L33206" s="12"/>
      <c r="M33206" s="11"/>
      <c r="N33206" s="11"/>
      <c r="O33206" s="11"/>
      <c r="P33206" s="11"/>
    </row>
    <row r="33207" spans="8:16" x14ac:dyDescent="0.25">
      <c r="H33207" s="12"/>
      <c r="I33207" s="12"/>
      <c r="J33207" s="12"/>
      <c r="K33207" s="12"/>
      <c r="L33207" s="12"/>
      <c r="M33207" s="11"/>
      <c r="N33207" s="11"/>
      <c r="O33207" s="11"/>
      <c r="P33207" s="11"/>
    </row>
    <row r="33208" spans="8:16" x14ac:dyDescent="0.25">
      <c r="H33208" s="12"/>
      <c r="I33208" s="12"/>
      <c r="J33208" s="12"/>
      <c r="K33208" s="12"/>
      <c r="L33208" s="12"/>
      <c r="M33208" s="11"/>
      <c r="N33208" s="11"/>
      <c r="O33208" s="11"/>
      <c r="P33208" s="11"/>
    </row>
    <row r="33209" spans="8:16" x14ac:dyDescent="0.25">
      <c r="H33209" s="12"/>
      <c r="I33209" s="12"/>
      <c r="J33209" s="12"/>
      <c r="K33209" s="12"/>
      <c r="L33209" s="12"/>
      <c r="M33209" s="11"/>
      <c r="N33209" s="11"/>
      <c r="O33209" s="11"/>
      <c r="P33209" s="11"/>
    </row>
    <row r="33210" spans="8:16" x14ac:dyDescent="0.25">
      <c r="H33210" s="12"/>
      <c r="I33210" s="12"/>
      <c r="J33210" s="12"/>
      <c r="K33210" s="12"/>
      <c r="L33210" s="12"/>
      <c r="M33210" s="11"/>
      <c r="N33210" s="11"/>
      <c r="O33210" s="11"/>
      <c r="P33210" s="11"/>
    </row>
    <row r="33211" spans="8:16" x14ac:dyDescent="0.25">
      <c r="H33211" s="12"/>
      <c r="I33211" s="12"/>
      <c r="J33211" s="12"/>
      <c r="K33211" s="12"/>
      <c r="L33211" s="12"/>
      <c r="M33211" s="11"/>
      <c r="N33211" s="11"/>
      <c r="O33211" s="11"/>
      <c r="P33211" s="11"/>
    </row>
    <row r="33212" spans="8:16" x14ac:dyDescent="0.25">
      <c r="H33212" s="12"/>
      <c r="I33212" s="12"/>
      <c r="J33212" s="12"/>
      <c r="K33212" s="12"/>
      <c r="L33212" s="12"/>
      <c r="M33212" s="11"/>
      <c r="N33212" s="11"/>
      <c r="O33212" s="11"/>
      <c r="P33212" s="11"/>
    </row>
    <row r="33213" spans="8:16" x14ac:dyDescent="0.25">
      <c r="H33213" s="12"/>
      <c r="I33213" s="12"/>
      <c r="J33213" s="12"/>
      <c r="K33213" s="12"/>
      <c r="L33213" s="12"/>
      <c r="M33213" s="11"/>
      <c r="N33213" s="11"/>
      <c r="O33213" s="11"/>
      <c r="P33213" s="11"/>
    </row>
    <row r="33214" spans="8:16" x14ac:dyDescent="0.25">
      <c r="H33214" s="12"/>
      <c r="I33214" s="12"/>
      <c r="J33214" s="12"/>
      <c r="K33214" s="12"/>
      <c r="L33214" s="12"/>
      <c r="M33214" s="11"/>
      <c r="N33214" s="11"/>
      <c r="O33214" s="11"/>
      <c r="P33214" s="11"/>
    </row>
    <row r="33215" spans="8:16" x14ac:dyDescent="0.25">
      <c r="H33215" s="12"/>
      <c r="I33215" s="12"/>
      <c r="J33215" s="12"/>
      <c r="K33215" s="12"/>
      <c r="L33215" s="12"/>
      <c r="M33215" s="11"/>
      <c r="N33215" s="11"/>
      <c r="O33215" s="11"/>
      <c r="P33215" s="11"/>
    </row>
    <row r="33216" spans="8:16" x14ac:dyDescent="0.25">
      <c r="H33216" s="12"/>
      <c r="I33216" s="12"/>
      <c r="J33216" s="12"/>
      <c r="K33216" s="12"/>
      <c r="L33216" s="12"/>
      <c r="M33216" s="11"/>
      <c r="N33216" s="11"/>
      <c r="O33216" s="11"/>
      <c r="P33216" s="11"/>
    </row>
    <row r="33217" spans="8:16" x14ac:dyDescent="0.25">
      <c r="H33217" s="12"/>
      <c r="I33217" s="12"/>
      <c r="J33217" s="12"/>
      <c r="K33217" s="12"/>
      <c r="L33217" s="12"/>
      <c r="M33217" s="11"/>
      <c r="N33217" s="11"/>
      <c r="O33217" s="11"/>
      <c r="P33217" s="11"/>
    </row>
    <row r="33218" spans="8:16" x14ac:dyDescent="0.25">
      <c r="H33218" s="12"/>
      <c r="I33218" s="12"/>
      <c r="J33218" s="12"/>
      <c r="K33218" s="12"/>
      <c r="L33218" s="12"/>
      <c r="M33218" s="11"/>
      <c r="N33218" s="11"/>
      <c r="O33218" s="11"/>
      <c r="P33218" s="11"/>
    </row>
    <row r="33219" spans="8:16" x14ac:dyDescent="0.25">
      <c r="H33219" s="12"/>
      <c r="I33219" s="12"/>
      <c r="J33219" s="12"/>
      <c r="K33219" s="12"/>
      <c r="L33219" s="12"/>
      <c r="M33219" s="11"/>
      <c r="N33219" s="11"/>
      <c r="O33219" s="11"/>
      <c r="P33219" s="11"/>
    </row>
    <row r="33220" spans="8:16" x14ac:dyDescent="0.25">
      <c r="H33220" s="12"/>
      <c r="I33220" s="12"/>
      <c r="J33220" s="12"/>
      <c r="K33220" s="12"/>
      <c r="L33220" s="12"/>
      <c r="M33220" s="11"/>
      <c r="N33220" s="11"/>
      <c r="O33220" s="11"/>
      <c r="P33220" s="11"/>
    </row>
    <row r="33221" spans="8:16" x14ac:dyDescent="0.25">
      <c r="H33221" s="12"/>
      <c r="I33221" s="12"/>
      <c r="J33221" s="12"/>
      <c r="K33221" s="12"/>
      <c r="L33221" s="12"/>
      <c r="M33221" s="11"/>
      <c r="N33221" s="11"/>
      <c r="O33221" s="11"/>
      <c r="P33221" s="11"/>
    </row>
    <row r="33222" spans="8:16" x14ac:dyDescent="0.25">
      <c r="H33222" s="12"/>
      <c r="I33222" s="12"/>
      <c r="J33222" s="12"/>
      <c r="K33222" s="12"/>
      <c r="L33222" s="12"/>
      <c r="M33222" s="11"/>
      <c r="N33222" s="11"/>
      <c r="O33222" s="11"/>
      <c r="P33222" s="11"/>
    </row>
    <row r="33223" spans="8:16" x14ac:dyDescent="0.25">
      <c r="H33223" s="12"/>
      <c r="I33223" s="12"/>
      <c r="J33223" s="12"/>
      <c r="K33223" s="12"/>
      <c r="L33223" s="12"/>
      <c r="M33223" s="11"/>
      <c r="N33223" s="11"/>
      <c r="O33223" s="11"/>
      <c r="P33223" s="11"/>
    </row>
    <row r="33224" spans="8:16" x14ac:dyDescent="0.25">
      <c r="H33224" s="12"/>
      <c r="I33224" s="12"/>
      <c r="J33224" s="12"/>
      <c r="K33224" s="12"/>
      <c r="L33224" s="12"/>
      <c r="M33224" s="11"/>
      <c r="N33224" s="11"/>
      <c r="O33224" s="11"/>
      <c r="P33224" s="11"/>
    </row>
    <row r="33225" spans="8:16" x14ac:dyDescent="0.25">
      <c r="H33225" s="12"/>
      <c r="I33225" s="12"/>
      <c r="J33225" s="12"/>
      <c r="K33225" s="12"/>
      <c r="L33225" s="12"/>
      <c r="M33225" s="11"/>
      <c r="N33225" s="11"/>
      <c r="O33225" s="11"/>
      <c r="P33225" s="11"/>
    </row>
    <row r="33226" spans="8:16" x14ac:dyDescent="0.25">
      <c r="H33226" s="12"/>
      <c r="I33226" s="12"/>
      <c r="J33226" s="12"/>
      <c r="K33226" s="12"/>
      <c r="L33226" s="12"/>
      <c r="M33226" s="11"/>
      <c r="N33226" s="11"/>
      <c r="O33226" s="11"/>
      <c r="P33226" s="11"/>
    </row>
    <row r="33227" spans="8:16" x14ac:dyDescent="0.25">
      <c r="H33227" s="12"/>
      <c r="I33227" s="12"/>
      <c r="J33227" s="12"/>
      <c r="K33227" s="12"/>
      <c r="L33227" s="12"/>
      <c r="M33227" s="11"/>
      <c r="N33227" s="11"/>
      <c r="O33227" s="11"/>
      <c r="P33227" s="11"/>
    </row>
    <row r="33228" spans="8:16" x14ac:dyDescent="0.25">
      <c r="H33228" s="12"/>
      <c r="I33228" s="12"/>
      <c r="J33228" s="12"/>
      <c r="K33228" s="12"/>
      <c r="L33228" s="12"/>
      <c r="M33228" s="11"/>
      <c r="N33228" s="11"/>
      <c r="O33228" s="11"/>
      <c r="P33228" s="11"/>
    </row>
    <row r="33229" spans="8:16" x14ac:dyDescent="0.25">
      <c r="H33229" s="12"/>
      <c r="I33229" s="12"/>
      <c r="J33229" s="12"/>
      <c r="K33229" s="12"/>
      <c r="L33229" s="12"/>
      <c r="M33229" s="11"/>
      <c r="N33229" s="11"/>
      <c r="O33229" s="11"/>
      <c r="P33229" s="11"/>
    </row>
    <row r="33230" spans="8:16" x14ac:dyDescent="0.25">
      <c r="H33230" s="12"/>
      <c r="I33230" s="12"/>
      <c r="J33230" s="12"/>
      <c r="K33230" s="12"/>
      <c r="L33230" s="12"/>
      <c r="M33230" s="11"/>
      <c r="N33230" s="11"/>
      <c r="O33230" s="11"/>
      <c r="P33230" s="11"/>
    </row>
    <row r="33231" spans="8:16" x14ac:dyDescent="0.25">
      <c r="H33231" s="12"/>
      <c r="I33231" s="12"/>
      <c r="J33231" s="12"/>
      <c r="K33231" s="12"/>
      <c r="L33231" s="12"/>
      <c r="M33231" s="11"/>
      <c r="N33231" s="11"/>
      <c r="O33231" s="11"/>
      <c r="P33231" s="11"/>
    </row>
    <row r="33232" spans="8:16" x14ac:dyDescent="0.25">
      <c r="H33232" s="12"/>
      <c r="I33232" s="12"/>
      <c r="J33232" s="12"/>
      <c r="K33232" s="12"/>
      <c r="L33232" s="12"/>
      <c r="M33232" s="11"/>
      <c r="N33232" s="11"/>
      <c r="O33232" s="11"/>
      <c r="P33232" s="11"/>
    </row>
    <row r="33233" spans="8:16" x14ac:dyDescent="0.25">
      <c r="H33233" s="12"/>
      <c r="I33233" s="12"/>
      <c r="J33233" s="12"/>
      <c r="K33233" s="12"/>
      <c r="L33233" s="12"/>
      <c r="M33233" s="11"/>
      <c r="N33233" s="11"/>
      <c r="O33233" s="11"/>
      <c r="P33233" s="11"/>
    </row>
    <row r="33234" spans="8:16" x14ac:dyDescent="0.25">
      <c r="H33234" s="12"/>
      <c r="I33234" s="12"/>
      <c r="J33234" s="12"/>
      <c r="K33234" s="12"/>
      <c r="L33234" s="12"/>
      <c r="M33234" s="11"/>
      <c r="N33234" s="11"/>
      <c r="O33234" s="11"/>
      <c r="P33234" s="11"/>
    </row>
    <row r="33235" spans="8:16" x14ac:dyDescent="0.25">
      <c r="H33235" s="12"/>
      <c r="I33235" s="12"/>
      <c r="J33235" s="12"/>
      <c r="K33235" s="12"/>
      <c r="L33235" s="12"/>
      <c r="M33235" s="11"/>
      <c r="N33235" s="11"/>
      <c r="O33235" s="11"/>
      <c r="P33235" s="11"/>
    </row>
    <row r="33236" spans="8:16" x14ac:dyDescent="0.25">
      <c r="H33236" s="12"/>
      <c r="I33236" s="12"/>
      <c r="J33236" s="12"/>
      <c r="K33236" s="12"/>
      <c r="L33236" s="12"/>
      <c r="M33236" s="11"/>
      <c r="N33236" s="11"/>
      <c r="O33236" s="11"/>
      <c r="P33236" s="11"/>
    </row>
    <row r="33237" spans="8:16" x14ac:dyDescent="0.25">
      <c r="H33237" s="12"/>
      <c r="I33237" s="12"/>
      <c r="J33237" s="12"/>
      <c r="K33237" s="12"/>
      <c r="L33237" s="12"/>
      <c r="M33237" s="11"/>
      <c r="N33237" s="11"/>
      <c r="O33237" s="11"/>
      <c r="P33237" s="11"/>
    </row>
    <row r="33238" spans="8:16" x14ac:dyDescent="0.25">
      <c r="H33238" s="12"/>
      <c r="I33238" s="12"/>
      <c r="J33238" s="12"/>
      <c r="K33238" s="12"/>
      <c r="L33238" s="12"/>
      <c r="M33238" s="11"/>
      <c r="N33238" s="11"/>
      <c r="O33238" s="11"/>
      <c r="P33238" s="11"/>
    </row>
    <row r="33239" spans="8:16" x14ac:dyDescent="0.25">
      <c r="H33239" s="12"/>
      <c r="I33239" s="12"/>
      <c r="J33239" s="12"/>
      <c r="K33239" s="12"/>
      <c r="L33239" s="12"/>
      <c r="M33239" s="11"/>
      <c r="N33239" s="11"/>
      <c r="O33239" s="11"/>
      <c r="P33239" s="11"/>
    </row>
    <row r="33240" spans="8:16" x14ac:dyDescent="0.25">
      <c r="H33240" s="12"/>
      <c r="I33240" s="12"/>
      <c r="J33240" s="12"/>
      <c r="K33240" s="12"/>
      <c r="L33240" s="12"/>
      <c r="M33240" s="11"/>
      <c r="N33240" s="11"/>
      <c r="O33240" s="11"/>
      <c r="P33240" s="11"/>
    </row>
    <row r="33241" spans="8:16" x14ac:dyDescent="0.25">
      <c r="H33241" s="12"/>
      <c r="I33241" s="12"/>
      <c r="J33241" s="12"/>
      <c r="K33241" s="12"/>
      <c r="L33241" s="12"/>
      <c r="M33241" s="11"/>
      <c r="N33241" s="11"/>
      <c r="O33241" s="11"/>
      <c r="P33241" s="11"/>
    </row>
    <row r="33242" spans="8:16" x14ac:dyDescent="0.25">
      <c r="H33242" s="12"/>
      <c r="I33242" s="12"/>
      <c r="J33242" s="12"/>
      <c r="K33242" s="12"/>
      <c r="L33242" s="12"/>
      <c r="M33242" s="11"/>
      <c r="N33242" s="11"/>
      <c r="O33242" s="11"/>
      <c r="P33242" s="11"/>
    </row>
    <row r="33243" spans="8:16" x14ac:dyDescent="0.25">
      <c r="H33243" s="12"/>
      <c r="I33243" s="12"/>
      <c r="J33243" s="12"/>
      <c r="K33243" s="12"/>
      <c r="L33243" s="12"/>
      <c r="M33243" s="11"/>
      <c r="N33243" s="11"/>
      <c r="O33243" s="11"/>
      <c r="P33243" s="11"/>
    </row>
    <row r="33244" spans="8:16" x14ac:dyDescent="0.25">
      <c r="H33244" s="12"/>
      <c r="I33244" s="12"/>
      <c r="J33244" s="12"/>
      <c r="K33244" s="12"/>
      <c r="L33244" s="12"/>
      <c r="M33244" s="11"/>
      <c r="N33244" s="11"/>
      <c r="O33244" s="11"/>
      <c r="P33244" s="11"/>
    </row>
    <row r="33245" spans="8:16" x14ac:dyDescent="0.25">
      <c r="H33245" s="12"/>
      <c r="I33245" s="12"/>
      <c r="J33245" s="12"/>
      <c r="K33245" s="12"/>
      <c r="L33245" s="12"/>
      <c r="M33245" s="11"/>
      <c r="N33245" s="11"/>
      <c r="O33245" s="11"/>
      <c r="P33245" s="11"/>
    </row>
    <row r="33246" spans="8:16" x14ac:dyDescent="0.25">
      <c r="H33246" s="12"/>
      <c r="I33246" s="12"/>
      <c r="J33246" s="12"/>
      <c r="K33246" s="12"/>
      <c r="L33246" s="12"/>
      <c r="M33246" s="11"/>
      <c r="N33246" s="11"/>
      <c r="O33246" s="11"/>
      <c r="P33246" s="11"/>
    </row>
    <row r="33247" spans="8:16" x14ac:dyDescent="0.25">
      <c r="H33247" s="12"/>
      <c r="I33247" s="12"/>
      <c r="J33247" s="12"/>
      <c r="K33247" s="12"/>
      <c r="L33247" s="12"/>
      <c r="M33247" s="11"/>
      <c r="N33247" s="11"/>
      <c r="O33247" s="11"/>
      <c r="P33247" s="11"/>
    </row>
    <row r="33248" spans="8:16" x14ac:dyDescent="0.25">
      <c r="H33248" s="12"/>
      <c r="I33248" s="12"/>
      <c r="J33248" s="12"/>
      <c r="K33248" s="12"/>
      <c r="L33248" s="12"/>
      <c r="M33248" s="11"/>
      <c r="N33248" s="11"/>
      <c r="O33248" s="11"/>
      <c r="P33248" s="11"/>
    </row>
    <row r="33249" spans="8:16" x14ac:dyDescent="0.25">
      <c r="H33249" s="12"/>
      <c r="I33249" s="12"/>
      <c r="J33249" s="12"/>
      <c r="K33249" s="12"/>
      <c r="L33249" s="12"/>
      <c r="M33249" s="11"/>
      <c r="N33249" s="11"/>
      <c r="O33249" s="11"/>
      <c r="P33249" s="11"/>
    </row>
    <row r="33250" spans="8:16" x14ac:dyDescent="0.25">
      <c r="H33250" s="12"/>
      <c r="I33250" s="12"/>
      <c r="J33250" s="12"/>
      <c r="K33250" s="12"/>
      <c r="L33250" s="12"/>
      <c r="M33250" s="11"/>
      <c r="N33250" s="11"/>
      <c r="O33250" s="11"/>
      <c r="P33250" s="11"/>
    </row>
    <row r="33251" spans="8:16" x14ac:dyDescent="0.25">
      <c r="H33251" s="12"/>
      <c r="I33251" s="12"/>
      <c r="J33251" s="12"/>
      <c r="K33251" s="12"/>
      <c r="L33251" s="12"/>
      <c r="M33251" s="11"/>
      <c r="N33251" s="11"/>
      <c r="O33251" s="11"/>
      <c r="P33251" s="11"/>
    </row>
    <row r="33252" spans="8:16" x14ac:dyDescent="0.25">
      <c r="H33252" s="12"/>
      <c r="I33252" s="12"/>
      <c r="J33252" s="12"/>
      <c r="K33252" s="12"/>
      <c r="L33252" s="12"/>
      <c r="M33252" s="11"/>
      <c r="N33252" s="11"/>
      <c r="O33252" s="11"/>
      <c r="P33252" s="11"/>
    </row>
    <row r="33253" spans="8:16" x14ac:dyDescent="0.25">
      <c r="H33253" s="12"/>
      <c r="I33253" s="12"/>
      <c r="J33253" s="12"/>
      <c r="K33253" s="12"/>
      <c r="L33253" s="12"/>
      <c r="M33253" s="11"/>
      <c r="N33253" s="11"/>
      <c r="O33253" s="11"/>
      <c r="P33253" s="11"/>
    </row>
    <row r="33254" spans="8:16" x14ac:dyDescent="0.25">
      <c r="H33254" s="12"/>
      <c r="I33254" s="12"/>
      <c r="J33254" s="12"/>
      <c r="K33254" s="12"/>
      <c r="L33254" s="12"/>
      <c r="M33254" s="11"/>
      <c r="N33254" s="11"/>
      <c r="O33254" s="11"/>
      <c r="P33254" s="11"/>
    </row>
    <row r="33255" spans="8:16" x14ac:dyDescent="0.25">
      <c r="H33255" s="12"/>
      <c r="I33255" s="12"/>
      <c r="J33255" s="12"/>
      <c r="K33255" s="12"/>
      <c r="L33255" s="12"/>
      <c r="M33255" s="11"/>
      <c r="N33255" s="11"/>
      <c r="O33255" s="11"/>
      <c r="P33255" s="11"/>
    </row>
    <row r="33256" spans="8:16" x14ac:dyDescent="0.25">
      <c r="H33256" s="12"/>
      <c r="I33256" s="12"/>
      <c r="J33256" s="12"/>
      <c r="K33256" s="12"/>
      <c r="L33256" s="12"/>
      <c r="M33256" s="11"/>
      <c r="N33256" s="11"/>
      <c r="O33256" s="11"/>
      <c r="P33256" s="11"/>
    </row>
    <row r="33257" spans="8:16" x14ac:dyDescent="0.25">
      <c r="H33257" s="12"/>
      <c r="I33257" s="12"/>
      <c r="J33257" s="12"/>
      <c r="K33257" s="12"/>
      <c r="L33257" s="12"/>
      <c r="M33257" s="11"/>
      <c r="N33257" s="11"/>
      <c r="O33257" s="11"/>
      <c r="P33257" s="11"/>
    </row>
    <row r="33258" spans="8:16" x14ac:dyDescent="0.25">
      <c r="H33258" s="12"/>
      <c r="I33258" s="12"/>
      <c r="J33258" s="12"/>
      <c r="K33258" s="12"/>
      <c r="L33258" s="12"/>
      <c r="M33258" s="11"/>
      <c r="N33258" s="11"/>
      <c r="O33258" s="11"/>
      <c r="P33258" s="11"/>
    </row>
    <row r="33259" spans="8:16" x14ac:dyDescent="0.25">
      <c r="H33259" s="12"/>
      <c r="I33259" s="12"/>
      <c r="J33259" s="12"/>
      <c r="K33259" s="12"/>
      <c r="L33259" s="12"/>
      <c r="M33259" s="11"/>
      <c r="N33259" s="11"/>
      <c r="O33259" s="11"/>
      <c r="P33259" s="11"/>
    </row>
    <row r="33260" spans="8:16" x14ac:dyDescent="0.25">
      <c r="H33260" s="12"/>
      <c r="I33260" s="12"/>
      <c r="J33260" s="12"/>
      <c r="K33260" s="12"/>
      <c r="L33260" s="12"/>
      <c r="M33260" s="11"/>
      <c r="N33260" s="11"/>
      <c r="O33260" s="11"/>
      <c r="P33260" s="11"/>
    </row>
    <row r="33261" spans="8:16" x14ac:dyDescent="0.25">
      <c r="H33261" s="12"/>
      <c r="I33261" s="12"/>
      <c r="J33261" s="12"/>
      <c r="K33261" s="12"/>
      <c r="L33261" s="12"/>
      <c r="M33261" s="11"/>
      <c r="N33261" s="11"/>
      <c r="O33261" s="11"/>
      <c r="P33261" s="11"/>
    </row>
    <row r="33262" spans="8:16" x14ac:dyDescent="0.25">
      <c r="H33262" s="12"/>
      <c r="I33262" s="12"/>
      <c r="J33262" s="12"/>
      <c r="K33262" s="12"/>
      <c r="L33262" s="12"/>
      <c r="M33262" s="11"/>
      <c r="N33262" s="11"/>
      <c r="O33262" s="11"/>
      <c r="P33262" s="11"/>
    </row>
    <row r="33263" spans="8:16" x14ac:dyDescent="0.25">
      <c r="H33263" s="12"/>
      <c r="I33263" s="12"/>
      <c r="J33263" s="12"/>
      <c r="K33263" s="12"/>
      <c r="L33263" s="12"/>
      <c r="M33263" s="11"/>
      <c r="N33263" s="11"/>
      <c r="O33263" s="11"/>
      <c r="P33263" s="11"/>
    </row>
    <row r="33264" spans="8:16" x14ac:dyDescent="0.25">
      <c r="H33264" s="12"/>
      <c r="I33264" s="12"/>
      <c r="J33264" s="12"/>
      <c r="K33264" s="12"/>
      <c r="L33264" s="12"/>
      <c r="M33264" s="11"/>
      <c r="N33264" s="11"/>
      <c r="O33264" s="11"/>
      <c r="P33264" s="11"/>
    </row>
    <row r="33265" spans="8:16" x14ac:dyDescent="0.25">
      <c r="H33265" s="12"/>
      <c r="I33265" s="12"/>
      <c r="J33265" s="12"/>
      <c r="K33265" s="12"/>
      <c r="L33265" s="12"/>
      <c r="M33265" s="11"/>
      <c r="N33265" s="11"/>
      <c r="O33265" s="11"/>
      <c r="P33265" s="11"/>
    </row>
    <row r="33266" spans="8:16" x14ac:dyDescent="0.25">
      <c r="H33266" s="12"/>
      <c r="I33266" s="12"/>
      <c r="J33266" s="12"/>
      <c r="K33266" s="12"/>
      <c r="L33266" s="12"/>
      <c r="M33266" s="11"/>
      <c r="N33266" s="11"/>
      <c r="O33266" s="11"/>
      <c r="P33266" s="11"/>
    </row>
    <row r="33267" spans="8:16" x14ac:dyDescent="0.25">
      <c r="H33267" s="12"/>
      <c r="I33267" s="12"/>
      <c r="J33267" s="12"/>
      <c r="K33267" s="12"/>
      <c r="L33267" s="12"/>
      <c r="M33267" s="11"/>
      <c r="N33267" s="11"/>
      <c r="O33267" s="11"/>
      <c r="P33267" s="11"/>
    </row>
    <row r="33268" spans="8:16" x14ac:dyDescent="0.25">
      <c r="H33268" s="12"/>
      <c r="I33268" s="12"/>
      <c r="J33268" s="12"/>
      <c r="K33268" s="12"/>
      <c r="L33268" s="12"/>
      <c r="M33268" s="11"/>
      <c r="N33268" s="11"/>
      <c r="O33268" s="11"/>
      <c r="P33268" s="11"/>
    </row>
    <row r="33269" spans="8:16" x14ac:dyDescent="0.25">
      <c r="H33269" s="12"/>
      <c r="I33269" s="12"/>
      <c r="J33269" s="12"/>
      <c r="K33269" s="12"/>
      <c r="L33269" s="12"/>
      <c r="M33269" s="11"/>
      <c r="N33269" s="11"/>
      <c r="O33269" s="11"/>
      <c r="P33269" s="11"/>
    </row>
    <row r="33270" spans="8:16" x14ac:dyDescent="0.25">
      <c r="H33270" s="12"/>
      <c r="I33270" s="12"/>
      <c r="J33270" s="12"/>
      <c r="K33270" s="12"/>
      <c r="L33270" s="12"/>
      <c r="M33270" s="11"/>
      <c r="N33270" s="11"/>
      <c r="O33270" s="11"/>
      <c r="P33270" s="11"/>
    </row>
    <row r="33271" spans="8:16" x14ac:dyDescent="0.25">
      <c r="H33271" s="12"/>
      <c r="I33271" s="12"/>
      <c r="J33271" s="12"/>
      <c r="K33271" s="12"/>
      <c r="L33271" s="12"/>
      <c r="M33271" s="11"/>
      <c r="N33271" s="11"/>
      <c r="O33271" s="11"/>
      <c r="P33271" s="11"/>
    </row>
    <row r="33272" spans="8:16" x14ac:dyDescent="0.25">
      <c r="H33272" s="12"/>
      <c r="I33272" s="12"/>
      <c r="J33272" s="12"/>
      <c r="K33272" s="12"/>
      <c r="L33272" s="12"/>
      <c r="M33272" s="11"/>
      <c r="N33272" s="11"/>
      <c r="O33272" s="11"/>
      <c r="P33272" s="11"/>
    </row>
    <row r="33273" spans="8:16" x14ac:dyDescent="0.25">
      <c r="H33273" s="12"/>
      <c r="I33273" s="12"/>
      <c r="J33273" s="12"/>
      <c r="K33273" s="12"/>
      <c r="L33273" s="12"/>
      <c r="M33273" s="11"/>
      <c r="N33273" s="11"/>
      <c r="O33273" s="11"/>
      <c r="P33273" s="11"/>
    </row>
    <row r="33274" spans="8:16" x14ac:dyDescent="0.25">
      <c r="H33274" s="12"/>
      <c r="I33274" s="12"/>
      <c r="J33274" s="12"/>
      <c r="K33274" s="12"/>
      <c r="L33274" s="12"/>
      <c r="M33274" s="11"/>
      <c r="N33274" s="11"/>
      <c r="O33274" s="11"/>
      <c r="P33274" s="11"/>
    </row>
    <row r="33275" spans="8:16" x14ac:dyDescent="0.25">
      <c r="H33275" s="12"/>
      <c r="I33275" s="12"/>
      <c r="J33275" s="12"/>
      <c r="K33275" s="12"/>
      <c r="L33275" s="12"/>
      <c r="M33275" s="11"/>
      <c r="N33275" s="11"/>
      <c r="O33275" s="11"/>
      <c r="P33275" s="11"/>
    </row>
    <row r="33276" spans="8:16" x14ac:dyDescent="0.25">
      <c r="H33276" s="12"/>
      <c r="I33276" s="12"/>
      <c r="J33276" s="12"/>
      <c r="K33276" s="12"/>
      <c r="L33276" s="12"/>
      <c r="M33276" s="11"/>
      <c r="N33276" s="11"/>
      <c r="O33276" s="11"/>
      <c r="P33276" s="11"/>
    </row>
    <row r="33277" spans="8:16" x14ac:dyDescent="0.25">
      <c r="H33277" s="12"/>
      <c r="I33277" s="12"/>
      <c r="J33277" s="12"/>
      <c r="K33277" s="12"/>
      <c r="L33277" s="12"/>
      <c r="M33277" s="11"/>
      <c r="N33277" s="11"/>
      <c r="O33277" s="11"/>
      <c r="P33277" s="11"/>
    </row>
    <row r="33278" spans="8:16" x14ac:dyDescent="0.25">
      <c r="H33278" s="12"/>
      <c r="I33278" s="12"/>
      <c r="J33278" s="12"/>
      <c r="K33278" s="12"/>
      <c r="L33278" s="12"/>
      <c r="M33278" s="11"/>
      <c r="N33278" s="11"/>
      <c r="O33278" s="11"/>
      <c r="P33278" s="11"/>
    </row>
    <row r="33279" spans="8:16" x14ac:dyDescent="0.25">
      <c r="H33279" s="12"/>
      <c r="I33279" s="12"/>
      <c r="J33279" s="12"/>
      <c r="K33279" s="12"/>
      <c r="L33279" s="12"/>
      <c r="M33279" s="11"/>
      <c r="N33279" s="11"/>
      <c r="O33279" s="11"/>
      <c r="P33279" s="11"/>
    </row>
    <row r="33280" spans="8:16" x14ac:dyDescent="0.25">
      <c r="H33280" s="12"/>
      <c r="I33280" s="12"/>
      <c r="J33280" s="12"/>
      <c r="K33280" s="12"/>
      <c r="L33280" s="12"/>
      <c r="M33280" s="11"/>
      <c r="N33280" s="11"/>
      <c r="O33280" s="11"/>
      <c r="P33280" s="11"/>
    </row>
    <row r="33281" spans="8:16" x14ac:dyDescent="0.25">
      <c r="H33281" s="12"/>
      <c r="I33281" s="12"/>
      <c r="J33281" s="12"/>
      <c r="K33281" s="12"/>
      <c r="L33281" s="12"/>
      <c r="M33281" s="11"/>
      <c r="N33281" s="11"/>
      <c r="O33281" s="11"/>
      <c r="P33281" s="11"/>
    </row>
    <row r="33282" spans="8:16" x14ac:dyDescent="0.25">
      <c r="H33282" s="12"/>
      <c r="I33282" s="12"/>
      <c r="J33282" s="12"/>
      <c r="K33282" s="12"/>
      <c r="L33282" s="12"/>
      <c r="M33282" s="11"/>
      <c r="N33282" s="11"/>
      <c r="O33282" s="11"/>
      <c r="P33282" s="11"/>
    </row>
    <row r="33283" spans="8:16" x14ac:dyDescent="0.25">
      <c r="H33283" s="12"/>
      <c r="I33283" s="12"/>
      <c r="J33283" s="12"/>
      <c r="K33283" s="12"/>
      <c r="L33283" s="12"/>
      <c r="M33283" s="11"/>
      <c r="N33283" s="11"/>
      <c r="O33283" s="11"/>
      <c r="P33283" s="11"/>
    </row>
    <row r="33284" spans="8:16" x14ac:dyDescent="0.25">
      <c r="H33284" s="12"/>
      <c r="I33284" s="12"/>
      <c r="J33284" s="12"/>
      <c r="K33284" s="12"/>
      <c r="L33284" s="12"/>
      <c r="M33284" s="11"/>
      <c r="N33284" s="11"/>
      <c r="O33284" s="11"/>
      <c r="P33284" s="11"/>
    </row>
    <row r="33285" spans="8:16" x14ac:dyDescent="0.25">
      <c r="H33285" s="12"/>
      <c r="I33285" s="12"/>
      <c r="J33285" s="12"/>
      <c r="K33285" s="12"/>
      <c r="L33285" s="12"/>
      <c r="M33285" s="11"/>
      <c r="N33285" s="11"/>
      <c r="O33285" s="11"/>
      <c r="P33285" s="11"/>
    </row>
    <row r="33286" spans="8:16" x14ac:dyDescent="0.25">
      <c r="H33286" s="12"/>
      <c r="I33286" s="12"/>
      <c r="J33286" s="12"/>
      <c r="K33286" s="12"/>
      <c r="L33286" s="12"/>
      <c r="M33286" s="11"/>
      <c r="N33286" s="11"/>
      <c r="O33286" s="11"/>
      <c r="P33286" s="11"/>
    </row>
    <row r="33287" spans="8:16" x14ac:dyDescent="0.25">
      <c r="H33287" s="12"/>
      <c r="I33287" s="12"/>
      <c r="J33287" s="12"/>
      <c r="K33287" s="12"/>
      <c r="L33287" s="12"/>
      <c r="M33287" s="11"/>
      <c r="N33287" s="11"/>
      <c r="O33287" s="11"/>
      <c r="P33287" s="11"/>
    </row>
    <row r="33288" spans="8:16" x14ac:dyDescent="0.25">
      <c r="H33288" s="12"/>
      <c r="I33288" s="12"/>
      <c r="J33288" s="12"/>
      <c r="K33288" s="12"/>
      <c r="L33288" s="12"/>
      <c r="M33288" s="11"/>
      <c r="N33288" s="11"/>
      <c r="O33288" s="11"/>
      <c r="P33288" s="11"/>
    </row>
    <row r="33289" spans="8:16" x14ac:dyDescent="0.25">
      <c r="H33289" s="12"/>
      <c r="I33289" s="12"/>
      <c r="J33289" s="12"/>
      <c r="K33289" s="12"/>
      <c r="L33289" s="12"/>
      <c r="M33289" s="11"/>
      <c r="N33289" s="11"/>
      <c r="O33289" s="11"/>
      <c r="P33289" s="11"/>
    </row>
    <row r="33290" spans="8:16" x14ac:dyDescent="0.25">
      <c r="H33290" s="12"/>
      <c r="I33290" s="12"/>
      <c r="J33290" s="12"/>
      <c r="K33290" s="12"/>
      <c r="L33290" s="12"/>
      <c r="M33290" s="11"/>
      <c r="N33290" s="11"/>
      <c r="O33290" s="11"/>
      <c r="P33290" s="11"/>
    </row>
    <row r="33291" spans="8:16" x14ac:dyDescent="0.25">
      <c r="H33291" s="12"/>
      <c r="I33291" s="12"/>
      <c r="J33291" s="12"/>
      <c r="K33291" s="12"/>
      <c r="L33291" s="12"/>
      <c r="M33291" s="11"/>
      <c r="N33291" s="11"/>
      <c r="O33291" s="11"/>
      <c r="P33291" s="11"/>
    </row>
    <row r="33292" spans="8:16" x14ac:dyDescent="0.25">
      <c r="H33292" s="12"/>
      <c r="I33292" s="12"/>
      <c r="J33292" s="12"/>
      <c r="K33292" s="12"/>
      <c r="L33292" s="12"/>
      <c r="M33292" s="11"/>
      <c r="N33292" s="11"/>
      <c r="O33292" s="11"/>
      <c r="P33292" s="11"/>
    </row>
    <row r="33293" spans="8:16" x14ac:dyDescent="0.25">
      <c r="H33293" s="12"/>
      <c r="I33293" s="12"/>
      <c r="J33293" s="12"/>
      <c r="K33293" s="12"/>
      <c r="L33293" s="12"/>
      <c r="M33293" s="11"/>
      <c r="N33293" s="11"/>
      <c r="O33293" s="11"/>
      <c r="P33293" s="11"/>
    </row>
    <row r="33294" spans="8:16" x14ac:dyDescent="0.25">
      <c r="H33294" s="12"/>
      <c r="I33294" s="12"/>
      <c r="J33294" s="12"/>
      <c r="K33294" s="12"/>
      <c r="L33294" s="12"/>
      <c r="M33294" s="11"/>
      <c r="N33294" s="11"/>
      <c r="O33294" s="11"/>
      <c r="P33294" s="11"/>
    </row>
    <row r="33295" spans="8:16" x14ac:dyDescent="0.25">
      <c r="H33295" s="12"/>
      <c r="I33295" s="12"/>
      <c r="J33295" s="12"/>
      <c r="K33295" s="12"/>
      <c r="L33295" s="12"/>
      <c r="M33295" s="11"/>
      <c r="N33295" s="11"/>
      <c r="O33295" s="11"/>
      <c r="P33295" s="11"/>
    </row>
    <row r="33296" spans="8:16" x14ac:dyDescent="0.25">
      <c r="H33296" s="12"/>
      <c r="I33296" s="12"/>
      <c r="J33296" s="12"/>
      <c r="K33296" s="12"/>
      <c r="L33296" s="12"/>
      <c r="M33296" s="11"/>
      <c r="N33296" s="11"/>
      <c r="O33296" s="11"/>
      <c r="P33296" s="11"/>
    </row>
    <row r="33297" spans="8:16" x14ac:dyDescent="0.25">
      <c r="H33297" s="12"/>
      <c r="I33297" s="12"/>
      <c r="J33297" s="12"/>
      <c r="K33297" s="12"/>
      <c r="L33297" s="12"/>
      <c r="M33297" s="11"/>
      <c r="N33297" s="11"/>
      <c r="O33297" s="11"/>
      <c r="P33297" s="11"/>
    </row>
    <row r="33298" spans="8:16" x14ac:dyDescent="0.25">
      <c r="H33298" s="12"/>
      <c r="I33298" s="12"/>
      <c r="J33298" s="12"/>
      <c r="K33298" s="12"/>
      <c r="L33298" s="12"/>
      <c r="M33298" s="11"/>
      <c r="N33298" s="11"/>
      <c r="O33298" s="11"/>
      <c r="P33298" s="11"/>
    </row>
    <row r="33299" spans="8:16" x14ac:dyDescent="0.25">
      <c r="H33299" s="12"/>
      <c r="I33299" s="12"/>
      <c r="J33299" s="12"/>
      <c r="K33299" s="12"/>
      <c r="L33299" s="12"/>
      <c r="M33299" s="11"/>
      <c r="N33299" s="11"/>
      <c r="O33299" s="11"/>
      <c r="P33299" s="11"/>
    </row>
    <row r="33300" spans="8:16" x14ac:dyDescent="0.25">
      <c r="H33300" s="12"/>
      <c r="I33300" s="12"/>
      <c r="J33300" s="12"/>
      <c r="K33300" s="12"/>
      <c r="L33300" s="12"/>
      <c r="M33300" s="11"/>
      <c r="N33300" s="11"/>
      <c r="O33300" s="11"/>
      <c r="P33300" s="11"/>
    </row>
    <row r="33301" spans="8:16" x14ac:dyDescent="0.25">
      <c r="H33301" s="12"/>
      <c r="I33301" s="12"/>
      <c r="J33301" s="12"/>
      <c r="K33301" s="12"/>
      <c r="L33301" s="12"/>
      <c r="M33301" s="11"/>
      <c r="N33301" s="11"/>
      <c r="O33301" s="11"/>
      <c r="P33301" s="11"/>
    </row>
    <row r="33302" spans="8:16" x14ac:dyDescent="0.25">
      <c r="H33302" s="12"/>
      <c r="I33302" s="12"/>
      <c r="J33302" s="12"/>
      <c r="K33302" s="12"/>
      <c r="L33302" s="12"/>
      <c r="M33302" s="11"/>
      <c r="N33302" s="11"/>
      <c r="O33302" s="11"/>
      <c r="P33302" s="11"/>
    </row>
    <row r="33303" spans="8:16" x14ac:dyDescent="0.25">
      <c r="H33303" s="12"/>
      <c r="I33303" s="12"/>
      <c r="J33303" s="12"/>
      <c r="K33303" s="12"/>
      <c r="L33303" s="12"/>
      <c r="M33303" s="11"/>
      <c r="N33303" s="11"/>
      <c r="O33303" s="11"/>
      <c r="P33303" s="11"/>
    </row>
    <row r="33304" spans="8:16" x14ac:dyDescent="0.25">
      <c r="H33304" s="12"/>
      <c r="I33304" s="12"/>
      <c r="J33304" s="12"/>
      <c r="K33304" s="12"/>
      <c r="L33304" s="12"/>
      <c r="M33304" s="11"/>
      <c r="N33304" s="11"/>
      <c r="O33304" s="11"/>
      <c r="P33304" s="11"/>
    </row>
    <row r="33305" spans="8:16" x14ac:dyDescent="0.25">
      <c r="H33305" s="12"/>
      <c r="I33305" s="12"/>
      <c r="J33305" s="12"/>
      <c r="K33305" s="12"/>
      <c r="L33305" s="12"/>
      <c r="M33305" s="11"/>
      <c r="N33305" s="11"/>
      <c r="O33305" s="11"/>
      <c r="P33305" s="11"/>
    </row>
    <row r="33306" spans="8:16" x14ac:dyDescent="0.25">
      <c r="H33306" s="12"/>
      <c r="I33306" s="12"/>
      <c r="J33306" s="12"/>
      <c r="K33306" s="12"/>
      <c r="L33306" s="12"/>
      <c r="M33306" s="11"/>
      <c r="N33306" s="11"/>
      <c r="O33306" s="11"/>
      <c r="P33306" s="11"/>
    </row>
    <row r="33307" spans="8:16" x14ac:dyDescent="0.25">
      <c r="H33307" s="12"/>
      <c r="I33307" s="12"/>
      <c r="J33307" s="12"/>
      <c r="K33307" s="12"/>
      <c r="L33307" s="12"/>
      <c r="M33307" s="11"/>
      <c r="N33307" s="11"/>
      <c r="O33307" s="11"/>
      <c r="P33307" s="11"/>
    </row>
    <row r="33308" spans="8:16" x14ac:dyDescent="0.25">
      <c r="H33308" s="12"/>
      <c r="I33308" s="12"/>
      <c r="J33308" s="12"/>
      <c r="K33308" s="12"/>
      <c r="L33308" s="12"/>
      <c r="M33308" s="11"/>
      <c r="N33308" s="11"/>
      <c r="O33308" s="11"/>
      <c r="P33308" s="11"/>
    </row>
    <row r="33309" spans="8:16" x14ac:dyDescent="0.25">
      <c r="H33309" s="12"/>
      <c r="I33309" s="12"/>
      <c r="J33309" s="12"/>
      <c r="K33309" s="12"/>
      <c r="L33309" s="12"/>
      <c r="M33309" s="11"/>
      <c r="N33309" s="11"/>
      <c r="O33309" s="11"/>
      <c r="P33309" s="11"/>
    </row>
    <row r="33310" spans="8:16" x14ac:dyDescent="0.25">
      <c r="H33310" s="12"/>
      <c r="I33310" s="12"/>
      <c r="J33310" s="12"/>
      <c r="K33310" s="12"/>
      <c r="L33310" s="12"/>
      <c r="M33310" s="11"/>
      <c r="N33310" s="11"/>
      <c r="O33310" s="11"/>
      <c r="P33310" s="11"/>
    </row>
    <row r="33311" spans="8:16" x14ac:dyDescent="0.25">
      <c r="H33311" s="12"/>
      <c r="I33311" s="12"/>
      <c r="J33311" s="12"/>
      <c r="K33311" s="12"/>
      <c r="L33311" s="12"/>
      <c r="M33311" s="11"/>
      <c r="N33311" s="11"/>
      <c r="O33311" s="11"/>
      <c r="P33311" s="11"/>
    </row>
    <row r="33312" spans="8:16" x14ac:dyDescent="0.25">
      <c r="H33312" s="12"/>
      <c r="I33312" s="12"/>
      <c r="J33312" s="12"/>
      <c r="K33312" s="12"/>
      <c r="L33312" s="12"/>
      <c r="M33312" s="11"/>
      <c r="N33312" s="11"/>
      <c r="O33312" s="11"/>
      <c r="P33312" s="11"/>
    </row>
    <row r="33313" spans="8:16" x14ac:dyDescent="0.25">
      <c r="H33313" s="12"/>
      <c r="I33313" s="12"/>
      <c r="J33313" s="12"/>
      <c r="K33313" s="12"/>
      <c r="L33313" s="12"/>
      <c r="M33313" s="11"/>
      <c r="N33313" s="11"/>
      <c r="O33313" s="11"/>
      <c r="P33313" s="11"/>
    </row>
    <row r="33314" spans="8:16" x14ac:dyDescent="0.25">
      <c r="H33314" s="12"/>
      <c r="I33314" s="12"/>
      <c r="J33314" s="12"/>
      <c r="K33314" s="12"/>
      <c r="L33314" s="12"/>
      <c r="M33314" s="11"/>
      <c r="N33314" s="11"/>
      <c r="O33314" s="11"/>
      <c r="P33314" s="11"/>
    </row>
    <row r="33315" spans="8:16" x14ac:dyDescent="0.25">
      <c r="H33315" s="12"/>
      <c r="I33315" s="12"/>
      <c r="J33315" s="12"/>
      <c r="K33315" s="12"/>
      <c r="L33315" s="12"/>
      <c r="M33315" s="11"/>
      <c r="N33315" s="11"/>
      <c r="O33315" s="11"/>
      <c r="P33315" s="11"/>
    </row>
    <row r="33316" spans="8:16" x14ac:dyDescent="0.25">
      <c r="H33316" s="12"/>
      <c r="I33316" s="12"/>
      <c r="J33316" s="12"/>
      <c r="K33316" s="12"/>
      <c r="L33316" s="12"/>
      <c r="M33316" s="11"/>
      <c r="N33316" s="11"/>
      <c r="O33316" s="11"/>
      <c r="P33316" s="11"/>
    </row>
    <row r="33317" spans="8:16" x14ac:dyDescent="0.25">
      <c r="H33317" s="12"/>
      <c r="I33317" s="12"/>
      <c r="J33317" s="12"/>
      <c r="K33317" s="12"/>
      <c r="L33317" s="12"/>
      <c r="M33317" s="11"/>
      <c r="N33317" s="11"/>
      <c r="O33317" s="11"/>
      <c r="P33317" s="11"/>
    </row>
    <row r="33318" spans="8:16" x14ac:dyDescent="0.25">
      <c r="H33318" s="12"/>
      <c r="I33318" s="12"/>
      <c r="J33318" s="12"/>
      <c r="K33318" s="12"/>
      <c r="L33318" s="12"/>
      <c r="M33318" s="11"/>
      <c r="N33318" s="11"/>
      <c r="O33318" s="11"/>
      <c r="P33318" s="11"/>
    </row>
    <row r="33319" spans="8:16" x14ac:dyDescent="0.25">
      <c r="H33319" s="12"/>
      <c r="I33319" s="12"/>
      <c r="J33319" s="12"/>
      <c r="K33319" s="12"/>
      <c r="L33319" s="12"/>
      <c r="M33319" s="11"/>
      <c r="N33319" s="11"/>
      <c r="O33319" s="11"/>
      <c r="P33319" s="11"/>
    </row>
    <row r="33320" spans="8:16" x14ac:dyDescent="0.25">
      <c r="H33320" s="12"/>
      <c r="I33320" s="12"/>
      <c r="J33320" s="12"/>
      <c r="K33320" s="12"/>
      <c r="L33320" s="12"/>
      <c r="M33320" s="11"/>
      <c r="N33320" s="11"/>
      <c r="O33320" s="11"/>
      <c r="P33320" s="11"/>
    </row>
    <row r="33321" spans="8:16" x14ac:dyDescent="0.25">
      <c r="H33321" s="12"/>
      <c r="I33321" s="12"/>
      <c r="J33321" s="12"/>
      <c r="K33321" s="12"/>
      <c r="L33321" s="12"/>
      <c r="M33321" s="11"/>
      <c r="N33321" s="11"/>
      <c r="O33321" s="11"/>
      <c r="P33321" s="11"/>
    </row>
    <row r="33322" spans="8:16" x14ac:dyDescent="0.25">
      <c r="H33322" s="12"/>
      <c r="I33322" s="12"/>
      <c r="J33322" s="12"/>
      <c r="K33322" s="12"/>
      <c r="L33322" s="12"/>
      <c r="M33322" s="11"/>
      <c r="N33322" s="11"/>
      <c r="O33322" s="11"/>
      <c r="P33322" s="11"/>
    </row>
    <row r="33323" spans="8:16" x14ac:dyDescent="0.25">
      <c r="H33323" s="12"/>
      <c r="I33323" s="12"/>
      <c r="J33323" s="12"/>
      <c r="K33323" s="12"/>
      <c r="L33323" s="12"/>
      <c r="M33323" s="11"/>
      <c r="N33323" s="11"/>
      <c r="O33323" s="11"/>
      <c r="P33323" s="11"/>
    </row>
    <row r="33324" spans="8:16" x14ac:dyDescent="0.25">
      <c r="H33324" s="12"/>
      <c r="I33324" s="12"/>
      <c r="J33324" s="12"/>
      <c r="K33324" s="12"/>
      <c r="L33324" s="12"/>
      <c r="M33324" s="11"/>
      <c r="N33324" s="11"/>
      <c r="O33324" s="11"/>
      <c r="P33324" s="11"/>
    </row>
    <row r="33325" spans="8:16" x14ac:dyDescent="0.25">
      <c r="H33325" s="12"/>
      <c r="I33325" s="12"/>
      <c r="J33325" s="12"/>
      <c r="K33325" s="12"/>
      <c r="L33325" s="12"/>
      <c r="M33325" s="11"/>
      <c r="N33325" s="11"/>
      <c r="O33325" s="11"/>
      <c r="P33325" s="11"/>
    </row>
    <row r="33326" spans="8:16" x14ac:dyDescent="0.25">
      <c r="H33326" s="12"/>
      <c r="I33326" s="12"/>
      <c r="J33326" s="12"/>
      <c r="K33326" s="12"/>
      <c r="L33326" s="12"/>
      <c r="M33326" s="11"/>
      <c r="N33326" s="11"/>
      <c r="O33326" s="11"/>
      <c r="P33326" s="11"/>
    </row>
    <row r="33327" spans="8:16" x14ac:dyDescent="0.25">
      <c r="H33327" s="12"/>
      <c r="I33327" s="12"/>
      <c r="J33327" s="12"/>
      <c r="K33327" s="12"/>
      <c r="L33327" s="12"/>
      <c r="M33327" s="11"/>
      <c r="N33327" s="11"/>
      <c r="O33327" s="11"/>
      <c r="P33327" s="11"/>
    </row>
    <row r="33328" spans="8:16" x14ac:dyDescent="0.25">
      <c r="H33328" s="12"/>
      <c r="I33328" s="12"/>
      <c r="J33328" s="12"/>
      <c r="K33328" s="12"/>
      <c r="L33328" s="12"/>
      <c r="M33328" s="11"/>
      <c r="N33328" s="11"/>
      <c r="O33328" s="11"/>
      <c r="P33328" s="11"/>
    </row>
    <row r="33329" spans="8:16" x14ac:dyDescent="0.25">
      <c r="H33329" s="12"/>
      <c r="I33329" s="12"/>
      <c r="J33329" s="12"/>
      <c r="K33329" s="12"/>
      <c r="L33329" s="12"/>
      <c r="M33329" s="11"/>
      <c r="N33329" s="11"/>
      <c r="O33329" s="11"/>
      <c r="P33329" s="11"/>
    </row>
    <row r="33330" spans="8:16" x14ac:dyDescent="0.25">
      <c r="H33330" s="12"/>
      <c r="I33330" s="12"/>
      <c r="J33330" s="12"/>
      <c r="K33330" s="12"/>
      <c r="L33330" s="12"/>
      <c r="M33330" s="11"/>
      <c r="N33330" s="11"/>
      <c r="O33330" s="11"/>
      <c r="P33330" s="11"/>
    </row>
    <row r="33331" spans="8:16" x14ac:dyDescent="0.25">
      <c r="H33331" s="12"/>
      <c r="I33331" s="12"/>
      <c r="J33331" s="12"/>
      <c r="K33331" s="12"/>
      <c r="L33331" s="12"/>
      <c r="M33331" s="11"/>
      <c r="N33331" s="11"/>
      <c r="O33331" s="11"/>
      <c r="P33331" s="11"/>
    </row>
    <row r="33332" spans="8:16" x14ac:dyDescent="0.25">
      <c r="H33332" s="12"/>
      <c r="I33332" s="12"/>
      <c r="J33332" s="12"/>
      <c r="K33332" s="12"/>
      <c r="L33332" s="12"/>
      <c r="M33332" s="11"/>
      <c r="N33332" s="11"/>
      <c r="O33332" s="11"/>
      <c r="P33332" s="11"/>
    </row>
    <row r="33333" spans="8:16" x14ac:dyDescent="0.25">
      <c r="H33333" s="12"/>
      <c r="I33333" s="12"/>
      <c r="J33333" s="12"/>
      <c r="K33333" s="12"/>
      <c r="L33333" s="12"/>
      <c r="M33333" s="11"/>
      <c r="N33333" s="11"/>
      <c r="O33333" s="11"/>
      <c r="P33333" s="11"/>
    </row>
    <row r="33334" spans="8:16" x14ac:dyDescent="0.25">
      <c r="H33334" s="12"/>
      <c r="I33334" s="12"/>
      <c r="J33334" s="12"/>
      <c r="K33334" s="12"/>
      <c r="L33334" s="12"/>
      <c r="M33334" s="11"/>
      <c r="N33334" s="11"/>
      <c r="O33334" s="11"/>
      <c r="P33334" s="11"/>
    </row>
    <row r="33335" spans="8:16" x14ac:dyDescent="0.25">
      <c r="H33335" s="12"/>
      <c r="I33335" s="12"/>
      <c r="J33335" s="12"/>
      <c r="K33335" s="12"/>
      <c r="L33335" s="12"/>
      <c r="M33335" s="11"/>
      <c r="N33335" s="11"/>
      <c r="O33335" s="11"/>
      <c r="P33335" s="11"/>
    </row>
    <row r="33336" spans="8:16" x14ac:dyDescent="0.25">
      <c r="H33336" s="12"/>
      <c r="I33336" s="12"/>
      <c r="J33336" s="12"/>
      <c r="K33336" s="12"/>
      <c r="L33336" s="12"/>
      <c r="M33336" s="11"/>
      <c r="N33336" s="11"/>
      <c r="O33336" s="11"/>
      <c r="P33336" s="11"/>
    </row>
    <row r="33337" spans="8:16" x14ac:dyDescent="0.25">
      <c r="H33337" s="12"/>
      <c r="I33337" s="12"/>
      <c r="J33337" s="12"/>
      <c r="K33337" s="12"/>
      <c r="L33337" s="12"/>
      <c r="M33337" s="11"/>
      <c r="N33337" s="11"/>
      <c r="O33337" s="11"/>
      <c r="P33337" s="11"/>
    </row>
    <row r="33338" spans="8:16" x14ac:dyDescent="0.25">
      <c r="H33338" s="12"/>
      <c r="I33338" s="12"/>
      <c r="J33338" s="12"/>
      <c r="K33338" s="12"/>
      <c r="L33338" s="12"/>
      <c r="M33338" s="11"/>
      <c r="N33338" s="11"/>
      <c r="O33338" s="11"/>
      <c r="P33338" s="11"/>
    </row>
    <row r="33339" spans="8:16" x14ac:dyDescent="0.25">
      <c r="H33339" s="12"/>
      <c r="I33339" s="12"/>
      <c r="J33339" s="12"/>
      <c r="K33339" s="12"/>
      <c r="L33339" s="12"/>
      <c r="M33339" s="11"/>
      <c r="N33339" s="11"/>
      <c r="O33339" s="11"/>
      <c r="P33339" s="11"/>
    </row>
    <row r="33340" spans="8:16" x14ac:dyDescent="0.25">
      <c r="H33340" s="12"/>
      <c r="I33340" s="12"/>
      <c r="J33340" s="12"/>
      <c r="K33340" s="12"/>
      <c r="L33340" s="12"/>
      <c r="M33340" s="11"/>
      <c r="N33340" s="11"/>
      <c r="O33340" s="11"/>
      <c r="P33340" s="11"/>
    </row>
    <row r="33341" spans="8:16" x14ac:dyDescent="0.25">
      <c r="H33341" s="12"/>
      <c r="I33341" s="12"/>
      <c r="J33341" s="12"/>
      <c r="K33341" s="12"/>
      <c r="L33341" s="12"/>
      <c r="M33341" s="11"/>
      <c r="N33341" s="11"/>
      <c r="O33341" s="11"/>
      <c r="P33341" s="11"/>
    </row>
    <row r="33342" spans="8:16" x14ac:dyDescent="0.25">
      <c r="H33342" s="12"/>
      <c r="I33342" s="12"/>
      <c r="J33342" s="12"/>
      <c r="K33342" s="12"/>
      <c r="L33342" s="12"/>
      <c r="M33342" s="11"/>
      <c r="N33342" s="11"/>
      <c r="O33342" s="11"/>
      <c r="P33342" s="11"/>
    </row>
    <row r="33343" spans="8:16" x14ac:dyDescent="0.25">
      <c r="H33343" s="12"/>
      <c r="I33343" s="12"/>
      <c r="J33343" s="12"/>
      <c r="K33343" s="12"/>
      <c r="L33343" s="12"/>
      <c r="M33343" s="11"/>
      <c r="N33343" s="11"/>
      <c r="O33343" s="11"/>
      <c r="P33343" s="11"/>
    </row>
    <row r="33344" spans="8:16" x14ac:dyDescent="0.25">
      <c r="H33344" s="12"/>
      <c r="I33344" s="12"/>
      <c r="J33344" s="12"/>
      <c r="K33344" s="12"/>
      <c r="L33344" s="12"/>
      <c r="M33344" s="11"/>
      <c r="N33344" s="11"/>
      <c r="O33344" s="11"/>
      <c r="P33344" s="11"/>
    </row>
    <row r="33345" spans="8:16" x14ac:dyDescent="0.25">
      <c r="H33345" s="12"/>
      <c r="I33345" s="12"/>
      <c r="J33345" s="12"/>
      <c r="K33345" s="12"/>
      <c r="L33345" s="12"/>
      <c r="M33345" s="11"/>
      <c r="N33345" s="11"/>
      <c r="O33345" s="11"/>
      <c r="P33345" s="11"/>
    </row>
    <row r="33346" spans="8:16" x14ac:dyDescent="0.25">
      <c r="H33346" s="12"/>
      <c r="I33346" s="12"/>
      <c r="J33346" s="12"/>
      <c r="K33346" s="12"/>
      <c r="L33346" s="12"/>
      <c r="M33346" s="11"/>
      <c r="N33346" s="11"/>
      <c r="O33346" s="11"/>
      <c r="P33346" s="11"/>
    </row>
    <row r="33347" spans="8:16" x14ac:dyDescent="0.25">
      <c r="H33347" s="12"/>
      <c r="I33347" s="12"/>
      <c r="J33347" s="12"/>
      <c r="K33347" s="12"/>
      <c r="L33347" s="12"/>
      <c r="M33347" s="11"/>
      <c r="N33347" s="11"/>
      <c r="O33347" s="11"/>
      <c r="P33347" s="11"/>
    </row>
    <row r="33348" spans="8:16" x14ac:dyDescent="0.25">
      <c r="H33348" s="12"/>
      <c r="I33348" s="12"/>
      <c r="J33348" s="12"/>
      <c r="K33348" s="12"/>
      <c r="L33348" s="12"/>
      <c r="M33348" s="11"/>
      <c r="N33348" s="11"/>
      <c r="O33348" s="11"/>
      <c r="P33348" s="11"/>
    </row>
    <row r="33349" spans="8:16" x14ac:dyDescent="0.25">
      <c r="H33349" s="12"/>
      <c r="I33349" s="12"/>
      <c r="J33349" s="12"/>
      <c r="K33349" s="12"/>
      <c r="L33349" s="12"/>
      <c r="M33349" s="11"/>
      <c r="N33349" s="11"/>
      <c r="O33349" s="11"/>
      <c r="P33349" s="11"/>
    </row>
    <row r="33350" spans="8:16" x14ac:dyDescent="0.25">
      <c r="H33350" s="12"/>
      <c r="I33350" s="12"/>
      <c r="J33350" s="12"/>
      <c r="K33350" s="12"/>
      <c r="L33350" s="12"/>
      <c r="M33350" s="11"/>
      <c r="N33350" s="11"/>
      <c r="O33350" s="11"/>
      <c r="P33350" s="11"/>
    </row>
    <row r="33351" spans="8:16" x14ac:dyDescent="0.25">
      <c r="H33351" s="12"/>
      <c r="I33351" s="12"/>
      <c r="J33351" s="12"/>
      <c r="K33351" s="12"/>
      <c r="L33351" s="12"/>
      <c r="M33351" s="11"/>
      <c r="N33351" s="11"/>
      <c r="O33351" s="11"/>
      <c r="P33351" s="11"/>
    </row>
    <row r="33352" spans="8:16" x14ac:dyDescent="0.25">
      <c r="H33352" s="12"/>
      <c r="I33352" s="12"/>
      <c r="J33352" s="12"/>
      <c r="K33352" s="12"/>
      <c r="L33352" s="12"/>
      <c r="M33352" s="11"/>
      <c r="N33352" s="11"/>
      <c r="O33352" s="11"/>
      <c r="P33352" s="11"/>
    </row>
    <row r="33353" spans="8:16" x14ac:dyDescent="0.25">
      <c r="H33353" s="12"/>
      <c r="I33353" s="12"/>
      <c r="J33353" s="12"/>
      <c r="K33353" s="12"/>
      <c r="L33353" s="12"/>
      <c r="M33353" s="11"/>
      <c r="N33353" s="11"/>
      <c r="O33353" s="11"/>
      <c r="P33353" s="11"/>
    </row>
    <row r="33354" spans="8:16" x14ac:dyDescent="0.25">
      <c r="H33354" s="12"/>
      <c r="I33354" s="12"/>
      <c r="J33354" s="12"/>
      <c r="K33354" s="12"/>
      <c r="L33354" s="12"/>
      <c r="M33354" s="11"/>
      <c r="N33354" s="11"/>
      <c r="O33354" s="11"/>
      <c r="P33354" s="11"/>
    </row>
    <row r="33355" spans="8:16" x14ac:dyDescent="0.25">
      <c r="H33355" s="12"/>
      <c r="I33355" s="12"/>
      <c r="J33355" s="12"/>
      <c r="K33355" s="12"/>
      <c r="L33355" s="12"/>
      <c r="M33355" s="11"/>
      <c r="N33355" s="11"/>
      <c r="O33355" s="11"/>
      <c r="P33355" s="11"/>
    </row>
    <row r="33356" spans="8:16" x14ac:dyDescent="0.25">
      <c r="H33356" s="12"/>
      <c r="I33356" s="12"/>
      <c r="J33356" s="12"/>
      <c r="K33356" s="12"/>
      <c r="L33356" s="12"/>
      <c r="M33356" s="11"/>
      <c r="N33356" s="11"/>
      <c r="O33356" s="11"/>
      <c r="P33356" s="11"/>
    </row>
    <row r="33357" spans="8:16" x14ac:dyDescent="0.25">
      <c r="H33357" s="12"/>
      <c r="I33357" s="12"/>
      <c r="J33357" s="12"/>
      <c r="K33357" s="12"/>
      <c r="L33357" s="12"/>
      <c r="M33357" s="11"/>
      <c r="N33357" s="11"/>
      <c r="O33357" s="11"/>
      <c r="P33357" s="11"/>
    </row>
    <row r="33358" spans="8:16" x14ac:dyDescent="0.25">
      <c r="H33358" s="12"/>
      <c r="I33358" s="12"/>
      <c r="J33358" s="12"/>
      <c r="K33358" s="12"/>
      <c r="L33358" s="12"/>
      <c r="M33358" s="11"/>
      <c r="N33358" s="11"/>
      <c r="O33358" s="11"/>
      <c r="P33358" s="11"/>
    </row>
    <row r="33359" spans="8:16" x14ac:dyDescent="0.25">
      <c r="H33359" s="12"/>
      <c r="I33359" s="12"/>
      <c r="J33359" s="12"/>
      <c r="K33359" s="12"/>
      <c r="L33359" s="12"/>
      <c r="M33359" s="11"/>
      <c r="N33359" s="11"/>
      <c r="O33359" s="11"/>
      <c r="P33359" s="11"/>
    </row>
    <row r="33360" spans="8:16" x14ac:dyDescent="0.25">
      <c r="H33360" s="12"/>
      <c r="I33360" s="12"/>
      <c r="J33360" s="12"/>
      <c r="K33360" s="12"/>
      <c r="L33360" s="12"/>
      <c r="M33360" s="11"/>
      <c r="N33360" s="11"/>
      <c r="O33360" s="11"/>
      <c r="P33360" s="11"/>
    </row>
    <row r="33361" spans="8:16" x14ac:dyDescent="0.25">
      <c r="H33361" s="12"/>
      <c r="I33361" s="12"/>
      <c r="J33361" s="12"/>
      <c r="K33361" s="12"/>
      <c r="L33361" s="12"/>
      <c r="M33361" s="11"/>
      <c r="N33361" s="11"/>
      <c r="O33361" s="11"/>
      <c r="P33361" s="11"/>
    </row>
    <row r="33362" spans="8:16" x14ac:dyDescent="0.25">
      <c r="H33362" s="12"/>
      <c r="I33362" s="12"/>
      <c r="J33362" s="12"/>
      <c r="K33362" s="12"/>
      <c r="L33362" s="12"/>
      <c r="M33362" s="11"/>
      <c r="N33362" s="11"/>
      <c r="O33362" s="11"/>
      <c r="P33362" s="11"/>
    </row>
    <row r="33363" spans="8:16" x14ac:dyDescent="0.25">
      <c r="H33363" s="12"/>
      <c r="I33363" s="12"/>
      <c r="J33363" s="12"/>
      <c r="K33363" s="12"/>
      <c r="L33363" s="12"/>
      <c r="M33363" s="11"/>
      <c r="N33363" s="11"/>
      <c r="O33363" s="11"/>
      <c r="P33363" s="11"/>
    </row>
    <row r="33364" spans="8:16" x14ac:dyDescent="0.25">
      <c r="H33364" s="12"/>
      <c r="I33364" s="12"/>
      <c r="J33364" s="12"/>
      <c r="K33364" s="12"/>
      <c r="L33364" s="12"/>
      <c r="M33364" s="11"/>
      <c r="N33364" s="11"/>
      <c r="O33364" s="11"/>
      <c r="P33364" s="11"/>
    </row>
    <row r="33365" spans="8:16" x14ac:dyDescent="0.25">
      <c r="H33365" s="12"/>
      <c r="I33365" s="12"/>
      <c r="J33365" s="12"/>
      <c r="K33365" s="12"/>
      <c r="L33365" s="12"/>
      <c r="M33365" s="11"/>
      <c r="N33365" s="11"/>
      <c r="O33365" s="11"/>
      <c r="P33365" s="11"/>
    </row>
    <row r="33366" spans="8:16" x14ac:dyDescent="0.25">
      <c r="H33366" s="12"/>
      <c r="I33366" s="12"/>
      <c r="J33366" s="12"/>
      <c r="K33366" s="12"/>
      <c r="L33366" s="12"/>
      <c r="M33366" s="11"/>
      <c r="N33366" s="11"/>
      <c r="O33366" s="11"/>
      <c r="P33366" s="11"/>
    </row>
    <row r="33367" spans="8:16" x14ac:dyDescent="0.25">
      <c r="H33367" s="12"/>
      <c r="I33367" s="12"/>
      <c r="J33367" s="12"/>
      <c r="K33367" s="12"/>
      <c r="L33367" s="12"/>
      <c r="M33367" s="11"/>
      <c r="N33367" s="11"/>
      <c r="O33367" s="11"/>
      <c r="P33367" s="11"/>
    </row>
    <row r="33368" spans="8:16" x14ac:dyDescent="0.25">
      <c r="H33368" s="12"/>
      <c r="I33368" s="12"/>
      <c r="J33368" s="12"/>
      <c r="K33368" s="12"/>
      <c r="L33368" s="12"/>
      <c r="M33368" s="11"/>
      <c r="N33368" s="11"/>
      <c r="O33368" s="11"/>
      <c r="P33368" s="11"/>
    </row>
    <row r="33369" spans="8:16" x14ac:dyDescent="0.25">
      <c r="H33369" s="12"/>
      <c r="I33369" s="12"/>
      <c r="J33369" s="12"/>
      <c r="K33369" s="12"/>
      <c r="L33369" s="12"/>
      <c r="M33369" s="11"/>
      <c r="N33369" s="11"/>
      <c r="O33369" s="11"/>
      <c r="P33369" s="11"/>
    </row>
    <row r="33370" spans="8:16" x14ac:dyDescent="0.25">
      <c r="H33370" s="12"/>
      <c r="I33370" s="12"/>
      <c r="J33370" s="12"/>
      <c r="K33370" s="12"/>
      <c r="L33370" s="12"/>
      <c r="M33370" s="11"/>
      <c r="N33370" s="11"/>
      <c r="O33370" s="11"/>
      <c r="P33370" s="11"/>
    </row>
    <row r="33371" spans="8:16" x14ac:dyDescent="0.25">
      <c r="H33371" s="12"/>
      <c r="I33371" s="12"/>
      <c r="J33371" s="12"/>
      <c r="K33371" s="12"/>
      <c r="L33371" s="12"/>
      <c r="M33371" s="11"/>
      <c r="N33371" s="11"/>
      <c r="O33371" s="11"/>
      <c r="P33371" s="11"/>
    </row>
    <row r="33372" spans="8:16" x14ac:dyDescent="0.25">
      <c r="H33372" s="12"/>
      <c r="I33372" s="12"/>
      <c r="J33372" s="12"/>
      <c r="K33372" s="12"/>
      <c r="L33372" s="12"/>
      <c r="M33372" s="11"/>
      <c r="N33372" s="11"/>
      <c r="O33372" s="11"/>
      <c r="P33372" s="11"/>
    </row>
    <row r="33373" spans="8:16" x14ac:dyDescent="0.25">
      <c r="H33373" s="12"/>
      <c r="I33373" s="12"/>
      <c r="J33373" s="12"/>
      <c r="K33373" s="12"/>
      <c r="L33373" s="12"/>
      <c r="M33373" s="11"/>
      <c r="N33373" s="11"/>
      <c r="O33373" s="11"/>
      <c r="P33373" s="11"/>
    </row>
    <row r="33374" spans="8:16" x14ac:dyDescent="0.25">
      <c r="H33374" s="12"/>
      <c r="I33374" s="12"/>
      <c r="J33374" s="12"/>
      <c r="K33374" s="12"/>
      <c r="L33374" s="12"/>
      <c r="M33374" s="11"/>
      <c r="N33374" s="11"/>
      <c r="O33374" s="11"/>
      <c r="P33374" s="11"/>
    </row>
    <row r="33375" spans="8:16" x14ac:dyDescent="0.25">
      <c r="H33375" s="12"/>
      <c r="I33375" s="12"/>
      <c r="J33375" s="12"/>
      <c r="K33375" s="12"/>
      <c r="L33375" s="12"/>
      <c r="M33375" s="11"/>
      <c r="N33375" s="11"/>
      <c r="O33375" s="11"/>
      <c r="P33375" s="11"/>
    </row>
    <row r="33376" spans="8:16" x14ac:dyDescent="0.25">
      <c r="H33376" s="12"/>
      <c r="I33376" s="12"/>
      <c r="J33376" s="12"/>
      <c r="K33376" s="12"/>
      <c r="L33376" s="12"/>
      <c r="M33376" s="11"/>
      <c r="N33376" s="11"/>
      <c r="O33376" s="11"/>
      <c r="P33376" s="11"/>
    </row>
    <row r="33377" spans="8:16" x14ac:dyDescent="0.25">
      <c r="H33377" s="12"/>
      <c r="I33377" s="12"/>
      <c r="J33377" s="12"/>
      <c r="K33377" s="12"/>
      <c r="L33377" s="12"/>
      <c r="M33377" s="11"/>
      <c r="N33377" s="11"/>
      <c r="O33377" s="11"/>
      <c r="P33377" s="11"/>
    </row>
    <row r="33378" spans="8:16" x14ac:dyDescent="0.25">
      <c r="H33378" s="12"/>
      <c r="I33378" s="12"/>
      <c r="J33378" s="12"/>
      <c r="K33378" s="12"/>
      <c r="L33378" s="12"/>
      <c r="M33378" s="11"/>
      <c r="N33378" s="11"/>
      <c r="O33378" s="11"/>
      <c r="P33378" s="11"/>
    </row>
    <row r="33379" spans="8:16" x14ac:dyDescent="0.25">
      <c r="H33379" s="12"/>
      <c r="I33379" s="12"/>
      <c r="J33379" s="12"/>
      <c r="K33379" s="12"/>
      <c r="L33379" s="12"/>
      <c r="M33379" s="11"/>
      <c r="N33379" s="11"/>
      <c r="O33379" s="11"/>
      <c r="P33379" s="11"/>
    </row>
    <row r="33380" spans="8:16" x14ac:dyDescent="0.25">
      <c r="H33380" s="12"/>
      <c r="I33380" s="12"/>
      <c r="J33380" s="12"/>
      <c r="K33380" s="12"/>
      <c r="L33380" s="12"/>
      <c r="M33380" s="11"/>
      <c r="N33380" s="11"/>
      <c r="O33380" s="11"/>
      <c r="P33380" s="11"/>
    </row>
    <row r="33381" spans="8:16" x14ac:dyDescent="0.25">
      <c r="H33381" s="12"/>
      <c r="I33381" s="12"/>
      <c r="J33381" s="12"/>
      <c r="K33381" s="12"/>
      <c r="L33381" s="12"/>
      <c r="M33381" s="11"/>
      <c r="N33381" s="11"/>
      <c r="O33381" s="11"/>
      <c r="P33381" s="11"/>
    </row>
    <row r="33382" spans="8:16" x14ac:dyDescent="0.25">
      <c r="H33382" s="12"/>
      <c r="I33382" s="12"/>
      <c r="J33382" s="12"/>
      <c r="K33382" s="12"/>
      <c r="L33382" s="12"/>
      <c r="M33382" s="11"/>
      <c r="N33382" s="11"/>
      <c r="O33382" s="11"/>
      <c r="P33382" s="11"/>
    </row>
    <row r="33383" spans="8:16" x14ac:dyDescent="0.25">
      <c r="H33383" s="12"/>
      <c r="I33383" s="12"/>
      <c r="J33383" s="12"/>
      <c r="K33383" s="12"/>
      <c r="L33383" s="12"/>
      <c r="M33383" s="11"/>
      <c r="N33383" s="11"/>
      <c r="O33383" s="11"/>
      <c r="P33383" s="11"/>
    </row>
    <row r="33384" spans="8:16" x14ac:dyDescent="0.25">
      <c r="H33384" s="12"/>
      <c r="I33384" s="12"/>
      <c r="J33384" s="12"/>
      <c r="K33384" s="12"/>
      <c r="L33384" s="12"/>
      <c r="M33384" s="11"/>
      <c r="N33384" s="11"/>
      <c r="O33384" s="11"/>
      <c r="P33384" s="11"/>
    </row>
    <row r="33385" spans="8:16" x14ac:dyDescent="0.25">
      <c r="H33385" s="12"/>
      <c r="I33385" s="12"/>
      <c r="J33385" s="12"/>
      <c r="K33385" s="12"/>
      <c r="L33385" s="12"/>
      <c r="M33385" s="11"/>
      <c r="N33385" s="11"/>
      <c r="O33385" s="11"/>
      <c r="P33385" s="11"/>
    </row>
    <row r="33386" spans="8:16" x14ac:dyDescent="0.25">
      <c r="H33386" s="12"/>
      <c r="I33386" s="12"/>
      <c r="J33386" s="12"/>
      <c r="K33386" s="12"/>
      <c r="L33386" s="12"/>
      <c r="M33386" s="11"/>
      <c r="N33386" s="11"/>
      <c r="O33386" s="11"/>
      <c r="P33386" s="11"/>
    </row>
    <row r="33387" spans="8:16" x14ac:dyDescent="0.25">
      <c r="H33387" s="12"/>
      <c r="I33387" s="12"/>
      <c r="J33387" s="12"/>
      <c r="K33387" s="12"/>
      <c r="L33387" s="12"/>
      <c r="M33387" s="11"/>
      <c r="N33387" s="11"/>
      <c r="O33387" s="11"/>
      <c r="P33387" s="11"/>
    </row>
    <row r="33388" spans="8:16" x14ac:dyDescent="0.25">
      <c r="H33388" s="12"/>
      <c r="I33388" s="12"/>
      <c r="J33388" s="12"/>
      <c r="K33388" s="12"/>
      <c r="L33388" s="12"/>
      <c r="M33388" s="11"/>
      <c r="N33388" s="11"/>
      <c r="O33388" s="11"/>
      <c r="P33388" s="11"/>
    </row>
    <row r="33389" spans="8:16" x14ac:dyDescent="0.25">
      <c r="H33389" s="12"/>
      <c r="I33389" s="12"/>
      <c r="J33389" s="12"/>
      <c r="K33389" s="12"/>
      <c r="L33389" s="12"/>
      <c r="M33389" s="11"/>
      <c r="N33389" s="11"/>
      <c r="O33389" s="11"/>
      <c r="P33389" s="11"/>
    </row>
    <row r="33390" spans="8:16" x14ac:dyDescent="0.25">
      <c r="H33390" s="12"/>
      <c r="I33390" s="12"/>
      <c r="J33390" s="12"/>
      <c r="K33390" s="12"/>
      <c r="L33390" s="12"/>
      <c r="M33390" s="11"/>
      <c r="N33390" s="11"/>
      <c r="O33390" s="11"/>
      <c r="P33390" s="11"/>
    </row>
    <row r="33391" spans="8:16" x14ac:dyDescent="0.25">
      <c r="H33391" s="12"/>
      <c r="I33391" s="12"/>
      <c r="J33391" s="12"/>
      <c r="K33391" s="12"/>
      <c r="L33391" s="12"/>
      <c r="M33391" s="11"/>
      <c r="N33391" s="11"/>
      <c r="O33391" s="11"/>
      <c r="P33391" s="11"/>
    </row>
    <row r="33392" spans="8:16" x14ac:dyDescent="0.25">
      <c r="H33392" s="12"/>
      <c r="I33392" s="12"/>
      <c r="J33392" s="12"/>
      <c r="K33392" s="12"/>
      <c r="L33392" s="12"/>
      <c r="M33392" s="11"/>
      <c r="N33392" s="11"/>
      <c r="O33392" s="11"/>
      <c r="P33392" s="11"/>
    </row>
    <row r="33393" spans="8:16" x14ac:dyDescent="0.25">
      <c r="H33393" s="12"/>
      <c r="I33393" s="12"/>
      <c r="J33393" s="12"/>
      <c r="K33393" s="12"/>
      <c r="L33393" s="12"/>
      <c r="M33393" s="11"/>
      <c r="N33393" s="11"/>
      <c r="O33393" s="11"/>
      <c r="P33393" s="11"/>
    </row>
    <row r="33394" spans="8:16" x14ac:dyDescent="0.25">
      <c r="H33394" s="12"/>
      <c r="I33394" s="12"/>
      <c r="J33394" s="12"/>
      <c r="K33394" s="12"/>
      <c r="L33394" s="12"/>
      <c r="M33394" s="11"/>
      <c r="N33394" s="11"/>
      <c r="O33394" s="11"/>
      <c r="P33394" s="11"/>
    </row>
    <row r="33395" spans="8:16" x14ac:dyDescent="0.25">
      <c r="H33395" s="12"/>
      <c r="I33395" s="12"/>
      <c r="J33395" s="12"/>
      <c r="K33395" s="12"/>
      <c r="L33395" s="12"/>
      <c r="M33395" s="11"/>
      <c r="N33395" s="11"/>
      <c r="O33395" s="11"/>
      <c r="P33395" s="11"/>
    </row>
    <row r="33396" spans="8:16" x14ac:dyDescent="0.25">
      <c r="H33396" s="12"/>
      <c r="I33396" s="12"/>
      <c r="J33396" s="12"/>
      <c r="K33396" s="12"/>
      <c r="L33396" s="12"/>
      <c r="M33396" s="11"/>
      <c r="N33396" s="11"/>
      <c r="O33396" s="11"/>
      <c r="P33396" s="11"/>
    </row>
    <row r="33397" spans="8:16" x14ac:dyDescent="0.25">
      <c r="H33397" s="12"/>
      <c r="I33397" s="12"/>
      <c r="J33397" s="12"/>
      <c r="K33397" s="12"/>
      <c r="L33397" s="12"/>
      <c r="M33397" s="11"/>
      <c r="N33397" s="11"/>
      <c r="O33397" s="11"/>
      <c r="P33397" s="11"/>
    </row>
    <row r="33398" spans="8:16" x14ac:dyDescent="0.25">
      <c r="H33398" s="12"/>
      <c r="I33398" s="12"/>
      <c r="J33398" s="12"/>
      <c r="K33398" s="12"/>
      <c r="L33398" s="12"/>
      <c r="M33398" s="11"/>
      <c r="N33398" s="11"/>
      <c r="O33398" s="11"/>
      <c r="P33398" s="11"/>
    </row>
    <row r="33399" spans="8:16" x14ac:dyDescent="0.25">
      <c r="H33399" s="12"/>
      <c r="I33399" s="12"/>
      <c r="J33399" s="12"/>
      <c r="K33399" s="12"/>
      <c r="L33399" s="12"/>
      <c r="M33399" s="11"/>
      <c r="N33399" s="11"/>
      <c r="O33399" s="11"/>
      <c r="P33399" s="11"/>
    </row>
    <row r="33400" spans="8:16" x14ac:dyDescent="0.25">
      <c r="H33400" s="12"/>
      <c r="I33400" s="12"/>
      <c r="J33400" s="12"/>
      <c r="K33400" s="12"/>
      <c r="L33400" s="12"/>
      <c r="M33400" s="11"/>
      <c r="N33400" s="11"/>
      <c r="O33400" s="11"/>
      <c r="P33400" s="11"/>
    </row>
    <row r="33401" spans="8:16" x14ac:dyDescent="0.25">
      <c r="H33401" s="12"/>
      <c r="I33401" s="12"/>
      <c r="J33401" s="12"/>
      <c r="K33401" s="12"/>
      <c r="L33401" s="12"/>
      <c r="M33401" s="11"/>
      <c r="N33401" s="11"/>
      <c r="O33401" s="11"/>
      <c r="P33401" s="11"/>
    </row>
    <row r="33402" spans="8:16" x14ac:dyDescent="0.25">
      <c r="H33402" s="12"/>
      <c r="I33402" s="12"/>
      <c r="J33402" s="12"/>
      <c r="K33402" s="12"/>
      <c r="L33402" s="12"/>
      <c r="M33402" s="11"/>
      <c r="N33402" s="11"/>
      <c r="O33402" s="11"/>
      <c r="P33402" s="11"/>
    </row>
    <row r="33403" spans="8:16" x14ac:dyDescent="0.25">
      <c r="H33403" s="12"/>
      <c r="I33403" s="12"/>
      <c r="J33403" s="12"/>
      <c r="K33403" s="12"/>
      <c r="L33403" s="12"/>
      <c r="M33403" s="11"/>
      <c r="N33403" s="11"/>
      <c r="O33403" s="11"/>
      <c r="P33403" s="11"/>
    </row>
    <row r="33404" spans="8:16" x14ac:dyDescent="0.25">
      <c r="H33404" s="12"/>
      <c r="I33404" s="12"/>
      <c r="J33404" s="12"/>
      <c r="K33404" s="12"/>
      <c r="L33404" s="12"/>
      <c r="M33404" s="11"/>
      <c r="N33404" s="11"/>
      <c r="O33404" s="11"/>
      <c r="P33404" s="11"/>
    </row>
    <row r="33405" spans="8:16" x14ac:dyDescent="0.25">
      <c r="H33405" s="12"/>
      <c r="I33405" s="12"/>
      <c r="J33405" s="12"/>
      <c r="K33405" s="12"/>
      <c r="L33405" s="12"/>
      <c r="M33405" s="11"/>
      <c r="N33405" s="11"/>
      <c r="O33405" s="11"/>
      <c r="P33405" s="11"/>
    </row>
    <row r="33406" spans="8:16" x14ac:dyDescent="0.25">
      <c r="H33406" s="12"/>
      <c r="I33406" s="12"/>
      <c r="J33406" s="12"/>
      <c r="K33406" s="12"/>
      <c r="L33406" s="12"/>
      <c r="M33406" s="11"/>
      <c r="N33406" s="11"/>
      <c r="O33406" s="11"/>
      <c r="P33406" s="11"/>
    </row>
    <row r="33407" spans="8:16" x14ac:dyDescent="0.25">
      <c r="H33407" s="12"/>
      <c r="I33407" s="12"/>
      <c r="J33407" s="12"/>
      <c r="K33407" s="12"/>
      <c r="L33407" s="12"/>
      <c r="M33407" s="11"/>
      <c r="N33407" s="11"/>
      <c r="O33407" s="11"/>
      <c r="P33407" s="11"/>
    </row>
    <row r="33408" spans="8:16" x14ac:dyDescent="0.25">
      <c r="H33408" s="12"/>
      <c r="I33408" s="12"/>
      <c r="J33408" s="12"/>
      <c r="K33408" s="12"/>
      <c r="L33408" s="12"/>
      <c r="M33408" s="11"/>
      <c r="N33408" s="11"/>
      <c r="O33408" s="11"/>
      <c r="P33408" s="11"/>
    </row>
    <row r="33409" spans="8:16" x14ac:dyDescent="0.25">
      <c r="H33409" s="12"/>
      <c r="I33409" s="12"/>
      <c r="J33409" s="12"/>
      <c r="K33409" s="12"/>
      <c r="L33409" s="12"/>
      <c r="M33409" s="11"/>
      <c r="N33409" s="11"/>
      <c r="O33409" s="11"/>
      <c r="P33409" s="11"/>
    </row>
    <row r="33410" spans="8:16" x14ac:dyDescent="0.25">
      <c r="H33410" s="12"/>
      <c r="I33410" s="12"/>
      <c r="J33410" s="12"/>
      <c r="K33410" s="12"/>
      <c r="L33410" s="12"/>
      <c r="M33410" s="11"/>
      <c r="N33410" s="11"/>
      <c r="O33410" s="11"/>
      <c r="P33410" s="11"/>
    </row>
    <row r="33411" spans="8:16" x14ac:dyDescent="0.25">
      <c r="H33411" s="12"/>
      <c r="I33411" s="12"/>
      <c r="J33411" s="12"/>
      <c r="K33411" s="12"/>
      <c r="L33411" s="12"/>
      <c r="M33411" s="11"/>
      <c r="N33411" s="11"/>
      <c r="O33411" s="11"/>
      <c r="P33411" s="11"/>
    </row>
    <row r="33412" spans="8:16" x14ac:dyDescent="0.25">
      <c r="H33412" s="12"/>
      <c r="I33412" s="12"/>
      <c r="J33412" s="12"/>
      <c r="K33412" s="12"/>
      <c r="L33412" s="12"/>
      <c r="M33412" s="11"/>
      <c r="N33412" s="11"/>
      <c r="O33412" s="11"/>
      <c r="P33412" s="11"/>
    </row>
    <row r="33413" spans="8:16" x14ac:dyDescent="0.25">
      <c r="H33413" s="12"/>
      <c r="I33413" s="12"/>
      <c r="J33413" s="12"/>
      <c r="K33413" s="12"/>
      <c r="L33413" s="12"/>
      <c r="M33413" s="11"/>
      <c r="N33413" s="11"/>
      <c r="O33413" s="11"/>
      <c r="P33413" s="11"/>
    </row>
    <row r="33414" spans="8:16" x14ac:dyDescent="0.25">
      <c r="H33414" s="12"/>
      <c r="I33414" s="12"/>
      <c r="J33414" s="12"/>
      <c r="K33414" s="12"/>
      <c r="L33414" s="12"/>
      <c r="M33414" s="11"/>
      <c r="N33414" s="11"/>
      <c r="O33414" s="11"/>
      <c r="P33414" s="11"/>
    </row>
    <row r="33415" spans="8:16" x14ac:dyDescent="0.25">
      <c r="H33415" s="12"/>
      <c r="I33415" s="12"/>
      <c r="J33415" s="12"/>
      <c r="K33415" s="12"/>
      <c r="L33415" s="12"/>
      <c r="M33415" s="11"/>
      <c r="N33415" s="11"/>
      <c r="O33415" s="11"/>
      <c r="P33415" s="11"/>
    </row>
    <row r="33416" spans="8:16" x14ac:dyDescent="0.25">
      <c r="H33416" s="12"/>
      <c r="I33416" s="12"/>
      <c r="J33416" s="12"/>
      <c r="K33416" s="12"/>
      <c r="L33416" s="12"/>
      <c r="M33416" s="11"/>
      <c r="N33416" s="11"/>
      <c r="O33416" s="11"/>
      <c r="P33416" s="11"/>
    </row>
    <row r="33417" spans="8:16" x14ac:dyDescent="0.25">
      <c r="H33417" s="12"/>
      <c r="I33417" s="12"/>
      <c r="J33417" s="12"/>
      <c r="K33417" s="12"/>
      <c r="L33417" s="12"/>
      <c r="M33417" s="11"/>
      <c r="N33417" s="11"/>
      <c r="O33417" s="11"/>
      <c r="P33417" s="11"/>
    </row>
    <row r="33418" spans="8:16" x14ac:dyDescent="0.25">
      <c r="H33418" s="12"/>
      <c r="I33418" s="12"/>
      <c r="J33418" s="12"/>
      <c r="K33418" s="12"/>
      <c r="L33418" s="12"/>
      <c r="M33418" s="11"/>
      <c r="N33418" s="11"/>
      <c r="O33418" s="11"/>
      <c r="P33418" s="11"/>
    </row>
    <row r="33419" spans="8:16" x14ac:dyDescent="0.25">
      <c r="H33419" s="12"/>
      <c r="I33419" s="12"/>
      <c r="J33419" s="12"/>
      <c r="K33419" s="12"/>
      <c r="L33419" s="12"/>
      <c r="M33419" s="11"/>
      <c r="N33419" s="11"/>
      <c r="O33419" s="11"/>
      <c r="P33419" s="11"/>
    </row>
    <row r="33420" spans="8:16" x14ac:dyDescent="0.25">
      <c r="H33420" s="12"/>
      <c r="I33420" s="12"/>
      <c r="J33420" s="12"/>
      <c r="K33420" s="12"/>
      <c r="L33420" s="12"/>
      <c r="M33420" s="11"/>
      <c r="N33420" s="11"/>
      <c r="O33420" s="11"/>
      <c r="P33420" s="11"/>
    </row>
    <row r="33421" spans="8:16" x14ac:dyDescent="0.25">
      <c r="H33421" s="12"/>
      <c r="I33421" s="12"/>
      <c r="J33421" s="12"/>
      <c r="K33421" s="12"/>
      <c r="L33421" s="12"/>
      <c r="M33421" s="11"/>
      <c r="N33421" s="11"/>
      <c r="O33421" s="11"/>
      <c r="P33421" s="11"/>
    </row>
    <row r="33422" spans="8:16" x14ac:dyDescent="0.25">
      <c r="H33422" s="12"/>
      <c r="I33422" s="12"/>
      <c r="J33422" s="12"/>
      <c r="K33422" s="12"/>
      <c r="L33422" s="12"/>
      <c r="M33422" s="11"/>
      <c r="N33422" s="11"/>
      <c r="O33422" s="11"/>
      <c r="P33422" s="11"/>
    </row>
    <row r="33423" spans="8:16" x14ac:dyDescent="0.25">
      <c r="H33423" s="12"/>
      <c r="I33423" s="12"/>
      <c r="J33423" s="12"/>
      <c r="K33423" s="12"/>
      <c r="L33423" s="12"/>
      <c r="M33423" s="11"/>
      <c r="N33423" s="11"/>
      <c r="O33423" s="11"/>
      <c r="P33423" s="11"/>
    </row>
    <row r="33424" spans="8:16" x14ac:dyDescent="0.25">
      <c r="H33424" s="12"/>
      <c r="I33424" s="12"/>
      <c r="J33424" s="12"/>
      <c r="K33424" s="12"/>
      <c r="L33424" s="12"/>
      <c r="M33424" s="11"/>
      <c r="N33424" s="11"/>
      <c r="O33424" s="11"/>
      <c r="P33424" s="11"/>
    </row>
    <row r="33425" spans="8:16" x14ac:dyDescent="0.25">
      <c r="H33425" s="12"/>
      <c r="I33425" s="12"/>
      <c r="J33425" s="12"/>
      <c r="K33425" s="12"/>
      <c r="L33425" s="12"/>
      <c r="M33425" s="11"/>
      <c r="N33425" s="11"/>
      <c r="O33425" s="11"/>
      <c r="P33425" s="11"/>
    </row>
    <row r="33426" spans="8:16" x14ac:dyDescent="0.25">
      <c r="H33426" s="12"/>
      <c r="I33426" s="12"/>
      <c r="J33426" s="12"/>
      <c r="K33426" s="12"/>
      <c r="L33426" s="12"/>
      <c r="M33426" s="11"/>
      <c r="N33426" s="11"/>
      <c r="O33426" s="11"/>
      <c r="P33426" s="11"/>
    </row>
    <row r="33427" spans="8:16" x14ac:dyDescent="0.25">
      <c r="H33427" s="12"/>
      <c r="I33427" s="12"/>
      <c r="J33427" s="12"/>
      <c r="K33427" s="12"/>
      <c r="L33427" s="12"/>
      <c r="M33427" s="11"/>
      <c r="N33427" s="11"/>
      <c r="O33427" s="11"/>
      <c r="P33427" s="11"/>
    </row>
    <row r="33428" spans="8:16" x14ac:dyDescent="0.25">
      <c r="H33428" s="12"/>
      <c r="I33428" s="12"/>
      <c r="J33428" s="12"/>
      <c r="K33428" s="12"/>
      <c r="L33428" s="12"/>
      <c r="M33428" s="11"/>
      <c r="N33428" s="11"/>
      <c r="O33428" s="11"/>
      <c r="P33428" s="11"/>
    </row>
    <row r="33429" spans="8:16" x14ac:dyDescent="0.25">
      <c r="H33429" s="12"/>
      <c r="I33429" s="12"/>
      <c r="J33429" s="12"/>
      <c r="K33429" s="12"/>
      <c r="L33429" s="12"/>
      <c r="M33429" s="11"/>
      <c r="N33429" s="11"/>
      <c r="O33429" s="11"/>
      <c r="P33429" s="11"/>
    </row>
    <row r="33430" spans="8:16" x14ac:dyDescent="0.25">
      <c r="H33430" s="12"/>
      <c r="I33430" s="12"/>
      <c r="J33430" s="12"/>
      <c r="K33430" s="12"/>
      <c r="L33430" s="12"/>
      <c r="M33430" s="11"/>
      <c r="N33430" s="11"/>
      <c r="O33430" s="11"/>
      <c r="P33430" s="11"/>
    </row>
    <row r="33431" spans="8:16" x14ac:dyDescent="0.25">
      <c r="H33431" s="12"/>
      <c r="I33431" s="12"/>
      <c r="J33431" s="12"/>
      <c r="K33431" s="12"/>
      <c r="L33431" s="12"/>
      <c r="M33431" s="11"/>
      <c r="N33431" s="11"/>
      <c r="O33431" s="11"/>
      <c r="P33431" s="11"/>
    </row>
    <row r="33432" spans="8:16" x14ac:dyDescent="0.25">
      <c r="H33432" s="12"/>
      <c r="I33432" s="12"/>
      <c r="J33432" s="12"/>
      <c r="K33432" s="12"/>
      <c r="L33432" s="12"/>
      <c r="M33432" s="11"/>
      <c r="N33432" s="11"/>
      <c r="O33432" s="11"/>
      <c r="P33432" s="11"/>
    </row>
    <row r="33433" spans="8:16" x14ac:dyDescent="0.25">
      <c r="H33433" s="12"/>
      <c r="I33433" s="12"/>
      <c r="J33433" s="12"/>
      <c r="K33433" s="12"/>
      <c r="L33433" s="12"/>
      <c r="M33433" s="11"/>
      <c r="N33433" s="11"/>
      <c r="O33433" s="11"/>
      <c r="P33433" s="11"/>
    </row>
    <row r="33434" spans="8:16" x14ac:dyDescent="0.25">
      <c r="H33434" s="12"/>
      <c r="I33434" s="12"/>
      <c r="J33434" s="12"/>
      <c r="K33434" s="12"/>
      <c r="L33434" s="12"/>
      <c r="M33434" s="11"/>
      <c r="N33434" s="11"/>
      <c r="O33434" s="11"/>
      <c r="P33434" s="11"/>
    </row>
    <row r="33435" spans="8:16" x14ac:dyDescent="0.25">
      <c r="H33435" s="12"/>
      <c r="I33435" s="12"/>
      <c r="J33435" s="12"/>
      <c r="K33435" s="12"/>
      <c r="L33435" s="12"/>
      <c r="M33435" s="11"/>
      <c r="N33435" s="11"/>
      <c r="O33435" s="11"/>
      <c r="P33435" s="11"/>
    </row>
    <row r="33436" spans="8:16" x14ac:dyDescent="0.25">
      <c r="H33436" s="12"/>
      <c r="I33436" s="12"/>
      <c r="J33436" s="12"/>
      <c r="K33436" s="12"/>
      <c r="L33436" s="12"/>
      <c r="M33436" s="11"/>
      <c r="N33436" s="11"/>
      <c r="O33436" s="11"/>
      <c r="P33436" s="11"/>
    </row>
    <row r="33437" spans="8:16" x14ac:dyDescent="0.25">
      <c r="H33437" s="12"/>
      <c r="I33437" s="12"/>
      <c r="J33437" s="12"/>
      <c r="K33437" s="12"/>
      <c r="L33437" s="12"/>
      <c r="M33437" s="11"/>
      <c r="N33437" s="11"/>
      <c r="O33437" s="11"/>
      <c r="P33437" s="11"/>
    </row>
    <row r="33438" spans="8:16" x14ac:dyDescent="0.25">
      <c r="H33438" s="12"/>
      <c r="I33438" s="12"/>
      <c r="J33438" s="12"/>
      <c r="K33438" s="12"/>
      <c r="L33438" s="12"/>
      <c r="M33438" s="11"/>
      <c r="N33438" s="11"/>
      <c r="O33438" s="11"/>
      <c r="P33438" s="11"/>
    </row>
    <row r="33439" spans="8:16" x14ac:dyDescent="0.25">
      <c r="H33439" s="12"/>
      <c r="I33439" s="12"/>
      <c r="J33439" s="12"/>
      <c r="K33439" s="12"/>
      <c r="L33439" s="12"/>
      <c r="M33439" s="11"/>
      <c r="N33439" s="11"/>
      <c r="O33439" s="11"/>
      <c r="P33439" s="11"/>
    </row>
    <row r="33440" spans="8:16" x14ac:dyDescent="0.25">
      <c r="H33440" s="12"/>
      <c r="I33440" s="12"/>
      <c r="J33440" s="12"/>
      <c r="K33440" s="12"/>
      <c r="L33440" s="12"/>
      <c r="M33440" s="11"/>
      <c r="N33440" s="11"/>
      <c r="O33440" s="11"/>
      <c r="P33440" s="11"/>
    </row>
    <row r="33441" spans="8:16" x14ac:dyDescent="0.25">
      <c r="H33441" s="12"/>
      <c r="I33441" s="12"/>
      <c r="J33441" s="12"/>
      <c r="K33441" s="12"/>
      <c r="L33441" s="12"/>
      <c r="M33441" s="11"/>
      <c r="N33441" s="11"/>
      <c r="O33441" s="11"/>
      <c r="P33441" s="11"/>
    </row>
    <row r="33442" spans="8:16" x14ac:dyDescent="0.25">
      <c r="H33442" s="12"/>
      <c r="I33442" s="12"/>
      <c r="J33442" s="12"/>
      <c r="K33442" s="12"/>
      <c r="L33442" s="12"/>
      <c r="M33442" s="11"/>
      <c r="N33442" s="11"/>
      <c r="O33442" s="11"/>
      <c r="P33442" s="11"/>
    </row>
    <row r="33443" spans="8:16" x14ac:dyDescent="0.25">
      <c r="H33443" s="12"/>
      <c r="I33443" s="12"/>
      <c r="J33443" s="12"/>
      <c r="K33443" s="12"/>
      <c r="L33443" s="12"/>
      <c r="M33443" s="11"/>
      <c r="N33443" s="11"/>
      <c r="O33443" s="11"/>
      <c r="P33443" s="11"/>
    </row>
    <row r="33444" spans="8:16" x14ac:dyDescent="0.25">
      <c r="H33444" s="12"/>
      <c r="I33444" s="12"/>
      <c r="J33444" s="12"/>
      <c r="K33444" s="12"/>
      <c r="L33444" s="12"/>
      <c r="M33444" s="11"/>
      <c r="N33444" s="11"/>
      <c r="O33444" s="11"/>
      <c r="P33444" s="11"/>
    </row>
    <row r="33445" spans="8:16" x14ac:dyDescent="0.25">
      <c r="H33445" s="12"/>
      <c r="I33445" s="12"/>
      <c r="J33445" s="12"/>
      <c r="K33445" s="12"/>
      <c r="L33445" s="12"/>
      <c r="M33445" s="11"/>
      <c r="N33445" s="11"/>
      <c r="O33445" s="11"/>
      <c r="P33445" s="11"/>
    </row>
    <row r="33446" spans="8:16" x14ac:dyDescent="0.25">
      <c r="H33446" s="12"/>
      <c r="I33446" s="12"/>
      <c r="J33446" s="12"/>
      <c r="K33446" s="12"/>
      <c r="L33446" s="12"/>
      <c r="M33446" s="11"/>
      <c r="N33446" s="11"/>
      <c r="O33446" s="11"/>
      <c r="P33446" s="11"/>
    </row>
    <row r="33447" spans="8:16" x14ac:dyDescent="0.25">
      <c r="H33447" s="12"/>
      <c r="I33447" s="12"/>
      <c r="J33447" s="12"/>
      <c r="K33447" s="12"/>
      <c r="L33447" s="12"/>
      <c r="M33447" s="11"/>
      <c r="N33447" s="11"/>
      <c r="O33447" s="11"/>
      <c r="P33447" s="11"/>
    </row>
    <row r="33448" spans="8:16" x14ac:dyDescent="0.25">
      <c r="H33448" s="12"/>
      <c r="I33448" s="12"/>
      <c r="J33448" s="12"/>
      <c r="K33448" s="12"/>
      <c r="L33448" s="12"/>
      <c r="M33448" s="11"/>
      <c r="N33448" s="11"/>
      <c r="O33448" s="11"/>
      <c r="P33448" s="11"/>
    </row>
    <row r="33449" spans="8:16" x14ac:dyDescent="0.25">
      <c r="H33449" s="12"/>
      <c r="I33449" s="12"/>
      <c r="J33449" s="12"/>
      <c r="K33449" s="12"/>
      <c r="L33449" s="12"/>
      <c r="M33449" s="11"/>
      <c r="N33449" s="11"/>
      <c r="O33449" s="11"/>
      <c r="P33449" s="11"/>
    </row>
    <row r="33450" spans="8:16" x14ac:dyDescent="0.25">
      <c r="H33450" s="12"/>
      <c r="I33450" s="12"/>
      <c r="J33450" s="12"/>
      <c r="K33450" s="12"/>
      <c r="L33450" s="12"/>
      <c r="M33450" s="11"/>
      <c r="N33450" s="11"/>
      <c r="O33450" s="11"/>
      <c r="P33450" s="11"/>
    </row>
    <row r="33451" spans="8:16" x14ac:dyDescent="0.25">
      <c r="H33451" s="12"/>
      <c r="I33451" s="12"/>
      <c r="J33451" s="12"/>
      <c r="K33451" s="12"/>
      <c r="L33451" s="12"/>
      <c r="M33451" s="11"/>
      <c r="N33451" s="11"/>
      <c r="O33451" s="11"/>
      <c r="P33451" s="11"/>
    </row>
    <row r="33452" spans="8:16" x14ac:dyDescent="0.25">
      <c r="H33452" s="12"/>
      <c r="I33452" s="12"/>
      <c r="J33452" s="12"/>
      <c r="K33452" s="12"/>
      <c r="L33452" s="12"/>
      <c r="M33452" s="11"/>
      <c r="N33452" s="11"/>
      <c r="O33452" s="11"/>
      <c r="P33452" s="11"/>
    </row>
    <row r="33453" spans="8:16" x14ac:dyDescent="0.25">
      <c r="H33453" s="12"/>
      <c r="I33453" s="12"/>
      <c r="J33453" s="12"/>
      <c r="K33453" s="12"/>
      <c r="L33453" s="12"/>
      <c r="M33453" s="11"/>
      <c r="N33453" s="11"/>
      <c r="O33453" s="11"/>
      <c r="P33453" s="11"/>
    </row>
    <row r="33454" spans="8:16" x14ac:dyDescent="0.25">
      <c r="H33454" s="12"/>
      <c r="I33454" s="12"/>
      <c r="J33454" s="12"/>
      <c r="K33454" s="12"/>
      <c r="L33454" s="12"/>
      <c r="M33454" s="11"/>
      <c r="N33454" s="11"/>
      <c r="O33454" s="11"/>
      <c r="P33454" s="11"/>
    </row>
    <row r="33455" spans="8:16" x14ac:dyDescent="0.25">
      <c r="H33455" s="12"/>
      <c r="I33455" s="12"/>
      <c r="J33455" s="12"/>
      <c r="K33455" s="12"/>
      <c r="L33455" s="12"/>
      <c r="M33455" s="11"/>
      <c r="N33455" s="11"/>
      <c r="O33455" s="11"/>
      <c r="P33455" s="11"/>
    </row>
    <row r="33456" spans="8:16" x14ac:dyDescent="0.25">
      <c r="H33456" s="12"/>
      <c r="I33456" s="12"/>
      <c r="J33456" s="12"/>
      <c r="K33456" s="12"/>
      <c r="L33456" s="12"/>
      <c r="M33456" s="11"/>
      <c r="N33456" s="11"/>
      <c r="O33456" s="11"/>
      <c r="P33456" s="11"/>
    </row>
    <row r="33457" spans="8:16" x14ac:dyDescent="0.25">
      <c r="H33457" s="12"/>
      <c r="I33457" s="12"/>
      <c r="J33457" s="12"/>
      <c r="K33457" s="12"/>
      <c r="L33457" s="12"/>
      <c r="M33457" s="11"/>
      <c r="N33457" s="11"/>
      <c r="O33457" s="11"/>
      <c r="P33457" s="11"/>
    </row>
    <row r="33458" spans="8:16" x14ac:dyDescent="0.25">
      <c r="H33458" s="12"/>
      <c r="I33458" s="12"/>
      <c r="J33458" s="12"/>
      <c r="K33458" s="12"/>
      <c r="L33458" s="12"/>
      <c r="M33458" s="11"/>
      <c r="N33458" s="11"/>
      <c r="O33458" s="11"/>
      <c r="P33458" s="11"/>
    </row>
    <row r="33459" spans="8:16" x14ac:dyDescent="0.25">
      <c r="H33459" s="12"/>
      <c r="I33459" s="12"/>
      <c r="J33459" s="12"/>
      <c r="K33459" s="12"/>
      <c r="L33459" s="12"/>
      <c r="M33459" s="11"/>
      <c r="N33459" s="11"/>
      <c r="O33459" s="11"/>
      <c r="P33459" s="11"/>
    </row>
    <row r="33460" spans="8:16" x14ac:dyDescent="0.25">
      <c r="H33460" s="12"/>
      <c r="I33460" s="12"/>
      <c r="J33460" s="12"/>
      <c r="K33460" s="12"/>
      <c r="L33460" s="12"/>
      <c r="M33460" s="11"/>
      <c r="N33460" s="11"/>
      <c r="O33460" s="11"/>
      <c r="P33460" s="11"/>
    </row>
    <row r="33461" spans="8:16" x14ac:dyDescent="0.25">
      <c r="H33461" s="12"/>
      <c r="I33461" s="12"/>
      <c r="J33461" s="12"/>
      <c r="K33461" s="12"/>
      <c r="L33461" s="12"/>
      <c r="M33461" s="11"/>
      <c r="N33461" s="11"/>
      <c r="O33461" s="11"/>
      <c r="P33461" s="11"/>
    </row>
    <row r="33462" spans="8:16" x14ac:dyDescent="0.25">
      <c r="H33462" s="12"/>
      <c r="I33462" s="12"/>
      <c r="J33462" s="12"/>
      <c r="K33462" s="12"/>
      <c r="L33462" s="12"/>
      <c r="M33462" s="11"/>
      <c r="N33462" s="11"/>
      <c r="O33462" s="11"/>
      <c r="P33462" s="11"/>
    </row>
    <row r="33463" spans="8:16" x14ac:dyDescent="0.25">
      <c r="H33463" s="12"/>
      <c r="I33463" s="12"/>
      <c r="J33463" s="12"/>
      <c r="K33463" s="12"/>
      <c r="L33463" s="12"/>
      <c r="M33463" s="11"/>
      <c r="N33463" s="11"/>
      <c r="O33463" s="11"/>
      <c r="P33463" s="11"/>
    </row>
    <row r="33464" spans="8:16" x14ac:dyDescent="0.25">
      <c r="H33464" s="12"/>
      <c r="I33464" s="12"/>
      <c r="J33464" s="12"/>
      <c r="K33464" s="12"/>
      <c r="L33464" s="12"/>
      <c r="M33464" s="11"/>
      <c r="N33464" s="11"/>
      <c r="O33464" s="11"/>
      <c r="P33464" s="11"/>
    </row>
    <row r="33465" spans="8:16" x14ac:dyDescent="0.25">
      <c r="H33465" s="12"/>
      <c r="I33465" s="12"/>
      <c r="J33465" s="12"/>
      <c r="K33465" s="12"/>
      <c r="L33465" s="12"/>
      <c r="M33465" s="11"/>
      <c r="N33465" s="11"/>
      <c r="O33465" s="11"/>
      <c r="P33465" s="11"/>
    </row>
    <row r="33466" spans="8:16" x14ac:dyDescent="0.25">
      <c r="H33466" s="12"/>
      <c r="I33466" s="12"/>
      <c r="J33466" s="12"/>
      <c r="K33466" s="12"/>
      <c r="L33466" s="12"/>
      <c r="M33466" s="11"/>
      <c r="N33466" s="11"/>
      <c r="O33466" s="11"/>
      <c r="P33466" s="11"/>
    </row>
    <row r="33467" spans="8:16" x14ac:dyDescent="0.25">
      <c r="H33467" s="12"/>
      <c r="I33467" s="12"/>
      <c r="J33467" s="12"/>
      <c r="K33467" s="12"/>
      <c r="L33467" s="12"/>
      <c r="M33467" s="11"/>
      <c r="N33467" s="11"/>
      <c r="O33467" s="11"/>
      <c r="P33467" s="11"/>
    </row>
    <row r="33468" spans="8:16" x14ac:dyDescent="0.25">
      <c r="H33468" s="12"/>
      <c r="I33468" s="12"/>
      <c r="J33468" s="12"/>
      <c r="K33468" s="12"/>
      <c r="L33468" s="12"/>
      <c r="M33468" s="11"/>
      <c r="N33468" s="11"/>
      <c r="O33468" s="11"/>
      <c r="P33468" s="11"/>
    </row>
    <row r="33469" spans="8:16" x14ac:dyDescent="0.25">
      <c r="H33469" s="12"/>
      <c r="I33469" s="12"/>
      <c r="J33469" s="12"/>
      <c r="K33469" s="12"/>
      <c r="L33469" s="12"/>
      <c r="M33469" s="11"/>
      <c r="N33469" s="11"/>
      <c r="O33469" s="11"/>
      <c r="P33469" s="11"/>
    </row>
    <row r="33470" spans="8:16" x14ac:dyDescent="0.25">
      <c r="H33470" s="12"/>
      <c r="I33470" s="12"/>
      <c r="J33470" s="12"/>
      <c r="K33470" s="12"/>
      <c r="L33470" s="12"/>
      <c r="M33470" s="11"/>
      <c r="N33470" s="11"/>
      <c r="O33470" s="11"/>
      <c r="P33470" s="11"/>
    </row>
    <row r="33471" spans="8:16" x14ac:dyDescent="0.25">
      <c r="H33471" s="12"/>
      <c r="I33471" s="12"/>
      <c r="J33471" s="12"/>
      <c r="K33471" s="12"/>
      <c r="L33471" s="12"/>
      <c r="M33471" s="11"/>
      <c r="N33471" s="11"/>
      <c r="O33471" s="11"/>
      <c r="P33471" s="11"/>
    </row>
    <row r="33472" spans="8:16" x14ac:dyDescent="0.25">
      <c r="H33472" s="12"/>
      <c r="I33472" s="12"/>
      <c r="J33472" s="12"/>
      <c r="K33472" s="12"/>
      <c r="L33472" s="12"/>
      <c r="M33472" s="11"/>
      <c r="N33472" s="11"/>
      <c r="O33472" s="11"/>
      <c r="P33472" s="11"/>
    </row>
    <row r="33473" spans="8:16" x14ac:dyDescent="0.25">
      <c r="H33473" s="12"/>
      <c r="I33473" s="12"/>
      <c r="J33473" s="12"/>
      <c r="K33473" s="12"/>
      <c r="L33473" s="12"/>
      <c r="M33473" s="11"/>
      <c r="N33473" s="11"/>
      <c r="O33473" s="11"/>
      <c r="P33473" s="11"/>
    </row>
    <row r="33474" spans="8:16" x14ac:dyDescent="0.25">
      <c r="H33474" s="12"/>
      <c r="I33474" s="12"/>
      <c r="J33474" s="12"/>
      <c r="K33474" s="12"/>
      <c r="L33474" s="12"/>
      <c r="M33474" s="11"/>
      <c r="N33474" s="11"/>
      <c r="O33474" s="11"/>
      <c r="P33474" s="11"/>
    </row>
    <row r="33475" spans="8:16" x14ac:dyDescent="0.25">
      <c r="H33475" s="12"/>
      <c r="I33475" s="12"/>
      <c r="J33475" s="12"/>
      <c r="K33475" s="12"/>
      <c r="L33475" s="12"/>
      <c r="M33475" s="11"/>
      <c r="N33475" s="11"/>
      <c r="O33475" s="11"/>
      <c r="P33475" s="11"/>
    </row>
    <row r="33476" spans="8:16" x14ac:dyDescent="0.25">
      <c r="H33476" s="12"/>
      <c r="I33476" s="12"/>
      <c r="J33476" s="12"/>
      <c r="K33476" s="12"/>
      <c r="L33476" s="12"/>
      <c r="M33476" s="11"/>
      <c r="N33476" s="11"/>
      <c r="O33476" s="11"/>
      <c r="P33476" s="11"/>
    </row>
    <row r="33477" spans="8:16" x14ac:dyDescent="0.25">
      <c r="H33477" s="12"/>
      <c r="I33477" s="12"/>
      <c r="J33477" s="12"/>
      <c r="K33477" s="12"/>
      <c r="L33477" s="12"/>
      <c r="M33477" s="11"/>
      <c r="N33477" s="11"/>
      <c r="O33477" s="11"/>
      <c r="P33477" s="11"/>
    </row>
    <row r="33478" spans="8:16" x14ac:dyDescent="0.25">
      <c r="H33478" s="12"/>
      <c r="I33478" s="12"/>
      <c r="J33478" s="12"/>
      <c r="K33478" s="12"/>
      <c r="L33478" s="12"/>
      <c r="M33478" s="11"/>
      <c r="N33478" s="11"/>
      <c r="O33478" s="11"/>
      <c r="P33478" s="11"/>
    </row>
    <row r="33479" spans="8:16" x14ac:dyDescent="0.25">
      <c r="H33479" s="12"/>
      <c r="I33479" s="12"/>
      <c r="J33479" s="12"/>
      <c r="K33479" s="12"/>
      <c r="L33479" s="12"/>
      <c r="M33479" s="11"/>
      <c r="N33479" s="11"/>
      <c r="O33479" s="11"/>
      <c r="P33479" s="11"/>
    </row>
    <row r="33480" spans="8:16" x14ac:dyDescent="0.25">
      <c r="H33480" s="12"/>
      <c r="I33480" s="12"/>
      <c r="J33480" s="12"/>
      <c r="K33480" s="12"/>
      <c r="L33480" s="12"/>
      <c r="M33480" s="11"/>
      <c r="N33480" s="11"/>
      <c r="O33480" s="11"/>
      <c r="P33480" s="11"/>
    </row>
    <row r="33481" spans="8:16" x14ac:dyDescent="0.25">
      <c r="H33481" s="12"/>
      <c r="I33481" s="12"/>
      <c r="J33481" s="12"/>
      <c r="K33481" s="12"/>
      <c r="L33481" s="12"/>
      <c r="M33481" s="11"/>
      <c r="N33481" s="11"/>
      <c r="O33481" s="11"/>
      <c r="P33481" s="11"/>
    </row>
    <row r="33482" spans="8:16" x14ac:dyDescent="0.25">
      <c r="H33482" s="12"/>
      <c r="I33482" s="12"/>
      <c r="J33482" s="12"/>
      <c r="K33482" s="12"/>
      <c r="L33482" s="12"/>
      <c r="M33482" s="11"/>
      <c r="N33482" s="11"/>
      <c r="O33482" s="11"/>
      <c r="P33482" s="11"/>
    </row>
    <row r="33483" spans="8:16" x14ac:dyDescent="0.25">
      <c r="H33483" s="12"/>
      <c r="I33483" s="12"/>
      <c r="J33483" s="12"/>
      <c r="K33483" s="12"/>
      <c r="L33483" s="12"/>
      <c r="M33483" s="11"/>
      <c r="N33483" s="11"/>
      <c r="O33483" s="11"/>
      <c r="P33483" s="11"/>
    </row>
    <row r="33484" spans="8:16" x14ac:dyDescent="0.25">
      <c r="H33484" s="12"/>
      <c r="I33484" s="12"/>
      <c r="J33484" s="12"/>
      <c r="K33484" s="12"/>
      <c r="L33484" s="12"/>
      <c r="M33484" s="11"/>
      <c r="N33484" s="11"/>
      <c r="O33484" s="11"/>
      <c r="P33484" s="11"/>
    </row>
    <row r="33485" spans="8:16" x14ac:dyDescent="0.25">
      <c r="H33485" s="12"/>
      <c r="I33485" s="12"/>
      <c r="J33485" s="12"/>
      <c r="K33485" s="12"/>
      <c r="L33485" s="12"/>
      <c r="M33485" s="11"/>
      <c r="N33485" s="11"/>
      <c r="O33485" s="11"/>
      <c r="P33485" s="11"/>
    </row>
    <row r="33486" spans="8:16" x14ac:dyDescent="0.25">
      <c r="H33486" s="12"/>
      <c r="I33486" s="12"/>
      <c r="J33486" s="12"/>
      <c r="K33486" s="12"/>
      <c r="L33486" s="12"/>
      <c r="M33486" s="11"/>
      <c r="N33486" s="11"/>
      <c r="O33486" s="11"/>
      <c r="P33486" s="11"/>
    </row>
    <row r="33487" spans="8:16" x14ac:dyDescent="0.25">
      <c r="H33487" s="12"/>
      <c r="I33487" s="12"/>
      <c r="J33487" s="12"/>
      <c r="K33487" s="12"/>
      <c r="L33487" s="12"/>
      <c r="M33487" s="11"/>
      <c r="N33487" s="11"/>
      <c r="O33487" s="11"/>
      <c r="P33487" s="11"/>
    </row>
    <row r="33488" spans="8:16" x14ac:dyDescent="0.25">
      <c r="H33488" s="12"/>
      <c r="I33488" s="12"/>
      <c r="J33488" s="12"/>
      <c r="K33488" s="12"/>
      <c r="L33488" s="12"/>
      <c r="M33488" s="11"/>
      <c r="N33488" s="11"/>
      <c r="O33488" s="11"/>
      <c r="P33488" s="11"/>
    </row>
    <row r="33489" spans="8:16" x14ac:dyDescent="0.25">
      <c r="H33489" s="12"/>
      <c r="I33489" s="12"/>
      <c r="J33489" s="12"/>
      <c r="K33489" s="12"/>
      <c r="L33489" s="12"/>
      <c r="M33489" s="11"/>
      <c r="N33489" s="11"/>
      <c r="O33489" s="11"/>
      <c r="P33489" s="11"/>
    </row>
    <row r="33490" spans="8:16" x14ac:dyDescent="0.25">
      <c r="H33490" s="12"/>
      <c r="I33490" s="12"/>
      <c r="J33490" s="12"/>
      <c r="K33490" s="12"/>
      <c r="L33490" s="12"/>
      <c r="M33490" s="11"/>
      <c r="N33490" s="11"/>
      <c r="O33490" s="11"/>
      <c r="P33490" s="11"/>
    </row>
    <row r="33491" spans="8:16" x14ac:dyDescent="0.25">
      <c r="H33491" s="12"/>
      <c r="I33491" s="12"/>
      <c r="J33491" s="12"/>
      <c r="K33491" s="12"/>
      <c r="L33491" s="12"/>
      <c r="M33491" s="11"/>
      <c r="N33491" s="11"/>
      <c r="O33491" s="11"/>
      <c r="P33491" s="11"/>
    </row>
    <row r="33492" spans="8:16" x14ac:dyDescent="0.25">
      <c r="H33492" s="12"/>
      <c r="I33492" s="12"/>
      <c r="J33492" s="12"/>
      <c r="K33492" s="12"/>
      <c r="L33492" s="12"/>
      <c r="M33492" s="11"/>
      <c r="N33492" s="11"/>
      <c r="O33492" s="11"/>
      <c r="P33492" s="11"/>
    </row>
    <row r="33493" spans="8:16" x14ac:dyDescent="0.25">
      <c r="H33493" s="12"/>
      <c r="I33493" s="12"/>
      <c r="J33493" s="12"/>
      <c r="K33493" s="12"/>
      <c r="L33493" s="12"/>
      <c r="M33493" s="11"/>
      <c r="N33493" s="11"/>
      <c r="O33493" s="11"/>
      <c r="P33493" s="11"/>
    </row>
    <row r="33494" spans="8:16" x14ac:dyDescent="0.25">
      <c r="H33494" s="12"/>
      <c r="I33494" s="12"/>
      <c r="J33494" s="12"/>
      <c r="K33494" s="12"/>
      <c r="L33494" s="12"/>
      <c r="M33494" s="11"/>
      <c r="N33494" s="11"/>
      <c r="O33494" s="11"/>
      <c r="P33494" s="11"/>
    </row>
    <row r="33495" spans="8:16" x14ac:dyDescent="0.25">
      <c r="H33495" s="12"/>
      <c r="I33495" s="12"/>
      <c r="J33495" s="12"/>
      <c r="K33495" s="12"/>
      <c r="L33495" s="12"/>
      <c r="M33495" s="11"/>
      <c r="N33495" s="11"/>
      <c r="O33495" s="11"/>
      <c r="P33495" s="11"/>
    </row>
    <row r="33496" spans="8:16" x14ac:dyDescent="0.25">
      <c r="H33496" s="12"/>
      <c r="I33496" s="12"/>
      <c r="J33496" s="12"/>
      <c r="K33496" s="12"/>
      <c r="L33496" s="12"/>
      <c r="M33496" s="11"/>
      <c r="N33496" s="11"/>
      <c r="O33496" s="11"/>
      <c r="P33496" s="11"/>
    </row>
    <row r="33497" spans="8:16" x14ac:dyDescent="0.25">
      <c r="H33497" s="12"/>
      <c r="I33497" s="12"/>
      <c r="J33497" s="12"/>
      <c r="K33497" s="12"/>
      <c r="L33497" s="12"/>
      <c r="M33497" s="11"/>
      <c r="N33497" s="11"/>
      <c r="O33497" s="11"/>
      <c r="P33497" s="11"/>
    </row>
    <row r="33498" spans="8:16" x14ac:dyDescent="0.25">
      <c r="H33498" s="12"/>
      <c r="I33498" s="12"/>
      <c r="J33498" s="12"/>
      <c r="K33498" s="12"/>
      <c r="L33498" s="12"/>
      <c r="M33498" s="11"/>
      <c r="N33498" s="11"/>
      <c r="O33498" s="11"/>
      <c r="P33498" s="11"/>
    </row>
    <row r="33499" spans="8:16" x14ac:dyDescent="0.25">
      <c r="H33499" s="12"/>
      <c r="I33499" s="12"/>
      <c r="J33499" s="12"/>
      <c r="K33499" s="12"/>
      <c r="L33499" s="12"/>
      <c r="M33499" s="11"/>
      <c r="N33499" s="11"/>
      <c r="O33499" s="11"/>
      <c r="P33499" s="11"/>
    </row>
    <row r="33500" spans="8:16" x14ac:dyDescent="0.25">
      <c r="H33500" s="12"/>
      <c r="I33500" s="12"/>
      <c r="J33500" s="12"/>
      <c r="K33500" s="12"/>
      <c r="L33500" s="12"/>
      <c r="M33500" s="11"/>
      <c r="N33500" s="11"/>
      <c r="O33500" s="11"/>
      <c r="P33500" s="11"/>
    </row>
    <row r="33501" spans="8:16" x14ac:dyDescent="0.25">
      <c r="H33501" s="12"/>
      <c r="I33501" s="12"/>
      <c r="J33501" s="12"/>
      <c r="K33501" s="12"/>
      <c r="L33501" s="12"/>
      <c r="M33501" s="11"/>
      <c r="N33501" s="11"/>
      <c r="O33501" s="11"/>
      <c r="P33501" s="11"/>
    </row>
    <row r="33502" spans="8:16" x14ac:dyDescent="0.25">
      <c r="H33502" s="12"/>
      <c r="I33502" s="12"/>
      <c r="J33502" s="12"/>
      <c r="K33502" s="12"/>
      <c r="L33502" s="12"/>
      <c r="M33502" s="11"/>
      <c r="N33502" s="11"/>
      <c r="O33502" s="11"/>
      <c r="P33502" s="11"/>
    </row>
    <row r="33503" spans="8:16" x14ac:dyDescent="0.25">
      <c r="H33503" s="12"/>
      <c r="I33503" s="12"/>
      <c r="J33503" s="12"/>
      <c r="K33503" s="12"/>
      <c r="L33503" s="12"/>
      <c r="M33503" s="11"/>
      <c r="N33503" s="11"/>
      <c r="O33503" s="11"/>
      <c r="P33503" s="11"/>
    </row>
    <row r="33504" spans="8:16" x14ac:dyDescent="0.25">
      <c r="H33504" s="12"/>
      <c r="I33504" s="12"/>
      <c r="J33504" s="12"/>
      <c r="K33504" s="12"/>
      <c r="L33504" s="12"/>
      <c r="M33504" s="11"/>
      <c r="N33504" s="11"/>
      <c r="O33504" s="11"/>
      <c r="P33504" s="11"/>
    </row>
    <row r="33505" spans="8:16" x14ac:dyDescent="0.25">
      <c r="H33505" s="12"/>
      <c r="I33505" s="12"/>
      <c r="J33505" s="12"/>
      <c r="K33505" s="12"/>
      <c r="L33505" s="12"/>
      <c r="M33505" s="11"/>
      <c r="N33505" s="11"/>
      <c r="O33505" s="11"/>
      <c r="P33505" s="11"/>
    </row>
    <row r="33506" spans="8:16" x14ac:dyDescent="0.25">
      <c r="H33506" s="12"/>
      <c r="I33506" s="12"/>
      <c r="J33506" s="12"/>
      <c r="K33506" s="12"/>
      <c r="L33506" s="12"/>
      <c r="M33506" s="11"/>
      <c r="N33506" s="11"/>
      <c r="O33506" s="11"/>
      <c r="P33506" s="11"/>
    </row>
    <row r="33507" spans="8:16" x14ac:dyDescent="0.25">
      <c r="H33507" s="12"/>
      <c r="I33507" s="12"/>
      <c r="J33507" s="12"/>
      <c r="K33507" s="12"/>
      <c r="L33507" s="12"/>
      <c r="M33507" s="11"/>
      <c r="N33507" s="11"/>
      <c r="O33507" s="11"/>
      <c r="P33507" s="11"/>
    </row>
    <row r="33508" spans="8:16" x14ac:dyDescent="0.25">
      <c r="H33508" s="12"/>
      <c r="I33508" s="12"/>
      <c r="J33508" s="12"/>
      <c r="K33508" s="12"/>
      <c r="L33508" s="12"/>
      <c r="M33508" s="11"/>
      <c r="N33508" s="11"/>
      <c r="O33508" s="11"/>
      <c r="P33508" s="11"/>
    </row>
    <row r="33509" spans="8:16" x14ac:dyDescent="0.25">
      <c r="H33509" s="12"/>
      <c r="I33509" s="12"/>
      <c r="J33509" s="12"/>
      <c r="K33509" s="12"/>
      <c r="L33509" s="12"/>
      <c r="M33509" s="11"/>
      <c r="N33509" s="11"/>
      <c r="O33509" s="11"/>
      <c r="P33509" s="11"/>
    </row>
    <row r="33510" spans="8:16" x14ac:dyDescent="0.25">
      <c r="H33510" s="12"/>
      <c r="I33510" s="12"/>
      <c r="J33510" s="12"/>
      <c r="K33510" s="12"/>
      <c r="L33510" s="12"/>
      <c r="M33510" s="11"/>
      <c r="N33510" s="11"/>
      <c r="O33510" s="11"/>
      <c r="P33510" s="11"/>
    </row>
    <row r="33511" spans="8:16" x14ac:dyDescent="0.25">
      <c r="H33511" s="12"/>
      <c r="I33511" s="12"/>
      <c r="J33511" s="12"/>
      <c r="K33511" s="12"/>
      <c r="L33511" s="12"/>
      <c r="M33511" s="11"/>
      <c r="N33511" s="11"/>
      <c r="O33511" s="11"/>
      <c r="P33511" s="11"/>
    </row>
    <row r="33512" spans="8:16" x14ac:dyDescent="0.25">
      <c r="H33512" s="12"/>
      <c r="I33512" s="12"/>
      <c r="J33512" s="12"/>
      <c r="K33512" s="12"/>
      <c r="L33512" s="12"/>
      <c r="M33512" s="11"/>
      <c r="N33512" s="11"/>
      <c r="O33512" s="11"/>
      <c r="P33512" s="11"/>
    </row>
    <row r="33513" spans="8:16" x14ac:dyDescent="0.25">
      <c r="H33513" s="12"/>
      <c r="I33513" s="12"/>
      <c r="J33513" s="12"/>
      <c r="K33513" s="12"/>
      <c r="L33513" s="12"/>
      <c r="M33513" s="11"/>
      <c r="N33513" s="11"/>
      <c r="O33513" s="11"/>
      <c r="P33513" s="11"/>
    </row>
    <row r="33514" spans="8:16" x14ac:dyDescent="0.25">
      <c r="H33514" s="12"/>
      <c r="I33514" s="12"/>
      <c r="J33514" s="12"/>
      <c r="K33514" s="12"/>
      <c r="L33514" s="12"/>
      <c r="M33514" s="11"/>
      <c r="N33514" s="11"/>
      <c r="O33514" s="11"/>
      <c r="P33514" s="11"/>
    </row>
    <row r="33515" spans="8:16" x14ac:dyDescent="0.25">
      <c r="H33515" s="12"/>
      <c r="I33515" s="12"/>
      <c r="J33515" s="12"/>
      <c r="K33515" s="12"/>
      <c r="L33515" s="12"/>
      <c r="M33515" s="11"/>
      <c r="N33515" s="11"/>
      <c r="O33515" s="11"/>
      <c r="P33515" s="11"/>
    </row>
    <row r="33516" spans="8:16" x14ac:dyDescent="0.25">
      <c r="H33516" s="12"/>
      <c r="I33516" s="12"/>
      <c r="J33516" s="12"/>
      <c r="K33516" s="12"/>
      <c r="L33516" s="12"/>
      <c r="M33516" s="11"/>
      <c r="N33516" s="11"/>
      <c r="O33516" s="11"/>
      <c r="P33516" s="11"/>
    </row>
    <row r="33517" spans="8:16" x14ac:dyDescent="0.25">
      <c r="H33517" s="12"/>
      <c r="I33517" s="12"/>
      <c r="J33517" s="12"/>
      <c r="K33517" s="12"/>
      <c r="L33517" s="12"/>
      <c r="M33517" s="11"/>
      <c r="N33517" s="11"/>
      <c r="O33517" s="11"/>
      <c r="P33517" s="11"/>
    </row>
    <row r="33518" spans="8:16" x14ac:dyDescent="0.25">
      <c r="H33518" s="12"/>
      <c r="I33518" s="12"/>
      <c r="J33518" s="12"/>
      <c r="K33518" s="12"/>
      <c r="L33518" s="12"/>
      <c r="M33518" s="11"/>
      <c r="N33518" s="11"/>
      <c r="O33518" s="11"/>
      <c r="P33518" s="11"/>
    </row>
    <row r="33519" spans="8:16" x14ac:dyDescent="0.25">
      <c r="H33519" s="12"/>
      <c r="I33519" s="12"/>
      <c r="J33519" s="12"/>
      <c r="K33519" s="12"/>
      <c r="L33519" s="12"/>
      <c r="M33519" s="11"/>
      <c r="N33519" s="11"/>
      <c r="O33519" s="11"/>
      <c r="P33519" s="11"/>
    </row>
    <row r="33520" spans="8:16" x14ac:dyDescent="0.25">
      <c r="H33520" s="12"/>
      <c r="I33520" s="12"/>
      <c r="J33520" s="12"/>
      <c r="K33520" s="12"/>
      <c r="L33520" s="12"/>
      <c r="M33520" s="11"/>
      <c r="N33520" s="11"/>
      <c r="O33520" s="11"/>
      <c r="P33520" s="11"/>
    </row>
    <row r="33521" spans="8:16" x14ac:dyDescent="0.25">
      <c r="H33521" s="12"/>
      <c r="I33521" s="12"/>
      <c r="J33521" s="12"/>
      <c r="K33521" s="12"/>
      <c r="L33521" s="12"/>
      <c r="M33521" s="11"/>
      <c r="N33521" s="11"/>
      <c r="O33521" s="11"/>
      <c r="P33521" s="11"/>
    </row>
    <row r="33522" spans="8:16" x14ac:dyDescent="0.25">
      <c r="H33522" s="12"/>
      <c r="I33522" s="12"/>
      <c r="J33522" s="12"/>
      <c r="K33522" s="12"/>
      <c r="L33522" s="12"/>
      <c r="M33522" s="11"/>
      <c r="N33522" s="11"/>
      <c r="O33522" s="11"/>
      <c r="P33522" s="11"/>
    </row>
    <row r="33523" spans="8:16" x14ac:dyDescent="0.25">
      <c r="H33523" s="12"/>
      <c r="I33523" s="12"/>
      <c r="J33523" s="12"/>
      <c r="K33523" s="12"/>
      <c r="L33523" s="12"/>
      <c r="M33523" s="11"/>
      <c r="N33523" s="11"/>
      <c r="O33523" s="11"/>
      <c r="P33523" s="11"/>
    </row>
    <row r="33524" spans="8:16" x14ac:dyDescent="0.25">
      <c r="H33524" s="12"/>
      <c r="I33524" s="12"/>
      <c r="J33524" s="12"/>
      <c r="K33524" s="12"/>
      <c r="L33524" s="12"/>
      <c r="M33524" s="11"/>
      <c r="N33524" s="11"/>
      <c r="O33524" s="11"/>
      <c r="P33524" s="11"/>
    </row>
    <row r="33525" spans="8:16" x14ac:dyDescent="0.25">
      <c r="H33525" s="12"/>
      <c r="I33525" s="12"/>
      <c r="J33525" s="12"/>
      <c r="K33525" s="12"/>
      <c r="L33525" s="12"/>
      <c r="M33525" s="11"/>
      <c r="N33525" s="11"/>
      <c r="O33525" s="11"/>
      <c r="P33525" s="11"/>
    </row>
    <row r="33526" spans="8:16" x14ac:dyDescent="0.25">
      <c r="H33526" s="12"/>
      <c r="I33526" s="12"/>
      <c r="J33526" s="12"/>
      <c r="K33526" s="12"/>
      <c r="L33526" s="12"/>
      <c r="M33526" s="11"/>
      <c r="N33526" s="11"/>
      <c r="O33526" s="11"/>
      <c r="P33526" s="11"/>
    </row>
    <row r="33527" spans="8:16" x14ac:dyDescent="0.25">
      <c r="H33527" s="12"/>
      <c r="I33527" s="12"/>
      <c r="J33527" s="12"/>
      <c r="K33527" s="12"/>
      <c r="L33527" s="12"/>
      <c r="M33527" s="11"/>
      <c r="N33527" s="11"/>
      <c r="O33527" s="11"/>
      <c r="P33527" s="11"/>
    </row>
    <row r="33528" spans="8:16" x14ac:dyDescent="0.25">
      <c r="H33528" s="12"/>
      <c r="I33528" s="12"/>
      <c r="J33528" s="12"/>
      <c r="K33528" s="12"/>
      <c r="L33528" s="12"/>
      <c r="M33528" s="11"/>
      <c r="N33528" s="11"/>
      <c r="O33528" s="11"/>
      <c r="P33528" s="11"/>
    </row>
    <row r="33529" spans="8:16" x14ac:dyDescent="0.25">
      <c r="H33529" s="12"/>
      <c r="I33529" s="12"/>
      <c r="J33529" s="12"/>
      <c r="K33529" s="12"/>
      <c r="L33529" s="12"/>
      <c r="M33529" s="11"/>
      <c r="N33529" s="11"/>
      <c r="O33529" s="11"/>
      <c r="P33529" s="11"/>
    </row>
    <row r="33530" spans="8:16" x14ac:dyDescent="0.25">
      <c r="H33530" s="12"/>
      <c r="I33530" s="12"/>
      <c r="J33530" s="12"/>
      <c r="K33530" s="12"/>
      <c r="L33530" s="12"/>
      <c r="M33530" s="11"/>
      <c r="N33530" s="11"/>
      <c r="O33530" s="11"/>
      <c r="P33530" s="11"/>
    </row>
    <row r="33531" spans="8:16" x14ac:dyDescent="0.25">
      <c r="H33531" s="12"/>
      <c r="I33531" s="12"/>
      <c r="J33531" s="12"/>
      <c r="K33531" s="12"/>
      <c r="L33531" s="12"/>
      <c r="M33531" s="11"/>
      <c r="N33531" s="11"/>
      <c r="O33531" s="11"/>
      <c r="P33531" s="11"/>
    </row>
    <row r="33532" spans="8:16" x14ac:dyDescent="0.25">
      <c r="H33532" s="12"/>
      <c r="I33532" s="12"/>
      <c r="J33532" s="12"/>
      <c r="K33532" s="12"/>
      <c r="L33532" s="12"/>
      <c r="M33532" s="11"/>
      <c r="N33532" s="11"/>
      <c r="O33532" s="11"/>
      <c r="P33532" s="11"/>
    </row>
    <row r="33533" spans="8:16" x14ac:dyDescent="0.25">
      <c r="H33533" s="12"/>
      <c r="I33533" s="12"/>
      <c r="J33533" s="12"/>
      <c r="K33533" s="12"/>
      <c r="L33533" s="12"/>
      <c r="M33533" s="11"/>
      <c r="N33533" s="11"/>
      <c r="O33533" s="11"/>
      <c r="P33533" s="11"/>
    </row>
    <row r="33534" spans="8:16" x14ac:dyDescent="0.25">
      <c r="H33534" s="12"/>
      <c r="I33534" s="12"/>
      <c r="J33534" s="12"/>
      <c r="K33534" s="12"/>
      <c r="L33534" s="12"/>
      <c r="M33534" s="11"/>
      <c r="N33534" s="11"/>
      <c r="O33534" s="11"/>
      <c r="P33534" s="11"/>
    </row>
    <row r="33535" spans="8:16" x14ac:dyDescent="0.25">
      <c r="H33535" s="12"/>
      <c r="I33535" s="12"/>
      <c r="J33535" s="12"/>
      <c r="K33535" s="12"/>
      <c r="L33535" s="12"/>
      <c r="M33535" s="11"/>
      <c r="N33535" s="11"/>
      <c r="O33535" s="11"/>
      <c r="P33535" s="11"/>
    </row>
    <row r="33536" spans="8:16" x14ac:dyDescent="0.25">
      <c r="H33536" s="12"/>
      <c r="I33536" s="12"/>
      <c r="J33536" s="12"/>
      <c r="K33536" s="12"/>
      <c r="L33536" s="12"/>
      <c r="M33536" s="11"/>
      <c r="N33536" s="11"/>
      <c r="O33536" s="11"/>
      <c r="P33536" s="11"/>
    </row>
    <row r="33537" spans="8:16" x14ac:dyDescent="0.25">
      <c r="H33537" s="12"/>
      <c r="I33537" s="12"/>
      <c r="J33537" s="12"/>
      <c r="K33537" s="12"/>
      <c r="L33537" s="12"/>
      <c r="M33537" s="11"/>
      <c r="N33537" s="11"/>
      <c r="O33537" s="11"/>
      <c r="P33537" s="11"/>
    </row>
    <row r="33538" spans="8:16" x14ac:dyDescent="0.25">
      <c r="H33538" s="12"/>
      <c r="I33538" s="12"/>
      <c r="J33538" s="12"/>
      <c r="K33538" s="12"/>
      <c r="L33538" s="12"/>
      <c r="M33538" s="11"/>
      <c r="N33538" s="11"/>
      <c r="O33538" s="11"/>
      <c r="P33538" s="11"/>
    </row>
    <row r="33539" spans="8:16" x14ac:dyDescent="0.25">
      <c r="H33539" s="12"/>
      <c r="I33539" s="12"/>
      <c r="J33539" s="12"/>
      <c r="K33539" s="12"/>
      <c r="L33539" s="12"/>
      <c r="M33539" s="11"/>
      <c r="N33539" s="11"/>
      <c r="O33539" s="11"/>
      <c r="P33539" s="11"/>
    </row>
    <row r="33540" spans="8:16" x14ac:dyDescent="0.25">
      <c r="H33540" s="12"/>
      <c r="I33540" s="12"/>
      <c r="J33540" s="12"/>
      <c r="K33540" s="12"/>
      <c r="L33540" s="12"/>
      <c r="M33540" s="11"/>
      <c r="N33540" s="11"/>
      <c r="O33540" s="11"/>
      <c r="P33540" s="11"/>
    </row>
    <row r="33541" spans="8:16" x14ac:dyDescent="0.25">
      <c r="H33541" s="12"/>
      <c r="I33541" s="12"/>
      <c r="J33541" s="12"/>
      <c r="K33541" s="12"/>
      <c r="L33541" s="12"/>
      <c r="M33541" s="11"/>
      <c r="N33541" s="11"/>
      <c r="O33541" s="11"/>
      <c r="P33541" s="11"/>
    </row>
    <row r="33542" spans="8:16" x14ac:dyDescent="0.25">
      <c r="H33542" s="12"/>
      <c r="I33542" s="12"/>
      <c r="J33542" s="12"/>
      <c r="K33542" s="12"/>
      <c r="L33542" s="12"/>
      <c r="M33542" s="11"/>
      <c r="N33542" s="11"/>
      <c r="O33542" s="11"/>
      <c r="P33542" s="11"/>
    </row>
    <row r="33543" spans="8:16" x14ac:dyDescent="0.25">
      <c r="H33543" s="12"/>
      <c r="I33543" s="12"/>
      <c r="J33543" s="12"/>
      <c r="K33543" s="12"/>
      <c r="L33543" s="12"/>
      <c r="M33543" s="11"/>
      <c r="N33543" s="11"/>
      <c r="O33543" s="11"/>
      <c r="P33543" s="11"/>
    </row>
    <row r="33544" spans="8:16" x14ac:dyDescent="0.25">
      <c r="H33544" s="12"/>
      <c r="I33544" s="12"/>
      <c r="J33544" s="12"/>
      <c r="K33544" s="12"/>
      <c r="L33544" s="12"/>
      <c r="M33544" s="11"/>
      <c r="N33544" s="11"/>
      <c r="O33544" s="11"/>
      <c r="P33544" s="11"/>
    </row>
    <row r="33545" spans="8:16" x14ac:dyDescent="0.25">
      <c r="H33545" s="12"/>
      <c r="I33545" s="12"/>
      <c r="J33545" s="12"/>
      <c r="K33545" s="12"/>
      <c r="L33545" s="12"/>
      <c r="M33545" s="11"/>
      <c r="N33545" s="11"/>
      <c r="O33545" s="11"/>
      <c r="P33545" s="11"/>
    </row>
    <row r="33546" spans="8:16" x14ac:dyDescent="0.25">
      <c r="H33546" s="12"/>
      <c r="I33546" s="12"/>
      <c r="J33546" s="12"/>
      <c r="K33546" s="12"/>
      <c r="L33546" s="12"/>
      <c r="M33546" s="11"/>
      <c r="N33546" s="11"/>
      <c r="O33546" s="11"/>
      <c r="P33546" s="11"/>
    </row>
    <row r="33547" spans="8:16" x14ac:dyDescent="0.25">
      <c r="H33547" s="12"/>
      <c r="I33547" s="12"/>
      <c r="J33547" s="12"/>
      <c r="K33547" s="12"/>
      <c r="L33547" s="12"/>
      <c r="M33547" s="11"/>
      <c r="N33547" s="11"/>
      <c r="O33547" s="11"/>
      <c r="P33547" s="11"/>
    </row>
    <row r="33548" spans="8:16" x14ac:dyDescent="0.25">
      <c r="H33548" s="12"/>
      <c r="I33548" s="12"/>
      <c r="J33548" s="12"/>
      <c r="K33548" s="12"/>
      <c r="L33548" s="12"/>
      <c r="M33548" s="11"/>
      <c r="N33548" s="11"/>
      <c r="O33548" s="11"/>
      <c r="P33548" s="11"/>
    </row>
    <row r="33549" spans="8:16" x14ac:dyDescent="0.25">
      <c r="H33549" s="12"/>
      <c r="I33549" s="12"/>
      <c r="J33549" s="12"/>
      <c r="K33549" s="12"/>
      <c r="L33549" s="12"/>
      <c r="M33549" s="11"/>
      <c r="N33549" s="11"/>
      <c r="O33549" s="11"/>
      <c r="P33549" s="11"/>
    </row>
    <row r="33550" spans="8:16" x14ac:dyDescent="0.25">
      <c r="H33550" s="12"/>
      <c r="I33550" s="12"/>
      <c r="J33550" s="12"/>
      <c r="K33550" s="12"/>
      <c r="L33550" s="12"/>
      <c r="M33550" s="11"/>
      <c r="N33550" s="11"/>
      <c r="O33550" s="11"/>
      <c r="P33550" s="11"/>
    </row>
    <row r="33551" spans="8:16" x14ac:dyDescent="0.25">
      <c r="H33551" s="12"/>
      <c r="I33551" s="12"/>
      <c r="J33551" s="12"/>
      <c r="K33551" s="12"/>
      <c r="L33551" s="12"/>
      <c r="M33551" s="11"/>
      <c r="N33551" s="11"/>
      <c r="O33551" s="11"/>
      <c r="P33551" s="11"/>
    </row>
    <row r="33552" spans="8:16" x14ac:dyDescent="0.25">
      <c r="H33552" s="12"/>
      <c r="I33552" s="12"/>
      <c r="J33552" s="12"/>
      <c r="K33552" s="12"/>
      <c r="L33552" s="12"/>
      <c r="M33552" s="11"/>
      <c r="N33552" s="11"/>
      <c r="O33552" s="11"/>
      <c r="P33552" s="11"/>
    </row>
    <row r="33553" spans="8:16" x14ac:dyDescent="0.25">
      <c r="H33553" s="12"/>
      <c r="I33553" s="12"/>
      <c r="J33553" s="12"/>
      <c r="K33553" s="12"/>
      <c r="L33553" s="12"/>
      <c r="M33553" s="11"/>
      <c r="N33553" s="11"/>
      <c r="O33553" s="11"/>
      <c r="P33553" s="11"/>
    </row>
    <row r="33554" spans="8:16" x14ac:dyDescent="0.25">
      <c r="H33554" s="12"/>
      <c r="I33554" s="12"/>
      <c r="J33554" s="12"/>
      <c r="K33554" s="12"/>
      <c r="L33554" s="12"/>
      <c r="M33554" s="11"/>
      <c r="N33554" s="11"/>
      <c r="O33554" s="11"/>
      <c r="P33554" s="11"/>
    </row>
    <row r="33555" spans="8:16" x14ac:dyDescent="0.25">
      <c r="H33555" s="12"/>
      <c r="I33555" s="12"/>
      <c r="J33555" s="12"/>
      <c r="K33555" s="12"/>
      <c r="L33555" s="12"/>
      <c r="M33555" s="11"/>
      <c r="N33555" s="11"/>
      <c r="O33555" s="11"/>
      <c r="P33555" s="11"/>
    </row>
    <row r="33556" spans="8:16" x14ac:dyDescent="0.25">
      <c r="H33556" s="12"/>
      <c r="I33556" s="12"/>
      <c r="J33556" s="12"/>
      <c r="K33556" s="12"/>
      <c r="L33556" s="12"/>
      <c r="M33556" s="11"/>
      <c r="N33556" s="11"/>
      <c r="O33556" s="11"/>
      <c r="P33556" s="11"/>
    </row>
    <row r="33557" spans="8:16" x14ac:dyDescent="0.25">
      <c r="H33557" s="12"/>
      <c r="I33557" s="12"/>
      <c r="J33557" s="12"/>
      <c r="K33557" s="12"/>
      <c r="L33557" s="12"/>
      <c r="M33557" s="11"/>
      <c r="N33557" s="11"/>
      <c r="O33557" s="11"/>
      <c r="P33557" s="11"/>
    </row>
    <row r="33558" spans="8:16" x14ac:dyDescent="0.25">
      <c r="H33558" s="12"/>
      <c r="I33558" s="12"/>
      <c r="J33558" s="12"/>
      <c r="K33558" s="12"/>
      <c r="L33558" s="12"/>
      <c r="M33558" s="11"/>
      <c r="N33558" s="11"/>
      <c r="O33558" s="11"/>
      <c r="P33558" s="11"/>
    </row>
    <row r="33559" spans="8:16" x14ac:dyDescent="0.25">
      <c r="H33559" s="12"/>
      <c r="I33559" s="12"/>
      <c r="J33559" s="12"/>
      <c r="K33559" s="12"/>
      <c r="L33559" s="12"/>
      <c r="M33559" s="11"/>
      <c r="N33559" s="11"/>
      <c r="O33559" s="11"/>
      <c r="P33559" s="11"/>
    </row>
    <row r="33560" spans="8:16" x14ac:dyDescent="0.25">
      <c r="H33560" s="12"/>
      <c r="I33560" s="12"/>
      <c r="J33560" s="12"/>
      <c r="K33560" s="12"/>
      <c r="L33560" s="12"/>
      <c r="M33560" s="11"/>
      <c r="N33560" s="11"/>
      <c r="O33560" s="11"/>
      <c r="P33560" s="11"/>
    </row>
    <row r="33561" spans="8:16" x14ac:dyDescent="0.25">
      <c r="H33561" s="12"/>
      <c r="I33561" s="12"/>
      <c r="J33561" s="12"/>
      <c r="K33561" s="12"/>
      <c r="L33561" s="12"/>
      <c r="M33561" s="11"/>
      <c r="N33561" s="11"/>
      <c r="O33561" s="11"/>
      <c r="P33561" s="11"/>
    </row>
    <row r="33562" spans="8:16" x14ac:dyDescent="0.25">
      <c r="H33562" s="12"/>
      <c r="I33562" s="12"/>
      <c r="J33562" s="12"/>
      <c r="K33562" s="12"/>
      <c r="L33562" s="12"/>
      <c r="M33562" s="11"/>
      <c r="N33562" s="11"/>
      <c r="O33562" s="11"/>
      <c r="P33562" s="11"/>
    </row>
    <row r="33563" spans="8:16" x14ac:dyDescent="0.25">
      <c r="H33563" s="12"/>
      <c r="I33563" s="12"/>
      <c r="J33563" s="12"/>
      <c r="K33563" s="12"/>
      <c r="L33563" s="12"/>
      <c r="M33563" s="11"/>
      <c r="N33563" s="11"/>
      <c r="O33563" s="11"/>
      <c r="P33563" s="11"/>
    </row>
    <row r="33564" spans="8:16" x14ac:dyDescent="0.25">
      <c r="H33564" s="12"/>
      <c r="I33564" s="12"/>
      <c r="J33564" s="12"/>
      <c r="K33564" s="12"/>
      <c r="L33564" s="12"/>
      <c r="M33564" s="11"/>
      <c r="N33564" s="11"/>
      <c r="O33564" s="11"/>
      <c r="P33564" s="11"/>
    </row>
    <row r="33565" spans="8:16" x14ac:dyDescent="0.25">
      <c r="H33565" s="12"/>
      <c r="I33565" s="12"/>
      <c r="J33565" s="12"/>
      <c r="K33565" s="12"/>
      <c r="L33565" s="12"/>
      <c r="M33565" s="11"/>
      <c r="N33565" s="11"/>
      <c r="O33565" s="11"/>
      <c r="P33565" s="11"/>
    </row>
    <row r="33566" spans="8:16" x14ac:dyDescent="0.25">
      <c r="H33566" s="12"/>
      <c r="I33566" s="12"/>
      <c r="J33566" s="12"/>
      <c r="K33566" s="12"/>
      <c r="L33566" s="12"/>
      <c r="M33566" s="11"/>
      <c r="N33566" s="11"/>
      <c r="O33566" s="11"/>
      <c r="P33566" s="11"/>
    </row>
    <row r="33567" spans="8:16" x14ac:dyDescent="0.25">
      <c r="H33567" s="12"/>
      <c r="I33567" s="12"/>
      <c r="J33567" s="12"/>
      <c r="K33567" s="12"/>
      <c r="L33567" s="12"/>
      <c r="M33567" s="11"/>
      <c r="N33567" s="11"/>
      <c r="O33567" s="11"/>
      <c r="P33567" s="11"/>
    </row>
    <row r="33568" spans="8:16" x14ac:dyDescent="0.25">
      <c r="H33568" s="12"/>
      <c r="I33568" s="12"/>
      <c r="J33568" s="12"/>
      <c r="K33568" s="12"/>
      <c r="L33568" s="12"/>
      <c r="M33568" s="11"/>
      <c r="N33568" s="11"/>
      <c r="O33568" s="11"/>
      <c r="P33568" s="11"/>
    </row>
    <row r="33569" spans="8:16" x14ac:dyDescent="0.25">
      <c r="H33569" s="12"/>
      <c r="I33569" s="12"/>
      <c r="J33569" s="12"/>
      <c r="K33569" s="12"/>
      <c r="L33569" s="12"/>
      <c r="M33569" s="11"/>
      <c r="N33569" s="11"/>
      <c r="O33569" s="11"/>
      <c r="P33569" s="11"/>
    </row>
    <row r="33570" spans="8:16" x14ac:dyDescent="0.25">
      <c r="H33570" s="12"/>
      <c r="I33570" s="12"/>
      <c r="J33570" s="12"/>
      <c r="K33570" s="12"/>
      <c r="L33570" s="12"/>
      <c r="M33570" s="11"/>
      <c r="N33570" s="11"/>
      <c r="O33570" s="11"/>
      <c r="P33570" s="11"/>
    </row>
    <row r="33571" spans="8:16" x14ac:dyDescent="0.25">
      <c r="H33571" s="12"/>
      <c r="I33571" s="12"/>
      <c r="J33571" s="12"/>
      <c r="K33571" s="12"/>
      <c r="L33571" s="12"/>
      <c r="M33571" s="11"/>
      <c r="N33571" s="11"/>
      <c r="O33571" s="11"/>
      <c r="P33571" s="11"/>
    </row>
    <row r="33572" spans="8:16" x14ac:dyDescent="0.25">
      <c r="H33572" s="12"/>
      <c r="I33572" s="12"/>
      <c r="J33572" s="12"/>
      <c r="K33572" s="12"/>
      <c r="L33572" s="12"/>
      <c r="M33572" s="11"/>
      <c r="N33572" s="11"/>
      <c r="O33572" s="11"/>
      <c r="P33572" s="11"/>
    </row>
    <row r="33573" spans="8:16" x14ac:dyDescent="0.25">
      <c r="H33573" s="12"/>
      <c r="I33573" s="12"/>
      <c r="J33573" s="12"/>
      <c r="K33573" s="12"/>
      <c r="L33573" s="12"/>
      <c r="M33573" s="11"/>
      <c r="N33573" s="11"/>
      <c r="O33573" s="11"/>
      <c r="P33573" s="11"/>
    </row>
    <row r="33574" spans="8:16" x14ac:dyDescent="0.25">
      <c r="H33574" s="12"/>
      <c r="I33574" s="12"/>
      <c r="J33574" s="12"/>
      <c r="K33574" s="12"/>
      <c r="L33574" s="12"/>
      <c r="M33574" s="11"/>
      <c r="N33574" s="11"/>
      <c r="O33574" s="11"/>
      <c r="P33574" s="11"/>
    </row>
    <row r="33575" spans="8:16" x14ac:dyDescent="0.25">
      <c r="H33575" s="12"/>
      <c r="I33575" s="12"/>
      <c r="J33575" s="12"/>
      <c r="K33575" s="12"/>
      <c r="L33575" s="12"/>
      <c r="M33575" s="11"/>
      <c r="N33575" s="11"/>
      <c r="O33575" s="11"/>
      <c r="P33575" s="11"/>
    </row>
    <row r="33576" spans="8:16" x14ac:dyDescent="0.25">
      <c r="H33576" s="12"/>
      <c r="I33576" s="12"/>
      <c r="J33576" s="12"/>
      <c r="K33576" s="12"/>
      <c r="L33576" s="12"/>
      <c r="M33576" s="11"/>
      <c r="N33576" s="11"/>
      <c r="O33576" s="11"/>
      <c r="P33576" s="11"/>
    </row>
    <row r="33577" spans="8:16" x14ac:dyDescent="0.25">
      <c r="H33577" s="12"/>
      <c r="I33577" s="12"/>
      <c r="J33577" s="12"/>
      <c r="K33577" s="12"/>
      <c r="L33577" s="12"/>
      <c r="M33577" s="11"/>
      <c r="N33577" s="11"/>
      <c r="O33577" s="11"/>
      <c r="P33577" s="11"/>
    </row>
    <row r="33578" spans="8:16" x14ac:dyDescent="0.25">
      <c r="H33578" s="12"/>
      <c r="I33578" s="12"/>
      <c r="J33578" s="12"/>
      <c r="K33578" s="12"/>
      <c r="L33578" s="12"/>
      <c r="M33578" s="11"/>
      <c r="N33578" s="11"/>
      <c r="O33578" s="11"/>
      <c r="P33578" s="11"/>
    </row>
    <row r="33579" spans="8:16" x14ac:dyDescent="0.25">
      <c r="H33579" s="12"/>
      <c r="I33579" s="12"/>
      <c r="J33579" s="12"/>
      <c r="K33579" s="12"/>
      <c r="L33579" s="12"/>
      <c r="M33579" s="11"/>
      <c r="N33579" s="11"/>
      <c r="O33579" s="11"/>
      <c r="P33579" s="11"/>
    </row>
    <row r="33580" spans="8:16" x14ac:dyDescent="0.25">
      <c r="H33580" s="12"/>
      <c r="I33580" s="12"/>
      <c r="J33580" s="12"/>
      <c r="K33580" s="12"/>
      <c r="L33580" s="12"/>
      <c r="M33580" s="11"/>
      <c r="N33580" s="11"/>
      <c r="O33580" s="11"/>
      <c r="P33580" s="11"/>
    </row>
    <row r="33581" spans="8:16" x14ac:dyDescent="0.25">
      <c r="H33581" s="12"/>
      <c r="I33581" s="12"/>
      <c r="J33581" s="12"/>
      <c r="K33581" s="12"/>
      <c r="L33581" s="12"/>
      <c r="M33581" s="11"/>
      <c r="N33581" s="11"/>
      <c r="O33581" s="11"/>
      <c r="P33581" s="11"/>
    </row>
    <row r="33582" spans="8:16" x14ac:dyDescent="0.25">
      <c r="H33582" s="12"/>
      <c r="I33582" s="12"/>
      <c r="J33582" s="12"/>
      <c r="K33582" s="12"/>
      <c r="L33582" s="12"/>
      <c r="M33582" s="11"/>
      <c r="N33582" s="11"/>
      <c r="O33582" s="11"/>
      <c r="P33582" s="11"/>
    </row>
    <row r="33583" spans="8:16" x14ac:dyDescent="0.25">
      <c r="H33583" s="12"/>
      <c r="I33583" s="12"/>
      <c r="J33583" s="12"/>
      <c r="K33583" s="12"/>
      <c r="L33583" s="12"/>
      <c r="M33583" s="11"/>
      <c r="N33583" s="11"/>
      <c r="O33583" s="11"/>
      <c r="P33583" s="11"/>
    </row>
    <row r="33584" spans="8:16" x14ac:dyDescent="0.25">
      <c r="H33584" s="12"/>
      <c r="I33584" s="12"/>
      <c r="J33584" s="12"/>
      <c r="K33584" s="12"/>
      <c r="L33584" s="12"/>
      <c r="M33584" s="11"/>
      <c r="N33584" s="11"/>
      <c r="O33584" s="11"/>
      <c r="P33584" s="11"/>
    </row>
    <row r="33585" spans="8:16" x14ac:dyDescent="0.25">
      <c r="H33585" s="12"/>
      <c r="I33585" s="12"/>
      <c r="J33585" s="12"/>
      <c r="K33585" s="12"/>
      <c r="L33585" s="12"/>
      <c r="M33585" s="11"/>
      <c r="N33585" s="11"/>
      <c r="O33585" s="11"/>
      <c r="P33585" s="11"/>
    </row>
    <row r="33586" spans="8:16" x14ac:dyDescent="0.25">
      <c r="H33586" s="12"/>
      <c r="I33586" s="12"/>
      <c r="J33586" s="12"/>
      <c r="K33586" s="12"/>
      <c r="L33586" s="12"/>
      <c r="M33586" s="11"/>
      <c r="N33586" s="11"/>
      <c r="O33586" s="11"/>
      <c r="P33586" s="11"/>
    </row>
    <row r="33587" spans="8:16" x14ac:dyDescent="0.25">
      <c r="H33587" s="12"/>
      <c r="I33587" s="12"/>
      <c r="J33587" s="12"/>
      <c r="K33587" s="12"/>
      <c r="L33587" s="12"/>
      <c r="M33587" s="11"/>
      <c r="N33587" s="11"/>
      <c r="O33587" s="11"/>
      <c r="P33587" s="11"/>
    </row>
    <row r="33588" spans="8:16" x14ac:dyDescent="0.25">
      <c r="H33588" s="12"/>
      <c r="I33588" s="12"/>
      <c r="J33588" s="12"/>
      <c r="K33588" s="12"/>
      <c r="L33588" s="12"/>
      <c r="M33588" s="11"/>
      <c r="N33588" s="11"/>
      <c r="O33588" s="11"/>
      <c r="P33588" s="11"/>
    </row>
    <row r="33589" spans="8:16" x14ac:dyDescent="0.25">
      <c r="H33589" s="12"/>
      <c r="I33589" s="12"/>
      <c r="J33589" s="12"/>
      <c r="K33589" s="12"/>
      <c r="L33589" s="12"/>
      <c r="M33589" s="11"/>
      <c r="N33589" s="11"/>
      <c r="O33589" s="11"/>
      <c r="P33589" s="11"/>
    </row>
    <row r="33590" spans="8:16" x14ac:dyDescent="0.25">
      <c r="H33590" s="12"/>
      <c r="I33590" s="12"/>
      <c r="J33590" s="12"/>
      <c r="K33590" s="12"/>
      <c r="L33590" s="12"/>
      <c r="M33590" s="11"/>
      <c r="N33590" s="11"/>
      <c r="O33590" s="11"/>
      <c r="P33590" s="11"/>
    </row>
    <row r="33591" spans="8:16" x14ac:dyDescent="0.25">
      <c r="H33591" s="12"/>
      <c r="I33591" s="12"/>
      <c r="J33591" s="12"/>
      <c r="K33591" s="12"/>
      <c r="L33591" s="12"/>
      <c r="M33591" s="11"/>
      <c r="N33591" s="11"/>
      <c r="O33591" s="11"/>
      <c r="P33591" s="11"/>
    </row>
    <row r="33592" spans="8:16" x14ac:dyDescent="0.25">
      <c r="H33592" s="12"/>
      <c r="I33592" s="12"/>
      <c r="J33592" s="12"/>
      <c r="K33592" s="12"/>
      <c r="L33592" s="12"/>
      <c r="M33592" s="11"/>
      <c r="N33592" s="11"/>
      <c r="O33592" s="11"/>
      <c r="P33592" s="11"/>
    </row>
    <row r="33593" spans="8:16" x14ac:dyDescent="0.25">
      <c r="H33593" s="12"/>
      <c r="I33593" s="12"/>
      <c r="J33593" s="12"/>
      <c r="K33593" s="12"/>
      <c r="L33593" s="12"/>
      <c r="M33593" s="11"/>
      <c r="N33593" s="11"/>
      <c r="O33593" s="11"/>
      <c r="P33593" s="11"/>
    </row>
    <row r="33594" spans="8:16" x14ac:dyDescent="0.25">
      <c r="H33594" s="12"/>
      <c r="I33594" s="12"/>
      <c r="J33594" s="12"/>
      <c r="K33594" s="12"/>
      <c r="L33594" s="12"/>
      <c r="M33594" s="11"/>
      <c r="N33594" s="11"/>
      <c r="O33594" s="11"/>
      <c r="P33594" s="11"/>
    </row>
    <row r="33595" spans="8:16" x14ac:dyDescent="0.25">
      <c r="H33595" s="12"/>
      <c r="I33595" s="12"/>
      <c r="J33595" s="12"/>
      <c r="K33595" s="12"/>
      <c r="L33595" s="12"/>
      <c r="M33595" s="11"/>
      <c r="N33595" s="11"/>
      <c r="O33595" s="11"/>
      <c r="P33595" s="11"/>
    </row>
    <row r="33596" spans="8:16" x14ac:dyDescent="0.25">
      <c r="H33596" s="12"/>
      <c r="I33596" s="12"/>
      <c r="J33596" s="12"/>
      <c r="K33596" s="12"/>
      <c r="L33596" s="12"/>
      <c r="M33596" s="11"/>
      <c r="N33596" s="11"/>
      <c r="O33596" s="11"/>
      <c r="P33596" s="11"/>
    </row>
    <row r="33597" spans="8:16" x14ac:dyDescent="0.25">
      <c r="H33597" s="12"/>
      <c r="I33597" s="12"/>
      <c r="J33597" s="12"/>
      <c r="K33597" s="12"/>
      <c r="L33597" s="12"/>
      <c r="M33597" s="11"/>
      <c r="N33597" s="11"/>
      <c r="O33597" s="11"/>
      <c r="P33597" s="11"/>
    </row>
    <row r="33598" spans="8:16" x14ac:dyDescent="0.25">
      <c r="H33598" s="12"/>
      <c r="I33598" s="12"/>
      <c r="J33598" s="12"/>
      <c r="K33598" s="12"/>
      <c r="L33598" s="12"/>
      <c r="M33598" s="11"/>
      <c r="N33598" s="11"/>
      <c r="O33598" s="11"/>
      <c r="P33598" s="11"/>
    </row>
    <row r="33599" spans="8:16" x14ac:dyDescent="0.25">
      <c r="H33599" s="12"/>
      <c r="I33599" s="12"/>
      <c r="J33599" s="12"/>
      <c r="K33599" s="12"/>
      <c r="L33599" s="12"/>
      <c r="M33599" s="11"/>
      <c r="N33599" s="11"/>
      <c r="O33599" s="11"/>
      <c r="P33599" s="11"/>
    </row>
    <row r="33600" spans="8:16" x14ac:dyDescent="0.25">
      <c r="H33600" s="12"/>
      <c r="I33600" s="12"/>
      <c r="J33600" s="12"/>
      <c r="K33600" s="12"/>
      <c r="L33600" s="12"/>
      <c r="M33600" s="11"/>
      <c r="N33600" s="11"/>
      <c r="O33600" s="11"/>
      <c r="P33600" s="11"/>
    </row>
    <row r="33601" spans="8:16" x14ac:dyDescent="0.25">
      <c r="H33601" s="12"/>
      <c r="I33601" s="12"/>
      <c r="J33601" s="12"/>
      <c r="K33601" s="12"/>
      <c r="L33601" s="12"/>
      <c r="M33601" s="11"/>
      <c r="N33601" s="11"/>
      <c r="O33601" s="11"/>
      <c r="P33601" s="11"/>
    </row>
    <row r="33602" spans="8:16" x14ac:dyDescent="0.25">
      <c r="H33602" s="12"/>
      <c r="I33602" s="12"/>
      <c r="J33602" s="12"/>
      <c r="K33602" s="12"/>
      <c r="L33602" s="12"/>
      <c r="M33602" s="11"/>
      <c r="N33602" s="11"/>
      <c r="O33602" s="11"/>
      <c r="P33602" s="11"/>
    </row>
    <row r="33603" spans="8:16" x14ac:dyDescent="0.25">
      <c r="H33603" s="12"/>
      <c r="I33603" s="12"/>
      <c r="J33603" s="12"/>
      <c r="K33603" s="12"/>
      <c r="L33603" s="12"/>
      <c r="M33603" s="11"/>
      <c r="N33603" s="11"/>
      <c r="O33603" s="11"/>
      <c r="P33603" s="11"/>
    </row>
    <row r="33604" spans="8:16" x14ac:dyDescent="0.25">
      <c r="H33604" s="12"/>
      <c r="I33604" s="12"/>
      <c r="J33604" s="12"/>
      <c r="K33604" s="12"/>
      <c r="L33604" s="12"/>
      <c r="M33604" s="11"/>
      <c r="N33604" s="11"/>
      <c r="O33604" s="11"/>
      <c r="P33604" s="11"/>
    </row>
    <row r="33605" spans="8:16" x14ac:dyDescent="0.25">
      <c r="H33605" s="12"/>
      <c r="I33605" s="12"/>
      <c r="J33605" s="12"/>
      <c r="K33605" s="12"/>
      <c r="L33605" s="12"/>
      <c r="M33605" s="11"/>
      <c r="N33605" s="11"/>
      <c r="O33605" s="11"/>
      <c r="P33605" s="11"/>
    </row>
    <row r="33606" spans="8:16" x14ac:dyDescent="0.25">
      <c r="H33606" s="12"/>
      <c r="I33606" s="12"/>
      <c r="J33606" s="12"/>
      <c r="K33606" s="12"/>
      <c r="L33606" s="12"/>
      <c r="M33606" s="11"/>
      <c r="N33606" s="11"/>
      <c r="O33606" s="11"/>
      <c r="P33606" s="11"/>
    </row>
    <row r="33607" spans="8:16" x14ac:dyDescent="0.25">
      <c r="H33607" s="12"/>
      <c r="I33607" s="12"/>
      <c r="J33607" s="12"/>
      <c r="K33607" s="12"/>
      <c r="L33607" s="12"/>
      <c r="M33607" s="11"/>
      <c r="N33607" s="11"/>
      <c r="O33607" s="11"/>
      <c r="P33607" s="11"/>
    </row>
    <row r="33608" spans="8:16" x14ac:dyDescent="0.25">
      <c r="H33608" s="12"/>
      <c r="I33608" s="12"/>
      <c r="J33608" s="12"/>
      <c r="K33608" s="12"/>
      <c r="L33608" s="12"/>
      <c r="M33608" s="11"/>
      <c r="N33608" s="11"/>
      <c r="O33608" s="11"/>
      <c r="P33608" s="11"/>
    </row>
    <row r="33609" spans="8:16" x14ac:dyDescent="0.25">
      <c r="H33609" s="12"/>
      <c r="I33609" s="12"/>
      <c r="J33609" s="12"/>
      <c r="K33609" s="12"/>
      <c r="L33609" s="12"/>
      <c r="M33609" s="11"/>
      <c r="N33609" s="11"/>
      <c r="O33609" s="11"/>
      <c r="P33609" s="11"/>
    </row>
    <row r="33610" spans="8:16" x14ac:dyDescent="0.25">
      <c r="H33610" s="12"/>
      <c r="I33610" s="12"/>
      <c r="J33610" s="12"/>
      <c r="K33610" s="12"/>
      <c r="L33610" s="12"/>
      <c r="M33610" s="11"/>
      <c r="N33610" s="11"/>
      <c r="O33610" s="11"/>
      <c r="P33610" s="11"/>
    </row>
    <row r="33611" spans="8:16" x14ac:dyDescent="0.25">
      <c r="H33611" s="12"/>
      <c r="I33611" s="12"/>
      <c r="J33611" s="12"/>
      <c r="K33611" s="12"/>
      <c r="L33611" s="12"/>
      <c r="M33611" s="11"/>
      <c r="N33611" s="11"/>
      <c r="O33611" s="11"/>
      <c r="P33611" s="11"/>
    </row>
    <row r="33612" spans="8:16" x14ac:dyDescent="0.25">
      <c r="H33612" s="12"/>
      <c r="I33612" s="12"/>
      <c r="J33612" s="12"/>
      <c r="K33612" s="12"/>
      <c r="L33612" s="12"/>
      <c r="M33612" s="11"/>
      <c r="N33612" s="11"/>
      <c r="O33612" s="11"/>
      <c r="P33612" s="11"/>
    </row>
    <row r="33613" spans="8:16" x14ac:dyDescent="0.25">
      <c r="H33613" s="12"/>
      <c r="I33613" s="12"/>
      <c r="J33613" s="12"/>
      <c r="K33613" s="12"/>
      <c r="L33613" s="12"/>
      <c r="M33613" s="11"/>
      <c r="N33613" s="11"/>
      <c r="O33613" s="11"/>
      <c r="P33613" s="11"/>
    </row>
    <row r="33614" spans="8:16" x14ac:dyDescent="0.25">
      <c r="H33614" s="12"/>
      <c r="I33614" s="12"/>
      <c r="J33614" s="12"/>
      <c r="K33614" s="12"/>
      <c r="L33614" s="12"/>
      <c r="M33614" s="11"/>
      <c r="N33614" s="11"/>
      <c r="O33614" s="11"/>
      <c r="P33614" s="11"/>
    </row>
    <row r="33615" spans="8:16" x14ac:dyDescent="0.25">
      <c r="H33615" s="12"/>
      <c r="I33615" s="12"/>
      <c r="J33615" s="12"/>
      <c r="K33615" s="12"/>
      <c r="L33615" s="12"/>
      <c r="M33615" s="11"/>
      <c r="N33615" s="11"/>
      <c r="O33615" s="11"/>
      <c r="P33615" s="11"/>
    </row>
    <row r="33616" spans="8:16" x14ac:dyDescent="0.25">
      <c r="H33616" s="12"/>
      <c r="I33616" s="12"/>
      <c r="J33616" s="12"/>
      <c r="K33616" s="12"/>
      <c r="L33616" s="12"/>
      <c r="M33616" s="11"/>
      <c r="N33616" s="11"/>
      <c r="O33616" s="11"/>
      <c r="P33616" s="11"/>
    </row>
    <row r="33617" spans="8:16" x14ac:dyDescent="0.25">
      <c r="H33617" s="12"/>
      <c r="I33617" s="12"/>
      <c r="J33617" s="12"/>
      <c r="K33617" s="12"/>
      <c r="L33617" s="12"/>
      <c r="M33617" s="11"/>
      <c r="N33617" s="11"/>
      <c r="O33617" s="11"/>
      <c r="P33617" s="11"/>
    </row>
    <row r="33618" spans="8:16" x14ac:dyDescent="0.25">
      <c r="H33618" s="12"/>
      <c r="I33618" s="12"/>
      <c r="J33618" s="12"/>
      <c r="K33618" s="12"/>
      <c r="L33618" s="12"/>
      <c r="M33618" s="11"/>
      <c r="N33618" s="11"/>
      <c r="O33618" s="11"/>
      <c r="P33618" s="11"/>
    </row>
    <row r="33619" spans="8:16" x14ac:dyDescent="0.25">
      <c r="H33619" s="12"/>
      <c r="I33619" s="12"/>
      <c r="J33619" s="12"/>
      <c r="K33619" s="12"/>
      <c r="L33619" s="12"/>
      <c r="M33619" s="11"/>
      <c r="N33619" s="11"/>
      <c r="O33619" s="11"/>
      <c r="P33619" s="11"/>
    </row>
    <row r="33620" spans="8:16" x14ac:dyDescent="0.25">
      <c r="H33620" s="12"/>
      <c r="I33620" s="12"/>
      <c r="J33620" s="12"/>
      <c r="K33620" s="12"/>
      <c r="L33620" s="12"/>
      <c r="M33620" s="11"/>
      <c r="N33620" s="11"/>
      <c r="O33620" s="11"/>
      <c r="P33620" s="11"/>
    </row>
    <row r="33621" spans="8:16" x14ac:dyDescent="0.25">
      <c r="H33621" s="12"/>
      <c r="I33621" s="12"/>
      <c r="J33621" s="12"/>
      <c r="K33621" s="12"/>
      <c r="L33621" s="12"/>
      <c r="M33621" s="11"/>
      <c r="N33621" s="11"/>
      <c r="O33621" s="11"/>
      <c r="P33621" s="11"/>
    </row>
    <row r="33622" spans="8:16" x14ac:dyDescent="0.25">
      <c r="H33622" s="12"/>
      <c r="I33622" s="12"/>
      <c r="J33622" s="12"/>
      <c r="K33622" s="12"/>
      <c r="L33622" s="12"/>
      <c r="M33622" s="11"/>
      <c r="N33622" s="11"/>
      <c r="O33622" s="11"/>
      <c r="P33622" s="11"/>
    </row>
    <row r="33623" spans="8:16" x14ac:dyDescent="0.25">
      <c r="H33623" s="12"/>
      <c r="I33623" s="12"/>
      <c r="J33623" s="12"/>
      <c r="K33623" s="12"/>
      <c r="L33623" s="12"/>
      <c r="M33623" s="11"/>
      <c r="N33623" s="11"/>
      <c r="O33623" s="11"/>
      <c r="P33623" s="11"/>
    </row>
    <row r="33624" spans="8:16" x14ac:dyDescent="0.25">
      <c r="H33624" s="12"/>
      <c r="I33624" s="12"/>
      <c r="J33624" s="12"/>
      <c r="K33624" s="12"/>
      <c r="L33624" s="12"/>
      <c r="M33624" s="11"/>
      <c r="N33624" s="11"/>
      <c r="O33624" s="11"/>
      <c r="P33624" s="11"/>
    </row>
    <row r="33625" spans="8:16" x14ac:dyDescent="0.25">
      <c r="H33625" s="12"/>
      <c r="I33625" s="12"/>
      <c r="J33625" s="12"/>
      <c r="K33625" s="12"/>
      <c r="L33625" s="12"/>
      <c r="M33625" s="11"/>
      <c r="N33625" s="11"/>
      <c r="O33625" s="11"/>
      <c r="P33625" s="11"/>
    </row>
    <row r="33626" spans="8:16" x14ac:dyDescent="0.25">
      <c r="H33626" s="12"/>
      <c r="I33626" s="12"/>
      <c r="J33626" s="12"/>
      <c r="K33626" s="12"/>
      <c r="L33626" s="12"/>
      <c r="M33626" s="11"/>
      <c r="N33626" s="11"/>
      <c r="O33626" s="11"/>
      <c r="P33626" s="11"/>
    </row>
    <row r="33627" spans="8:16" x14ac:dyDescent="0.25">
      <c r="H33627" s="12"/>
      <c r="I33627" s="12"/>
      <c r="J33627" s="12"/>
      <c r="K33627" s="12"/>
      <c r="L33627" s="12"/>
      <c r="M33627" s="11"/>
      <c r="N33627" s="11"/>
      <c r="O33627" s="11"/>
      <c r="P33627" s="11"/>
    </row>
    <row r="33628" spans="8:16" x14ac:dyDescent="0.25">
      <c r="H33628" s="12"/>
      <c r="I33628" s="12"/>
      <c r="J33628" s="12"/>
      <c r="K33628" s="12"/>
      <c r="L33628" s="12"/>
      <c r="M33628" s="11"/>
      <c r="N33628" s="11"/>
      <c r="O33628" s="11"/>
      <c r="P33628" s="11"/>
    </row>
    <row r="33629" spans="8:16" x14ac:dyDescent="0.25">
      <c r="H33629" s="12"/>
      <c r="I33629" s="12"/>
      <c r="J33629" s="12"/>
      <c r="K33629" s="12"/>
      <c r="L33629" s="12"/>
      <c r="M33629" s="11"/>
      <c r="N33629" s="11"/>
      <c r="O33629" s="11"/>
      <c r="P33629" s="11"/>
    </row>
    <row r="33630" spans="8:16" x14ac:dyDescent="0.25">
      <c r="H33630" s="12"/>
      <c r="I33630" s="12"/>
      <c r="J33630" s="12"/>
      <c r="K33630" s="12"/>
      <c r="L33630" s="12"/>
      <c r="M33630" s="11"/>
      <c r="N33630" s="11"/>
      <c r="O33630" s="11"/>
      <c r="P33630" s="11"/>
    </row>
    <row r="33631" spans="8:16" x14ac:dyDescent="0.25">
      <c r="H33631" s="12"/>
      <c r="I33631" s="12"/>
      <c r="J33631" s="12"/>
      <c r="K33631" s="12"/>
      <c r="L33631" s="12"/>
      <c r="M33631" s="11"/>
      <c r="N33631" s="11"/>
      <c r="O33631" s="11"/>
      <c r="P33631" s="11"/>
    </row>
    <row r="33632" spans="8:16" x14ac:dyDescent="0.25">
      <c r="H33632" s="12"/>
      <c r="I33632" s="12"/>
      <c r="J33632" s="12"/>
      <c r="K33632" s="12"/>
      <c r="L33632" s="12"/>
      <c r="M33632" s="11"/>
      <c r="N33632" s="11"/>
      <c r="O33632" s="11"/>
      <c r="P33632" s="11"/>
    </row>
    <row r="33633" spans="8:16" x14ac:dyDescent="0.25">
      <c r="H33633" s="12"/>
      <c r="I33633" s="12"/>
      <c r="J33633" s="12"/>
      <c r="K33633" s="12"/>
      <c r="L33633" s="12"/>
      <c r="M33633" s="11"/>
      <c r="N33633" s="11"/>
      <c r="O33633" s="11"/>
      <c r="P33633" s="11"/>
    </row>
    <row r="33634" spans="8:16" x14ac:dyDescent="0.25">
      <c r="H33634" s="12"/>
      <c r="I33634" s="12"/>
      <c r="J33634" s="12"/>
      <c r="K33634" s="12"/>
      <c r="L33634" s="12"/>
      <c r="M33634" s="11"/>
      <c r="N33634" s="11"/>
      <c r="O33634" s="11"/>
      <c r="P33634" s="11"/>
    </row>
    <row r="33635" spans="8:16" x14ac:dyDescent="0.25">
      <c r="H33635" s="12"/>
      <c r="I33635" s="12"/>
      <c r="J33635" s="12"/>
      <c r="K33635" s="12"/>
      <c r="L33635" s="12"/>
      <c r="M33635" s="11"/>
      <c r="N33635" s="11"/>
      <c r="O33635" s="11"/>
      <c r="P33635" s="11"/>
    </row>
    <row r="33636" spans="8:16" x14ac:dyDescent="0.25">
      <c r="H33636" s="12"/>
      <c r="I33636" s="12"/>
      <c r="J33636" s="12"/>
      <c r="K33636" s="12"/>
      <c r="L33636" s="12"/>
      <c r="M33636" s="11"/>
      <c r="N33636" s="11"/>
      <c r="O33636" s="11"/>
      <c r="P33636" s="11"/>
    </row>
    <row r="33637" spans="8:16" x14ac:dyDescent="0.25">
      <c r="H33637" s="12"/>
      <c r="I33637" s="12"/>
      <c r="J33637" s="12"/>
      <c r="K33637" s="12"/>
      <c r="L33637" s="12"/>
      <c r="M33637" s="11"/>
      <c r="N33637" s="11"/>
      <c r="O33637" s="11"/>
      <c r="P33637" s="11"/>
    </row>
    <row r="33638" spans="8:16" x14ac:dyDescent="0.25">
      <c r="H33638" s="12"/>
      <c r="I33638" s="12"/>
      <c r="J33638" s="12"/>
      <c r="K33638" s="12"/>
      <c r="L33638" s="12"/>
      <c r="M33638" s="11"/>
      <c r="N33638" s="11"/>
      <c r="O33638" s="11"/>
      <c r="P33638" s="11"/>
    </row>
    <row r="33639" spans="8:16" x14ac:dyDescent="0.25">
      <c r="H33639" s="12"/>
      <c r="I33639" s="12"/>
      <c r="J33639" s="12"/>
      <c r="K33639" s="12"/>
      <c r="L33639" s="12"/>
      <c r="M33639" s="11"/>
      <c r="N33639" s="11"/>
      <c r="O33639" s="11"/>
      <c r="P33639" s="11"/>
    </row>
    <row r="33640" spans="8:16" x14ac:dyDescent="0.25">
      <c r="H33640" s="12"/>
      <c r="I33640" s="12"/>
      <c r="J33640" s="12"/>
      <c r="K33640" s="12"/>
      <c r="L33640" s="12"/>
      <c r="M33640" s="11"/>
      <c r="N33640" s="11"/>
      <c r="O33640" s="11"/>
      <c r="P33640" s="11"/>
    </row>
    <row r="33641" spans="8:16" x14ac:dyDescent="0.25">
      <c r="H33641" s="12"/>
      <c r="I33641" s="12"/>
      <c r="J33641" s="12"/>
      <c r="K33641" s="12"/>
      <c r="L33641" s="12"/>
      <c r="M33641" s="11"/>
      <c r="N33641" s="11"/>
      <c r="O33641" s="11"/>
      <c r="P33641" s="11"/>
    </row>
    <row r="33642" spans="8:16" x14ac:dyDescent="0.25">
      <c r="H33642" s="12"/>
      <c r="I33642" s="12"/>
      <c r="J33642" s="12"/>
      <c r="K33642" s="12"/>
      <c r="L33642" s="12"/>
      <c r="M33642" s="11"/>
      <c r="N33642" s="11"/>
      <c r="O33642" s="11"/>
      <c r="P33642" s="11"/>
    </row>
    <row r="33643" spans="8:16" x14ac:dyDescent="0.25">
      <c r="H33643" s="12"/>
      <c r="I33643" s="12"/>
      <c r="J33643" s="12"/>
      <c r="K33643" s="12"/>
      <c r="L33643" s="12"/>
      <c r="M33643" s="11"/>
      <c r="N33643" s="11"/>
      <c r="O33643" s="11"/>
      <c r="P33643" s="11"/>
    </row>
    <row r="33644" spans="8:16" x14ac:dyDescent="0.25">
      <c r="H33644" s="12"/>
      <c r="I33644" s="12"/>
      <c r="J33644" s="12"/>
      <c r="K33644" s="12"/>
      <c r="L33644" s="12"/>
      <c r="M33644" s="11"/>
      <c r="N33644" s="11"/>
      <c r="O33644" s="11"/>
      <c r="P33644" s="11"/>
    </row>
    <row r="33645" spans="8:16" x14ac:dyDescent="0.25">
      <c r="H33645" s="12"/>
      <c r="I33645" s="12"/>
      <c r="J33645" s="12"/>
      <c r="K33645" s="12"/>
      <c r="L33645" s="12"/>
      <c r="M33645" s="11"/>
      <c r="N33645" s="11"/>
      <c r="O33645" s="11"/>
      <c r="P33645" s="11"/>
    </row>
    <row r="33646" spans="8:16" x14ac:dyDescent="0.25">
      <c r="H33646" s="12"/>
      <c r="I33646" s="12"/>
      <c r="J33646" s="12"/>
      <c r="K33646" s="12"/>
      <c r="L33646" s="12"/>
      <c r="M33646" s="11"/>
      <c r="N33646" s="11"/>
      <c r="O33646" s="11"/>
      <c r="P33646" s="11"/>
    </row>
    <row r="33647" spans="8:16" x14ac:dyDescent="0.25">
      <c r="H33647" s="12"/>
      <c r="I33647" s="12"/>
      <c r="J33647" s="12"/>
      <c r="K33647" s="12"/>
      <c r="L33647" s="12"/>
      <c r="M33647" s="11"/>
      <c r="N33647" s="11"/>
      <c r="O33647" s="11"/>
      <c r="P33647" s="11"/>
    </row>
    <row r="33648" spans="8:16" x14ac:dyDescent="0.25">
      <c r="H33648" s="12"/>
      <c r="I33648" s="12"/>
      <c r="J33648" s="12"/>
      <c r="K33648" s="12"/>
      <c r="L33648" s="12"/>
      <c r="M33648" s="11"/>
      <c r="N33648" s="11"/>
      <c r="O33648" s="11"/>
      <c r="P33648" s="11"/>
    </row>
    <row r="33649" spans="8:16" x14ac:dyDescent="0.25">
      <c r="H33649" s="12"/>
      <c r="I33649" s="12"/>
      <c r="J33649" s="12"/>
      <c r="K33649" s="12"/>
      <c r="L33649" s="12"/>
      <c r="M33649" s="11"/>
      <c r="N33649" s="11"/>
      <c r="O33649" s="11"/>
      <c r="P33649" s="11"/>
    </row>
    <row r="33650" spans="8:16" x14ac:dyDescent="0.25">
      <c r="H33650" s="12"/>
      <c r="I33650" s="12"/>
      <c r="J33650" s="12"/>
      <c r="K33650" s="12"/>
      <c r="L33650" s="12"/>
      <c r="M33650" s="11"/>
      <c r="N33650" s="11"/>
      <c r="O33650" s="11"/>
      <c r="P33650" s="11"/>
    </row>
    <row r="33651" spans="8:16" x14ac:dyDescent="0.25">
      <c r="H33651" s="12"/>
      <c r="I33651" s="12"/>
      <c r="J33651" s="12"/>
      <c r="K33651" s="12"/>
      <c r="L33651" s="12"/>
      <c r="M33651" s="11"/>
      <c r="N33651" s="11"/>
      <c r="O33651" s="11"/>
      <c r="P33651" s="11"/>
    </row>
    <row r="33652" spans="8:16" x14ac:dyDescent="0.25">
      <c r="H33652" s="12"/>
      <c r="I33652" s="12"/>
      <c r="J33652" s="12"/>
      <c r="K33652" s="12"/>
      <c r="L33652" s="12"/>
      <c r="M33652" s="11"/>
      <c r="N33652" s="11"/>
      <c r="O33652" s="11"/>
      <c r="P33652" s="11"/>
    </row>
    <row r="33653" spans="8:16" x14ac:dyDescent="0.25">
      <c r="H33653" s="12"/>
      <c r="I33653" s="12"/>
      <c r="J33653" s="12"/>
      <c r="K33653" s="12"/>
      <c r="L33653" s="12"/>
      <c r="M33653" s="11"/>
      <c r="N33653" s="11"/>
      <c r="O33653" s="11"/>
      <c r="P33653" s="11"/>
    </row>
    <row r="33654" spans="8:16" x14ac:dyDescent="0.25">
      <c r="H33654" s="12"/>
      <c r="I33654" s="12"/>
      <c r="J33654" s="12"/>
      <c r="K33654" s="12"/>
      <c r="L33654" s="12"/>
      <c r="M33654" s="11"/>
      <c r="N33654" s="11"/>
      <c r="O33654" s="11"/>
      <c r="P33654" s="11"/>
    </row>
    <row r="33655" spans="8:16" x14ac:dyDescent="0.25">
      <c r="H33655" s="12"/>
      <c r="I33655" s="12"/>
      <c r="J33655" s="12"/>
      <c r="K33655" s="12"/>
      <c r="L33655" s="12"/>
      <c r="M33655" s="11"/>
      <c r="N33655" s="11"/>
      <c r="O33655" s="11"/>
      <c r="P33655" s="11"/>
    </row>
    <row r="33656" spans="8:16" x14ac:dyDescent="0.25">
      <c r="H33656" s="12"/>
      <c r="I33656" s="12"/>
      <c r="J33656" s="12"/>
      <c r="K33656" s="12"/>
      <c r="L33656" s="12"/>
      <c r="M33656" s="11"/>
      <c r="N33656" s="11"/>
      <c r="O33656" s="11"/>
      <c r="P33656" s="11"/>
    </row>
    <row r="33657" spans="8:16" x14ac:dyDescent="0.25">
      <c r="H33657" s="12"/>
      <c r="I33657" s="12"/>
      <c r="J33657" s="12"/>
      <c r="K33657" s="12"/>
      <c r="L33657" s="12"/>
      <c r="M33657" s="11"/>
      <c r="N33657" s="11"/>
      <c r="O33657" s="11"/>
      <c r="P33657" s="11"/>
    </row>
    <row r="33658" spans="8:16" x14ac:dyDescent="0.25">
      <c r="H33658" s="12"/>
      <c r="I33658" s="12"/>
      <c r="J33658" s="12"/>
      <c r="K33658" s="12"/>
      <c r="L33658" s="12"/>
      <c r="M33658" s="11"/>
      <c r="N33658" s="11"/>
      <c r="O33658" s="11"/>
      <c r="P33658" s="11"/>
    </row>
    <row r="33659" spans="8:16" x14ac:dyDescent="0.25">
      <c r="H33659" s="12"/>
      <c r="I33659" s="12"/>
      <c r="J33659" s="12"/>
      <c r="K33659" s="12"/>
      <c r="L33659" s="12"/>
      <c r="M33659" s="11"/>
      <c r="N33659" s="11"/>
      <c r="O33659" s="11"/>
      <c r="P33659" s="11"/>
    </row>
    <row r="33660" spans="8:16" x14ac:dyDescent="0.25">
      <c r="H33660" s="12"/>
      <c r="I33660" s="12"/>
      <c r="J33660" s="12"/>
      <c r="K33660" s="12"/>
      <c r="L33660" s="12"/>
      <c r="M33660" s="11"/>
      <c r="N33660" s="11"/>
      <c r="O33660" s="11"/>
      <c r="P33660" s="11"/>
    </row>
    <row r="33661" spans="8:16" x14ac:dyDescent="0.25">
      <c r="H33661" s="12"/>
      <c r="I33661" s="12"/>
      <c r="J33661" s="12"/>
      <c r="K33661" s="12"/>
      <c r="L33661" s="12"/>
      <c r="M33661" s="11"/>
      <c r="N33661" s="11"/>
      <c r="O33661" s="11"/>
      <c r="P33661" s="11"/>
    </row>
    <row r="33662" spans="8:16" x14ac:dyDescent="0.25">
      <c r="H33662" s="12"/>
      <c r="I33662" s="12"/>
      <c r="J33662" s="12"/>
      <c r="K33662" s="12"/>
      <c r="L33662" s="12"/>
      <c r="M33662" s="11"/>
      <c r="N33662" s="11"/>
      <c r="O33662" s="11"/>
      <c r="P33662" s="11"/>
    </row>
    <row r="33663" spans="8:16" x14ac:dyDescent="0.25">
      <c r="H33663" s="12"/>
      <c r="I33663" s="12"/>
      <c r="J33663" s="12"/>
      <c r="K33663" s="12"/>
      <c r="L33663" s="12"/>
      <c r="M33663" s="11"/>
      <c r="N33663" s="11"/>
      <c r="O33663" s="11"/>
      <c r="P33663" s="11"/>
    </row>
    <row r="33664" spans="8:16" x14ac:dyDescent="0.25">
      <c r="H33664" s="12"/>
      <c r="I33664" s="12"/>
      <c r="J33664" s="12"/>
      <c r="K33664" s="12"/>
      <c r="L33664" s="12"/>
      <c r="M33664" s="11"/>
      <c r="N33664" s="11"/>
      <c r="O33664" s="11"/>
      <c r="P33664" s="11"/>
    </row>
    <row r="33665" spans="8:16" x14ac:dyDescent="0.25">
      <c r="H33665" s="12"/>
      <c r="I33665" s="12"/>
      <c r="J33665" s="12"/>
      <c r="K33665" s="12"/>
      <c r="L33665" s="12"/>
      <c r="M33665" s="11"/>
      <c r="N33665" s="11"/>
      <c r="O33665" s="11"/>
      <c r="P33665" s="11"/>
    </row>
    <row r="33666" spans="8:16" x14ac:dyDescent="0.25">
      <c r="H33666" s="12"/>
      <c r="I33666" s="12"/>
      <c r="J33666" s="12"/>
      <c r="K33666" s="12"/>
      <c r="L33666" s="12"/>
      <c r="M33666" s="11"/>
      <c r="N33666" s="11"/>
      <c r="O33666" s="11"/>
      <c r="P33666" s="11"/>
    </row>
    <row r="33667" spans="8:16" x14ac:dyDescent="0.25">
      <c r="H33667" s="12"/>
      <c r="I33667" s="12"/>
      <c r="J33667" s="12"/>
      <c r="K33667" s="12"/>
      <c r="L33667" s="12"/>
      <c r="M33667" s="11"/>
      <c r="N33667" s="11"/>
      <c r="O33667" s="11"/>
      <c r="P33667" s="11"/>
    </row>
    <row r="33668" spans="8:16" x14ac:dyDescent="0.25">
      <c r="H33668" s="12"/>
      <c r="I33668" s="12"/>
      <c r="J33668" s="12"/>
      <c r="K33668" s="12"/>
      <c r="L33668" s="12"/>
      <c r="M33668" s="11"/>
      <c r="N33668" s="11"/>
      <c r="O33668" s="11"/>
      <c r="P33668" s="11"/>
    </row>
    <row r="33669" spans="8:16" x14ac:dyDescent="0.25">
      <c r="H33669" s="12"/>
      <c r="I33669" s="12"/>
      <c r="J33669" s="12"/>
      <c r="K33669" s="12"/>
      <c r="L33669" s="12"/>
      <c r="M33669" s="11"/>
      <c r="N33669" s="11"/>
      <c r="O33669" s="11"/>
      <c r="P33669" s="11"/>
    </row>
    <row r="33670" spans="8:16" x14ac:dyDescent="0.25">
      <c r="H33670" s="12"/>
      <c r="I33670" s="12"/>
      <c r="J33670" s="12"/>
      <c r="K33670" s="12"/>
      <c r="L33670" s="12"/>
      <c r="M33670" s="11"/>
      <c r="N33670" s="11"/>
      <c r="O33670" s="11"/>
      <c r="P33670" s="11"/>
    </row>
    <row r="33671" spans="8:16" x14ac:dyDescent="0.25">
      <c r="H33671" s="12"/>
      <c r="I33671" s="12"/>
      <c r="J33671" s="12"/>
      <c r="K33671" s="12"/>
      <c r="L33671" s="12"/>
      <c r="M33671" s="11"/>
      <c r="N33671" s="11"/>
      <c r="O33671" s="11"/>
      <c r="P33671" s="11"/>
    </row>
    <row r="33672" spans="8:16" x14ac:dyDescent="0.25">
      <c r="H33672" s="12"/>
      <c r="I33672" s="12"/>
      <c r="J33672" s="12"/>
      <c r="K33672" s="12"/>
      <c r="L33672" s="12"/>
      <c r="M33672" s="11"/>
      <c r="N33672" s="11"/>
      <c r="O33672" s="11"/>
      <c r="P33672" s="11"/>
    </row>
    <row r="33673" spans="8:16" x14ac:dyDescent="0.25">
      <c r="H33673" s="12"/>
      <c r="I33673" s="12"/>
      <c r="J33673" s="12"/>
      <c r="K33673" s="12"/>
      <c r="L33673" s="12"/>
      <c r="M33673" s="11"/>
      <c r="N33673" s="11"/>
      <c r="O33673" s="11"/>
      <c r="P33673" s="11"/>
    </row>
    <row r="33674" spans="8:16" x14ac:dyDescent="0.25">
      <c r="H33674" s="12"/>
      <c r="I33674" s="12"/>
      <c r="J33674" s="12"/>
      <c r="K33674" s="12"/>
      <c r="L33674" s="12"/>
      <c r="M33674" s="11"/>
      <c r="N33674" s="11"/>
      <c r="O33674" s="11"/>
      <c r="P33674" s="11"/>
    </row>
    <row r="33675" spans="8:16" x14ac:dyDescent="0.25">
      <c r="H33675" s="12"/>
      <c r="I33675" s="12"/>
      <c r="J33675" s="12"/>
      <c r="K33675" s="12"/>
      <c r="L33675" s="12"/>
      <c r="M33675" s="11"/>
      <c r="N33675" s="11"/>
      <c r="O33675" s="11"/>
      <c r="P33675" s="11"/>
    </row>
    <row r="33676" spans="8:16" x14ac:dyDescent="0.25">
      <c r="H33676" s="12"/>
      <c r="I33676" s="12"/>
      <c r="J33676" s="12"/>
      <c r="K33676" s="12"/>
      <c r="L33676" s="12"/>
      <c r="M33676" s="11"/>
      <c r="N33676" s="11"/>
      <c r="O33676" s="11"/>
      <c r="P33676" s="11"/>
    </row>
    <row r="33677" spans="8:16" x14ac:dyDescent="0.25">
      <c r="H33677" s="12"/>
      <c r="I33677" s="12"/>
      <c r="J33677" s="12"/>
      <c r="K33677" s="12"/>
      <c r="L33677" s="12"/>
      <c r="M33677" s="11"/>
      <c r="N33677" s="11"/>
      <c r="O33677" s="11"/>
      <c r="P33677" s="11"/>
    </row>
    <row r="33678" spans="8:16" x14ac:dyDescent="0.25">
      <c r="H33678" s="12"/>
      <c r="I33678" s="12"/>
      <c r="J33678" s="12"/>
      <c r="K33678" s="12"/>
      <c r="L33678" s="12"/>
      <c r="M33678" s="11"/>
      <c r="N33678" s="11"/>
      <c r="O33678" s="11"/>
      <c r="P33678" s="11"/>
    </row>
    <row r="33679" spans="8:16" x14ac:dyDescent="0.25">
      <c r="H33679" s="12"/>
      <c r="I33679" s="12"/>
      <c r="J33679" s="12"/>
      <c r="K33679" s="12"/>
      <c r="L33679" s="12"/>
      <c r="M33679" s="11"/>
      <c r="N33679" s="11"/>
      <c r="O33679" s="11"/>
      <c r="P33679" s="11"/>
    </row>
    <row r="33680" spans="8:16" x14ac:dyDescent="0.25">
      <c r="H33680" s="12"/>
      <c r="I33680" s="12"/>
      <c r="J33680" s="12"/>
      <c r="K33680" s="12"/>
      <c r="L33680" s="12"/>
      <c r="M33680" s="11"/>
      <c r="N33680" s="11"/>
      <c r="O33680" s="11"/>
      <c r="P33680" s="11"/>
    </row>
    <row r="33681" spans="8:16" x14ac:dyDescent="0.25">
      <c r="H33681" s="12"/>
      <c r="I33681" s="12"/>
      <c r="J33681" s="12"/>
      <c r="K33681" s="12"/>
      <c r="L33681" s="12"/>
      <c r="M33681" s="11"/>
      <c r="N33681" s="11"/>
      <c r="O33681" s="11"/>
      <c r="P33681" s="11"/>
    </row>
    <row r="33682" spans="8:16" x14ac:dyDescent="0.25">
      <c r="H33682" s="12"/>
      <c r="I33682" s="12"/>
      <c r="J33682" s="12"/>
      <c r="K33682" s="12"/>
      <c r="L33682" s="12"/>
      <c r="M33682" s="11"/>
      <c r="N33682" s="11"/>
      <c r="O33682" s="11"/>
      <c r="P33682" s="11"/>
    </row>
    <row r="33683" spans="8:16" x14ac:dyDescent="0.25">
      <c r="H33683" s="12"/>
      <c r="I33683" s="12"/>
      <c r="J33683" s="12"/>
      <c r="K33683" s="12"/>
      <c r="L33683" s="12"/>
      <c r="M33683" s="11"/>
      <c r="N33683" s="11"/>
      <c r="O33683" s="11"/>
      <c r="P33683" s="11"/>
    </row>
    <row r="33684" spans="8:16" x14ac:dyDescent="0.25">
      <c r="H33684" s="12"/>
      <c r="I33684" s="12"/>
      <c r="J33684" s="12"/>
      <c r="K33684" s="12"/>
      <c r="L33684" s="12"/>
      <c r="M33684" s="11"/>
      <c r="N33684" s="11"/>
      <c r="O33684" s="11"/>
      <c r="P33684" s="11"/>
    </row>
    <row r="33685" spans="8:16" x14ac:dyDescent="0.25">
      <c r="H33685" s="12"/>
      <c r="I33685" s="12"/>
      <c r="J33685" s="12"/>
      <c r="K33685" s="12"/>
      <c r="L33685" s="12"/>
      <c r="M33685" s="11"/>
      <c r="N33685" s="11"/>
      <c r="O33685" s="11"/>
      <c r="P33685" s="11"/>
    </row>
    <row r="33686" spans="8:16" x14ac:dyDescent="0.25">
      <c r="H33686" s="12"/>
      <c r="I33686" s="12"/>
      <c r="J33686" s="12"/>
      <c r="K33686" s="12"/>
      <c r="L33686" s="12"/>
      <c r="M33686" s="11"/>
      <c r="N33686" s="11"/>
      <c r="O33686" s="11"/>
      <c r="P33686" s="11"/>
    </row>
    <row r="33687" spans="8:16" x14ac:dyDescent="0.25">
      <c r="H33687" s="12"/>
      <c r="I33687" s="12"/>
      <c r="J33687" s="12"/>
      <c r="K33687" s="12"/>
      <c r="L33687" s="12"/>
      <c r="M33687" s="11"/>
      <c r="N33687" s="11"/>
      <c r="O33687" s="11"/>
      <c r="P33687" s="11"/>
    </row>
    <row r="33688" spans="8:16" x14ac:dyDescent="0.25">
      <c r="H33688" s="12"/>
      <c r="I33688" s="12"/>
      <c r="J33688" s="12"/>
      <c r="K33688" s="12"/>
      <c r="L33688" s="12"/>
      <c r="M33688" s="11"/>
      <c r="N33688" s="11"/>
      <c r="O33688" s="11"/>
      <c r="P33688" s="11"/>
    </row>
    <row r="33689" spans="8:16" x14ac:dyDescent="0.25">
      <c r="H33689" s="12"/>
      <c r="I33689" s="12"/>
      <c r="J33689" s="12"/>
      <c r="K33689" s="12"/>
      <c r="L33689" s="12"/>
      <c r="M33689" s="11"/>
      <c r="N33689" s="11"/>
      <c r="O33689" s="11"/>
      <c r="P33689" s="11"/>
    </row>
    <row r="33690" spans="8:16" x14ac:dyDescent="0.25">
      <c r="H33690" s="12"/>
      <c r="I33690" s="12"/>
      <c r="J33690" s="12"/>
      <c r="K33690" s="12"/>
      <c r="L33690" s="12"/>
      <c r="M33690" s="11"/>
      <c r="N33690" s="11"/>
      <c r="O33690" s="11"/>
      <c r="P33690" s="11"/>
    </row>
    <row r="33691" spans="8:16" x14ac:dyDescent="0.25">
      <c r="H33691" s="12"/>
      <c r="I33691" s="12"/>
      <c r="J33691" s="12"/>
      <c r="K33691" s="12"/>
      <c r="L33691" s="12"/>
      <c r="M33691" s="11"/>
      <c r="N33691" s="11"/>
      <c r="O33691" s="11"/>
      <c r="P33691" s="11"/>
    </row>
    <row r="33692" spans="8:16" x14ac:dyDescent="0.25">
      <c r="H33692" s="12"/>
      <c r="I33692" s="12"/>
      <c r="J33692" s="12"/>
      <c r="K33692" s="12"/>
      <c r="L33692" s="12"/>
      <c r="M33692" s="11"/>
      <c r="N33692" s="11"/>
      <c r="O33692" s="11"/>
      <c r="P33692" s="11"/>
    </row>
    <row r="33693" spans="8:16" x14ac:dyDescent="0.25">
      <c r="H33693" s="12"/>
      <c r="I33693" s="12"/>
      <c r="J33693" s="12"/>
      <c r="K33693" s="12"/>
      <c r="L33693" s="12"/>
      <c r="M33693" s="11"/>
      <c r="N33693" s="11"/>
      <c r="O33693" s="11"/>
      <c r="P33693" s="11"/>
    </row>
    <row r="33694" spans="8:16" x14ac:dyDescent="0.25">
      <c r="H33694" s="12"/>
      <c r="I33694" s="12"/>
      <c r="J33694" s="12"/>
      <c r="K33694" s="12"/>
      <c r="L33694" s="12"/>
      <c r="M33694" s="11"/>
      <c r="N33694" s="11"/>
      <c r="O33694" s="11"/>
      <c r="P33694" s="11"/>
    </row>
    <row r="33695" spans="8:16" x14ac:dyDescent="0.25">
      <c r="H33695" s="12"/>
      <c r="I33695" s="12"/>
      <c r="J33695" s="12"/>
      <c r="K33695" s="12"/>
      <c r="L33695" s="12"/>
      <c r="M33695" s="11"/>
      <c r="N33695" s="11"/>
      <c r="O33695" s="11"/>
      <c r="P33695" s="11"/>
    </row>
    <row r="33696" spans="8:16" x14ac:dyDescent="0.25">
      <c r="H33696" s="12"/>
      <c r="I33696" s="12"/>
      <c r="J33696" s="12"/>
      <c r="K33696" s="12"/>
      <c r="L33696" s="12"/>
      <c r="M33696" s="11"/>
      <c r="N33696" s="11"/>
      <c r="O33696" s="11"/>
      <c r="P33696" s="11"/>
    </row>
    <row r="33697" spans="8:16" x14ac:dyDescent="0.25">
      <c r="H33697" s="12"/>
      <c r="I33697" s="12"/>
      <c r="J33697" s="12"/>
      <c r="K33697" s="12"/>
      <c r="L33697" s="12"/>
      <c r="M33697" s="11"/>
      <c r="N33697" s="11"/>
      <c r="O33697" s="11"/>
      <c r="P33697" s="11"/>
    </row>
    <row r="33698" spans="8:16" x14ac:dyDescent="0.25">
      <c r="H33698" s="12"/>
      <c r="I33698" s="12"/>
      <c r="J33698" s="12"/>
      <c r="K33698" s="12"/>
      <c r="L33698" s="12"/>
      <c r="M33698" s="11"/>
      <c r="N33698" s="11"/>
      <c r="O33698" s="11"/>
      <c r="P33698" s="11"/>
    </row>
    <row r="33699" spans="8:16" x14ac:dyDescent="0.25">
      <c r="H33699" s="12"/>
      <c r="I33699" s="12"/>
      <c r="J33699" s="12"/>
      <c r="K33699" s="12"/>
      <c r="L33699" s="12"/>
      <c r="M33699" s="11"/>
      <c r="N33699" s="11"/>
      <c r="O33699" s="11"/>
      <c r="P33699" s="11"/>
    </row>
    <row r="33700" spans="8:16" x14ac:dyDescent="0.25">
      <c r="H33700" s="12"/>
      <c r="I33700" s="12"/>
      <c r="J33700" s="12"/>
      <c r="K33700" s="12"/>
      <c r="L33700" s="12"/>
      <c r="M33700" s="11"/>
      <c r="N33700" s="11"/>
      <c r="O33700" s="11"/>
      <c r="P33700" s="11"/>
    </row>
    <row r="33701" spans="8:16" x14ac:dyDescent="0.25">
      <c r="H33701" s="12"/>
      <c r="I33701" s="12"/>
      <c r="J33701" s="12"/>
      <c r="K33701" s="12"/>
      <c r="L33701" s="12"/>
      <c r="M33701" s="11"/>
      <c r="N33701" s="11"/>
      <c r="O33701" s="11"/>
      <c r="P33701" s="11"/>
    </row>
    <row r="33702" spans="8:16" x14ac:dyDescent="0.25">
      <c r="H33702" s="12"/>
      <c r="I33702" s="12"/>
      <c r="J33702" s="12"/>
      <c r="K33702" s="12"/>
      <c r="L33702" s="12"/>
      <c r="M33702" s="11"/>
      <c r="N33702" s="11"/>
      <c r="O33702" s="11"/>
      <c r="P33702" s="11"/>
    </row>
    <row r="33703" spans="8:16" x14ac:dyDescent="0.25">
      <c r="H33703" s="12"/>
      <c r="I33703" s="12"/>
      <c r="J33703" s="12"/>
      <c r="K33703" s="12"/>
      <c r="L33703" s="12"/>
      <c r="M33703" s="11"/>
      <c r="N33703" s="11"/>
      <c r="O33703" s="11"/>
      <c r="P33703" s="11"/>
    </row>
    <row r="33704" spans="8:16" x14ac:dyDescent="0.25">
      <c r="H33704" s="12"/>
      <c r="I33704" s="12"/>
      <c r="J33704" s="12"/>
      <c r="K33704" s="12"/>
      <c r="L33704" s="12"/>
      <c r="M33704" s="11"/>
      <c r="N33704" s="11"/>
      <c r="O33704" s="11"/>
      <c r="P33704" s="11"/>
    </row>
    <row r="33705" spans="8:16" x14ac:dyDescent="0.25">
      <c r="H33705" s="12"/>
      <c r="I33705" s="12"/>
      <c r="J33705" s="12"/>
      <c r="K33705" s="12"/>
      <c r="L33705" s="12"/>
      <c r="M33705" s="11"/>
      <c r="N33705" s="11"/>
      <c r="O33705" s="11"/>
      <c r="P33705" s="11"/>
    </row>
    <row r="33706" spans="8:16" x14ac:dyDescent="0.25">
      <c r="H33706" s="12"/>
      <c r="I33706" s="12"/>
      <c r="J33706" s="12"/>
      <c r="K33706" s="12"/>
      <c r="L33706" s="12"/>
      <c r="M33706" s="11"/>
      <c r="N33706" s="11"/>
      <c r="O33706" s="11"/>
      <c r="P33706" s="11"/>
    </row>
    <row r="33707" spans="8:16" x14ac:dyDescent="0.25">
      <c r="H33707" s="12"/>
      <c r="I33707" s="12"/>
      <c r="J33707" s="12"/>
      <c r="K33707" s="12"/>
      <c r="L33707" s="12"/>
      <c r="M33707" s="11"/>
      <c r="N33707" s="11"/>
      <c r="O33707" s="11"/>
      <c r="P33707" s="11"/>
    </row>
    <row r="33708" spans="8:16" x14ac:dyDescent="0.25">
      <c r="H33708" s="12"/>
      <c r="I33708" s="12"/>
      <c r="J33708" s="12"/>
      <c r="K33708" s="12"/>
      <c r="L33708" s="12"/>
      <c r="M33708" s="11"/>
      <c r="N33708" s="11"/>
      <c r="O33708" s="11"/>
      <c r="P33708" s="11"/>
    </row>
    <row r="33709" spans="8:16" x14ac:dyDescent="0.25">
      <c r="H33709" s="12"/>
      <c r="I33709" s="12"/>
      <c r="J33709" s="12"/>
      <c r="K33709" s="12"/>
      <c r="L33709" s="12"/>
      <c r="M33709" s="11"/>
      <c r="N33709" s="11"/>
      <c r="O33709" s="11"/>
      <c r="P33709" s="11"/>
    </row>
    <row r="33710" spans="8:16" x14ac:dyDescent="0.25">
      <c r="H33710" s="12"/>
      <c r="I33710" s="12"/>
      <c r="J33710" s="12"/>
      <c r="K33710" s="12"/>
      <c r="L33710" s="12"/>
      <c r="M33710" s="11"/>
      <c r="N33710" s="11"/>
      <c r="O33710" s="11"/>
      <c r="P33710" s="11"/>
    </row>
    <row r="33711" spans="8:16" x14ac:dyDescent="0.25">
      <c r="H33711" s="12"/>
      <c r="I33711" s="12"/>
      <c r="J33711" s="12"/>
      <c r="K33711" s="12"/>
      <c r="L33711" s="12"/>
      <c r="M33711" s="11"/>
      <c r="N33711" s="11"/>
      <c r="O33711" s="11"/>
      <c r="P33711" s="11"/>
    </row>
    <row r="33712" spans="8:16" x14ac:dyDescent="0.25">
      <c r="H33712" s="12"/>
      <c r="I33712" s="12"/>
      <c r="J33712" s="12"/>
      <c r="K33712" s="12"/>
      <c r="L33712" s="12"/>
      <c r="M33712" s="11"/>
      <c r="N33712" s="11"/>
      <c r="O33712" s="11"/>
      <c r="P33712" s="11"/>
    </row>
    <row r="33713" spans="8:16" x14ac:dyDescent="0.25">
      <c r="H33713" s="12"/>
      <c r="I33713" s="12"/>
      <c r="J33713" s="12"/>
      <c r="K33713" s="12"/>
      <c r="L33713" s="12"/>
      <c r="M33713" s="11"/>
      <c r="N33713" s="11"/>
      <c r="O33713" s="11"/>
      <c r="P33713" s="11"/>
    </row>
    <row r="33714" spans="8:16" x14ac:dyDescent="0.25">
      <c r="H33714" s="12"/>
      <c r="I33714" s="12"/>
      <c r="J33714" s="12"/>
      <c r="K33714" s="12"/>
      <c r="L33714" s="12"/>
      <c r="M33714" s="11"/>
      <c r="N33714" s="11"/>
      <c r="O33714" s="11"/>
      <c r="P33714" s="11"/>
    </row>
    <row r="33715" spans="8:16" x14ac:dyDescent="0.25">
      <c r="H33715" s="12"/>
      <c r="I33715" s="12"/>
      <c r="J33715" s="12"/>
      <c r="K33715" s="12"/>
      <c r="L33715" s="12"/>
      <c r="M33715" s="11"/>
      <c r="N33715" s="11"/>
      <c r="O33715" s="11"/>
      <c r="P33715" s="11"/>
    </row>
    <row r="33716" spans="8:16" x14ac:dyDescent="0.25">
      <c r="H33716" s="12"/>
      <c r="I33716" s="12"/>
      <c r="J33716" s="12"/>
      <c r="K33716" s="12"/>
      <c r="L33716" s="12"/>
      <c r="M33716" s="11"/>
      <c r="N33716" s="11"/>
      <c r="O33716" s="11"/>
      <c r="P33716" s="11"/>
    </row>
    <row r="33717" spans="8:16" x14ac:dyDescent="0.25">
      <c r="H33717" s="12"/>
      <c r="I33717" s="12"/>
      <c r="J33717" s="12"/>
      <c r="K33717" s="12"/>
      <c r="L33717" s="12"/>
      <c r="M33717" s="11"/>
      <c r="N33717" s="11"/>
      <c r="O33717" s="11"/>
      <c r="P33717" s="11"/>
    </row>
    <row r="33718" spans="8:16" x14ac:dyDescent="0.25">
      <c r="H33718" s="12"/>
      <c r="I33718" s="12"/>
      <c r="J33718" s="12"/>
      <c r="K33718" s="12"/>
      <c r="L33718" s="12"/>
      <c r="M33718" s="11"/>
      <c r="N33718" s="11"/>
      <c r="O33718" s="11"/>
      <c r="P33718" s="11"/>
    </row>
    <row r="33719" spans="8:16" x14ac:dyDescent="0.25">
      <c r="H33719" s="12"/>
      <c r="I33719" s="12"/>
      <c r="J33719" s="12"/>
      <c r="K33719" s="12"/>
      <c r="L33719" s="12"/>
      <c r="M33719" s="11"/>
      <c r="N33719" s="11"/>
      <c r="O33719" s="11"/>
      <c r="P33719" s="11"/>
    </row>
    <row r="33720" spans="8:16" x14ac:dyDescent="0.25">
      <c r="H33720" s="12"/>
      <c r="I33720" s="12"/>
      <c r="J33720" s="12"/>
      <c r="K33720" s="12"/>
      <c r="L33720" s="12"/>
      <c r="M33720" s="11"/>
      <c r="N33720" s="11"/>
      <c r="O33720" s="11"/>
      <c r="P33720" s="11"/>
    </row>
    <row r="33721" spans="8:16" x14ac:dyDescent="0.25">
      <c r="H33721" s="12"/>
      <c r="I33721" s="12"/>
      <c r="J33721" s="12"/>
      <c r="K33721" s="12"/>
      <c r="L33721" s="12"/>
      <c r="M33721" s="11"/>
      <c r="N33721" s="11"/>
      <c r="O33721" s="11"/>
      <c r="P33721" s="11"/>
    </row>
    <row r="33722" spans="8:16" x14ac:dyDescent="0.25">
      <c r="H33722" s="12"/>
      <c r="I33722" s="12"/>
      <c r="J33722" s="12"/>
      <c r="K33722" s="12"/>
      <c r="L33722" s="12"/>
      <c r="M33722" s="11"/>
      <c r="N33722" s="11"/>
      <c r="O33722" s="11"/>
      <c r="P33722" s="11"/>
    </row>
    <row r="33723" spans="8:16" x14ac:dyDescent="0.25">
      <c r="H33723" s="12"/>
      <c r="I33723" s="12"/>
      <c r="J33723" s="12"/>
      <c r="K33723" s="12"/>
      <c r="L33723" s="12"/>
      <c r="M33723" s="11"/>
      <c r="N33723" s="11"/>
      <c r="O33723" s="11"/>
      <c r="P33723" s="11"/>
    </row>
    <row r="33724" spans="8:16" x14ac:dyDescent="0.25">
      <c r="H33724" s="12"/>
      <c r="I33724" s="12"/>
      <c r="J33724" s="12"/>
      <c r="K33724" s="12"/>
      <c r="L33724" s="12"/>
      <c r="M33724" s="11"/>
      <c r="N33724" s="11"/>
      <c r="O33724" s="11"/>
      <c r="P33724" s="11"/>
    </row>
    <row r="33725" spans="8:16" x14ac:dyDescent="0.25">
      <c r="H33725" s="12"/>
      <c r="I33725" s="12"/>
      <c r="J33725" s="12"/>
      <c r="K33725" s="12"/>
      <c r="L33725" s="12"/>
      <c r="M33725" s="11"/>
      <c r="N33725" s="11"/>
      <c r="O33725" s="11"/>
      <c r="P33725" s="11"/>
    </row>
    <row r="33726" spans="8:16" x14ac:dyDescent="0.25">
      <c r="H33726" s="12"/>
      <c r="I33726" s="12"/>
      <c r="J33726" s="12"/>
      <c r="K33726" s="12"/>
      <c r="L33726" s="12"/>
      <c r="M33726" s="11"/>
      <c r="N33726" s="11"/>
      <c r="O33726" s="11"/>
      <c r="P33726" s="11"/>
    </row>
    <row r="33727" spans="8:16" x14ac:dyDescent="0.25">
      <c r="H33727" s="12"/>
      <c r="I33727" s="12"/>
      <c r="J33727" s="12"/>
      <c r="K33727" s="12"/>
      <c r="L33727" s="12"/>
      <c r="M33727" s="11"/>
      <c r="N33727" s="11"/>
      <c r="O33727" s="11"/>
      <c r="P33727" s="11"/>
    </row>
    <row r="33728" spans="8:16" x14ac:dyDescent="0.25">
      <c r="H33728" s="12"/>
      <c r="I33728" s="12"/>
      <c r="J33728" s="12"/>
      <c r="K33728" s="12"/>
      <c r="L33728" s="12"/>
      <c r="M33728" s="11"/>
      <c r="N33728" s="11"/>
      <c r="O33728" s="11"/>
      <c r="P33728" s="11"/>
    </row>
    <row r="33729" spans="8:16" x14ac:dyDescent="0.25">
      <c r="H33729" s="12"/>
      <c r="I33729" s="12"/>
      <c r="J33729" s="12"/>
      <c r="K33729" s="12"/>
      <c r="L33729" s="12"/>
      <c r="M33729" s="11"/>
      <c r="N33729" s="11"/>
      <c r="O33729" s="11"/>
      <c r="P33729" s="11"/>
    </row>
    <row r="33730" spans="8:16" x14ac:dyDescent="0.25">
      <c r="H33730" s="12"/>
      <c r="I33730" s="12"/>
      <c r="J33730" s="12"/>
      <c r="K33730" s="12"/>
      <c r="L33730" s="12"/>
      <c r="M33730" s="11"/>
      <c r="N33730" s="11"/>
      <c r="O33730" s="11"/>
      <c r="P33730" s="11"/>
    </row>
    <row r="33731" spans="8:16" x14ac:dyDescent="0.25">
      <c r="H33731" s="12"/>
      <c r="I33731" s="12"/>
      <c r="J33731" s="12"/>
      <c r="K33731" s="12"/>
      <c r="L33731" s="12"/>
      <c r="M33731" s="11"/>
      <c r="N33731" s="11"/>
      <c r="O33731" s="11"/>
      <c r="P33731" s="11"/>
    </row>
    <row r="33732" spans="8:16" x14ac:dyDescent="0.25">
      <c r="H33732" s="12"/>
      <c r="I33732" s="12"/>
      <c r="J33732" s="12"/>
      <c r="K33732" s="12"/>
      <c r="L33732" s="12"/>
      <c r="M33732" s="11"/>
      <c r="N33732" s="11"/>
      <c r="O33732" s="11"/>
      <c r="P33732" s="11"/>
    </row>
    <row r="33733" spans="8:16" x14ac:dyDescent="0.25">
      <c r="H33733" s="12"/>
      <c r="I33733" s="12"/>
      <c r="J33733" s="12"/>
      <c r="K33733" s="12"/>
      <c r="L33733" s="12"/>
      <c r="M33733" s="11"/>
      <c r="N33733" s="11"/>
      <c r="O33733" s="11"/>
      <c r="P33733" s="11"/>
    </row>
    <row r="33734" spans="8:16" x14ac:dyDescent="0.25">
      <c r="H33734" s="12"/>
      <c r="I33734" s="12"/>
      <c r="J33734" s="12"/>
      <c r="K33734" s="12"/>
      <c r="L33734" s="12"/>
      <c r="M33734" s="11"/>
      <c r="N33734" s="11"/>
      <c r="O33734" s="11"/>
      <c r="P33734" s="11"/>
    </row>
    <row r="33735" spans="8:16" x14ac:dyDescent="0.25">
      <c r="H33735" s="12"/>
      <c r="I33735" s="12"/>
      <c r="J33735" s="12"/>
      <c r="K33735" s="12"/>
      <c r="L33735" s="12"/>
      <c r="M33735" s="11"/>
      <c r="N33735" s="11"/>
      <c r="O33735" s="11"/>
      <c r="P33735" s="11"/>
    </row>
    <row r="33736" spans="8:16" x14ac:dyDescent="0.25">
      <c r="H33736" s="12"/>
      <c r="I33736" s="12"/>
      <c r="J33736" s="12"/>
      <c r="K33736" s="12"/>
      <c r="L33736" s="12"/>
      <c r="M33736" s="11"/>
      <c r="N33736" s="11"/>
      <c r="O33736" s="11"/>
      <c r="P33736" s="11"/>
    </row>
    <row r="33737" spans="8:16" x14ac:dyDescent="0.25">
      <c r="H33737" s="12"/>
      <c r="I33737" s="12"/>
      <c r="J33737" s="12"/>
      <c r="K33737" s="12"/>
      <c r="L33737" s="12"/>
      <c r="M33737" s="11"/>
      <c r="N33737" s="11"/>
      <c r="O33737" s="11"/>
      <c r="P33737" s="11"/>
    </row>
    <row r="33738" spans="8:16" x14ac:dyDescent="0.25">
      <c r="H33738" s="12"/>
      <c r="I33738" s="12"/>
      <c r="J33738" s="12"/>
      <c r="K33738" s="12"/>
      <c r="L33738" s="12"/>
      <c r="M33738" s="11"/>
      <c r="N33738" s="11"/>
      <c r="O33738" s="11"/>
      <c r="P33738" s="11"/>
    </row>
    <row r="33739" spans="8:16" x14ac:dyDescent="0.25">
      <c r="H33739" s="12"/>
      <c r="I33739" s="12"/>
      <c r="J33739" s="12"/>
      <c r="K33739" s="12"/>
      <c r="L33739" s="12"/>
      <c r="M33739" s="11"/>
      <c r="N33739" s="11"/>
      <c r="O33739" s="11"/>
      <c r="P33739" s="11"/>
    </row>
    <row r="33740" spans="8:16" x14ac:dyDescent="0.25">
      <c r="H33740" s="12"/>
      <c r="I33740" s="12"/>
      <c r="J33740" s="12"/>
      <c r="K33740" s="12"/>
      <c r="L33740" s="12"/>
      <c r="M33740" s="11"/>
      <c r="N33740" s="11"/>
      <c r="O33740" s="11"/>
      <c r="P33740" s="11"/>
    </row>
    <row r="33741" spans="8:16" x14ac:dyDescent="0.25">
      <c r="H33741" s="12"/>
      <c r="I33741" s="12"/>
      <c r="J33741" s="12"/>
      <c r="K33741" s="12"/>
      <c r="L33741" s="12"/>
      <c r="M33741" s="11"/>
      <c r="N33741" s="11"/>
      <c r="O33741" s="11"/>
      <c r="P33741" s="11"/>
    </row>
    <row r="33742" spans="8:16" x14ac:dyDescent="0.25">
      <c r="H33742" s="12"/>
      <c r="I33742" s="12"/>
      <c r="J33742" s="12"/>
      <c r="K33742" s="12"/>
      <c r="L33742" s="12"/>
      <c r="M33742" s="11"/>
      <c r="N33742" s="11"/>
      <c r="O33742" s="11"/>
      <c r="P33742" s="11"/>
    </row>
    <row r="33743" spans="8:16" x14ac:dyDescent="0.25">
      <c r="H33743" s="12"/>
      <c r="I33743" s="12"/>
      <c r="J33743" s="12"/>
      <c r="K33743" s="12"/>
      <c r="L33743" s="12"/>
      <c r="M33743" s="11"/>
      <c r="N33743" s="11"/>
      <c r="O33743" s="11"/>
      <c r="P33743" s="11"/>
    </row>
    <row r="33744" spans="8:16" x14ac:dyDescent="0.25">
      <c r="H33744" s="12"/>
      <c r="I33744" s="12"/>
      <c r="J33744" s="12"/>
      <c r="K33744" s="12"/>
      <c r="L33744" s="12"/>
      <c r="M33744" s="11"/>
      <c r="N33744" s="11"/>
      <c r="O33744" s="11"/>
      <c r="P33744" s="11"/>
    </row>
    <row r="33745" spans="8:16" x14ac:dyDescent="0.25">
      <c r="H33745" s="12"/>
      <c r="I33745" s="12"/>
      <c r="J33745" s="12"/>
      <c r="K33745" s="12"/>
      <c r="L33745" s="12"/>
      <c r="M33745" s="11"/>
      <c r="N33745" s="11"/>
      <c r="O33745" s="11"/>
      <c r="P33745" s="11"/>
    </row>
    <row r="33746" spans="8:16" x14ac:dyDescent="0.25">
      <c r="H33746" s="12"/>
      <c r="I33746" s="12"/>
      <c r="J33746" s="12"/>
      <c r="K33746" s="12"/>
      <c r="L33746" s="12"/>
      <c r="M33746" s="11"/>
      <c r="N33746" s="11"/>
      <c r="O33746" s="11"/>
      <c r="P33746" s="11"/>
    </row>
    <row r="33747" spans="8:16" x14ac:dyDescent="0.25">
      <c r="H33747" s="12"/>
      <c r="I33747" s="12"/>
      <c r="J33747" s="12"/>
      <c r="K33747" s="12"/>
      <c r="L33747" s="12"/>
      <c r="M33747" s="11"/>
      <c r="N33747" s="11"/>
      <c r="O33747" s="11"/>
      <c r="P33747" s="11"/>
    </row>
    <row r="33748" spans="8:16" x14ac:dyDescent="0.25">
      <c r="H33748" s="12"/>
      <c r="I33748" s="12"/>
      <c r="J33748" s="12"/>
      <c r="K33748" s="12"/>
      <c r="L33748" s="12"/>
      <c r="M33748" s="11"/>
      <c r="N33748" s="11"/>
      <c r="O33748" s="11"/>
      <c r="P33748" s="11"/>
    </row>
    <row r="33749" spans="8:16" x14ac:dyDescent="0.25">
      <c r="H33749" s="12"/>
      <c r="I33749" s="12"/>
      <c r="J33749" s="12"/>
      <c r="K33749" s="12"/>
      <c r="L33749" s="12"/>
      <c r="M33749" s="11"/>
      <c r="N33749" s="11"/>
      <c r="O33749" s="11"/>
      <c r="P33749" s="11"/>
    </row>
    <row r="33750" spans="8:16" x14ac:dyDescent="0.25">
      <c r="H33750" s="12"/>
      <c r="I33750" s="12"/>
      <c r="J33750" s="12"/>
      <c r="K33750" s="12"/>
      <c r="L33750" s="12"/>
      <c r="M33750" s="11"/>
      <c r="N33750" s="11"/>
      <c r="O33750" s="11"/>
      <c r="P33750" s="11"/>
    </row>
    <row r="33751" spans="8:16" x14ac:dyDescent="0.25">
      <c r="H33751" s="12"/>
      <c r="I33751" s="12"/>
      <c r="J33751" s="12"/>
      <c r="K33751" s="12"/>
      <c r="L33751" s="12"/>
      <c r="M33751" s="11"/>
      <c r="N33751" s="11"/>
      <c r="O33751" s="11"/>
      <c r="P33751" s="11"/>
    </row>
    <row r="33752" spans="8:16" x14ac:dyDescent="0.25">
      <c r="H33752" s="12"/>
      <c r="I33752" s="12"/>
      <c r="J33752" s="12"/>
      <c r="K33752" s="12"/>
      <c r="L33752" s="12"/>
      <c r="M33752" s="11"/>
      <c r="N33752" s="11"/>
      <c r="O33752" s="11"/>
      <c r="P33752" s="11"/>
    </row>
    <row r="33753" spans="8:16" x14ac:dyDescent="0.25">
      <c r="H33753" s="12"/>
      <c r="I33753" s="12"/>
      <c r="J33753" s="12"/>
      <c r="K33753" s="12"/>
      <c r="L33753" s="12"/>
      <c r="M33753" s="11"/>
      <c r="N33753" s="11"/>
      <c r="O33753" s="11"/>
      <c r="P33753" s="11"/>
    </row>
    <row r="33754" spans="8:16" x14ac:dyDescent="0.25">
      <c r="H33754" s="12"/>
      <c r="I33754" s="12"/>
      <c r="J33754" s="12"/>
      <c r="K33754" s="12"/>
      <c r="L33754" s="12"/>
      <c r="M33754" s="11"/>
      <c r="N33754" s="11"/>
      <c r="O33754" s="11"/>
      <c r="P33754" s="11"/>
    </row>
    <row r="33755" spans="8:16" x14ac:dyDescent="0.25">
      <c r="H33755" s="12"/>
      <c r="I33755" s="12"/>
      <c r="J33755" s="12"/>
      <c r="K33755" s="12"/>
      <c r="L33755" s="12"/>
      <c r="M33755" s="11"/>
      <c r="N33755" s="11"/>
      <c r="O33755" s="11"/>
      <c r="P33755" s="11"/>
    </row>
    <row r="33756" spans="8:16" x14ac:dyDescent="0.25">
      <c r="H33756" s="12"/>
      <c r="I33756" s="12"/>
      <c r="J33756" s="12"/>
      <c r="K33756" s="12"/>
      <c r="L33756" s="12"/>
      <c r="M33756" s="11"/>
      <c r="N33756" s="11"/>
      <c r="O33756" s="11"/>
      <c r="P33756" s="11"/>
    </row>
    <row r="33757" spans="8:16" x14ac:dyDescent="0.25">
      <c r="H33757" s="12"/>
      <c r="I33757" s="12"/>
      <c r="J33757" s="12"/>
      <c r="K33757" s="12"/>
      <c r="L33757" s="12"/>
      <c r="M33757" s="11"/>
      <c r="N33757" s="11"/>
      <c r="O33757" s="11"/>
      <c r="P33757" s="11"/>
    </row>
    <row r="33758" spans="8:16" x14ac:dyDescent="0.25">
      <c r="H33758" s="12"/>
      <c r="I33758" s="12"/>
      <c r="J33758" s="12"/>
      <c r="K33758" s="12"/>
      <c r="L33758" s="12"/>
      <c r="M33758" s="11"/>
      <c r="N33758" s="11"/>
      <c r="O33758" s="11"/>
      <c r="P33758" s="11"/>
    </row>
    <row r="33759" spans="8:16" x14ac:dyDescent="0.25">
      <c r="H33759" s="12"/>
      <c r="I33759" s="12"/>
      <c r="J33759" s="12"/>
      <c r="K33759" s="12"/>
      <c r="L33759" s="12"/>
      <c r="M33759" s="11"/>
      <c r="N33759" s="11"/>
      <c r="O33759" s="11"/>
      <c r="P33759" s="11"/>
    </row>
    <row r="33760" spans="8:16" x14ac:dyDescent="0.25">
      <c r="H33760" s="12"/>
      <c r="I33760" s="12"/>
      <c r="J33760" s="12"/>
      <c r="K33760" s="12"/>
      <c r="L33760" s="12"/>
      <c r="M33760" s="11"/>
      <c r="N33760" s="11"/>
      <c r="O33760" s="11"/>
      <c r="P33760" s="11"/>
    </row>
    <row r="33761" spans="8:16" x14ac:dyDescent="0.25">
      <c r="H33761" s="12"/>
      <c r="I33761" s="12"/>
      <c r="J33761" s="12"/>
      <c r="K33761" s="12"/>
      <c r="L33761" s="12"/>
      <c r="M33761" s="11"/>
      <c r="N33761" s="11"/>
      <c r="O33761" s="11"/>
      <c r="P33761" s="11"/>
    </row>
    <row r="33762" spans="8:16" x14ac:dyDescent="0.25">
      <c r="H33762" s="12"/>
      <c r="I33762" s="12"/>
      <c r="J33762" s="12"/>
      <c r="K33762" s="12"/>
      <c r="L33762" s="12"/>
      <c r="M33762" s="11"/>
      <c r="N33762" s="11"/>
      <c r="O33762" s="11"/>
      <c r="P33762" s="11"/>
    </row>
    <row r="33763" spans="8:16" x14ac:dyDescent="0.25">
      <c r="H33763" s="12"/>
      <c r="I33763" s="12"/>
      <c r="J33763" s="12"/>
      <c r="K33763" s="12"/>
      <c r="L33763" s="12"/>
      <c r="M33763" s="11"/>
      <c r="N33763" s="11"/>
      <c r="O33763" s="11"/>
      <c r="P33763" s="11"/>
    </row>
    <row r="33764" spans="8:16" x14ac:dyDescent="0.25">
      <c r="H33764" s="12"/>
      <c r="I33764" s="12"/>
      <c r="J33764" s="12"/>
      <c r="K33764" s="12"/>
      <c r="L33764" s="12"/>
      <c r="M33764" s="11"/>
      <c r="N33764" s="11"/>
      <c r="O33764" s="11"/>
      <c r="P33764" s="11"/>
    </row>
    <row r="33765" spans="8:16" x14ac:dyDescent="0.25">
      <c r="H33765" s="12"/>
      <c r="I33765" s="12"/>
      <c r="J33765" s="12"/>
      <c r="K33765" s="12"/>
      <c r="L33765" s="12"/>
      <c r="M33765" s="11"/>
      <c r="N33765" s="11"/>
      <c r="O33765" s="11"/>
      <c r="P33765" s="11"/>
    </row>
    <row r="33766" spans="8:16" x14ac:dyDescent="0.25">
      <c r="H33766" s="12"/>
      <c r="I33766" s="12"/>
      <c r="J33766" s="12"/>
      <c r="K33766" s="12"/>
      <c r="L33766" s="12"/>
      <c r="M33766" s="11"/>
      <c r="N33766" s="11"/>
      <c r="O33766" s="11"/>
      <c r="P33766" s="11"/>
    </row>
    <row r="33767" spans="8:16" x14ac:dyDescent="0.25">
      <c r="H33767" s="12"/>
      <c r="I33767" s="12"/>
      <c r="J33767" s="12"/>
      <c r="K33767" s="12"/>
      <c r="L33767" s="12"/>
      <c r="M33767" s="11"/>
      <c r="N33767" s="11"/>
      <c r="O33767" s="11"/>
      <c r="P33767" s="11"/>
    </row>
    <row r="33768" spans="8:16" x14ac:dyDescent="0.25">
      <c r="H33768" s="12"/>
      <c r="I33768" s="12"/>
      <c r="J33768" s="12"/>
      <c r="K33768" s="12"/>
      <c r="L33768" s="12"/>
      <c r="M33768" s="11"/>
      <c r="N33768" s="11"/>
      <c r="O33768" s="11"/>
      <c r="P33768" s="11"/>
    </row>
    <row r="33769" spans="8:16" x14ac:dyDescent="0.25">
      <c r="H33769" s="12"/>
      <c r="I33769" s="12"/>
      <c r="J33769" s="12"/>
      <c r="K33769" s="12"/>
      <c r="L33769" s="12"/>
      <c r="M33769" s="11"/>
      <c r="N33769" s="11"/>
      <c r="O33769" s="11"/>
      <c r="P33769" s="11"/>
    </row>
    <row r="33770" spans="8:16" x14ac:dyDescent="0.25">
      <c r="H33770" s="12"/>
      <c r="I33770" s="12"/>
      <c r="J33770" s="12"/>
      <c r="K33770" s="12"/>
      <c r="L33770" s="12"/>
      <c r="M33770" s="11"/>
      <c r="N33770" s="11"/>
      <c r="O33770" s="11"/>
      <c r="P33770" s="11"/>
    </row>
    <row r="33771" spans="8:16" x14ac:dyDescent="0.25">
      <c r="H33771" s="12"/>
      <c r="I33771" s="12"/>
      <c r="J33771" s="12"/>
      <c r="K33771" s="12"/>
      <c r="L33771" s="12"/>
      <c r="M33771" s="11"/>
      <c r="N33771" s="11"/>
      <c r="O33771" s="11"/>
      <c r="P33771" s="11"/>
    </row>
    <row r="33772" spans="8:16" x14ac:dyDescent="0.25">
      <c r="H33772" s="12"/>
      <c r="I33772" s="12"/>
      <c r="J33772" s="12"/>
      <c r="K33772" s="12"/>
      <c r="L33772" s="12"/>
      <c r="M33772" s="11"/>
      <c r="N33772" s="11"/>
      <c r="O33772" s="11"/>
      <c r="P33772" s="11"/>
    </row>
    <row r="33773" spans="8:16" x14ac:dyDescent="0.25">
      <c r="H33773" s="12"/>
      <c r="I33773" s="12"/>
      <c r="J33773" s="12"/>
      <c r="K33773" s="12"/>
      <c r="L33773" s="12"/>
      <c r="M33773" s="11"/>
      <c r="N33773" s="11"/>
      <c r="O33773" s="11"/>
      <c r="P33773" s="11"/>
    </row>
    <row r="33774" spans="8:16" x14ac:dyDescent="0.25">
      <c r="H33774" s="12"/>
      <c r="I33774" s="12"/>
      <c r="J33774" s="12"/>
      <c r="K33774" s="12"/>
      <c r="L33774" s="12"/>
      <c r="M33774" s="11"/>
      <c r="N33774" s="11"/>
      <c r="O33774" s="11"/>
      <c r="P33774" s="11"/>
    </row>
    <row r="33775" spans="8:16" x14ac:dyDescent="0.25">
      <c r="H33775" s="12"/>
      <c r="I33775" s="12"/>
      <c r="J33775" s="12"/>
      <c r="K33775" s="12"/>
      <c r="L33775" s="12"/>
      <c r="M33775" s="11"/>
      <c r="N33775" s="11"/>
      <c r="O33775" s="11"/>
      <c r="P33775" s="11"/>
    </row>
    <row r="33776" spans="8:16" x14ac:dyDescent="0.25">
      <c r="H33776" s="12"/>
      <c r="I33776" s="12"/>
      <c r="J33776" s="12"/>
      <c r="K33776" s="12"/>
      <c r="L33776" s="12"/>
      <c r="M33776" s="11"/>
      <c r="N33776" s="11"/>
      <c r="O33776" s="11"/>
      <c r="P33776" s="11"/>
    </row>
    <row r="33777" spans="8:16" x14ac:dyDescent="0.25">
      <c r="H33777" s="12"/>
      <c r="I33777" s="12"/>
      <c r="J33777" s="12"/>
      <c r="K33777" s="12"/>
      <c r="L33777" s="12"/>
      <c r="M33777" s="11"/>
      <c r="N33777" s="11"/>
      <c r="O33777" s="11"/>
      <c r="P33777" s="11"/>
    </row>
    <row r="33778" spans="8:16" x14ac:dyDescent="0.25">
      <c r="H33778" s="12"/>
      <c r="I33778" s="12"/>
      <c r="J33778" s="12"/>
      <c r="K33778" s="12"/>
      <c r="L33778" s="12"/>
      <c r="M33778" s="11"/>
      <c r="N33778" s="11"/>
      <c r="O33778" s="11"/>
      <c r="P33778" s="11"/>
    </row>
    <row r="33779" spans="8:16" x14ac:dyDescent="0.25">
      <c r="H33779" s="12"/>
      <c r="I33779" s="12"/>
      <c r="J33779" s="12"/>
      <c r="K33779" s="12"/>
      <c r="L33779" s="12"/>
      <c r="M33779" s="11"/>
      <c r="N33779" s="11"/>
      <c r="O33779" s="11"/>
      <c r="P33779" s="11"/>
    </row>
    <row r="33780" spans="8:16" x14ac:dyDescent="0.25">
      <c r="H33780" s="12"/>
      <c r="I33780" s="12"/>
      <c r="J33780" s="12"/>
      <c r="K33780" s="12"/>
      <c r="L33780" s="12"/>
      <c r="M33780" s="11"/>
      <c r="N33780" s="11"/>
      <c r="O33780" s="11"/>
      <c r="P33780" s="11"/>
    </row>
    <row r="33781" spans="8:16" x14ac:dyDescent="0.25">
      <c r="H33781" s="12"/>
      <c r="I33781" s="12"/>
      <c r="J33781" s="12"/>
      <c r="K33781" s="12"/>
      <c r="L33781" s="12"/>
      <c r="M33781" s="11"/>
      <c r="N33781" s="11"/>
      <c r="O33781" s="11"/>
      <c r="P33781" s="11"/>
    </row>
    <row r="33782" spans="8:16" x14ac:dyDescent="0.25">
      <c r="H33782" s="12"/>
      <c r="I33782" s="12"/>
      <c r="J33782" s="12"/>
      <c r="K33782" s="12"/>
      <c r="L33782" s="12"/>
      <c r="M33782" s="11"/>
      <c r="N33782" s="11"/>
      <c r="O33782" s="11"/>
      <c r="P33782" s="11"/>
    </row>
    <row r="33783" spans="8:16" x14ac:dyDescent="0.25">
      <c r="H33783" s="12"/>
      <c r="I33783" s="12"/>
      <c r="J33783" s="12"/>
      <c r="K33783" s="12"/>
      <c r="L33783" s="12"/>
      <c r="M33783" s="11"/>
      <c r="N33783" s="11"/>
      <c r="O33783" s="11"/>
      <c r="P33783" s="11"/>
    </row>
    <row r="33784" spans="8:16" x14ac:dyDescent="0.25">
      <c r="H33784" s="12"/>
      <c r="I33784" s="12"/>
      <c r="J33784" s="12"/>
      <c r="K33784" s="12"/>
      <c r="L33784" s="12"/>
      <c r="M33784" s="11"/>
      <c r="N33784" s="11"/>
      <c r="O33784" s="11"/>
      <c r="P33784" s="11"/>
    </row>
    <row r="33785" spans="8:16" x14ac:dyDescent="0.25">
      <c r="H33785" s="12"/>
      <c r="I33785" s="12"/>
      <c r="J33785" s="12"/>
      <c r="K33785" s="12"/>
      <c r="L33785" s="12"/>
      <c r="M33785" s="11"/>
      <c r="N33785" s="11"/>
      <c r="O33785" s="11"/>
      <c r="P33785" s="11"/>
    </row>
    <row r="33786" spans="8:16" x14ac:dyDescent="0.25">
      <c r="H33786" s="12"/>
      <c r="I33786" s="12"/>
      <c r="J33786" s="12"/>
      <c r="K33786" s="12"/>
      <c r="L33786" s="12"/>
      <c r="M33786" s="11"/>
      <c r="N33786" s="11"/>
      <c r="O33786" s="11"/>
      <c r="P33786" s="11"/>
    </row>
    <row r="33787" spans="8:16" x14ac:dyDescent="0.25">
      <c r="H33787" s="12"/>
      <c r="I33787" s="12"/>
      <c r="J33787" s="12"/>
      <c r="K33787" s="12"/>
      <c r="L33787" s="12"/>
      <c r="M33787" s="11"/>
      <c r="N33787" s="11"/>
      <c r="O33787" s="11"/>
      <c r="P33787" s="11"/>
    </row>
    <row r="33788" spans="8:16" x14ac:dyDescent="0.25">
      <c r="H33788" s="12"/>
      <c r="I33788" s="12"/>
      <c r="J33788" s="12"/>
      <c r="K33788" s="12"/>
      <c r="L33788" s="12"/>
      <c r="M33788" s="11"/>
      <c r="N33788" s="11"/>
      <c r="O33788" s="11"/>
      <c r="P33788" s="11"/>
    </row>
    <row r="33789" spans="8:16" x14ac:dyDescent="0.25">
      <c r="H33789" s="12"/>
      <c r="I33789" s="12"/>
      <c r="J33789" s="12"/>
      <c r="K33789" s="12"/>
      <c r="L33789" s="12"/>
      <c r="M33789" s="11"/>
      <c r="N33789" s="11"/>
      <c r="O33789" s="11"/>
      <c r="P33789" s="11"/>
    </row>
    <row r="33790" spans="8:16" x14ac:dyDescent="0.25">
      <c r="H33790" s="12"/>
      <c r="I33790" s="12"/>
      <c r="J33790" s="12"/>
      <c r="K33790" s="12"/>
      <c r="L33790" s="12"/>
      <c r="M33790" s="11"/>
      <c r="N33790" s="11"/>
      <c r="O33790" s="11"/>
      <c r="P33790" s="11"/>
    </row>
    <row r="33791" spans="8:16" x14ac:dyDescent="0.25">
      <c r="H33791" s="12"/>
      <c r="I33791" s="12"/>
      <c r="J33791" s="12"/>
      <c r="K33791" s="12"/>
      <c r="L33791" s="12"/>
      <c r="M33791" s="11"/>
      <c r="N33791" s="11"/>
      <c r="O33791" s="11"/>
      <c r="P33791" s="11"/>
    </row>
    <row r="33792" spans="8:16" x14ac:dyDescent="0.25">
      <c r="H33792" s="12"/>
      <c r="I33792" s="12"/>
      <c r="J33792" s="12"/>
      <c r="K33792" s="12"/>
      <c r="L33792" s="12"/>
      <c r="M33792" s="11"/>
      <c r="N33792" s="11"/>
      <c r="O33792" s="11"/>
      <c r="P33792" s="11"/>
    </row>
    <row r="33793" spans="8:16" x14ac:dyDescent="0.25">
      <c r="H33793" s="12"/>
      <c r="I33793" s="12"/>
      <c r="J33793" s="12"/>
      <c r="K33793" s="12"/>
      <c r="L33793" s="12"/>
      <c r="M33793" s="11"/>
      <c r="N33793" s="11"/>
      <c r="O33793" s="11"/>
      <c r="P33793" s="11"/>
    </row>
    <row r="33794" spans="8:16" x14ac:dyDescent="0.25">
      <c r="H33794" s="12"/>
      <c r="I33794" s="12"/>
      <c r="J33794" s="12"/>
      <c r="K33794" s="12"/>
      <c r="L33794" s="12"/>
      <c r="M33794" s="11"/>
      <c r="N33794" s="11"/>
      <c r="O33794" s="11"/>
      <c r="P33794" s="11"/>
    </row>
    <row r="33795" spans="8:16" x14ac:dyDescent="0.25">
      <c r="H33795" s="12"/>
      <c r="I33795" s="12"/>
      <c r="J33795" s="12"/>
      <c r="K33795" s="12"/>
      <c r="L33795" s="12"/>
      <c r="M33795" s="11"/>
      <c r="N33795" s="11"/>
      <c r="O33795" s="11"/>
      <c r="P33795" s="11"/>
    </row>
    <row r="33796" spans="8:16" x14ac:dyDescent="0.25">
      <c r="H33796" s="12"/>
      <c r="I33796" s="12"/>
      <c r="J33796" s="12"/>
      <c r="K33796" s="12"/>
      <c r="L33796" s="12"/>
      <c r="M33796" s="11"/>
      <c r="N33796" s="11"/>
      <c r="O33796" s="11"/>
      <c r="P33796" s="11"/>
    </row>
    <row r="33797" spans="8:16" x14ac:dyDescent="0.25">
      <c r="H33797" s="12"/>
      <c r="I33797" s="12"/>
      <c r="J33797" s="12"/>
      <c r="K33797" s="12"/>
      <c r="L33797" s="12"/>
      <c r="M33797" s="11"/>
      <c r="N33797" s="11"/>
      <c r="O33797" s="11"/>
      <c r="P33797" s="11"/>
    </row>
    <row r="33798" spans="8:16" x14ac:dyDescent="0.25">
      <c r="H33798" s="12"/>
      <c r="I33798" s="12"/>
      <c r="J33798" s="12"/>
      <c r="K33798" s="12"/>
      <c r="L33798" s="12"/>
      <c r="M33798" s="11"/>
      <c r="N33798" s="11"/>
      <c r="O33798" s="11"/>
      <c r="P33798" s="11"/>
    </row>
    <row r="33799" spans="8:16" x14ac:dyDescent="0.25">
      <c r="H33799" s="12"/>
      <c r="I33799" s="12"/>
      <c r="J33799" s="12"/>
      <c r="K33799" s="12"/>
      <c r="L33799" s="12"/>
      <c r="M33799" s="11"/>
      <c r="N33799" s="11"/>
      <c r="O33799" s="11"/>
      <c r="P33799" s="11"/>
    </row>
    <row r="33800" spans="8:16" x14ac:dyDescent="0.25">
      <c r="H33800" s="12"/>
      <c r="I33800" s="12"/>
      <c r="J33800" s="12"/>
      <c r="K33800" s="12"/>
      <c r="L33800" s="12"/>
      <c r="M33800" s="11"/>
      <c r="N33800" s="11"/>
      <c r="O33800" s="11"/>
      <c r="P33800" s="11"/>
    </row>
    <row r="33801" spans="8:16" x14ac:dyDescent="0.25">
      <c r="H33801" s="12"/>
      <c r="I33801" s="12"/>
      <c r="J33801" s="12"/>
      <c r="K33801" s="12"/>
      <c r="L33801" s="12"/>
      <c r="M33801" s="11"/>
      <c r="N33801" s="11"/>
      <c r="O33801" s="11"/>
      <c r="P33801" s="11"/>
    </row>
    <row r="33802" spans="8:16" x14ac:dyDescent="0.25">
      <c r="H33802" s="12"/>
      <c r="I33802" s="12"/>
      <c r="J33802" s="12"/>
      <c r="K33802" s="12"/>
      <c r="L33802" s="12"/>
      <c r="M33802" s="11"/>
      <c r="N33802" s="11"/>
      <c r="O33802" s="11"/>
      <c r="P33802" s="11"/>
    </row>
    <row r="33803" spans="8:16" x14ac:dyDescent="0.25">
      <c r="H33803" s="12"/>
      <c r="I33803" s="12"/>
      <c r="J33803" s="12"/>
      <c r="K33803" s="12"/>
      <c r="L33803" s="12"/>
      <c r="M33803" s="11"/>
      <c r="N33803" s="11"/>
      <c r="O33803" s="11"/>
      <c r="P33803" s="11"/>
    </row>
    <row r="33804" spans="8:16" x14ac:dyDescent="0.25">
      <c r="H33804" s="12"/>
      <c r="I33804" s="12"/>
      <c r="J33804" s="12"/>
      <c r="K33804" s="12"/>
      <c r="L33804" s="12"/>
      <c r="M33804" s="11"/>
      <c r="N33804" s="11"/>
      <c r="O33804" s="11"/>
      <c r="P33804" s="11"/>
    </row>
    <row r="33805" spans="8:16" x14ac:dyDescent="0.25">
      <c r="H33805" s="12"/>
      <c r="I33805" s="12"/>
      <c r="J33805" s="12"/>
      <c r="K33805" s="12"/>
      <c r="L33805" s="12"/>
      <c r="M33805" s="11"/>
      <c r="N33805" s="11"/>
      <c r="O33805" s="11"/>
      <c r="P33805" s="11"/>
    </row>
    <row r="33806" spans="8:16" x14ac:dyDescent="0.25">
      <c r="H33806" s="12"/>
      <c r="I33806" s="12"/>
      <c r="J33806" s="12"/>
      <c r="K33806" s="12"/>
      <c r="L33806" s="12"/>
      <c r="M33806" s="11"/>
      <c r="N33806" s="11"/>
      <c r="O33806" s="11"/>
      <c r="P33806" s="11"/>
    </row>
    <row r="33807" spans="8:16" x14ac:dyDescent="0.25">
      <c r="H33807" s="12"/>
      <c r="I33807" s="12"/>
      <c r="J33807" s="12"/>
      <c r="K33807" s="12"/>
      <c r="L33807" s="12"/>
      <c r="M33807" s="11"/>
      <c r="N33807" s="11"/>
      <c r="O33807" s="11"/>
      <c r="P33807" s="11"/>
    </row>
    <row r="33808" spans="8:16" x14ac:dyDescent="0.25">
      <c r="H33808" s="12"/>
      <c r="I33808" s="12"/>
      <c r="J33808" s="12"/>
      <c r="K33808" s="12"/>
      <c r="L33808" s="12"/>
      <c r="M33808" s="11"/>
      <c r="N33808" s="11"/>
      <c r="O33808" s="11"/>
      <c r="P33808" s="11"/>
    </row>
    <row r="33809" spans="8:16" x14ac:dyDescent="0.25">
      <c r="H33809" s="12"/>
      <c r="I33809" s="12"/>
      <c r="J33809" s="12"/>
      <c r="K33809" s="12"/>
      <c r="L33809" s="12"/>
      <c r="M33809" s="11"/>
      <c r="N33809" s="11"/>
      <c r="O33809" s="11"/>
      <c r="P33809" s="11"/>
    </row>
    <row r="33810" spans="8:16" x14ac:dyDescent="0.25">
      <c r="H33810" s="12"/>
      <c r="I33810" s="12"/>
      <c r="J33810" s="12"/>
      <c r="K33810" s="12"/>
      <c r="L33810" s="12"/>
      <c r="M33810" s="11"/>
      <c r="N33810" s="11"/>
      <c r="O33810" s="11"/>
      <c r="P33810" s="11"/>
    </row>
    <row r="33811" spans="8:16" x14ac:dyDescent="0.25">
      <c r="H33811" s="12"/>
      <c r="I33811" s="12"/>
      <c r="J33811" s="12"/>
      <c r="K33811" s="12"/>
      <c r="L33811" s="12"/>
      <c r="M33811" s="11"/>
      <c r="N33811" s="11"/>
      <c r="O33811" s="11"/>
      <c r="P33811" s="11"/>
    </row>
    <row r="33812" spans="8:16" x14ac:dyDescent="0.25">
      <c r="H33812" s="12"/>
      <c r="I33812" s="12"/>
      <c r="J33812" s="12"/>
      <c r="K33812" s="12"/>
      <c r="L33812" s="12"/>
      <c r="M33812" s="11"/>
      <c r="N33812" s="11"/>
      <c r="O33812" s="11"/>
      <c r="P33812" s="11"/>
    </row>
    <row r="33813" spans="8:16" x14ac:dyDescent="0.25">
      <c r="H33813" s="12"/>
      <c r="I33813" s="12"/>
      <c r="J33813" s="12"/>
      <c r="K33813" s="12"/>
      <c r="L33813" s="12"/>
      <c r="M33813" s="11"/>
      <c r="N33813" s="11"/>
      <c r="O33813" s="11"/>
      <c r="P33813" s="11"/>
    </row>
    <row r="33814" spans="8:16" x14ac:dyDescent="0.25">
      <c r="H33814" s="12"/>
      <c r="I33814" s="12"/>
      <c r="J33814" s="12"/>
      <c r="K33814" s="12"/>
      <c r="L33814" s="12"/>
      <c r="M33814" s="11"/>
      <c r="N33814" s="11"/>
      <c r="O33814" s="11"/>
      <c r="P33814" s="11"/>
    </row>
    <row r="33815" spans="8:16" x14ac:dyDescent="0.25">
      <c r="H33815" s="12"/>
      <c r="I33815" s="12"/>
      <c r="J33815" s="12"/>
      <c r="K33815" s="12"/>
      <c r="L33815" s="12"/>
      <c r="M33815" s="11"/>
      <c r="N33815" s="11"/>
      <c r="O33815" s="11"/>
      <c r="P33815" s="11"/>
    </row>
    <row r="33816" spans="8:16" x14ac:dyDescent="0.25">
      <c r="H33816" s="12"/>
      <c r="I33816" s="12"/>
      <c r="J33816" s="12"/>
      <c r="K33816" s="12"/>
      <c r="L33816" s="12"/>
      <c r="M33816" s="11"/>
      <c r="N33816" s="11"/>
      <c r="O33816" s="11"/>
      <c r="P33816" s="11"/>
    </row>
    <row r="33817" spans="8:16" x14ac:dyDescent="0.25">
      <c r="H33817" s="12"/>
      <c r="I33817" s="12"/>
      <c r="J33817" s="12"/>
      <c r="K33817" s="12"/>
      <c r="L33817" s="12"/>
      <c r="M33817" s="11"/>
      <c r="N33817" s="11"/>
      <c r="O33817" s="11"/>
      <c r="P33817" s="11"/>
    </row>
    <row r="33818" spans="8:16" x14ac:dyDescent="0.25">
      <c r="H33818" s="12"/>
      <c r="I33818" s="12"/>
      <c r="J33818" s="12"/>
      <c r="K33818" s="12"/>
      <c r="L33818" s="12"/>
      <c r="M33818" s="11"/>
      <c r="N33818" s="11"/>
      <c r="O33818" s="11"/>
      <c r="P33818" s="11"/>
    </row>
    <row r="33819" spans="8:16" x14ac:dyDescent="0.25">
      <c r="H33819" s="12"/>
      <c r="I33819" s="12"/>
      <c r="J33819" s="12"/>
      <c r="K33819" s="12"/>
      <c r="L33819" s="12"/>
      <c r="M33819" s="11"/>
      <c r="N33819" s="11"/>
      <c r="O33819" s="11"/>
      <c r="P33819" s="11"/>
    </row>
    <row r="33820" spans="8:16" x14ac:dyDescent="0.25">
      <c r="H33820" s="12"/>
      <c r="I33820" s="12"/>
      <c r="J33820" s="12"/>
      <c r="K33820" s="12"/>
      <c r="L33820" s="12"/>
      <c r="M33820" s="11"/>
      <c r="N33820" s="11"/>
      <c r="O33820" s="11"/>
      <c r="P33820" s="11"/>
    </row>
    <row r="33821" spans="8:16" x14ac:dyDescent="0.25">
      <c r="H33821" s="12"/>
      <c r="I33821" s="12"/>
      <c r="J33821" s="12"/>
      <c r="K33821" s="12"/>
      <c r="L33821" s="12"/>
      <c r="M33821" s="11"/>
      <c r="N33821" s="11"/>
      <c r="O33821" s="11"/>
      <c r="P33821" s="11"/>
    </row>
    <row r="33822" spans="8:16" x14ac:dyDescent="0.25">
      <c r="H33822" s="12"/>
      <c r="I33822" s="12"/>
      <c r="J33822" s="12"/>
      <c r="K33822" s="12"/>
      <c r="L33822" s="12"/>
      <c r="M33822" s="11"/>
      <c r="N33822" s="11"/>
      <c r="O33822" s="11"/>
      <c r="P33822" s="11"/>
    </row>
    <row r="33823" spans="8:16" x14ac:dyDescent="0.25">
      <c r="H33823" s="12"/>
      <c r="I33823" s="12"/>
      <c r="J33823" s="12"/>
      <c r="K33823" s="12"/>
      <c r="L33823" s="12"/>
      <c r="M33823" s="11"/>
      <c r="N33823" s="11"/>
      <c r="O33823" s="11"/>
      <c r="P33823" s="11"/>
    </row>
    <row r="33824" spans="8:16" x14ac:dyDescent="0.25">
      <c r="H33824" s="12"/>
      <c r="I33824" s="12"/>
      <c r="J33824" s="12"/>
      <c r="K33824" s="12"/>
      <c r="L33824" s="12"/>
      <c r="M33824" s="11"/>
      <c r="N33824" s="11"/>
      <c r="O33824" s="11"/>
      <c r="P33824" s="11"/>
    </row>
    <row r="33825" spans="8:16" x14ac:dyDescent="0.25">
      <c r="H33825" s="12"/>
      <c r="I33825" s="12"/>
      <c r="J33825" s="12"/>
      <c r="K33825" s="12"/>
      <c r="L33825" s="12"/>
      <c r="M33825" s="11"/>
      <c r="N33825" s="11"/>
      <c r="O33825" s="11"/>
      <c r="P33825" s="11"/>
    </row>
    <row r="33826" spans="8:16" x14ac:dyDescent="0.25">
      <c r="H33826" s="12"/>
      <c r="I33826" s="12"/>
      <c r="J33826" s="12"/>
      <c r="K33826" s="12"/>
      <c r="L33826" s="12"/>
      <c r="M33826" s="11"/>
      <c r="N33826" s="11"/>
      <c r="O33826" s="11"/>
      <c r="P33826" s="11"/>
    </row>
    <row r="33827" spans="8:16" x14ac:dyDescent="0.25">
      <c r="H33827" s="12"/>
      <c r="I33827" s="12"/>
      <c r="J33827" s="12"/>
      <c r="K33827" s="12"/>
      <c r="L33827" s="12"/>
      <c r="M33827" s="11"/>
      <c r="N33827" s="11"/>
      <c r="O33827" s="11"/>
      <c r="P33827" s="11"/>
    </row>
    <row r="33828" spans="8:16" x14ac:dyDescent="0.25">
      <c r="H33828" s="12"/>
      <c r="I33828" s="12"/>
      <c r="J33828" s="12"/>
      <c r="K33828" s="12"/>
      <c r="L33828" s="12"/>
      <c r="M33828" s="11"/>
      <c r="N33828" s="11"/>
      <c r="O33828" s="11"/>
      <c r="P33828" s="11"/>
    </row>
    <row r="33829" spans="8:16" x14ac:dyDescent="0.25">
      <c r="H33829" s="12"/>
      <c r="I33829" s="12"/>
      <c r="J33829" s="12"/>
      <c r="K33829" s="12"/>
      <c r="L33829" s="12"/>
      <c r="M33829" s="11"/>
      <c r="N33829" s="11"/>
      <c r="O33829" s="11"/>
      <c r="P33829" s="11"/>
    </row>
    <row r="33830" spans="8:16" x14ac:dyDescent="0.25">
      <c r="H33830" s="12"/>
      <c r="I33830" s="12"/>
      <c r="J33830" s="12"/>
      <c r="K33830" s="12"/>
      <c r="L33830" s="12"/>
      <c r="M33830" s="11"/>
      <c r="N33830" s="11"/>
      <c r="O33830" s="11"/>
      <c r="P33830" s="11"/>
    </row>
    <row r="33831" spans="8:16" x14ac:dyDescent="0.25">
      <c r="H33831" s="12"/>
      <c r="I33831" s="12"/>
      <c r="J33831" s="12"/>
      <c r="K33831" s="12"/>
      <c r="L33831" s="12"/>
      <c r="M33831" s="11"/>
      <c r="N33831" s="11"/>
      <c r="O33831" s="11"/>
      <c r="P33831" s="11"/>
    </row>
    <row r="33832" spans="8:16" x14ac:dyDescent="0.25">
      <c r="H33832" s="12"/>
      <c r="I33832" s="12"/>
      <c r="J33832" s="12"/>
      <c r="K33832" s="12"/>
      <c r="L33832" s="12"/>
      <c r="M33832" s="11"/>
      <c r="N33832" s="11"/>
      <c r="O33832" s="11"/>
      <c r="P33832" s="11"/>
    </row>
    <row r="33833" spans="8:16" x14ac:dyDescent="0.25">
      <c r="H33833" s="12"/>
      <c r="I33833" s="12"/>
      <c r="J33833" s="12"/>
      <c r="K33833" s="12"/>
      <c r="L33833" s="12"/>
      <c r="M33833" s="11"/>
      <c r="N33833" s="11"/>
      <c r="O33833" s="11"/>
      <c r="P33833" s="11"/>
    </row>
    <row r="33834" spans="8:16" x14ac:dyDescent="0.25">
      <c r="H33834" s="12"/>
      <c r="I33834" s="12"/>
      <c r="J33834" s="12"/>
      <c r="K33834" s="12"/>
      <c r="L33834" s="12"/>
      <c r="M33834" s="11"/>
      <c r="N33834" s="11"/>
      <c r="O33834" s="11"/>
      <c r="P33834" s="11"/>
    </row>
    <row r="33835" spans="8:16" x14ac:dyDescent="0.25">
      <c r="H33835" s="12"/>
      <c r="I33835" s="12"/>
      <c r="J33835" s="12"/>
      <c r="K33835" s="12"/>
      <c r="L33835" s="12"/>
      <c r="M33835" s="11"/>
      <c r="N33835" s="11"/>
      <c r="O33835" s="11"/>
      <c r="P33835" s="11"/>
    </row>
    <row r="33836" spans="8:16" x14ac:dyDescent="0.25">
      <c r="H33836" s="12"/>
      <c r="I33836" s="12"/>
      <c r="J33836" s="12"/>
      <c r="K33836" s="12"/>
      <c r="L33836" s="12"/>
      <c r="M33836" s="11"/>
      <c r="N33836" s="11"/>
      <c r="O33836" s="11"/>
      <c r="P33836" s="11"/>
    </row>
    <row r="33837" spans="8:16" x14ac:dyDescent="0.25">
      <c r="H33837" s="12"/>
      <c r="I33837" s="12"/>
      <c r="J33837" s="12"/>
      <c r="K33837" s="12"/>
      <c r="L33837" s="12"/>
      <c r="M33837" s="11"/>
      <c r="N33837" s="11"/>
      <c r="O33837" s="11"/>
      <c r="P33837" s="11"/>
    </row>
    <row r="33838" spans="8:16" x14ac:dyDescent="0.25">
      <c r="H33838" s="12"/>
      <c r="I33838" s="12"/>
      <c r="J33838" s="12"/>
      <c r="K33838" s="12"/>
      <c r="L33838" s="12"/>
      <c r="M33838" s="11"/>
      <c r="N33838" s="11"/>
      <c r="O33838" s="11"/>
      <c r="P33838" s="11"/>
    </row>
    <row r="33839" spans="8:16" x14ac:dyDescent="0.25">
      <c r="H33839" s="12"/>
      <c r="I33839" s="12"/>
      <c r="J33839" s="12"/>
      <c r="K33839" s="12"/>
      <c r="L33839" s="12"/>
      <c r="M33839" s="11"/>
      <c r="N33839" s="11"/>
      <c r="O33839" s="11"/>
      <c r="P33839" s="11"/>
    </row>
    <row r="33840" spans="8:16" x14ac:dyDescent="0.25">
      <c r="H33840" s="12"/>
      <c r="I33840" s="12"/>
      <c r="J33840" s="12"/>
      <c r="K33840" s="12"/>
      <c r="L33840" s="12"/>
      <c r="M33840" s="11"/>
      <c r="N33840" s="11"/>
      <c r="O33840" s="11"/>
      <c r="P33840" s="11"/>
    </row>
    <row r="33841" spans="8:16" x14ac:dyDescent="0.25">
      <c r="H33841" s="12"/>
      <c r="I33841" s="12"/>
      <c r="J33841" s="12"/>
      <c r="K33841" s="12"/>
      <c r="L33841" s="12"/>
      <c r="M33841" s="11"/>
      <c r="N33841" s="11"/>
      <c r="O33841" s="11"/>
      <c r="P33841" s="11"/>
    </row>
    <row r="33842" spans="8:16" x14ac:dyDescent="0.25">
      <c r="H33842" s="12"/>
      <c r="I33842" s="12"/>
      <c r="J33842" s="12"/>
      <c r="K33842" s="12"/>
      <c r="L33842" s="12"/>
      <c r="M33842" s="11"/>
      <c r="N33842" s="11"/>
      <c r="O33842" s="11"/>
      <c r="P33842" s="11"/>
    </row>
    <row r="33843" spans="8:16" x14ac:dyDescent="0.25">
      <c r="H33843" s="12"/>
      <c r="I33843" s="12"/>
      <c r="J33843" s="12"/>
      <c r="K33843" s="12"/>
      <c r="L33843" s="12"/>
      <c r="M33843" s="11"/>
      <c r="N33843" s="11"/>
      <c r="O33843" s="11"/>
      <c r="P33843" s="11"/>
    </row>
    <row r="33844" spans="8:16" x14ac:dyDescent="0.25">
      <c r="H33844" s="12"/>
      <c r="I33844" s="12"/>
      <c r="J33844" s="12"/>
      <c r="K33844" s="12"/>
      <c r="L33844" s="12"/>
      <c r="M33844" s="11"/>
      <c r="N33844" s="11"/>
      <c r="O33844" s="11"/>
      <c r="P33844" s="11"/>
    </row>
    <row r="33845" spans="8:16" x14ac:dyDescent="0.25">
      <c r="H33845" s="12"/>
      <c r="I33845" s="12"/>
      <c r="J33845" s="12"/>
      <c r="K33845" s="12"/>
      <c r="L33845" s="12"/>
      <c r="M33845" s="11"/>
      <c r="N33845" s="11"/>
      <c r="O33845" s="11"/>
      <c r="P33845" s="11"/>
    </row>
    <row r="33846" spans="8:16" x14ac:dyDescent="0.25">
      <c r="H33846" s="12"/>
      <c r="I33846" s="12"/>
      <c r="J33846" s="12"/>
      <c r="K33846" s="12"/>
      <c r="L33846" s="12"/>
      <c r="M33846" s="11"/>
      <c r="N33846" s="11"/>
      <c r="O33846" s="11"/>
      <c r="P33846" s="11"/>
    </row>
    <row r="33847" spans="8:16" x14ac:dyDescent="0.25">
      <c r="H33847" s="12"/>
      <c r="I33847" s="12"/>
      <c r="J33847" s="12"/>
      <c r="K33847" s="12"/>
      <c r="L33847" s="12"/>
      <c r="M33847" s="11"/>
      <c r="N33847" s="11"/>
      <c r="O33847" s="11"/>
      <c r="P33847" s="11"/>
    </row>
    <row r="33848" spans="8:16" x14ac:dyDescent="0.25">
      <c r="H33848" s="12"/>
      <c r="I33848" s="12"/>
      <c r="J33848" s="12"/>
      <c r="K33848" s="12"/>
      <c r="L33848" s="12"/>
      <c r="M33848" s="11"/>
      <c r="N33848" s="11"/>
      <c r="O33848" s="11"/>
      <c r="P33848" s="11"/>
    </row>
    <row r="33849" spans="8:16" x14ac:dyDescent="0.25">
      <c r="H33849" s="12"/>
      <c r="I33849" s="12"/>
      <c r="J33849" s="12"/>
      <c r="K33849" s="12"/>
      <c r="L33849" s="12"/>
      <c r="M33849" s="11"/>
      <c r="N33849" s="11"/>
      <c r="O33849" s="11"/>
      <c r="P33849" s="11"/>
    </row>
    <row r="33850" spans="8:16" x14ac:dyDescent="0.25">
      <c r="H33850" s="12"/>
      <c r="I33850" s="12"/>
      <c r="J33850" s="12"/>
      <c r="K33850" s="12"/>
      <c r="L33850" s="12"/>
      <c r="M33850" s="11"/>
      <c r="N33850" s="11"/>
      <c r="O33850" s="11"/>
      <c r="P33850" s="11"/>
    </row>
    <row r="33851" spans="8:16" x14ac:dyDescent="0.25">
      <c r="H33851" s="12"/>
      <c r="I33851" s="12"/>
      <c r="J33851" s="12"/>
      <c r="K33851" s="12"/>
      <c r="L33851" s="12"/>
      <c r="M33851" s="11"/>
      <c r="N33851" s="11"/>
      <c r="O33851" s="11"/>
      <c r="P33851" s="11"/>
    </row>
    <row r="33852" spans="8:16" x14ac:dyDescent="0.25">
      <c r="H33852" s="12"/>
      <c r="I33852" s="12"/>
      <c r="J33852" s="12"/>
      <c r="K33852" s="12"/>
      <c r="L33852" s="12"/>
      <c r="M33852" s="11"/>
      <c r="N33852" s="11"/>
      <c r="O33852" s="11"/>
      <c r="P33852" s="11"/>
    </row>
    <row r="33853" spans="8:16" x14ac:dyDescent="0.25">
      <c r="H33853" s="12"/>
      <c r="I33853" s="12"/>
      <c r="J33853" s="12"/>
      <c r="K33853" s="12"/>
      <c r="L33853" s="12"/>
      <c r="M33853" s="11"/>
      <c r="N33853" s="11"/>
      <c r="O33853" s="11"/>
      <c r="P33853" s="11"/>
    </row>
    <row r="33854" spans="8:16" x14ac:dyDescent="0.25">
      <c r="H33854" s="12"/>
      <c r="I33854" s="12"/>
      <c r="J33854" s="12"/>
      <c r="K33854" s="12"/>
      <c r="L33854" s="12"/>
      <c r="M33854" s="11"/>
      <c r="N33854" s="11"/>
      <c r="O33854" s="11"/>
      <c r="P33854" s="11"/>
    </row>
    <row r="33855" spans="8:16" x14ac:dyDescent="0.25">
      <c r="H33855" s="12"/>
      <c r="I33855" s="12"/>
      <c r="J33855" s="12"/>
      <c r="K33855" s="12"/>
      <c r="L33855" s="12"/>
      <c r="M33855" s="11"/>
      <c r="N33855" s="11"/>
      <c r="O33855" s="11"/>
      <c r="P33855" s="11"/>
    </row>
    <row r="33856" spans="8:16" x14ac:dyDescent="0.25">
      <c r="H33856" s="12"/>
      <c r="I33856" s="12"/>
      <c r="J33856" s="12"/>
      <c r="K33856" s="12"/>
      <c r="L33856" s="12"/>
      <c r="M33856" s="11"/>
      <c r="N33856" s="11"/>
      <c r="O33856" s="11"/>
      <c r="P33856" s="11"/>
    </row>
    <row r="33857" spans="8:16" x14ac:dyDescent="0.25">
      <c r="H33857" s="12"/>
      <c r="I33857" s="12"/>
      <c r="J33857" s="12"/>
      <c r="K33857" s="12"/>
      <c r="L33857" s="12"/>
      <c r="M33857" s="11"/>
      <c r="N33857" s="11"/>
      <c r="O33857" s="11"/>
      <c r="P33857" s="11"/>
    </row>
    <row r="33858" spans="8:16" x14ac:dyDescent="0.25">
      <c r="H33858" s="12"/>
      <c r="I33858" s="12"/>
      <c r="J33858" s="12"/>
      <c r="K33858" s="12"/>
      <c r="L33858" s="12"/>
      <c r="M33858" s="11"/>
      <c r="N33858" s="11"/>
      <c r="O33858" s="11"/>
      <c r="P33858" s="11"/>
    </row>
    <row r="33859" spans="8:16" x14ac:dyDescent="0.25">
      <c r="H33859" s="12"/>
      <c r="I33859" s="12"/>
      <c r="J33859" s="12"/>
      <c r="K33859" s="12"/>
      <c r="L33859" s="12"/>
      <c r="M33859" s="11"/>
      <c r="N33859" s="11"/>
      <c r="O33859" s="11"/>
      <c r="P33859" s="11"/>
    </row>
    <row r="33860" spans="8:16" x14ac:dyDescent="0.25">
      <c r="H33860" s="12"/>
      <c r="I33860" s="12"/>
      <c r="J33860" s="12"/>
      <c r="K33860" s="12"/>
      <c r="L33860" s="12"/>
      <c r="M33860" s="11"/>
      <c r="N33860" s="11"/>
      <c r="O33860" s="11"/>
      <c r="P33860" s="11"/>
    </row>
    <row r="33861" spans="8:16" x14ac:dyDescent="0.25">
      <c r="H33861" s="12"/>
      <c r="I33861" s="12"/>
      <c r="J33861" s="12"/>
      <c r="K33861" s="12"/>
      <c r="L33861" s="12"/>
      <c r="M33861" s="11"/>
      <c r="N33861" s="11"/>
      <c r="O33861" s="11"/>
      <c r="P33861" s="11"/>
    </row>
    <row r="33862" spans="8:16" x14ac:dyDescent="0.25">
      <c r="H33862" s="12"/>
      <c r="I33862" s="12"/>
      <c r="J33862" s="12"/>
      <c r="K33862" s="12"/>
      <c r="L33862" s="12"/>
      <c r="M33862" s="11"/>
      <c r="N33862" s="11"/>
      <c r="O33862" s="11"/>
      <c r="P33862" s="11"/>
    </row>
    <row r="33863" spans="8:16" x14ac:dyDescent="0.25">
      <c r="H33863" s="12"/>
      <c r="I33863" s="12"/>
      <c r="J33863" s="12"/>
      <c r="K33863" s="12"/>
      <c r="L33863" s="12"/>
      <c r="M33863" s="11"/>
      <c r="N33863" s="11"/>
      <c r="O33863" s="11"/>
      <c r="P33863" s="11"/>
    </row>
    <row r="33864" spans="8:16" x14ac:dyDescent="0.25">
      <c r="H33864" s="12"/>
      <c r="I33864" s="12"/>
      <c r="J33864" s="12"/>
      <c r="K33864" s="12"/>
      <c r="L33864" s="12"/>
      <c r="M33864" s="11"/>
      <c r="N33864" s="11"/>
      <c r="O33864" s="11"/>
      <c r="P33864" s="11"/>
    </row>
    <row r="33865" spans="8:16" x14ac:dyDescent="0.25">
      <c r="H33865" s="12"/>
      <c r="I33865" s="12"/>
      <c r="J33865" s="12"/>
      <c r="K33865" s="12"/>
      <c r="L33865" s="12"/>
      <c r="M33865" s="11"/>
      <c r="N33865" s="11"/>
      <c r="O33865" s="11"/>
      <c r="P33865" s="11"/>
    </row>
    <row r="33866" spans="8:16" x14ac:dyDescent="0.25">
      <c r="H33866" s="12"/>
      <c r="I33866" s="12"/>
      <c r="J33866" s="12"/>
      <c r="K33866" s="12"/>
      <c r="L33866" s="12"/>
      <c r="M33866" s="11"/>
      <c r="N33866" s="11"/>
      <c r="O33866" s="11"/>
      <c r="P33866" s="11"/>
    </row>
    <row r="33867" spans="8:16" x14ac:dyDescent="0.25">
      <c r="H33867" s="12"/>
      <c r="I33867" s="12"/>
      <c r="J33867" s="12"/>
      <c r="K33867" s="12"/>
      <c r="L33867" s="12"/>
      <c r="M33867" s="11"/>
      <c r="N33867" s="11"/>
      <c r="O33867" s="11"/>
      <c r="P33867" s="11"/>
    </row>
    <row r="33868" spans="8:16" x14ac:dyDescent="0.25">
      <c r="H33868" s="12"/>
      <c r="I33868" s="12"/>
      <c r="J33868" s="12"/>
      <c r="K33868" s="12"/>
      <c r="L33868" s="12"/>
      <c r="M33868" s="11"/>
      <c r="N33868" s="11"/>
      <c r="O33868" s="11"/>
      <c r="P33868" s="11"/>
    </row>
    <row r="33869" spans="8:16" x14ac:dyDescent="0.25">
      <c r="H33869" s="12"/>
      <c r="I33869" s="12"/>
      <c r="J33869" s="12"/>
      <c r="K33869" s="12"/>
      <c r="L33869" s="12"/>
      <c r="M33869" s="11"/>
      <c r="N33869" s="11"/>
      <c r="O33869" s="11"/>
      <c r="P33869" s="11"/>
    </row>
    <row r="33870" spans="8:16" x14ac:dyDescent="0.25">
      <c r="H33870" s="12"/>
      <c r="I33870" s="12"/>
      <c r="J33870" s="12"/>
      <c r="K33870" s="12"/>
      <c r="L33870" s="12"/>
      <c r="M33870" s="11"/>
      <c r="N33870" s="11"/>
      <c r="O33870" s="11"/>
      <c r="P33870" s="11"/>
    </row>
    <row r="33871" spans="8:16" x14ac:dyDescent="0.25">
      <c r="H33871" s="12"/>
      <c r="I33871" s="12"/>
      <c r="J33871" s="12"/>
      <c r="K33871" s="12"/>
      <c r="L33871" s="12"/>
      <c r="M33871" s="11"/>
      <c r="N33871" s="11"/>
      <c r="O33871" s="11"/>
      <c r="P33871" s="11"/>
    </row>
    <row r="33872" spans="8:16" x14ac:dyDescent="0.25">
      <c r="H33872" s="12"/>
      <c r="I33872" s="12"/>
      <c r="J33872" s="12"/>
      <c r="K33872" s="12"/>
      <c r="L33872" s="12"/>
      <c r="M33872" s="11"/>
      <c r="N33872" s="11"/>
      <c r="O33872" s="11"/>
      <c r="P33872" s="11"/>
    </row>
    <row r="33873" spans="8:16" x14ac:dyDescent="0.25">
      <c r="H33873" s="12"/>
      <c r="I33873" s="12"/>
      <c r="J33873" s="12"/>
      <c r="K33873" s="12"/>
      <c r="L33873" s="12"/>
      <c r="M33873" s="11"/>
      <c r="N33873" s="11"/>
      <c r="O33873" s="11"/>
      <c r="P33873" s="11"/>
    </row>
    <row r="33874" spans="8:16" x14ac:dyDescent="0.25">
      <c r="H33874" s="12"/>
      <c r="I33874" s="12"/>
      <c r="J33874" s="12"/>
      <c r="K33874" s="12"/>
      <c r="L33874" s="12"/>
      <c r="M33874" s="11"/>
      <c r="N33874" s="11"/>
      <c r="O33874" s="11"/>
      <c r="P33874" s="11"/>
    </row>
    <row r="33875" spans="8:16" x14ac:dyDescent="0.25">
      <c r="H33875" s="12"/>
      <c r="I33875" s="12"/>
      <c r="J33875" s="12"/>
      <c r="K33875" s="12"/>
      <c r="L33875" s="12"/>
      <c r="M33875" s="11"/>
      <c r="N33875" s="11"/>
      <c r="O33875" s="11"/>
      <c r="P33875" s="11"/>
    </row>
    <row r="33876" spans="8:16" x14ac:dyDescent="0.25">
      <c r="H33876" s="12"/>
      <c r="I33876" s="12"/>
      <c r="J33876" s="12"/>
      <c r="K33876" s="12"/>
      <c r="L33876" s="12"/>
      <c r="M33876" s="11"/>
      <c r="N33876" s="11"/>
      <c r="O33876" s="11"/>
      <c r="P33876" s="11"/>
    </row>
    <row r="33877" spans="8:16" x14ac:dyDescent="0.25">
      <c r="H33877" s="12"/>
      <c r="I33877" s="12"/>
      <c r="J33877" s="12"/>
      <c r="K33877" s="12"/>
      <c r="L33877" s="12"/>
      <c r="M33877" s="11"/>
      <c r="N33877" s="11"/>
      <c r="O33877" s="11"/>
      <c r="P33877" s="11"/>
    </row>
    <row r="33878" spans="8:16" x14ac:dyDescent="0.25">
      <c r="H33878" s="12"/>
      <c r="I33878" s="12"/>
      <c r="J33878" s="12"/>
      <c r="K33878" s="12"/>
      <c r="L33878" s="12"/>
      <c r="M33878" s="11"/>
      <c r="N33878" s="11"/>
      <c r="O33878" s="11"/>
      <c r="P33878" s="11"/>
    </row>
    <row r="33879" spans="8:16" x14ac:dyDescent="0.25">
      <c r="H33879" s="12"/>
      <c r="I33879" s="12"/>
      <c r="J33879" s="12"/>
      <c r="K33879" s="12"/>
      <c r="L33879" s="12"/>
      <c r="M33879" s="11"/>
      <c r="N33879" s="11"/>
      <c r="O33879" s="11"/>
      <c r="P33879" s="11"/>
    </row>
    <row r="33880" spans="8:16" x14ac:dyDescent="0.25">
      <c r="H33880" s="12"/>
      <c r="I33880" s="12"/>
      <c r="J33880" s="12"/>
      <c r="K33880" s="12"/>
      <c r="L33880" s="12"/>
      <c r="M33880" s="11"/>
      <c r="N33880" s="11"/>
      <c r="O33880" s="11"/>
      <c r="P33880" s="11"/>
    </row>
    <row r="33881" spans="8:16" x14ac:dyDescent="0.25">
      <c r="H33881" s="12"/>
      <c r="I33881" s="12"/>
      <c r="J33881" s="12"/>
      <c r="K33881" s="12"/>
      <c r="L33881" s="12"/>
      <c r="M33881" s="11"/>
      <c r="N33881" s="11"/>
      <c r="O33881" s="11"/>
      <c r="P33881" s="11"/>
    </row>
    <row r="33882" spans="8:16" x14ac:dyDescent="0.25">
      <c r="H33882" s="12"/>
      <c r="I33882" s="12"/>
      <c r="J33882" s="12"/>
      <c r="K33882" s="12"/>
      <c r="L33882" s="12"/>
      <c r="M33882" s="11"/>
      <c r="N33882" s="11"/>
      <c r="O33882" s="11"/>
      <c r="P33882" s="11"/>
    </row>
    <row r="33883" spans="8:16" x14ac:dyDescent="0.25">
      <c r="H33883" s="12"/>
      <c r="I33883" s="12"/>
      <c r="J33883" s="12"/>
      <c r="K33883" s="12"/>
      <c r="L33883" s="12"/>
      <c r="M33883" s="11"/>
      <c r="N33883" s="11"/>
      <c r="O33883" s="11"/>
      <c r="P33883" s="11"/>
    </row>
    <row r="33884" spans="8:16" x14ac:dyDescent="0.25">
      <c r="H33884" s="12"/>
      <c r="I33884" s="12"/>
      <c r="J33884" s="12"/>
      <c r="K33884" s="12"/>
      <c r="L33884" s="12"/>
      <c r="M33884" s="11"/>
      <c r="N33884" s="11"/>
      <c r="O33884" s="11"/>
      <c r="P33884" s="11"/>
    </row>
    <row r="33885" spans="8:16" x14ac:dyDescent="0.25">
      <c r="H33885" s="12"/>
      <c r="I33885" s="12"/>
      <c r="J33885" s="12"/>
      <c r="K33885" s="12"/>
      <c r="L33885" s="12"/>
      <c r="M33885" s="11"/>
      <c r="N33885" s="11"/>
      <c r="O33885" s="11"/>
      <c r="P33885" s="11"/>
    </row>
    <row r="33886" spans="8:16" x14ac:dyDescent="0.25">
      <c r="H33886" s="12"/>
      <c r="I33886" s="12"/>
      <c r="J33886" s="12"/>
      <c r="K33886" s="12"/>
      <c r="L33886" s="12"/>
      <c r="M33886" s="11"/>
      <c r="N33886" s="11"/>
      <c r="O33886" s="11"/>
      <c r="P33886" s="11"/>
    </row>
    <row r="33887" spans="8:16" x14ac:dyDescent="0.25">
      <c r="H33887" s="12"/>
      <c r="I33887" s="12"/>
      <c r="J33887" s="12"/>
      <c r="K33887" s="12"/>
      <c r="L33887" s="12"/>
      <c r="M33887" s="11"/>
      <c r="N33887" s="11"/>
      <c r="O33887" s="11"/>
      <c r="P33887" s="11"/>
    </row>
    <row r="33888" spans="8:16" x14ac:dyDescent="0.25">
      <c r="H33888" s="12"/>
      <c r="I33888" s="12"/>
      <c r="J33888" s="12"/>
      <c r="K33888" s="12"/>
      <c r="L33888" s="12"/>
      <c r="M33888" s="11"/>
      <c r="N33888" s="11"/>
      <c r="O33888" s="11"/>
      <c r="P33888" s="11"/>
    </row>
    <row r="33889" spans="8:16" x14ac:dyDescent="0.25">
      <c r="H33889" s="12"/>
      <c r="I33889" s="12"/>
      <c r="J33889" s="12"/>
      <c r="K33889" s="12"/>
      <c r="L33889" s="12"/>
      <c r="M33889" s="11"/>
      <c r="N33889" s="11"/>
      <c r="O33889" s="11"/>
      <c r="P33889" s="11"/>
    </row>
    <row r="33890" spans="8:16" x14ac:dyDescent="0.25">
      <c r="H33890" s="12"/>
      <c r="I33890" s="12"/>
      <c r="J33890" s="12"/>
      <c r="K33890" s="12"/>
      <c r="L33890" s="12"/>
      <c r="M33890" s="11"/>
      <c r="N33890" s="11"/>
      <c r="O33890" s="11"/>
      <c r="P33890" s="11"/>
    </row>
    <row r="33891" spans="8:16" x14ac:dyDescent="0.25">
      <c r="H33891" s="12"/>
      <c r="I33891" s="12"/>
      <c r="J33891" s="12"/>
      <c r="K33891" s="12"/>
      <c r="L33891" s="12"/>
      <c r="M33891" s="11"/>
      <c r="N33891" s="11"/>
      <c r="O33891" s="11"/>
      <c r="P33891" s="11"/>
    </row>
    <row r="33892" spans="8:16" x14ac:dyDescent="0.25">
      <c r="H33892" s="12"/>
      <c r="I33892" s="12"/>
      <c r="J33892" s="12"/>
      <c r="K33892" s="12"/>
      <c r="L33892" s="12"/>
      <c r="M33892" s="11"/>
      <c r="N33892" s="11"/>
      <c r="O33892" s="11"/>
      <c r="P33892" s="11"/>
    </row>
    <row r="33893" spans="8:16" x14ac:dyDescent="0.25">
      <c r="H33893" s="12"/>
      <c r="I33893" s="12"/>
      <c r="J33893" s="12"/>
      <c r="K33893" s="12"/>
      <c r="L33893" s="12"/>
      <c r="M33893" s="11"/>
      <c r="N33893" s="11"/>
      <c r="O33893" s="11"/>
      <c r="P33893" s="11"/>
    </row>
    <row r="33894" spans="8:16" x14ac:dyDescent="0.25">
      <c r="H33894" s="12"/>
      <c r="I33894" s="12"/>
      <c r="J33894" s="12"/>
      <c r="K33894" s="12"/>
      <c r="L33894" s="12"/>
      <c r="M33894" s="11"/>
      <c r="N33894" s="11"/>
      <c r="O33894" s="11"/>
      <c r="P33894" s="11"/>
    </row>
    <row r="33895" spans="8:16" x14ac:dyDescent="0.25">
      <c r="H33895" s="12"/>
      <c r="I33895" s="12"/>
      <c r="J33895" s="12"/>
      <c r="K33895" s="12"/>
      <c r="L33895" s="12"/>
      <c r="M33895" s="11"/>
      <c r="N33895" s="11"/>
      <c r="O33895" s="11"/>
      <c r="P33895" s="11"/>
    </row>
    <row r="33896" spans="8:16" x14ac:dyDescent="0.25">
      <c r="H33896" s="12"/>
      <c r="I33896" s="12"/>
      <c r="J33896" s="12"/>
      <c r="K33896" s="12"/>
      <c r="L33896" s="12"/>
      <c r="M33896" s="11"/>
      <c r="N33896" s="11"/>
      <c r="O33896" s="11"/>
      <c r="P33896" s="11"/>
    </row>
    <row r="33897" spans="8:16" x14ac:dyDescent="0.25">
      <c r="H33897" s="12"/>
      <c r="I33897" s="12"/>
      <c r="J33897" s="12"/>
      <c r="K33897" s="12"/>
      <c r="L33897" s="12"/>
      <c r="M33897" s="11"/>
      <c r="N33897" s="11"/>
      <c r="O33897" s="11"/>
      <c r="P33897" s="11"/>
    </row>
    <row r="33898" spans="8:16" x14ac:dyDescent="0.25">
      <c r="H33898" s="12"/>
      <c r="I33898" s="12"/>
      <c r="J33898" s="12"/>
      <c r="K33898" s="12"/>
      <c r="L33898" s="12"/>
      <c r="M33898" s="11"/>
      <c r="N33898" s="11"/>
      <c r="O33898" s="11"/>
      <c r="P33898" s="11"/>
    </row>
    <row r="33899" spans="8:16" x14ac:dyDescent="0.25">
      <c r="H33899" s="12"/>
      <c r="I33899" s="12"/>
      <c r="J33899" s="12"/>
      <c r="K33899" s="12"/>
      <c r="L33899" s="12"/>
      <c r="M33899" s="11"/>
      <c r="N33899" s="11"/>
      <c r="O33899" s="11"/>
      <c r="P33899" s="11"/>
    </row>
    <row r="33900" spans="8:16" x14ac:dyDescent="0.25">
      <c r="H33900" s="12"/>
      <c r="I33900" s="12"/>
      <c r="J33900" s="12"/>
      <c r="K33900" s="12"/>
      <c r="L33900" s="12"/>
      <c r="M33900" s="11"/>
      <c r="N33900" s="11"/>
      <c r="O33900" s="11"/>
      <c r="P33900" s="11"/>
    </row>
    <row r="33901" spans="8:16" x14ac:dyDescent="0.25">
      <c r="H33901" s="12"/>
      <c r="I33901" s="12"/>
      <c r="J33901" s="12"/>
      <c r="K33901" s="12"/>
      <c r="L33901" s="12"/>
      <c r="M33901" s="11"/>
      <c r="N33901" s="11"/>
      <c r="O33901" s="11"/>
      <c r="P33901" s="11"/>
    </row>
    <row r="33902" spans="8:16" x14ac:dyDescent="0.25">
      <c r="H33902" s="12"/>
      <c r="I33902" s="12"/>
      <c r="J33902" s="12"/>
      <c r="K33902" s="12"/>
      <c r="L33902" s="12"/>
      <c r="M33902" s="11"/>
      <c r="N33902" s="11"/>
      <c r="O33902" s="11"/>
      <c r="P33902" s="11"/>
    </row>
    <row r="33903" spans="8:16" x14ac:dyDescent="0.25">
      <c r="H33903" s="12"/>
      <c r="I33903" s="12"/>
      <c r="J33903" s="12"/>
      <c r="K33903" s="12"/>
      <c r="L33903" s="12"/>
      <c r="M33903" s="11"/>
      <c r="N33903" s="11"/>
      <c r="O33903" s="11"/>
      <c r="P33903" s="11"/>
    </row>
    <row r="33904" spans="8:16" x14ac:dyDescent="0.25">
      <c r="H33904" s="12"/>
      <c r="I33904" s="12"/>
      <c r="J33904" s="12"/>
      <c r="K33904" s="12"/>
      <c r="L33904" s="12"/>
      <c r="M33904" s="11"/>
      <c r="N33904" s="11"/>
      <c r="O33904" s="11"/>
      <c r="P33904" s="11"/>
    </row>
    <row r="33905" spans="8:16" x14ac:dyDescent="0.25">
      <c r="H33905" s="12"/>
      <c r="I33905" s="12"/>
      <c r="J33905" s="12"/>
      <c r="K33905" s="12"/>
      <c r="L33905" s="12"/>
      <c r="M33905" s="11"/>
      <c r="N33905" s="11"/>
      <c r="O33905" s="11"/>
      <c r="P33905" s="11"/>
    </row>
    <row r="33906" spans="8:16" x14ac:dyDescent="0.25">
      <c r="H33906" s="12"/>
      <c r="I33906" s="12"/>
      <c r="J33906" s="12"/>
      <c r="K33906" s="12"/>
      <c r="L33906" s="12"/>
      <c r="M33906" s="11"/>
      <c r="N33906" s="11"/>
      <c r="O33906" s="11"/>
      <c r="P33906" s="11"/>
    </row>
    <row r="33907" spans="8:16" x14ac:dyDescent="0.25">
      <c r="H33907" s="12"/>
      <c r="I33907" s="12"/>
      <c r="J33907" s="12"/>
      <c r="K33907" s="12"/>
      <c r="L33907" s="12"/>
      <c r="M33907" s="11"/>
      <c r="N33907" s="11"/>
      <c r="O33907" s="11"/>
      <c r="P33907" s="11"/>
    </row>
    <row r="33908" spans="8:16" x14ac:dyDescent="0.25">
      <c r="H33908" s="12"/>
      <c r="I33908" s="12"/>
      <c r="J33908" s="12"/>
      <c r="K33908" s="12"/>
      <c r="L33908" s="12"/>
      <c r="M33908" s="11"/>
      <c r="N33908" s="11"/>
      <c r="O33908" s="11"/>
      <c r="P33908" s="11"/>
    </row>
    <row r="33909" spans="8:16" x14ac:dyDescent="0.25">
      <c r="H33909" s="12"/>
      <c r="I33909" s="12"/>
      <c r="J33909" s="12"/>
      <c r="K33909" s="12"/>
      <c r="L33909" s="12"/>
      <c r="M33909" s="11"/>
      <c r="N33909" s="11"/>
      <c r="O33909" s="11"/>
      <c r="P33909" s="11"/>
    </row>
    <row r="33910" spans="8:16" x14ac:dyDescent="0.25">
      <c r="H33910" s="12"/>
      <c r="I33910" s="12"/>
      <c r="J33910" s="12"/>
      <c r="K33910" s="12"/>
      <c r="L33910" s="12"/>
      <c r="M33910" s="11"/>
      <c r="N33910" s="11"/>
      <c r="O33910" s="11"/>
      <c r="P33910" s="11"/>
    </row>
    <row r="33911" spans="8:16" x14ac:dyDescent="0.25">
      <c r="H33911" s="12"/>
      <c r="I33911" s="12"/>
      <c r="J33911" s="12"/>
      <c r="K33911" s="12"/>
      <c r="L33911" s="12"/>
      <c r="M33911" s="11"/>
      <c r="N33911" s="11"/>
      <c r="O33911" s="11"/>
      <c r="P33911" s="11"/>
    </row>
    <row r="33912" spans="8:16" x14ac:dyDescent="0.25">
      <c r="H33912" s="12"/>
      <c r="I33912" s="12"/>
      <c r="J33912" s="12"/>
      <c r="K33912" s="12"/>
      <c r="L33912" s="12"/>
      <c r="M33912" s="11"/>
      <c r="N33912" s="11"/>
      <c r="O33912" s="11"/>
      <c r="P33912" s="11"/>
    </row>
    <row r="33913" spans="8:16" x14ac:dyDescent="0.25">
      <c r="H33913" s="12"/>
      <c r="I33913" s="12"/>
      <c r="J33913" s="12"/>
      <c r="K33913" s="12"/>
      <c r="L33913" s="12"/>
      <c r="M33913" s="11"/>
      <c r="N33913" s="11"/>
      <c r="O33913" s="11"/>
      <c r="P33913" s="11"/>
    </row>
    <row r="33914" spans="8:16" x14ac:dyDescent="0.25">
      <c r="H33914" s="12"/>
      <c r="I33914" s="12"/>
      <c r="J33914" s="12"/>
      <c r="K33914" s="12"/>
      <c r="L33914" s="12"/>
      <c r="M33914" s="11"/>
      <c r="N33914" s="11"/>
      <c r="O33914" s="11"/>
      <c r="P33914" s="11"/>
    </row>
    <row r="33915" spans="8:16" x14ac:dyDescent="0.25">
      <c r="H33915" s="12"/>
      <c r="I33915" s="12"/>
      <c r="J33915" s="12"/>
      <c r="K33915" s="12"/>
      <c r="L33915" s="12"/>
      <c r="M33915" s="11"/>
      <c r="N33915" s="11"/>
      <c r="O33915" s="11"/>
      <c r="P33915" s="11"/>
    </row>
    <row r="33916" spans="8:16" x14ac:dyDescent="0.25">
      <c r="H33916" s="12"/>
      <c r="I33916" s="12"/>
      <c r="J33916" s="12"/>
      <c r="K33916" s="12"/>
      <c r="L33916" s="12"/>
      <c r="M33916" s="11"/>
      <c r="N33916" s="11"/>
      <c r="O33916" s="11"/>
      <c r="P33916" s="11"/>
    </row>
    <row r="33917" spans="8:16" x14ac:dyDescent="0.25">
      <c r="H33917" s="12"/>
      <c r="I33917" s="12"/>
      <c r="J33917" s="12"/>
      <c r="K33917" s="12"/>
      <c r="L33917" s="12"/>
      <c r="M33917" s="11"/>
      <c r="N33917" s="11"/>
      <c r="O33917" s="11"/>
      <c r="P33917" s="11"/>
    </row>
    <row r="33918" spans="8:16" x14ac:dyDescent="0.25">
      <c r="H33918" s="12"/>
      <c r="I33918" s="12"/>
      <c r="J33918" s="12"/>
      <c r="K33918" s="12"/>
      <c r="L33918" s="12"/>
      <c r="M33918" s="11"/>
      <c r="N33918" s="11"/>
      <c r="O33918" s="11"/>
      <c r="P33918" s="11"/>
    </row>
    <row r="33919" spans="8:16" x14ac:dyDescent="0.25">
      <c r="H33919" s="12"/>
      <c r="I33919" s="12"/>
      <c r="J33919" s="12"/>
      <c r="K33919" s="12"/>
      <c r="L33919" s="12"/>
      <c r="M33919" s="11"/>
      <c r="N33919" s="11"/>
      <c r="O33919" s="11"/>
      <c r="P33919" s="11"/>
    </row>
    <row r="33920" spans="8:16" x14ac:dyDescent="0.25">
      <c r="H33920" s="12"/>
      <c r="I33920" s="12"/>
      <c r="J33920" s="12"/>
      <c r="K33920" s="12"/>
      <c r="L33920" s="12"/>
      <c r="M33920" s="11"/>
      <c r="N33920" s="11"/>
      <c r="O33920" s="11"/>
      <c r="P33920" s="11"/>
    </row>
    <row r="33921" spans="8:16" x14ac:dyDescent="0.25">
      <c r="H33921" s="12"/>
      <c r="I33921" s="12"/>
      <c r="J33921" s="12"/>
      <c r="K33921" s="12"/>
      <c r="L33921" s="12"/>
      <c r="M33921" s="11"/>
      <c r="N33921" s="11"/>
      <c r="O33921" s="11"/>
      <c r="P33921" s="11"/>
    </row>
    <row r="33922" spans="8:16" x14ac:dyDescent="0.25">
      <c r="H33922" s="12"/>
      <c r="I33922" s="12"/>
      <c r="J33922" s="12"/>
      <c r="K33922" s="12"/>
      <c r="L33922" s="12"/>
      <c r="M33922" s="11"/>
      <c r="N33922" s="11"/>
      <c r="O33922" s="11"/>
      <c r="P33922" s="11"/>
    </row>
    <row r="33923" spans="8:16" x14ac:dyDescent="0.25">
      <c r="H33923" s="12"/>
      <c r="I33923" s="12"/>
      <c r="J33923" s="12"/>
      <c r="K33923" s="12"/>
      <c r="L33923" s="12"/>
      <c r="M33923" s="11"/>
      <c r="N33923" s="11"/>
      <c r="O33923" s="11"/>
      <c r="P33923" s="11"/>
    </row>
    <row r="33924" spans="8:16" x14ac:dyDescent="0.25">
      <c r="H33924" s="12"/>
      <c r="I33924" s="12"/>
      <c r="J33924" s="12"/>
      <c r="K33924" s="12"/>
      <c r="L33924" s="12"/>
      <c r="M33924" s="11"/>
      <c r="N33924" s="11"/>
      <c r="O33924" s="11"/>
      <c r="P33924" s="11"/>
    </row>
    <row r="33925" spans="8:16" x14ac:dyDescent="0.25">
      <c r="H33925" s="12"/>
      <c r="I33925" s="12"/>
      <c r="J33925" s="12"/>
      <c r="K33925" s="12"/>
      <c r="L33925" s="12"/>
      <c r="M33925" s="11"/>
      <c r="N33925" s="11"/>
      <c r="O33925" s="11"/>
      <c r="P33925" s="11"/>
    </row>
    <row r="33926" spans="8:16" x14ac:dyDescent="0.25">
      <c r="H33926" s="12"/>
      <c r="I33926" s="12"/>
      <c r="J33926" s="12"/>
      <c r="K33926" s="12"/>
      <c r="L33926" s="12"/>
      <c r="M33926" s="11"/>
      <c r="N33926" s="11"/>
      <c r="O33926" s="11"/>
      <c r="P33926" s="11"/>
    </row>
    <row r="33927" spans="8:16" x14ac:dyDescent="0.25">
      <c r="H33927" s="12"/>
      <c r="I33927" s="12"/>
      <c r="J33927" s="12"/>
      <c r="K33927" s="12"/>
      <c r="L33927" s="12"/>
      <c r="M33927" s="11"/>
      <c r="N33927" s="11"/>
      <c r="O33927" s="11"/>
      <c r="P33927" s="11"/>
    </row>
    <row r="33928" spans="8:16" x14ac:dyDescent="0.25">
      <c r="H33928" s="12"/>
      <c r="I33928" s="12"/>
      <c r="J33928" s="12"/>
      <c r="K33928" s="12"/>
      <c r="L33928" s="12"/>
      <c r="M33928" s="11"/>
      <c r="N33928" s="11"/>
      <c r="O33928" s="11"/>
      <c r="P33928" s="11"/>
    </row>
    <row r="33929" spans="8:16" x14ac:dyDescent="0.25">
      <c r="H33929" s="12"/>
      <c r="I33929" s="12"/>
      <c r="J33929" s="12"/>
      <c r="K33929" s="12"/>
      <c r="L33929" s="12"/>
      <c r="M33929" s="11"/>
      <c r="N33929" s="11"/>
      <c r="O33929" s="11"/>
      <c r="P33929" s="11"/>
    </row>
    <row r="33930" spans="8:16" x14ac:dyDescent="0.25">
      <c r="H33930" s="12"/>
      <c r="I33930" s="12"/>
      <c r="J33930" s="12"/>
      <c r="K33930" s="12"/>
      <c r="L33930" s="12"/>
      <c r="M33930" s="11"/>
      <c r="N33930" s="11"/>
      <c r="O33930" s="11"/>
      <c r="P33930" s="11"/>
    </row>
    <row r="33931" spans="8:16" x14ac:dyDescent="0.25">
      <c r="H33931" s="12"/>
      <c r="I33931" s="12"/>
      <c r="J33931" s="12"/>
      <c r="K33931" s="12"/>
      <c r="L33931" s="12"/>
      <c r="M33931" s="11"/>
      <c r="N33931" s="11"/>
      <c r="O33931" s="11"/>
      <c r="P33931" s="11"/>
    </row>
    <row r="33932" spans="8:16" x14ac:dyDescent="0.25">
      <c r="H33932" s="12"/>
      <c r="I33932" s="12"/>
      <c r="J33932" s="12"/>
      <c r="K33932" s="12"/>
      <c r="L33932" s="12"/>
      <c r="M33932" s="11"/>
      <c r="N33932" s="11"/>
      <c r="O33932" s="11"/>
      <c r="P33932" s="11"/>
    </row>
    <row r="33933" spans="8:16" x14ac:dyDescent="0.25">
      <c r="H33933" s="12"/>
      <c r="I33933" s="12"/>
      <c r="J33933" s="12"/>
      <c r="K33933" s="12"/>
      <c r="L33933" s="12"/>
      <c r="M33933" s="11"/>
      <c r="N33933" s="11"/>
      <c r="O33933" s="11"/>
      <c r="P33933" s="11"/>
    </row>
    <row r="33934" spans="8:16" x14ac:dyDescent="0.25">
      <c r="H33934" s="12"/>
      <c r="I33934" s="12"/>
      <c r="J33934" s="12"/>
      <c r="K33934" s="12"/>
      <c r="L33934" s="12"/>
      <c r="M33934" s="11"/>
      <c r="N33934" s="11"/>
      <c r="O33934" s="11"/>
      <c r="P33934" s="11"/>
    </row>
    <row r="33935" spans="8:16" x14ac:dyDescent="0.25">
      <c r="H33935" s="12"/>
      <c r="I33935" s="12"/>
      <c r="J33935" s="12"/>
      <c r="K33935" s="12"/>
      <c r="L33935" s="12"/>
      <c r="M33935" s="11"/>
      <c r="N33935" s="11"/>
      <c r="O33935" s="11"/>
      <c r="P33935" s="11"/>
    </row>
    <row r="33936" spans="8:16" x14ac:dyDescent="0.25">
      <c r="H33936" s="12"/>
      <c r="I33936" s="12"/>
      <c r="J33936" s="12"/>
      <c r="K33936" s="12"/>
      <c r="L33936" s="12"/>
      <c r="M33936" s="11"/>
      <c r="N33936" s="11"/>
      <c r="O33936" s="11"/>
      <c r="P33936" s="11"/>
    </row>
    <row r="33937" spans="8:16" x14ac:dyDescent="0.25">
      <c r="H33937" s="12"/>
      <c r="I33937" s="12"/>
      <c r="J33937" s="12"/>
      <c r="K33937" s="12"/>
      <c r="L33937" s="12"/>
      <c r="M33937" s="11"/>
      <c r="N33937" s="11"/>
      <c r="O33937" s="11"/>
      <c r="P33937" s="11"/>
    </row>
    <row r="33938" spans="8:16" x14ac:dyDescent="0.25">
      <c r="H33938" s="12"/>
      <c r="I33938" s="12"/>
      <c r="J33938" s="12"/>
      <c r="K33938" s="12"/>
      <c r="L33938" s="12"/>
      <c r="M33938" s="11"/>
      <c r="N33938" s="11"/>
      <c r="O33938" s="11"/>
      <c r="P33938" s="11"/>
    </row>
    <row r="33939" spans="8:16" x14ac:dyDescent="0.25">
      <c r="H33939" s="12"/>
      <c r="I33939" s="12"/>
      <c r="J33939" s="12"/>
      <c r="K33939" s="12"/>
      <c r="L33939" s="12"/>
      <c r="M33939" s="11"/>
      <c r="N33939" s="11"/>
      <c r="O33939" s="11"/>
      <c r="P33939" s="11"/>
    </row>
    <row r="33940" spans="8:16" x14ac:dyDescent="0.25">
      <c r="H33940" s="12"/>
      <c r="I33940" s="12"/>
      <c r="J33940" s="12"/>
      <c r="K33940" s="12"/>
      <c r="L33940" s="12"/>
      <c r="M33940" s="11"/>
      <c r="N33940" s="11"/>
      <c r="O33940" s="11"/>
      <c r="P33940" s="11"/>
    </row>
    <row r="33941" spans="8:16" x14ac:dyDescent="0.25">
      <c r="H33941" s="12"/>
      <c r="I33941" s="12"/>
      <c r="J33941" s="12"/>
      <c r="K33941" s="12"/>
      <c r="L33941" s="12"/>
      <c r="M33941" s="11"/>
      <c r="N33941" s="11"/>
      <c r="O33941" s="11"/>
      <c r="P33941" s="11"/>
    </row>
    <row r="33942" spans="8:16" x14ac:dyDescent="0.25">
      <c r="H33942" s="12"/>
      <c r="I33942" s="12"/>
      <c r="J33942" s="12"/>
      <c r="K33942" s="12"/>
      <c r="L33942" s="12"/>
      <c r="M33942" s="11"/>
      <c r="N33942" s="11"/>
      <c r="O33942" s="11"/>
      <c r="P33942" s="11"/>
    </row>
    <row r="33943" spans="8:16" x14ac:dyDescent="0.25">
      <c r="H33943" s="12"/>
      <c r="I33943" s="12"/>
      <c r="J33943" s="12"/>
      <c r="K33943" s="12"/>
      <c r="L33943" s="12"/>
      <c r="M33943" s="11"/>
      <c r="N33943" s="11"/>
      <c r="O33943" s="11"/>
      <c r="P33943" s="11"/>
    </row>
    <row r="33944" spans="8:16" x14ac:dyDescent="0.25">
      <c r="H33944" s="12"/>
      <c r="I33944" s="12"/>
      <c r="J33944" s="12"/>
      <c r="K33944" s="12"/>
      <c r="L33944" s="12"/>
      <c r="M33944" s="11"/>
      <c r="N33944" s="11"/>
      <c r="O33944" s="11"/>
      <c r="P33944" s="11"/>
    </row>
    <row r="33945" spans="8:16" x14ac:dyDescent="0.25">
      <c r="H33945" s="12"/>
      <c r="I33945" s="12"/>
      <c r="J33945" s="12"/>
      <c r="K33945" s="12"/>
      <c r="L33945" s="12"/>
      <c r="M33945" s="11"/>
      <c r="N33945" s="11"/>
      <c r="O33945" s="11"/>
      <c r="P33945" s="11"/>
    </row>
    <row r="33946" spans="8:16" x14ac:dyDescent="0.25">
      <c r="H33946" s="12"/>
      <c r="I33946" s="12"/>
      <c r="J33946" s="12"/>
      <c r="K33946" s="12"/>
      <c r="L33946" s="12"/>
      <c r="M33946" s="11"/>
      <c r="N33946" s="11"/>
      <c r="O33946" s="11"/>
      <c r="P33946" s="11"/>
    </row>
    <row r="33947" spans="8:16" x14ac:dyDescent="0.25">
      <c r="H33947" s="12"/>
      <c r="I33947" s="12"/>
      <c r="J33947" s="12"/>
      <c r="K33947" s="12"/>
      <c r="L33947" s="12"/>
      <c r="M33947" s="11"/>
      <c r="N33947" s="11"/>
      <c r="O33947" s="11"/>
      <c r="P33947" s="11"/>
    </row>
    <row r="33948" spans="8:16" x14ac:dyDescent="0.25">
      <c r="H33948" s="12"/>
      <c r="I33948" s="12"/>
      <c r="J33948" s="12"/>
      <c r="K33948" s="12"/>
      <c r="L33948" s="12"/>
      <c r="M33948" s="11"/>
      <c r="N33948" s="11"/>
      <c r="O33948" s="11"/>
      <c r="P33948" s="11"/>
    </row>
    <row r="33949" spans="8:16" x14ac:dyDescent="0.25">
      <c r="H33949" s="12"/>
      <c r="I33949" s="12"/>
      <c r="J33949" s="12"/>
      <c r="K33949" s="12"/>
      <c r="L33949" s="12"/>
      <c r="M33949" s="11"/>
      <c r="N33949" s="11"/>
      <c r="O33949" s="11"/>
      <c r="P33949" s="11"/>
    </row>
    <row r="33950" spans="8:16" x14ac:dyDescent="0.25">
      <c r="H33950" s="12"/>
      <c r="I33950" s="12"/>
      <c r="J33950" s="12"/>
      <c r="K33950" s="12"/>
      <c r="L33950" s="12"/>
      <c r="M33950" s="11"/>
      <c r="N33950" s="11"/>
      <c r="O33950" s="11"/>
      <c r="P33950" s="11"/>
    </row>
    <row r="33951" spans="8:16" x14ac:dyDescent="0.25">
      <c r="H33951" s="12"/>
      <c r="I33951" s="12"/>
      <c r="J33951" s="12"/>
      <c r="K33951" s="12"/>
      <c r="L33951" s="12"/>
      <c r="M33951" s="11"/>
      <c r="N33951" s="11"/>
      <c r="O33951" s="11"/>
      <c r="P33951" s="11"/>
    </row>
    <row r="33952" spans="8:16" x14ac:dyDescent="0.25">
      <c r="H33952" s="12"/>
      <c r="I33952" s="12"/>
      <c r="J33952" s="12"/>
      <c r="K33952" s="12"/>
      <c r="L33952" s="12"/>
      <c r="M33952" s="11"/>
      <c r="N33952" s="11"/>
      <c r="O33952" s="11"/>
      <c r="P33952" s="11"/>
    </row>
    <row r="33953" spans="8:16" x14ac:dyDescent="0.25">
      <c r="H33953" s="12"/>
      <c r="I33953" s="12"/>
      <c r="J33953" s="12"/>
      <c r="K33953" s="12"/>
      <c r="L33953" s="12"/>
      <c r="M33953" s="11"/>
      <c r="N33953" s="11"/>
      <c r="O33953" s="11"/>
      <c r="P33953" s="11"/>
    </row>
    <row r="33954" spans="8:16" x14ac:dyDescent="0.25">
      <c r="H33954" s="12"/>
      <c r="I33954" s="12"/>
      <c r="J33954" s="12"/>
      <c r="K33954" s="12"/>
      <c r="L33954" s="12"/>
      <c r="M33954" s="11"/>
      <c r="N33954" s="11"/>
      <c r="O33954" s="11"/>
      <c r="P33954" s="11"/>
    </row>
    <row r="33955" spans="8:16" x14ac:dyDescent="0.25">
      <c r="H33955" s="12"/>
      <c r="I33955" s="12"/>
      <c r="J33955" s="12"/>
      <c r="K33955" s="12"/>
      <c r="L33955" s="12"/>
      <c r="M33955" s="11"/>
      <c r="N33955" s="11"/>
      <c r="O33955" s="11"/>
      <c r="P33955" s="11"/>
    </row>
    <row r="33956" spans="8:16" x14ac:dyDescent="0.25">
      <c r="H33956" s="12"/>
      <c r="I33956" s="12"/>
      <c r="J33956" s="12"/>
      <c r="K33956" s="12"/>
      <c r="L33956" s="12"/>
      <c r="M33956" s="11"/>
      <c r="N33956" s="11"/>
      <c r="O33956" s="11"/>
      <c r="P33956" s="11"/>
    </row>
    <row r="33957" spans="8:16" x14ac:dyDescent="0.25">
      <c r="H33957" s="12"/>
      <c r="I33957" s="12"/>
      <c r="J33957" s="12"/>
      <c r="K33957" s="12"/>
      <c r="L33957" s="12"/>
      <c r="M33957" s="11"/>
      <c r="N33957" s="11"/>
      <c r="O33957" s="11"/>
      <c r="P33957" s="11"/>
    </row>
    <row r="33958" spans="8:16" x14ac:dyDescent="0.25">
      <c r="H33958" s="12"/>
      <c r="I33958" s="12"/>
      <c r="J33958" s="12"/>
      <c r="K33958" s="12"/>
      <c r="L33958" s="12"/>
      <c r="M33958" s="11"/>
      <c r="N33958" s="11"/>
      <c r="O33958" s="11"/>
      <c r="P33958" s="11"/>
    </row>
    <row r="33959" spans="8:16" x14ac:dyDescent="0.25">
      <c r="H33959" s="12"/>
      <c r="I33959" s="12"/>
      <c r="J33959" s="12"/>
      <c r="K33959" s="12"/>
      <c r="L33959" s="12"/>
      <c r="M33959" s="11"/>
      <c r="N33959" s="11"/>
      <c r="O33959" s="11"/>
      <c r="P33959" s="11"/>
    </row>
    <row r="33960" spans="8:16" x14ac:dyDescent="0.25">
      <c r="H33960" s="12"/>
      <c r="I33960" s="12"/>
      <c r="J33960" s="12"/>
      <c r="K33960" s="12"/>
      <c r="L33960" s="12"/>
      <c r="M33960" s="11"/>
      <c r="N33960" s="11"/>
      <c r="O33960" s="11"/>
      <c r="P33960" s="11"/>
    </row>
    <row r="33961" spans="8:16" x14ac:dyDescent="0.25">
      <c r="H33961" s="12"/>
      <c r="I33961" s="12"/>
      <c r="J33961" s="12"/>
      <c r="K33961" s="12"/>
      <c r="L33961" s="12"/>
      <c r="M33961" s="11"/>
      <c r="N33961" s="11"/>
      <c r="O33961" s="11"/>
      <c r="P33961" s="11"/>
    </row>
    <row r="33962" spans="8:16" x14ac:dyDescent="0.25">
      <c r="H33962" s="12"/>
      <c r="I33962" s="12"/>
      <c r="J33962" s="12"/>
      <c r="K33962" s="12"/>
      <c r="L33962" s="12"/>
      <c r="M33962" s="11"/>
      <c r="N33962" s="11"/>
      <c r="O33962" s="11"/>
      <c r="P33962" s="11"/>
    </row>
    <row r="33963" spans="8:16" x14ac:dyDescent="0.25">
      <c r="H33963" s="12"/>
      <c r="I33963" s="12"/>
      <c r="J33963" s="12"/>
      <c r="K33963" s="12"/>
      <c r="L33963" s="12"/>
      <c r="M33963" s="11"/>
      <c r="N33963" s="11"/>
      <c r="O33963" s="11"/>
      <c r="P33963" s="11"/>
    </row>
    <row r="33964" spans="8:16" x14ac:dyDescent="0.25">
      <c r="H33964" s="12"/>
      <c r="I33964" s="12"/>
      <c r="J33964" s="12"/>
      <c r="K33964" s="12"/>
      <c r="L33964" s="12"/>
      <c r="M33964" s="11"/>
      <c r="N33964" s="11"/>
      <c r="O33964" s="11"/>
      <c r="P33964" s="11"/>
    </row>
    <row r="33965" spans="8:16" x14ac:dyDescent="0.25">
      <c r="H33965" s="12"/>
      <c r="I33965" s="12"/>
      <c r="J33965" s="12"/>
      <c r="K33965" s="12"/>
      <c r="L33965" s="12"/>
      <c r="M33965" s="11"/>
      <c r="N33965" s="11"/>
      <c r="O33965" s="11"/>
      <c r="P33965" s="11"/>
    </row>
    <row r="33966" spans="8:16" x14ac:dyDescent="0.25">
      <c r="H33966" s="12"/>
      <c r="I33966" s="12"/>
      <c r="J33966" s="12"/>
      <c r="K33966" s="12"/>
      <c r="L33966" s="12"/>
      <c r="M33966" s="11"/>
      <c r="N33966" s="11"/>
      <c r="O33966" s="11"/>
      <c r="P33966" s="11"/>
    </row>
    <row r="33967" spans="8:16" x14ac:dyDescent="0.25">
      <c r="H33967" s="12"/>
      <c r="I33967" s="12"/>
      <c r="J33967" s="12"/>
      <c r="K33967" s="12"/>
      <c r="L33967" s="12"/>
      <c r="M33967" s="11"/>
      <c r="N33967" s="11"/>
      <c r="O33967" s="11"/>
      <c r="P33967" s="11"/>
    </row>
    <row r="33968" spans="8:16" x14ac:dyDescent="0.25">
      <c r="H33968" s="12"/>
      <c r="I33968" s="12"/>
      <c r="J33968" s="12"/>
      <c r="K33968" s="12"/>
      <c r="L33968" s="12"/>
      <c r="M33968" s="11"/>
      <c r="N33968" s="11"/>
      <c r="O33968" s="11"/>
      <c r="P33968" s="11"/>
    </row>
    <row r="33969" spans="8:16" x14ac:dyDescent="0.25">
      <c r="H33969" s="12"/>
      <c r="I33969" s="12"/>
      <c r="J33969" s="12"/>
      <c r="K33969" s="12"/>
      <c r="L33969" s="12"/>
      <c r="M33969" s="11"/>
      <c r="N33969" s="11"/>
      <c r="O33969" s="11"/>
      <c r="P33969" s="11"/>
    </row>
    <row r="33970" spans="8:16" x14ac:dyDescent="0.25">
      <c r="H33970" s="12"/>
      <c r="I33970" s="12"/>
      <c r="J33970" s="12"/>
      <c r="K33970" s="12"/>
      <c r="L33970" s="12"/>
      <c r="M33970" s="11"/>
      <c r="N33970" s="11"/>
      <c r="O33970" s="11"/>
      <c r="P33970" s="11"/>
    </row>
    <row r="33971" spans="8:16" x14ac:dyDescent="0.25">
      <c r="H33971" s="12"/>
      <c r="I33971" s="12"/>
      <c r="J33971" s="12"/>
      <c r="K33971" s="12"/>
      <c r="L33971" s="12"/>
      <c r="M33971" s="11"/>
      <c r="N33971" s="11"/>
      <c r="O33971" s="11"/>
      <c r="P33971" s="11"/>
    </row>
    <row r="33972" spans="8:16" x14ac:dyDescent="0.25">
      <c r="H33972" s="12"/>
      <c r="I33972" s="12"/>
      <c r="J33972" s="12"/>
      <c r="K33972" s="12"/>
      <c r="L33972" s="12"/>
      <c r="M33972" s="11"/>
      <c r="N33972" s="11"/>
      <c r="O33972" s="11"/>
      <c r="P33972" s="11"/>
    </row>
    <row r="33973" spans="8:16" x14ac:dyDescent="0.25">
      <c r="H33973" s="12"/>
      <c r="I33973" s="12"/>
      <c r="J33973" s="12"/>
      <c r="K33973" s="12"/>
      <c r="L33973" s="12"/>
      <c r="M33973" s="11"/>
      <c r="N33973" s="11"/>
      <c r="O33973" s="11"/>
      <c r="P33973" s="11"/>
    </row>
    <row r="33974" spans="8:16" x14ac:dyDescent="0.25">
      <c r="H33974" s="12"/>
      <c r="I33974" s="12"/>
      <c r="J33974" s="12"/>
      <c r="K33974" s="12"/>
      <c r="L33974" s="12"/>
      <c r="M33974" s="11"/>
      <c r="N33974" s="11"/>
      <c r="O33974" s="11"/>
      <c r="P33974" s="11"/>
    </row>
    <row r="33975" spans="8:16" x14ac:dyDescent="0.25">
      <c r="H33975" s="12"/>
      <c r="I33975" s="12"/>
      <c r="J33975" s="12"/>
      <c r="K33975" s="12"/>
      <c r="L33975" s="12"/>
      <c r="M33975" s="11"/>
      <c r="N33975" s="11"/>
      <c r="O33975" s="11"/>
      <c r="P33975" s="11"/>
    </row>
    <row r="33976" spans="8:16" x14ac:dyDescent="0.25">
      <c r="H33976" s="12"/>
      <c r="I33976" s="12"/>
      <c r="J33976" s="12"/>
      <c r="K33976" s="12"/>
      <c r="L33976" s="12"/>
      <c r="M33976" s="11"/>
      <c r="N33976" s="11"/>
      <c r="O33976" s="11"/>
      <c r="P33976" s="11"/>
    </row>
    <row r="33977" spans="8:16" x14ac:dyDescent="0.25">
      <c r="H33977" s="12"/>
      <c r="I33977" s="12"/>
      <c r="J33977" s="12"/>
      <c r="K33977" s="12"/>
      <c r="L33977" s="12"/>
      <c r="M33977" s="11"/>
      <c r="N33977" s="11"/>
      <c r="O33977" s="11"/>
      <c r="P33977" s="11"/>
    </row>
    <row r="33978" spans="8:16" x14ac:dyDescent="0.25">
      <c r="H33978" s="12"/>
      <c r="I33978" s="12"/>
      <c r="J33978" s="12"/>
      <c r="K33978" s="12"/>
      <c r="L33978" s="12"/>
      <c r="M33978" s="11"/>
      <c r="N33978" s="11"/>
      <c r="O33978" s="11"/>
      <c r="P33978" s="11"/>
    </row>
    <row r="33979" spans="8:16" x14ac:dyDescent="0.25">
      <c r="H33979" s="12"/>
      <c r="I33979" s="12"/>
      <c r="J33979" s="12"/>
      <c r="K33979" s="12"/>
      <c r="L33979" s="12"/>
      <c r="M33979" s="11"/>
      <c r="N33979" s="11"/>
      <c r="O33979" s="11"/>
      <c r="P33979" s="11"/>
    </row>
    <row r="33980" spans="8:16" x14ac:dyDescent="0.25">
      <c r="H33980" s="12"/>
      <c r="I33980" s="12"/>
      <c r="J33980" s="12"/>
      <c r="K33980" s="12"/>
      <c r="L33980" s="12"/>
      <c r="M33980" s="11"/>
      <c r="N33980" s="11"/>
      <c r="O33980" s="11"/>
      <c r="P33980" s="11"/>
    </row>
    <row r="33981" spans="8:16" x14ac:dyDescent="0.25">
      <c r="H33981" s="12"/>
      <c r="I33981" s="12"/>
      <c r="J33981" s="12"/>
      <c r="K33981" s="12"/>
      <c r="L33981" s="12"/>
      <c r="M33981" s="11"/>
      <c r="N33981" s="11"/>
      <c r="O33981" s="11"/>
      <c r="P33981" s="11"/>
    </row>
    <row r="33982" spans="8:16" x14ac:dyDescent="0.25">
      <c r="H33982" s="12"/>
      <c r="I33982" s="12"/>
      <c r="J33982" s="12"/>
      <c r="K33982" s="12"/>
      <c r="L33982" s="12"/>
      <c r="M33982" s="11"/>
      <c r="N33982" s="11"/>
      <c r="O33982" s="11"/>
      <c r="P33982" s="11"/>
    </row>
    <row r="33983" spans="8:16" x14ac:dyDescent="0.25">
      <c r="H33983" s="12"/>
      <c r="I33983" s="12"/>
      <c r="J33983" s="12"/>
      <c r="K33983" s="12"/>
      <c r="L33983" s="12"/>
      <c r="M33983" s="11"/>
      <c r="N33983" s="11"/>
      <c r="O33983" s="11"/>
      <c r="P33983" s="11"/>
    </row>
    <row r="33984" spans="8:16" x14ac:dyDescent="0.25">
      <c r="H33984" s="12"/>
      <c r="I33984" s="12"/>
      <c r="J33984" s="12"/>
      <c r="K33984" s="12"/>
      <c r="L33984" s="12"/>
      <c r="M33984" s="11"/>
      <c r="N33984" s="11"/>
      <c r="O33984" s="11"/>
      <c r="P33984" s="11"/>
    </row>
    <row r="33985" spans="8:16" x14ac:dyDescent="0.25">
      <c r="H33985" s="12"/>
      <c r="I33985" s="12"/>
      <c r="J33985" s="12"/>
      <c r="K33985" s="12"/>
      <c r="L33985" s="12"/>
      <c r="M33985" s="11"/>
      <c r="N33985" s="11"/>
      <c r="O33985" s="11"/>
      <c r="P33985" s="11"/>
    </row>
    <row r="33986" spans="8:16" x14ac:dyDescent="0.25">
      <c r="H33986" s="12"/>
      <c r="I33986" s="12"/>
      <c r="J33986" s="12"/>
      <c r="K33986" s="12"/>
      <c r="L33986" s="12"/>
      <c r="M33986" s="11"/>
      <c r="N33986" s="11"/>
      <c r="O33986" s="11"/>
      <c r="P33986" s="11"/>
    </row>
    <row r="33987" spans="8:16" x14ac:dyDescent="0.25">
      <c r="H33987" s="12"/>
      <c r="I33987" s="12"/>
      <c r="J33987" s="12"/>
      <c r="K33987" s="12"/>
      <c r="L33987" s="12"/>
      <c r="M33987" s="11"/>
      <c r="N33987" s="11"/>
      <c r="O33987" s="11"/>
      <c r="P33987" s="11"/>
    </row>
    <row r="33988" spans="8:16" x14ac:dyDescent="0.25">
      <c r="H33988" s="12"/>
      <c r="I33988" s="12"/>
      <c r="J33988" s="12"/>
      <c r="K33988" s="12"/>
      <c r="L33988" s="12"/>
      <c r="M33988" s="11"/>
      <c r="N33988" s="11"/>
      <c r="O33988" s="11"/>
      <c r="P33988" s="11"/>
    </row>
    <row r="33989" spans="8:16" x14ac:dyDescent="0.25">
      <c r="H33989" s="12"/>
      <c r="I33989" s="12"/>
      <c r="J33989" s="12"/>
      <c r="K33989" s="12"/>
      <c r="L33989" s="12"/>
      <c r="M33989" s="11"/>
      <c r="N33989" s="11"/>
      <c r="O33989" s="11"/>
      <c r="P33989" s="11"/>
    </row>
    <row r="33990" spans="8:16" x14ac:dyDescent="0.25">
      <c r="H33990" s="12"/>
      <c r="I33990" s="12"/>
      <c r="J33990" s="12"/>
      <c r="K33990" s="12"/>
      <c r="L33990" s="12"/>
      <c r="M33990" s="11"/>
      <c r="N33990" s="11"/>
      <c r="O33990" s="11"/>
      <c r="P33990" s="11"/>
    </row>
    <row r="33991" spans="8:16" x14ac:dyDescent="0.25">
      <c r="H33991" s="12"/>
      <c r="I33991" s="12"/>
      <c r="J33991" s="12"/>
      <c r="K33991" s="12"/>
      <c r="L33991" s="12"/>
      <c r="M33991" s="11"/>
      <c r="N33991" s="11"/>
      <c r="O33991" s="11"/>
      <c r="P33991" s="11"/>
    </row>
    <row r="33992" spans="8:16" x14ac:dyDescent="0.25">
      <c r="H33992" s="12"/>
      <c r="I33992" s="12"/>
      <c r="J33992" s="12"/>
      <c r="K33992" s="12"/>
      <c r="L33992" s="12"/>
      <c r="M33992" s="11"/>
      <c r="N33992" s="11"/>
      <c r="O33992" s="11"/>
      <c r="P33992" s="11"/>
    </row>
    <row r="33993" spans="8:16" x14ac:dyDescent="0.25">
      <c r="H33993" s="12"/>
      <c r="I33993" s="12"/>
      <c r="J33993" s="12"/>
      <c r="K33993" s="12"/>
      <c r="L33993" s="12"/>
      <c r="M33993" s="11"/>
      <c r="N33993" s="11"/>
      <c r="O33993" s="11"/>
      <c r="P33993" s="11"/>
    </row>
    <row r="33994" spans="8:16" x14ac:dyDescent="0.25">
      <c r="H33994" s="12"/>
      <c r="I33994" s="12"/>
      <c r="J33994" s="12"/>
      <c r="K33994" s="12"/>
      <c r="L33994" s="12"/>
      <c r="M33994" s="11"/>
      <c r="N33994" s="11"/>
      <c r="O33994" s="11"/>
      <c r="P33994" s="11"/>
    </row>
    <row r="33995" spans="8:16" x14ac:dyDescent="0.25">
      <c r="H33995" s="12"/>
      <c r="I33995" s="12"/>
      <c r="J33995" s="12"/>
      <c r="K33995" s="12"/>
      <c r="L33995" s="12"/>
      <c r="M33995" s="11"/>
      <c r="N33995" s="11"/>
      <c r="O33995" s="11"/>
      <c r="P33995" s="11"/>
    </row>
    <row r="33996" spans="8:16" x14ac:dyDescent="0.25">
      <c r="H33996" s="12"/>
      <c r="I33996" s="12"/>
      <c r="J33996" s="12"/>
      <c r="K33996" s="12"/>
      <c r="L33996" s="12"/>
      <c r="M33996" s="11"/>
      <c r="N33996" s="11"/>
      <c r="O33996" s="11"/>
      <c r="P33996" s="11"/>
    </row>
    <row r="33997" spans="8:16" x14ac:dyDescent="0.25">
      <c r="H33997" s="12"/>
      <c r="I33997" s="12"/>
      <c r="J33997" s="12"/>
      <c r="K33997" s="12"/>
      <c r="L33997" s="12"/>
      <c r="M33997" s="11"/>
      <c r="N33997" s="11"/>
      <c r="O33997" s="11"/>
      <c r="P33997" s="11"/>
    </row>
    <row r="33998" spans="8:16" x14ac:dyDescent="0.25">
      <c r="H33998" s="12"/>
      <c r="I33998" s="12"/>
      <c r="J33998" s="12"/>
      <c r="K33998" s="12"/>
      <c r="L33998" s="12"/>
      <c r="M33998" s="11"/>
      <c r="N33998" s="11"/>
      <c r="O33998" s="11"/>
      <c r="P33998" s="11"/>
    </row>
    <row r="33999" spans="8:16" x14ac:dyDescent="0.25">
      <c r="H33999" s="12"/>
      <c r="I33999" s="12"/>
      <c r="J33999" s="12"/>
      <c r="K33999" s="12"/>
      <c r="L33999" s="12"/>
      <c r="M33999" s="11"/>
      <c r="N33999" s="11"/>
      <c r="O33999" s="11"/>
      <c r="P33999" s="11"/>
    </row>
    <row r="34000" spans="8:16" x14ac:dyDescent="0.25">
      <c r="H34000" s="12"/>
      <c r="I34000" s="12"/>
      <c r="J34000" s="12"/>
      <c r="K34000" s="12"/>
      <c r="L34000" s="12"/>
      <c r="M34000" s="11"/>
      <c r="N34000" s="11"/>
      <c r="O34000" s="11"/>
      <c r="P34000" s="11"/>
    </row>
    <row r="34001" spans="8:16" x14ac:dyDescent="0.25">
      <c r="H34001" s="12"/>
      <c r="I34001" s="12"/>
      <c r="J34001" s="12"/>
      <c r="K34001" s="12"/>
      <c r="L34001" s="12"/>
      <c r="M34001" s="11"/>
      <c r="N34001" s="11"/>
      <c r="O34001" s="11"/>
      <c r="P34001" s="11"/>
    </row>
    <row r="34002" spans="8:16" x14ac:dyDescent="0.25">
      <c r="H34002" s="12"/>
      <c r="I34002" s="12"/>
      <c r="J34002" s="12"/>
      <c r="K34002" s="12"/>
      <c r="L34002" s="12"/>
      <c r="M34002" s="11"/>
      <c r="N34002" s="11"/>
      <c r="O34002" s="11"/>
      <c r="P34002" s="11"/>
    </row>
    <row r="34003" spans="8:16" x14ac:dyDescent="0.25">
      <c r="H34003" s="12"/>
      <c r="I34003" s="12"/>
      <c r="J34003" s="12"/>
      <c r="K34003" s="12"/>
      <c r="L34003" s="12"/>
      <c r="M34003" s="11"/>
      <c r="N34003" s="11"/>
      <c r="O34003" s="11"/>
      <c r="P34003" s="11"/>
    </row>
    <row r="34004" spans="8:16" x14ac:dyDescent="0.25">
      <c r="H34004" s="12"/>
      <c r="I34004" s="12"/>
      <c r="J34004" s="12"/>
      <c r="K34004" s="12"/>
      <c r="L34004" s="12"/>
      <c r="M34004" s="11"/>
      <c r="N34004" s="11"/>
      <c r="O34004" s="11"/>
      <c r="P34004" s="11"/>
    </row>
    <row r="34005" spans="8:16" x14ac:dyDescent="0.25">
      <c r="H34005" s="12"/>
      <c r="I34005" s="12"/>
      <c r="J34005" s="12"/>
      <c r="K34005" s="12"/>
      <c r="L34005" s="12"/>
      <c r="M34005" s="11"/>
      <c r="N34005" s="11"/>
      <c r="O34005" s="11"/>
      <c r="P34005" s="11"/>
    </row>
    <row r="34006" spans="8:16" x14ac:dyDescent="0.25">
      <c r="H34006" s="12"/>
      <c r="I34006" s="12"/>
      <c r="J34006" s="12"/>
      <c r="K34006" s="12"/>
      <c r="L34006" s="12"/>
      <c r="M34006" s="11"/>
      <c r="N34006" s="11"/>
      <c r="O34006" s="11"/>
      <c r="P34006" s="11"/>
    </row>
    <row r="34007" spans="8:16" x14ac:dyDescent="0.25">
      <c r="H34007" s="12"/>
      <c r="I34007" s="12"/>
      <c r="J34007" s="12"/>
      <c r="K34007" s="12"/>
      <c r="L34007" s="12"/>
      <c r="M34007" s="11"/>
      <c r="N34007" s="11"/>
      <c r="O34007" s="11"/>
      <c r="P34007" s="11"/>
    </row>
    <row r="34008" spans="8:16" x14ac:dyDescent="0.25">
      <c r="H34008" s="12"/>
      <c r="I34008" s="12"/>
      <c r="J34008" s="12"/>
      <c r="K34008" s="12"/>
      <c r="L34008" s="12"/>
      <c r="M34008" s="11"/>
      <c r="N34008" s="11"/>
      <c r="O34008" s="11"/>
      <c r="P34008" s="11"/>
    </row>
    <row r="34009" spans="8:16" x14ac:dyDescent="0.25">
      <c r="H34009" s="12"/>
      <c r="I34009" s="12"/>
      <c r="J34009" s="12"/>
      <c r="K34009" s="12"/>
      <c r="L34009" s="12"/>
      <c r="M34009" s="11"/>
      <c r="N34009" s="11"/>
      <c r="O34009" s="11"/>
      <c r="P34009" s="11"/>
    </row>
    <row r="34010" spans="8:16" x14ac:dyDescent="0.25">
      <c r="H34010" s="12"/>
      <c r="I34010" s="12"/>
      <c r="J34010" s="12"/>
      <c r="K34010" s="12"/>
      <c r="L34010" s="12"/>
      <c r="M34010" s="11"/>
      <c r="N34010" s="11"/>
      <c r="O34010" s="11"/>
      <c r="P34010" s="11"/>
    </row>
    <row r="34011" spans="8:16" x14ac:dyDescent="0.25">
      <c r="H34011" s="12"/>
      <c r="I34011" s="12"/>
      <c r="J34011" s="12"/>
      <c r="K34011" s="12"/>
      <c r="L34011" s="12"/>
      <c r="M34011" s="11"/>
      <c r="N34011" s="11"/>
      <c r="O34011" s="11"/>
      <c r="P34011" s="11"/>
    </row>
    <row r="34012" spans="8:16" x14ac:dyDescent="0.25">
      <c r="H34012" s="12"/>
      <c r="I34012" s="12"/>
      <c r="J34012" s="12"/>
      <c r="K34012" s="12"/>
      <c r="L34012" s="12"/>
      <c r="M34012" s="11"/>
      <c r="N34012" s="11"/>
      <c r="O34012" s="11"/>
      <c r="P34012" s="11"/>
    </row>
    <row r="34013" spans="8:16" x14ac:dyDescent="0.25">
      <c r="H34013" s="12"/>
      <c r="I34013" s="12"/>
      <c r="J34013" s="12"/>
      <c r="K34013" s="12"/>
      <c r="L34013" s="12"/>
      <c r="M34013" s="11"/>
      <c r="N34013" s="11"/>
      <c r="O34013" s="11"/>
      <c r="P34013" s="11"/>
    </row>
    <row r="34014" spans="8:16" x14ac:dyDescent="0.25">
      <c r="H34014" s="12"/>
      <c r="I34014" s="12"/>
      <c r="J34014" s="12"/>
      <c r="K34014" s="12"/>
      <c r="L34014" s="12"/>
      <c r="M34014" s="11"/>
      <c r="N34014" s="11"/>
      <c r="O34014" s="11"/>
      <c r="P34014" s="11"/>
    </row>
    <row r="34015" spans="8:16" x14ac:dyDescent="0.25">
      <c r="H34015" s="12"/>
      <c r="I34015" s="12"/>
      <c r="J34015" s="12"/>
      <c r="K34015" s="12"/>
      <c r="L34015" s="12"/>
      <c r="M34015" s="11"/>
      <c r="N34015" s="11"/>
      <c r="O34015" s="11"/>
      <c r="P34015" s="11"/>
    </row>
    <row r="34016" spans="8:16" x14ac:dyDescent="0.25">
      <c r="H34016" s="12"/>
      <c r="I34016" s="12"/>
      <c r="J34016" s="12"/>
      <c r="K34016" s="12"/>
      <c r="L34016" s="12"/>
      <c r="M34016" s="11"/>
      <c r="N34016" s="11"/>
      <c r="O34016" s="11"/>
      <c r="P34016" s="11"/>
    </row>
    <row r="34017" spans="8:16" x14ac:dyDescent="0.25">
      <c r="H34017" s="12"/>
      <c r="I34017" s="12"/>
      <c r="J34017" s="12"/>
      <c r="K34017" s="12"/>
      <c r="L34017" s="12"/>
      <c r="M34017" s="11"/>
      <c r="N34017" s="11"/>
      <c r="O34017" s="11"/>
      <c r="P34017" s="11"/>
    </row>
    <row r="34018" spans="8:16" x14ac:dyDescent="0.25">
      <c r="H34018" s="12"/>
      <c r="I34018" s="12"/>
      <c r="J34018" s="12"/>
      <c r="K34018" s="12"/>
      <c r="L34018" s="12"/>
      <c r="M34018" s="11"/>
      <c r="N34018" s="11"/>
      <c r="O34018" s="11"/>
      <c r="P34018" s="11"/>
    </row>
    <row r="34019" spans="8:16" x14ac:dyDescent="0.25">
      <c r="H34019" s="12"/>
      <c r="I34019" s="12"/>
      <c r="J34019" s="12"/>
      <c r="K34019" s="12"/>
      <c r="L34019" s="12"/>
      <c r="M34019" s="11"/>
      <c r="N34019" s="11"/>
      <c r="O34019" s="11"/>
      <c r="P34019" s="11"/>
    </row>
    <row r="34020" spans="8:16" x14ac:dyDescent="0.25">
      <c r="H34020" s="12"/>
      <c r="I34020" s="12"/>
      <c r="J34020" s="12"/>
      <c r="K34020" s="12"/>
      <c r="L34020" s="12"/>
      <c r="M34020" s="11"/>
      <c r="N34020" s="11"/>
      <c r="O34020" s="11"/>
      <c r="P34020" s="11"/>
    </row>
    <row r="34021" spans="8:16" x14ac:dyDescent="0.25">
      <c r="H34021" s="12"/>
      <c r="I34021" s="12"/>
      <c r="J34021" s="12"/>
      <c r="K34021" s="12"/>
      <c r="L34021" s="12"/>
      <c r="M34021" s="11"/>
      <c r="N34021" s="11"/>
      <c r="O34021" s="11"/>
      <c r="P34021" s="11"/>
    </row>
    <row r="34022" spans="8:16" x14ac:dyDescent="0.25">
      <c r="H34022" s="12"/>
      <c r="I34022" s="12"/>
      <c r="J34022" s="12"/>
      <c r="K34022" s="12"/>
      <c r="L34022" s="12"/>
      <c r="M34022" s="11"/>
      <c r="N34022" s="11"/>
      <c r="O34022" s="11"/>
      <c r="P34022" s="11"/>
    </row>
    <row r="34023" spans="8:16" x14ac:dyDescent="0.25">
      <c r="H34023" s="12"/>
      <c r="I34023" s="12"/>
      <c r="J34023" s="12"/>
      <c r="K34023" s="12"/>
      <c r="L34023" s="12"/>
      <c r="M34023" s="11"/>
      <c r="N34023" s="11"/>
      <c r="O34023" s="11"/>
      <c r="P34023" s="11"/>
    </row>
    <row r="34024" spans="8:16" x14ac:dyDescent="0.25">
      <c r="H34024" s="12"/>
      <c r="I34024" s="12"/>
      <c r="J34024" s="12"/>
      <c r="K34024" s="12"/>
      <c r="L34024" s="12"/>
      <c r="M34024" s="11"/>
      <c r="N34024" s="11"/>
      <c r="O34024" s="11"/>
      <c r="P34024" s="11"/>
    </row>
    <row r="34025" spans="8:16" x14ac:dyDescent="0.25">
      <c r="H34025" s="12"/>
      <c r="I34025" s="12"/>
      <c r="J34025" s="12"/>
      <c r="K34025" s="12"/>
      <c r="L34025" s="12"/>
      <c r="M34025" s="11"/>
      <c r="N34025" s="11"/>
      <c r="O34025" s="11"/>
      <c r="P34025" s="11"/>
    </row>
    <row r="34026" spans="8:16" x14ac:dyDescent="0.25">
      <c r="H34026" s="12"/>
      <c r="I34026" s="12"/>
      <c r="J34026" s="12"/>
      <c r="K34026" s="12"/>
      <c r="L34026" s="12"/>
      <c r="M34026" s="11"/>
      <c r="N34026" s="11"/>
      <c r="O34026" s="11"/>
      <c r="P34026" s="11"/>
    </row>
    <row r="34027" spans="8:16" x14ac:dyDescent="0.25">
      <c r="H34027" s="12"/>
      <c r="I34027" s="12"/>
      <c r="J34027" s="12"/>
      <c r="K34027" s="12"/>
      <c r="L34027" s="12"/>
      <c r="M34027" s="11"/>
      <c r="N34027" s="11"/>
      <c r="O34027" s="11"/>
      <c r="P34027" s="11"/>
    </row>
    <row r="34028" spans="8:16" x14ac:dyDescent="0.25">
      <c r="H34028" s="12"/>
      <c r="I34028" s="12"/>
      <c r="J34028" s="12"/>
      <c r="K34028" s="12"/>
      <c r="L34028" s="12"/>
      <c r="M34028" s="11"/>
      <c r="N34028" s="11"/>
      <c r="O34028" s="11"/>
      <c r="P34028" s="11"/>
    </row>
    <row r="34029" spans="8:16" x14ac:dyDescent="0.25">
      <c r="H34029" s="12"/>
      <c r="I34029" s="12"/>
      <c r="J34029" s="12"/>
      <c r="K34029" s="12"/>
      <c r="L34029" s="12"/>
      <c r="M34029" s="11"/>
      <c r="N34029" s="11"/>
      <c r="O34029" s="11"/>
      <c r="P34029" s="11"/>
    </row>
    <row r="34030" spans="8:16" x14ac:dyDescent="0.25">
      <c r="H34030" s="12"/>
      <c r="I34030" s="12"/>
      <c r="J34030" s="12"/>
      <c r="K34030" s="12"/>
      <c r="L34030" s="12"/>
      <c r="M34030" s="11"/>
      <c r="N34030" s="11"/>
      <c r="O34030" s="11"/>
      <c r="P34030" s="11"/>
    </row>
    <row r="34031" spans="8:16" x14ac:dyDescent="0.25">
      <c r="H34031" s="12"/>
      <c r="I34031" s="12"/>
      <c r="J34031" s="12"/>
      <c r="K34031" s="12"/>
      <c r="L34031" s="12"/>
      <c r="M34031" s="11"/>
      <c r="N34031" s="11"/>
      <c r="O34031" s="11"/>
      <c r="P34031" s="11"/>
    </row>
    <row r="34032" spans="8:16" x14ac:dyDescent="0.25">
      <c r="H34032" s="12"/>
      <c r="I34032" s="12"/>
      <c r="J34032" s="12"/>
      <c r="K34032" s="12"/>
      <c r="L34032" s="12"/>
      <c r="M34032" s="11"/>
      <c r="N34032" s="11"/>
      <c r="O34032" s="11"/>
      <c r="P34032" s="11"/>
    </row>
    <row r="34033" spans="8:16" x14ac:dyDescent="0.25">
      <c r="H34033" s="12"/>
      <c r="I34033" s="12"/>
      <c r="J34033" s="12"/>
      <c r="K34033" s="12"/>
      <c r="L34033" s="12"/>
      <c r="M34033" s="11"/>
      <c r="N34033" s="11"/>
      <c r="O34033" s="11"/>
      <c r="P34033" s="11"/>
    </row>
    <row r="34034" spans="8:16" x14ac:dyDescent="0.25">
      <c r="H34034" s="12"/>
      <c r="I34034" s="12"/>
      <c r="J34034" s="12"/>
      <c r="K34034" s="12"/>
      <c r="L34034" s="12"/>
      <c r="M34034" s="11"/>
      <c r="N34034" s="11"/>
      <c r="O34034" s="11"/>
      <c r="P34034" s="11"/>
    </row>
    <row r="34035" spans="8:16" x14ac:dyDescent="0.25">
      <c r="H34035" s="12"/>
      <c r="I34035" s="12"/>
      <c r="J34035" s="12"/>
      <c r="K34035" s="12"/>
      <c r="L34035" s="12"/>
      <c r="M34035" s="11"/>
      <c r="N34035" s="11"/>
      <c r="O34035" s="11"/>
      <c r="P34035" s="11"/>
    </row>
    <row r="34036" spans="8:16" x14ac:dyDescent="0.25">
      <c r="H34036" s="12"/>
      <c r="I34036" s="12"/>
      <c r="J34036" s="12"/>
      <c r="K34036" s="12"/>
      <c r="L34036" s="12"/>
      <c r="M34036" s="11"/>
      <c r="N34036" s="11"/>
      <c r="O34036" s="11"/>
      <c r="P34036" s="11"/>
    </row>
    <row r="34037" spans="8:16" x14ac:dyDescent="0.25">
      <c r="H34037" s="12"/>
      <c r="I34037" s="12"/>
      <c r="J34037" s="12"/>
      <c r="K34037" s="12"/>
      <c r="L34037" s="12"/>
      <c r="M34037" s="11"/>
      <c r="N34037" s="11"/>
      <c r="O34037" s="11"/>
      <c r="P34037" s="11"/>
    </row>
    <row r="34038" spans="8:16" x14ac:dyDescent="0.25">
      <c r="H34038" s="12"/>
      <c r="I34038" s="12"/>
      <c r="J34038" s="12"/>
      <c r="K34038" s="12"/>
      <c r="L34038" s="12"/>
      <c r="M34038" s="11"/>
      <c r="N34038" s="11"/>
      <c r="O34038" s="11"/>
      <c r="P34038" s="11"/>
    </row>
    <row r="34039" spans="8:16" x14ac:dyDescent="0.25">
      <c r="H34039" s="12"/>
      <c r="I34039" s="12"/>
      <c r="J34039" s="12"/>
      <c r="K34039" s="12"/>
      <c r="L34039" s="12"/>
      <c r="M34039" s="11"/>
      <c r="N34039" s="11"/>
      <c r="O34039" s="11"/>
      <c r="P34039" s="11"/>
    </row>
    <row r="34040" spans="8:16" x14ac:dyDescent="0.25">
      <c r="H34040" s="12"/>
      <c r="I34040" s="12"/>
      <c r="J34040" s="12"/>
      <c r="K34040" s="12"/>
      <c r="L34040" s="12"/>
      <c r="M34040" s="11"/>
      <c r="N34040" s="11"/>
      <c r="O34040" s="11"/>
      <c r="P34040" s="11"/>
    </row>
    <row r="34041" spans="8:16" x14ac:dyDescent="0.25">
      <c r="H34041" s="12"/>
      <c r="I34041" s="12"/>
      <c r="J34041" s="12"/>
      <c r="K34041" s="12"/>
      <c r="L34041" s="12"/>
      <c r="M34041" s="11"/>
      <c r="N34041" s="11"/>
      <c r="O34041" s="11"/>
      <c r="P34041" s="11"/>
    </row>
    <row r="34042" spans="8:16" x14ac:dyDescent="0.25">
      <c r="H34042" s="12"/>
      <c r="I34042" s="12"/>
      <c r="J34042" s="12"/>
      <c r="K34042" s="12"/>
      <c r="L34042" s="12"/>
      <c r="M34042" s="11"/>
      <c r="N34042" s="11"/>
      <c r="O34042" s="11"/>
      <c r="P34042" s="11"/>
    </row>
    <row r="34043" spans="8:16" x14ac:dyDescent="0.25">
      <c r="H34043" s="12"/>
      <c r="I34043" s="12"/>
      <c r="J34043" s="12"/>
      <c r="K34043" s="12"/>
      <c r="L34043" s="12"/>
      <c r="M34043" s="11"/>
      <c r="N34043" s="11"/>
      <c r="O34043" s="11"/>
      <c r="P34043" s="11"/>
    </row>
    <row r="34044" spans="8:16" x14ac:dyDescent="0.25">
      <c r="H34044" s="12"/>
      <c r="I34044" s="12"/>
      <c r="J34044" s="12"/>
      <c r="K34044" s="12"/>
      <c r="L34044" s="12"/>
      <c r="M34044" s="11"/>
      <c r="N34044" s="11"/>
      <c r="O34044" s="11"/>
      <c r="P34044" s="11"/>
    </row>
    <row r="34045" spans="8:16" x14ac:dyDescent="0.25">
      <c r="H34045" s="12"/>
      <c r="I34045" s="12"/>
      <c r="J34045" s="12"/>
      <c r="K34045" s="12"/>
      <c r="L34045" s="12"/>
      <c r="M34045" s="11"/>
      <c r="N34045" s="11"/>
      <c r="O34045" s="11"/>
      <c r="P34045" s="11"/>
    </row>
    <row r="34046" spans="8:16" x14ac:dyDescent="0.25">
      <c r="H34046" s="12"/>
      <c r="I34046" s="12"/>
      <c r="J34046" s="12"/>
      <c r="K34046" s="12"/>
      <c r="L34046" s="12"/>
      <c r="M34046" s="11"/>
      <c r="N34046" s="11"/>
      <c r="O34046" s="11"/>
      <c r="P34046" s="11"/>
    </row>
    <row r="34047" spans="8:16" x14ac:dyDescent="0.25">
      <c r="H34047" s="12"/>
      <c r="I34047" s="12"/>
      <c r="J34047" s="12"/>
      <c r="K34047" s="12"/>
      <c r="L34047" s="12"/>
      <c r="M34047" s="11"/>
      <c r="N34047" s="11"/>
      <c r="O34047" s="11"/>
      <c r="P34047" s="11"/>
    </row>
    <row r="34048" spans="8:16" x14ac:dyDescent="0.25">
      <c r="H34048" s="12"/>
      <c r="I34048" s="12"/>
      <c r="J34048" s="12"/>
      <c r="K34048" s="12"/>
      <c r="L34048" s="12"/>
      <c r="M34048" s="11"/>
      <c r="N34048" s="11"/>
      <c r="O34048" s="11"/>
      <c r="P34048" s="11"/>
    </row>
    <row r="34049" spans="8:16" x14ac:dyDescent="0.25">
      <c r="H34049" s="12"/>
      <c r="I34049" s="12"/>
      <c r="J34049" s="12"/>
      <c r="K34049" s="12"/>
      <c r="L34049" s="12"/>
      <c r="M34049" s="11"/>
      <c r="N34049" s="11"/>
      <c r="O34049" s="11"/>
      <c r="P34049" s="11"/>
    </row>
    <row r="34050" spans="8:16" x14ac:dyDescent="0.25">
      <c r="H34050" s="12"/>
      <c r="I34050" s="12"/>
      <c r="J34050" s="12"/>
      <c r="K34050" s="12"/>
      <c r="L34050" s="12"/>
      <c r="M34050" s="11"/>
      <c r="N34050" s="11"/>
      <c r="O34050" s="11"/>
      <c r="P34050" s="11"/>
    </row>
    <row r="34051" spans="8:16" x14ac:dyDescent="0.25">
      <c r="H34051" s="12"/>
      <c r="I34051" s="12"/>
      <c r="J34051" s="12"/>
      <c r="K34051" s="12"/>
      <c r="L34051" s="12"/>
      <c r="M34051" s="11"/>
      <c r="N34051" s="11"/>
      <c r="O34051" s="11"/>
      <c r="P34051" s="11"/>
    </row>
    <row r="34052" spans="8:16" x14ac:dyDescent="0.25">
      <c r="H34052" s="12"/>
      <c r="I34052" s="12"/>
      <c r="J34052" s="12"/>
      <c r="K34052" s="12"/>
      <c r="L34052" s="12"/>
      <c r="M34052" s="11"/>
      <c r="N34052" s="11"/>
      <c r="O34052" s="11"/>
      <c r="P34052" s="11"/>
    </row>
    <row r="34053" spans="8:16" x14ac:dyDescent="0.25">
      <c r="H34053" s="12"/>
      <c r="I34053" s="12"/>
      <c r="J34053" s="12"/>
      <c r="K34053" s="12"/>
      <c r="L34053" s="12"/>
      <c r="M34053" s="11"/>
      <c r="N34053" s="11"/>
      <c r="O34053" s="11"/>
      <c r="P34053" s="11"/>
    </row>
    <row r="34054" spans="8:16" x14ac:dyDescent="0.25">
      <c r="H34054" s="12"/>
      <c r="I34054" s="12"/>
      <c r="J34054" s="12"/>
      <c r="K34054" s="12"/>
      <c r="L34054" s="12"/>
      <c r="M34054" s="11"/>
      <c r="N34054" s="11"/>
      <c r="O34054" s="11"/>
      <c r="P34054" s="11"/>
    </row>
    <row r="34055" spans="8:16" x14ac:dyDescent="0.25">
      <c r="H34055" s="12"/>
      <c r="I34055" s="12"/>
      <c r="J34055" s="12"/>
      <c r="K34055" s="12"/>
      <c r="L34055" s="12"/>
      <c r="M34055" s="11"/>
      <c r="N34055" s="11"/>
      <c r="O34055" s="11"/>
      <c r="P34055" s="11"/>
    </row>
    <row r="34056" spans="8:16" x14ac:dyDescent="0.25">
      <c r="H34056" s="12"/>
      <c r="I34056" s="12"/>
      <c r="J34056" s="12"/>
      <c r="K34056" s="12"/>
      <c r="L34056" s="12"/>
      <c r="M34056" s="11"/>
      <c r="N34056" s="11"/>
      <c r="O34056" s="11"/>
      <c r="P34056" s="11"/>
    </row>
    <row r="34057" spans="8:16" x14ac:dyDescent="0.25">
      <c r="H34057" s="12"/>
      <c r="I34057" s="12"/>
      <c r="J34057" s="12"/>
      <c r="K34057" s="12"/>
      <c r="L34057" s="12"/>
      <c r="M34057" s="11"/>
      <c r="N34057" s="11"/>
      <c r="O34057" s="11"/>
      <c r="P34057" s="11"/>
    </row>
    <row r="34058" spans="8:16" x14ac:dyDescent="0.25">
      <c r="H34058" s="12"/>
      <c r="I34058" s="12"/>
      <c r="J34058" s="12"/>
      <c r="K34058" s="12"/>
      <c r="L34058" s="12"/>
      <c r="M34058" s="11"/>
      <c r="N34058" s="11"/>
      <c r="O34058" s="11"/>
      <c r="P34058" s="11"/>
    </row>
    <row r="34059" spans="8:16" x14ac:dyDescent="0.25">
      <c r="H34059" s="12"/>
      <c r="I34059" s="12"/>
      <c r="J34059" s="12"/>
      <c r="K34059" s="12"/>
      <c r="L34059" s="12"/>
      <c r="M34059" s="11"/>
      <c r="N34059" s="11"/>
      <c r="O34059" s="11"/>
      <c r="P34059" s="11"/>
    </row>
    <row r="34060" spans="8:16" x14ac:dyDescent="0.25">
      <c r="H34060" s="12"/>
      <c r="I34060" s="12"/>
      <c r="J34060" s="12"/>
      <c r="K34060" s="12"/>
      <c r="L34060" s="12"/>
      <c r="M34060" s="11"/>
      <c r="N34060" s="11"/>
      <c r="O34060" s="11"/>
      <c r="P34060" s="11"/>
    </row>
    <row r="34061" spans="8:16" x14ac:dyDescent="0.25">
      <c r="H34061" s="12"/>
      <c r="I34061" s="12"/>
      <c r="J34061" s="12"/>
      <c r="K34061" s="12"/>
      <c r="L34061" s="12"/>
      <c r="M34061" s="11"/>
      <c r="N34061" s="11"/>
      <c r="O34061" s="11"/>
      <c r="P34061" s="11"/>
    </row>
    <row r="34062" spans="8:16" x14ac:dyDescent="0.25">
      <c r="H34062" s="12"/>
      <c r="I34062" s="12"/>
      <c r="J34062" s="12"/>
      <c r="K34062" s="12"/>
      <c r="L34062" s="12"/>
      <c r="M34062" s="11"/>
      <c r="N34062" s="11"/>
      <c r="O34062" s="11"/>
      <c r="P34062" s="11"/>
    </row>
    <row r="34063" spans="8:16" x14ac:dyDescent="0.25">
      <c r="H34063" s="12"/>
      <c r="I34063" s="12"/>
      <c r="J34063" s="12"/>
      <c r="K34063" s="12"/>
      <c r="L34063" s="12"/>
      <c r="M34063" s="11"/>
      <c r="N34063" s="11"/>
      <c r="O34063" s="11"/>
      <c r="P34063" s="11"/>
    </row>
    <row r="34064" spans="8:16" x14ac:dyDescent="0.25">
      <c r="H34064" s="12"/>
      <c r="I34064" s="12"/>
      <c r="J34064" s="12"/>
      <c r="K34064" s="12"/>
      <c r="L34064" s="12"/>
      <c r="M34064" s="11"/>
      <c r="N34064" s="11"/>
      <c r="O34064" s="11"/>
      <c r="P34064" s="11"/>
    </row>
    <row r="34065" spans="8:16" x14ac:dyDescent="0.25">
      <c r="H34065" s="12"/>
      <c r="I34065" s="12"/>
      <c r="J34065" s="12"/>
      <c r="K34065" s="12"/>
      <c r="L34065" s="12"/>
      <c r="M34065" s="11"/>
      <c r="N34065" s="11"/>
      <c r="O34065" s="11"/>
      <c r="P34065" s="11"/>
    </row>
    <row r="34066" spans="8:16" x14ac:dyDescent="0.25">
      <c r="H34066" s="12"/>
      <c r="I34066" s="12"/>
      <c r="J34066" s="12"/>
      <c r="K34066" s="12"/>
      <c r="L34066" s="12"/>
      <c r="M34066" s="11"/>
      <c r="N34066" s="11"/>
      <c r="O34066" s="11"/>
      <c r="P34066" s="11"/>
    </row>
    <row r="34067" spans="8:16" x14ac:dyDescent="0.25">
      <c r="H34067" s="12"/>
      <c r="I34067" s="12"/>
      <c r="J34067" s="12"/>
      <c r="K34067" s="12"/>
      <c r="L34067" s="12"/>
      <c r="M34067" s="11"/>
      <c r="N34067" s="11"/>
      <c r="O34067" s="11"/>
      <c r="P34067" s="11"/>
    </row>
    <row r="34068" spans="8:16" x14ac:dyDescent="0.25">
      <c r="H34068" s="12"/>
      <c r="I34068" s="12"/>
      <c r="J34068" s="12"/>
      <c r="K34068" s="12"/>
      <c r="L34068" s="12"/>
      <c r="M34068" s="11"/>
      <c r="N34068" s="11"/>
      <c r="O34068" s="11"/>
      <c r="P34068" s="11"/>
    </row>
    <row r="34069" spans="8:16" x14ac:dyDescent="0.25">
      <c r="H34069" s="12"/>
      <c r="I34069" s="12"/>
      <c r="J34069" s="12"/>
      <c r="K34069" s="12"/>
      <c r="L34069" s="12"/>
      <c r="M34069" s="11"/>
      <c r="N34069" s="11"/>
      <c r="O34069" s="11"/>
      <c r="P34069" s="11"/>
    </row>
    <row r="34070" spans="8:16" x14ac:dyDescent="0.25">
      <c r="H34070" s="12"/>
      <c r="I34070" s="12"/>
      <c r="J34070" s="12"/>
      <c r="K34070" s="12"/>
      <c r="L34070" s="12"/>
      <c r="M34070" s="11"/>
      <c r="N34070" s="11"/>
      <c r="O34070" s="11"/>
      <c r="P34070" s="11"/>
    </row>
    <row r="34071" spans="8:16" x14ac:dyDescent="0.25">
      <c r="H34071" s="12"/>
      <c r="I34071" s="12"/>
      <c r="J34071" s="12"/>
      <c r="K34071" s="12"/>
      <c r="L34071" s="12"/>
      <c r="M34071" s="11"/>
      <c r="N34071" s="11"/>
      <c r="O34071" s="11"/>
      <c r="P34071" s="11"/>
    </row>
    <row r="34072" spans="8:16" x14ac:dyDescent="0.25">
      <c r="H34072" s="12"/>
      <c r="I34072" s="12"/>
      <c r="J34072" s="12"/>
      <c r="K34072" s="12"/>
      <c r="L34072" s="12"/>
      <c r="M34072" s="11"/>
      <c r="N34072" s="11"/>
      <c r="O34072" s="11"/>
      <c r="P34072" s="11"/>
    </row>
    <row r="34073" spans="8:16" x14ac:dyDescent="0.25">
      <c r="H34073" s="12"/>
      <c r="I34073" s="12"/>
      <c r="J34073" s="12"/>
      <c r="K34073" s="12"/>
      <c r="L34073" s="12"/>
      <c r="M34073" s="11"/>
      <c r="N34073" s="11"/>
      <c r="O34073" s="11"/>
      <c r="P34073" s="11"/>
    </row>
    <row r="34074" spans="8:16" x14ac:dyDescent="0.25">
      <c r="H34074" s="12"/>
      <c r="I34074" s="12"/>
      <c r="J34074" s="12"/>
      <c r="K34074" s="12"/>
      <c r="L34074" s="12"/>
      <c r="M34074" s="11"/>
      <c r="N34074" s="11"/>
      <c r="O34074" s="11"/>
      <c r="P34074" s="11"/>
    </row>
    <row r="34075" spans="8:16" x14ac:dyDescent="0.25">
      <c r="H34075" s="12"/>
      <c r="I34075" s="12"/>
      <c r="J34075" s="12"/>
      <c r="K34075" s="12"/>
      <c r="L34075" s="12"/>
      <c r="M34075" s="11"/>
      <c r="N34075" s="11"/>
      <c r="O34075" s="11"/>
      <c r="P34075" s="11"/>
    </row>
    <row r="34076" spans="8:16" x14ac:dyDescent="0.25">
      <c r="H34076" s="12"/>
      <c r="I34076" s="12"/>
      <c r="J34076" s="12"/>
      <c r="K34076" s="12"/>
      <c r="L34076" s="12"/>
      <c r="M34076" s="11"/>
      <c r="N34076" s="11"/>
      <c r="O34076" s="11"/>
      <c r="P34076" s="11"/>
    </row>
    <row r="34077" spans="8:16" x14ac:dyDescent="0.25">
      <c r="H34077" s="12"/>
      <c r="I34077" s="12"/>
      <c r="J34077" s="12"/>
      <c r="K34077" s="12"/>
      <c r="L34077" s="12"/>
      <c r="M34077" s="11"/>
      <c r="N34077" s="11"/>
      <c r="O34077" s="11"/>
      <c r="P34077" s="11"/>
    </row>
    <row r="34078" spans="8:16" x14ac:dyDescent="0.25">
      <c r="H34078" s="12"/>
      <c r="I34078" s="12"/>
      <c r="J34078" s="12"/>
      <c r="K34078" s="12"/>
      <c r="L34078" s="12"/>
      <c r="M34078" s="11"/>
      <c r="N34078" s="11"/>
      <c r="O34078" s="11"/>
      <c r="P34078" s="11"/>
    </row>
    <row r="34079" spans="8:16" x14ac:dyDescent="0.25">
      <c r="H34079" s="12"/>
      <c r="I34079" s="12"/>
      <c r="J34079" s="12"/>
      <c r="K34079" s="12"/>
      <c r="L34079" s="12"/>
      <c r="M34079" s="11"/>
      <c r="N34079" s="11"/>
      <c r="O34079" s="11"/>
      <c r="P34079" s="11"/>
    </row>
    <row r="34080" spans="8:16" x14ac:dyDescent="0.25">
      <c r="H34080" s="12"/>
      <c r="I34080" s="12"/>
      <c r="J34080" s="12"/>
      <c r="K34080" s="12"/>
      <c r="L34080" s="12"/>
      <c r="M34080" s="11"/>
      <c r="N34080" s="11"/>
      <c r="O34080" s="11"/>
      <c r="P34080" s="11"/>
    </row>
    <row r="34081" spans="8:16" x14ac:dyDescent="0.25">
      <c r="H34081" s="12"/>
      <c r="I34081" s="12"/>
      <c r="J34081" s="12"/>
      <c r="K34081" s="12"/>
      <c r="L34081" s="12"/>
      <c r="M34081" s="11"/>
      <c r="N34081" s="11"/>
      <c r="O34081" s="11"/>
      <c r="P34081" s="11"/>
    </row>
    <row r="34082" spans="8:16" x14ac:dyDescent="0.25">
      <c r="H34082" s="12"/>
      <c r="I34082" s="12"/>
      <c r="J34082" s="12"/>
      <c r="K34082" s="12"/>
      <c r="L34082" s="12"/>
      <c r="M34082" s="11"/>
      <c r="N34082" s="11"/>
      <c r="O34082" s="11"/>
      <c r="P34082" s="11"/>
    </row>
    <row r="34083" spans="8:16" x14ac:dyDescent="0.25">
      <c r="H34083" s="12"/>
      <c r="I34083" s="12"/>
      <c r="J34083" s="12"/>
      <c r="K34083" s="12"/>
      <c r="L34083" s="12"/>
      <c r="M34083" s="11"/>
      <c r="N34083" s="11"/>
      <c r="O34083" s="11"/>
      <c r="P34083" s="11"/>
    </row>
    <row r="34084" spans="8:16" x14ac:dyDescent="0.25">
      <c r="H34084" s="12"/>
      <c r="I34084" s="12"/>
      <c r="J34084" s="12"/>
      <c r="K34084" s="12"/>
      <c r="L34084" s="12"/>
      <c r="M34084" s="11"/>
      <c r="N34084" s="11"/>
      <c r="O34084" s="11"/>
      <c r="P34084" s="11"/>
    </row>
    <row r="34085" spans="8:16" x14ac:dyDescent="0.25">
      <c r="H34085" s="12"/>
      <c r="I34085" s="12"/>
      <c r="J34085" s="12"/>
      <c r="K34085" s="12"/>
      <c r="L34085" s="12"/>
      <c r="M34085" s="11"/>
      <c r="N34085" s="11"/>
      <c r="O34085" s="11"/>
      <c r="P34085" s="11"/>
    </row>
    <row r="34086" spans="8:16" x14ac:dyDescent="0.25">
      <c r="H34086" s="12"/>
      <c r="I34086" s="12"/>
      <c r="J34086" s="12"/>
      <c r="K34086" s="12"/>
      <c r="L34086" s="12"/>
      <c r="M34086" s="11"/>
      <c r="N34086" s="11"/>
      <c r="O34086" s="11"/>
      <c r="P34086" s="11"/>
    </row>
    <row r="34087" spans="8:16" x14ac:dyDescent="0.25">
      <c r="H34087" s="12"/>
      <c r="I34087" s="12"/>
      <c r="J34087" s="12"/>
      <c r="K34087" s="12"/>
      <c r="L34087" s="12"/>
      <c r="M34087" s="11"/>
      <c r="N34087" s="11"/>
      <c r="O34087" s="11"/>
      <c r="P34087" s="11"/>
    </row>
    <row r="34088" spans="8:16" x14ac:dyDescent="0.25">
      <c r="H34088" s="12"/>
      <c r="I34088" s="12"/>
      <c r="J34088" s="12"/>
      <c r="K34088" s="12"/>
      <c r="L34088" s="12"/>
      <c r="M34088" s="11"/>
      <c r="N34088" s="11"/>
      <c r="O34088" s="11"/>
      <c r="P34088" s="11"/>
    </row>
    <row r="34089" spans="8:16" x14ac:dyDescent="0.25">
      <c r="H34089" s="12"/>
      <c r="I34089" s="12"/>
      <c r="J34089" s="12"/>
      <c r="K34089" s="12"/>
      <c r="L34089" s="12"/>
      <c r="M34089" s="11"/>
      <c r="N34089" s="11"/>
      <c r="O34089" s="11"/>
      <c r="P34089" s="11"/>
    </row>
    <row r="34090" spans="8:16" x14ac:dyDescent="0.25">
      <c r="H34090" s="12"/>
      <c r="I34090" s="12"/>
      <c r="J34090" s="12"/>
      <c r="K34090" s="12"/>
      <c r="L34090" s="12"/>
      <c r="M34090" s="11"/>
      <c r="N34090" s="11"/>
      <c r="O34090" s="11"/>
      <c r="P34090" s="11"/>
    </row>
    <row r="34091" spans="8:16" x14ac:dyDescent="0.25">
      <c r="H34091" s="12"/>
      <c r="I34091" s="12"/>
      <c r="J34091" s="12"/>
      <c r="K34091" s="12"/>
      <c r="L34091" s="12"/>
      <c r="M34091" s="11"/>
      <c r="N34091" s="11"/>
      <c r="O34091" s="11"/>
      <c r="P34091" s="11"/>
    </row>
    <row r="34092" spans="8:16" x14ac:dyDescent="0.25">
      <c r="H34092" s="12"/>
      <c r="I34092" s="12"/>
      <c r="J34092" s="12"/>
      <c r="K34092" s="12"/>
      <c r="L34092" s="12"/>
      <c r="M34092" s="11"/>
      <c r="N34092" s="11"/>
      <c r="O34092" s="11"/>
      <c r="P34092" s="11"/>
    </row>
    <row r="34093" spans="8:16" x14ac:dyDescent="0.25">
      <c r="H34093" s="12"/>
      <c r="I34093" s="12"/>
      <c r="J34093" s="12"/>
      <c r="K34093" s="12"/>
      <c r="L34093" s="12"/>
      <c r="M34093" s="11"/>
      <c r="N34093" s="11"/>
      <c r="O34093" s="11"/>
      <c r="P34093" s="11"/>
    </row>
    <row r="34094" spans="8:16" x14ac:dyDescent="0.25">
      <c r="H34094" s="12"/>
      <c r="I34094" s="12"/>
      <c r="J34094" s="12"/>
      <c r="K34094" s="12"/>
      <c r="L34094" s="12"/>
      <c r="M34094" s="11"/>
      <c r="N34094" s="11"/>
      <c r="O34094" s="11"/>
      <c r="P34094" s="11"/>
    </row>
    <row r="34095" spans="8:16" x14ac:dyDescent="0.25">
      <c r="H34095" s="12"/>
      <c r="I34095" s="12"/>
      <c r="J34095" s="12"/>
      <c r="K34095" s="12"/>
      <c r="L34095" s="12"/>
      <c r="M34095" s="11"/>
      <c r="N34095" s="11"/>
      <c r="O34095" s="11"/>
      <c r="P34095" s="11"/>
    </row>
    <row r="34096" spans="8:16" x14ac:dyDescent="0.25">
      <c r="H34096" s="12"/>
      <c r="I34096" s="12"/>
      <c r="J34096" s="12"/>
      <c r="K34096" s="12"/>
      <c r="L34096" s="12"/>
      <c r="M34096" s="11"/>
      <c r="N34096" s="11"/>
      <c r="O34096" s="11"/>
      <c r="P34096" s="11"/>
    </row>
    <row r="34097" spans="8:16" x14ac:dyDescent="0.25">
      <c r="H34097" s="12"/>
      <c r="I34097" s="12"/>
      <c r="J34097" s="12"/>
      <c r="K34097" s="12"/>
      <c r="L34097" s="12"/>
      <c r="M34097" s="11"/>
      <c r="N34097" s="11"/>
      <c r="O34097" s="11"/>
      <c r="P34097" s="11"/>
    </row>
    <row r="34098" spans="8:16" x14ac:dyDescent="0.25">
      <c r="H34098" s="12"/>
      <c r="I34098" s="12"/>
      <c r="J34098" s="12"/>
      <c r="K34098" s="12"/>
      <c r="L34098" s="12"/>
      <c r="M34098" s="11"/>
      <c r="N34098" s="11"/>
      <c r="O34098" s="11"/>
      <c r="P34098" s="11"/>
    </row>
    <row r="34099" spans="8:16" x14ac:dyDescent="0.25">
      <c r="H34099" s="12"/>
      <c r="I34099" s="12"/>
      <c r="J34099" s="12"/>
      <c r="K34099" s="12"/>
      <c r="L34099" s="12"/>
      <c r="M34099" s="11"/>
      <c r="N34099" s="11"/>
      <c r="O34099" s="11"/>
      <c r="P34099" s="11"/>
    </row>
    <row r="34100" spans="8:16" x14ac:dyDescent="0.25">
      <c r="H34100" s="12"/>
      <c r="I34100" s="12"/>
      <c r="J34100" s="12"/>
      <c r="K34100" s="12"/>
      <c r="L34100" s="12"/>
      <c r="M34100" s="11"/>
      <c r="N34100" s="11"/>
      <c r="O34100" s="11"/>
      <c r="P34100" s="11"/>
    </row>
    <row r="34101" spans="8:16" x14ac:dyDescent="0.25">
      <c r="H34101" s="12"/>
      <c r="I34101" s="12"/>
      <c r="J34101" s="12"/>
      <c r="K34101" s="12"/>
      <c r="L34101" s="12"/>
      <c r="M34101" s="11"/>
      <c r="N34101" s="11"/>
      <c r="O34101" s="11"/>
      <c r="P34101" s="11"/>
    </row>
    <row r="34102" spans="8:16" x14ac:dyDescent="0.25">
      <c r="H34102" s="12"/>
      <c r="I34102" s="12"/>
      <c r="J34102" s="12"/>
      <c r="K34102" s="12"/>
      <c r="L34102" s="12"/>
      <c r="M34102" s="11"/>
      <c r="N34102" s="11"/>
      <c r="O34102" s="11"/>
      <c r="P34102" s="11"/>
    </row>
    <row r="34103" spans="8:16" x14ac:dyDescent="0.25">
      <c r="H34103" s="12"/>
      <c r="I34103" s="12"/>
      <c r="J34103" s="12"/>
      <c r="K34103" s="12"/>
      <c r="L34103" s="12"/>
      <c r="M34103" s="11"/>
      <c r="N34103" s="11"/>
      <c r="O34103" s="11"/>
      <c r="P34103" s="11"/>
    </row>
    <row r="34104" spans="8:16" x14ac:dyDescent="0.25">
      <c r="H34104" s="12"/>
      <c r="I34104" s="12"/>
      <c r="J34104" s="12"/>
      <c r="K34104" s="12"/>
      <c r="L34104" s="12"/>
      <c r="M34104" s="11"/>
      <c r="N34104" s="11"/>
      <c r="O34104" s="11"/>
      <c r="P34104" s="11"/>
    </row>
    <row r="34105" spans="8:16" x14ac:dyDescent="0.25">
      <c r="H34105" s="12"/>
      <c r="I34105" s="12"/>
      <c r="J34105" s="12"/>
      <c r="K34105" s="12"/>
      <c r="L34105" s="12"/>
      <c r="M34105" s="11"/>
      <c r="N34105" s="11"/>
      <c r="O34105" s="11"/>
      <c r="P34105" s="11"/>
    </row>
    <row r="34106" spans="8:16" x14ac:dyDescent="0.25">
      <c r="H34106" s="12"/>
      <c r="I34106" s="12"/>
      <c r="J34106" s="12"/>
      <c r="K34106" s="12"/>
      <c r="L34106" s="12"/>
      <c r="M34106" s="11"/>
      <c r="N34106" s="11"/>
      <c r="O34106" s="11"/>
      <c r="P34106" s="11"/>
    </row>
    <row r="34107" spans="8:16" x14ac:dyDescent="0.25">
      <c r="H34107" s="12"/>
      <c r="I34107" s="12"/>
      <c r="J34107" s="12"/>
      <c r="K34107" s="12"/>
      <c r="L34107" s="12"/>
      <c r="M34107" s="11"/>
      <c r="N34107" s="11"/>
      <c r="O34107" s="11"/>
      <c r="P34107" s="11"/>
    </row>
    <row r="34108" spans="8:16" x14ac:dyDescent="0.25">
      <c r="H34108" s="12"/>
      <c r="I34108" s="12"/>
      <c r="J34108" s="12"/>
      <c r="K34108" s="12"/>
      <c r="L34108" s="12"/>
      <c r="M34108" s="11"/>
      <c r="N34108" s="11"/>
      <c r="O34108" s="11"/>
      <c r="P34108" s="11"/>
    </row>
    <row r="34109" spans="8:16" x14ac:dyDescent="0.25">
      <c r="H34109" s="12"/>
      <c r="I34109" s="12"/>
      <c r="J34109" s="12"/>
      <c r="K34109" s="12"/>
      <c r="L34109" s="12"/>
      <c r="M34109" s="11"/>
      <c r="N34109" s="11"/>
      <c r="O34109" s="11"/>
      <c r="P34109" s="11"/>
    </row>
    <row r="34110" spans="8:16" x14ac:dyDescent="0.25">
      <c r="H34110" s="12"/>
      <c r="I34110" s="12"/>
      <c r="J34110" s="12"/>
      <c r="K34110" s="12"/>
      <c r="L34110" s="12"/>
      <c r="M34110" s="11"/>
      <c r="N34110" s="11"/>
      <c r="O34110" s="11"/>
      <c r="P34110" s="11"/>
    </row>
    <row r="34111" spans="8:16" x14ac:dyDescent="0.25">
      <c r="H34111" s="12"/>
      <c r="I34111" s="12"/>
      <c r="J34111" s="12"/>
      <c r="K34111" s="12"/>
      <c r="L34111" s="12"/>
      <c r="M34111" s="11"/>
      <c r="N34111" s="11"/>
      <c r="O34111" s="11"/>
      <c r="P34111" s="11"/>
    </row>
    <row r="34112" spans="8:16" x14ac:dyDescent="0.25">
      <c r="H34112" s="12"/>
      <c r="I34112" s="12"/>
      <c r="J34112" s="12"/>
      <c r="K34112" s="12"/>
      <c r="L34112" s="12"/>
      <c r="M34112" s="11"/>
      <c r="N34112" s="11"/>
      <c r="O34112" s="11"/>
      <c r="P34112" s="11"/>
    </row>
    <row r="34113" spans="8:16" x14ac:dyDescent="0.25">
      <c r="H34113" s="12"/>
      <c r="I34113" s="12"/>
      <c r="J34113" s="12"/>
      <c r="K34113" s="12"/>
      <c r="L34113" s="12"/>
      <c r="M34113" s="11"/>
      <c r="N34113" s="11"/>
      <c r="O34113" s="11"/>
      <c r="P34113" s="11"/>
    </row>
    <row r="34114" spans="8:16" x14ac:dyDescent="0.25">
      <c r="H34114" s="12"/>
      <c r="I34114" s="12"/>
      <c r="J34114" s="12"/>
      <c r="K34114" s="12"/>
      <c r="L34114" s="12"/>
      <c r="M34114" s="11"/>
      <c r="N34114" s="11"/>
      <c r="O34114" s="11"/>
      <c r="P34114" s="11"/>
    </row>
    <row r="34115" spans="8:16" x14ac:dyDescent="0.25">
      <c r="H34115" s="12"/>
      <c r="I34115" s="12"/>
      <c r="J34115" s="12"/>
      <c r="K34115" s="12"/>
      <c r="L34115" s="12"/>
      <c r="M34115" s="11"/>
      <c r="N34115" s="11"/>
      <c r="O34115" s="11"/>
      <c r="P34115" s="11"/>
    </row>
    <row r="34116" spans="8:16" x14ac:dyDescent="0.25">
      <c r="H34116" s="12"/>
      <c r="I34116" s="12"/>
      <c r="J34116" s="12"/>
      <c r="K34116" s="12"/>
      <c r="L34116" s="12"/>
      <c r="M34116" s="11"/>
      <c r="N34116" s="11"/>
      <c r="O34116" s="11"/>
      <c r="P34116" s="11"/>
    </row>
    <row r="34117" spans="8:16" x14ac:dyDescent="0.25">
      <c r="H34117" s="12"/>
      <c r="I34117" s="12"/>
      <c r="J34117" s="12"/>
      <c r="K34117" s="12"/>
      <c r="L34117" s="12"/>
      <c r="M34117" s="11"/>
      <c r="N34117" s="11"/>
      <c r="O34117" s="11"/>
      <c r="P34117" s="11"/>
    </row>
    <row r="34118" spans="8:16" x14ac:dyDescent="0.25">
      <c r="H34118" s="12"/>
      <c r="I34118" s="12"/>
      <c r="J34118" s="12"/>
      <c r="K34118" s="12"/>
      <c r="L34118" s="12"/>
      <c r="M34118" s="11"/>
      <c r="N34118" s="11"/>
      <c r="O34118" s="11"/>
      <c r="P34118" s="11"/>
    </row>
    <row r="34119" spans="8:16" x14ac:dyDescent="0.25">
      <c r="H34119" s="12"/>
      <c r="I34119" s="12"/>
      <c r="J34119" s="12"/>
      <c r="K34119" s="12"/>
      <c r="L34119" s="12"/>
      <c r="M34119" s="11"/>
      <c r="N34119" s="11"/>
      <c r="O34119" s="11"/>
      <c r="P34119" s="11"/>
    </row>
    <row r="34120" spans="8:16" x14ac:dyDescent="0.25">
      <c r="H34120" s="12"/>
      <c r="I34120" s="12"/>
      <c r="J34120" s="12"/>
      <c r="K34120" s="12"/>
      <c r="L34120" s="12"/>
      <c r="M34120" s="11"/>
      <c r="N34120" s="11"/>
      <c r="O34120" s="11"/>
      <c r="P34120" s="11"/>
    </row>
    <row r="34121" spans="8:16" x14ac:dyDescent="0.25">
      <c r="H34121" s="12"/>
      <c r="I34121" s="12"/>
      <c r="J34121" s="12"/>
      <c r="K34121" s="12"/>
      <c r="L34121" s="12"/>
      <c r="M34121" s="11"/>
      <c r="N34121" s="11"/>
      <c r="O34121" s="11"/>
      <c r="P34121" s="11"/>
    </row>
    <row r="34122" spans="8:16" x14ac:dyDescent="0.25">
      <c r="H34122" s="12"/>
      <c r="I34122" s="12"/>
      <c r="J34122" s="12"/>
      <c r="K34122" s="12"/>
      <c r="L34122" s="12"/>
      <c r="M34122" s="11"/>
      <c r="N34122" s="11"/>
      <c r="O34122" s="11"/>
      <c r="P34122" s="11"/>
    </row>
    <row r="34123" spans="8:16" x14ac:dyDescent="0.25">
      <c r="H34123" s="12"/>
      <c r="I34123" s="12"/>
      <c r="J34123" s="12"/>
      <c r="K34123" s="12"/>
      <c r="L34123" s="12"/>
      <c r="M34123" s="11"/>
      <c r="N34123" s="11"/>
      <c r="O34123" s="11"/>
      <c r="P34123" s="11"/>
    </row>
    <row r="34124" spans="8:16" x14ac:dyDescent="0.25">
      <c r="H34124" s="12"/>
      <c r="I34124" s="12"/>
      <c r="J34124" s="12"/>
      <c r="K34124" s="12"/>
      <c r="L34124" s="12"/>
      <c r="M34124" s="11"/>
      <c r="N34124" s="11"/>
      <c r="O34124" s="11"/>
      <c r="P34124" s="11"/>
    </row>
    <row r="34125" spans="8:16" x14ac:dyDescent="0.25">
      <c r="H34125" s="12"/>
      <c r="I34125" s="12"/>
      <c r="J34125" s="12"/>
      <c r="K34125" s="12"/>
      <c r="L34125" s="12"/>
      <c r="M34125" s="11"/>
      <c r="N34125" s="11"/>
      <c r="O34125" s="11"/>
      <c r="P34125" s="11"/>
    </row>
    <row r="34126" spans="8:16" x14ac:dyDescent="0.25">
      <c r="H34126" s="12"/>
      <c r="I34126" s="12"/>
      <c r="J34126" s="12"/>
      <c r="K34126" s="12"/>
      <c r="L34126" s="12"/>
      <c r="M34126" s="11"/>
      <c r="N34126" s="11"/>
      <c r="O34126" s="11"/>
      <c r="P34126" s="11"/>
    </row>
    <row r="34127" spans="8:16" x14ac:dyDescent="0.25">
      <c r="H34127" s="12"/>
      <c r="I34127" s="12"/>
      <c r="J34127" s="12"/>
      <c r="K34127" s="12"/>
      <c r="L34127" s="12"/>
      <c r="M34127" s="11"/>
      <c r="N34127" s="11"/>
      <c r="O34127" s="11"/>
      <c r="P34127" s="11"/>
    </row>
    <row r="34128" spans="8:16" x14ac:dyDescent="0.25">
      <c r="H34128" s="12"/>
      <c r="I34128" s="12"/>
      <c r="J34128" s="12"/>
      <c r="K34128" s="12"/>
      <c r="L34128" s="12"/>
      <c r="M34128" s="11"/>
      <c r="N34128" s="11"/>
      <c r="O34128" s="11"/>
      <c r="P34128" s="11"/>
    </row>
    <row r="34129" spans="8:16" x14ac:dyDescent="0.25">
      <c r="H34129" s="12"/>
      <c r="I34129" s="12"/>
      <c r="J34129" s="12"/>
      <c r="K34129" s="12"/>
      <c r="L34129" s="12"/>
      <c r="M34129" s="11"/>
      <c r="N34129" s="11"/>
      <c r="O34129" s="11"/>
      <c r="P34129" s="11"/>
    </row>
    <row r="34130" spans="8:16" x14ac:dyDescent="0.25">
      <c r="H34130" s="12"/>
      <c r="I34130" s="12"/>
      <c r="J34130" s="12"/>
      <c r="K34130" s="12"/>
      <c r="L34130" s="12"/>
      <c r="M34130" s="11"/>
      <c r="N34130" s="11"/>
      <c r="O34130" s="11"/>
      <c r="P34130" s="11"/>
    </row>
    <row r="34131" spans="8:16" x14ac:dyDescent="0.25">
      <c r="H34131" s="12"/>
      <c r="I34131" s="12"/>
      <c r="J34131" s="12"/>
      <c r="K34131" s="12"/>
      <c r="L34131" s="12"/>
      <c r="M34131" s="11"/>
      <c r="N34131" s="11"/>
      <c r="O34131" s="11"/>
      <c r="P34131" s="11"/>
    </row>
    <row r="34132" spans="8:16" x14ac:dyDescent="0.25">
      <c r="H34132" s="12"/>
      <c r="I34132" s="12"/>
      <c r="J34132" s="12"/>
      <c r="K34132" s="12"/>
      <c r="L34132" s="12"/>
      <c r="M34132" s="11"/>
      <c r="N34132" s="11"/>
      <c r="O34132" s="11"/>
      <c r="P34132" s="11"/>
    </row>
    <row r="34133" spans="8:16" x14ac:dyDescent="0.25">
      <c r="H34133" s="12"/>
      <c r="I34133" s="12"/>
      <c r="J34133" s="12"/>
      <c r="K34133" s="12"/>
      <c r="L34133" s="12"/>
      <c r="M34133" s="11"/>
      <c r="N34133" s="11"/>
      <c r="O34133" s="11"/>
      <c r="P34133" s="11"/>
    </row>
    <row r="34134" spans="8:16" x14ac:dyDescent="0.25">
      <c r="H34134" s="12"/>
      <c r="I34134" s="12"/>
      <c r="J34134" s="12"/>
      <c r="K34134" s="12"/>
      <c r="L34134" s="12"/>
      <c r="M34134" s="11"/>
      <c r="N34134" s="11"/>
      <c r="O34134" s="11"/>
      <c r="P34134" s="11"/>
    </row>
    <row r="34135" spans="8:16" x14ac:dyDescent="0.25">
      <c r="H34135" s="12"/>
      <c r="I34135" s="12"/>
      <c r="J34135" s="12"/>
      <c r="K34135" s="12"/>
      <c r="L34135" s="12"/>
      <c r="M34135" s="11"/>
      <c r="N34135" s="11"/>
      <c r="O34135" s="11"/>
      <c r="P34135" s="11"/>
    </row>
    <row r="34136" spans="8:16" x14ac:dyDescent="0.25">
      <c r="H34136" s="12"/>
      <c r="I34136" s="12"/>
      <c r="J34136" s="12"/>
      <c r="K34136" s="12"/>
      <c r="L34136" s="12"/>
      <c r="M34136" s="11"/>
      <c r="N34136" s="11"/>
      <c r="O34136" s="11"/>
      <c r="P34136" s="11"/>
    </row>
    <row r="34137" spans="8:16" x14ac:dyDescent="0.25">
      <c r="H34137" s="12"/>
      <c r="I34137" s="12"/>
      <c r="J34137" s="12"/>
      <c r="K34137" s="12"/>
      <c r="L34137" s="12"/>
      <c r="M34137" s="11"/>
      <c r="N34137" s="11"/>
      <c r="O34137" s="11"/>
      <c r="P34137" s="11"/>
    </row>
    <row r="34138" spans="8:16" x14ac:dyDescent="0.25">
      <c r="H34138" s="12"/>
      <c r="I34138" s="12"/>
      <c r="J34138" s="12"/>
      <c r="K34138" s="12"/>
      <c r="L34138" s="12"/>
      <c r="M34138" s="11"/>
      <c r="N34138" s="11"/>
      <c r="O34138" s="11"/>
      <c r="P34138" s="11"/>
    </row>
    <row r="34139" spans="8:16" x14ac:dyDescent="0.25">
      <c r="H34139" s="12"/>
      <c r="I34139" s="12"/>
      <c r="J34139" s="12"/>
      <c r="K34139" s="12"/>
      <c r="L34139" s="12"/>
      <c r="M34139" s="11"/>
      <c r="N34139" s="11"/>
      <c r="O34139" s="11"/>
      <c r="P34139" s="11"/>
    </row>
    <row r="34140" spans="8:16" x14ac:dyDescent="0.25">
      <c r="H34140" s="12"/>
      <c r="I34140" s="12"/>
      <c r="J34140" s="12"/>
      <c r="K34140" s="12"/>
      <c r="L34140" s="12"/>
      <c r="M34140" s="11"/>
      <c r="N34140" s="11"/>
      <c r="O34140" s="11"/>
      <c r="P34140" s="11"/>
    </row>
    <row r="34141" spans="8:16" x14ac:dyDescent="0.25">
      <c r="H34141" s="12"/>
      <c r="I34141" s="12"/>
      <c r="J34141" s="12"/>
      <c r="K34141" s="12"/>
      <c r="L34141" s="12"/>
      <c r="M34141" s="11"/>
      <c r="N34141" s="11"/>
      <c r="O34141" s="11"/>
      <c r="P34141" s="11"/>
    </row>
    <row r="34142" spans="8:16" x14ac:dyDescent="0.25">
      <c r="H34142" s="12"/>
      <c r="I34142" s="12"/>
      <c r="J34142" s="12"/>
      <c r="K34142" s="12"/>
      <c r="L34142" s="12"/>
      <c r="M34142" s="11"/>
      <c r="N34142" s="11"/>
      <c r="O34142" s="11"/>
      <c r="P34142" s="11"/>
    </row>
    <row r="34143" spans="8:16" x14ac:dyDescent="0.25">
      <c r="H34143" s="12"/>
      <c r="I34143" s="12"/>
      <c r="J34143" s="12"/>
      <c r="K34143" s="12"/>
      <c r="L34143" s="12"/>
      <c r="M34143" s="11"/>
      <c r="N34143" s="11"/>
      <c r="O34143" s="11"/>
      <c r="P34143" s="11"/>
    </row>
    <row r="34144" spans="8:16" x14ac:dyDescent="0.25">
      <c r="H34144" s="12"/>
      <c r="I34144" s="12"/>
      <c r="J34144" s="12"/>
      <c r="K34144" s="12"/>
      <c r="L34144" s="12"/>
      <c r="M34144" s="11"/>
      <c r="N34144" s="11"/>
      <c r="O34144" s="11"/>
      <c r="P34144" s="11"/>
    </row>
    <row r="34145" spans="8:16" x14ac:dyDescent="0.25">
      <c r="H34145" s="12"/>
      <c r="I34145" s="12"/>
      <c r="J34145" s="12"/>
      <c r="K34145" s="12"/>
      <c r="L34145" s="12"/>
      <c r="M34145" s="11"/>
      <c r="N34145" s="11"/>
      <c r="O34145" s="11"/>
      <c r="P34145" s="11"/>
    </row>
    <row r="34146" spans="8:16" x14ac:dyDescent="0.25">
      <c r="H34146" s="12"/>
      <c r="I34146" s="12"/>
      <c r="J34146" s="12"/>
      <c r="K34146" s="12"/>
      <c r="L34146" s="12"/>
      <c r="M34146" s="11"/>
      <c r="N34146" s="11"/>
      <c r="O34146" s="11"/>
      <c r="P34146" s="11"/>
    </row>
    <row r="34147" spans="8:16" x14ac:dyDescent="0.25">
      <c r="H34147" s="12"/>
      <c r="I34147" s="12"/>
      <c r="J34147" s="12"/>
      <c r="K34147" s="12"/>
      <c r="L34147" s="12"/>
      <c r="M34147" s="11"/>
      <c r="N34147" s="11"/>
      <c r="O34147" s="11"/>
      <c r="P34147" s="11"/>
    </row>
    <row r="34148" spans="8:16" x14ac:dyDescent="0.25">
      <c r="H34148" s="12"/>
      <c r="I34148" s="12"/>
      <c r="J34148" s="12"/>
      <c r="K34148" s="12"/>
      <c r="L34148" s="12"/>
      <c r="M34148" s="11"/>
      <c r="N34148" s="11"/>
      <c r="O34148" s="11"/>
      <c r="P34148" s="11"/>
    </row>
    <row r="34149" spans="8:16" x14ac:dyDescent="0.25">
      <c r="H34149" s="12"/>
      <c r="I34149" s="12"/>
      <c r="J34149" s="12"/>
      <c r="K34149" s="12"/>
      <c r="L34149" s="12"/>
      <c r="M34149" s="11"/>
      <c r="N34149" s="11"/>
      <c r="O34149" s="11"/>
      <c r="P34149" s="11"/>
    </row>
    <row r="34150" spans="8:16" x14ac:dyDescent="0.25">
      <c r="H34150" s="12"/>
      <c r="I34150" s="12"/>
      <c r="J34150" s="12"/>
      <c r="K34150" s="12"/>
      <c r="L34150" s="12"/>
      <c r="M34150" s="11"/>
      <c r="N34150" s="11"/>
      <c r="O34150" s="11"/>
      <c r="P34150" s="11"/>
    </row>
    <row r="34151" spans="8:16" x14ac:dyDescent="0.25">
      <c r="H34151" s="12"/>
      <c r="I34151" s="12"/>
      <c r="J34151" s="12"/>
      <c r="K34151" s="12"/>
      <c r="L34151" s="12"/>
      <c r="M34151" s="11"/>
      <c r="N34151" s="11"/>
      <c r="O34151" s="11"/>
      <c r="P34151" s="11"/>
    </row>
    <row r="34152" spans="8:16" x14ac:dyDescent="0.25">
      <c r="H34152" s="12"/>
      <c r="I34152" s="12"/>
      <c r="J34152" s="12"/>
      <c r="K34152" s="12"/>
      <c r="L34152" s="12"/>
      <c r="M34152" s="11"/>
      <c r="N34152" s="11"/>
      <c r="O34152" s="11"/>
      <c r="P34152" s="11"/>
    </row>
    <row r="34153" spans="8:16" x14ac:dyDescent="0.25">
      <c r="H34153" s="12"/>
      <c r="I34153" s="12"/>
      <c r="J34153" s="12"/>
      <c r="K34153" s="12"/>
      <c r="L34153" s="12"/>
      <c r="M34153" s="11"/>
      <c r="N34153" s="11"/>
      <c r="O34153" s="11"/>
      <c r="P34153" s="11"/>
    </row>
    <row r="34154" spans="8:16" x14ac:dyDescent="0.25">
      <c r="H34154" s="12"/>
      <c r="I34154" s="12"/>
      <c r="J34154" s="12"/>
      <c r="K34154" s="12"/>
      <c r="L34154" s="12"/>
      <c r="M34154" s="11"/>
      <c r="N34154" s="11"/>
      <c r="O34154" s="11"/>
      <c r="P34154" s="11"/>
    </row>
    <row r="34155" spans="8:16" x14ac:dyDescent="0.25">
      <c r="H34155" s="12"/>
      <c r="I34155" s="12"/>
      <c r="J34155" s="12"/>
      <c r="K34155" s="12"/>
      <c r="L34155" s="12"/>
      <c r="M34155" s="11"/>
      <c r="N34155" s="11"/>
      <c r="O34155" s="11"/>
      <c r="P34155" s="11"/>
    </row>
    <row r="34156" spans="8:16" x14ac:dyDescent="0.25">
      <c r="H34156" s="12"/>
      <c r="I34156" s="12"/>
      <c r="J34156" s="12"/>
      <c r="K34156" s="12"/>
      <c r="L34156" s="12"/>
      <c r="M34156" s="11"/>
      <c r="N34156" s="11"/>
      <c r="O34156" s="11"/>
      <c r="P34156" s="11"/>
    </row>
    <row r="34157" spans="8:16" x14ac:dyDescent="0.25">
      <c r="H34157" s="12"/>
      <c r="I34157" s="12"/>
      <c r="J34157" s="12"/>
      <c r="K34157" s="12"/>
      <c r="L34157" s="12"/>
      <c r="M34157" s="11"/>
      <c r="N34157" s="11"/>
      <c r="O34157" s="11"/>
      <c r="P34157" s="11"/>
    </row>
    <row r="34158" spans="8:16" x14ac:dyDescent="0.25">
      <c r="H34158" s="12"/>
      <c r="I34158" s="12"/>
      <c r="J34158" s="12"/>
      <c r="K34158" s="12"/>
      <c r="L34158" s="12"/>
      <c r="M34158" s="11"/>
      <c r="N34158" s="11"/>
      <c r="O34158" s="11"/>
      <c r="P34158" s="11"/>
    </row>
    <row r="34159" spans="8:16" x14ac:dyDescent="0.25">
      <c r="H34159" s="12"/>
      <c r="I34159" s="12"/>
      <c r="J34159" s="12"/>
      <c r="K34159" s="12"/>
      <c r="L34159" s="12"/>
      <c r="M34159" s="11"/>
      <c r="N34159" s="11"/>
      <c r="O34159" s="11"/>
      <c r="P34159" s="11"/>
    </row>
    <row r="34160" spans="8:16" x14ac:dyDescent="0.25">
      <c r="H34160" s="12"/>
      <c r="I34160" s="12"/>
      <c r="J34160" s="12"/>
      <c r="K34160" s="12"/>
      <c r="L34160" s="12"/>
      <c r="M34160" s="11"/>
      <c r="N34160" s="11"/>
      <c r="O34160" s="11"/>
      <c r="P34160" s="11"/>
    </row>
    <row r="34161" spans="8:16" x14ac:dyDescent="0.25">
      <c r="H34161" s="12"/>
      <c r="I34161" s="12"/>
      <c r="J34161" s="12"/>
      <c r="K34161" s="12"/>
      <c r="L34161" s="12"/>
      <c r="M34161" s="11"/>
      <c r="N34161" s="11"/>
      <c r="O34161" s="11"/>
      <c r="P34161" s="11"/>
    </row>
    <row r="34162" spans="8:16" x14ac:dyDescent="0.25">
      <c r="H34162" s="12"/>
      <c r="I34162" s="12"/>
      <c r="J34162" s="12"/>
      <c r="K34162" s="12"/>
      <c r="L34162" s="12"/>
      <c r="M34162" s="11"/>
      <c r="N34162" s="11"/>
      <c r="O34162" s="11"/>
      <c r="P34162" s="11"/>
    </row>
    <row r="34163" spans="8:16" x14ac:dyDescent="0.25">
      <c r="H34163" s="12"/>
      <c r="I34163" s="12"/>
      <c r="J34163" s="12"/>
      <c r="K34163" s="12"/>
      <c r="L34163" s="12"/>
      <c r="M34163" s="11"/>
      <c r="N34163" s="11"/>
      <c r="O34163" s="11"/>
      <c r="P34163" s="11"/>
    </row>
    <row r="34164" spans="8:16" x14ac:dyDescent="0.25">
      <c r="H34164" s="12"/>
      <c r="I34164" s="12"/>
      <c r="J34164" s="12"/>
      <c r="K34164" s="12"/>
      <c r="L34164" s="12"/>
      <c r="M34164" s="11"/>
      <c r="N34164" s="11"/>
      <c r="O34164" s="11"/>
      <c r="P34164" s="11"/>
    </row>
    <row r="34165" spans="8:16" x14ac:dyDescent="0.25">
      <c r="H34165" s="12"/>
      <c r="I34165" s="12"/>
      <c r="J34165" s="12"/>
      <c r="K34165" s="12"/>
      <c r="L34165" s="12"/>
      <c r="M34165" s="11"/>
      <c r="N34165" s="11"/>
      <c r="O34165" s="11"/>
      <c r="P34165" s="11"/>
    </row>
    <row r="34166" spans="8:16" x14ac:dyDescent="0.25">
      <c r="H34166" s="12"/>
      <c r="I34166" s="12"/>
      <c r="J34166" s="12"/>
      <c r="K34166" s="12"/>
      <c r="L34166" s="12"/>
      <c r="M34166" s="11"/>
      <c r="N34166" s="11"/>
      <c r="O34166" s="11"/>
      <c r="P34166" s="11"/>
    </row>
    <row r="34167" spans="8:16" x14ac:dyDescent="0.25">
      <c r="H34167" s="12"/>
      <c r="I34167" s="12"/>
      <c r="J34167" s="12"/>
      <c r="K34167" s="12"/>
      <c r="L34167" s="12"/>
      <c r="M34167" s="11"/>
      <c r="N34167" s="11"/>
      <c r="O34167" s="11"/>
      <c r="P34167" s="11"/>
    </row>
    <row r="34168" spans="8:16" x14ac:dyDescent="0.25">
      <c r="H34168" s="12"/>
      <c r="I34168" s="12"/>
      <c r="J34168" s="12"/>
      <c r="K34168" s="12"/>
      <c r="L34168" s="12"/>
      <c r="M34168" s="11"/>
      <c r="N34168" s="11"/>
      <c r="O34168" s="11"/>
      <c r="P34168" s="11"/>
    </row>
    <row r="34169" spans="8:16" x14ac:dyDescent="0.25">
      <c r="H34169" s="12"/>
      <c r="I34169" s="12"/>
      <c r="J34169" s="12"/>
      <c r="K34169" s="12"/>
      <c r="L34169" s="12"/>
      <c r="M34169" s="11"/>
      <c r="N34169" s="11"/>
      <c r="O34169" s="11"/>
      <c r="P34169" s="11"/>
    </row>
    <row r="34170" spans="8:16" x14ac:dyDescent="0.25">
      <c r="H34170" s="12"/>
      <c r="I34170" s="12"/>
      <c r="J34170" s="12"/>
      <c r="K34170" s="12"/>
      <c r="L34170" s="12"/>
      <c r="M34170" s="11"/>
      <c r="N34170" s="11"/>
      <c r="O34170" s="11"/>
      <c r="P34170" s="11"/>
    </row>
    <row r="34171" spans="8:16" x14ac:dyDescent="0.25">
      <c r="H34171" s="12"/>
      <c r="I34171" s="12"/>
      <c r="J34171" s="12"/>
      <c r="K34171" s="12"/>
      <c r="L34171" s="12"/>
      <c r="M34171" s="11"/>
      <c r="N34171" s="11"/>
      <c r="O34171" s="11"/>
      <c r="P34171" s="11"/>
    </row>
    <row r="34172" spans="8:16" x14ac:dyDescent="0.25">
      <c r="H34172" s="12"/>
      <c r="I34172" s="12"/>
      <c r="J34172" s="12"/>
      <c r="K34172" s="12"/>
      <c r="L34172" s="12"/>
      <c r="M34172" s="11"/>
      <c r="N34172" s="11"/>
      <c r="O34172" s="11"/>
      <c r="P34172" s="11"/>
    </row>
    <row r="34173" spans="8:16" x14ac:dyDescent="0.25">
      <c r="H34173" s="12"/>
      <c r="I34173" s="12"/>
      <c r="J34173" s="12"/>
      <c r="K34173" s="12"/>
      <c r="L34173" s="12"/>
      <c r="M34173" s="11"/>
      <c r="N34173" s="11"/>
      <c r="O34173" s="11"/>
      <c r="P34173" s="11"/>
    </row>
    <row r="34174" spans="8:16" x14ac:dyDescent="0.25">
      <c r="H34174" s="12"/>
      <c r="I34174" s="12"/>
      <c r="J34174" s="12"/>
      <c r="K34174" s="12"/>
      <c r="L34174" s="12"/>
      <c r="M34174" s="11"/>
      <c r="N34174" s="11"/>
      <c r="O34174" s="11"/>
      <c r="P34174" s="11"/>
    </row>
    <row r="34175" spans="8:16" x14ac:dyDescent="0.25">
      <c r="H34175" s="12"/>
      <c r="I34175" s="12"/>
      <c r="J34175" s="12"/>
      <c r="K34175" s="12"/>
      <c r="L34175" s="12"/>
      <c r="M34175" s="11"/>
      <c r="N34175" s="11"/>
      <c r="O34175" s="11"/>
      <c r="P34175" s="11"/>
    </row>
    <row r="34176" spans="8:16" x14ac:dyDescent="0.25">
      <c r="H34176" s="12"/>
      <c r="I34176" s="12"/>
      <c r="J34176" s="12"/>
      <c r="K34176" s="12"/>
      <c r="L34176" s="12"/>
      <c r="M34176" s="11"/>
      <c r="N34176" s="11"/>
      <c r="O34176" s="11"/>
      <c r="P34176" s="11"/>
    </row>
    <row r="34177" spans="8:16" x14ac:dyDescent="0.25">
      <c r="H34177" s="12"/>
      <c r="I34177" s="12"/>
      <c r="J34177" s="12"/>
      <c r="K34177" s="12"/>
      <c r="L34177" s="12"/>
      <c r="M34177" s="11"/>
      <c r="N34177" s="11"/>
      <c r="O34177" s="11"/>
      <c r="P34177" s="11"/>
    </row>
    <row r="34178" spans="8:16" x14ac:dyDescent="0.25">
      <c r="H34178" s="12"/>
      <c r="I34178" s="12"/>
      <c r="J34178" s="12"/>
      <c r="K34178" s="12"/>
      <c r="L34178" s="12"/>
      <c r="M34178" s="11"/>
      <c r="N34178" s="11"/>
      <c r="O34178" s="11"/>
      <c r="P34178" s="11"/>
    </row>
    <row r="34179" spans="8:16" x14ac:dyDescent="0.25">
      <c r="H34179" s="12"/>
      <c r="I34179" s="12"/>
      <c r="J34179" s="12"/>
      <c r="K34179" s="12"/>
      <c r="L34179" s="12"/>
      <c r="M34179" s="11"/>
      <c r="N34179" s="11"/>
      <c r="O34179" s="11"/>
      <c r="P34179" s="11"/>
    </row>
    <row r="34180" spans="8:16" x14ac:dyDescent="0.25">
      <c r="H34180" s="12"/>
      <c r="I34180" s="12"/>
      <c r="J34180" s="12"/>
      <c r="K34180" s="12"/>
      <c r="L34180" s="12"/>
      <c r="M34180" s="11"/>
      <c r="N34180" s="11"/>
      <c r="O34180" s="11"/>
      <c r="P34180" s="11"/>
    </row>
    <row r="34181" spans="8:16" x14ac:dyDescent="0.25">
      <c r="H34181" s="12"/>
      <c r="I34181" s="12"/>
      <c r="J34181" s="12"/>
      <c r="K34181" s="12"/>
      <c r="L34181" s="12"/>
      <c r="M34181" s="11"/>
      <c r="N34181" s="11"/>
      <c r="O34181" s="11"/>
      <c r="P34181" s="11"/>
    </row>
    <row r="34182" spans="8:16" x14ac:dyDescent="0.25">
      <c r="H34182" s="12"/>
      <c r="I34182" s="12"/>
      <c r="J34182" s="12"/>
      <c r="K34182" s="12"/>
      <c r="L34182" s="12"/>
      <c r="M34182" s="11"/>
      <c r="N34182" s="11"/>
      <c r="O34182" s="11"/>
      <c r="P34182" s="11"/>
    </row>
    <row r="34183" spans="8:16" x14ac:dyDescent="0.25">
      <c r="H34183" s="12"/>
      <c r="I34183" s="12"/>
      <c r="J34183" s="12"/>
      <c r="K34183" s="12"/>
      <c r="L34183" s="12"/>
      <c r="M34183" s="11"/>
      <c r="N34183" s="11"/>
      <c r="O34183" s="11"/>
      <c r="P34183" s="11"/>
    </row>
    <row r="34184" spans="8:16" x14ac:dyDescent="0.25">
      <c r="H34184" s="12"/>
      <c r="I34184" s="12"/>
      <c r="J34184" s="12"/>
      <c r="K34184" s="12"/>
      <c r="L34184" s="12"/>
      <c r="M34184" s="11"/>
      <c r="N34184" s="11"/>
      <c r="O34184" s="11"/>
      <c r="P34184" s="11"/>
    </row>
    <row r="34185" spans="8:16" x14ac:dyDescent="0.25">
      <c r="H34185" s="12"/>
      <c r="I34185" s="12"/>
      <c r="J34185" s="12"/>
      <c r="K34185" s="12"/>
      <c r="L34185" s="12"/>
      <c r="M34185" s="11"/>
      <c r="N34185" s="11"/>
      <c r="O34185" s="11"/>
      <c r="P34185" s="11"/>
    </row>
    <row r="34186" spans="8:16" x14ac:dyDescent="0.25">
      <c r="H34186" s="12"/>
      <c r="I34186" s="12"/>
      <c r="J34186" s="12"/>
      <c r="K34186" s="12"/>
      <c r="L34186" s="12"/>
      <c r="M34186" s="11"/>
      <c r="N34186" s="11"/>
      <c r="O34186" s="11"/>
      <c r="P34186" s="11"/>
    </row>
    <row r="34187" spans="8:16" x14ac:dyDescent="0.25">
      <c r="H34187" s="12"/>
      <c r="I34187" s="12"/>
      <c r="J34187" s="12"/>
      <c r="K34187" s="12"/>
      <c r="L34187" s="12"/>
      <c r="M34187" s="11"/>
      <c r="N34187" s="11"/>
      <c r="O34187" s="11"/>
      <c r="P34187" s="11"/>
    </row>
    <row r="34188" spans="8:16" x14ac:dyDescent="0.25">
      <c r="H34188" s="12"/>
      <c r="I34188" s="12"/>
      <c r="J34188" s="12"/>
      <c r="K34188" s="12"/>
      <c r="L34188" s="12"/>
      <c r="M34188" s="11"/>
      <c r="N34188" s="11"/>
      <c r="O34188" s="11"/>
      <c r="P34188" s="11"/>
    </row>
    <row r="34189" spans="8:16" x14ac:dyDescent="0.25">
      <c r="H34189" s="12"/>
      <c r="I34189" s="12"/>
      <c r="J34189" s="12"/>
      <c r="K34189" s="12"/>
      <c r="L34189" s="12"/>
      <c r="M34189" s="11"/>
      <c r="N34189" s="11"/>
      <c r="O34189" s="11"/>
      <c r="P34189" s="11"/>
    </row>
    <row r="34190" spans="8:16" x14ac:dyDescent="0.25">
      <c r="H34190" s="12"/>
      <c r="I34190" s="12"/>
      <c r="J34190" s="12"/>
      <c r="K34190" s="12"/>
      <c r="L34190" s="12"/>
      <c r="M34190" s="11"/>
      <c r="N34190" s="11"/>
      <c r="O34190" s="11"/>
      <c r="P34190" s="11"/>
    </row>
    <row r="34191" spans="8:16" x14ac:dyDescent="0.25">
      <c r="H34191" s="12"/>
      <c r="I34191" s="12"/>
      <c r="J34191" s="12"/>
      <c r="K34191" s="12"/>
      <c r="L34191" s="12"/>
      <c r="M34191" s="11"/>
      <c r="N34191" s="11"/>
      <c r="O34191" s="11"/>
      <c r="P34191" s="11"/>
    </row>
    <row r="34192" spans="8:16" x14ac:dyDescent="0.25">
      <c r="H34192" s="12"/>
      <c r="I34192" s="12"/>
      <c r="J34192" s="12"/>
      <c r="K34192" s="12"/>
      <c r="L34192" s="12"/>
      <c r="M34192" s="11"/>
      <c r="N34192" s="11"/>
      <c r="O34192" s="11"/>
      <c r="P34192" s="11"/>
    </row>
    <row r="34193" spans="8:16" x14ac:dyDescent="0.25">
      <c r="H34193" s="12"/>
      <c r="I34193" s="12"/>
      <c r="J34193" s="12"/>
      <c r="K34193" s="12"/>
      <c r="L34193" s="12"/>
      <c r="M34193" s="11"/>
      <c r="N34193" s="11"/>
      <c r="O34193" s="11"/>
      <c r="P34193" s="11"/>
    </row>
    <row r="34194" spans="8:16" x14ac:dyDescent="0.25">
      <c r="H34194" s="12"/>
      <c r="I34194" s="12"/>
      <c r="J34194" s="12"/>
      <c r="K34194" s="12"/>
      <c r="L34194" s="12"/>
      <c r="M34194" s="11"/>
      <c r="N34194" s="11"/>
      <c r="O34194" s="11"/>
      <c r="P34194" s="11"/>
    </row>
    <row r="34195" spans="8:16" x14ac:dyDescent="0.25">
      <c r="H34195" s="12"/>
      <c r="I34195" s="12"/>
      <c r="J34195" s="12"/>
      <c r="K34195" s="12"/>
      <c r="L34195" s="12"/>
      <c r="M34195" s="11"/>
      <c r="N34195" s="11"/>
      <c r="O34195" s="11"/>
      <c r="P34195" s="11"/>
    </row>
    <row r="34196" spans="8:16" x14ac:dyDescent="0.25">
      <c r="H34196" s="12"/>
      <c r="I34196" s="12"/>
      <c r="J34196" s="12"/>
      <c r="K34196" s="12"/>
      <c r="L34196" s="12"/>
      <c r="M34196" s="11"/>
      <c r="N34196" s="11"/>
      <c r="O34196" s="11"/>
      <c r="P34196" s="11"/>
    </row>
    <row r="34197" spans="8:16" x14ac:dyDescent="0.25">
      <c r="H34197" s="12"/>
      <c r="I34197" s="12"/>
      <c r="J34197" s="12"/>
      <c r="K34197" s="12"/>
      <c r="L34197" s="12"/>
      <c r="M34197" s="11"/>
      <c r="N34197" s="11"/>
      <c r="O34197" s="11"/>
      <c r="P34197" s="11"/>
    </row>
    <row r="34198" spans="8:16" x14ac:dyDescent="0.25">
      <c r="H34198" s="12"/>
      <c r="I34198" s="12"/>
      <c r="J34198" s="12"/>
      <c r="K34198" s="12"/>
      <c r="L34198" s="12"/>
      <c r="M34198" s="11"/>
      <c r="N34198" s="11"/>
      <c r="O34198" s="11"/>
      <c r="P34198" s="11"/>
    </row>
    <row r="34199" spans="8:16" x14ac:dyDescent="0.25">
      <c r="H34199" s="12"/>
      <c r="I34199" s="12"/>
      <c r="J34199" s="12"/>
      <c r="K34199" s="12"/>
      <c r="L34199" s="12"/>
      <c r="M34199" s="11"/>
      <c r="N34199" s="11"/>
      <c r="O34199" s="11"/>
      <c r="P34199" s="11"/>
    </row>
    <row r="34200" spans="8:16" x14ac:dyDescent="0.25">
      <c r="H34200" s="12"/>
      <c r="I34200" s="12"/>
      <c r="J34200" s="12"/>
      <c r="K34200" s="12"/>
      <c r="L34200" s="12"/>
      <c r="M34200" s="11"/>
      <c r="N34200" s="11"/>
      <c r="O34200" s="11"/>
      <c r="P34200" s="11"/>
    </row>
    <row r="34201" spans="8:16" x14ac:dyDescent="0.25">
      <c r="H34201" s="12"/>
      <c r="I34201" s="12"/>
      <c r="J34201" s="12"/>
      <c r="K34201" s="12"/>
      <c r="L34201" s="12"/>
      <c r="M34201" s="11"/>
      <c r="N34201" s="11"/>
      <c r="O34201" s="11"/>
      <c r="P34201" s="11"/>
    </row>
    <row r="34202" spans="8:16" x14ac:dyDescent="0.25">
      <c r="H34202" s="12"/>
      <c r="I34202" s="12"/>
      <c r="J34202" s="12"/>
      <c r="K34202" s="12"/>
      <c r="L34202" s="12"/>
      <c r="M34202" s="11"/>
      <c r="N34202" s="11"/>
      <c r="O34202" s="11"/>
      <c r="P34202" s="11"/>
    </row>
    <row r="34203" spans="8:16" x14ac:dyDescent="0.25">
      <c r="H34203" s="12"/>
      <c r="I34203" s="12"/>
      <c r="J34203" s="12"/>
      <c r="K34203" s="12"/>
      <c r="L34203" s="12"/>
      <c r="M34203" s="11"/>
      <c r="N34203" s="11"/>
      <c r="O34203" s="11"/>
      <c r="P34203" s="11"/>
    </row>
    <row r="34204" spans="8:16" x14ac:dyDescent="0.25">
      <c r="H34204" s="12"/>
      <c r="I34204" s="12"/>
      <c r="J34204" s="12"/>
      <c r="K34204" s="12"/>
      <c r="L34204" s="12"/>
      <c r="M34204" s="11"/>
      <c r="N34204" s="11"/>
      <c r="O34204" s="11"/>
      <c r="P34204" s="11"/>
    </row>
    <row r="34205" spans="8:16" x14ac:dyDescent="0.25">
      <c r="H34205" s="12"/>
      <c r="I34205" s="12"/>
      <c r="J34205" s="12"/>
      <c r="K34205" s="12"/>
      <c r="L34205" s="12"/>
      <c r="M34205" s="11"/>
      <c r="N34205" s="11"/>
      <c r="O34205" s="11"/>
      <c r="P34205" s="11"/>
    </row>
    <row r="34206" spans="8:16" x14ac:dyDescent="0.25">
      <c r="H34206" s="12"/>
      <c r="I34206" s="12"/>
      <c r="J34206" s="12"/>
      <c r="K34206" s="12"/>
      <c r="L34206" s="12"/>
      <c r="M34206" s="11"/>
      <c r="N34206" s="11"/>
      <c r="O34206" s="11"/>
      <c r="P34206" s="11"/>
    </row>
    <row r="34207" spans="8:16" x14ac:dyDescent="0.25">
      <c r="H34207" s="12"/>
      <c r="I34207" s="12"/>
      <c r="J34207" s="12"/>
      <c r="K34207" s="12"/>
      <c r="L34207" s="12"/>
      <c r="M34207" s="11"/>
      <c r="N34207" s="11"/>
      <c r="O34207" s="11"/>
      <c r="P34207" s="11"/>
    </row>
    <row r="34208" spans="8:16" x14ac:dyDescent="0.25">
      <c r="H34208" s="12"/>
      <c r="I34208" s="12"/>
      <c r="J34208" s="12"/>
      <c r="K34208" s="12"/>
      <c r="L34208" s="12"/>
      <c r="M34208" s="11"/>
      <c r="N34208" s="11"/>
      <c r="O34208" s="11"/>
      <c r="P34208" s="11"/>
    </row>
    <row r="34209" spans="8:16" x14ac:dyDescent="0.25">
      <c r="H34209" s="12"/>
      <c r="I34209" s="12"/>
      <c r="J34209" s="12"/>
      <c r="K34209" s="12"/>
      <c r="L34209" s="12"/>
      <c r="M34209" s="11"/>
      <c r="N34209" s="11"/>
      <c r="O34209" s="11"/>
      <c r="P34209" s="11"/>
    </row>
    <row r="34210" spans="8:16" x14ac:dyDescent="0.25">
      <c r="H34210" s="12"/>
      <c r="I34210" s="12"/>
      <c r="J34210" s="12"/>
      <c r="K34210" s="12"/>
      <c r="L34210" s="12"/>
      <c r="M34210" s="11"/>
      <c r="N34210" s="11"/>
      <c r="O34210" s="11"/>
      <c r="P34210" s="11"/>
    </row>
    <row r="34211" spans="8:16" x14ac:dyDescent="0.25">
      <c r="H34211" s="12"/>
      <c r="I34211" s="12"/>
      <c r="J34211" s="12"/>
      <c r="K34211" s="12"/>
      <c r="L34211" s="12"/>
      <c r="M34211" s="11"/>
      <c r="N34211" s="11"/>
      <c r="O34211" s="11"/>
      <c r="P34211" s="11"/>
    </row>
    <row r="34212" spans="8:16" x14ac:dyDescent="0.25">
      <c r="H34212" s="12"/>
      <c r="I34212" s="12"/>
      <c r="J34212" s="12"/>
      <c r="K34212" s="12"/>
      <c r="L34212" s="12"/>
      <c r="M34212" s="11"/>
      <c r="N34212" s="11"/>
      <c r="O34212" s="11"/>
      <c r="P34212" s="11"/>
    </row>
    <row r="34213" spans="8:16" x14ac:dyDescent="0.25">
      <c r="H34213" s="12"/>
      <c r="I34213" s="12"/>
      <c r="J34213" s="12"/>
      <c r="K34213" s="12"/>
      <c r="L34213" s="12"/>
      <c r="M34213" s="11"/>
      <c r="N34213" s="11"/>
      <c r="O34213" s="11"/>
      <c r="P34213" s="11"/>
    </row>
    <row r="34214" spans="8:16" x14ac:dyDescent="0.25">
      <c r="H34214" s="12"/>
      <c r="I34214" s="12"/>
      <c r="J34214" s="12"/>
      <c r="K34214" s="12"/>
      <c r="L34214" s="12"/>
      <c r="M34214" s="11"/>
      <c r="N34214" s="11"/>
      <c r="O34214" s="11"/>
      <c r="P34214" s="11"/>
    </row>
    <row r="34215" spans="8:16" x14ac:dyDescent="0.25">
      <c r="H34215" s="12"/>
      <c r="I34215" s="12"/>
      <c r="J34215" s="12"/>
      <c r="K34215" s="12"/>
      <c r="L34215" s="12"/>
      <c r="M34215" s="11"/>
      <c r="N34215" s="11"/>
      <c r="O34215" s="11"/>
      <c r="P34215" s="11"/>
    </row>
    <row r="34216" spans="8:16" x14ac:dyDescent="0.25">
      <c r="H34216" s="12"/>
      <c r="I34216" s="12"/>
      <c r="J34216" s="12"/>
      <c r="K34216" s="12"/>
      <c r="L34216" s="12"/>
      <c r="M34216" s="11"/>
      <c r="N34216" s="11"/>
      <c r="O34216" s="11"/>
      <c r="P34216" s="11"/>
    </row>
    <row r="34217" spans="8:16" x14ac:dyDescent="0.25">
      <c r="H34217" s="12"/>
      <c r="I34217" s="12"/>
      <c r="J34217" s="12"/>
      <c r="K34217" s="12"/>
      <c r="L34217" s="12"/>
      <c r="M34217" s="11"/>
      <c r="N34217" s="11"/>
      <c r="O34217" s="11"/>
      <c r="P34217" s="11"/>
    </row>
    <row r="34218" spans="8:16" x14ac:dyDescent="0.25">
      <c r="H34218" s="12"/>
      <c r="I34218" s="12"/>
      <c r="J34218" s="12"/>
      <c r="K34218" s="12"/>
      <c r="L34218" s="12"/>
      <c r="M34218" s="11"/>
      <c r="N34218" s="11"/>
      <c r="O34218" s="11"/>
      <c r="P34218" s="11"/>
    </row>
    <row r="34219" spans="8:16" x14ac:dyDescent="0.25">
      <c r="H34219" s="12"/>
      <c r="I34219" s="12"/>
      <c r="J34219" s="12"/>
      <c r="K34219" s="12"/>
      <c r="L34219" s="12"/>
      <c r="M34219" s="11"/>
      <c r="N34219" s="11"/>
      <c r="O34219" s="11"/>
      <c r="P34219" s="11"/>
    </row>
    <row r="34220" spans="8:16" x14ac:dyDescent="0.25">
      <c r="H34220" s="12"/>
      <c r="I34220" s="12"/>
      <c r="J34220" s="12"/>
      <c r="K34220" s="12"/>
      <c r="L34220" s="12"/>
      <c r="M34220" s="11"/>
      <c r="N34220" s="11"/>
      <c r="O34220" s="11"/>
      <c r="P34220" s="11"/>
    </row>
    <row r="34221" spans="8:16" x14ac:dyDescent="0.25">
      <c r="H34221" s="12"/>
      <c r="I34221" s="12"/>
      <c r="J34221" s="12"/>
      <c r="K34221" s="12"/>
      <c r="L34221" s="12"/>
      <c r="M34221" s="11"/>
      <c r="N34221" s="11"/>
      <c r="O34221" s="11"/>
      <c r="P34221" s="11"/>
    </row>
    <row r="34222" spans="8:16" x14ac:dyDescent="0.25">
      <c r="H34222" s="12"/>
      <c r="I34222" s="12"/>
      <c r="J34222" s="12"/>
      <c r="K34222" s="12"/>
      <c r="L34222" s="12"/>
      <c r="M34222" s="11"/>
      <c r="N34222" s="11"/>
      <c r="O34222" s="11"/>
      <c r="P34222" s="11"/>
    </row>
    <row r="34223" spans="8:16" x14ac:dyDescent="0.25">
      <c r="H34223" s="12"/>
      <c r="I34223" s="12"/>
      <c r="J34223" s="12"/>
      <c r="K34223" s="12"/>
      <c r="L34223" s="12"/>
      <c r="M34223" s="11"/>
      <c r="N34223" s="11"/>
      <c r="O34223" s="11"/>
      <c r="P34223" s="11"/>
    </row>
    <row r="34224" spans="8:16" x14ac:dyDescent="0.25">
      <c r="H34224" s="12"/>
      <c r="I34224" s="12"/>
      <c r="J34224" s="12"/>
      <c r="K34224" s="12"/>
      <c r="L34224" s="12"/>
      <c r="M34224" s="11"/>
      <c r="N34224" s="11"/>
      <c r="O34224" s="11"/>
      <c r="P34224" s="11"/>
    </row>
    <row r="34225" spans="8:16" x14ac:dyDescent="0.25">
      <c r="H34225" s="12"/>
      <c r="I34225" s="12"/>
      <c r="J34225" s="12"/>
      <c r="K34225" s="12"/>
      <c r="L34225" s="12"/>
      <c r="M34225" s="11"/>
      <c r="N34225" s="11"/>
      <c r="O34225" s="11"/>
      <c r="P34225" s="11"/>
    </row>
    <row r="34226" spans="8:16" x14ac:dyDescent="0.25">
      <c r="H34226" s="12"/>
      <c r="I34226" s="12"/>
      <c r="J34226" s="12"/>
      <c r="K34226" s="12"/>
      <c r="L34226" s="12"/>
      <c r="M34226" s="11"/>
      <c r="N34226" s="11"/>
      <c r="O34226" s="11"/>
      <c r="P34226" s="11"/>
    </row>
    <row r="34227" spans="8:16" x14ac:dyDescent="0.25">
      <c r="H34227" s="12"/>
      <c r="I34227" s="12"/>
      <c r="J34227" s="12"/>
      <c r="K34227" s="12"/>
      <c r="L34227" s="12"/>
      <c r="M34227" s="11"/>
      <c r="N34227" s="11"/>
      <c r="O34227" s="11"/>
      <c r="P34227" s="11"/>
    </row>
    <row r="34228" spans="8:16" x14ac:dyDescent="0.25">
      <c r="H34228" s="12"/>
      <c r="I34228" s="12"/>
      <c r="J34228" s="12"/>
      <c r="K34228" s="12"/>
      <c r="L34228" s="12"/>
      <c r="M34228" s="11"/>
      <c r="N34228" s="11"/>
      <c r="O34228" s="11"/>
      <c r="P34228" s="11"/>
    </row>
    <row r="34229" spans="8:16" x14ac:dyDescent="0.25">
      <c r="H34229" s="12"/>
      <c r="I34229" s="12"/>
      <c r="J34229" s="12"/>
      <c r="K34229" s="12"/>
      <c r="L34229" s="12"/>
      <c r="M34229" s="11"/>
      <c r="N34229" s="11"/>
      <c r="O34229" s="11"/>
      <c r="P34229" s="11"/>
    </row>
    <row r="34230" spans="8:16" x14ac:dyDescent="0.25">
      <c r="H34230" s="12"/>
      <c r="I34230" s="12"/>
      <c r="J34230" s="12"/>
      <c r="K34230" s="12"/>
      <c r="L34230" s="12"/>
      <c r="M34230" s="11"/>
      <c r="N34230" s="11"/>
      <c r="O34230" s="11"/>
      <c r="P34230" s="11"/>
    </row>
    <row r="34231" spans="8:16" x14ac:dyDescent="0.25">
      <c r="H34231" s="12"/>
      <c r="I34231" s="12"/>
      <c r="J34231" s="12"/>
      <c r="K34231" s="12"/>
      <c r="L34231" s="12"/>
      <c r="M34231" s="11"/>
      <c r="N34231" s="11"/>
      <c r="O34231" s="11"/>
      <c r="P34231" s="11"/>
    </row>
    <row r="34232" spans="8:16" x14ac:dyDescent="0.25">
      <c r="H34232" s="12"/>
      <c r="I34232" s="12"/>
      <c r="J34232" s="12"/>
      <c r="K34232" s="12"/>
      <c r="L34232" s="12"/>
      <c r="M34232" s="11"/>
      <c r="N34232" s="11"/>
      <c r="O34232" s="11"/>
      <c r="P34232" s="11"/>
    </row>
    <row r="34233" spans="8:16" x14ac:dyDescent="0.25">
      <c r="H34233" s="12"/>
      <c r="I34233" s="12"/>
      <c r="J34233" s="12"/>
      <c r="K34233" s="12"/>
      <c r="L34233" s="12"/>
      <c r="M34233" s="11"/>
      <c r="N34233" s="11"/>
      <c r="O34233" s="11"/>
      <c r="P34233" s="11"/>
    </row>
    <row r="34234" spans="8:16" x14ac:dyDescent="0.25">
      <c r="H34234" s="12"/>
      <c r="I34234" s="12"/>
      <c r="J34234" s="12"/>
      <c r="K34234" s="12"/>
      <c r="L34234" s="12"/>
      <c r="M34234" s="11"/>
      <c r="N34234" s="11"/>
      <c r="O34234" s="11"/>
      <c r="P34234" s="11"/>
    </row>
    <row r="34235" spans="8:16" x14ac:dyDescent="0.25">
      <c r="H34235" s="12"/>
      <c r="I34235" s="12"/>
      <c r="J34235" s="12"/>
      <c r="K34235" s="12"/>
      <c r="L34235" s="12"/>
      <c r="M34235" s="11"/>
      <c r="N34235" s="11"/>
      <c r="O34235" s="11"/>
      <c r="P34235" s="11"/>
    </row>
    <row r="34236" spans="8:16" x14ac:dyDescent="0.25">
      <c r="H34236" s="12"/>
      <c r="I34236" s="12"/>
      <c r="J34236" s="12"/>
      <c r="K34236" s="12"/>
      <c r="L34236" s="12"/>
      <c r="M34236" s="11"/>
      <c r="N34236" s="11"/>
      <c r="O34236" s="11"/>
      <c r="P34236" s="11"/>
    </row>
    <row r="34237" spans="8:16" x14ac:dyDescent="0.25">
      <c r="H34237" s="12"/>
      <c r="I34237" s="12"/>
      <c r="J34237" s="12"/>
      <c r="K34237" s="12"/>
      <c r="L34237" s="12"/>
      <c r="M34237" s="11"/>
      <c r="N34237" s="11"/>
      <c r="O34237" s="11"/>
      <c r="P34237" s="11"/>
    </row>
    <row r="34238" spans="8:16" x14ac:dyDescent="0.25">
      <c r="H34238" s="12"/>
      <c r="I34238" s="12"/>
      <c r="J34238" s="12"/>
      <c r="K34238" s="12"/>
      <c r="L34238" s="12"/>
      <c r="M34238" s="11"/>
      <c r="N34238" s="11"/>
      <c r="O34238" s="11"/>
      <c r="P34238" s="11"/>
    </row>
    <row r="34239" spans="8:16" x14ac:dyDescent="0.25">
      <c r="H34239" s="12"/>
      <c r="I34239" s="12"/>
      <c r="J34239" s="12"/>
      <c r="K34239" s="12"/>
      <c r="L34239" s="12"/>
      <c r="M34239" s="11"/>
      <c r="N34239" s="11"/>
      <c r="O34239" s="11"/>
      <c r="P34239" s="11"/>
    </row>
    <row r="34240" spans="8:16" x14ac:dyDescent="0.25">
      <c r="H34240" s="12"/>
      <c r="I34240" s="12"/>
      <c r="J34240" s="12"/>
      <c r="K34240" s="12"/>
      <c r="L34240" s="12"/>
      <c r="M34240" s="11"/>
      <c r="N34240" s="11"/>
      <c r="O34240" s="11"/>
      <c r="P34240" s="11"/>
    </row>
    <row r="34241" spans="8:16" x14ac:dyDescent="0.25">
      <c r="H34241" s="12"/>
      <c r="I34241" s="12"/>
      <c r="J34241" s="12"/>
      <c r="K34241" s="12"/>
      <c r="L34241" s="12"/>
      <c r="M34241" s="11"/>
      <c r="N34241" s="11"/>
      <c r="O34241" s="11"/>
      <c r="P34241" s="11"/>
    </row>
    <row r="34242" spans="8:16" x14ac:dyDescent="0.25">
      <c r="H34242" s="12"/>
      <c r="I34242" s="12"/>
      <c r="J34242" s="12"/>
      <c r="K34242" s="12"/>
      <c r="L34242" s="12"/>
      <c r="M34242" s="11"/>
      <c r="N34242" s="11"/>
      <c r="O34242" s="11"/>
      <c r="P34242" s="11"/>
    </row>
    <row r="34243" spans="8:16" x14ac:dyDescent="0.25">
      <c r="H34243" s="12"/>
      <c r="I34243" s="12"/>
      <c r="J34243" s="12"/>
      <c r="K34243" s="12"/>
      <c r="L34243" s="12"/>
      <c r="M34243" s="11"/>
      <c r="N34243" s="11"/>
      <c r="O34243" s="11"/>
      <c r="P34243" s="11"/>
    </row>
    <row r="34244" spans="8:16" x14ac:dyDescent="0.25">
      <c r="H34244" s="12"/>
      <c r="I34244" s="12"/>
      <c r="J34244" s="12"/>
      <c r="K34244" s="12"/>
      <c r="L34244" s="12"/>
      <c r="M34244" s="11"/>
      <c r="N34244" s="11"/>
      <c r="O34244" s="11"/>
      <c r="P34244" s="11"/>
    </row>
    <row r="34245" spans="8:16" x14ac:dyDescent="0.25">
      <c r="H34245" s="12"/>
      <c r="I34245" s="12"/>
      <c r="J34245" s="12"/>
      <c r="K34245" s="12"/>
      <c r="L34245" s="12"/>
      <c r="M34245" s="11"/>
      <c r="N34245" s="11"/>
      <c r="O34245" s="11"/>
      <c r="P34245" s="11"/>
    </row>
    <row r="34246" spans="8:16" x14ac:dyDescent="0.25">
      <c r="H34246" s="12"/>
      <c r="I34246" s="12"/>
      <c r="J34246" s="12"/>
      <c r="K34246" s="12"/>
      <c r="L34246" s="12"/>
      <c r="M34246" s="11"/>
      <c r="N34246" s="11"/>
      <c r="O34246" s="11"/>
      <c r="P34246" s="11"/>
    </row>
    <row r="34247" spans="8:16" x14ac:dyDescent="0.25">
      <c r="H34247" s="12"/>
      <c r="I34247" s="12"/>
      <c r="J34247" s="12"/>
      <c r="K34247" s="12"/>
      <c r="L34247" s="12"/>
      <c r="M34247" s="11"/>
      <c r="N34247" s="11"/>
      <c r="O34247" s="11"/>
      <c r="P34247" s="11"/>
    </row>
    <row r="34248" spans="8:16" x14ac:dyDescent="0.25">
      <c r="H34248" s="12"/>
      <c r="I34248" s="12"/>
      <c r="J34248" s="12"/>
      <c r="K34248" s="12"/>
      <c r="L34248" s="12"/>
      <c r="M34248" s="11"/>
      <c r="N34248" s="11"/>
      <c r="O34248" s="11"/>
      <c r="P34248" s="11"/>
    </row>
    <row r="34249" spans="8:16" x14ac:dyDescent="0.25">
      <c r="H34249" s="12"/>
      <c r="I34249" s="12"/>
      <c r="J34249" s="12"/>
      <c r="K34249" s="12"/>
      <c r="L34249" s="12"/>
      <c r="M34249" s="11"/>
      <c r="N34249" s="11"/>
      <c r="O34249" s="11"/>
      <c r="P34249" s="11"/>
    </row>
    <row r="34250" spans="8:16" x14ac:dyDescent="0.25">
      <c r="H34250" s="12"/>
      <c r="I34250" s="12"/>
      <c r="J34250" s="12"/>
      <c r="K34250" s="12"/>
      <c r="L34250" s="12"/>
      <c r="M34250" s="11"/>
      <c r="N34250" s="11"/>
      <c r="O34250" s="11"/>
      <c r="P34250" s="11"/>
    </row>
    <row r="34251" spans="8:16" x14ac:dyDescent="0.25">
      <c r="H34251" s="12"/>
      <c r="I34251" s="12"/>
      <c r="J34251" s="12"/>
      <c r="K34251" s="12"/>
      <c r="L34251" s="12"/>
      <c r="M34251" s="11"/>
      <c r="N34251" s="11"/>
      <c r="O34251" s="11"/>
      <c r="P34251" s="11"/>
    </row>
    <row r="34252" spans="8:16" x14ac:dyDescent="0.25">
      <c r="H34252" s="12"/>
      <c r="I34252" s="12"/>
      <c r="J34252" s="12"/>
      <c r="K34252" s="12"/>
      <c r="L34252" s="12"/>
      <c r="M34252" s="11"/>
      <c r="N34252" s="11"/>
      <c r="O34252" s="11"/>
      <c r="P34252" s="11"/>
    </row>
    <row r="34253" spans="8:16" x14ac:dyDescent="0.25">
      <c r="H34253" s="12"/>
      <c r="I34253" s="12"/>
      <c r="J34253" s="12"/>
      <c r="K34253" s="12"/>
      <c r="L34253" s="12"/>
      <c r="M34253" s="11"/>
      <c r="N34253" s="11"/>
      <c r="O34253" s="11"/>
      <c r="P34253" s="11"/>
    </row>
    <row r="34254" spans="8:16" x14ac:dyDescent="0.25">
      <c r="H34254" s="12"/>
      <c r="I34254" s="12"/>
      <c r="J34254" s="12"/>
      <c r="K34254" s="12"/>
      <c r="L34254" s="12"/>
      <c r="M34254" s="11"/>
      <c r="N34254" s="11"/>
      <c r="O34254" s="11"/>
      <c r="P34254" s="11"/>
    </row>
    <row r="34255" spans="8:16" x14ac:dyDescent="0.25">
      <c r="H34255" s="12"/>
      <c r="I34255" s="12"/>
      <c r="J34255" s="12"/>
      <c r="K34255" s="12"/>
      <c r="L34255" s="12"/>
      <c r="M34255" s="11"/>
      <c r="N34255" s="11"/>
      <c r="O34255" s="11"/>
      <c r="P34255" s="11"/>
    </row>
    <row r="34256" spans="8:16" x14ac:dyDescent="0.25">
      <c r="H34256" s="12"/>
      <c r="I34256" s="12"/>
      <c r="J34256" s="12"/>
      <c r="K34256" s="12"/>
      <c r="L34256" s="12"/>
      <c r="M34256" s="11"/>
      <c r="N34256" s="11"/>
      <c r="O34256" s="11"/>
      <c r="P34256" s="11"/>
    </row>
    <row r="34257" spans="8:16" x14ac:dyDescent="0.25">
      <c r="H34257" s="12"/>
      <c r="I34257" s="12"/>
      <c r="J34257" s="12"/>
      <c r="K34257" s="12"/>
      <c r="L34257" s="12"/>
      <c r="M34257" s="11"/>
      <c r="N34257" s="11"/>
      <c r="O34257" s="11"/>
      <c r="P34257" s="11"/>
    </row>
    <row r="34258" spans="8:16" x14ac:dyDescent="0.25">
      <c r="H34258" s="12"/>
      <c r="I34258" s="12"/>
      <c r="J34258" s="12"/>
      <c r="K34258" s="12"/>
      <c r="L34258" s="12"/>
      <c r="M34258" s="11"/>
      <c r="N34258" s="11"/>
      <c r="O34258" s="11"/>
      <c r="P34258" s="11"/>
    </row>
    <row r="34259" spans="8:16" x14ac:dyDescent="0.25">
      <c r="H34259" s="12"/>
      <c r="I34259" s="12"/>
      <c r="J34259" s="12"/>
      <c r="K34259" s="12"/>
      <c r="L34259" s="12"/>
      <c r="M34259" s="11"/>
      <c r="N34259" s="11"/>
      <c r="O34259" s="11"/>
      <c r="P34259" s="11"/>
    </row>
    <row r="34260" spans="8:16" x14ac:dyDescent="0.25">
      <c r="H34260" s="12"/>
      <c r="I34260" s="12"/>
      <c r="J34260" s="12"/>
      <c r="K34260" s="12"/>
      <c r="L34260" s="12"/>
      <c r="M34260" s="11"/>
      <c r="N34260" s="11"/>
      <c r="O34260" s="11"/>
      <c r="P34260" s="11"/>
    </row>
    <row r="34261" spans="8:16" x14ac:dyDescent="0.25">
      <c r="H34261" s="12"/>
      <c r="I34261" s="12"/>
      <c r="J34261" s="12"/>
      <c r="K34261" s="12"/>
      <c r="L34261" s="12"/>
      <c r="M34261" s="11"/>
      <c r="N34261" s="11"/>
      <c r="O34261" s="11"/>
      <c r="P34261" s="11"/>
    </row>
    <row r="34262" spans="8:16" x14ac:dyDescent="0.25">
      <c r="H34262" s="12"/>
      <c r="I34262" s="12"/>
      <c r="J34262" s="12"/>
      <c r="K34262" s="12"/>
      <c r="L34262" s="12"/>
      <c r="M34262" s="11"/>
      <c r="N34262" s="11"/>
      <c r="O34262" s="11"/>
      <c r="P34262" s="11"/>
    </row>
    <row r="34263" spans="8:16" x14ac:dyDescent="0.25">
      <c r="H34263" s="12"/>
      <c r="I34263" s="12"/>
      <c r="J34263" s="12"/>
      <c r="K34263" s="12"/>
      <c r="L34263" s="12"/>
      <c r="M34263" s="11"/>
      <c r="N34263" s="11"/>
      <c r="O34263" s="11"/>
      <c r="P34263" s="11"/>
    </row>
    <row r="34264" spans="8:16" x14ac:dyDescent="0.25">
      <c r="H34264" s="12"/>
      <c r="I34264" s="12"/>
      <c r="J34264" s="12"/>
      <c r="K34264" s="12"/>
      <c r="L34264" s="12"/>
      <c r="M34264" s="11"/>
      <c r="N34264" s="11"/>
      <c r="O34264" s="11"/>
      <c r="P34264" s="11"/>
    </row>
    <row r="34265" spans="8:16" x14ac:dyDescent="0.25">
      <c r="H34265" s="12"/>
      <c r="I34265" s="12"/>
      <c r="J34265" s="12"/>
      <c r="K34265" s="12"/>
      <c r="L34265" s="12"/>
      <c r="M34265" s="11"/>
      <c r="N34265" s="11"/>
      <c r="O34265" s="11"/>
      <c r="P34265" s="11"/>
    </row>
    <row r="34266" spans="8:16" x14ac:dyDescent="0.25">
      <c r="H34266" s="12"/>
      <c r="I34266" s="12"/>
      <c r="J34266" s="12"/>
      <c r="K34266" s="12"/>
      <c r="L34266" s="12"/>
      <c r="M34266" s="11"/>
      <c r="N34266" s="11"/>
      <c r="O34266" s="11"/>
      <c r="P34266" s="11"/>
    </row>
    <row r="34267" spans="8:16" x14ac:dyDescent="0.25">
      <c r="H34267" s="12"/>
      <c r="I34267" s="12"/>
      <c r="J34267" s="12"/>
      <c r="K34267" s="12"/>
      <c r="L34267" s="12"/>
      <c r="M34267" s="11"/>
      <c r="N34267" s="11"/>
      <c r="O34267" s="11"/>
      <c r="P34267" s="11"/>
    </row>
    <row r="34268" spans="8:16" x14ac:dyDescent="0.25">
      <c r="H34268" s="12"/>
      <c r="I34268" s="12"/>
      <c r="J34268" s="12"/>
      <c r="K34268" s="12"/>
      <c r="L34268" s="12"/>
      <c r="M34268" s="11"/>
      <c r="N34268" s="11"/>
      <c r="O34268" s="11"/>
      <c r="P34268" s="11"/>
    </row>
    <row r="34269" spans="8:16" x14ac:dyDescent="0.25">
      <c r="H34269" s="12"/>
      <c r="I34269" s="12"/>
      <c r="J34269" s="12"/>
      <c r="K34269" s="12"/>
      <c r="L34269" s="12"/>
      <c r="M34269" s="11"/>
      <c r="N34269" s="11"/>
      <c r="O34269" s="11"/>
      <c r="P34269" s="11"/>
    </row>
    <row r="34270" spans="8:16" x14ac:dyDescent="0.25">
      <c r="H34270" s="12"/>
      <c r="I34270" s="12"/>
      <c r="J34270" s="12"/>
      <c r="K34270" s="12"/>
      <c r="L34270" s="12"/>
      <c r="M34270" s="11"/>
      <c r="N34270" s="11"/>
      <c r="O34270" s="11"/>
      <c r="P34270" s="11"/>
    </row>
    <row r="34271" spans="8:16" x14ac:dyDescent="0.25">
      <c r="H34271" s="12"/>
      <c r="I34271" s="12"/>
      <c r="J34271" s="12"/>
      <c r="K34271" s="12"/>
      <c r="L34271" s="12"/>
      <c r="M34271" s="11"/>
      <c r="N34271" s="11"/>
      <c r="O34271" s="11"/>
      <c r="P34271" s="11"/>
    </row>
    <row r="34272" spans="8:16" x14ac:dyDescent="0.25">
      <c r="H34272" s="12"/>
      <c r="I34272" s="12"/>
      <c r="J34272" s="12"/>
      <c r="K34272" s="12"/>
      <c r="L34272" s="12"/>
      <c r="M34272" s="11"/>
      <c r="N34272" s="11"/>
      <c r="O34272" s="11"/>
      <c r="P34272" s="11"/>
    </row>
    <row r="34273" spans="8:16" x14ac:dyDescent="0.25">
      <c r="H34273" s="12"/>
      <c r="I34273" s="12"/>
      <c r="J34273" s="12"/>
      <c r="K34273" s="12"/>
      <c r="L34273" s="12"/>
      <c r="M34273" s="11"/>
      <c r="N34273" s="11"/>
      <c r="O34273" s="11"/>
      <c r="P34273" s="11"/>
    </row>
    <row r="34274" spans="8:16" x14ac:dyDescent="0.25">
      <c r="H34274" s="12"/>
      <c r="I34274" s="12"/>
      <c r="J34274" s="12"/>
      <c r="K34274" s="12"/>
      <c r="L34274" s="12"/>
      <c r="M34274" s="11"/>
      <c r="N34274" s="11"/>
      <c r="O34274" s="11"/>
      <c r="P34274" s="11"/>
    </row>
    <row r="34275" spans="8:16" x14ac:dyDescent="0.25">
      <c r="H34275" s="12"/>
      <c r="I34275" s="12"/>
      <c r="J34275" s="12"/>
      <c r="K34275" s="12"/>
      <c r="L34275" s="12"/>
      <c r="M34275" s="11"/>
      <c r="N34275" s="11"/>
      <c r="O34275" s="11"/>
      <c r="P34275" s="11"/>
    </row>
    <row r="34276" spans="8:16" x14ac:dyDescent="0.25">
      <c r="H34276" s="12"/>
      <c r="I34276" s="12"/>
      <c r="J34276" s="12"/>
      <c r="K34276" s="12"/>
      <c r="L34276" s="12"/>
      <c r="M34276" s="11"/>
      <c r="N34276" s="11"/>
      <c r="O34276" s="11"/>
      <c r="P34276" s="11"/>
    </row>
    <row r="34277" spans="8:16" x14ac:dyDescent="0.25">
      <c r="H34277" s="12"/>
      <c r="I34277" s="12"/>
      <c r="J34277" s="12"/>
      <c r="K34277" s="12"/>
      <c r="L34277" s="12"/>
      <c r="M34277" s="11"/>
      <c r="N34277" s="11"/>
      <c r="O34277" s="11"/>
      <c r="P34277" s="11"/>
    </row>
    <row r="34278" spans="8:16" x14ac:dyDescent="0.25">
      <c r="H34278" s="12"/>
      <c r="I34278" s="12"/>
      <c r="J34278" s="12"/>
      <c r="K34278" s="12"/>
      <c r="L34278" s="12"/>
      <c r="M34278" s="11"/>
      <c r="N34278" s="11"/>
      <c r="O34278" s="11"/>
      <c r="P34278" s="11"/>
    </row>
    <row r="34279" spans="8:16" x14ac:dyDescent="0.25">
      <c r="H34279" s="12"/>
      <c r="I34279" s="12"/>
      <c r="J34279" s="12"/>
      <c r="K34279" s="12"/>
      <c r="L34279" s="12"/>
      <c r="M34279" s="11"/>
      <c r="N34279" s="11"/>
      <c r="O34279" s="11"/>
      <c r="P34279" s="11"/>
    </row>
    <row r="34280" spans="8:16" x14ac:dyDescent="0.25">
      <c r="H34280" s="12"/>
      <c r="I34280" s="12"/>
      <c r="J34280" s="12"/>
      <c r="K34280" s="12"/>
      <c r="L34280" s="12"/>
      <c r="M34280" s="11"/>
      <c r="N34280" s="11"/>
      <c r="O34280" s="11"/>
      <c r="P34280" s="11"/>
    </row>
    <row r="34281" spans="8:16" x14ac:dyDescent="0.25">
      <c r="H34281" s="12"/>
      <c r="I34281" s="12"/>
      <c r="J34281" s="12"/>
      <c r="K34281" s="12"/>
      <c r="L34281" s="12"/>
      <c r="M34281" s="11"/>
      <c r="N34281" s="11"/>
      <c r="O34281" s="11"/>
      <c r="P34281" s="11"/>
    </row>
    <row r="34282" spans="8:16" x14ac:dyDescent="0.25">
      <c r="H34282" s="12"/>
      <c r="I34282" s="12"/>
      <c r="J34282" s="12"/>
      <c r="K34282" s="12"/>
      <c r="L34282" s="12"/>
      <c r="M34282" s="11"/>
      <c r="N34282" s="11"/>
      <c r="O34282" s="11"/>
      <c r="P34282" s="11"/>
    </row>
    <row r="34283" spans="8:16" x14ac:dyDescent="0.25">
      <c r="H34283" s="12"/>
      <c r="I34283" s="12"/>
      <c r="J34283" s="12"/>
      <c r="K34283" s="12"/>
      <c r="L34283" s="12"/>
      <c r="M34283" s="11"/>
      <c r="N34283" s="11"/>
      <c r="O34283" s="11"/>
      <c r="P34283" s="11"/>
    </row>
    <row r="34284" spans="8:16" x14ac:dyDescent="0.25">
      <c r="H34284" s="12"/>
      <c r="I34284" s="12"/>
      <c r="J34284" s="12"/>
      <c r="K34284" s="12"/>
      <c r="L34284" s="12"/>
      <c r="M34284" s="11"/>
      <c r="N34284" s="11"/>
      <c r="O34284" s="11"/>
      <c r="P34284" s="11"/>
    </row>
    <row r="34285" spans="8:16" x14ac:dyDescent="0.25">
      <c r="H34285" s="12"/>
      <c r="I34285" s="12"/>
      <c r="J34285" s="12"/>
      <c r="K34285" s="12"/>
      <c r="L34285" s="12"/>
      <c r="M34285" s="11"/>
      <c r="N34285" s="11"/>
      <c r="O34285" s="11"/>
      <c r="P34285" s="11"/>
    </row>
    <row r="34286" spans="8:16" x14ac:dyDescent="0.25">
      <c r="H34286" s="12"/>
      <c r="I34286" s="12"/>
      <c r="J34286" s="12"/>
      <c r="K34286" s="12"/>
      <c r="L34286" s="12"/>
      <c r="M34286" s="11"/>
      <c r="N34286" s="11"/>
      <c r="O34286" s="11"/>
      <c r="P34286" s="11"/>
    </row>
    <row r="34287" spans="8:16" x14ac:dyDescent="0.25">
      <c r="H34287" s="12"/>
      <c r="I34287" s="12"/>
      <c r="J34287" s="12"/>
      <c r="K34287" s="12"/>
      <c r="L34287" s="12"/>
      <c r="M34287" s="11"/>
      <c r="N34287" s="11"/>
      <c r="O34287" s="11"/>
      <c r="P34287" s="11"/>
    </row>
    <row r="34288" spans="8:16" x14ac:dyDescent="0.25">
      <c r="H34288" s="12"/>
      <c r="I34288" s="12"/>
      <c r="J34288" s="12"/>
      <c r="K34288" s="12"/>
      <c r="L34288" s="12"/>
      <c r="M34288" s="11"/>
      <c r="N34288" s="11"/>
      <c r="O34288" s="11"/>
      <c r="P34288" s="11"/>
    </row>
    <row r="34289" spans="8:16" x14ac:dyDescent="0.25">
      <c r="H34289" s="12"/>
      <c r="I34289" s="12"/>
      <c r="J34289" s="12"/>
      <c r="K34289" s="12"/>
      <c r="L34289" s="12"/>
      <c r="M34289" s="11"/>
      <c r="N34289" s="11"/>
      <c r="O34289" s="11"/>
      <c r="P34289" s="11"/>
    </row>
    <row r="34290" spans="8:16" x14ac:dyDescent="0.25">
      <c r="H34290" s="12"/>
      <c r="I34290" s="12"/>
      <c r="J34290" s="12"/>
      <c r="K34290" s="12"/>
      <c r="L34290" s="12"/>
      <c r="M34290" s="11"/>
      <c r="N34290" s="11"/>
      <c r="O34290" s="11"/>
      <c r="P34290" s="11"/>
    </row>
    <row r="34291" spans="8:16" x14ac:dyDescent="0.25">
      <c r="H34291" s="12"/>
      <c r="I34291" s="12"/>
      <c r="J34291" s="12"/>
      <c r="K34291" s="12"/>
      <c r="L34291" s="12"/>
      <c r="M34291" s="11"/>
      <c r="N34291" s="11"/>
      <c r="O34291" s="11"/>
      <c r="P34291" s="11"/>
    </row>
    <row r="34292" spans="8:16" x14ac:dyDescent="0.25">
      <c r="H34292" s="12"/>
      <c r="I34292" s="12"/>
      <c r="J34292" s="12"/>
      <c r="K34292" s="12"/>
      <c r="L34292" s="12"/>
      <c r="M34292" s="11"/>
      <c r="N34292" s="11"/>
      <c r="O34292" s="11"/>
      <c r="P34292" s="11"/>
    </row>
    <row r="34293" spans="8:16" x14ac:dyDescent="0.25">
      <c r="H34293" s="12"/>
      <c r="I34293" s="12"/>
      <c r="J34293" s="12"/>
      <c r="K34293" s="12"/>
      <c r="L34293" s="12"/>
      <c r="M34293" s="11"/>
      <c r="N34293" s="11"/>
      <c r="O34293" s="11"/>
      <c r="P34293" s="11"/>
    </row>
    <row r="34294" spans="8:16" x14ac:dyDescent="0.25">
      <c r="H34294" s="12"/>
      <c r="I34294" s="12"/>
      <c r="J34294" s="12"/>
      <c r="K34294" s="12"/>
      <c r="L34294" s="12"/>
      <c r="M34294" s="11"/>
      <c r="N34294" s="11"/>
      <c r="O34294" s="11"/>
      <c r="P34294" s="11"/>
    </row>
    <row r="34295" spans="8:16" x14ac:dyDescent="0.25">
      <c r="H34295" s="12"/>
      <c r="I34295" s="12"/>
      <c r="J34295" s="12"/>
      <c r="K34295" s="12"/>
      <c r="L34295" s="12"/>
      <c r="M34295" s="11"/>
      <c r="N34295" s="11"/>
      <c r="O34295" s="11"/>
      <c r="P34295" s="11"/>
    </row>
    <row r="34296" spans="8:16" x14ac:dyDescent="0.25">
      <c r="H34296" s="12"/>
      <c r="I34296" s="12"/>
      <c r="J34296" s="12"/>
      <c r="K34296" s="12"/>
      <c r="L34296" s="12"/>
      <c r="M34296" s="11"/>
      <c r="N34296" s="11"/>
      <c r="O34296" s="11"/>
      <c r="P34296" s="11"/>
    </row>
    <row r="34297" spans="8:16" x14ac:dyDescent="0.25">
      <c r="H34297" s="12"/>
      <c r="I34297" s="12"/>
      <c r="J34297" s="12"/>
      <c r="K34297" s="12"/>
      <c r="L34297" s="12"/>
      <c r="M34297" s="11"/>
      <c r="N34297" s="11"/>
      <c r="O34297" s="11"/>
      <c r="P34297" s="11"/>
    </row>
    <row r="34298" spans="8:16" x14ac:dyDescent="0.25">
      <c r="H34298" s="12"/>
      <c r="I34298" s="12"/>
      <c r="J34298" s="12"/>
      <c r="K34298" s="12"/>
      <c r="L34298" s="12"/>
      <c r="M34298" s="11"/>
      <c r="N34298" s="11"/>
      <c r="O34298" s="11"/>
      <c r="P34298" s="11"/>
    </row>
    <row r="34299" spans="8:16" x14ac:dyDescent="0.25">
      <c r="H34299" s="12"/>
      <c r="I34299" s="12"/>
      <c r="J34299" s="12"/>
      <c r="K34299" s="12"/>
      <c r="L34299" s="12"/>
      <c r="M34299" s="11"/>
      <c r="N34299" s="11"/>
      <c r="O34299" s="11"/>
      <c r="P34299" s="11"/>
    </row>
    <row r="34300" spans="8:16" x14ac:dyDescent="0.25">
      <c r="H34300" s="12"/>
      <c r="I34300" s="12"/>
      <c r="J34300" s="12"/>
      <c r="K34300" s="12"/>
      <c r="L34300" s="12"/>
      <c r="M34300" s="11"/>
      <c r="N34300" s="11"/>
      <c r="O34300" s="11"/>
      <c r="P34300" s="11"/>
    </row>
    <row r="34301" spans="8:16" x14ac:dyDescent="0.25">
      <c r="H34301" s="12"/>
      <c r="I34301" s="12"/>
      <c r="J34301" s="12"/>
      <c r="K34301" s="12"/>
      <c r="L34301" s="12"/>
      <c r="M34301" s="11"/>
      <c r="N34301" s="11"/>
      <c r="O34301" s="11"/>
      <c r="P34301" s="11"/>
    </row>
    <row r="34302" spans="8:16" x14ac:dyDescent="0.25">
      <c r="H34302" s="12"/>
      <c r="I34302" s="12"/>
      <c r="J34302" s="12"/>
      <c r="K34302" s="12"/>
      <c r="L34302" s="12"/>
      <c r="M34302" s="11"/>
      <c r="N34302" s="11"/>
      <c r="O34302" s="11"/>
      <c r="P34302" s="11"/>
    </row>
    <row r="34303" spans="8:16" x14ac:dyDescent="0.25">
      <c r="H34303" s="12"/>
      <c r="I34303" s="12"/>
      <c r="J34303" s="12"/>
      <c r="K34303" s="12"/>
      <c r="L34303" s="12"/>
      <c r="M34303" s="11"/>
      <c r="N34303" s="11"/>
      <c r="O34303" s="11"/>
      <c r="P34303" s="11"/>
    </row>
    <row r="34304" spans="8:16" x14ac:dyDescent="0.25">
      <c r="H34304" s="12"/>
      <c r="I34304" s="12"/>
      <c r="J34304" s="12"/>
      <c r="K34304" s="12"/>
      <c r="L34304" s="12"/>
      <c r="M34304" s="11"/>
      <c r="N34304" s="11"/>
      <c r="O34304" s="11"/>
      <c r="P34304" s="11"/>
    </row>
    <row r="34305" spans="8:16" x14ac:dyDescent="0.25">
      <c r="H34305" s="12"/>
      <c r="I34305" s="12"/>
      <c r="J34305" s="12"/>
      <c r="K34305" s="12"/>
      <c r="L34305" s="12"/>
      <c r="M34305" s="11"/>
      <c r="N34305" s="11"/>
      <c r="O34305" s="11"/>
      <c r="P34305" s="11"/>
    </row>
    <row r="34306" spans="8:16" x14ac:dyDescent="0.25">
      <c r="H34306" s="12"/>
      <c r="I34306" s="12"/>
      <c r="J34306" s="12"/>
      <c r="K34306" s="12"/>
      <c r="L34306" s="12"/>
      <c r="M34306" s="11"/>
      <c r="N34306" s="11"/>
      <c r="O34306" s="11"/>
      <c r="P34306" s="11"/>
    </row>
    <row r="34307" spans="8:16" x14ac:dyDescent="0.25">
      <c r="H34307" s="12"/>
      <c r="I34307" s="12"/>
      <c r="J34307" s="12"/>
      <c r="K34307" s="12"/>
      <c r="L34307" s="12"/>
      <c r="M34307" s="11"/>
      <c r="N34307" s="11"/>
      <c r="O34307" s="11"/>
      <c r="P34307" s="11"/>
    </row>
    <row r="34308" spans="8:16" x14ac:dyDescent="0.25">
      <c r="H34308" s="12"/>
      <c r="I34308" s="12"/>
      <c r="J34308" s="12"/>
      <c r="K34308" s="12"/>
      <c r="L34308" s="12"/>
      <c r="M34308" s="11"/>
      <c r="N34308" s="11"/>
      <c r="O34308" s="11"/>
      <c r="P34308" s="11"/>
    </row>
    <row r="34309" spans="8:16" x14ac:dyDescent="0.25">
      <c r="H34309" s="12"/>
      <c r="I34309" s="12"/>
      <c r="J34309" s="12"/>
      <c r="K34309" s="12"/>
      <c r="L34309" s="12"/>
      <c r="M34309" s="11"/>
      <c r="N34309" s="11"/>
      <c r="O34309" s="11"/>
      <c r="P34309" s="11"/>
    </row>
    <row r="34310" spans="8:16" x14ac:dyDescent="0.25">
      <c r="H34310" s="12"/>
      <c r="I34310" s="12"/>
      <c r="J34310" s="12"/>
      <c r="K34310" s="12"/>
      <c r="L34310" s="12"/>
      <c r="M34310" s="11"/>
      <c r="N34310" s="11"/>
      <c r="O34310" s="11"/>
      <c r="P34310" s="11"/>
    </row>
    <row r="34311" spans="8:16" x14ac:dyDescent="0.25">
      <c r="H34311" s="12"/>
      <c r="I34311" s="12"/>
      <c r="J34311" s="12"/>
      <c r="K34311" s="12"/>
      <c r="L34311" s="12"/>
      <c r="M34311" s="11"/>
      <c r="N34311" s="11"/>
      <c r="O34311" s="11"/>
      <c r="P34311" s="11"/>
    </row>
    <row r="34312" spans="8:16" x14ac:dyDescent="0.25">
      <c r="H34312" s="12"/>
      <c r="I34312" s="12"/>
      <c r="J34312" s="12"/>
      <c r="K34312" s="12"/>
      <c r="L34312" s="12"/>
      <c r="M34312" s="11"/>
      <c r="N34312" s="11"/>
      <c r="O34312" s="11"/>
      <c r="P34312" s="11"/>
    </row>
    <row r="34313" spans="8:16" x14ac:dyDescent="0.25">
      <c r="H34313" s="12"/>
      <c r="I34313" s="12"/>
      <c r="J34313" s="12"/>
      <c r="K34313" s="12"/>
      <c r="L34313" s="12"/>
      <c r="M34313" s="11"/>
      <c r="N34313" s="11"/>
      <c r="O34313" s="11"/>
      <c r="P34313" s="11"/>
    </row>
    <row r="34314" spans="8:16" x14ac:dyDescent="0.25">
      <c r="H34314" s="12"/>
      <c r="I34314" s="12"/>
      <c r="J34314" s="12"/>
      <c r="K34314" s="12"/>
      <c r="L34314" s="12"/>
      <c r="M34314" s="11"/>
      <c r="N34314" s="11"/>
      <c r="O34314" s="11"/>
      <c r="P34314" s="11"/>
    </row>
    <row r="34315" spans="8:16" x14ac:dyDescent="0.25">
      <c r="H34315" s="12"/>
      <c r="I34315" s="12"/>
      <c r="J34315" s="12"/>
      <c r="K34315" s="12"/>
      <c r="L34315" s="12"/>
      <c r="M34315" s="11"/>
      <c r="N34315" s="11"/>
      <c r="O34315" s="11"/>
      <c r="P34315" s="11"/>
    </row>
    <row r="34316" spans="8:16" x14ac:dyDescent="0.25">
      <c r="H34316" s="12"/>
      <c r="I34316" s="12"/>
      <c r="J34316" s="12"/>
      <c r="K34316" s="12"/>
      <c r="L34316" s="12"/>
      <c r="M34316" s="11"/>
      <c r="N34316" s="11"/>
      <c r="O34316" s="11"/>
      <c r="P34316" s="11"/>
    </row>
    <row r="34317" spans="8:16" x14ac:dyDescent="0.25">
      <c r="H34317" s="12"/>
      <c r="I34317" s="12"/>
      <c r="J34317" s="12"/>
      <c r="K34317" s="12"/>
      <c r="L34317" s="12"/>
      <c r="M34317" s="11"/>
      <c r="N34317" s="11"/>
      <c r="O34317" s="11"/>
      <c r="P34317" s="11"/>
    </row>
    <row r="34318" spans="8:16" x14ac:dyDescent="0.25">
      <c r="H34318" s="12"/>
      <c r="I34318" s="12"/>
      <c r="J34318" s="12"/>
      <c r="K34318" s="12"/>
      <c r="L34318" s="12"/>
      <c r="M34318" s="11"/>
      <c r="N34318" s="11"/>
      <c r="O34318" s="11"/>
      <c r="P34318" s="11"/>
    </row>
    <row r="34319" spans="8:16" x14ac:dyDescent="0.25">
      <c r="H34319" s="12"/>
      <c r="I34319" s="12"/>
      <c r="J34319" s="12"/>
      <c r="K34319" s="12"/>
      <c r="L34319" s="12"/>
      <c r="M34319" s="11"/>
      <c r="N34319" s="11"/>
      <c r="O34319" s="11"/>
      <c r="P34319" s="11"/>
    </row>
    <row r="34320" spans="8:16" x14ac:dyDescent="0.25">
      <c r="H34320" s="12"/>
      <c r="I34320" s="12"/>
      <c r="J34320" s="12"/>
      <c r="K34320" s="12"/>
      <c r="L34320" s="12"/>
      <c r="M34320" s="11"/>
      <c r="N34320" s="11"/>
      <c r="O34320" s="11"/>
      <c r="P34320" s="11"/>
    </row>
    <row r="34321" spans="8:16" x14ac:dyDescent="0.25">
      <c r="H34321" s="12"/>
      <c r="I34321" s="12"/>
      <c r="J34321" s="12"/>
      <c r="K34321" s="12"/>
      <c r="L34321" s="12"/>
      <c r="M34321" s="11"/>
      <c r="N34321" s="11"/>
      <c r="O34321" s="11"/>
      <c r="P34321" s="11"/>
    </row>
    <row r="34322" spans="8:16" x14ac:dyDescent="0.25">
      <c r="H34322" s="12"/>
      <c r="I34322" s="12"/>
      <c r="J34322" s="12"/>
      <c r="K34322" s="12"/>
      <c r="L34322" s="12"/>
      <c r="M34322" s="11"/>
      <c r="N34322" s="11"/>
      <c r="O34322" s="11"/>
      <c r="P34322" s="11"/>
    </row>
    <row r="34323" spans="8:16" x14ac:dyDescent="0.25">
      <c r="H34323" s="12"/>
      <c r="I34323" s="12"/>
      <c r="J34323" s="12"/>
      <c r="K34323" s="12"/>
      <c r="L34323" s="12"/>
      <c r="M34323" s="11"/>
      <c r="N34323" s="11"/>
      <c r="O34323" s="11"/>
      <c r="P34323" s="11"/>
    </row>
    <row r="34324" spans="8:16" x14ac:dyDescent="0.25">
      <c r="H34324" s="12"/>
      <c r="I34324" s="12"/>
      <c r="J34324" s="12"/>
      <c r="K34324" s="12"/>
      <c r="L34324" s="12"/>
      <c r="M34324" s="11"/>
      <c r="N34324" s="11"/>
      <c r="O34324" s="11"/>
      <c r="P34324" s="11"/>
    </row>
    <row r="34325" spans="8:16" x14ac:dyDescent="0.25">
      <c r="H34325" s="12"/>
      <c r="I34325" s="12"/>
      <c r="J34325" s="12"/>
      <c r="K34325" s="12"/>
      <c r="L34325" s="12"/>
      <c r="M34325" s="11"/>
      <c r="N34325" s="11"/>
      <c r="O34325" s="11"/>
      <c r="P34325" s="11"/>
    </row>
    <row r="34326" spans="8:16" x14ac:dyDescent="0.25">
      <c r="H34326" s="12"/>
      <c r="I34326" s="12"/>
      <c r="J34326" s="12"/>
      <c r="K34326" s="12"/>
      <c r="L34326" s="12"/>
      <c r="M34326" s="11"/>
      <c r="N34326" s="11"/>
      <c r="O34326" s="11"/>
      <c r="P34326" s="11"/>
    </row>
    <row r="34327" spans="8:16" x14ac:dyDescent="0.25">
      <c r="H34327" s="12"/>
      <c r="I34327" s="12"/>
      <c r="J34327" s="12"/>
      <c r="K34327" s="12"/>
      <c r="L34327" s="12"/>
      <c r="M34327" s="11"/>
      <c r="N34327" s="11"/>
      <c r="O34327" s="11"/>
      <c r="P34327" s="11"/>
    </row>
    <row r="34328" spans="8:16" x14ac:dyDescent="0.25">
      <c r="H34328" s="12"/>
      <c r="I34328" s="12"/>
      <c r="J34328" s="12"/>
      <c r="K34328" s="12"/>
      <c r="L34328" s="12"/>
      <c r="M34328" s="11"/>
      <c r="N34328" s="11"/>
      <c r="O34328" s="11"/>
      <c r="P34328" s="11"/>
    </row>
    <row r="34329" spans="8:16" x14ac:dyDescent="0.25">
      <c r="H34329" s="12"/>
      <c r="I34329" s="12"/>
      <c r="J34329" s="12"/>
      <c r="K34329" s="12"/>
      <c r="L34329" s="12"/>
      <c r="M34329" s="11"/>
      <c r="N34329" s="11"/>
      <c r="O34329" s="11"/>
      <c r="P34329" s="11"/>
    </row>
    <row r="34330" spans="8:16" x14ac:dyDescent="0.25">
      <c r="H34330" s="12"/>
      <c r="I34330" s="12"/>
      <c r="J34330" s="12"/>
      <c r="K34330" s="12"/>
      <c r="L34330" s="12"/>
      <c r="M34330" s="11"/>
      <c r="N34330" s="11"/>
      <c r="O34330" s="11"/>
      <c r="P34330" s="11"/>
    </row>
    <row r="34331" spans="8:16" x14ac:dyDescent="0.25">
      <c r="H34331" s="12"/>
      <c r="I34331" s="12"/>
      <c r="J34331" s="12"/>
      <c r="K34331" s="12"/>
      <c r="L34331" s="12"/>
      <c r="M34331" s="11"/>
      <c r="N34331" s="11"/>
      <c r="O34331" s="11"/>
      <c r="P34331" s="11"/>
    </row>
    <row r="34332" spans="8:16" x14ac:dyDescent="0.25">
      <c r="H34332" s="12"/>
      <c r="I34332" s="12"/>
      <c r="J34332" s="12"/>
      <c r="K34332" s="12"/>
      <c r="L34332" s="12"/>
      <c r="M34332" s="11"/>
      <c r="N34332" s="11"/>
      <c r="O34332" s="11"/>
      <c r="P34332" s="11"/>
    </row>
    <row r="34333" spans="8:16" x14ac:dyDescent="0.25">
      <c r="H34333" s="12"/>
      <c r="I34333" s="12"/>
      <c r="J34333" s="12"/>
      <c r="K34333" s="12"/>
      <c r="L34333" s="12"/>
      <c r="M34333" s="11"/>
      <c r="N34333" s="11"/>
      <c r="O34333" s="11"/>
      <c r="P34333" s="11"/>
    </row>
    <row r="34334" spans="8:16" x14ac:dyDescent="0.25">
      <c r="H34334" s="12"/>
      <c r="I34334" s="12"/>
      <c r="J34334" s="12"/>
      <c r="K34334" s="12"/>
      <c r="L34334" s="12"/>
      <c r="M34334" s="11"/>
      <c r="N34334" s="11"/>
      <c r="O34334" s="11"/>
      <c r="P34334" s="11"/>
    </row>
    <row r="34335" spans="8:16" x14ac:dyDescent="0.25">
      <c r="H34335" s="12"/>
      <c r="I34335" s="12"/>
      <c r="J34335" s="12"/>
      <c r="K34335" s="12"/>
      <c r="L34335" s="12"/>
      <c r="M34335" s="11"/>
      <c r="N34335" s="11"/>
      <c r="O34335" s="11"/>
      <c r="P34335" s="11"/>
    </row>
    <row r="34336" spans="8:16" x14ac:dyDescent="0.25">
      <c r="H34336" s="12"/>
      <c r="I34336" s="12"/>
      <c r="J34336" s="12"/>
      <c r="K34336" s="12"/>
      <c r="L34336" s="12"/>
      <c r="M34336" s="11"/>
      <c r="N34336" s="11"/>
      <c r="O34336" s="11"/>
      <c r="P34336" s="11"/>
    </row>
    <row r="34337" spans="8:16" x14ac:dyDescent="0.25">
      <c r="H34337" s="12"/>
      <c r="I34337" s="12"/>
      <c r="J34337" s="12"/>
      <c r="K34337" s="12"/>
      <c r="L34337" s="12"/>
      <c r="M34337" s="11"/>
      <c r="N34337" s="11"/>
      <c r="O34337" s="11"/>
      <c r="P34337" s="11"/>
    </row>
    <row r="34338" spans="8:16" x14ac:dyDescent="0.25">
      <c r="H34338" s="12"/>
      <c r="I34338" s="12"/>
      <c r="J34338" s="12"/>
      <c r="K34338" s="12"/>
      <c r="L34338" s="12"/>
      <c r="M34338" s="11"/>
      <c r="N34338" s="11"/>
      <c r="O34338" s="11"/>
      <c r="P34338" s="11"/>
    </row>
    <row r="34339" spans="8:16" x14ac:dyDescent="0.25">
      <c r="H34339" s="12"/>
      <c r="I34339" s="12"/>
      <c r="J34339" s="12"/>
      <c r="K34339" s="12"/>
      <c r="L34339" s="12"/>
      <c r="M34339" s="11"/>
      <c r="N34339" s="11"/>
      <c r="O34339" s="11"/>
      <c r="P34339" s="11"/>
    </row>
    <row r="34340" spans="8:16" x14ac:dyDescent="0.25">
      <c r="H34340" s="12"/>
      <c r="I34340" s="12"/>
      <c r="J34340" s="12"/>
      <c r="K34340" s="12"/>
      <c r="L34340" s="12"/>
      <c r="M34340" s="11"/>
      <c r="N34340" s="11"/>
      <c r="O34340" s="11"/>
      <c r="P34340" s="11"/>
    </row>
    <row r="34341" spans="8:16" x14ac:dyDescent="0.25">
      <c r="H34341" s="12"/>
      <c r="I34341" s="12"/>
      <c r="J34341" s="12"/>
      <c r="K34341" s="12"/>
      <c r="L34341" s="12"/>
      <c r="M34341" s="11"/>
      <c r="N34341" s="11"/>
      <c r="O34341" s="11"/>
      <c r="P34341" s="11"/>
    </row>
    <row r="34342" spans="8:16" x14ac:dyDescent="0.25">
      <c r="H34342" s="12"/>
      <c r="I34342" s="12"/>
      <c r="J34342" s="12"/>
      <c r="K34342" s="12"/>
      <c r="L34342" s="12"/>
      <c r="M34342" s="11"/>
      <c r="N34342" s="11"/>
      <c r="O34342" s="11"/>
      <c r="P34342" s="11"/>
    </row>
    <row r="34343" spans="8:16" x14ac:dyDescent="0.25">
      <c r="H34343" s="12"/>
      <c r="I34343" s="12"/>
      <c r="J34343" s="12"/>
      <c r="K34343" s="12"/>
      <c r="L34343" s="12"/>
      <c r="M34343" s="11"/>
      <c r="N34343" s="11"/>
      <c r="O34343" s="11"/>
      <c r="P34343" s="11"/>
    </row>
    <row r="34344" spans="8:16" x14ac:dyDescent="0.25">
      <c r="H34344" s="12"/>
      <c r="I34344" s="12"/>
      <c r="J34344" s="12"/>
      <c r="K34344" s="12"/>
      <c r="L34344" s="12"/>
      <c r="M34344" s="11"/>
      <c r="N34344" s="11"/>
      <c r="O34344" s="11"/>
      <c r="P34344" s="11"/>
    </row>
    <row r="34345" spans="8:16" x14ac:dyDescent="0.25">
      <c r="H34345" s="12"/>
      <c r="I34345" s="12"/>
      <c r="J34345" s="12"/>
      <c r="K34345" s="12"/>
      <c r="L34345" s="12"/>
      <c r="M34345" s="11"/>
      <c r="N34345" s="11"/>
      <c r="O34345" s="11"/>
      <c r="P34345" s="11"/>
    </row>
    <row r="34346" spans="8:16" x14ac:dyDescent="0.25">
      <c r="H34346" s="12"/>
      <c r="I34346" s="12"/>
      <c r="J34346" s="12"/>
      <c r="K34346" s="12"/>
      <c r="L34346" s="12"/>
      <c r="M34346" s="11"/>
      <c r="N34346" s="11"/>
      <c r="O34346" s="11"/>
      <c r="P34346" s="11"/>
    </row>
    <row r="34347" spans="8:16" x14ac:dyDescent="0.25">
      <c r="H34347" s="12"/>
      <c r="I34347" s="12"/>
      <c r="J34347" s="12"/>
      <c r="K34347" s="12"/>
      <c r="L34347" s="12"/>
      <c r="M34347" s="11"/>
      <c r="N34347" s="11"/>
      <c r="O34347" s="11"/>
      <c r="P34347" s="11"/>
    </row>
    <row r="34348" spans="8:16" x14ac:dyDescent="0.25">
      <c r="H34348" s="12"/>
      <c r="I34348" s="12"/>
      <c r="J34348" s="12"/>
      <c r="K34348" s="12"/>
      <c r="L34348" s="12"/>
      <c r="M34348" s="11"/>
      <c r="N34348" s="11"/>
      <c r="O34348" s="11"/>
      <c r="P34348" s="11"/>
    </row>
    <row r="34349" spans="8:16" x14ac:dyDescent="0.25">
      <c r="H34349" s="12"/>
      <c r="I34349" s="12"/>
      <c r="J34349" s="12"/>
      <c r="K34349" s="12"/>
      <c r="L34349" s="12"/>
      <c r="M34349" s="11"/>
      <c r="N34349" s="11"/>
      <c r="O34349" s="11"/>
      <c r="P34349" s="11"/>
    </row>
    <row r="34350" spans="8:16" x14ac:dyDescent="0.25">
      <c r="H34350" s="12"/>
      <c r="I34350" s="12"/>
      <c r="J34350" s="12"/>
      <c r="K34350" s="12"/>
      <c r="L34350" s="12"/>
      <c r="M34350" s="11"/>
      <c r="N34350" s="11"/>
      <c r="O34350" s="11"/>
      <c r="P34350" s="11"/>
    </row>
    <row r="34351" spans="8:16" x14ac:dyDescent="0.25">
      <c r="H34351" s="12"/>
      <c r="I34351" s="12"/>
      <c r="J34351" s="12"/>
      <c r="K34351" s="12"/>
      <c r="L34351" s="12"/>
      <c r="M34351" s="11"/>
      <c r="N34351" s="11"/>
      <c r="O34351" s="11"/>
      <c r="P34351" s="11"/>
    </row>
    <row r="34352" spans="8:16" x14ac:dyDescent="0.25">
      <c r="H34352" s="12"/>
      <c r="I34352" s="12"/>
      <c r="J34352" s="12"/>
      <c r="K34352" s="12"/>
      <c r="L34352" s="12"/>
      <c r="M34352" s="11"/>
      <c r="N34352" s="11"/>
      <c r="O34352" s="11"/>
      <c r="P34352" s="11"/>
    </row>
    <row r="34353" spans="8:16" x14ac:dyDescent="0.25">
      <c r="H34353" s="12"/>
      <c r="I34353" s="12"/>
      <c r="J34353" s="12"/>
      <c r="K34353" s="12"/>
      <c r="L34353" s="12"/>
      <c r="M34353" s="11"/>
      <c r="N34353" s="11"/>
      <c r="O34353" s="11"/>
      <c r="P34353" s="11"/>
    </row>
    <row r="34354" spans="8:16" x14ac:dyDescent="0.25">
      <c r="H34354" s="12"/>
      <c r="I34354" s="12"/>
      <c r="J34354" s="12"/>
      <c r="K34354" s="12"/>
      <c r="L34354" s="12"/>
      <c r="M34354" s="11"/>
      <c r="N34354" s="11"/>
      <c r="O34354" s="11"/>
      <c r="P34354" s="11"/>
    </row>
    <row r="34355" spans="8:16" x14ac:dyDescent="0.25">
      <c r="H34355" s="12"/>
      <c r="I34355" s="12"/>
      <c r="J34355" s="12"/>
      <c r="K34355" s="12"/>
      <c r="L34355" s="12"/>
      <c r="M34355" s="11"/>
      <c r="N34355" s="11"/>
      <c r="O34355" s="11"/>
      <c r="P34355" s="11"/>
    </row>
    <row r="34356" spans="8:16" x14ac:dyDescent="0.25">
      <c r="H34356" s="12"/>
      <c r="I34356" s="12"/>
      <c r="J34356" s="12"/>
      <c r="K34356" s="12"/>
      <c r="L34356" s="12"/>
      <c r="M34356" s="11"/>
      <c r="N34356" s="11"/>
      <c r="O34356" s="11"/>
      <c r="P34356" s="11"/>
    </row>
    <row r="34357" spans="8:16" x14ac:dyDescent="0.25">
      <c r="H34357" s="12"/>
      <c r="I34357" s="12"/>
      <c r="J34357" s="12"/>
      <c r="K34357" s="12"/>
      <c r="L34357" s="12"/>
      <c r="M34357" s="11"/>
      <c r="N34357" s="11"/>
      <c r="O34357" s="11"/>
      <c r="P34357" s="11"/>
    </row>
    <row r="34358" spans="8:16" x14ac:dyDescent="0.25">
      <c r="H34358" s="12"/>
      <c r="I34358" s="12"/>
      <c r="J34358" s="12"/>
      <c r="K34358" s="12"/>
      <c r="L34358" s="12"/>
      <c r="M34358" s="11"/>
      <c r="N34358" s="11"/>
      <c r="O34358" s="11"/>
      <c r="P34358" s="11"/>
    </row>
    <row r="34359" spans="8:16" x14ac:dyDescent="0.25">
      <c r="H34359" s="12"/>
      <c r="I34359" s="12"/>
      <c r="J34359" s="12"/>
      <c r="K34359" s="12"/>
      <c r="L34359" s="12"/>
      <c r="M34359" s="11"/>
      <c r="N34359" s="11"/>
      <c r="O34359" s="11"/>
      <c r="P34359" s="11"/>
    </row>
    <row r="34360" spans="8:16" x14ac:dyDescent="0.25">
      <c r="H34360" s="12"/>
      <c r="I34360" s="12"/>
      <c r="J34360" s="12"/>
      <c r="K34360" s="12"/>
      <c r="L34360" s="12"/>
      <c r="M34360" s="11"/>
      <c r="N34360" s="11"/>
      <c r="O34360" s="11"/>
      <c r="P34360" s="11"/>
    </row>
    <row r="34361" spans="8:16" x14ac:dyDescent="0.25">
      <c r="H34361" s="12"/>
      <c r="I34361" s="12"/>
      <c r="J34361" s="12"/>
      <c r="K34361" s="12"/>
      <c r="L34361" s="12"/>
      <c r="M34361" s="11"/>
      <c r="N34361" s="11"/>
      <c r="O34361" s="11"/>
      <c r="P34361" s="11"/>
    </row>
    <row r="34362" spans="8:16" x14ac:dyDescent="0.25">
      <c r="H34362" s="12"/>
      <c r="I34362" s="12"/>
      <c r="J34362" s="12"/>
      <c r="K34362" s="12"/>
      <c r="L34362" s="12"/>
      <c r="M34362" s="11"/>
      <c r="N34362" s="11"/>
      <c r="O34362" s="11"/>
      <c r="P34362" s="11"/>
    </row>
    <row r="34363" spans="8:16" x14ac:dyDescent="0.25">
      <c r="H34363" s="12"/>
      <c r="I34363" s="12"/>
      <c r="J34363" s="12"/>
      <c r="K34363" s="12"/>
      <c r="L34363" s="12"/>
      <c r="M34363" s="11"/>
      <c r="N34363" s="11"/>
      <c r="O34363" s="11"/>
      <c r="P34363" s="11"/>
    </row>
    <row r="34364" spans="8:16" x14ac:dyDescent="0.25">
      <c r="H34364" s="12"/>
      <c r="I34364" s="12"/>
      <c r="J34364" s="12"/>
      <c r="K34364" s="12"/>
      <c r="L34364" s="12"/>
      <c r="M34364" s="11"/>
      <c r="N34364" s="11"/>
      <c r="O34364" s="11"/>
      <c r="P34364" s="11"/>
    </row>
    <row r="34365" spans="8:16" x14ac:dyDescent="0.25">
      <c r="H34365" s="12"/>
      <c r="I34365" s="12"/>
      <c r="J34365" s="12"/>
      <c r="K34365" s="12"/>
      <c r="L34365" s="12"/>
      <c r="M34365" s="11"/>
      <c r="N34365" s="11"/>
      <c r="O34365" s="11"/>
      <c r="P34365" s="11"/>
    </row>
    <row r="34366" spans="8:16" x14ac:dyDescent="0.25">
      <c r="H34366" s="12"/>
      <c r="I34366" s="12"/>
      <c r="J34366" s="12"/>
      <c r="K34366" s="12"/>
      <c r="L34366" s="12"/>
      <c r="M34366" s="11"/>
      <c r="N34366" s="11"/>
      <c r="O34366" s="11"/>
      <c r="P34366" s="11"/>
    </row>
    <row r="34367" spans="8:16" x14ac:dyDescent="0.25">
      <c r="H34367" s="12"/>
      <c r="I34367" s="12"/>
      <c r="J34367" s="12"/>
      <c r="K34367" s="12"/>
      <c r="L34367" s="12"/>
      <c r="M34367" s="11"/>
      <c r="N34367" s="11"/>
      <c r="O34367" s="11"/>
      <c r="P34367" s="11"/>
    </row>
    <row r="34368" spans="8:16" x14ac:dyDescent="0.25">
      <c r="H34368" s="12"/>
      <c r="I34368" s="12"/>
      <c r="J34368" s="12"/>
      <c r="K34368" s="12"/>
      <c r="L34368" s="12"/>
      <c r="M34368" s="11"/>
      <c r="N34368" s="11"/>
      <c r="O34368" s="11"/>
      <c r="P34368" s="11"/>
    </row>
    <row r="34369" spans="8:16" x14ac:dyDescent="0.25">
      <c r="H34369" s="12"/>
      <c r="I34369" s="12"/>
      <c r="J34369" s="12"/>
      <c r="K34369" s="12"/>
      <c r="L34369" s="12"/>
      <c r="M34369" s="11"/>
      <c r="N34369" s="11"/>
      <c r="O34369" s="11"/>
      <c r="P34369" s="11"/>
    </row>
    <row r="34370" spans="8:16" x14ac:dyDescent="0.25">
      <c r="H34370" s="12"/>
      <c r="I34370" s="12"/>
      <c r="J34370" s="12"/>
      <c r="K34370" s="12"/>
      <c r="L34370" s="12"/>
      <c r="M34370" s="11"/>
      <c r="N34370" s="11"/>
      <c r="O34370" s="11"/>
      <c r="P34370" s="11"/>
    </row>
    <row r="34371" spans="8:16" x14ac:dyDescent="0.25">
      <c r="H34371" s="12"/>
      <c r="I34371" s="12"/>
      <c r="J34371" s="12"/>
      <c r="K34371" s="12"/>
      <c r="L34371" s="12"/>
      <c r="M34371" s="11"/>
      <c r="N34371" s="11"/>
      <c r="O34371" s="11"/>
      <c r="P34371" s="11"/>
    </row>
    <row r="34372" spans="8:16" x14ac:dyDescent="0.25">
      <c r="H34372" s="12"/>
      <c r="I34372" s="12"/>
      <c r="J34372" s="12"/>
      <c r="K34372" s="12"/>
      <c r="L34372" s="12"/>
      <c r="M34372" s="11"/>
      <c r="N34372" s="11"/>
      <c r="O34372" s="11"/>
      <c r="P34372" s="11"/>
    </row>
    <row r="34373" spans="8:16" x14ac:dyDescent="0.25">
      <c r="H34373" s="12"/>
      <c r="I34373" s="12"/>
      <c r="J34373" s="12"/>
      <c r="K34373" s="12"/>
      <c r="L34373" s="12"/>
      <c r="M34373" s="11"/>
      <c r="N34373" s="11"/>
      <c r="O34373" s="11"/>
      <c r="P34373" s="11"/>
    </row>
    <row r="34374" spans="8:16" x14ac:dyDescent="0.25">
      <c r="H34374" s="12"/>
      <c r="I34374" s="12"/>
      <c r="J34374" s="12"/>
      <c r="K34374" s="12"/>
      <c r="L34374" s="12"/>
      <c r="M34374" s="11"/>
      <c r="N34374" s="11"/>
      <c r="O34374" s="11"/>
      <c r="P34374" s="11"/>
    </row>
    <row r="34375" spans="8:16" x14ac:dyDescent="0.25">
      <c r="H34375" s="12"/>
      <c r="I34375" s="12"/>
      <c r="J34375" s="12"/>
      <c r="K34375" s="12"/>
      <c r="L34375" s="12"/>
      <c r="M34375" s="11"/>
      <c r="N34375" s="11"/>
      <c r="O34375" s="11"/>
      <c r="P34375" s="11"/>
    </row>
    <row r="34376" spans="8:16" x14ac:dyDescent="0.25">
      <c r="H34376" s="12"/>
      <c r="I34376" s="12"/>
      <c r="J34376" s="12"/>
      <c r="K34376" s="12"/>
      <c r="L34376" s="12"/>
      <c r="M34376" s="11"/>
      <c r="N34376" s="11"/>
      <c r="O34376" s="11"/>
      <c r="P34376" s="11"/>
    </row>
    <row r="34377" spans="8:16" x14ac:dyDescent="0.25">
      <c r="H34377" s="12"/>
      <c r="I34377" s="12"/>
      <c r="J34377" s="12"/>
      <c r="K34377" s="12"/>
      <c r="L34377" s="12"/>
      <c r="M34377" s="11"/>
      <c r="N34377" s="11"/>
      <c r="O34377" s="11"/>
      <c r="P34377" s="11"/>
    </row>
    <row r="34378" spans="8:16" x14ac:dyDescent="0.25">
      <c r="H34378" s="12"/>
      <c r="I34378" s="12"/>
      <c r="J34378" s="12"/>
      <c r="K34378" s="12"/>
      <c r="L34378" s="12"/>
      <c r="M34378" s="11"/>
      <c r="N34378" s="11"/>
      <c r="O34378" s="11"/>
      <c r="P34378" s="11"/>
    </row>
    <row r="34379" spans="8:16" x14ac:dyDescent="0.25">
      <c r="H34379" s="12"/>
      <c r="I34379" s="12"/>
      <c r="J34379" s="12"/>
      <c r="K34379" s="12"/>
      <c r="L34379" s="12"/>
      <c r="M34379" s="11"/>
      <c r="N34379" s="11"/>
      <c r="O34379" s="11"/>
      <c r="P34379" s="11"/>
    </row>
    <row r="34380" spans="8:16" x14ac:dyDescent="0.25">
      <c r="H34380" s="12"/>
      <c r="I34380" s="12"/>
      <c r="J34380" s="12"/>
      <c r="K34380" s="12"/>
      <c r="L34380" s="12"/>
      <c r="M34380" s="11"/>
      <c r="N34380" s="11"/>
      <c r="O34380" s="11"/>
      <c r="P34380" s="11"/>
    </row>
    <row r="34381" spans="8:16" x14ac:dyDescent="0.25">
      <c r="H34381" s="12"/>
      <c r="I34381" s="12"/>
      <c r="J34381" s="12"/>
      <c r="K34381" s="12"/>
      <c r="L34381" s="12"/>
      <c r="M34381" s="11"/>
      <c r="N34381" s="11"/>
      <c r="O34381" s="11"/>
      <c r="P34381" s="11"/>
    </row>
    <row r="34382" spans="8:16" x14ac:dyDescent="0.25">
      <c r="H34382" s="12"/>
      <c r="I34382" s="12"/>
      <c r="J34382" s="12"/>
      <c r="K34382" s="12"/>
      <c r="L34382" s="12"/>
      <c r="M34382" s="11"/>
      <c r="N34382" s="11"/>
      <c r="O34382" s="11"/>
      <c r="P34382" s="11"/>
    </row>
    <row r="34383" spans="8:16" x14ac:dyDescent="0.25">
      <c r="H34383" s="12"/>
      <c r="I34383" s="12"/>
      <c r="J34383" s="12"/>
      <c r="K34383" s="12"/>
      <c r="L34383" s="12"/>
      <c r="M34383" s="11"/>
      <c r="N34383" s="11"/>
      <c r="O34383" s="11"/>
      <c r="P34383" s="11"/>
    </row>
    <row r="34384" spans="8:16" x14ac:dyDescent="0.25">
      <c r="H34384" s="12"/>
      <c r="I34384" s="12"/>
      <c r="J34384" s="12"/>
      <c r="K34384" s="12"/>
      <c r="L34384" s="12"/>
      <c r="M34384" s="11"/>
      <c r="N34384" s="11"/>
      <c r="O34384" s="11"/>
      <c r="P34384" s="11"/>
    </row>
    <row r="34385" spans="8:16" x14ac:dyDescent="0.25">
      <c r="H34385" s="12"/>
      <c r="I34385" s="12"/>
      <c r="J34385" s="12"/>
      <c r="K34385" s="12"/>
      <c r="L34385" s="12"/>
      <c r="M34385" s="11"/>
      <c r="N34385" s="11"/>
      <c r="O34385" s="11"/>
      <c r="P34385" s="11"/>
    </row>
    <row r="34386" spans="8:16" x14ac:dyDescent="0.25">
      <c r="H34386" s="12"/>
      <c r="I34386" s="12"/>
      <c r="J34386" s="12"/>
      <c r="K34386" s="12"/>
      <c r="L34386" s="12"/>
      <c r="M34386" s="11"/>
      <c r="N34386" s="11"/>
      <c r="O34386" s="11"/>
      <c r="P34386" s="11"/>
    </row>
    <row r="34387" spans="8:16" x14ac:dyDescent="0.25">
      <c r="H34387" s="12"/>
      <c r="I34387" s="12"/>
      <c r="J34387" s="12"/>
      <c r="K34387" s="12"/>
      <c r="L34387" s="12"/>
      <c r="M34387" s="11"/>
      <c r="N34387" s="11"/>
      <c r="O34387" s="11"/>
      <c r="P34387" s="11"/>
    </row>
    <row r="34388" spans="8:16" x14ac:dyDescent="0.25">
      <c r="H34388" s="12"/>
      <c r="I34388" s="12"/>
      <c r="J34388" s="12"/>
      <c r="K34388" s="12"/>
      <c r="L34388" s="12"/>
      <c r="M34388" s="11"/>
      <c r="N34388" s="11"/>
      <c r="O34388" s="11"/>
      <c r="P34388" s="11"/>
    </row>
    <row r="34389" spans="8:16" x14ac:dyDescent="0.25">
      <c r="H34389" s="12"/>
      <c r="I34389" s="12"/>
      <c r="J34389" s="12"/>
      <c r="K34389" s="12"/>
      <c r="L34389" s="12"/>
      <c r="M34389" s="11"/>
      <c r="N34389" s="11"/>
      <c r="O34389" s="11"/>
      <c r="P34389" s="11"/>
    </row>
    <row r="34390" spans="8:16" x14ac:dyDescent="0.25">
      <c r="H34390" s="12"/>
      <c r="I34390" s="12"/>
      <c r="J34390" s="12"/>
      <c r="K34390" s="12"/>
      <c r="L34390" s="12"/>
      <c r="M34390" s="11"/>
      <c r="N34390" s="11"/>
      <c r="O34390" s="11"/>
      <c r="P34390" s="11"/>
    </row>
    <row r="34391" spans="8:16" x14ac:dyDescent="0.25">
      <c r="H34391" s="12"/>
      <c r="I34391" s="12"/>
      <c r="J34391" s="12"/>
      <c r="K34391" s="12"/>
      <c r="L34391" s="12"/>
      <c r="M34391" s="11"/>
      <c r="N34391" s="11"/>
      <c r="O34391" s="11"/>
      <c r="P34391" s="11"/>
    </row>
    <row r="34392" spans="8:16" x14ac:dyDescent="0.25">
      <c r="H34392" s="12"/>
      <c r="I34392" s="12"/>
      <c r="J34392" s="12"/>
      <c r="K34392" s="12"/>
      <c r="L34392" s="12"/>
      <c r="M34392" s="11"/>
      <c r="N34392" s="11"/>
      <c r="O34392" s="11"/>
      <c r="P34392" s="11"/>
    </row>
    <row r="34393" spans="8:16" x14ac:dyDescent="0.25">
      <c r="H34393" s="12"/>
      <c r="I34393" s="12"/>
      <c r="J34393" s="12"/>
      <c r="K34393" s="12"/>
      <c r="L34393" s="12"/>
      <c r="M34393" s="11"/>
      <c r="N34393" s="11"/>
      <c r="O34393" s="11"/>
      <c r="P34393" s="11"/>
    </row>
    <row r="34394" spans="8:16" x14ac:dyDescent="0.25">
      <c r="H34394" s="12"/>
      <c r="I34394" s="12"/>
      <c r="J34394" s="12"/>
      <c r="K34394" s="12"/>
      <c r="L34394" s="12"/>
      <c r="M34394" s="11"/>
      <c r="N34394" s="11"/>
      <c r="O34394" s="11"/>
      <c r="P34394" s="11"/>
    </row>
    <row r="34395" spans="8:16" x14ac:dyDescent="0.25">
      <c r="H34395" s="12"/>
      <c r="I34395" s="12"/>
      <c r="J34395" s="12"/>
      <c r="K34395" s="12"/>
      <c r="L34395" s="12"/>
      <c r="M34395" s="11"/>
      <c r="N34395" s="11"/>
      <c r="O34395" s="11"/>
      <c r="P34395" s="11"/>
    </row>
    <row r="34396" spans="8:16" x14ac:dyDescent="0.25">
      <c r="H34396" s="12"/>
      <c r="I34396" s="12"/>
      <c r="J34396" s="12"/>
      <c r="K34396" s="12"/>
      <c r="L34396" s="12"/>
      <c r="M34396" s="11"/>
      <c r="N34396" s="11"/>
      <c r="O34396" s="11"/>
      <c r="P34396" s="11"/>
    </row>
    <row r="34397" spans="8:16" x14ac:dyDescent="0.25">
      <c r="H34397" s="12"/>
      <c r="I34397" s="12"/>
      <c r="J34397" s="12"/>
      <c r="K34397" s="12"/>
      <c r="L34397" s="12"/>
      <c r="M34397" s="11"/>
      <c r="N34397" s="11"/>
      <c r="O34397" s="11"/>
      <c r="P34397" s="11"/>
    </row>
    <row r="34398" spans="8:16" x14ac:dyDescent="0.25">
      <c r="H34398" s="12"/>
      <c r="I34398" s="12"/>
      <c r="J34398" s="12"/>
      <c r="K34398" s="12"/>
      <c r="L34398" s="12"/>
      <c r="M34398" s="11"/>
      <c r="N34398" s="11"/>
      <c r="O34398" s="11"/>
      <c r="P34398" s="11"/>
    </row>
    <row r="34399" spans="8:16" x14ac:dyDescent="0.25">
      <c r="H34399" s="12"/>
      <c r="I34399" s="12"/>
      <c r="J34399" s="12"/>
      <c r="K34399" s="12"/>
      <c r="L34399" s="12"/>
      <c r="M34399" s="11"/>
      <c r="N34399" s="11"/>
      <c r="O34399" s="11"/>
      <c r="P34399" s="11"/>
    </row>
    <row r="34400" spans="8:16" x14ac:dyDescent="0.25">
      <c r="H34400" s="12"/>
      <c r="I34400" s="12"/>
      <c r="J34400" s="12"/>
      <c r="K34400" s="12"/>
      <c r="L34400" s="12"/>
      <c r="M34400" s="11"/>
      <c r="N34400" s="11"/>
      <c r="O34400" s="11"/>
      <c r="P34400" s="11"/>
    </row>
    <row r="34401" spans="8:16" x14ac:dyDescent="0.25">
      <c r="H34401" s="12"/>
      <c r="I34401" s="12"/>
      <c r="J34401" s="12"/>
      <c r="K34401" s="12"/>
      <c r="L34401" s="12"/>
      <c r="M34401" s="11"/>
      <c r="N34401" s="11"/>
      <c r="O34401" s="11"/>
      <c r="P34401" s="11"/>
    </row>
    <row r="34402" spans="8:16" x14ac:dyDescent="0.25">
      <c r="H34402" s="12"/>
      <c r="I34402" s="12"/>
      <c r="J34402" s="12"/>
      <c r="K34402" s="12"/>
      <c r="L34402" s="12"/>
      <c r="M34402" s="11"/>
      <c r="N34402" s="11"/>
      <c r="O34402" s="11"/>
      <c r="P34402" s="11"/>
    </row>
    <row r="34403" spans="8:16" x14ac:dyDescent="0.25">
      <c r="H34403" s="12"/>
      <c r="I34403" s="12"/>
      <c r="J34403" s="12"/>
      <c r="K34403" s="12"/>
      <c r="L34403" s="12"/>
      <c r="M34403" s="11"/>
      <c r="N34403" s="11"/>
      <c r="O34403" s="11"/>
      <c r="P34403" s="11"/>
    </row>
    <row r="34404" spans="8:16" x14ac:dyDescent="0.25">
      <c r="H34404" s="12"/>
      <c r="I34404" s="12"/>
      <c r="J34404" s="12"/>
      <c r="K34404" s="12"/>
      <c r="L34404" s="12"/>
      <c r="M34404" s="11"/>
      <c r="N34404" s="11"/>
      <c r="O34404" s="11"/>
      <c r="P34404" s="11"/>
    </row>
    <row r="34405" spans="8:16" x14ac:dyDescent="0.25">
      <c r="H34405" s="12"/>
      <c r="I34405" s="12"/>
      <c r="J34405" s="12"/>
      <c r="K34405" s="12"/>
      <c r="L34405" s="12"/>
      <c r="M34405" s="11"/>
      <c r="N34405" s="11"/>
      <c r="O34405" s="11"/>
      <c r="P34405" s="11"/>
    </row>
    <row r="34406" spans="8:16" x14ac:dyDescent="0.25">
      <c r="H34406" s="12"/>
      <c r="I34406" s="12"/>
      <c r="J34406" s="12"/>
      <c r="K34406" s="12"/>
      <c r="L34406" s="12"/>
      <c r="M34406" s="11"/>
      <c r="N34406" s="11"/>
      <c r="O34406" s="11"/>
      <c r="P34406" s="11"/>
    </row>
    <row r="34407" spans="8:16" x14ac:dyDescent="0.25">
      <c r="H34407" s="12"/>
      <c r="I34407" s="12"/>
      <c r="J34407" s="12"/>
      <c r="K34407" s="12"/>
      <c r="L34407" s="12"/>
      <c r="M34407" s="11"/>
      <c r="N34407" s="11"/>
      <c r="O34407" s="11"/>
      <c r="P34407" s="11"/>
    </row>
    <row r="34408" spans="8:16" x14ac:dyDescent="0.25">
      <c r="H34408" s="12"/>
      <c r="I34408" s="12"/>
      <c r="J34408" s="12"/>
      <c r="K34408" s="12"/>
      <c r="L34408" s="12"/>
      <c r="M34408" s="11"/>
      <c r="N34408" s="11"/>
      <c r="O34408" s="11"/>
      <c r="P34408" s="11"/>
    </row>
    <row r="34409" spans="8:16" x14ac:dyDescent="0.25">
      <c r="H34409" s="12"/>
      <c r="I34409" s="12"/>
      <c r="J34409" s="12"/>
      <c r="K34409" s="12"/>
      <c r="L34409" s="12"/>
      <c r="M34409" s="11"/>
      <c r="N34409" s="11"/>
      <c r="O34409" s="11"/>
      <c r="P34409" s="11"/>
    </row>
    <row r="34410" spans="8:16" x14ac:dyDescent="0.25">
      <c r="H34410" s="12"/>
      <c r="I34410" s="12"/>
      <c r="J34410" s="12"/>
      <c r="K34410" s="12"/>
      <c r="L34410" s="12"/>
      <c r="M34410" s="11"/>
      <c r="N34410" s="11"/>
      <c r="O34410" s="11"/>
      <c r="P34410" s="11"/>
    </row>
    <row r="34411" spans="8:16" x14ac:dyDescent="0.25">
      <c r="H34411" s="12"/>
      <c r="I34411" s="12"/>
      <c r="J34411" s="12"/>
      <c r="K34411" s="12"/>
      <c r="L34411" s="12"/>
      <c r="M34411" s="11"/>
      <c r="N34411" s="11"/>
      <c r="O34411" s="11"/>
      <c r="P34411" s="11"/>
    </row>
    <row r="34412" spans="8:16" x14ac:dyDescent="0.25">
      <c r="H34412" s="12"/>
      <c r="I34412" s="12"/>
      <c r="J34412" s="12"/>
      <c r="K34412" s="12"/>
      <c r="L34412" s="12"/>
      <c r="M34412" s="11"/>
      <c r="N34412" s="11"/>
      <c r="O34412" s="11"/>
      <c r="P34412" s="11"/>
    </row>
    <row r="34413" spans="8:16" x14ac:dyDescent="0.25">
      <c r="H34413" s="12"/>
      <c r="I34413" s="12"/>
      <c r="J34413" s="12"/>
      <c r="K34413" s="12"/>
      <c r="L34413" s="12"/>
      <c r="M34413" s="11"/>
      <c r="N34413" s="11"/>
      <c r="O34413" s="11"/>
      <c r="P34413" s="11"/>
    </row>
    <row r="34414" spans="8:16" x14ac:dyDescent="0.25">
      <c r="H34414" s="12"/>
      <c r="I34414" s="12"/>
      <c r="J34414" s="12"/>
      <c r="K34414" s="12"/>
      <c r="L34414" s="12"/>
      <c r="M34414" s="11"/>
      <c r="N34414" s="11"/>
      <c r="O34414" s="11"/>
      <c r="P34414" s="11"/>
    </row>
    <row r="34415" spans="8:16" x14ac:dyDescent="0.25">
      <c r="H34415" s="12"/>
      <c r="I34415" s="12"/>
      <c r="J34415" s="12"/>
      <c r="K34415" s="12"/>
      <c r="L34415" s="12"/>
      <c r="M34415" s="11"/>
      <c r="N34415" s="11"/>
      <c r="O34415" s="11"/>
      <c r="P34415" s="11"/>
    </row>
    <row r="34416" spans="8:16" x14ac:dyDescent="0.25">
      <c r="H34416" s="12"/>
      <c r="I34416" s="12"/>
      <c r="J34416" s="12"/>
      <c r="K34416" s="12"/>
      <c r="L34416" s="12"/>
      <c r="M34416" s="11"/>
      <c r="N34416" s="11"/>
      <c r="O34416" s="11"/>
      <c r="P34416" s="11"/>
    </row>
    <row r="34417" spans="8:16" x14ac:dyDescent="0.25">
      <c r="H34417" s="12"/>
      <c r="I34417" s="12"/>
      <c r="J34417" s="12"/>
      <c r="K34417" s="12"/>
      <c r="L34417" s="12"/>
      <c r="M34417" s="11"/>
      <c r="N34417" s="11"/>
      <c r="O34417" s="11"/>
      <c r="P34417" s="11"/>
    </row>
    <row r="34418" spans="8:16" x14ac:dyDescent="0.25">
      <c r="H34418" s="12"/>
      <c r="I34418" s="12"/>
      <c r="J34418" s="12"/>
      <c r="K34418" s="12"/>
      <c r="L34418" s="12"/>
      <c r="M34418" s="11"/>
      <c r="N34418" s="11"/>
      <c r="O34418" s="11"/>
      <c r="P34418" s="11"/>
    </row>
    <row r="34419" spans="8:16" x14ac:dyDescent="0.25">
      <c r="H34419" s="12"/>
      <c r="I34419" s="12"/>
      <c r="J34419" s="12"/>
      <c r="K34419" s="12"/>
      <c r="L34419" s="12"/>
      <c r="M34419" s="11"/>
      <c r="N34419" s="11"/>
      <c r="O34419" s="11"/>
      <c r="P34419" s="11"/>
    </row>
    <row r="34420" spans="8:16" x14ac:dyDescent="0.25">
      <c r="H34420" s="12"/>
      <c r="I34420" s="12"/>
      <c r="J34420" s="12"/>
      <c r="K34420" s="12"/>
      <c r="L34420" s="12"/>
      <c r="M34420" s="11"/>
      <c r="N34420" s="11"/>
      <c r="O34420" s="11"/>
      <c r="P34420" s="11"/>
    </row>
    <row r="34421" spans="8:16" x14ac:dyDescent="0.25">
      <c r="H34421" s="12"/>
      <c r="I34421" s="12"/>
      <c r="J34421" s="12"/>
      <c r="K34421" s="12"/>
      <c r="L34421" s="12"/>
      <c r="M34421" s="11"/>
      <c r="N34421" s="11"/>
      <c r="O34421" s="11"/>
      <c r="P34421" s="11"/>
    </row>
    <row r="34422" spans="8:16" x14ac:dyDescent="0.25">
      <c r="H34422" s="12"/>
      <c r="I34422" s="12"/>
      <c r="J34422" s="12"/>
      <c r="K34422" s="12"/>
      <c r="L34422" s="12"/>
      <c r="M34422" s="11"/>
      <c r="N34422" s="11"/>
      <c r="O34422" s="11"/>
      <c r="P34422" s="11"/>
    </row>
    <row r="34423" spans="8:16" x14ac:dyDescent="0.25">
      <c r="H34423" s="12"/>
      <c r="I34423" s="12"/>
      <c r="J34423" s="12"/>
      <c r="K34423" s="12"/>
      <c r="L34423" s="12"/>
      <c r="M34423" s="11"/>
      <c r="N34423" s="11"/>
      <c r="O34423" s="11"/>
      <c r="P34423" s="11"/>
    </row>
    <row r="34424" spans="8:16" x14ac:dyDescent="0.25">
      <c r="H34424" s="12"/>
      <c r="I34424" s="12"/>
      <c r="J34424" s="12"/>
      <c r="K34424" s="12"/>
      <c r="L34424" s="12"/>
      <c r="M34424" s="11"/>
      <c r="N34424" s="11"/>
      <c r="O34424" s="11"/>
      <c r="P34424" s="11"/>
    </row>
    <row r="34425" spans="8:16" x14ac:dyDescent="0.25">
      <c r="H34425" s="12"/>
      <c r="I34425" s="12"/>
      <c r="J34425" s="12"/>
      <c r="K34425" s="12"/>
      <c r="L34425" s="12"/>
      <c r="M34425" s="11"/>
      <c r="N34425" s="11"/>
      <c r="O34425" s="11"/>
      <c r="P34425" s="11"/>
    </row>
    <row r="34426" spans="8:16" x14ac:dyDescent="0.25">
      <c r="H34426" s="12"/>
      <c r="I34426" s="12"/>
      <c r="J34426" s="12"/>
      <c r="K34426" s="12"/>
      <c r="L34426" s="12"/>
      <c r="M34426" s="11"/>
      <c r="N34426" s="11"/>
      <c r="O34426" s="11"/>
      <c r="P34426" s="11"/>
    </row>
    <row r="34427" spans="8:16" x14ac:dyDescent="0.25">
      <c r="H34427" s="12"/>
      <c r="I34427" s="12"/>
      <c r="J34427" s="12"/>
      <c r="K34427" s="12"/>
      <c r="L34427" s="12"/>
      <c r="M34427" s="11"/>
      <c r="N34427" s="11"/>
      <c r="O34427" s="11"/>
      <c r="P34427" s="11"/>
    </row>
    <row r="34428" spans="8:16" x14ac:dyDescent="0.25">
      <c r="H34428" s="12"/>
      <c r="I34428" s="12"/>
      <c r="J34428" s="12"/>
      <c r="K34428" s="12"/>
      <c r="L34428" s="12"/>
      <c r="M34428" s="11"/>
      <c r="N34428" s="11"/>
      <c r="O34428" s="11"/>
      <c r="P34428" s="11"/>
    </row>
    <row r="34429" spans="8:16" x14ac:dyDescent="0.25">
      <c r="H34429" s="12"/>
      <c r="I34429" s="12"/>
      <c r="J34429" s="12"/>
      <c r="K34429" s="12"/>
      <c r="L34429" s="12"/>
      <c r="M34429" s="11"/>
      <c r="N34429" s="11"/>
      <c r="O34429" s="11"/>
      <c r="P34429" s="11"/>
    </row>
    <row r="34430" spans="8:16" x14ac:dyDescent="0.25">
      <c r="H34430" s="12"/>
      <c r="I34430" s="12"/>
      <c r="J34430" s="12"/>
      <c r="K34430" s="12"/>
      <c r="L34430" s="12"/>
      <c r="M34430" s="11"/>
      <c r="N34430" s="11"/>
      <c r="O34430" s="11"/>
      <c r="P34430" s="11"/>
    </row>
    <row r="34431" spans="8:16" x14ac:dyDescent="0.25">
      <c r="H34431" s="12"/>
      <c r="I34431" s="12"/>
      <c r="J34431" s="12"/>
      <c r="K34431" s="12"/>
      <c r="L34431" s="12"/>
      <c r="M34431" s="11"/>
      <c r="N34431" s="11"/>
      <c r="O34431" s="11"/>
      <c r="P34431" s="11"/>
    </row>
    <row r="34432" spans="8:16" x14ac:dyDescent="0.25">
      <c r="H34432" s="12"/>
      <c r="I34432" s="12"/>
      <c r="J34432" s="12"/>
      <c r="K34432" s="12"/>
      <c r="L34432" s="12"/>
      <c r="M34432" s="11"/>
      <c r="N34432" s="11"/>
      <c r="O34432" s="11"/>
      <c r="P34432" s="11"/>
    </row>
    <row r="34433" spans="8:16" x14ac:dyDescent="0.25">
      <c r="H34433" s="12"/>
      <c r="I34433" s="12"/>
      <c r="J34433" s="12"/>
      <c r="K34433" s="12"/>
      <c r="L34433" s="12"/>
      <c r="M34433" s="11"/>
      <c r="N34433" s="11"/>
      <c r="O34433" s="11"/>
      <c r="P34433" s="11"/>
    </row>
    <row r="34434" spans="8:16" x14ac:dyDescent="0.25">
      <c r="H34434" s="12"/>
      <c r="I34434" s="12"/>
      <c r="J34434" s="12"/>
      <c r="K34434" s="12"/>
      <c r="L34434" s="12"/>
      <c r="M34434" s="11"/>
      <c r="N34434" s="11"/>
      <c r="O34434" s="11"/>
      <c r="P34434" s="11"/>
    </row>
    <row r="34435" spans="8:16" x14ac:dyDescent="0.25">
      <c r="H34435" s="12"/>
      <c r="I34435" s="12"/>
      <c r="J34435" s="12"/>
      <c r="K34435" s="12"/>
      <c r="L34435" s="12"/>
      <c r="M34435" s="11"/>
      <c r="N34435" s="11"/>
      <c r="O34435" s="11"/>
      <c r="P34435" s="11"/>
    </row>
    <row r="34436" spans="8:16" x14ac:dyDescent="0.25">
      <c r="H34436" s="12"/>
      <c r="I34436" s="12"/>
      <c r="J34436" s="12"/>
      <c r="K34436" s="12"/>
      <c r="L34436" s="12"/>
      <c r="M34436" s="11"/>
      <c r="N34436" s="11"/>
      <c r="O34436" s="11"/>
      <c r="P34436" s="11"/>
    </row>
    <row r="34437" spans="8:16" x14ac:dyDescent="0.25">
      <c r="H34437" s="12"/>
      <c r="I34437" s="12"/>
      <c r="J34437" s="12"/>
      <c r="K34437" s="12"/>
      <c r="L34437" s="12"/>
      <c r="M34437" s="11"/>
      <c r="N34437" s="11"/>
      <c r="O34437" s="11"/>
      <c r="P34437" s="11"/>
    </row>
    <row r="34438" spans="8:16" x14ac:dyDescent="0.25">
      <c r="H34438" s="12"/>
      <c r="I34438" s="12"/>
      <c r="J34438" s="12"/>
      <c r="K34438" s="12"/>
      <c r="L34438" s="12"/>
      <c r="M34438" s="11"/>
      <c r="N34438" s="11"/>
      <c r="O34438" s="11"/>
      <c r="P34438" s="11"/>
    </row>
    <row r="34439" spans="8:16" x14ac:dyDescent="0.25">
      <c r="H34439" s="12"/>
      <c r="I34439" s="12"/>
      <c r="J34439" s="12"/>
      <c r="K34439" s="12"/>
      <c r="L34439" s="12"/>
      <c r="M34439" s="11"/>
      <c r="N34439" s="11"/>
      <c r="O34439" s="11"/>
      <c r="P34439" s="11"/>
    </row>
    <row r="34440" spans="8:16" x14ac:dyDescent="0.25">
      <c r="H34440" s="12"/>
      <c r="I34440" s="12"/>
      <c r="J34440" s="12"/>
      <c r="K34440" s="12"/>
      <c r="L34440" s="12"/>
      <c r="M34440" s="11"/>
      <c r="N34440" s="11"/>
      <c r="O34440" s="11"/>
      <c r="P34440" s="11"/>
    </row>
    <row r="34441" spans="8:16" x14ac:dyDescent="0.25">
      <c r="H34441" s="12"/>
      <c r="I34441" s="12"/>
      <c r="J34441" s="12"/>
      <c r="K34441" s="12"/>
      <c r="L34441" s="12"/>
      <c r="M34441" s="11"/>
      <c r="N34441" s="11"/>
      <c r="O34441" s="11"/>
      <c r="P34441" s="11"/>
    </row>
    <row r="34442" spans="8:16" x14ac:dyDescent="0.25">
      <c r="H34442" s="12"/>
      <c r="I34442" s="12"/>
      <c r="J34442" s="12"/>
      <c r="K34442" s="12"/>
      <c r="L34442" s="12"/>
      <c r="M34442" s="11"/>
      <c r="N34442" s="11"/>
      <c r="O34442" s="11"/>
      <c r="P34442" s="11"/>
    </row>
    <row r="34443" spans="8:16" x14ac:dyDescent="0.25">
      <c r="H34443" s="12"/>
      <c r="I34443" s="12"/>
      <c r="J34443" s="12"/>
      <c r="K34443" s="12"/>
      <c r="L34443" s="12"/>
      <c r="M34443" s="11"/>
      <c r="N34443" s="11"/>
      <c r="O34443" s="11"/>
      <c r="P34443" s="11"/>
    </row>
    <row r="34444" spans="8:16" x14ac:dyDescent="0.25">
      <c r="H34444" s="12"/>
      <c r="I34444" s="12"/>
      <c r="J34444" s="12"/>
      <c r="K34444" s="12"/>
      <c r="L34444" s="12"/>
      <c r="M34444" s="11"/>
      <c r="N34444" s="11"/>
      <c r="O34444" s="11"/>
      <c r="P34444" s="11"/>
    </row>
    <row r="34445" spans="8:16" x14ac:dyDescent="0.25">
      <c r="H34445" s="12"/>
      <c r="I34445" s="12"/>
      <c r="J34445" s="12"/>
      <c r="K34445" s="12"/>
      <c r="L34445" s="12"/>
      <c r="M34445" s="11"/>
      <c r="N34445" s="11"/>
      <c r="O34445" s="11"/>
      <c r="P34445" s="11"/>
    </row>
    <row r="34446" spans="8:16" x14ac:dyDescent="0.25">
      <c r="H34446" s="12"/>
      <c r="I34446" s="12"/>
      <c r="J34446" s="12"/>
      <c r="K34446" s="12"/>
      <c r="L34446" s="12"/>
      <c r="M34446" s="11"/>
      <c r="N34446" s="11"/>
      <c r="O34446" s="11"/>
      <c r="P34446" s="11"/>
    </row>
    <row r="34447" spans="8:16" x14ac:dyDescent="0.25">
      <c r="H34447" s="12"/>
      <c r="I34447" s="12"/>
      <c r="J34447" s="12"/>
      <c r="K34447" s="12"/>
      <c r="L34447" s="12"/>
      <c r="M34447" s="11"/>
      <c r="N34447" s="11"/>
      <c r="O34447" s="11"/>
      <c r="P34447" s="11"/>
    </row>
    <row r="34448" spans="8:16" x14ac:dyDescent="0.25">
      <c r="H34448" s="12"/>
      <c r="I34448" s="12"/>
      <c r="J34448" s="12"/>
      <c r="K34448" s="12"/>
      <c r="L34448" s="12"/>
      <c r="M34448" s="11"/>
      <c r="N34448" s="11"/>
      <c r="O34448" s="11"/>
      <c r="P34448" s="11"/>
    </row>
    <row r="34449" spans="8:16" x14ac:dyDescent="0.25">
      <c r="H34449" s="12"/>
      <c r="I34449" s="12"/>
      <c r="J34449" s="12"/>
      <c r="K34449" s="12"/>
      <c r="L34449" s="12"/>
      <c r="M34449" s="11"/>
      <c r="N34449" s="11"/>
      <c r="O34449" s="11"/>
      <c r="P34449" s="11"/>
    </row>
    <row r="34450" spans="8:16" x14ac:dyDescent="0.25">
      <c r="H34450" s="12"/>
      <c r="I34450" s="12"/>
      <c r="J34450" s="12"/>
      <c r="K34450" s="12"/>
      <c r="L34450" s="12"/>
      <c r="M34450" s="11"/>
      <c r="N34450" s="11"/>
      <c r="O34450" s="11"/>
      <c r="P34450" s="11"/>
    </row>
    <row r="34451" spans="8:16" x14ac:dyDescent="0.25">
      <c r="H34451" s="12"/>
      <c r="I34451" s="12"/>
      <c r="J34451" s="12"/>
      <c r="K34451" s="12"/>
      <c r="L34451" s="12"/>
      <c r="M34451" s="11"/>
      <c r="N34451" s="11"/>
      <c r="O34451" s="11"/>
      <c r="P34451" s="11"/>
    </row>
    <row r="34452" spans="8:16" x14ac:dyDescent="0.25">
      <c r="H34452" s="12"/>
      <c r="I34452" s="12"/>
      <c r="J34452" s="12"/>
      <c r="K34452" s="12"/>
      <c r="L34452" s="12"/>
      <c r="M34452" s="11"/>
      <c r="N34452" s="11"/>
      <c r="O34452" s="11"/>
      <c r="P34452" s="11"/>
    </row>
    <row r="34453" spans="8:16" x14ac:dyDescent="0.25">
      <c r="H34453" s="12"/>
      <c r="I34453" s="12"/>
      <c r="J34453" s="12"/>
      <c r="K34453" s="12"/>
      <c r="L34453" s="12"/>
      <c r="M34453" s="11"/>
      <c r="N34453" s="11"/>
      <c r="O34453" s="11"/>
      <c r="P34453" s="11"/>
    </row>
    <row r="34454" spans="8:16" x14ac:dyDescent="0.25">
      <c r="H34454" s="12"/>
      <c r="I34454" s="12"/>
      <c r="J34454" s="12"/>
      <c r="K34454" s="12"/>
      <c r="L34454" s="12"/>
      <c r="M34454" s="11"/>
      <c r="N34454" s="11"/>
      <c r="O34454" s="11"/>
      <c r="P34454" s="11"/>
    </row>
    <row r="34455" spans="8:16" x14ac:dyDescent="0.25">
      <c r="H34455" s="12"/>
      <c r="I34455" s="12"/>
      <c r="J34455" s="12"/>
      <c r="K34455" s="12"/>
      <c r="L34455" s="12"/>
      <c r="M34455" s="11"/>
      <c r="N34455" s="11"/>
      <c r="O34455" s="11"/>
      <c r="P34455" s="11"/>
    </row>
    <row r="34456" spans="8:16" x14ac:dyDescent="0.25">
      <c r="H34456" s="12"/>
      <c r="I34456" s="12"/>
      <c r="J34456" s="12"/>
      <c r="K34456" s="12"/>
      <c r="L34456" s="12"/>
      <c r="M34456" s="11"/>
      <c r="N34456" s="11"/>
      <c r="O34456" s="11"/>
      <c r="P34456" s="11"/>
    </row>
    <row r="34457" spans="8:16" x14ac:dyDescent="0.25">
      <c r="H34457" s="12"/>
      <c r="I34457" s="12"/>
      <c r="J34457" s="12"/>
      <c r="K34457" s="12"/>
      <c r="L34457" s="12"/>
      <c r="M34457" s="11"/>
      <c r="N34457" s="11"/>
      <c r="O34457" s="11"/>
      <c r="P34457" s="11"/>
    </row>
    <row r="34458" spans="8:16" x14ac:dyDescent="0.25">
      <c r="H34458" s="12"/>
      <c r="I34458" s="12"/>
      <c r="J34458" s="12"/>
      <c r="K34458" s="12"/>
      <c r="L34458" s="12"/>
      <c r="M34458" s="11"/>
      <c r="N34458" s="11"/>
      <c r="O34458" s="11"/>
      <c r="P34458" s="11"/>
    </row>
    <row r="34459" spans="8:16" x14ac:dyDescent="0.25">
      <c r="H34459" s="12"/>
      <c r="I34459" s="12"/>
      <c r="J34459" s="12"/>
      <c r="K34459" s="12"/>
      <c r="L34459" s="12"/>
      <c r="M34459" s="11"/>
      <c r="N34459" s="11"/>
      <c r="O34459" s="11"/>
      <c r="P34459" s="11"/>
    </row>
    <row r="34460" spans="8:16" x14ac:dyDescent="0.25">
      <c r="H34460" s="12"/>
      <c r="I34460" s="12"/>
      <c r="J34460" s="12"/>
      <c r="K34460" s="12"/>
      <c r="L34460" s="12"/>
      <c r="M34460" s="11"/>
      <c r="N34460" s="11"/>
      <c r="O34460" s="11"/>
      <c r="P34460" s="11"/>
    </row>
    <row r="34461" spans="8:16" x14ac:dyDescent="0.25">
      <c r="H34461" s="12"/>
      <c r="I34461" s="12"/>
      <c r="J34461" s="12"/>
      <c r="K34461" s="12"/>
      <c r="L34461" s="12"/>
      <c r="M34461" s="11"/>
      <c r="N34461" s="11"/>
      <c r="O34461" s="11"/>
      <c r="P34461" s="11"/>
    </row>
    <row r="34462" spans="8:16" x14ac:dyDescent="0.25">
      <c r="H34462" s="12"/>
      <c r="I34462" s="12"/>
      <c r="J34462" s="12"/>
      <c r="K34462" s="12"/>
      <c r="L34462" s="12"/>
      <c r="M34462" s="11"/>
      <c r="N34462" s="11"/>
      <c r="O34462" s="11"/>
      <c r="P34462" s="11"/>
    </row>
    <row r="34463" spans="8:16" x14ac:dyDescent="0.25">
      <c r="H34463" s="12"/>
      <c r="I34463" s="12"/>
      <c r="J34463" s="12"/>
      <c r="K34463" s="12"/>
      <c r="L34463" s="12"/>
      <c r="M34463" s="11"/>
      <c r="N34463" s="11"/>
      <c r="O34463" s="11"/>
      <c r="P34463" s="11"/>
    </row>
    <row r="34464" spans="8:16" x14ac:dyDescent="0.25">
      <c r="H34464" s="12"/>
      <c r="I34464" s="12"/>
      <c r="J34464" s="12"/>
      <c r="K34464" s="12"/>
      <c r="L34464" s="12"/>
      <c r="M34464" s="11"/>
      <c r="N34464" s="11"/>
      <c r="O34464" s="11"/>
      <c r="P34464" s="11"/>
    </row>
    <row r="34465" spans="8:16" x14ac:dyDescent="0.25">
      <c r="H34465" s="12"/>
      <c r="I34465" s="12"/>
      <c r="J34465" s="12"/>
      <c r="K34465" s="12"/>
      <c r="L34465" s="12"/>
      <c r="M34465" s="11"/>
      <c r="N34465" s="11"/>
      <c r="O34465" s="11"/>
      <c r="P34465" s="11"/>
    </row>
    <row r="34466" spans="8:16" x14ac:dyDescent="0.25">
      <c r="H34466" s="12"/>
      <c r="I34466" s="12"/>
      <c r="J34466" s="12"/>
      <c r="K34466" s="12"/>
      <c r="L34466" s="12"/>
      <c r="M34466" s="11"/>
      <c r="N34466" s="11"/>
      <c r="O34466" s="11"/>
      <c r="P34466" s="11"/>
    </row>
    <row r="34467" spans="8:16" x14ac:dyDescent="0.25">
      <c r="H34467" s="12"/>
      <c r="I34467" s="12"/>
      <c r="J34467" s="12"/>
      <c r="K34467" s="12"/>
      <c r="L34467" s="12"/>
      <c r="M34467" s="11"/>
      <c r="N34467" s="11"/>
      <c r="O34467" s="11"/>
      <c r="P34467" s="11"/>
    </row>
    <row r="34468" spans="8:16" x14ac:dyDescent="0.25">
      <c r="H34468" s="12"/>
      <c r="I34468" s="12"/>
      <c r="J34468" s="12"/>
      <c r="K34468" s="12"/>
      <c r="L34468" s="12"/>
      <c r="M34468" s="11"/>
      <c r="N34468" s="11"/>
      <c r="O34468" s="11"/>
      <c r="P34468" s="11"/>
    </row>
    <row r="34469" spans="8:16" x14ac:dyDescent="0.25">
      <c r="H34469" s="12"/>
      <c r="I34469" s="12"/>
      <c r="J34469" s="12"/>
      <c r="K34469" s="12"/>
      <c r="L34469" s="12"/>
      <c r="M34469" s="11"/>
      <c r="N34469" s="11"/>
      <c r="O34469" s="11"/>
      <c r="P34469" s="11"/>
    </row>
    <row r="34470" spans="8:16" x14ac:dyDescent="0.25">
      <c r="H34470" s="12"/>
      <c r="I34470" s="12"/>
      <c r="J34470" s="12"/>
      <c r="K34470" s="12"/>
      <c r="L34470" s="12"/>
      <c r="M34470" s="11"/>
      <c r="N34470" s="11"/>
      <c r="O34470" s="11"/>
      <c r="P34470" s="11"/>
    </row>
    <row r="34471" spans="8:16" x14ac:dyDescent="0.25">
      <c r="H34471" s="12"/>
      <c r="I34471" s="12"/>
      <c r="J34471" s="12"/>
      <c r="K34471" s="12"/>
      <c r="L34471" s="12"/>
      <c r="M34471" s="11"/>
      <c r="N34471" s="11"/>
      <c r="O34471" s="11"/>
      <c r="P34471" s="11"/>
    </row>
    <row r="34472" spans="8:16" x14ac:dyDescent="0.25">
      <c r="H34472" s="12"/>
      <c r="I34472" s="12"/>
      <c r="J34472" s="12"/>
      <c r="K34472" s="12"/>
      <c r="L34472" s="12"/>
      <c r="M34472" s="11"/>
      <c r="N34472" s="11"/>
      <c r="O34472" s="11"/>
      <c r="P34472" s="11"/>
    </row>
    <row r="34473" spans="8:16" x14ac:dyDescent="0.25">
      <c r="H34473" s="12"/>
      <c r="I34473" s="12"/>
      <c r="J34473" s="12"/>
      <c r="K34473" s="12"/>
      <c r="L34473" s="12"/>
      <c r="M34473" s="11"/>
      <c r="N34473" s="11"/>
      <c r="O34473" s="11"/>
      <c r="P34473" s="11"/>
    </row>
    <row r="34474" spans="8:16" x14ac:dyDescent="0.25">
      <c r="H34474" s="12"/>
      <c r="I34474" s="12"/>
      <c r="J34474" s="12"/>
      <c r="K34474" s="12"/>
      <c r="L34474" s="12"/>
      <c r="M34474" s="11"/>
      <c r="N34474" s="11"/>
      <c r="O34474" s="11"/>
      <c r="P34474" s="11"/>
    </row>
    <row r="34475" spans="8:16" x14ac:dyDescent="0.25">
      <c r="H34475" s="12"/>
      <c r="I34475" s="12"/>
      <c r="J34475" s="12"/>
      <c r="K34475" s="12"/>
      <c r="L34475" s="12"/>
      <c r="M34475" s="11"/>
      <c r="N34475" s="11"/>
      <c r="O34475" s="11"/>
      <c r="P34475" s="11"/>
    </row>
    <row r="34476" spans="8:16" x14ac:dyDescent="0.25">
      <c r="H34476" s="12"/>
      <c r="I34476" s="12"/>
      <c r="J34476" s="12"/>
      <c r="K34476" s="12"/>
      <c r="L34476" s="12"/>
      <c r="M34476" s="11"/>
      <c r="N34476" s="11"/>
      <c r="O34476" s="11"/>
      <c r="P34476" s="11"/>
    </row>
    <row r="34477" spans="8:16" x14ac:dyDescent="0.25">
      <c r="H34477" s="12"/>
      <c r="I34477" s="12"/>
      <c r="J34477" s="12"/>
      <c r="K34477" s="12"/>
      <c r="L34477" s="12"/>
      <c r="M34477" s="11"/>
      <c r="N34477" s="11"/>
      <c r="O34477" s="11"/>
      <c r="P34477" s="11"/>
    </row>
    <row r="34478" spans="8:16" x14ac:dyDescent="0.25">
      <c r="H34478" s="12"/>
      <c r="I34478" s="12"/>
      <c r="J34478" s="12"/>
      <c r="K34478" s="12"/>
      <c r="L34478" s="12"/>
      <c r="M34478" s="11"/>
      <c r="N34478" s="11"/>
      <c r="O34478" s="11"/>
      <c r="P34478" s="11"/>
    </row>
    <row r="34479" spans="8:16" x14ac:dyDescent="0.25">
      <c r="H34479" s="12"/>
      <c r="I34479" s="12"/>
      <c r="J34479" s="12"/>
      <c r="K34479" s="12"/>
      <c r="L34479" s="12"/>
      <c r="M34479" s="11"/>
      <c r="N34479" s="11"/>
      <c r="O34479" s="11"/>
      <c r="P34479" s="11"/>
    </row>
    <row r="34480" spans="8:16" x14ac:dyDescent="0.25">
      <c r="H34480" s="12"/>
      <c r="I34480" s="12"/>
      <c r="J34480" s="12"/>
      <c r="K34480" s="12"/>
      <c r="L34480" s="12"/>
      <c r="M34480" s="11"/>
      <c r="N34480" s="11"/>
      <c r="O34480" s="11"/>
      <c r="P34480" s="11"/>
    </row>
    <row r="34481" spans="8:16" x14ac:dyDescent="0.25">
      <c r="H34481" s="12"/>
      <c r="I34481" s="12"/>
      <c r="J34481" s="12"/>
      <c r="K34481" s="12"/>
      <c r="L34481" s="12"/>
      <c r="M34481" s="11"/>
      <c r="N34481" s="11"/>
      <c r="O34481" s="11"/>
      <c r="P34481" s="11"/>
    </row>
    <row r="34482" spans="8:16" x14ac:dyDescent="0.25">
      <c r="H34482" s="12"/>
      <c r="I34482" s="12"/>
      <c r="J34482" s="12"/>
      <c r="K34482" s="12"/>
      <c r="L34482" s="12"/>
      <c r="M34482" s="11"/>
      <c r="N34482" s="11"/>
      <c r="O34482" s="11"/>
      <c r="P34482" s="11"/>
    </row>
    <row r="34483" spans="8:16" x14ac:dyDescent="0.25">
      <c r="H34483" s="12"/>
      <c r="I34483" s="12"/>
      <c r="J34483" s="12"/>
      <c r="K34483" s="12"/>
      <c r="L34483" s="12"/>
      <c r="M34483" s="11"/>
      <c r="N34483" s="11"/>
      <c r="O34483" s="11"/>
      <c r="P34483" s="11"/>
    </row>
    <row r="34484" spans="8:16" x14ac:dyDescent="0.25">
      <c r="H34484" s="12"/>
      <c r="I34484" s="12"/>
      <c r="J34484" s="12"/>
      <c r="K34484" s="12"/>
      <c r="L34484" s="12"/>
      <c r="M34484" s="11"/>
      <c r="N34484" s="11"/>
      <c r="O34484" s="11"/>
      <c r="P34484" s="11"/>
    </row>
    <row r="34485" spans="8:16" x14ac:dyDescent="0.25">
      <c r="H34485" s="12"/>
      <c r="I34485" s="12"/>
      <c r="J34485" s="12"/>
      <c r="K34485" s="12"/>
      <c r="L34485" s="12"/>
      <c r="M34485" s="11"/>
      <c r="N34485" s="11"/>
      <c r="O34485" s="11"/>
      <c r="P34485" s="11"/>
    </row>
    <row r="34486" spans="8:16" x14ac:dyDescent="0.25">
      <c r="H34486" s="12"/>
      <c r="I34486" s="12"/>
      <c r="J34486" s="12"/>
      <c r="K34486" s="12"/>
      <c r="L34486" s="12"/>
      <c r="M34486" s="11"/>
      <c r="N34486" s="11"/>
      <c r="O34486" s="11"/>
      <c r="P34486" s="11"/>
    </row>
    <row r="34487" spans="8:16" x14ac:dyDescent="0.25">
      <c r="H34487" s="12"/>
      <c r="I34487" s="12"/>
      <c r="J34487" s="12"/>
      <c r="K34487" s="12"/>
      <c r="L34487" s="12"/>
      <c r="M34487" s="11"/>
      <c r="N34487" s="11"/>
      <c r="O34487" s="11"/>
      <c r="P34487" s="11"/>
    </row>
    <row r="34488" spans="8:16" x14ac:dyDescent="0.25">
      <c r="H34488" s="12"/>
      <c r="I34488" s="12"/>
      <c r="J34488" s="12"/>
      <c r="K34488" s="12"/>
      <c r="L34488" s="12"/>
      <c r="M34488" s="11"/>
      <c r="N34488" s="11"/>
      <c r="O34488" s="11"/>
      <c r="P34488" s="11"/>
    </row>
    <row r="34489" spans="8:16" x14ac:dyDescent="0.25">
      <c r="H34489" s="12"/>
      <c r="I34489" s="12"/>
      <c r="J34489" s="12"/>
      <c r="K34489" s="12"/>
      <c r="L34489" s="12"/>
      <c r="M34489" s="11"/>
      <c r="N34489" s="11"/>
      <c r="O34489" s="11"/>
      <c r="P34489" s="11"/>
    </row>
    <row r="34490" spans="8:16" x14ac:dyDescent="0.25">
      <c r="H34490" s="12"/>
      <c r="I34490" s="12"/>
      <c r="J34490" s="12"/>
      <c r="K34490" s="12"/>
      <c r="L34490" s="12"/>
      <c r="M34490" s="11"/>
      <c r="N34490" s="11"/>
      <c r="O34490" s="11"/>
      <c r="P34490" s="11"/>
    </row>
    <row r="34491" spans="8:16" x14ac:dyDescent="0.25">
      <c r="H34491" s="12"/>
      <c r="I34491" s="12"/>
      <c r="J34491" s="12"/>
      <c r="K34491" s="12"/>
      <c r="L34491" s="12"/>
      <c r="M34491" s="11"/>
      <c r="N34491" s="11"/>
      <c r="O34491" s="11"/>
      <c r="P34491" s="11"/>
    </row>
    <row r="34492" spans="8:16" x14ac:dyDescent="0.25">
      <c r="H34492" s="12"/>
      <c r="I34492" s="12"/>
      <c r="J34492" s="12"/>
      <c r="K34492" s="12"/>
      <c r="L34492" s="12"/>
      <c r="M34492" s="11"/>
      <c r="N34492" s="11"/>
      <c r="O34492" s="11"/>
      <c r="P34492" s="11"/>
    </row>
    <row r="34493" spans="8:16" x14ac:dyDescent="0.25">
      <c r="H34493" s="12"/>
      <c r="I34493" s="12"/>
      <c r="J34493" s="12"/>
      <c r="K34493" s="12"/>
      <c r="L34493" s="12"/>
      <c r="M34493" s="11"/>
      <c r="N34493" s="11"/>
      <c r="O34493" s="11"/>
      <c r="P34493" s="11"/>
    </row>
    <row r="34494" spans="8:16" x14ac:dyDescent="0.25">
      <c r="H34494" s="12"/>
      <c r="I34494" s="12"/>
      <c r="J34494" s="12"/>
      <c r="K34494" s="12"/>
      <c r="L34494" s="12"/>
      <c r="M34494" s="11"/>
      <c r="N34494" s="11"/>
      <c r="O34494" s="11"/>
      <c r="P34494" s="11"/>
    </row>
    <row r="34495" spans="8:16" x14ac:dyDescent="0.25">
      <c r="H34495" s="12"/>
      <c r="I34495" s="12"/>
      <c r="J34495" s="12"/>
      <c r="K34495" s="12"/>
      <c r="L34495" s="12"/>
      <c r="M34495" s="11"/>
      <c r="N34495" s="11"/>
      <c r="O34495" s="11"/>
      <c r="P34495" s="11"/>
    </row>
    <row r="34496" spans="8:16" x14ac:dyDescent="0.25">
      <c r="H34496" s="12"/>
      <c r="I34496" s="12"/>
      <c r="J34496" s="12"/>
      <c r="K34496" s="12"/>
      <c r="L34496" s="12"/>
      <c r="M34496" s="11"/>
      <c r="N34496" s="11"/>
      <c r="O34496" s="11"/>
      <c r="P34496" s="11"/>
    </row>
    <row r="34497" spans="8:16" x14ac:dyDescent="0.25">
      <c r="H34497" s="12"/>
      <c r="I34497" s="12"/>
      <c r="J34497" s="12"/>
      <c r="K34497" s="12"/>
      <c r="L34497" s="12"/>
      <c r="M34497" s="11"/>
      <c r="N34497" s="11"/>
      <c r="O34497" s="11"/>
      <c r="P34497" s="11"/>
    </row>
    <row r="34498" spans="8:16" x14ac:dyDescent="0.25">
      <c r="H34498" s="12"/>
      <c r="I34498" s="12"/>
      <c r="J34498" s="12"/>
      <c r="K34498" s="12"/>
      <c r="L34498" s="12"/>
      <c r="M34498" s="11"/>
      <c r="N34498" s="11"/>
      <c r="O34498" s="11"/>
      <c r="P34498" s="11"/>
    </row>
    <row r="34499" spans="8:16" x14ac:dyDescent="0.25">
      <c r="H34499" s="12"/>
      <c r="I34499" s="12"/>
      <c r="J34499" s="12"/>
      <c r="K34499" s="12"/>
      <c r="L34499" s="12"/>
      <c r="M34499" s="11"/>
      <c r="N34499" s="11"/>
      <c r="O34499" s="11"/>
      <c r="P34499" s="11"/>
    </row>
    <row r="34500" spans="8:16" x14ac:dyDescent="0.25">
      <c r="H34500" s="12"/>
      <c r="I34500" s="12"/>
      <c r="J34500" s="12"/>
      <c r="K34500" s="12"/>
      <c r="L34500" s="12"/>
      <c r="M34500" s="11"/>
      <c r="N34500" s="11"/>
      <c r="O34500" s="11"/>
      <c r="P34500" s="11"/>
    </row>
    <row r="34501" spans="8:16" x14ac:dyDescent="0.25">
      <c r="H34501" s="12"/>
      <c r="I34501" s="12"/>
      <c r="J34501" s="12"/>
      <c r="K34501" s="12"/>
      <c r="L34501" s="12"/>
      <c r="M34501" s="11"/>
      <c r="N34501" s="11"/>
      <c r="O34501" s="11"/>
      <c r="P34501" s="11"/>
    </row>
    <row r="34502" spans="8:16" x14ac:dyDescent="0.25">
      <c r="H34502" s="12"/>
      <c r="I34502" s="12"/>
      <c r="J34502" s="12"/>
      <c r="K34502" s="12"/>
      <c r="L34502" s="12"/>
      <c r="M34502" s="11"/>
      <c r="N34502" s="11"/>
      <c r="O34502" s="11"/>
      <c r="P34502" s="11"/>
    </row>
    <row r="34503" spans="8:16" x14ac:dyDescent="0.25">
      <c r="H34503" s="12"/>
      <c r="I34503" s="12"/>
      <c r="J34503" s="12"/>
      <c r="K34503" s="12"/>
      <c r="L34503" s="12"/>
      <c r="M34503" s="11"/>
      <c r="N34503" s="11"/>
      <c r="O34503" s="11"/>
      <c r="P34503" s="11"/>
    </row>
    <row r="34504" spans="8:16" x14ac:dyDescent="0.25">
      <c r="H34504" s="12"/>
      <c r="I34504" s="12"/>
      <c r="J34504" s="12"/>
      <c r="K34504" s="12"/>
      <c r="L34504" s="12"/>
      <c r="M34504" s="11"/>
      <c r="N34504" s="11"/>
      <c r="O34504" s="11"/>
      <c r="P34504" s="11"/>
    </row>
    <row r="34505" spans="8:16" x14ac:dyDescent="0.25">
      <c r="H34505" s="12"/>
      <c r="I34505" s="12"/>
      <c r="J34505" s="12"/>
      <c r="K34505" s="12"/>
      <c r="L34505" s="12"/>
      <c r="M34505" s="11"/>
      <c r="N34505" s="11"/>
      <c r="O34505" s="11"/>
      <c r="P34505" s="11"/>
    </row>
    <row r="34506" spans="8:16" x14ac:dyDescent="0.25">
      <c r="H34506" s="12"/>
      <c r="I34506" s="12"/>
      <c r="J34506" s="12"/>
      <c r="K34506" s="12"/>
      <c r="L34506" s="12"/>
      <c r="M34506" s="11"/>
      <c r="N34506" s="11"/>
      <c r="O34506" s="11"/>
      <c r="P34506" s="11"/>
    </row>
    <row r="34507" spans="8:16" x14ac:dyDescent="0.25">
      <c r="H34507" s="12"/>
      <c r="I34507" s="12"/>
      <c r="J34507" s="12"/>
      <c r="K34507" s="12"/>
      <c r="L34507" s="12"/>
      <c r="M34507" s="11"/>
      <c r="N34507" s="11"/>
      <c r="O34507" s="11"/>
      <c r="P34507" s="11"/>
    </row>
    <row r="34508" spans="8:16" x14ac:dyDescent="0.25">
      <c r="H34508" s="12"/>
      <c r="I34508" s="12"/>
      <c r="J34508" s="12"/>
      <c r="K34508" s="12"/>
      <c r="L34508" s="12"/>
      <c r="M34508" s="11"/>
      <c r="N34508" s="11"/>
      <c r="O34508" s="11"/>
      <c r="P34508" s="11"/>
    </row>
    <row r="34509" spans="8:16" x14ac:dyDescent="0.25">
      <c r="H34509" s="12"/>
      <c r="I34509" s="12"/>
      <c r="J34509" s="12"/>
      <c r="K34509" s="12"/>
      <c r="L34509" s="12"/>
      <c r="M34509" s="11"/>
      <c r="N34509" s="11"/>
      <c r="O34509" s="11"/>
      <c r="P34509" s="11"/>
    </row>
    <row r="34510" spans="8:16" x14ac:dyDescent="0.25">
      <c r="H34510" s="12"/>
      <c r="I34510" s="12"/>
      <c r="J34510" s="12"/>
      <c r="K34510" s="12"/>
      <c r="L34510" s="12"/>
      <c r="M34510" s="11"/>
      <c r="N34510" s="11"/>
      <c r="O34510" s="11"/>
      <c r="P34510" s="11"/>
    </row>
    <row r="34511" spans="8:16" x14ac:dyDescent="0.25">
      <c r="H34511" s="12"/>
      <c r="I34511" s="12"/>
      <c r="J34511" s="12"/>
      <c r="K34511" s="12"/>
      <c r="L34511" s="12"/>
      <c r="M34511" s="11"/>
      <c r="N34511" s="11"/>
      <c r="O34511" s="11"/>
      <c r="P34511" s="11"/>
    </row>
    <row r="34512" spans="8:16" x14ac:dyDescent="0.25">
      <c r="H34512" s="12"/>
      <c r="I34512" s="12"/>
      <c r="J34512" s="12"/>
      <c r="K34512" s="12"/>
      <c r="L34512" s="12"/>
      <c r="M34512" s="11"/>
      <c r="N34512" s="11"/>
      <c r="O34512" s="11"/>
      <c r="P34512" s="11"/>
    </row>
    <row r="34513" spans="8:16" x14ac:dyDescent="0.25">
      <c r="H34513" s="12"/>
      <c r="I34513" s="12"/>
      <c r="J34513" s="12"/>
      <c r="K34513" s="12"/>
      <c r="L34513" s="12"/>
      <c r="M34513" s="11"/>
      <c r="N34513" s="11"/>
      <c r="O34513" s="11"/>
      <c r="P34513" s="11"/>
    </row>
    <row r="34514" spans="8:16" x14ac:dyDescent="0.25">
      <c r="H34514" s="12"/>
      <c r="I34514" s="12"/>
      <c r="J34514" s="12"/>
      <c r="K34514" s="12"/>
      <c r="L34514" s="12"/>
      <c r="M34514" s="11"/>
      <c r="N34514" s="11"/>
      <c r="O34514" s="11"/>
      <c r="P34514" s="11"/>
    </row>
    <row r="34515" spans="8:16" x14ac:dyDescent="0.25">
      <c r="H34515" s="12"/>
      <c r="I34515" s="12"/>
      <c r="J34515" s="12"/>
      <c r="K34515" s="12"/>
      <c r="L34515" s="12"/>
      <c r="M34515" s="11"/>
      <c r="N34515" s="11"/>
      <c r="O34515" s="11"/>
      <c r="P34515" s="11"/>
    </row>
    <row r="34516" spans="8:16" x14ac:dyDescent="0.25">
      <c r="H34516" s="12"/>
      <c r="I34516" s="12"/>
      <c r="J34516" s="12"/>
      <c r="K34516" s="12"/>
      <c r="L34516" s="12"/>
      <c r="M34516" s="11"/>
      <c r="N34516" s="11"/>
      <c r="O34516" s="11"/>
      <c r="P34516" s="11"/>
    </row>
    <row r="34517" spans="8:16" x14ac:dyDescent="0.25">
      <c r="H34517" s="12"/>
      <c r="I34517" s="12"/>
      <c r="J34517" s="12"/>
      <c r="K34517" s="12"/>
      <c r="L34517" s="12"/>
      <c r="M34517" s="11"/>
      <c r="N34517" s="11"/>
      <c r="O34517" s="11"/>
      <c r="P34517" s="11"/>
    </row>
    <row r="34518" spans="8:16" x14ac:dyDescent="0.25">
      <c r="H34518" s="12"/>
      <c r="I34518" s="12"/>
      <c r="J34518" s="12"/>
      <c r="K34518" s="12"/>
      <c r="L34518" s="12"/>
      <c r="M34518" s="11"/>
      <c r="N34518" s="11"/>
      <c r="O34518" s="11"/>
      <c r="P34518" s="11"/>
    </row>
    <row r="34519" spans="8:16" x14ac:dyDescent="0.25">
      <c r="H34519" s="12"/>
      <c r="I34519" s="12"/>
      <c r="J34519" s="12"/>
      <c r="K34519" s="12"/>
      <c r="L34519" s="12"/>
      <c r="M34519" s="11"/>
      <c r="N34519" s="11"/>
      <c r="O34519" s="11"/>
      <c r="P34519" s="11"/>
    </row>
    <row r="34520" spans="8:16" x14ac:dyDescent="0.25">
      <c r="H34520" s="12"/>
      <c r="I34520" s="12"/>
      <c r="J34520" s="12"/>
      <c r="K34520" s="12"/>
      <c r="L34520" s="12"/>
      <c r="M34520" s="11"/>
      <c r="N34520" s="11"/>
      <c r="O34520" s="11"/>
      <c r="P34520" s="11"/>
    </row>
    <row r="34521" spans="8:16" x14ac:dyDescent="0.25">
      <c r="H34521" s="12"/>
      <c r="I34521" s="12"/>
      <c r="J34521" s="12"/>
      <c r="K34521" s="12"/>
      <c r="L34521" s="12"/>
      <c r="M34521" s="11"/>
      <c r="N34521" s="11"/>
      <c r="O34521" s="11"/>
      <c r="P34521" s="11"/>
    </row>
    <row r="34522" spans="8:16" x14ac:dyDescent="0.25">
      <c r="H34522" s="12"/>
      <c r="I34522" s="12"/>
      <c r="J34522" s="12"/>
      <c r="K34522" s="12"/>
      <c r="L34522" s="12"/>
      <c r="M34522" s="11"/>
      <c r="N34522" s="11"/>
      <c r="O34522" s="11"/>
      <c r="P34522" s="11"/>
    </row>
    <row r="34523" spans="8:16" x14ac:dyDescent="0.25">
      <c r="H34523" s="12"/>
      <c r="I34523" s="12"/>
      <c r="J34523" s="12"/>
      <c r="K34523" s="12"/>
      <c r="L34523" s="12"/>
      <c r="M34523" s="11"/>
      <c r="N34523" s="11"/>
      <c r="O34523" s="11"/>
      <c r="P34523" s="11"/>
    </row>
    <row r="34524" spans="8:16" x14ac:dyDescent="0.25">
      <c r="H34524" s="12"/>
      <c r="I34524" s="12"/>
      <c r="J34524" s="12"/>
      <c r="K34524" s="12"/>
      <c r="L34524" s="12"/>
      <c r="M34524" s="11"/>
      <c r="N34524" s="11"/>
      <c r="O34524" s="11"/>
      <c r="P34524" s="11"/>
    </row>
    <row r="34525" spans="8:16" x14ac:dyDescent="0.25">
      <c r="H34525" s="12"/>
      <c r="I34525" s="12"/>
      <c r="J34525" s="12"/>
      <c r="K34525" s="12"/>
      <c r="L34525" s="12"/>
      <c r="M34525" s="11"/>
      <c r="N34525" s="11"/>
      <c r="O34525" s="11"/>
      <c r="P34525" s="11"/>
    </row>
    <row r="34526" spans="8:16" x14ac:dyDescent="0.25">
      <c r="H34526" s="12"/>
      <c r="I34526" s="12"/>
      <c r="J34526" s="12"/>
      <c r="K34526" s="12"/>
      <c r="L34526" s="12"/>
      <c r="M34526" s="11"/>
      <c r="N34526" s="11"/>
      <c r="O34526" s="11"/>
      <c r="P34526" s="11"/>
    </row>
    <row r="34527" spans="8:16" x14ac:dyDescent="0.25">
      <c r="H34527" s="12"/>
      <c r="I34527" s="12"/>
      <c r="J34527" s="12"/>
      <c r="K34527" s="12"/>
      <c r="L34527" s="12"/>
      <c r="M34527" s="11"/>
      <c r="N34527" s="11"/>
      <c r="O34527" s="11"/>
      <c r="P34527" s="11"/>
    </row>
    <row r="34528" spans="8:16" x14ac:dyDescent="0.25">
      <c r="H34528" s="12"/>
      <c r="I34528" s="12"/>
      <c r="J34528" s="12"/>
      <c r="K34528" s="12"/>
      <c r="L34528" s="12"/>
      <c r="M34528" s="11"/>
      <c r="N34528" s="11"/>
      <c r="O34528" s="11"/>
      <c r="P34528" s="11"/>
    </row>
    <row r="34529" spans="8:16" x14ac:dyDescent="0.25">
      <c r="H34529" s="12"/>
      <c r="I34529" s="12"/>
      <c r="J34529" s="12"/>
      <c r="K34529" s="12"/>
      <c r="L34529" s="12"/>
      <c r="M34529" s="11"/>
      <c r="N34529" s="11"/>
      <c r="O34529" s="11"/>
      <c r="P34529" s="11"/>
    </row>
    <row r="34530" spans="8:16" x14ac:dyDescent="0.25">
      <c r="H34530" s="12"/>
      <c r="I34530" s="12"/>
      <c r="J34530" s="12"/>
      <c r="K34530" s="12"/>
      <c r="L34530" s="12"/>
      <c r="M34530" s="11"/>
      <c r="N34530" s="11"/>
      <c r="O34530" s="11"/>
      <c r="P34530" s="11"/>
    </row>
    <row r="34531" spans="8:16" x14ac:dyDescent="0.25">
      <c r="H34531" s="12"/>
      <c r="I34531" s="12"/>
      <c r="J34531" s="12"/>
      <c r="K34531" s="12"/>
      <c r="L34531" s="12"/>
      <c r="M34531" s="11"/>
      <c r="N34531" s="11"/>
      <c r="O34531" s="11"/>
      <c r="P34531" s="11"/>
    </row>
    <row r="34532" spans="8:16" x14ac:dyDescent="0.25">
      <c r="H34532" s="12"/>
      <c r="I34532" s="12"/>
      <c r="J34532" s="12"/>
      <c r="K34532" s="12"/>
      <c r="L34532" s="12"/>
      <c r="M34532" s="11"/>
      <c r="N34532" s="11"/>
      <c r="O34532" s="11"/>
      <c r="P34532" s="11"/>
    </row>
    <row r="34533" spans="8:16" x14ac:dyDescent="0.25">
      <c r="H34533" s="12"/>
      <c r="I34533" s="12"/>
      <c r="J34533" s="12"/>
      <c r="K34533" s="12"/>
      <c r="L34533" s="12"/>
      <c r="M34533" s="11"/>
      <c r="N34533" s="11"/>
      <c r="O34533" s="11"/>
      <c r="P34533" s="11"/>
    </row>
    <row r="34534" spans="8:16" x14ac:dyDescent="0.25">
      <c r="H34534" s="12"/>
      <c r="I34534" s="12"/>
      <c r="J34534" s="12"/>
      <c r="K34534" s="12"/>
      <c r="L34534" s="12"/>
      <c r="M34534" s="11"/>
      <c r="N34534" s="11"/>
      <c r="O34534" s="11"/>
      <c r="P34534" s="11"/>
    </row>
    <row r="34535" spans="8:16" x14ac:dyDescent="0.25">
      <c r="H34535" s="12"/>
      <c r="I34535" s="12"/>
      <c r="J34535" s="12"/>
      <c r="K34535" s="12"/>
      <c r="L34535" s="12"/>
      <c r="M34535" s="11"/>
      <c r="N34535" s="11"/>
      <c r="O34535" s="11"/>
      <c r="P34535" s="11"/>
    </row>
    <row r="34536" spans="8:16" x14ac:dyDescent="0.25">
      <c r="H34536" s="12"/>
      <c r="I34536" s="12"/>
      <c r="J34536" s="12"/>
      <c r="K34536" s="12"/>
      <c r="L34536" s="12"/>
      <c r="M34536" s="11"/>
      <c r="N34536" s="11"/>
      <c r="O34536" s="11"/>
      <c r="P34536" s="11"/>
    </row>
    <row r="34537" spans="8:16" x14ac:dyDescent="0.25">
      <c r="H34537" s="12"/>
      <c r="I34537" s="12"/>
      <c r="J34537" s="12"/>
      <c r="K34537" s="12"/>
      <c r="L34537" s="12"/>
      <c r="M34537" s="11"/>
      <c r="N34537" s="11"/>
      <c r="O34537" s="11"/>
      <c r="P34537" s="11"/>
    </row>
    <row r="34538" spans="8:16" x14ac:dyDescent="0.25">
      <c r="H34538" s="12"/>
      <c r="I34538" s="12"/>
      <c r="J34538" s="12"/>
      <c r="K34538" s="12"/>
      <c r="L34538" s="12"/>
      <c r="M34538" s="11"/>
      <c r="N34538" s="11"/>
      <c r="O34538" s="11"/>
      <c r="P34538" s="11"/>
    </row>
    <row r="34539" spans="8:16" x14ac:dyDescent="0.25">
      <c r="H34539" s="12"/>
      <c r="I34539" s="12"/>
      <c r="J34539" s="12"/>
      <c r="K34539" s="12"/>
      <c r="L34539" s="12"/>
      <c r="M34539" s="11"/>
      <c r="N34539" s="11"/>
      <c r="O34539" s="11"/>
      <c r="P34539" s="11"/>
    </row>
    <row r="34540" spans="8:16" x14ac:dyDescent="0.25">
      <c r="H34540" s="12"/>
      <c r="I34540" s="12"/>
      <c r="J34540" s="12"/>
      <c r="K34540" s="12"/>
      <c r="L34540" s="12"/>
      <c r="M34540" s="11"/>
      <c r="N34540" s="11"/>
      <c r="O34540" s="11"/>
      <c r="P34540" s="11"/>
    </row>
    <row r="34541" spans="8:16" x14ac:dyDescent="0.25">
      <c r="H34541" s="12"/>
      <c r="I34541" s="12"/>
      <c r="J34541" s="12"/>
      <c r="K34541" s="12"/>
      <c r="L34541" s="12"/>
      <c r="M34541" s="11"/>
      <c r="N34541" s="11"/>
      <c r="O34541" s="11"/>
      <c r="P34541" s="11"/>
    </row>
    <row r="34542" spans="8:16" x14ac:dyDescent="0.25">
      <c r="H34542" s="12"/>
      <c r="I34542" s="12"/>
      <c r="J34542" s="12"/>
      <c r="K34542" s="12"/>
      <c r="L34542" s="12"/>
      <c r="M34542" s="11"/>
      <c r="N34542" s="11"/>
      <c r="O34542" s="11"/>
      <c r="P34542" s="11"/>
    </row>
    <row r="34543" spans="8:16" x14ac:dyDescent="0.25">
      <c r="H34543" s="12"/>
      <c r="I34543" s="12"/>
      <c r="J34543" s="12"/>
      <c r="K34543" s="12"/>
      <c r="L34543" s="12"/>
      <c r="M34543" s="11"/>
      <c r="N34543" s="11"/>
      <c r="O34543" s="11"/>
      <c r="P34543" s="11"/>
    </row>
    <row r="34544" spans="8:16" x14ac:dyDescent="0.25">
      <c r="H34544" s="12"/>
      <c r="I34544" s="12"/>
      <c r="J34544" s="12"/>
      <c r="K34544" s="12"/>
      <c r="L34544" s="12"/>
      <c r="M34544" s="11"/>
      <c r="N34544" s="11"/>
      <c r="O34544" s="11"/>
      <c r="P34544" s="11"/>
    </row>
    <row r="34545" spans="8:16" x14ac:dyDescent="0.25">
      <c r="H34545" s="12"/>
      <c r="I34545" s="12"/>
      <c r="J34545" s="12"/>
      <c r="K34545" s="12"/>
      <c r="L34545" s="12"/>
      <c r="M34545" s="11"/>
      <c r="N34545" s="11"/>
      <c r="O34545" s="11"/>
      <c r="P34545" s="11"/>
    </row>
    <row r="34546" spans="8:16" x14ac:dyDescent="0.25">
      <c r="H34546" s="12"/>
      <c r="I34546" s="12"/>
      <c r="J34546" s="12"/>
      <c r="K34546" s="12"/>
      <c r="L34546" s="12"/>
      <c r="M34546" s="11"/>
      <c r="N34546" s="11"/>
      <c r="O34546" s="11"/>
      <c r="P34546" s="11"/>
    </row>
    <row r="34547" spans="8:16" x14ac:dyDescent="0.25">
      <c r="H34547" s="12"/>
      <c r="I34547" s="12"/>
      <c r="J34547" s="12"/>
      <c r="K34547" s="12"/>
      <c r="L34547" s="12"/>
      <c r="M34547" s="11"/>
      <c r="N34547" s="11"/>
      <c r="O34547" s="11"/>
      <c r="P34547" s="11"/>
    </row>
    <row r="34548" spans="8:16" x14ac:dyDescent="0.25">
      <c r="H34548" s="12"/>
      <c r="I34548" s="12"/>
      <c r="J34548" s="12"/>
      <c r="K34548" s="12"/>
      <c r="L34548" s="12"/>
      <c r="M34548" s="11"/>
      <c r="N34548" s="11"/>
      <c r="O34548" s="11"/>
      <c r="P34548" s="11"/>
    </row>
    <row r="34549" spans="8:16" x14ac:dyDescent="0.25">
      <c r="H34549" s="12"/>
      <c r="I34549" s="12"/>
      <c r="J34549" s="12"/>
      <c r="K34549" s="12"/>
      <c r="L34549" s="12"/>
      <c r="M34549" s="11"/>
      <c r="N34549" s="11"/>
      <c r="O34549" s="11"/>
      <c r="P34549" s="11"/>
    </row>
    <row r="34550" spans="8:16" x14ac:dyDescent="0.25">
      <c r="H34550" s="12"/>
      <c r="I34550" s="12"/>
      <c r="J34550" s="12"/>
      <c r="K34550" s="12"/>
      <c r="L34550" s="12"/>
      <c r="M34550" s="11"/>
      <c r="N34550" s="11"/>
      <c r="O34550" s="11"/>
      <c r="P34550" s="11"/>
    </row>
    <row r="34551" spans="8:16" x14ac:dyDescent="0.25">
      <c r="H34551" s="12"/>
      <c r="I34551" s="12"/>
      <c r="J34551" s="12"/>
      <c r="K34551" s="12"/>
      <c r="L34551" s="12"/>
      <c r="M34551" s="11"/>
      <c r="N34551" s="11"/>
      <c r="O34551" s="11"/>
      <c r="P34551" s="11"/>
    </row>
    <row r="34552" spans="8:16" x14ac:dyDescent="0.25">
      <c r="H34552" s="12"/>
      <c r="I34552" s="12"/>
      <c r="J34552" s="12"/>
      <c r="K34552" s="12"/>
      <c r="L34552" s="12"/>
      <c r="M34552" s="11"/>
      <c r="N34552" s="11"/>
      <c r="O34552" s="11"/>
      <c r="P34552" s="11"/>
    </row>
    <row r="34553" spans="8:16" x14ac:dyDescent="0.25">
      <c r="H34553" s="12"/>
      <c r="I34553" s="12"/>
      <c r="J34553" s="12"/>
      <c r="K34553" s="12"/>
      <c r="L34553" s="12"/>
      <c r="M34553" s="11"/>
      <c r="N34553" s="11"/>
      <c r="O34553" s="11"/>
      <c r="P34553" s="11"/>
    </row>
    <row r="34554" spans="8:16" x14ac:dyDescent="0.25">
      <c r="H34554" s="12"/>
      <c r="I34554" s="12"/>
      <c r="J34554" s="12"/>
      <c r="K34554" s="12"/>
      <c r="L34554" s="12"/>
      <c r="M34554" s="11"/>
      <c r="N34554" s="11"/>
      <c r="O34554" s="11"/>
      <c r="P34554" s="11"/>
    </row>
    <row r="34555" spans="8:16" x14ac:dyDescent="0.25">
      <c r="H34555" s="12"/>
      <c r="I34555" s="12"/>
      <c r="J34555" s="12"/>
      <c r="K34555" s="12"/>
      <c r="L34555" s="12"/>
      <c r="M34555" s="11"/>
      <c r="N34555" s="11"/>
      <c r="O34555" s="11"/>
      <c r="P34555" s="11"/>
    </row>
    <row r="34556" spans="8:16" x14ac:dyDescent="0.25">
      <c r="H34556" s="12"/>
      <c r="I34556" s="12"/>
      <c r="J34556" s="12"/>
      <c r="K34556" s="12"/>
      <c r="L34556" s="12"/>
      <c r="M34556" s="11"/>
      <c r="N34556" s="11"/>
      <c r="O34556" s="11"/>
      <c r="P34556" s="11"/>
    </row>
    <row r="34557" spans="8:16" x14ac:dyDescent="0.25">
      <c r="H34557" s="12"/>
      <c r="I34557" s="12"/>
      <c r="J34557" s="12"/>
      <c r="K34557" s="12"/>
      <c r="L34557" s="12"/>
      <c r="M34557" s="11"/>
      <c r="N34557" s="11"/>
      <c r="O34557" s="11"/>
      <c r="P34557" s="11"/>
    </row>
    <row r="34558" spans="8:16" x14ac:dyDescent="0.25">
      <c r="H34558" s="12"/>
      <c r="I34558" s="12"/>
      <c r="J34558" s="12"/>
      <c r="K34558" s="12"/>
      <c r="L34558" s="12"/>
      <c r="M34558" s="11"/>
      <c r="N34558" s="11"/>
      <c r="O34558" s="11"/>
      <c r="P34558" s="11"/>
    </row>
    <row r="34559" spans="8:16" x14ac:dyDescent="0.25">
      <c r="H34559" s="12"/>
      <c r="I34559" s="12"/>
      <c r="J34559" s="12"/>
      <c r="K34559" s="12"/>
      <c r="L34559" s="12"/>
      <c r="M34559" s="11"/>
      <c r="N34559" s="11"/>
      <c r="O34559" s="11"/>
      <c r="P34559" s="11"/>
    </row>
    <row r="34560" spans="8:16" x14ac:dyDescent="0.25">
      <c r="H34560" s="12"/>
      <c r="I34560" s="12"/>
      <c r="J34560" s="12"/>
      <c r="K34560" s="12"/>
      <c r="L34560" s="12"/>
      <c r="M34560" s="11"/>
      <c r="N34560" s="11"/>
      <c r="O34560" s="11"/>
      <c r="P34560" s="11"/>
    </row>
    <row r="34561" spans="8:16" x14ac:dyDescent="0.25">
      <c r="H34561" s="12"/>
      <c r="I34561" s="12"/>
      <c r="J34561" s="12"/>
      <c r="K34561" s="12"/>
      <c r="L34561" s="12"/>
      <c r="M34561" s="11"/>
      <c r="N34561" s="11"/>
      <c r="O34561" s="11"/>
      <c r="P34561" s="11"/>
    </row>
    <row r="34562" spans="8:16" x14ac:dyDescent="0.25">
      <c r="H34562" s="12"/>
      <c r="I34562" s="12"/>
      <c r="J34562" s="12"/>
      <c r="K34562" s="12"/>
      <c r="L34562" s="12"/>
      <c r="M34562" s="11"/>
      <c r="N34562" s="11"/>
      <c r="O34562" s="11"/>
      <c r="P34562" s="11"/>
    </row>
    <row r="34563" spans="8:16" x14ac:dyDescent="0.25">
      <c r="H34563" s="12"/>
      <c r="I34563" s="12"/>
      <c r="J34563" s="12"/>
      <c r="K34563" s="12"/>
      <c r="L34563" s="12"/>
      <c r="M34563" s="11"/>
      <c r="N34563" s="11"/>
      <c r="O34563" s="11"/>
      <c r="P34563" s="11"/>
    </row>
    <row r="34564" spans="8:16" x14ac:dyDescent="0.25">
      <c r="H34564" s="12"/>
      <c r="I34564" s="12"/>
      <c r="J34564" s="12"/>
      <c r="K34564" s="12"/>
      <c r="L34564" s="12"/>
      <c r="M34564" s="11"/>
      <c r="N34564" s="11"/>
      <c r="O34564" s="11"/>
      <c r="P34564" s="11"/>
    </row>
    <row r="34565" spans="8:16" x14ac:dyDescent="0.25">
      <c r="H34565" s="12"/>
      <c r="I34565" s="12"/>
      <c r="J34565" s="12"/>
      <c r="K34565" s="12"/>
      <c r="L34565" s="12"/>
      <c r="M34565" s="11"/>
      <c r="N34565" s="11"/>
      <c r="O34565" s="11"/>
      <c r="P34565" s="11"/>
    </row>
    <row r="34566" spans="8:16" x14ac:dyDescent="0.25">
      <c r="H34566" s="12"/>
      <c r="I34566" s="12"/>
      <c r="J34566" s="12"/>
      <c r="K34566" s="12"/>
      <c r="L34566" s="12"/>
      <c r="M34566" s="11"/>
      <c r="N34566" s="11"/>
      <c r="O34566" s="11"/>
      <c r="P34566" s="11"/>
    </row>
    <row r="34567" spans="8:16" x14ac:dyDescent="0.25">
      <c r="H34567" s="12"/>
      <c r="I34567" s="12"/>
      <c r="J34567" s="12"/>
      <c r="K34567" s="12"/>
      <c r="L34567" s="12"/>
      <c r="M34567" s="11"/>
      <c r="N34567" s="11"/>
      <c r="O34567" s="11"/>
      <c r="P34567" s="11"/>
    </row>
    <row r="34568" spans="8:16" x14ac:dyDescent="0.25">
      <c r="H34568" s="12"/>
      <c r="I34568" s="12"/>
      <c r="J34568" s="12"/>
      <c r="K34568" s="12"/>
      <c r="L34568" s="12"/>
      <c r="M34568" s="11"/>
      <c r="N34568" s="11"/>
      <c r="O34568" s="11"/>
      <c r="P34568" s="11"/>
    </row>
    <row r="34569" spans="8:16" x14ac:dyDescent="0.25">
      <c r="H34569" s="12"/>
      <c r="I34569" s="12"/>
      <c r="J34569" s="12"/>
      <c r="K34569" s="12"/>
      <c r="L34569" s="12"/>
      <c r="M34569" s="11"/>
      <c r="N34569" s="11"/>
      <c r="O34569" s="11"/>
      <c r="P34569" s="11"/>
    </row>
    <row r="34570" spans="8:16" x14ac:dyDescent="0.25">
      <c r="H34570" s="12"/>
      <c r="I34570" s="12"/>
      <c r="J34570" s="12"/>
      <c r="K34570" s="12"/>
      <c r="L34570" s="12"/>
      <c r="M34570" s="11"/>
      <c r="N34570" s="11"/>
      <c r="O34570" s="11"/>
      <c r="P34570" s="11"/>
    </row>
    <row r="34571" spans="8:16" x14ac:dyDescent="0.25">
      <c r="H34571" s="12"/>
      <c r="I34571" s="12"/>
      <c r="J34571" s="12"/>
      <c r="K34571" s="12"/>
      <c r="L34571" s="12"/>
      <c r="M34571" s="11"/>
      <c r="N34571" s="11"/>
      <c r="O34571" s="11"/>
      <c r="P34571" s="11"/>
    </row>
    <row r="34572" spans="8:16" x14ac:dyDescent="0.25">
      <c r="H34572" s="12"/>
      <c r="I34572" s="12"/>
      <c r="J34572" s="12"/>
      <c r="K34572" s="12"/>
      <c r="L34572" s="12"/>
      <c r="M34572" s="11"/>
      <c r="N34572" s="11"/>
      <c r="O34572" s="11"/>
      <c r="P34572" s="11"/>
    </row>
    <row r="34573" spans="8:16" x14ac:dyDescent="0.25">
      <c r="H34573" s="12"/>
      <c r="I34573" s="12"/>
      <c r="J34573" s="12"/>
      <c r="K34573" s="12"/>
      <c r="L34573" s="12"/>
      <c r="M34573" s="11"/>
      <c r="N34573" s="11"/>
      <c r="O34573" s="11"/>
      <c r="P34573" s="11"/>
    </row>
    <row r="34574" spans="8:16" x14ac:dyDescent="0.25">
      <c r="H34574" s="12"/>
      <c r="I34574" s="12"/>
      <c r="J34574" s="12"/>
      <c r="K34574" s="12"/>
      <c r="L34574" s="12"/>
      <c r="M34574" s="11"/>
      <c r="N34574" s="11"/>
      <c r="O34574" s="11"/>
      <c r="P34574" s="11"/>
    </row>
    <row r="34575" spans="8:16" x14ac:dyDescent="0.25">
      <c r="H34575" s="12"/>
      <c r="I34575" s="12"/>
      <c r="J34575" s="12"/>
      <c r="K34575" s="12"/>
      <c r="L34575" s="12"/>
      <c r="M34575" s="11"/>
      <c r="N34575" s="11"/>
      <c r="O34575" s="11"/>
      <c r="P34575" s="11"/>
    </row>
    <row r="34576" spans="8:16" x14ac:dyDescent="0.25">
      <c r="H34576" s="12"/>
      <c r="I34576" s="12"/>
      <c r="J34576" s="12"/>
      <c r="K34576" s="12"/>
      <c r="L34576" s="12"/>
      <c r="M34576" s="11"/>
      <c r="N34576" s="11"/>
      <c r="O34576" s="11"/>
      <c r="P34576" s="11"/>
    </row>
    <row r="34577" spans="8:16" x14ac:dyDescent="0.25">
      <c r="H34577" s="12"/>
      <c r="I34577" s="12"/>
      <c r="J34577" s="12"/>
      <c r="K34577" s="12"/>
      <c r="L34577" s="12"/>
      <c r="M34577" s="11"/>
      <c r="N34577" s="11"/>
      <c r="O34577" s="11"/>
      <c r="P34577" s="11"/>
    </row>
    <row r="34578" spans="8:16" x14ac:dyDescent="0.25">
      <c r="H34578" s="12"/>
      <c r="I34578" s="12"/>
      <c r="J34578" s="12"/>
      <c r="K34578" s="12"/>
      <c r="L34578" s="12"/>
      <c r="M34578" s="11"/>
      <c r="N34578" s="11"/>
      <c r="O34578" s="11"/>
      <c r="P34578" s="11"/>
    </row>
    <row r="34579" spans="8:16" x14ac:dyDescent="0.25">
      <c r="H34579" s="12"/>
      <c r="I34579" s="12"/>
      <c r="J34579" s="12"/>
      <c r="K34579" s="12"/>
      <c r="L34579" s="12"/>
      <c r="M34579" s="11"/>
      <c r="N34579" s="11"/>
      <c r="O34579" s="11"/>
      <c r="P34579" s="11"/>
    </row>
    <row r="34580" spans="8:16" x14ac:dyDescent="0.25">
      <c r="H34580" s="12"/>
      <c r="I34580" s="12"/>
      <c r="J34580" s="12"/>
      <c r="K34580" s="12"/>
      <c r="L34580" s="12"/>
      <c r="M34580" s="11"/>
      <c r="N34580" s="11"/>
      <c r="O34580" s="11"/>
      <c r="P34580" s="11"/>
    </row>
    <row r="34581" spans="8:16" x14ac:dyDescent="0.25">
      <c r="H34581" s="12"/>
      <c r="I34581" s="12"/>
      <c r="J34581" s="12"/>
      <c r="K34581" s="12"/>
      <c r="L34581" s="12"/>
      <c r="M34581" s="11"/>
      <c r="N34581" s="11"/>
      <c r="O34581" s="11"/>
      <c r="P34581" s="11"/>
    </row>
    <row r="34582" spans="8:16" x14ac:dyDescent="0.25">
      <c r="H34582" s="12"/>
      <c r="I34582" s="12"/>
      <c r="J34582" s="12"/>
      <c r="K34582" s="12"/>
      <c r="L34582" s="12"/>
      <c r="M34582" s="11"/>
      <c r="N34582" s="11"/>
      <c r="O34582" s="11"/>
      <c r="P34582" s="11"/>
    </row>
    <row r="34583" spans="8:16" x14ac:dyDescent="0.25">
      <c r="H34583" s="12"/>
      <c r="I34583" s="12"/>
      <c r="J34583" s="12"/>
      <c r="K34583" s="12"/>
      <c r="L34583" s="12"/>
      <c r="M34583" s="11"/>
      <c r="N34583" s="11"/>
      <c r="O34583" s="11"/>
      <c r="P34583" s="11"/>
    </row>
    <row r="34584" spans="8:16" x14ac:dyDescent="0.25">
      <c r="H34584" s="12"/>
      <c r="I34584" s="12"/>
      <c r="J34584" s="12"/>
      <c r="K34584" s="12"/>
      <c r="L34584" s="12"/>
      <c r="M34584" s="11"/>
      <c r="N34584" s="11"/>
      <c r="O34584" s="11"/>
      <c r="P34584" s="11"/>
    </row>
    <row r="34585" spans="8:16" x14ac:dyDescent="0.25">
      <c r="H34585" s="12"/>
      <c r="I34585" s="12"/>
      <c r="J34585" s="12"/>
      <c r="K34585" s="12"/>
      <c r="L34585" s="12"/>
      <c r="M34585" s="11"/>
      <c r="N34585" s="11"/>
      <c r="O34585" s="11"/>
      <c r="P34585" s="11"/>
    </row>
    <row r="34586" spans="8:16" x14ac:dyDescent="0.25">
      <c r="H34586" s="12"/>
      <c r="I34586" s="12"/>
      <c r="J34586" s="12"/>
      <c r="K34586" s="12"/>
      <c r="L34586" s="12"/>
      <c r="M34586" s="11"/>
      <c r="N34586" s="11"/>
      <c r="O34586" s="11"/>
      <c r="P34586" s="11"/>
    </row>
    <row r="34587" spans="8:16" x14ac:dyDescent="0.25">
      <c r="H34587" s="12"/>
      <c r="I34587" s="12"/>
      <c r="J34587" s="12"/>
      <c r="K34587" s="12"/>
      <c r="L34587" s="12"/>
      <c r="M34587" s="11"/>
      <c r="N34587" s="11"/>
      <c r="O34587" s="11"/>
      <c r="P34587" s="11"/>
    </row>
    <row r="34588" spans="8:16" x14ac:dyDescent="0.25">
      <c r="H34588" s="12"/>
      <c r="I34588" s="12"/>
      <c r="J34588" s="12"/>
      <c r="K34588" s="12"/>
      <c r="L34588" s="12"/>
      <c r="M34588" s="11"/>
      <c r="N34588" s="11"/>
      <c r="O34588" s="11"/>
      <c r="P34588" s="11"/>
    </row>
    <row r="34589" spans="8:16" x14ac:dyDescent="0.25">
      <c r="H34589" s="12"/>
      <c r="I34589" s="12"/>
      <c r="J34589" s="12"/>
      <c r="K34589" s="12"/>
      <c r="L34589" s="12"/>
      <c r="M34589" s="11"/>
      <c r="N34589" s="11"/>
      <c r="O34589" s="11"/>
      <c r="P34589" s="11"/>
    </row>
    <row r="34590" spans="8:16" x14ac:dyDescent="0.25">
      <c r="H34590" s="12"/>
      <c r="I34590" s="12"/>
      <c r="J34590" s="12"/>
      <c r="K34590" s="12"/>
      <c r="L34590" s="12"/>
      <c r="M34590" s="11"/>
      <c r="N34590" s="11"/>
      <c r="O34590" s="11"/>
      <c r="P34590" s="11"/>
    </row>
    <row r="34591" spans="8:16" x14ac:dyDescent="0.25">
      <c r="H34591" s="12"/>
      <c r="I34591" s="12"/>
      <c r="J34591" s="12"/>
      <c r="K34591" s="12"/>
      <c r="L34591" s="12"/>
      <c r="M34591" s="11"/>
      <c r="N34591" s="11"/>
      <c r="O34591" s="11"/>
      <c r="P34591" s="11"/>
    </row>
    <row r="34592" spans="8:16" x14ac:dyDescent="0.25">
      <c r="H34592" s="12"/>
      <c r="I34592" s="12"/>
      <c r="J34592" s="12"/>
      <c r="K34592" s="12"/>
      <c r="L34592" s="12"/>
      <c r="M34592" s="11"/>
      <c r="N34592" s="11"/>
      <c r="O34592" s="11"/>
      <c r="P34592" s="11"/>
    </row>
    <row r="34593" spans="8:16" x14ac:dyDescent="0.25">
      <c r="H34593" s="12"/>
      <c r="I34593" s="12"/>
      <c r="J34593" s="12"/>
      <c r="K34593" s="12"/>
      <c r="L34593" s="12"/>
      <c r="M34593" s="11"/>
      <c r="N34593" s="11"/>
      <c r="O34593" s="11"/>
      <c r="P34593" s="11"/>
    </row>
    <row r="34594" spans="8:16" x14ac:dyDescent="0.25">
      <c r="H34594" s="12"/>
      <c r="I34594" s="12"/>
      <c r="J34594" s="12"/>
      <c r="K34594" s="12"/>
      <c r="L34594" s="12"/>
      <c r="M34594" s="11"/>
      <c r="N34594" s="11"/>
      <c r="O34594" s="11"/>
      <c r="P34594" s="11"/>
    </row>
    <row r="34595" spans="8:16" x14ac:dyDescent="0.25">
      <c r="H34595" s="12"/>
      <c r="I34595" s="12"/>
      <c r="J34595" s="12"/>
      <c r="K34595" s="12"/>
      <c r="L34595" s="12"/>
      <c r="M34595" s="11"/>
      <c r="N34595" s="11"/>
      <c r="O34595" s="11"/>
      <c r="P34595" s="11"/>
    </row>
    <row r="34596" spans="8:16" x14ac:dyDescent="0.25">
      <c r="H34596" s="12"/>
      <c r="I34596" s="12"/>
      <c r="J34596" s="12"/>
      <c r="K34596" s="12"/>
      <c r="L34596" s="12"/>
      <c r="M34596" s="11"/>
      <c r="N34596" s="11"/>
      <c r="O34596" s="11"/>
      <c r="P34596" s="11"/>
    </row>
    <row r="34597" spans="8:16" x14ac:dyDescent="0.25">
      <c r="H34597" s="12"/>
      <c r="I34597" s="12"/>
      <c r="J34597" s="12"/>
      <c r="K34597" s="12"/>
      <c r="L34597" s="12"/>
      <c r="M34597" s="11"/>
      <c r="N34597" s="11"/>
      <c r="O34597" s="11"/>
      <c r="P34597" s="11"/>
    </row>
    <row r="34598" spans="8:16" x14ac:dyDescent="0.25">
      <c r="H34598" s="12"/>
      <c r="I34598" s="12"/>
      <c r="J34598" s="12"/>
      <c r="K34598" s="12"/>
      <c r="L34598" s="12"/>
      <c r="M34598" s="11"/>
      <c r="N34598" s="11"/>
      <c r="O34598" s="11"/>
      <c r="P34598" s="11"/>
    </row>
    <row r="34599" spans="8:16" x14ac:dyDescent="0.25">
      <c r="H34599" s="12"/>
      <c r="I34599" s="12"/>
      <c r="J34599" s="12"/>
      <c r="K34599" s="12"/>
      <c r="L34599" s="12"/>
      <c r="M34599" s="11"/>
      <c r="N34599" s="11"/>
      <c r="O34599" s="11"/>
      <c r="P34599" s="11"/>
    </row>
    <row r="34600" spans="8:16" x14ac:dyDescent="0.25">
      <c r="H34600" s="12"/>
      <c r="I34600" s="12"/>
      <c r="J34600" s="12"/>
      <c r="K34600" s="12"/>
      <c r="L34600" s="12"/>
      <c r="M34600" s="11"/>
      <c r="N34600" s="11"/>
      <c r="O34600" s="11"/>
      <c r="P34600" s="11"/>
    </row>
    <row r="34601" spans="8:16" x14ac:dyDescent="0.25">
      <c r="H34601" s="12"/>
      <c r="I34601" s="12"/>
      <c r="J34601" s="12"/>
      <c r="K34601" s="12"/>
      <c r="L34601" s="12"/>
      <c r="M34601" s="11"/>
      <c r="N34601" s="11"/>
      <c r="O34601" s="11"/>
      <c r="P34601" s="11"/>
    </row>
    <row r="34602" spans="8:16" x14ac:dyDescent="0.25">
      <c r="H34602" s="12"/>
      <c r="I34602" s="12"/>
      <c r="J34602" s="12"/>
      <c r="K34602" s="12"/>
      <c r="L34602" s="12"/>
      <c r="M34602" s="11"/>
      <c r="N34602" s="11"/>
      <c r="O34602" s="11"/>
      <c r="P34602" s="11"/>
    </row>
    <row r="34603" spans="8:16" x14ac:dyDescent="0.25">
      <c r="H34603" s="12"/>
      <c r="I34603" s="12"/>
      <c r="J34603" s="12"/>
      <c r="K34603" s="12"/>
      <c r="L34603" s="12"/>
      <c r="M34603" s="11"/>
      <c r="N34603" s="11"/>
      <c r="O34603" s="11"/>
      <c r="P34603" s="11"/>
    </row>
    <row r="34604" spans="8:16" x14ac:dyDescent="0.25">
      <c r="H34604" s="12"/>
      <c r="I34604" s="12"/>
      <c r="J34604" s="12"/>
      <c r="K34604" s="12"/>
      <c r="L34604" s="12"/>
      <c r="M34604" s="11"/>
      <c r="N34604" s="11"/>
      <c r="O34604" s="11"/>
      <c r="P34604" s="11"/>
    </row>
    <row r="34605" spans="8:16" x14ac:dyDescent="0.25">
      <c r="H34605" s="12"/>
      <c r="I34605" s="12"/>
      <c r="J34605" s="12"/>
      <c r="K34605" s="12"/>
      <c r="L34605" s="12"/>
      <c r="M34605" s="11"/>
      <c r="N34605" s="11"/>
      <c r="O34605" s="11"/>
      <c r="P34605" s="11"/>
    </row>
    <row r="34606" spans="8:16" x14ac:dyDescent="0.25">
      <c r="H34606" s="12"/>
      <c r="I34606" s="12"/>
      <c r="J34606" s="12"/>
      <c r="K34606" s="12"/>
      <c r="L34606" s="12"/>
      <c r="M34606" s="11"/>
      <c r="N34606" s="11"/>
      <c r="O34606" s="11"/>
      <c r="P34606" s="11"/>
    </row>
    <row r="34607" spans="8:16" x14ac:dyDescent="0.25">
      <c r="H34607" s="12"/>
      <c r="I34607" s="12"/>
      <c r="J34607" s="12"/>
      <c r="K34607" s="12"/>
      <c r="L34607" s="12"/>
      <c r="M34607" s="11"/>
      <c r="N34607" s="11"/>
      <c r="O34607" s="11"/>
      <c r="P34607" s="11"/>
    </row>
    <row r="34608" spans="8:16" x14ac:dyDescent="0.25">
      <c r="H34608" s="12"/>
      <c r="I34608" s="12"/>
      <c r="J34608" s="12"/>
      <c r="K34608" s="12"/>
      <c r="L34608" s="12"/>
      <c r="M34608" s="11"/>
      <c r="N34608" s="11"/>
      <c r="O34608" s="11"/>
      <c r="P34608" s="11"/>
    </row>
    <row r="34609" spans="8:16" x14ac:dyDescent="0.25">
      <c r="H34609" s="12"/>
      <c r="I34609" s="12"/>
      <c r="J34609" s="12"/>
      <c r="K34609" s="12"/>
      <c r="L34609" s="12"/>
      <c r="M34609" s="11"/>
      <c r="N34609" s="11"/>
      <c r="O34609" s="11"/>
      <c r="P34609" s="11"/>
    </row>
    <row r="34610" spans="8:16" x14ac:dyDescent="0.25">
      <c r="H34610" s="12"/>
      <c r="I34610" s="12"/>
      <c r="J34610" s="12"/>
      <c r="K34610" s="12"/>
      <c r="L34610" s="12"/>
      <c r="M34610" s="11"/>
      <c r="N34610" s="11"/>
      <c r="O34610" s="11"/>
      <c r="P34610" s="11"/>
    </row>
    <row r="34611" spans="8:16" x14ac:dyDescent="0.25">
      <c r="H34611" s="12"/>
      <c r="I34611" s="12"/>
      <c r="J34611" s="12"/>
      <c r="K34611" s="12"/>
      <c r="L34611" s="12"/>
      <c r="M34611" s="11"/>
      <c r="N34611" s="11"/>
      <c r="O34611" s="11"/>
      <c r="P34611" s="11"/>
    </row>
    <row r="34612" spans="8:16" x14ac:dyDescent="0.25">
      <c r="H34612" s="12"/>
      <c r="I34612" s="12"/>
      <c r="J34612" s="12"/>
      <c r="K34612" s="12"/>
      <c r="L34612" s="12"/>
      <c r="M34612" s="11"/>
      <c r="N34612" s="11"/>
      <c r="O34612" s="11"/>
      <c r="P34612" s="11"/>
    </row>
    <row r="34613" spans="8:16" x14ac:dyDescent="0.25">
      <c r="H34613" s="12"/>
      <c r="I34613" s="12"/>
      <c r="J34613" s="12"/>
      <c r="K34613" s="12"/>
      <c r="L34613" s="12"/>
      <c r="M34613" s="11"/>
      <c r="N34613" s="11"/>
      <c r="O34613" s="11"/>
      <c r="P34613" s="11"/>
    </row>
    <row r="34614" spans="8:16" x14ac:dyDescent="0.25">
      <c r="H34614" s="12"/>
      <c r="I34614" s="12"/>
      <c r="J34614" s="12"/>
      <c r="K34614" s="12"/>
      <c r="L34614" s="12"/>
      <c r="M34614" s="11"/>
      <c r="N34614" s="11"/>
      <c r="O34614" s="11"/>
      <c r="P34614" s="11"/>
    </row>
    <row r="34615" spans="8:16" x14ac:dyDescent="0.25">
      <c r="H34615" s="12"/>
      <c r="I34615" s="12"/>
      <c r="J34615" s="12"/>
      <c r="K34615" s="12"/>
      <c r="L34615" s="12"/>
      <c r="M34615" s="11"/>
      <c r="N34615" s="11"/>
      <c r="O34615" s="11"/>
      <c r="P34615" s="11"/>
    </row>
    <row r="34616" spans="8:16" x14ac:dyDescent="0.25">
      <c r="H34616" s="12"/>
      <c r="I34616" s="12"/>
      <c r="J34616" s="12"/>
      <c r="K34616" s="12"/>
      <c r="L34616" s="12"/>
      <c r="M34616" s="11"/>
      <c r="N34616" s="11"/>
      <c r="O34616" s="11"/>
      <c r="P34616" s="11"/>
    </row>
    <row r="34617" spans="8:16" x14ac:dyDescent="0.25">
      <c r="H34617" s="12"/>
      <c r="I34617" s="12"/>
      <c r="J34617" s="12"/>
      <c r="K34617" s="12"/>
      <c r="L34617" s="12"/>
      <c r="M34617" s="11"/>
      <c r="N34617" s="11"/>
      <c r="O34617" s="11"/>
      <c r="P34617" s="11"/>
    </row>
    <row r="34618" spans="8:16" x14ac:dyDescent="0.25">
      <c r="H34618" s="12"/>
      <c r="I34618" s="12"/>
      <c r="J34618" s="12"/>
      <c r="K34618" s="12"/>
      <c r="L34618" s="12"/>
      <c r="M34618" s="11"/>
      <c r="N34618" s="11"/>
      <c r="O34618" s="11"/>
      <c r="P34618" s="11"/>
    </row>
    <row r="34619" spans="8:16" x14ac:dyDescent="0.25">
      <c r="H34619" s="12"/>
      <c r="I34619" s="12"/>
      <c r="J34619" s="12"/>
      <c r="K34619" s="12"/>
      <c r="L34619" s="12"/>
      <c r="M34619" s="11"/>
      <c r="N34619" s="11"/>
      <c r="O34619" s="11"/>
      <c r="P34619" s="11"/>
    </row>
    <row r="34620" spans="8:16" x14ac:dyDescent="0.25">
      <c r="H34620" s="12"/>
      <c r="I34620" s="12"/>
      <c r="J34620" s="12"/>
      <c r="K34620" s="12"/>
      <c r="L34620" s="12"/>
      <c r="M34620" s="11"/>
      <c r="N34620" s="11"/>
      <c r="O34620" s="11"/>
      <c r="P34620" s="11"/>
    </row>
    <row r="34621" spans="8:16" x14ac:dyDescent="0.25">
      <c r="H34621" s="12"/>
      <c r="I34621" s="12"/>
      <c r="J34621" s="12"/>
      <c r="K34621" s="12"/>
      <c r="L34621" s="12"/>
      <c r="M34621" s="11"/>
      <c r="N34621" s="11"/>
      <c r="O34621" s="11"/>
      <c r="P34621" s="11"/>
    </row>
    <row r="34622" spans="8:16" x14ac:dyDescent="0.25">
      <c r="H34622" s="12"/>
      <c r="I34622" s="12"/>
      <c r="J34622" s="12"/>
      <c r="K34622" s="12"/>
      <c r="L34622" s="12"/>
      <c r="M34622" s="11"/>
      <c r="N34622" s="11"/>
      <c r="O34622" s="11"/>
      <c r="P34622" s="11"/>
    </row>
    <row r="34623" spans="8:16" x14ac:dyDescent="0.25">
      <c r="H34623" s="12"/>
      <c r="I34623" s="12"/>
      <c r="J34623" s="12"/>
      <c r="K34623" s="12"/>
      <c r="L34623" s="12"/>
      <c r="M34623" s="11"/>
      <c r="N34623" s="11"/>
      <c r="O34623" s="11"/>
      <c r="P34623" s="11"/>
    </row>
    <row r="34624" spans="8:16" x14ac:dyDescent="0.25">
      <c r="H34624" s="12"/>
      <c r="I34624" s="12"/>
      <c r="J34624" s="12"/>
      <c r="K34624" s="12"/>
      <c r="L34624" s="12"/>
      <c r="M34624" s="11"/>
      <c r="N34624" s="11"/>
      <c r="O34624" s="11"/>
      <c r="P34624" s="11"/>
    </row>
    <row r="34625" spans="8:16" x14ac:dyDescent="0.25">
      <c r="H34625" s="12"/>
      <c r="I34625" s="12"/>
      <c r="J34625" s="12"/>
      <c r="K34625" s="12"/>
      <c r="L34625" s="12"/>
      <c r="M34625" s="11"/>
      <c r="N34625" s="11"/>
      <c r="O34625" s="11"/>
      <c r="P34625" s="11"/>
    </row>
    <row r="34626" spans="8:16" x14ac:dyDescent="0.25">
      <c r="H34626" s="12"/>
      <c r="I34626" s="12"/>
      <c r="J34626" s="12"/>
      <c r="K34626" s="12"/>
      <c r="L34626" s="12"/>
      <c r="M34626" s="11"/>
      <c r="N34626" s="11"/>
      <c r="O34626" s="11"/>
      <c r="P34626" s="11"/>
    </row>
    <row r="34627" spans="8:16" x14ac:dyDescent="0.25">
      <c r="H34627" s="12"/>
      <c r="I34627" s="12"/>
      <c r="J34627" s="12"/>
      <c r="K34627" s="12"/>
      <c r="L34627" s="12"/>
      <c r="M34627" s="11"/>
      <c r="N34627" s="11"/>
      <c r="O34627" s="11"/>
      <c r="P34627" s="11"/>
    </row>
    <row r="34628" spans="8:16" x14ac:dyDescent="0.25">
      <c r="H34628" s="12"/>
      <c r="I34628" s="12"/>
      <c r="J34628" s="12"/>
      <c r="K34628" s="12"/>
      <c r="L34628" s="12"/>
      <c r="M34628" s="11"/>
      <c r="N34628" s="11"/>
      <c r="O34628" s="11"/>
      <c r="P34628" s="11"/>
    </row>
    <row r="34629" spans="8:16" x14ac:dyDescent="0.25">
      <c r="H34629" s="12"/>
      <c r="I34629" s="12"/>
      <c r="J34629" s="12"/>
      <c r="K34629" s="12"/>
      <c r="L34629" s="12"/>
      <c r="M34629" s="11"/>
      <c r="N34629" s="11"/>
      <c r="O34629" s="11"/>
      <c r="P34629" s="11"/>
    </row>
    <row r="34630" spans="8:16" x14ac:dyDescent="0.25">
      <c r="H34630" s="12"/>
      <c r="I34630" s="12"/>
      <c r="J34630" s="12"/>
      <c r="K34630" s="12"/>
      <c r="L34630" s="12"/>
      <c r="M34630" s="11"/>
      <c r="N34630" s="11"/>
      <c r="O34630" s="11"/>
      <c r="P34630" s="11"/>
    </row>
    <row r="34631" spans="8:16" x14ac:dyDescent="0.25">
      <c r="H34631" s="12"/>
      <c r="I34631" s="12"/>
      <c r="J34631" s="12"/>
      <c r="K34631" s="12"/>
      <c r="L34631" s="12"/>
      <c r="M34631" s="11"/>
      <c r="N34631" s="11"/>
      <c r="O34631" s="11"/>
      <c r="P34631" s="11"/>
    </row>
    <row r="34632" spans="8:16" x14ac:dyDescent="0.25">
      <c r="H34632" s="12"/>
      <c r="I34632" s="12"/>
      <c r="J34632" s="12"/>
      <c r="K34632" s="12"/>
      <c r="L34632" s="12"/>
      <c r="M34632" s="11"/>
      <c r="N34632" s="11"/>
      <c r="O34632" s="11"/>
      <c r="P34632" s="11"/>
    </row>
    <row r="34633" spans="8:16" x14ac:dyDescent="0.25">
      <c r="H34633" s="12"/>
      <c r="I34633" s="12"/>
      <c r="J34633" s="12"/>
      <c r="K34633" s="12"/>
      <c r="L34633" s="12"/>
      <c r="M34633" s="11"/>
      <c r="N34633" s="11"/>
      <c r="O34633" s="11"/>
      <c r="P34633" s="11"/>
    </row>
    <row r="34634" spans="8:16" x14ac:dyDescent="0.25">
      <c r="H34634" s="12"/>
      <c r="I34634" s="12"/>
      <c r="J34634" s="12"/>
      <c r="K34634" s="12"/>
      <c r="L34634" s="12"/>
      <c r="M34634" s="11"/>
      <c r="N34634" s="11"/>
      <c r="O34634" s="11"/>
      <c r="P34634" s="11"/>
    </row>
    <row r="34635" spans="8:16" x14ac:dyDescent="0.25">
      <c r="H34635" s="12"/>
      <c r="I34635" s="12"/>
      <c r="J34635" s="12"/>
      <c r="K34635" s="12"/>
      <c r="L34635" s="12"/>
      <c r="M34635" s="11"/>
      <c r="N34635" s="11"/>
      <c r="O34635" s="11"/>
      <c r="P34635" s="11"/>
    </row>
    <row r="34636" spans="8:16" x14ac:dyDescent="0.25">
      <c r="H34636" s="12"/>
      <c r="I34636" s="12"/>
      <c r="J34636" s="12"/>
      <c r="K34636" s="12"/>
      <c r="L34636" s="12"/>
      <c r="M34636" s="11"/>
      <c r="N34636" s="11"/>
      <c r="O34636" s="11"/>
      <c r="P34636" s="11"/>
    </row>
    <row r="34637" spans="8:16" x14ac:dyDescent="0.25">
      <c r="H34637" s="12"/>
      <c r="I34637" s="12"/>
      <c r="J34637" s="12"/>
      <c r="K34637" s="12"/>
      <c r="L34637" s="12"/>
      <c r="M34637" s="11"/>
      <c r="N34637" s="11"/>
      <c r="O34637" s="11"/>
      <c r="P34637" s="11"/>
    </row>
    <row r="34638" spans="8:16" x14ac:dyDescent="0.25">
      <c r="H34638" s="12"/>
      <c r="I34638" s="12"/>
      <c r="J34638" s="12"/>
      <c r="K34638" s="12"/>
      <c r="L34638" s="12"/>
      <c r="M34638" s="11"/>
      <c r="N34638" s="11"/>
      <c r="O34638" s="11"/>
      <c r="P34638" s="11"/>
    </row>
    <row r="34639" spans="8:16" x14ac:dyDescent="0.25">
      <c r="H34639" s="12"/>
      <c r="I34639" s="12"/>
      <c r="J34639" s="12"/>
      <c r="K34639" s="12"/>
      <c r="L34639" s="12"/>
      <c r="M34639" s="11"/>
      <c r="N34639" s="11"/>
      <c r="O34639" s="11"/>
      <c r="P34639" s="11"/>
    </row>
    <row r="34640" spans="8:16" x14ac:dyDescent="0.25">
      <c r="H34640" s="12"/>
      <c r="I34640" s="12"/>
      <c r="J34640" s="12"/>
      <c r="K34640" s="12"/>
      <c r="L34640" s="12"/>
      <c r="M34640" s="11"/>
      <c r="N34640" s="11"/>
      <c r="O34640" s="11"/>
      <c r="P34640" s="11"/>
    </row>
    <row r="34641" spans="8:16" x14ac:dyDescent="0.25">
      <c r="H34641" s="12"/>
      <c r="I34641" s="12"/>
      <c r="J34641" s="12"/>
      <c r="K34641" s="12"/>
      <c r="L34641" s="12"/>
      <c r="M34641" s="11"/>
      <c r="N34641" s="11"/>
      <c r="O34641" s="11"/>
      <c r="P34641" s="11"/>
    </row>
    <row r="34642" spans="8:16" x14ac:dyDescent="0.25">
      <c r="H34642" s="12"/>
      <c r="I34642" s="12"/>
      <c r="J34642" s="12"/>
      <c r="K34642" s="12"/>
      <c r="L34642" s="12"/>
      <c r="M34642" s="11"/>
      <c r="N34642" s="11"/>
      <c r="O34642" s="11"/>
      <c r="P34642" s="11"/>
    </row>
    <row r="34643" spans="8:16" x14ac:dyDescent="0.25">
      <c r="H34643" s="12"/>
      <c r="I34643" s="12"/>
      <c r="J34643" s="12"/>
      <c r="K34643" s="12"/>
      <c r="L34643" s="12"/>
      <c r="M34643" s="11"/>
      <c r="N34643" s="11"/>
      <c r="O34643" s="11"/>
      <c r="P34643" s="11"/>
    </row>
    <row r="34644" spans="8:16" x14ac:dyDescent="0.25">
      <c r="H34644" s="12"/>
      <c r="I34644" s="12"/>
      <c r="J34644" s="12"/>
      <c r="K34644" s="12"/>
      <c r="L34644" s="12"/>
      <c r="M34644" s="11"/>
      <c r="N34644" s="11"/>
      <c r="O34644" s="11"/>
      <c r="P34644" s="11"/>
    </row>
    <row r="34645" spans="8:16" x14ac:dyDescent="0.25">
      <c r="H34645" s="12"/>
      <c r="I34645" s="12"/>
      <c r="J34645" s="12"/>
      <c r="K34645" s="12"/>
      <c r="L34645" s="12"/>
      <c r="M34645" s="11"/>
      <c r="N34645" s="11"/>
      <c r="O34645" s="11"/>
      <c r="P34645" s="11"/>
    </row>
    <row r="34646" spans="8:16" x14ac:dyDescent="0.25">
      <c r="H34646" s="12"/>
      <c r="I34646" s="12"/>
      <c r="J34646" s="12"/>
      <c r="K34646" s="12"/>
      <c r="L34646" s="12"/>
      <c r="M34646" s="11"/>
      <c r="N34646" s="11"/>
      <c r="O34646" s="11"/>
      <c r="P34646" s="11"/>
    </row>
    <row r="34647" spans="8:16" x14ac:dyDescent="0.25">
      <c r="H34647" s="12"/>
      <c r="I34647" s="12"/>
      <c r="J34647" s="12"/>
      <c r="K34647" s="12"/>
      <c r="L34647" s="12"/>
      <c r="M34647" s="11"/>
      <c r="N34647" s="11"/>
      <c r="O34647" s="11"/>
      <c r="P34647" s="11"/>
    </row>
    <row r="34648" spans="8:16" x14ac:dyDescent="0.25">
      <c r="H34648" s="12"/>
      <c r="I34648" s="12"/>
      <c r="J34648" s="12"/>
      <c r="K34648" s="12"/>
      <c r="L34648" s="12"/>
      <c r="M34648" s="11"/>
      <c r="N34648" s="11"/>
      <c r="O34648" s="11"/>
      <c r="P34648" s="11"/>
    </row>
    <row r="34649" spans="8:16" x14ac:dyDescent="0.25">
      <c r="H34649" s="12"/>
      <c r="I34649" s="12"/>
      <c r="J34649" s="12"/>
      <c r="K34649" s="12"/>
      <c r="L34649" s="12"/>
      <c r="M34649" s="11"/>
      <c r="N34649" s="11"/>
      <c r="O34649" s="11"/>
      <c r="P34649" s="11"/>
    </row>
    <row r="34650" spans="8:16" x14ac:dyDescent="0.25">
      <c r="H34650" s="12"/>
      <c r="I34650" s="12"/>
      <c r="J34650" s="12"/>
      <c r="K34650" s="12"/>
      <c r="L34650" s="12"/>
      <c r="M34650" s="11"/>
      <c r="N34650" s="11"/>
      <c r="O34650" s="11"/>
      <c r="P34650" s="11"/>
    </row>
    <row r="34651" spans="8:16" x14ac:dyDescent="0.25">
      <c r="H34651" s="12"/>
      <c r="I34651" s="12"/>
      <c r="J34651" s="12"/>
      <c r="K34651" s="12"/>
      <c r="L34651" s="12"/>
      <c r="M34651" s="11"/>
      <c r="N34651" s="11"/>
      <c r="O34651" s="11"/>
      <c r="P34651" s="11"/>
    </row>
    <row r="34652" spans="8:16" x14ac:dyDescent="0.25">
      <c r="H34652" s="12"/>
      <c r="I34652" s="12"/>
      <c r="J34652" s="12"/>
      <c r="K34652" s="12"/>
      <c r="L34652" s="12"/>
      <c r="M34652" s="11"/>
      <c r="N34652" s="11"/>
      <c r="O34652" s="11"/>
      <c r="P34652" s="11"/>
    </row>
    <row r="34653" spans="8:16" x14ac:dyDescent="0.25">
      <c r="H34653" s="12"/>
      <c r="I34653" s="12"/>
      <c r="J34653" s="12"/>
      <c r="K34653" s="12"/>
      <c r="L34653" s="12"/>
      <c r="M34653" s="11"/>
      <c r="N34653" s="11"/>
      <c r="O34653" s="11"/>
      <c r="P34653" s="11"/>
    </row>
    <row r="34654" spans="8:16" x14ac:dyDescent="0.25">
      <c r="H34654" s="12"/>
      <c r="I34654" s="12"/>
      <c r="J34654" s="12"/>
      <c r="K34654" s="12"/>
      <c r="L34654" s="12"/>
      <c r="M34654" s="11"/>
      <c r="N34654" s="11"/>
      <c r="O34654" s="11"/>
      <c r="P34654" s="11"/>
    </row>
    <row r="34655" spans="8:16" x14ac:dyDescent="0.25">
      <c r="H34655" s="12"/>
      <c r="I34655" s="12"/>
      <c r="J34655" s="12"/>
      <c r="K34655" s="12"/>
      <c r="L34655" s="12"/>
      <c r="M34655" s="11"/>
      <c r="N34655" s="11"/>
      <c r="O34655" s="11"/>
      <c r="P34655" s="11"/>
    </row>
    <row r="34656" spans="8:16" x14ac:dyDescent="0.25">
      <c r="H34656" s="12"/>
      <c r="I34656" s="12"/>
      <c r="J34656" s="12"/>
      <c r="K34656" s="12"/>
      <c r="L34656" s="12"/>
      <c r="M34656" s="11"/>
      <c r="N34656" s="11"/>
      <c r="O34656" s="11"/>
      <c r="P34656" s="11"/>
    </row>
    <row r="34657" spans="8:16" x14ac:dyDescent="0.25">
      <c r="H34657" s="12"/>
      <c r="I34657" s="12"/>
      <c r="J34657" s="12"/>
      <c r="K34657" s="12"/>
      <c r="L34657" s="12"/>
      <c r="M34657" s="11"/>
      <c r="N34657" s="11"/>
      <c r="O34657" s="11"/>
      <c r="P34657" s="11"/>
    </row>
    <row r="34658" spans="8:16" x14ac:dyDescent="0.25">
      <c r="H34658" s="12"/>
      <c r="I34658" s="12"/>
      <c r="J34658" s="12"/>
      <c r="K34658" s="12"/>
      <c r="L34658" s="12"/>
      <c r="M34658" s="11"/>
      <c r="N34658" s="11"/>
      <c r="O34658" s="11"/>
      <c r="P34658" s="11"/>
    </row>
    <row r="34659" spans="8:16" x14ac:dyDescent="0.25">
      <c r="H34659" s="12"/>
      <c r="I34659" s="12"/>
      <c r="J34659" s="12"/>
      <c r="K34659" s="12"/>
      <c r="L34659" s="12"/>
      <c r="M34659" s="11"/>
      <c r="N34659" s="11"/>
      <c r="O34659" s="11"/>
      <c r="P34659" s="11"/>
    </row>
    <row r="34660" spans="8:16" x14ac:dyDescent="0.25">
      <c r="H34660" s="12"/>
      <c r="I34660" s="12"/>
      <c r="J34660" s="12"/>
      <c r="K34660" s="12"/>
      <c r="L34660" s="12"/>
      <c r="M34660" s="11"/>
      <c r="N34660" s="11"/>
      <c r="O34660" s="11"/>
      <c r="P34660" s="11"/>
    </row>
    <row r="34661" spans="8:16" x14ac:dyDescent="0.25">
      <c r="H34661" s="12"/>
      <c r="I34661" s="12"/>
      <c r="J34661" s="12"/>
      <c r="K34661" s="12"/>
      <c r="L34661" s="12"/>
      <c r="M34661" s="11"/>
      <c r="N34661" s="11"/>
      <c r="O34661" s="11"/>
      <c r="P34661" s="11"/>
    </row>
    <row r="34662" spans="8:16" x14ac:dyDescent="0.25">
      <c r="H34662" s="12"/>
      <c r="I34662" s="12"/>
      <c r="J34662" s="12"/>
      <c r="K34662" s="12"/>
      <c r="L34662" s="12"/>
      <c r="M34662" s="11"/>
      <c r="N34662" s="11"/>
      <c r="O34662" s="11"/>
      <c r="P34662" s="11"/>
    </row>
    <row r="34663" spans="8:16" x14ac:dyDescent="0.25">
      <c r="H34663" s="12"/>
      <c r="I34663" s="12"/>
      <c r="J34663" s="12"/>
      <c r="K34663" s="12"/>
      <c r="L34663" s="12"/>
      <c r="M34663" s="11"/>
      <c r="N34663" s="11"/>
      <c r="O34663" s="11"/>
      <c r="P34663" s="11"/>
    </row>
    <row r="34664" spans="8:16" x14ac:dyDescent="0.25">
      <c r="H34664" s="12"/>
      <c r="I34664" s="12"/>
      <c r="J34664" s="12"/>
      <c r="K34664" s="12"/>
      <c r="L34664" s="12"/>
      <c r="M34664" s="11"/>
      <c r="N34664" s="11"/>
      <c r="O34664" s="11"/>
      <c r="P34664" s="11"/>
    </row>
    <row r="34665" spans="8:16" x14ac:dyDescent="0.25">
      <c r="H34665" s="12"/>
      <c r="I34665" s="12"/>
      <c r="J34665" s="12"/>
      <c r="K34665" s="12"/>
      <c r="L34665" s="12"/>
      <c r="M34665" s="11"/>
      <c r="N34665" s="11"/>
      <c r="O34665" s="11"/>
      <c r="P34665" s="11"/>
    </row>
    <row r="34666" spans="8:16" x14ac:dyDescent="0.25">
      <c r="H34666" s="12"/>
      <c r="I34666" s="12"/>
      <c r="J34666" s="12"/>
      <c r="K34666" s="12"/>
      <c r="L34666" s="12"/>
      <c r="M34666" s="11"/>
      <c r="N34666" s="11"/>
      <c r="O34666" s="11"/>
      <c r="P34666" s="11"/>
    </row>
    <row r="34667" spans="8:16" x14ac:dyDescent="0.25">
      <c r="H34667" s="12"/>
      <c r="I34667" s="12"/>
      <c r="J34667" s="12"/>
      <c r="K34667" s="12"/>
      <c r="L34667" s="12"/>
      <c r="M34667" s="11"/>
      <c r="N34667" s="11"/>
      <c r="O34667" s="11"/>
      <c r="P34667" s="11"/>
    </row>
    <row r="34668" spans="8:16" x14ac:dyDescent="0.25">
      <c r="H34668" s="12"/>
      <c r="I34668" s="12"/>
      <c r="J34668" s="12"/>
      <c r="K34668" s="12"/>
      <c r="L34668" s="12"/>
      <c r="M34668" s="11"/>
      <c r="N34668" s="11"/>
      <c r="O34668" s="11"/>
      <c r="P34668" s="11"/>
    </row>
    <row r="34669" spans="8:16" x14ac:dyDescent="0.25">
      <c r="H34669" s="12"/>
      <c r="I34669" s="12"/>
      <c r="J34669" s="12"/>
      <c r="K34669" s="12"/>
      <c r="L34669" s="12"/>
      <c r="M34669" s="11"/>
      <c r="N34669" s="11"/>
      <c r="O34669" s="11"/>
      <c r="P34669" s="11"/>
    </row>
    <row r="34670" spans="8:16" x14ac:dyDescent="0.25">
      <c r="H34670" s="12"/>
      <c r="I34670" s="12"/>
      <c r="J34670" s="12"/>
      <c r="K34670" s="12"/>
      <c r="L34670" s="12"/>
      <c r="M34670" s="11"/>
      <c r="N34670" s="11"/>
      <c r="O34670" s="11"/>
      <c r="P34670" s="11"/>
    </row>
    <row r="34671" spans="8:16" x14ac:dyDescent="0.25">
      <c r="H34671" s="12"/>
      <c r="I34671" s="12"/>
      <c r="J34671" s="12"/>
      <c r="K34671" s="12"/>
      <c r="L34671" s="12"/>
      <c r="M34671" s="11"/>
      <c r="N34671" s="11"/>
      <c r="O34671" s="11"/>
      <c r="P34671" s="11"/>
    </row>
    <row r="34672" spans="8:16" x14ac:dyDescent="0.25">
      <c r="H34672" s="12"/>
      <c r="I34672" s="12"/>
      <c r="J34672" s="12"/>
      <c r="K34672" s="12"/>
      <c r="L34672" s="12"/>
      <c r="M34672" s="11"/>
      <c r="N34672" s="11"/>
      <c r="O34672" s="11"/>
      <c r="P34672" s="11"/>
    </row>
    <row r="34673" spans="8:16" x14ac:dyDescent="0.25">
      <c r="H34673" s="12"/>
      <c r="I34673" s="12"/>
      <c r="J34673" s="12"/>
      <c r="K34673" s="12"/>
      <c r="L34673" s="12"/>
      <c r="M34673" s="11"/>
      <c r="N34673" s="11"/>
      <c r="O34673" s="11"/>
      <c r="P34673" s="11"/>
    </row>
    <row r="34674" spans="8:16" x14ac:dyDescent="0.25">
      <c r="H34674" s="12"/>
      <c r="I34674" s="12"/>
      <c r="J34674" s="12"/>
      <c r="K34674" s="12"/>
      <c r="L34674" s="12"/>
      <c r="M34674" s="11"/>
      <c r="N34674" s="11"/>
      <c r="O34674" s="11"/>
      <c r="P34674" s="11"/>
    </row>
    <row r="34675" spans="8:16" x14ac:dyDescent="0.25">
      <c r="H34675" s="12"/>
      <c r="I34675" s="12"/>
      <c r="J34675" s="12"/>
      <c r="K34675" s="12"/>
      <c r="L34675" s="12"/>
      <c r="M34675" s="11"/>
      <c r="N34675" s="11"/>
      <c r="O34675" s="11"/>
      <c r="P34675" s="11"/>
    </row>
    <row r="34676" spans="8:16" x14ac:dyDescent="0.25">
      <c r="H34676" s="12"/>
      <c r="I34676" s="12"/>
      <c r="J34676" s="12"/>
      <c r="K34676" s="12"/>
      <c r="L34676" s="12"/>
      <c r="M34676" s="11"/>
      <c r="N34676" s="11"/>
      <c r="O34676" s="11"/>
      <c r="P34676" s="11"/>
    </row>
    <row r="34677" spans="8:16" x14ac:dyDescent="0.25">
      <c r="H34677" s="12"/>
      <c r="I34677" s="12"/>
      <c r="J34677" s="12"/>
      <c r="K34677" s="12"/>
      <c r="L34677" s="12"/>
      <c r="M34677" s="11"/>
      <c r="N34677" s="11"/>
      <c r="O34677" s="11"/>
      <c r="P34677" s="11"/>
    </row>
    <row r="34678" spans="8:16" x14ac:dyDescent="0.25">
      <c r="H34678" s="12"/>
      <c r="I34678" s="12"/>
      <c r="J34678" s="12"/>
      <c r="K34678" s="12"/>
      <c r="L34678" s="12"/>
      <c r="M34678" s="11"/>
      <c r="N34678" s="11"/>
      <c r="O34678" s="11"/>
      <c r="P34678" s="11"/>
    </row>
    <row r="34679" spans="8:16" x14ac:dyDescent="0.25">
      <c r="H34679" s="12"/>
      <c r="I34679" s="12"/>
      <c r="J34679" s="12"/>
      <c r="K34679" s="12"/>
      <c r="L34679" s="12"/>
      <c r="M34679" s="11"/>
      <c r="N34679" s="11"/>
      <c r="O34679" s="11"/>
      <c r="P34679" s="11"/>
    </row>
    <row r="34680" spans="8:16" x14ac:dyDescent="0.25">
      <c r="H34680" s="12"/>
      <c r="I34680" s="12"/>
      <c r="J34680" s="12"/>
      <c r="K34680" s="12"/>
      <c r="L34680" s="12"/>
      <c r="M34680" s="11"/>
      <c r="N34680" s="11"/>
      <c r="O34680" s="11"/>
      <c r="P34680" s="11"/>
    </row>
    <row r="34681" spans="8:16" x14ac:dyDescent="0.25">
      <c r="H34681" s="12"/>
      <c r="I34681" s="12"/>
      <c r="J34681" s="12"/>
      <c r="K34681" s="12"/>
      <c r="L34681" s="12"/>
      <c r="M34681" s="11"/>
      <c r="N34681" s="11"/>
      <c r="O34681" s="11"/>
      <c r="P34681" s="11"/>
    </row>
    <row r="34682" spans="8:16" x14ac:dyDescent="0.25">
      <c r="H34682" s="12"/>
      <c r="I34682" s="12"/>
      <c r="J34682" s="12"/>
      <c r="K34682" s="12"/>
      <c r="L34682" s="12"/>
      <c r="M34682" s="11"/>
      <c r="N34682" s="11"/>
      <c r="O34682" s="11"/>
      <c r="P34682" s="11"/>
    </row>
    <row r="34683" spans="8:16" x14ac:dyDescent="0.25">
      <c r="H34683" s="12"/>
      <c r="I34683" s="12"/>
      <c r="J34683" s="12"/>
      <c r="K34683" s="12"/>
      <c r="L34683" s="12"/>
      <c r="M34683" s="11"/>
      <c r="N34683" s="11"/>
      <c r="O34683" s="11"/>
      <c r="P34683" s="11"/>
    </row>
    <row r="34684" spans="8:16" x14ac:dyDescent="0.25">
      <c r="H34684" s="12"/>
      <c r="I34684" s="12"/>
      <c r="J34684" s="12"/>
      <c r="K34684" s="12"/>
      <c r="L34684" s="12"/>
      <c r="M34684" s="11"/>
      <c r="N34684" s="11"/>
      <c r="O34684" s="11"/>
      <c r="P34684" s="11"/>
    </row>
    <row r="34685" spans="8:16" x14ac:dyDescent="0.25">
      <c r="H34685" s="12"/>
      <c r="I34685" s="12"/>
      <c r="J34685" s="12"/>
      <c r="K34685" s="12"/>
      <c r="L34685" s="12"/>
      <c r="M34685" s="11"/>
      <c r="N34685" s="11"/>
      <c r="O34685" s="11"/>
      <c r="P34685" s="11"/>
    </row>
    <row r="34686" spans="8:16" x14ac:dyDescent="0.25">
      <c r="H34686" s="12"/>
      <c r="I34686" s="12"/>
      <c r="J34686" s="12"/>
      <c r="K34686" s="12"/>
      <c r="L34686" s="12"/>
      <c r="M34686" s="11"/>
      <c r="N34686" s="11"/>
      <c r="O34686" s="11"/>
      <c r="P34686" s="11"/>
    </row>
    <row r="34687" spans="8:16" x14ac:dyDescent="0.25">
      <c r="H34687" s="12"/>
      <c r="I34687" s="12"/>
      <c r="J34687" s="12"/>
      <c r="K34687" s="12"/>
      <c r="L34687" s="12"/>
      <c r="M34687" s="11"/>
      <c r="N34687" s="11"/>
      <c r="O34687" s="11"/>
      <c r="P34687" s="11"/>
    </row>
    <row r="34688" spans="8:16" x14ac:dyDescent="0.25">
      <c r="H34688" s="12"/>
      <c r="I34688" s="12"/>
      <c r="J34688" s="12"/>
      <c r="K34688" s="12"/>
      <c r="L34688" s="12"/>
      <c r="M34688" s="11"/>
      <c r="N34688" s="11"/>
      <c r="O34688" s="11"/>
      <c r="P34688" s="11"/>
    </row>
    <row r="34689" spans="8:16" x14ac:dyDescent="0.25">
      <c r="H34689" s="12"/>
      <c r="I34689" s="12"/>
      <c r="J34689" s="12"/>
      <c r="K34689" s="12"/>
      <c r="L34689" s="12"/>
      <c r="M34689" s="11"/>
      <c r="N34689" s="11"/>
      <c r="O34689" s="11"/>
      <c r="P34689" s="11"/>
    </row>
    <row r="34690" spans="8:16" x14ac:dyDescent="0.25">
      <c r="H34690" s="12"/>
      <c r="I34690" s="12"/>
      <c r="J34690" s="12"/>
      <c r="K34690" s="12"/>
      <c r="L34690" s="12"/>
      <c r="M34690" s="11"/>
      <c r="N34690" s="11"/>
      <c r="O34690" s="11"/>
      <c r="P34690" s="11"/>
    </row>
    <row r="34691" spans="8:16" x14ac:dyDescent="0.25">
      <c r="H34691" s="12"/>
      <c r="I34691" s="12"/>
      <c r="J34691" s="12"/>
      <c r="K34691" s="12"/>
      <c r="L34691" s="12"/>
      <c r="M34691" s="11"/>
      <c r="N34691" s="11"/>
      <c r="O34691" s="11"/>
      <c r="P34691" s="11"/>
    </row>
    <row r="34692" spans="8:16" x14ac:dyDescent="0.25">
      <c r="H34692" s="12"/>
      <c r="I34692" s="12"/>
      <c r="J34692" s="12"/>
      <c r="K34692" s="12"/>
      <c r="L34692" s="12"/>
      <c r="M34692" s="11"/>
      <c r="N34692" s="11"/>
      <c r="O34692" s="11"/>
      <c r="P34692" s="11"/>
    </row>
    <row r="34693" spans="8:16" x14ac:dyDescent="0.25">
      <c r="H34693" s="12"/>
      <c r="I34693" s="12"/>
      <c r="J34693" s="12"/>
      <c r="K34693" s="12"/>
      <c r="L34693" s="12"/>
      <c r="M34693" s="11"/>
      <c r="N34693" s="11"/>
      <c r="O34693" s="11"/>
      <c r="P34693" s="11"/>
    </row>
    <row r="34694" spans="8:16" x14ac:dyDescent="0.25">
      <c r="H34694" s="12"/>
      <c r="I34694" s="12"/>
      <c r="J34694" s="12"/>
      <c r="K34694" s="12"/>
      <c r="L34694" s="12"/>
      <c r="M34694" s="11"/>
      <c r="N34694" s="11"/>
      <c r="O34694" s="11"/>
      <c r="P34694" s="11"/>
    </row>
    <row r="34695" spans="8:16" x14ac:dyDescent="0.25">
      <c r="H34695" s="12"/>
      <c r="I34695" s="12"/>
      <c r="J34695" s="12"/>
      <c r="K34695" s="12"/>
      <c r="L34695" s="12"/>
      <c r="M34695" s="11"/>
      <c r="N34695" s="11"/>
      <c r="O34695" s="11"/>
      <c r="P34695" s="11"/>
    </row>
    <row r="34696" spans="8:16" x14ac:dyDescent="0.25">
      <c r="H34696" s="12"/>
      <c r="I34696" s="12"/>
      <c r="J34696" s="12"/>
      <c r="K34696" s="12"/>
      <c r="L34696" s="12"/>
      <c r="M34696" s="11"/>
      <c r="N34696" s="11"/>
      <c r="O34696" s="11"/>
      <c r="P34696" s="11"/>
    </row>
    <row r="34697" spans="8:16" x14ac:dyDescent="0.25">
      <c r="H34697" s="12"/>
      <c r="I34697" s="12"/>
      <c r="J34697" s="12"/>
      <c r="K34697" s="12"/>
      <c r="L34697" s="12"/>
      <c r="M34697" s="11"/>
      <c r="N34697" s="11"/>
      <c r="O34697" s="11"/>
      <c r="P34697" s="11"/>
    </row>
    <row r="34698" spans="8:16" x14ac:dyDescent="0.25">
      <c r="H34698" s="12"/>
      <c r="I34698" s="12"/>
      <c r="J34698" s="12"/>
      <c r="K34698" s="12"/>
      <c r="L34698" s="12"/>
      <c r="M34698" s="11"/>
      <c r="N34698" s="11"/>
      <c r="O34698" s="11"/>
      <c r="P34698" s="11"/>
    </row>
    <row r="34699" spans="8:16" x14ac:dyDescent="0.25">
      <c r="H34699" s="12"/>
      <c r="I34699" s="12"/>
      <c r="J34699" s="12"/>
      <c r="K34699" s="12"/>
      <c r="L34699" s="12"/>
      <c r="M34699" s="11"/>
      <c r="N34699" s="11"/>
      <c r="O34699" s="11"/>
      <c r="P34699" s="11"/>
    </row>
    <row r="34700" spans="8:16" x14ac:dyDescent="0.25">
      <c r="H34700" s="12"/>
      <c r="I34700" s="12"/>
      <c r="J34700" s="12"/>
      <c r="K34700" s="12"/>
      <c r="L34700" s="12"/>
      <c r="M34700" s="11"/>
      <c r="N34700" s="11"/>
      <c r="O34700" s="11"/>
      <c r="P34700" s="11"/>
    </row>
    <row r="34701" spans="8:16" x14ac:dyDescent="0.25">
      <c r="H34701" s="12"/>
      <c r="I34701" s="12"/>
      <c r="J34701" s="12"/>
      <c r="K34701" s="12"/>
      <c r="L34701" s="12"/>
      <c r="M34701" s="11"/>
      <c r="N34701" s="11"/>
      <c r="O34701" s="11"/>
      <c r="P34701" s="11"/>
    </row>
    <row r="34702" spans="8:16" x14ac:dyDescent="0.25">
      <c r="H34702" s="12"/>
      <c r="I34702" s="12"/>
      <c r="J34702" s="12"/>
      <c r="K34702" s="12"/>
      <c r="L34702" s="12"/>
      <c r="M34702" s="11"/>
      <c r="N34702" s="11"/>
      <c r="O34702" s="11"/>
      <c r="P34702" s="11"/>
    </row>
    <row r="34703" spans="8:16" x14ac:dyDescent="0.25">
      <c r="H34703" s="12"/>
      <c r="I34703" s="12"/>
      <c r="J34703" s="12"/>
      <c r="K34703" s="12"/>
      <c r="L34703" s="12"/>
      <c r="M34703" s="11"/>
      <c r="N34703" s="11"/>
      <c r="O34703" s="11"/>
      <c r="P34703" s="11"/>
    </row>
    <row r="34704" spans="8:16" x14ac:dyDescent="0.25">
      <c r="H34704" s="12"/>
      <c r="I34704" s="12"/>
      <c r="J34704" s="12"/>
      <c r="K34704" s="12"/>
      <c r="L34704" s="12"/>
      <c r="M34704" s="11"/>
      <c r="N34704" s="11"/>
      <c r="O34704" s="11"/>
      <c r="P34704" s="11"/>
    </row>
    <row r="34705" spans="8:16" x14ac:dyDescent="0.25">
      <c r="H34705" s="12"/>
      <c r="I34705" s="12"/>
      <c r="J34705" s="12"/>
      <c r="K34705" s="12"/>
      <c r="L34705" s="12"/>
      <c r="M34705" s="11"/>
      <c r="N34705" s="11"/>
      <c r="O34705" s="11"/>
      <c r="P34705" s="11"/>
    </row>
    <row r="34706" spans="8:16" x14ac:dyDescent="0.25">
      <c r="H34706" s="12"/>
      <c r="I34706" s="12"/>
      <c r="J34706" s="12"/>
      <c r="K34706" s="12"/>
      <c r="L34706" s="12"/>
      <c r="M34706" s="11"/>
      <c r="N34706" s="11"/>
      <c r="O34706" s="11"/>
      <c r="P34706" s="11"/>
    </row>
    <row r="34707" spans="8:16" x14ac:dyDescent="0.25">
      <c r="H34707" s="12"/>
      <c r="I34707" s="12"/>
      <c r="J34707" s="12"/>
      <c r="K34707" s="12"/>
      <c r="L34707" s="12"/>
      <c r="M34707" s="11"/>
      <c r="N34707" s="11"/>
      <c r="O34707" s="11"/>
      <c r="P34707" s="11"/>
    </row>
    <row r="34708" spans="8:16" x14ac:dyDescent="0.25">
      <c r="H34708" s="12"/>
      <c r="I34708" s="12"/>
      <c r="J34708" s="12"/>
      <c r="K34708" s="12"/>
      <c r="L34708" s="12"/>
      <c r="M34708" s="11"/>
      <c r="N34708" s="11"/>
      <c r="O34708" s="11"/>
      <c r="P34708" s="11"/>
    </row>
    <row r="34709" spans="8:16" x14ac:dyDescent="0.25">
      <c r="H34709" s="12"/>
      <c r="I34709" s="12"/>
      <c r="J34709" s="12"/>
      <c r="K34709" s="12"/>
      <c r="L34709" s="12"/>
      <c r="M34709" s="11"/>
      <c r="N34709" s="11"/>
      <c r="O34709" s="11"/>
      <c r="P34709" s="11"/>
    </row>
    <row r="34710" spans="8:16" x14ac:dyDescent="0.25">
      <c r="H34710" s="12"/>
      <c r="I34710" s="12"/>
      <c r="J34710" s="12"/>
      <c r="K34710" s="12"/>
      <c r="L34710" s="12"/>
      <c r="M34710" s="11"/>
      <c r="N34710" s="11"/>
      <c r="O34710" s="11"/>
      <c r="P34710" s="11"/>
    </row>
    <row r="34711" spans="8:16" x14ac:dyDescent="0.25">
      <c r="H34711" s="12"/>
      <c r="I34711" s="12"/>
      <c r="J34711" s="12"/>
      <c r="K34711" s="12"/>
      <c r="L34711" s="12"/>
      <c r="M34711" s="11"/>
      <c r="N34711" s="11"/>
      <c r="O34711" s="11"/>
      <c r="P34711" s="11"/>
    </row>
    <row r="34712" spans="8:16" x14ac:dyDescent="0.25">
      <c r="H34712" s="12"/>
      <c r="I34712" s="12"/>
      <c r="J34712" s="12"/>
      <c r="K34712" s="12"/>
      <c r="L34712" s="12"/>
      <c r="M34712" s="11"/>
      <c r="N34712" s="11"/>
      <c r="O34712" s="11"/>
      <c r="P34712" s="11"/>
    </row>
    <row r="34713" spans="8:16" x14ac:dyDescent="0.25">
      <c r="H34713" s="12"/>
      <c r="I34713" s="12"/>
      <c r="J34713" s="12"/>
      <c r="K34713" s="12"/>
      <c r="L34713" s="12"/>
      <c r="M34713" s="11"/>
      <c r="N34713" s="11"/>
      <c r="O34713" s="11"/>
      <c r="P34713" s="11"/>
    </row>
    <row r="34714" spans="8:16" x14ac:dyDescent="0.25">
      <c r="H34714" s="12"/>
      <c r="I34714" s="12"/>
      <c r="J34714" s="12"/>
      <c r="K34714" s="12"/>
      <c r="L34714" s="12"/>
      <c r="M34714" s="11"/>
      <c r="N34714" s="11"/>
      <c r="O34714" s="11"/>
      <c r="P34714" s="11"/>
    </row>
    <row r="34715" spans="8:16" x14ac:dyDescent="0.25">
      <c r="H34715" s="12"/>
      <c r="I34715" s="12"/>
      <c r="J34715" s="12"/>
      <c r="K34715" s="12"/>
      <c r="L34715" s="12"/>
      <c r="M34715" s="11"/>
      <c r="N34715" s="11"/>
      <c r="O34715" s="11"/>
      <c r="P34715" s="11"/>
    </row>
    <row r="34716" spans="8:16" x14ac:dyDescent="0.25">
      <c r="H34716" s="12"/>
      <c r="I34716" s="12"/>
      <c r="J34716" s="12"/>
      <c r="K34716" s="12"/>
      <c r="L34716" s="12"/>
      <c r="M34716" s="11"/>
      <c r="N34716" s="11"/>
      <c r="O34716" s="11"/>
      <c r="P34716" s="11"/>
    </row>
    <row r="34717" spans="8:16" x14ac:dyDescent="0.25">
      <c r="H34717" s="12"/>
      <c r="I34717" s="12"/>
      <c r="J34717" s="12"/>
      <c r="K34717" s="12"/>
      <c r="L34717" s="12"/>
      <c r="M34717" s="11"/>
      <c r="N34717" s="11"/>
      <c r="O34717" s="11"/>
      <c r="P34717" s="11"/>
    </row>
    <row r="34718" spans="8:16" x14ac:dyDescent="0.25">
      <c r="H34718" s="12"/>
      <c r="I34718" s="12"/>
      <c r="J34718" s="12"/>
      <c r="K34718" s="12"/>
      <c r="L34718" s="12"/>
      <c r="M34718" s="11"/>
      <c r="N34718" s="11"/>
      <c r="O34718" s="11"/>
      <c r="P34718" s="11"/>
    </row>
    <row r="34719" spans="8:16" x14ac:dyDescent="0.25">
      <c r="H34719" s="12"/>
      <c r="I34719" s="12"/>
      <c r="J34719" s="12"/>
      <c r="K34719" s="12"/>
      <c r="L34719" s="12"/>
      <c r="M34719" s="11"/>
      <c r="N34719" s="11"/>
      <c r="O34719" s="11"/>
      <c r="P34719" s="11"/>
    </row>
    <row r="34720" spans="8:16" x14ac:dyDescent="0.25">
      <c r="H34720" s="12"/>
      <c r="I34720" s="12"/>
      <c r="J34720" s="12"/>
      <c r="K34720" s="12"/>
      <c r="L34720" s="12"/>
      <c r="M34720" s="11"/>
      <c r="N34720" s="11"/>
      <c r="O34720" s="11"/>
      <c r="P34720" s="11"/>
    </row>
    <row r="34721" spans="8:16" x14ac:dyDescent="0.25">
      <c r="H34721" s="12"/>
      <c r="I34721" s="12"/>
      <c r="J34721" s="12"/>
      <c r="K34721" s="12"/>
      <c r="L34721" s="12"/>
      <c r="M34721" s="11"/>
      <c r="N34721" s="11"/>
      <c r="O34721" s="11"/>
      <c r="P34721" s="11"/>
    </row>
    <row r="34722" spans="8:16" x14ac:dyDescent="0.25">
      <c r="H34722" s="12"/>
      <c r="I34722" s="12"/>
      <c r="J34722" s="12"/>
      <c r="K34722" s="12"/>
      <c r="L34722" s="12"/>
      <c r="M34722" s="11"/>
      <c r="N34722" s="11"/>
      <c r="O34722" s="11"/>
      <c r="P34722" s="11"/>
    </row>
    <row r="34723" spans="8:16" x14ac:dyDescent="0.25">
      <c r="H34723" s="12"/>
      <c r="I34723" s="12"/>
      <c r="J34723" s="12"/>
      <c r="K34723" s="12"/>
      <c r="L34723" s="12"/>
      <c r="M34723" s="11"/>
      <c r="N34723" s="11"/>
      <c r="O34723" s="11"/>
      <c r="P34723" s="11"/>
    </row>
    <row r="34724" spans="8:16" x14ac:dyDescent="0.25">
      <c r="H34724" s="12"/>
      <c r="I34724" s="12"/>
      <c r="J34724" s="12"/>
      <c r="K34724" s="12"/>
      <c r="L34724" s="12"/>
      <c r="M34724" s="11"/>
      <c r="N34724" s="11"/>
      <c r="O34724" s="11"/>
      <c r="P34724" s="11"/>
    </row>
    <row r="34725" spans="8:16" x14ac:dyDescent="0.25">
      <c r="H34725" s="12"/>
      <c r="I34725" s="12"/>
      <c r="J34725" s="12"/>
      <c r="K34725" s="12"/>
      <c r="L34725" s="12"/>
      <c r="M34725" s="11"/>
      <c r="N34725" s="11"/>
      <c r="O34725" s="11"/>
      <c r="P34725" s="11"/>
    </row>
    <row r="34726" spans="8:16" x14ac:dyDescent="0.25">
      <c r="H34726" s="12"/>
      <c r="I34726" s="12"/>
      <c r="J34726" s="12"/>
      <c r="K34726" s="12"/>
      <c r="L34726" s="12"/>
      <c r="M34726" s="11"/>
      <c r="N34726" s="11"/>
      <c r="O34726" s="11"/>
      <c r="P34726" s="11"/>
    </row>
    <row r="34727" spans="8:16" x14ac:dyDescent="0.25">
      <c r="H34727" s="12"/>
      <c r="I34727" s="12"/>
      <c r="J34727" s="12"/>
      <c r="K34727" s="12"/>
      <c r="L34727" s="12"/>
      <c r="M34727" s="11"/>
      <c r="N34727" s="11"/>
      <c r="O34727" s="11"/>
      <c r="P34727" s="11"/>
    </row>
    <row r="34728" spans="8:16" x14ac:dyDescent="0.25">
      <c r="H34728" s="12"/>
      <c r="I34728" s="12"/>
      <c r="J34728" s="12"/>
      <c r="K34728" s="12"/>
      <c r="L34728" s="12"/>
      <c r="M34728" s="11"/>
      <c r="N34728" s="11"/>
      <c r="O34728" s="11"/>
      <c r="P34728" s="11"/>
    </row>
    <row r="34729" spans="8:16" x14ac:dyDescent="0.25">
      <c r="H34729" s="12"/>
      <c r="I34729" s="12"/>
      <c r="J34729" s="12"/>
      <c r="K34729" s="12"/>
      <c r="L34729" s="12"/>
      <c r="M34729" s="11"/>
      <c r="N34729" s="11"/>
      <c r="O34729" s="11"/>
      <c r="P34729" s="11"/>
    </row>
    <row r="34730" spans="8:16" x14ac:dyDescent="0.25">
      <c r="H34730" s="12"/>
      <c r="I34730" s="12"/>
      <c r="J34730" s="12"/>
      <c r="K34730" s="12"/>
      <c r="L34730" s="12"/>
      <c r="M34730" s="11"/>
      <c r="N34730" s="11"/>
      <c r="O34730" s="11"/>
      <c r="P34730" s="11"/>
    </row>
    <row r="34731" spans="8:16" x14ac:dyDescent="0.25">
      <c r="H34731" s="12"/>
      <c r="I34731" s="12"/>
      <c r="J34731" s="12"/>
      <c r="K34731" s="12"/>
      <c r="L34731" s="12"/>
      <c r="M34731" s="11"/>
      <c r="N34731" s="11"/>
      <c r="O34731" s="11"/>
      <c r="P34731" s="11"/>
    </row>
    <row r="34732" spans="8:16" x14ac:dyDescent="0.25">
      <c r="H34732" s="12"/>
      <c r="I34732" s="12"/>
      <c r="J34732" s="12"/>
      <c r="K34732" s="12"/>
      <c r="L34732" s="12"/>
      <c r="M34732" s="11"/>
      <c r="N34732" s="11"/>
      <c r="O34732" s="11"/>
      <c r="P34732" s="11"/>
    </row>
    <row r="34733" spans="8:16" x14ac:dyDescent="0.25">
      <c r="H34733" s="12"/>
      <c r="I34733" s="12"/>
      <c r="J34733" s="12"/>
      <c r="K34733" s="12"/>
      <c r="L34733" s="12"/>
      <c r="M34733" s="11"/>
      <c r="N34733" s="11"/>
      <c r="O34733" s="11"/>
      <c r="P34733" s="11"/>
    </row>
    <row r="34734" spans="8:16" x14ac:dyDescent="0.25">
      <c r="H34734" s="12"/>
      <c r="I34734" s="12"/>
      <c r="J34734" s="12"/>
      <c r="K34734" s="12"/>
      <c r="L34734" s="12"/>
      <c r="M34734" s="11"/>
      <c r="N34734" s="11"/>
      <c r="O34734" s="11"/>
      <c r="P34734" s="11"/>
    </row>
    <row r="34735" spans="8:16" x14ac:dyDescent="0.25">
      <c r="H34735" s="12"/>
      <c r="I34735" s="12"/>
      <c r="J34735" s="12"/>
      <c r="K34735" s="12"/>
      <c r="L34735" s="12"/>
      <c r="M34735" s="11"/>
      <c r="N34735" s="11"/>
      <c r="O34735" s="11"/>
      <c r="P34735" s="11"/>
    </row>
    <row r="34736" spans="8:16" x14ac:dyDescent="0.25">
      <c r="H34736" s="12"/>
      <c r="I34736" s="12"/>
      <c r="J34736" s="12"/>
      <c r="K34736" s="12"/>
      <c r="L34736" s="12"/>
      <c r="M34736" s="11"/>
      <c r="N34736" s="11"/>
      <c r="O34736" s="11"/>
      <c r="P34736" s="11"/>
    </row>
    <row r="34737" spans="8:16" x14ac:dyDescent="0.25">
      <c r="H34737" s="12"/>
      <c r="I34737" s="12"/>
      <c r="J34737" s="12"/>
      <c r="K34737" s="12"/>
      <c r="L34737" s="12"/>
      <c r="M34737" s="11"/>
      <c r="N34737" s="11"/>
      <c r="O34737" s="11"/>
      <c r="P34737" s="11"/>
    </row>
    <row r="34738" spans="8:16" x14ac:dyDescent="0.25">
      <c r="H34738" s="12"/>
      <c r="I34738" s="12"/>
      <c r="J34738" s="12"/>
      <c r="K34738" s="12"/>
      <c r="L34738" s="12"/>
      <c r="M34738" s="11"/>
      <c r="N34738" s="11"/>
      <c r="O34738" s="11"/>
      <c r="P34738" s="11"/>
    </row>
    <row r="34739" spans="8:16" x14ac:dyDescent="0.25">
      <c r="H34739" s="12"/>
      <c r="I34739" s="12"/>
      <c r="J34739" s="12"/>
      <c r="K34739" s="12"/>
      <c r="L34739" s="12"/>
      <c r="M34739" s="11"/>
      <c r="N34739" s="11"/>
      <c r="O34739" s="11"/>
      <c r="P34739" s="11"/>
    </row>
    <row r="34740" spans="8:16" x14ac:dyDescent="0.25">
      <c r="H34740" s="12"/>
      <c r="I34740" s="12"/>
      <c r="J34740" s="12"/>
      <c r="K34740" s="12"/>
      <c r="L34740" s="12"/>
      <c r="M34740" s="11"/>
      <c r="N34740" s="11"/>
      <c r="O34740" s="11"/>
      <c r="P34740" s="11"/>
    </row>
    <row r="34741" spans="8:16" x14ac:dyDescent="0.25">
      <c r="H34741" s="12"/>
      <c r="I34741" s="12"/>
      <c r="J34741" s="12"/>
      <c r="K34741" s="12"/>
      <c r="L34741" s="12"/>
      <c r="M34741" s="11"/>
      <c r="N34741" s="11"/>
      <c r="O34741" s="11"/>
      <c r="P34741" s="11"/>
    </row>
    <row r="34742" spans="8:16" x14ac:dyDescent="0.25">
      <c r="H34742" s="12"/>
      <c r="I34742" s="12"/>
      <c r="J34742" s="12"/>
      <c r="K34742" s="12"/>
      <c r="L34742" s="12"/>
      <c r="M34742" s="11"/>
      <c r="N34742" s="11"/>
      <c r="O34742" s="11"/>
      <c r="P34742" s="11"/>
    </row>
    <row r="34743" spans="8:16" x14ac:dyDescent="0.25">
      <c r="H34743" s="12"/>
      <c r="I34743" s="12"/>
      <c r="J34743" s="12"/>
      <c r="K34743" s="12"/>
      <c r="L34743" s="12"/>
      <c r="M34743" s="11"/>
      <c r="N34743" s="11"/>
      <c r="O34743" s="11"/>
      <c r="P34743" s="11"/>
    </row>
    <row r="34744" spans="8:16" x14ac:dyDescent="0.25">
      <c r="H34744" s="12"/>
      <c r="I34744" s="12"/>
      <c r="J34744" s="12"/>
      <c r="K34744" s="12"/>
      <c r="L34744" s="12"/>
      <c r="M34744" s="11"/>
      <c r="N34744" s="11"/>
      <c r="O34744" s="11"/>
      <c r="P34744" s="11"/>
    </row>
    <row r="34745" spans="8:16" x14ac:dyDescent="0.25">
      <c r="H34745" s="12"/>
      <c r="I34745" s="12"/>
      <c r="J34745" s="12"/>
      <c r="K34745" s="12"/>
      <c r="L34745" s="12"/>
      <c r="M34745" s="11"/>
      <c r="N34745" s="11"/>
      <c r="O34745" s="11"/>
      <c r="P34745" s="11"/>
    </row>
    <row r="34746" spans="8:16" x14ac:dyDescent="0.25">
      <c r="H34746" s="12"/>
      <c r="I34746" s="12"/>
      <c r="J34746" s="12"/>
      <c r="K34746" s="12"/>
      <c r="L34746" s="12"/>
      <c r="M34746" s="11"/>
      <c r="N34746" s="11"/>
      <c r="O34746" s="11"/>
      <c r="P34746" s="11"/>
    </row>
    <row r="34747" spans="8:16" x14ac:dyDescent="0.25">
      <c r="H34747" s="12"/>
      <c r="I34747" s="12"/>
      <c r="J34747" s="12"/>
      <c r="K34747" s="12"/>
      <c r="L34747" s="12"/>
      <c r="M34747" s="11"/>
      <c r="N34747" s="11"/>
      <c r="O34747" s="11"/>
      <c r="P34747" s="11"/>
    </row>
    <row r="34748" spans="8:16" x14ac:dyDescent="0.25">
      <c r="H34748" s="12"/>
      <c r="I34748" s="12"/>
      <c r="J34748" s="12"/>
      <c r="K34748" s="12"/>
      <c r="L34748" s="12"/>
      <c r="M34748" s="11"/>
      <c r="N34748" s="11"/>
      <c r="O34748" s="11"/>
      <c r="P34748" s="11"/>
    </row>
    <row r="34749" spans="8:16" x14ac:dyDescent="0.25">
      <c r="H34749" s="12"/>
      <c r="I34749" s="12"/>
      <c r="J34749" s="12"/>
      <c r="K34749" s="12"/>
      <c r="L34749" s="12"/>
      <c r="M34749" s="11"/>
      <c r="N34749" s="11"/>
      <c r="O34749" s="11"/>
      <c r="P34749" s="11"/>
    </row>
    <row r="34750" spans="8:16" x14ac:dyDescent="0.25">
      <c r="H34750" s="12"/>
      <c r="I34750" s="12"/>
      <c r="J34750" s="12"/>
      <c r="K34750" s="12"/>
      <c r="L34750" s="12"/>
      <c r="M34750" s="11"/>
      <c r="N34750" s="11"/>
      <c r="O34750" s="11"/>
      <c r="P34750" s="11"/>
    </row>
    <row r="34751" spans="8:16" x14ac:dyDescent="0.25">
      <c r="H34751" s="12"/>
      <c r="I34751" s="12"/>
      <c r="J34751" s="12"/>
      <c r="K34751" s="12"/>
      <c r="L34751" s="12"/>
      <c r="M34751" s="11"/>
      <c r="N34751" s="11"/>
      <c r="O34751" s="11"/>
      <c r="P34751" s="11"/>
    </row>
    <row r="34752" spans="8:16" x14ac:dyDescent="0.25">
      <c r="H34752" s="12"/>
      <c r="I34752" s="12"/>
      <c r="J34752" s="12"/>
      <c r="K34752" s="12"/>
      <c r="L34752" s="12"/>
      <c r="M34752" s="11"/>
      <c r="N34752" s="11"/>
      <c r="O34752" s="11"/>
      <c r="P34752" s="11"/>
    </row>
    <row r="34753" spans="8:16" x14ac:dyDescent="0.25">
      <c r="H34753" s="12"/>
      <c r="I34753" s="12"/>
      <c r="J34753" s="12"/>
      <c r="K34753" s="12"/>
      <c r="L34753" s="12"/>
      <c r="M34753" s="11"/>
      <c r="N34753" s="11"/>
      <c r="O34753" s="11"/>
      <c r="P34753" s="11"/>
    </row>
    <row r="34754" spans="8:16" x14ac:dyDescent="0.25">
      <c r="H34754" s="12"/>
      <c r="I34754" s="12"/>
      <c r="J34754" s="12"/>
      <c r="K34754" s="12"/>
      <c r="L34754" s="12"/>
      <c r="M34754" s="11"/>
      <c r="N34754" s="11"/>
      <c r="O34754" s="11"/>
      <c r="P34754" s="11"/>
    </row>
    <row r="34755" spans="8:16" x14ac:dyDescent="0.25">
      <c r="H34755" s="12"/>
      <c r="I34755" s="12"/>
      <c r="J34755" s="12"/>
      <c r="K34755" s="12"/>
      <c r="L34755" s="12"/>
      <c r="M34755" s="11"/>
      <c r="N34755" s="11"/>
      <c r="O34755" s="11"/>
      <c r="P34755" s="11"/>
    </row>
    <row r="34756" spans="8:16" x14ac:dyDescent="0.25">
      <c r="H34756" s="12"/>
      <c r="I34756" s="12"/>
      <c r="J34756" s="12"/>
      <c r="K34756" s="12"/>
      <c r="L34756" s="12"/>
      <c r="M34756" s="11"/>
      <c r="N34756" s="11"/>
      <c r="O34756" s="11"/>
      <c r="P34756" s="11"/>
    </row>
    <row r="34757" spans="8:16" x14ac:dyDescent="0.25">
      <c r="H34757" s="12"/>
      <c r="I34757" s="12"/>
      <c r="J34757" s="12"/>
      <c r="K34757" s="12"/>
      <c r="L34757" s="12"/>
      <c r="M34757" s="11"/>
      <c r="N34757" s="11"/>
      <c r="O34757" s="11"/>
      <c r="P34757" s="11"/>
    </row>
    <row r="34758" spans="8:16" x14ac:dyDescent="0.25">
      <c r="H34758" s="12"/>
      <c r="I34758" s="12"/>
      <c r="J34758" s="12"/>
      <c r="K34758" s="12"/>
      <c r="L34758" s="12"/>
      <c r="M34758" s="11"/>
      <c r="N34758" s="11"/>
      <c r="O34758" s="11"/>
      <c r="P34758" s="11"/>
    </row>
    <row r="34759" spans="8:16" x14ac:dyDescent="0.25">
      <c r="H34759" s="12"/>
      <c r="I34759" s="12"/>
      <c r="J34759" s="12"/>
      <c r="K34759" s="12"/>
      <c r="L34759" s="12"/>
      <c r="M34759" s="11"/>
      <c r="N34759" s="11"/>
      <c r="O34759" s="11"/>
      <c r="P34759" s="11"/>
    </row>
    <row r="34760" spans="8:16" x14ac:dyDescent="0.25">
      <c r="H34760" s="12"/>
      <c r="I34760" s="12"/>
      <c r="J34760" s="12"/>
      <c r="K34760" s="12"/>
      <c r="L34760" s="12"/>
      <c r="M34760" s="11"/>
      <c r="N34760" s="11"/>
      <c r="O34760" s="11"/>
      <c r="P34760" s="11"/>
    </row>
    <row r="34761" spans="8:16" x14ac:dyDescent="0.25">
      <c r="H34761" s="12"/>
      <c r="I34761" s="12"/>
      <c r="J34761" s="12"/>
      <c r="K34761" s="12"/>
      <c r="L34761" s="12"/>
      <c r="M34761" s="11"/>
      <c r="N34761" s="11"/>
      <c r="O34761" s="11"/>
      <c r="P34761" s="11"/>
    </row>
    <row r="34762" spans="8:16" x14ac:dyDescent="0.25">
      <c r="H34762" s="12"/>
      <c r="I34762" s="12"/>
      <c r="J34762" s="12"/>
      <c r="K34762" s="12"/>
      <c r="L34762" s="12"/>
      <c r="M34762" s="11"/>
      <c r="N34762" s="11"/>
      <c r="O34762" s="11"/>
      <c r="P34762" s="11"/>
    </row>
    <row r="34763" spans="8:16" x14ac:dyDescent="0.25">
      <c r="H34763" s="12"/>
      <c r="I34763" s="12"/>
      <c r="J34763" s="12"/>
      <c r="K34763" s="12"/>
      <c r="L34763" s="12"/>
      <c r="M34763" s="11"/>
      <c r="N34763" s="11"/>
      <c r="O34763" s="11"/>
      <c r="P34763" s="11"/>
    </row>
    <row r="34764" spans="8:16" x14ac:dyDescent="0.25">
      <c r="H34764" s="12"/>
      <c r="I34764" s="12"/>
      <c r="J34764" s="12"/>
      <c r="K34764" s="12"/>
      <c r="L34764" s="12"/>
      <c r="M34764" s="11"/>
      <c r="N34764" s="11"/>
      <c r="O34764" s="11"/>
      <c r="P34764" s="11"/>
    </row>
    <row r="34765" spans="8:16" x14ac:dyDescent="0.25">
      <c r="H34765" s="12"/>
      <c r="I34765" s="12"/>
      <c r="J34765" s="12"/>
      <c r="K34765" s="12"/>
      <c r="L34765" s="12"/>
      <c r="M34765" s="11"/>
      <c r="N34765" s="11"/>
      <c r="O34765" s="11"/>
      <c r="P34765" s="11"/>
    </row>
    <row r="34766" spans="8:16" x14ac:dyDescent="0.25">
      <c r="H34766" s="12"/>
      <c r="I34766" s="12"/>
      <c r="J34766" s="12"/>
      <c r="K34766" s="12"/>
      <c r="L34766" s="12"/>
      <c r="M34766" s="11"/>
      <c r="N34766" s="11"/>
      <c r="O34766" s="11"/>
      <c r="P34766" s="11"/>
    </row>
    <row r="34767" spans="8:16" x14ac:dyDescent="0.25">
      <c r="H34767" s="12"/>
      <c r="I34767" s="12"/>
      <c r="J34767" s="12"/>
      <c r="K34767" s="12"/>
      <c r="L34767" s="12"/>
      <c r="M34767" s="11"/>
      <c r="N34767" s="11"/>
      <c r="O34767" s="11"/>
      <c r="P34767" s="11"/>
    </row>
    <row r="34768" spans="8:16" x14ac:dyDescent="0.25">
      <c r="H34768" s="12"/>
      <c r="I34768" s="12"/>
      <c r="J34768" s="12"/>
      <c r="K34768" s="12"/>
      <c r="L34768" s="12"/>
      <c r="M34768" s="11"/>
      <c r="N34768" s="11"/>
      <c r="O34768" s="11"/>
      <c r="P34768" s="11"/>
    </row>
    <row r="34769" spans="8:16" x14ac:dyDescent="0.25">
      <c r="H34769" s="12"/>
      <c r="I34769" s="12"/>
      <c r="J34769" s="12"/>
      <c r="K34769" s="12"/>
      <c r="L34769" s="12"/>
      <c r="M34769" s="11"/>
      <c r="N34769" s="11"/>
      <c r="O34769" s="11"/>
      <c r="P34769" s="11"/>
    </row>
    <row r="34770" spans="8:16" x14ac:dyDescent="0.25">
      <c r="H34770" s="12"/>
      <c r="I34770" s="12"/>
      <c r="J34770" s="12"/>
      <c r="K34770" s="12"/>
      <c r="L34770" s="12"/>
      <c r="M34770" s="11"/>
      <c r="N34770" s="11"/>
      <c r="O34770" s="11"/>
      <c r="P34770" s="11"/>
    </row>
    <row r="34771" spans="8:16" x14ac:dyDescent="0.25">
      <c r="H34771" s="12"/>
      <c r="I34771" s="12"/>
      <c r="J34771" s="12"/>
      <c r="K34771" s="12"/>
      <c r="L34771" s="12"/>
      <c r="M34771" s="11"/>
      <c r="N34771" s="11"/>
      <c r="O34771" s="11"/>
      <c r="P34771" s="11"/>
    </row>
    <row r="34772" spans="8:16" x14ac:dyDescent="0.25">
      <c r="H34772" s="12"/>
      <c r="I34772" s="12"/>
      <c r="J34772" s="12"/>
      <c r="K34772" s="12"/>
      <c r="L34772" s="12"/>
      <c r="M34772" s="11"/>
      <c r="N34772" s="11"/>
      <c r="O34772" s="11"/>
      <c r="P34772" s="11"/>
    </row>
    <row r="34773" spans="8:16" x14ac:dyDescent="0.25">
      <c r="H34773" s="12"/>
      <c r="I34773" s="12"/>
      <c r="J34773" s="12"/>
      <c r="K34773" s="12"/>
      <c r="L34773" s="12"/>
      <c r="M34773" s="11"/>
      <c r="N34773" s="11"/>
      <c r="O34773" s="11"/>
      <c r="P34773" s="11"/>
    </row>
    <row r="34774" spans="8:16" x14ac:dyDescent="0.25">
      <c r="H34774" s="12"/>
      <c r="I34774" s="12"/>
      <c r="J34774" s="12"/>
      <c r="K34774" s="12"/>
      <c r="L34774" s="12"/>
      <c r="M34774" s="11"/>
      <c r="N34774" s="11"/>
      <c r="O34774" s="11"/>
      <c r="P34774" s="11"/>
    </row>
    <row r="34775" spans="8:16" x14ac:dyDescent="0.25">
      <c r="H34775" s="12"/>
      <c r="I34775" s="12"/>
      <c r="J34775" s="12"/>
      <c r="K34775" s="12"/>
      <c r="L34775" s="12"/>
      <c r="M34775" s="11"/>
      <c r="N34775" s="11"/>
      <c r="O34775" s="11"/>
      <c r="P34775" s="11"/>
    </row>
    <row r="34776" spans="8:16" x14ac:dyDescent="0.25">
      <c r="H34776" s="12"/>
      <c r="I34776" s="12"/>
      <c r="J34776" s="12"/>
      <c r="K34776" s="12"/>
      <c r="L34776" s="12"/>
      <c r="M34776" s="11"/>
      <c r="N34776" s="11"/>
      <c r="O34776" s="11"/>
      <c r="P34776" s="11"/>
    </row>
    <row r="34777" spans="8:16" x14ac:dyDescent="0.25">
      <c r="H34777" s="12"/>
      <c r="I34777" s="12"/>
      <c r="J34777" s="12"/>
      <c r="K34777" s="12"/>
      <c r="L34777" s="12"/>
      <c r="M34777" s="11"/>
      <c r="N34777" s="11"/>
      <c r="O34777" s="11"/>
      <c r="P34777" s="11"/>
    </row>
    <row r="34778" spans="8:16" x14ac:dyDescent="0.25">
      <c r="H34778" s="12"/>
      <c r="I34778" s="12"/>
      <c r="J34778" s="12"/>
      <c r="K34778" s="12"/>
      <c r="L34778" s="12"/>
      <c r="M34778" s="11"/>
      <c r="N34778" s="11"/>
      <c r="O34778" s="11"/>
      <c r="P34778" s="11"/>
    </row>
    <row r="34779" spans="8:16" x14ac:dyDescent="0.25">
      <c r="H34779" s="12"/>
      <c r="I34779" s="12"/>
      <c r="J34779" s="12"/>
      <c r="K34779" s="12"/>
      <c r="L34779" s="12"/>
      <c r="M34779" s="11"/>
      <c r="N34779" s="11"/>
      <c r="O34779" s="11"/>
      <c r="P34779" s="11"/>
    </row>
    <row r="34780" spans="8:16" x14ac:dyDescent="0.25">
      <c r="H34780" s="12"/>
      <c r="I34780" s="12"/>
      <c r="J34780" s="12"/>
      <c r="K34780" s="12"/>
      <c r="L34780" s="12"/>
      <c r="M34780" s="11"/>
      <c r="N34780" s="11"/>
      <c r="O34780" s="11"/>
      <c r="P34780" s="11"/>
    </row>
    <row r="34781" spans="8:16" x14ac:dyDescent="0.25">
      <c r="H34781" s="12"/>
      <c r="I34781" s="12"/>
      <c r="J34781" s="12"/>
      <c r="K34781" s="12"/>
      <c r="L34781" s="12"/>
      <c r="M34781" s="11"/>
      <c r="N34781" s="11"/>
      <c r="O34781" s="11"/>
      <c r="P34781" s="11"/>
    </row>
    <row r="34782" spans="8:16" x14ac:dyDescent="0.25">
      <c r="H34782" s="12"/>
      <c r="I34782" s="12"/>
      <c r="J34782" s="12"/>
      <c r="K34782" s="12"/>
      <c r="L34782" s="12"/>
      <c r="M34782" s="11"/>
      <c r="N34782" s="11"/>
      <c r="O34782" s="11"/>
      <c r="P34782" s="11"/>
    </row>
    <row r="34783" spans="8:16" x14ac:dyDescent="0.25">
      <c r="H34783" s="12"/>
      <c r="I34783" s="12"/>
      <c r="J34783" s="12"/>
      <c r="K34783" s="12"/>
      <c r="L34783" s="12"/>
      <c r="M34783" s="11"/>
      <c r="N34783" s="11"/>
      <c r="O34783" s="11"/>
      <c r="P34783" s="11"/>
    </row>
    <row r="34784" spans="8:16" x14ac:dyDescent="0.25">
      <c r="H34784" s="12"/>
      <c r="I34784" s="12"/>
      <c r="J34784" s="12"/>
      <c r="K34784" s="12"/>
      <c r="L34784" s="12"/>
      <c r="M34784" s="11"/>
      <c r="N34784" s="11"/>
      <c r="O34784" s="11"/>
      <c r="P34784" s="11"/>
    </row>
    <row r="34785" spans="8:16" x14ac:dyDescent="0.25">
      <c r="H34785" s="12"/>
      <c r="I34785" s="12"/>
      <c r="J34785" s="12"/>
      <c r="K34785" s="12"/>
      <c r="L34785" s="12"/>
      <c r="M34785" s="11"/>
      <c r="N34785" s="11"/>
      <c r="O34785" s="11"/>
      <c r="P34785" s="11"/>
    </row>
    <row r="34786" spans="8:16" x14ac:dyDescent="0.25">
      <c r="H34786" s="12"/>
      <c r="I34786" s="12"/>
      <c r="J34786" s="12"/>
      <c r="K34786" s="12"/>
      <c r="L34786" s="12"/>
      <c r="M34786" s="11"/>
      <c r="N34786" s="11"/>
      <c r="O34786" s="11"/>
      <c r="P34786" s="11"/>
    </row>
    <row r="34787" spans="8:16" x14ac:dyDescent="0.25">
      <c r="H34787" s="12"/>
      <c r="I34787" s="12"/>
      <c r="J34787" s="12"/>
      <c r="K34787" s="12"/>
      <c r="L34787" s="12"/>
      <c r="M34787" s="11"/>
      <c r="N34787" s="11"/>
      <c r="O34787" s="11"/>
      <c r="P34787" s="11"/>
    </row>
    <row r="34788" spans="8:16" x14ac:dyDescent="0.25">
      <c r="H34788" s="12"/>
      <c r="I34788" s="12"/>
      <c r="J34788" s="12"/>
      <c r="K34788" s="12"/>
      <c r="L34788" s="12"/>
      <c r="M34788" s="11"/>
      <c r="N34788" s="11"/>
      <c r="O34788" s="11"/>
      <c r="P34788" s="11"/>
    </row>
    <row r="34789" spans="8:16" x14ac:dyDescent="0.25">
      <c r="H34789" s="12"/>
      <c r="I34789" s="12"/>
      <c r="J34789" s="12"/>
      <c r="K34789" s="12"/>
      <c r="L34789" s="12"/>
      <c r="M34789" s="11"/>
      <c r="N34789" s="11"/>
      <c r="O34789" s="11"/>
      <c r="P34789" s="11"/>
    </row>
    <row r="34790" spans="8:16" x14ac:dyDescent="0.25">
      <c r="H34790" s="12"/>
      <c r="I34790" s="12"/>
      <c r="J34790" s="12"/>
      <c r="K34790" s="12"/>
      <c r="L34790" s="12"/>
      <c r="M34790" s="11"/>
      <c r="N34790" s="11"/>
      <c r="O34790" s="11"/>
      <c r="P34790" s="11"/>
    </row>
    <row r="34791" spans="8:16" x14ac:dyDescent="0.25">
      <c r="H34791" s="12"/>
      <c r="I34791" s="12"/>
      <c r="J34791" s="12"/>
      <c r="K34791" s="12"/>
      <c r="L34791" s="12"/>
      <c r="M34791" s="11"/>
      <c r="N34791" s="11"/>
      <c r="O34791" s="11"/>
      <c r="P34791" s="11"/>
    </row>
    <row r="34792" spans="8:16" x14ac:dyDescent="0.25">
      <c r="H34792" s="12"/>
      <c r="I34792" s="12"/>
      <c r="J34792" s="12"/>
      <c r="K34792" s="12"/>
      <c r="L34792" s="12"/>
      <c r="M34792" s="11"/>
      <c r="N34792" s="11"/>
      <c r="O34792" s="11"/>
      <c r="P34792" s="11"/>
    </row>
    <row r="34793" spans="8:16" x14ac:dyDescent="0.25">
      <c r="H34793" s="12"/>
      <c r="I34793" s="12"/>
      <c r="J34793" s="12"/>
      <c r="K34793" s="12"/>
      <c r="L34793" s="12"/>
      <c r="M34793" s="11"/>
      <c r="N34793" s="11"/>
      <c r="O34793" s="11"/>
      <c r="P34793" s="11"/>
    </row>
    <row r="34794" spans="8:16" x14ac:dyDescent="0.25">
      <c r="H34794" s="12"/>
      <c r="I34794" s="12"/>
      <c r="J34794" s="12"/>
      <c r="K34794" s="12"/>
      <c r="L34794" s="12"/>
      <c r="M34794" s="11"/>
      <c r="N34794" s="11"/>
      <c r="O34794" s="11"/>
      <c r="P34794" s="11"/>
    </row>
    <row r="34795" spans="8:16" x14ac:dyDescent="0.25">
      <c r="H34795" s="12"/>
      <c r="I34795" s="12"/>
      <c r="J34795" s="12"/>
      <c r="K34795" s="12"/>
      <c r="L34795" s="12"/>
      <c r="M34795" s="11"/>
      <c r="N34795" s="11"/>
      <c r="O34795" s="11"/>
      <c r="P34795" s="11"/>
    </row>
    <row r="34796" spans="8:16" x14ac:dyDescent="0.25">
      <c r="H34796" s="12"/>
      <c r="I34796" s="12"/>
      <c r="J34796" s="12"/>
      <c r="K34796" s="12"/>
      <c r="L34796" s="12"/>
      <c r="M34796" s="11"/>
      <c r="N34796" s="11"/>
      <c r="O34796" s="11"/>
      <c r="P34796" s="11"/>
    </row>
    <row r="34797" spans="8:16" x14ac:dyDescent="0.25">
      <c r="H34797" s="12"/>
      <c r="I34797" s="12"/>
      <c r="J34797" s="12"/>
      <c r="K34797" s="12"/>
      <c r="L34797" s="12"/>
      <c r="M34797" s="11"/>
      <c r="N34797" s="11"/>
      <c r="O34797" s="11"/>
      <c r="P34797" s="11"/>
    </row>
    <row r="34798" spans="8:16" x14ac:dyDescent="0.25">
      <c r="H34798" s="12"/>
      <c r="I34798" s="12"/>
      <c r="J34798" s="12"/>
      <c r="K34798" s="12"/>
      <c r="L34798" s="12"/>
      <c r="M34798" s="11"/>
      <c r="N34798" s="11"/>
      <c r="O34798" s="11"/>
      <c r="P34798" s="11"/>
    </row>
    <row r="34799" spans="8:16" x14ac:dyDescent="0.25">
      <c r="H34799" s="12"/>
      <c r="I34799" s="12"/>
      <c r="J34799" s="12"/>
      <c r="K34799" s="12"/>
      <c r="L34799" s="12"/>
      <c r="M34799" s="11"/>
      <c r="N34799" s="11"/>
      <c r="O34799" s="11"/>
      <c r="P34799" s="11"/>
    </row>
    <row r="34800" spans="8:16" x14ac:dyDescent="0.25">
      <c r="H34800" s="12"/>
      <c r="I34800" s="12"/>
      <c r="J34800" s="12"/>
      <c r="K34800" s="12"/>
      <c r="L34800" s="12"/>
      <c r="M34800" s="11"/>
      <c r="N34800" s="11"/>
      <c r="O34800" s="11"/>
      <c r="P34800" s="11"/>
    </row>
    <row r="34801" spans="8:16" x14ac:dyDescent="0.25">
      <c r="H34801" s="12"/>
      <c r="I34801" s="12"/>
      <c r="J34801" s="12"/>
      <c r="K34801" s="12"/>
      <c r="L34801" s="12"/>
      <c r="M34801" s="11"/>
      <c r="N34801" s="11"/>
      <c r="O34801" s="11"/>
      <c r="P34801" s="11"/>
    </row>
    <row r="34802" spans="8:16" x14ac:dyDescent="0.25">
      <c r="H34802" s="12"/>
      <c r="I34802" s="12"/>
      <c r="J34802" s="12"/>
      <c r="K34802" s="12"/>
      <c r="L34802" s="12"/>
      <c r="M34802" s="11"/>
      <c r="N34802" s="11"/>
      <c r="O34802" s="11"/>
      <c r="P34802" s="11"/>
    </row>
    <row r="34803" spans="8:16" x14ac:dyDescent="0.25">
      <c r="H34803" s="12"/>
      <c r="I34803" s="12"/>
      <c r="J34803" s="12"/>
      <c r="K34803" s="12"/>
      <c r="L34803" s="12"/>
      <c r="M34803" s="11"/>
      <c r="N34803" s="11"/>
      <c r="O34803" s="11"/>
      <c r="P34803" s="11"/>
    </row>
    <row r="34804" spans="8:16" x14ac:dyDescent="0.25">
      <c r="H34804" s="12"/>
      <c r="I34804" s="12"/>
      <c r="J34804" s="12"/>
      <c r="K34804" s="12"/>
      <c r="L34804" s="12"/>
      <c r="M34804" s="11"/>
      <c r="N34804" s="11"/>
      <c r="O34804" s="11"/>
      <c r="P34804" s="11"/>
    </row>
    <row r="34805" spans="8:16" x14ac:dyDescent="0.25">
      <c r="H34805" s="12"/>
      <c r="I34805" s="12"/>
      <c r="J34805" s="12"/>
      <c r="K34805" s="12"/>
      <c r="L34805" s="12"/>
      <c r="M34805" s="11"/>
      <c r="N34805" s="11"/>
      <c r="O34805" s="11"/>
      <c r="P34805" s="11"/>
    </row>
    <row r="34806" spans="8:16" x14ac:dyDescent="0.25">
      <c r="H34806" s="12"/>
      <c r="I34806" s="12"/>
      <c r="J34806" s="12"/>
      <c r="K34806" s="12"/>
      <c r="L34806" s="12"/>
      <c r="M34806" s="11"/>
      <c r="N34806" s="11"/>
      <c r="O34806" s="11"/>
      <c r="P34806" s="11"/>
    </row>
    <row r="34807" spans="8:16" x14ac:dyDescent="0.25">
      <c r="H34807" s="12"/>
      <c r="I34807" s="12"/>
      <c r="J34807" s="12"/>
      <c r="K34807" s="12"/>
      <c r="L34807" s="12"/>
      <c r="M34807" s="11"/>
      <c r="N34807" s="11"/>
      <c r="O34807" s="11"/>
      <c r="P34807" s="11"/>
    </row>
    <row r="34808" spans="8:16" x14ac:dyDescent="0.25">
      <c r="H34808" s="12"/>
      <c r="I34808" s="12"/>
      <c r="J34808" s="12"/>
      <c r="K34808" s="12"/>
      <c r="L34808" s="12"/>
      <c r="M34808" s="11"/>
      <c r="N34808" s="11"/>
      <c r="O34808" s="11"/>
      <c r="P34808" s="11"/>
    </row>
    <row r="34809" spans="8:16" x14ac:dyDescent="0.25">
      <c r="H34809" s="12"/>
      <c r="I34809" s="12"/>
      <c r="J34809" s="12"/>
      <c r="K34809" s="12"/>
      <c r="L34809" s="12"/>
      <c r="M34809" s="11"/>
      <c r="N34809" s="11"/>
      <c r="O34809" s="11"/>
      <c r="P34809" s="11"/>
    </row>
    <row r="34810" spans="8:16" x14ac:dyDescent="0.25">
      <c r="H34810" s="12"/>
      <c r="I34810" s="12"/>
      <c r="J34810" s="12"/>
      <c r="K34810" s="12"/>
      <c r="L34810" s="12"/>
      <c r="M34810" s="11"/>
      <c r="N34810" s="11"/>
      <c r="O34810" s="11"/>
      <c r="P34810" s="11"/>
    </row>
    <row r="34811" spans="8:16" x14ac:dyDescent="0.25">
      <c r="H34811" s="12"/>
      <c r="I34811" s="12"/>
      <c r="J34811" s="12"/>
      <c r="K34811" s="12"/>
      <c r="L34811" s="12"/>
      <c r="M34811" s="11"/>
      <c r="N34811" s="11"/>
      <c r="O34811" s="11"/>
      <c r="P34811" s="11"/>
    </row>
    <row r="34812" spans="8:16" x14ac:dyDescent="0.25">
      <c r="H34812" s="12"/>
      <c r="I34812" s="12"/>
      <c r="J34812" s="12"/>
      <c r="K34812" s="12"/>
      <c r="L34812" s="12"/>
      <c r="M34812" s="11"/>
      <c r="N34812" s="11"/>
      <c r="O34812" s="11"/>
      <c r="P34812" s="11"/>
    </row>
    <row r="34813" spans="8:16" x14ac:dyDescent="0.25">
      <c r="H34813" s="12"/>
      <c r="I34813" s="12"/>
      <c r="J34813" s="12"/>
      <c r="K34813" s="12"/>
      <c r="L34813" s="12"/>
      <c r="M34813" s="11"/>
      <c r="N34813" s="11"/>
      <c r="O34813" s="11"/>
      <c r="P34813" s="11"/>
    </row>
    <row r="34814" spans="8:16" x14ac:dyDescent="0.25">
      <c r="H34814" s="12"/>
      <c r="I34814" s="12"/>
      <c r="J34814" s="12"/>
      <c r="K34814" s="12"/>
      <c r="L34814" s="12"/>
      <c r="M34814" s="11"/>
      <c r="N34814" s="11"/>
      <c r="O34814" s="11"/>
      <c r="P34814" s="11"/>
    </row>
    <row r="34815" spans="8:16" x14ac:dyDescent="0.25">
      <c r="H34815" s="12"/>
      <c r="I34815" s="12"/>
      <c r="J34815" s="12"/>
      <c r="K34815" s="12"/>
      <c r="L34815" s="12"/>
      <c r="M34815" s="11"/>
      <c r="N34815" s="11"/>
      <c r="O34815" s="11"/>
      <c r="P34815" s="11"/>
    </row>
    <row r="34816" spans="8:16" x14ac:dyDescent="0.25">
      <c r="H34816" s="12"/>
      <c r="I34816" s="12"/>
      <c r="J34816" s="12"/>
      <c r="K34816" s="12"/>
      <c r="L34816" s="12"/>
      <c r="M34816" s="11"/>
      <c r="N34816" s="11"/>
      <c r="O34816" s="11"/>
      <c r="P34816" s="11"/>
    </row>
    <row r="34817" spans="8:16" x14ac:dyDescent="0.25">
      <c r="H34817" s="12"/>
      <c r="I34817" s="12"/>
      <c r="J34817" s="12"/>
      <c r="K34817" s="12"/>
      <c r="L34817" s="12"/>
      <c r="M34817" s="11"/>
      <c r="N34817" s="11"/>
      <c r="O34817" s="11"/>
      <c r="P34817" s="11"/>
    </row>
    <row r="34818" spans="8:16" x14ac:dyDescent="0.25">
      <c r="H34818" s="12"/>
      <c r="I34818" s="12"/>
      <c r="J34818" s="12"/>
      <c r="K34818" s="12"/>
      <c r="L34818" s="12"/>
      <c r="M34818" s="11"/>
      <c r="N34818" s="11"/>
      <c r="O34818" s="11"/>
      <c r="P34818" s="11"/>
    </row>
    <row r="34819" spans="8:16" x14ac:dyDescent="0.25">
      <c r="H34819" s="12"/>
      <c r="I34819" s="12"/>
      <c r="J34819" s="12"/>
      <c r="K34819" s="12"/>
      <c r="L34819" s="12"/>
      <c r="M34819" s="11"/>
      <c r="N34819" s="11"/>
      <c r="O34819" s="11"/>
      <c r="P34819" s="11"/>
    </row>
    <row r="34820" spans="8:16" x14ac:dyDescent="0.25">
      <c r="H34820" s="12"/>
      <c r="I34820" s="12"/>
      <c r="J34820" s="12"/>
      <c r="K34820" s="12"/>
      <c r="L34820" s="12"/>
      <c r="M34820" s="11"/>
      <c r="N34820" s="11"/>
      <c r="O34820" s="11"/>
      <c r="P34820" s="11"/>
    </row>
    <row r="34821" spans="8:16" x14ac:dyDescent="0.25">
      <c r="H34821" s="12"/>
      <c r="I34821" s="12"/>
      <c r="J34821" s="12"/>
      <c r="K34821" s="12"/>
      <c r="L34821" s="12"/>
      <c r="M34821" s="11"/>
      <c r="N34821" s="11"/>
      <c r="O34821" s="11"/>
      <c r="P34821" s="11"/>
    </row>
    <row r="34822" spans="8:16" x14ac:dyDescent="0.25">
      <c r="H34822" s="12"/>
      <c r="I34822" s="12"/>
      <c r="J34822" s="12"/>
      <c r="K34822" s="12"/>
      <c r="L34822" s="12"/>
      <c r="M34822" s="11"/>
      <c r="N34822" s="11"/>
      <c r="O34822" s="11"/>
      <c r="P34822" s="11"/>
    </row>
    <row r="34823" spans="8:16" x14ac:dyDescent="0.25">
      <c r="H34823" s="12"/>
      <c r="I34823" s="12"/>
      <c r="J34823" s="12"/>
      <c r="K34823" s="12"/>
      <c r="L34823" s="12"/>
      <c r="M34823" s="11"/>
      <c r="N34823" s="11"/>
      <c r="O34823" s="11"/>
      <c r="P34823" s="11"/>
    </row>
    <row r="34824" spans="8:16" x14ac:dyDescent="0.25">
      <c r="H34824" s="12"/>
      <c r="I34824" s="12"/>
      <c r="J34824" s="12"/>
      <c r="K34824" s="12"/>
      <c r="L34824" s="12"/>
      <c r="M34824" s="11"/>
      <c r="N34824" s="11"/>
      <c r="O34824" s="11"/>
      <c r="P34824" s="11"/>
    </row>
    <row r="34825" spans="8:16" x14ac:dyDescent="0.25">
      <c r="H34825" s="12"/>
      <c r="I34825" s="12"/>
      <c r="J34825" s="12"/>
      <c r="K34825" s="12"/>
      <c r="L34825" s="12"/>
      <c r="M34825" s="11"/>
      <c r="N34825" s="11"/>
      <c r="O34825" s="11"/>
      <c r="P34825" s="11"/>
    </row>
    <row r="34826" spans="8:16" x14ac:dyDescent="0.25">
      <c r="H34826" s="12"/>
      <c r="I34826" s="12"/>
      <c r="J34826" s="12"/>
      <c r="K34826" s="12"/>
      <c r="L34826" s="12"/>
      <c r="M34826" s="11"/>
      <c r="N34826" s="11"/>
      <c r="O34826" s="11"/>
      <c r="P34826" s="11"/>
    </row>
    <row r="34827" spans="8:16" x14ac:dyDescent="0.25">
      <c r="H34827" s="12"/>
      <c r="I34827" s="12"/>
      <c r="J34827" s="12"/>
      <c r="K34827" s="12"/>
      <c r="L34827" s="12"/>
      <c r="M34827" s="11"/>
      <c r="N34827" s="11"/>
      <c r="O34827" s="11"/>
      <c r="P34827" s="11"/>
    </row>
    <row r="34828" spans="8:16" x14ac:dyDescent="0.25">
      <c r="H34828" s="12"/>
      <c r="I34828" s="12"/>
      <c r="J34828" s="12"/>
      <c r="K34828" s="12"/>
      <c r="L34828" s="12"/>
      <c r="M34828" s="11"/>
      <c r="N34828" s="11"/>
      <c r="O34828" s="11"/>
      <c r="P34828" s="11"/>
    </row>
    <row r="34829" spans="8:16" x14ac:dyDescent="0.25">
      <c r="H34829" s="12"/>
      <c r="I34829" s="12"/>
      <c r="J34829" s="12"/>
      <c r="K34829" s="12"/>
      <c r="L34829" s="12"/>
      <c r="M34829" s="11"/>
      <c r="N34829" s="11"/>
      <c r="O34829" s="11"/>
      <c r="P34829" s="11"/>
    </row>
    <row r="34830" spans="8:16" x14ac:dyDescent="0.25">
      <c r="H34830" s="12"/>
      <c r="I34830" s="12"/>
      <c r="J34830" s="12"/>
      <c r="K34830" s="12"/>
      <c r="L34830" s="12"/>
      <c r="M34830" s="11"/>
      <c r="N34830" s="11"/>
      <c r="O34830" s="11"/>
      <c r="P34830" s="11"/>
    </row>
    <row r="34831" spans="8:16" x14ac:dyDescent="0.25">
      <c r="H34831" s="12"/>
      <c r="I34831" s="12"/>
      <c r="J34831" s="12"/>
      <c r="K34831" s="12"/>
      <c r="L34831" s="12"/>
      <c r="M34831" s="11"/>
      <c r="N34831" s="11"/>
      <c r="O34831" s="11"/>
      <c r="P34831" s="11"/>
    </row>
    <row r="34832" spans="8:16" x14ac:dyDescent="0.25">
      <c r="H34832" s="12"/>
      <c r="I34832" s="12"/>
      <c r="J34832" s="12"/>
      <c r="K34832" s="12"/>
      <c r="L34832" s="12"/>
      <c r="M34832" s="11"/>
      <c r="N34832" s="11"/>
      <c r="O34832" s="11"/>
      <c r="P34832" s="11"/>
    </row>
    <row r="34833" spans="8:16" x14ac:dyDescent="0.25">
      <c r="H34833" s="12"/>
      <c r="I34833" s="12"/>
      <c r="J34833" s="12"/>
      <c r="K34833" s="12"/>
      <c r="L34833" s="12"/>
      <c r="M34833" s="11"/>
      <c r="N34833" s="11"/>
      <c r="O34833" s="11"/>
      <c r="P34833" s="11"/>
    </row>
    <row r="34834" spans="8:16" x14ac:dyDescent="0.25">
      <c r="H34834" s="12"/>
      <c r="I34834" s="12"/>
      <c r="J34834" s="12"/>
      <c r="K34834" s="12"/>
      <c r="L34834" s="12"/>
      <c r="M34834" s="11"/>
      <c r="N34834" s="11"/>
      <c r="O34834" s="11"/>
      <c r="P34834" s="11"/>
    </row>
    <row r="34835" spans="8:16" x14ac:dyDescent="0.25">
      <c r="H34835" s="12"/>
      <c r="I34835" s="12"/>
      <c r="J34835" s="12"/>
      <c r="K34835" s="12"/>
      <c r="L34835" s="12"/>
      <c r="M34835" s="11"/>
      <c r="N34835" s="11"/>
      <c r="O34835" s="11"/>
      <c r="P34835" s="11"/>
    </row>
    <row r="34836" spans="8:16" x14ac:dyDescent="0.25">
      <c r="H34836" s="12"/>
      <c r="I34836" s="12"/>
      <c r="J34836" s="12"/>
      <c r="K34836" s="12"/>
      <c r="L34836" s="12"/>
      <c r="M34836" s="11"/>
      <c r="N34836" s="11"/>
      <c r="O34836" s="11"/>
      <c r="P34836" s="11"/>
    </row>
    <row r="34837" spans="8:16" x14ac:dyDescent="0.25">
      <c r="H34837" s="12"/>
      <c r="I34837" s="12"/>
      <c r="J34837" s="12"/>
      <c r="K34837" s="12"/>
      <c r="L34837" s="12"/>
      <c r="M34837" s="11"/>
      <c r="N34837" s="11"/>
      <c r="O34837" s="11"/>
      <c r="P34837" s="11"/>
    </row>
    <row r="34838" spans="8:16" x14ac:dyDescent="0.25">
      <c r="H34838" s="12"/>
      <c r="I34838" s="12"/>
      <c r="J34838" s="12"/>
      <c r="K34838" s="12"/>
      <c r="L34838" s="12"/>
      <c r="M34838" s="11"/>
      <c r="N34838" s="11"/>
      <c r="O34838" s="11"/>
      <c r="P34838" s="11"/>
    </row>
    <row r="34839" spans="8:16" x14ac:dyDescent="0.25">
      <c r="H34839" s="12"/>
      <c r="I34839" s="12"/>
      <c r="J34839" s="12"/>
      <c r="K34839" s="12"/>
      <c r="L34839" s="12"/>
      <c r="M34839" s="11"/>
      <c r="N34839" s="11"/>
      <c r="O34839" s="11"/>
      <c r="P34839" s="11"/>
    </row>
    <row r="34840" spans="8:16" x14ac:dyDescent="0.25">
      <c r="H34840" s="12"/>
      <c r="I34840" s="12"/>
      <c r="J34840" s="12"/>
      <c r="K34840" s="12"/>
      <c r="L34840" s="12"/>
      <c r="M34840" s="11"/>
      <c r="N34840" s="11"/>
      <c r="O34840" s="11"/>
      <c r="P34840" s="11"/>
    </row>
    <row r="34841" spans="8:16" x14ac:dyDescent="0.25">
      <c r="H34841" s="12"/>
      <c r="I34841" s="12"/>
      <c r="J34841" s="12"/>
      <c r="K34841" s="12"/>
      <c r="L34841" s="12"/>
      <c r="M34841" s="11"/>
      <c r="N34841" s="11"/>
      <c r="O34841" s="11"/>
      <c r="P34841" s="11"/>
    </row>
    <row r="34842" spans="8:16" x14ac:dyDescent="0.25">
      <c r="H34842" s="12"/>
      <c r="I34842" s="12"/>
      <c r="J34842" s="12"/>
      <c r="K34842" s="12"/>
      <c r="L34842" s="12"/>
      <c r="M34842" s="11"/>
      <c r="N34842" s="11"/>
      <c r="O34842" s="11"/>
      <c r="P34842" s="11"/>
    </row>
    <row r="34843" spans="8:16" x14ac:dyDescent="0.25">
      <c r="H34843" s="12"/>
      <c r="I34843" s="12"/>
      <c r="J34843" s="12"/>
      <c r="K34843" s="12"/>
      <c r="L34843" s="12"/>
      <c r="M34843" s="11"/>
      <c r="N34843" s="11"/>
      <c r="O34843" s="11"/>
      <c r="P34843" s="11"/>
    </row>
    <row r="34844" spans="8:16" x14ac:dyDescent="0.25">
      <c r="H34844" s="12"/>
      <c r="I34844" s="12"/>
      <c r="J34844" s="12"/>
      <c r="K34844" s="12"/>
      <c r="L34844" s="12"/>
      <c r="M34844" s="11"/>
      <c r="N34844" s="11"/>
      <c r="O34844" s="11"/>
      <c r="P34844" s="11"/>
    </row>
    <row r="34845" spans="8:16" x14ac:dyDescent="0.25">
      <c r="H34845" s="12"/>
      <c r="I34845" s="12"/>
      <c r="J34845" s="12"/>
      <c r="K34845" s="12"/>
      <c r="L34845" s="12"/>
      <c r="M34845" s="11"/>
      <c r="N34845" s="11"/>
      <c r="O34845" s="11"/>
      <c r="P34845" s="11"/>
    </row>
    <row r="34846" spans="8:16" x14ac:dyDescent="0.25">
      <c r="H34846" s="12"/>
      <c r="I34846" s="12"/>
      <c r="J34846" s="12"/>
      <c r="K34846" s="12"/>
      <c r="L34846" s="12"/>
      <c r="M34846" s="11"/>
      <c r="N34846" s="11"/>
      <c r="O34846" s="11"/>
      <c r="P34846" s="11"/>
    </row>
    <row r="34847" spans="8:16" x14ac:dyDescent="0.25">
      <c r="H34847" s="12"/>
      <c r="I34847" s="12"/>
      <c r="J34847" s="12"/>
      <c r="K34847" s="12"/>
      <c r="L34847" s="12"/>
      <c r="M34847" s="11"/>
      <c r="N34847" s="11"/>
      <c r="O34847" s="11"/>
      <c r="P34847" s="11"/>
    </row>
    <row r="34848" spans="8:16" x14ac:dyDescent="0.25">
      <c r="H34848" s="12"/>
      <c r="I34848" s="12"/>
      <c r="J34848" s="12"/>
      <c r="K34848" s="12"/>
      <c r="L34848" s="12"/>
      <c r="M34848" s="11"/>
      <c r="N34848" s="11"/>
      <c r="O34848" s="11"/>
      <c r="P34848" s="11"/>
    </row>
    <row r="34849" spans="8:16" x14ac:dyDescent="0.25">
      <c r="H34849" s="12"/>
      <c r="I34849" s="12"/>
      <c r="J34849" s="12"/>
      <c r="K34849" s="12"/>
      <c r="L34849" s="12"/>
      <c r="M34849" s="11"/>
      <c r="N34849" s="11"/>
      <c r="O34849" s="11"/>
      <c r="P34849" s="11"/>
    </row>
    <row r="34850" spans="8:16" x14ac:dyDescent="0.25">
      <c r="H34850" s="12"/>
      <c r="I34850" s="12"/>
      <c r="J34850" s="12"/>
      <c r="K34850" s="12"/>
      <c r="L34850" s="12"/>
      <c r="M34850" s="11"/>
      <c r="N34850" s="11"/>
      <c r="O34850" s="11"/>
      <c r="P34850" s="11"/>
    </row>
    <row r="34851" spans="8:16" x14ac:dyDescent="0.25">
      <c r="H34851" s="12"/>
      <c r="I34851" s="12"/>
      <c r="J34851" s="12"/>
      <c r="K34851" s="12"/>
      <c r="L34851" s="12"/>
      <c r="M34851" s="11"/>
      <c r="N34851" s="11"/>
      <c r="O34851" s="11"/>
      <c r="P34851" s="11"/>
    </row>
    <row r="34852" spans="8:16" x14ac:dyDescent="0.25">
      <c r="H34852" s="12"/>
      <c r="I34852" s="12"/>
      <c r="J34852" s="12"/>
      <c r="K34852" s="12"/>
      <c r="L34852" s="12"/>
      <c r="M34852" s="11"/>
      <c r="N34852" s="11"/>
      <c r="O34852" s="11"/>
      <c r="P34852" s="11"/>
    </row>
    <row r="34853" spans="8:16" x14ac:dyDescent="0.25">
      <c r="H34853" s="12"/>
      <c r="I34853" s="12"/>
      <c r="J34853" s="12"/>
      <c r="K34853" s="12"/>
      <c r="L34853" s="12"/>
      <c r="M34853" s="11"/>
      <c r="N34853" s="11"/>
      <c r="O34853" s="11"/>
      <c r="P34853" s="11"/>
    </row>
    <row r="34854" spans="8:16" x14ac:dyDescent="0.25">
      <c r="H34854" s="12"/>
      <c r="I34854" s="12"/>
      <c r="J34854" s="12"/>
      <c r="K34854" s="12"/>
      <c r="L34854" s="12"/>
      <c r="M34854" s="11"/>
      <c r="N34854" s="11"/>
      <c r="O34854" s="11"/>
      <c r="P34854" s="11"/>
    </row>
    <row r="34855" spans="8:16" x14ac:dyDescent="0.25">
      <c r="H34855" s="12"/>
      <c r="I34855" s="12"/>
      <c r="J34855" s="12"/>
      <c r="K34855" s="12"/>
      <c r="L34855" s="12"/>
      <c r="M34855" s="11"/>
      <c r="N34855" s="11"/>
      <c r="O34855" s="11"/>
      <c r="P34855" s="11"/>
    </row>
    <row r="34856" spans="8:16" x14ac:dyDescent="0.25">
      <c r="H34856" s="12"/>
      <c r="I34856" s="12"/>
      <c r="J34856" s="12"/>
      <c r="K34856" s="12"/>
      <c r="L34856" s="12"/>
      <c r="M34856" s="11"/>
      <c r="N34856" s="11"/>
      <c r="O34856" s="11"/>
      <c r="P34856" s="11"/>
    </row>
    <row r="34857" spans="8:16" x14ac:dyDescent="0.25">
      <c r="H34857" s="12"/>
      <c r="I34857" s="12"/>
      <c r="J34857" s="12"/>
      <c r="K34857" s="12"/>
      <c r="L34857" s="12"/>
      <c r="M34857" s="11"/>
      <c r="N34857" s="11"/>
      <c r="O34857" s="11"/>
      <c r="P34857" s="11"/>
    </row>
    <row r="34858" spans="8:16" x14ac:dyDescent="0.25">
      <c r="H34858" s="12"/>
      <c r="I34858" s="12"/>
      <c r="J34858" s="12"/>
      <c r="K34858" s="12"/>
      <c r="L34858" s="12"/>
      <c r="M34858" s="11"/>
      <c r="N34858" s="11"/>
      <c r="O34858" s="11"/>
      <c r="P34858" s="11"/>
    </row>
    <row r="34859" spans="8:16" x14ac:dyDescent="0.25">
      <c r="H34859" s="12"/>
      <c r="I34859" s="12"/>
      <c r="J34859" s="12"/>
      <c r="K34859" s="12"/>
      <c r="L34859" s="12"/>
      <c r="M34859" s="11"/>
      <c r="N34859" s="11"/>
      <c r="O34859" s="11"/>
      <c r="P34859" s="11"/>
    </row>
    <row r="34860" spans="8:16" x14ac:dyDescent="0.25">
      <c r="H34860" s="12"/>
      <c r="I34860" s="12"/>
      <c r="J34860" s="12"/>
      <c r="K34860" s="12"/>
      <c r="L34860" s="12"/>
      <c r="M34860" s="11"/>
      <c r="N34860" s="11"/>
      <c r="O34860" s="11"/>
      <c r="P34860" s="11"/>
    </row>
    <row r="34861" spans="8:16" x14ac:dyDescent="0.25">
      <c r="H34861" s="12"/>
      <c r="I34861" s="12"/>
      <c r="J34861" s="12"/>
      <c r="K34861" s="12"/>
      <c r="L34861" s="12"/>
      <c r="M34861" s="11"/>
      <c r="N34861" s="11"/>
      <c r="O34861" s="11"/>
      <c r="P34861" s="11"/>
    </row>
    <row r="34862" spans="8:16" x14ac:dyDescent="0.25">
      <c r="H34862" s="12"/>
      <c r="I34862" s="12"/>
      <c r="J34862" s="12"/>
      <c r="K34862" s="12"/>
      <c r="L34862" s="12"/>
      <c r="M34862" s="11"/>
      <c r="N34862" s="11"/>
      <c r="O34862" s="11"/>
      <c r="P34862" s="11"/>
    </row>
    <row r="34863" spans="8:16" x14ac:dyDescent="0.25">
      <c r="H34863" s="12"/>
      <c r="I34863" s="12"/>
      <c r="J34863" s="12"/>
      <c r="K34863" s="12"/>
      <c r="L34863" s="12"/>
      <c r="M34863" s="11"/>
      <c r="N34863" s="11"/>
      <c r="O34863" s="11"/>
      <c r="P34863" s="11"/>
    </row>
    <row r="34864" spans="8:16" x14ac:dyDescent="0.25">
      <c r="H34864" s="12"/>
      <c r="I34864" s="12"/>
      <c r="J34864" s="12"/>
      <c r="K34864" s="12"/>
      <c r="L34864" s="12"/>
      <c r="M34864" s="11"/>
      <c r="N34864" s="11"/>
      <c r="O34864" s="11"/>
      <c r="P34864" s="11"/>
    </row>
    <row r="34865" spans="8:16" x14ac:dyDescent="0.25">
      <c r="H34865" s="12"/>
      <c r="I34865" s="12"/>
      <c r="J34865" s="12"/>
      <c r="K34865" s="12"/>
      <c r="L34865" s="12"/>
      <c r="M34865" s="11"/>
      <c r="N34865" s="11"/>
      <c r="O34865" s="11"/>
      <c r="P34865" s="11"/>
    </row>
    <row r="34866" spans="8:16" x14ac:dyDescent="0.25">
      <c r="H34866" s="12"/>
      <c r="I34866" s="12"/>
      <c r="J34866" s="12"/>
      <c r="K34866" s="12"/>
      <c r="L34866" s="12"/>
      <c r="M34866" s="11"/>
      <c r="N34866" s="11"/>
      <c r="O34866" s="11"/>
      <c r="P34866" s="11"/>
    </row>
    <row r="34867" spans="8:16" x14ac:dyDescent="0.25">
      <c r="H34867" s="12"/>
      <c r="I34867" s="12"/>
      <c r="J34867" s="12"/>
      <c r="K34867" s="12"/>
      <c r="L34867" s="12"/>
      <c r="M34867" s="11"/>
      <c r="N34867" s="11"/>
      <c r="O34867" s="11"/>
      <c r="P34867" s="11"/>
    </row>
    <row r="34868" spans="8:16" x14ac:dyDescent="0.25">
      <c r="H34868" s="12"/>
      <c r="I34868" s="12"/>
      <c r="J34868" s="12"/>
      <c r="K34868" s="12"/>
      <c r="L34868" s="12"/>
      <c r="M34868" s="11"/>
      <c r="N34868" s="11"/>
      <c r="O34868" s="11"/>
      <c r="P34868" s="11"/>
    </row>
    <row r="34869" spans="8:16" x14ac:dyDescent="0.25">
      <c r="H34869" s="12"/>
      <c r="I34869" s="12"/>
      <c r="J34869" s="12"/>
      <c r="K34869" s="12"/>
      <c r="L34869" s="12"/>
      <c r="M34869" s="11"/>
      <c r="N34869" s="11"/>
      <c r="O34869" s="11"/>
      <c r="P34869" s="11"/>
    </row>
    <row r="34870" spans="8:16" x14ac:dyDescent="0.25">
      <c r="H34870" s="12"/>
      <c r="I34870" s="12"/>
      <c r="J34870" s="12"/>
      <c r="K34870" s="12"/>
      <c r="L34870" s="12"/>
      <c r="M34870" s="11"/>
      <c r="N34870" s="11"/>
      <c r="O34870" s="11"/>
      <c r="P34870" s="11"/>
    </row>
    <row r="34871" spans="8:16" x14ac:dyDescent="0.25">
      <c r="H34871" s="12"/>
      <c r="I34871" s="12"/>
      <c r="J34871" s="12"/>
      <c r="K34871" s="12"/>
      <c r="L34871" s="12"/>
      <c r="M34871" s="11"/>
      <c r="N34871" s="11"/>
      <c r="O34871" s="11"/>
      <c r="P34871" s="11"/>
    </row>
    <row r="34872" spans="8:16" x14ac:dyDescent="0.25">
      <c r="H34872" s="12"/>
      <c r="I34872" s="12"/>
      <c r="J34872" s="12"/>
      <c r="K34872" s="12"/>
      <c r="L34872" s="12"/>
      <c r="M34872" s="11"/>
      <c r="N34872" s="11"/>
      <c r="O34872" s="11"/>
      <c r="P34872" s="11"/>
    </row>
    <row r="34873" spans="8:16" x14ac:dyDescent="0.25">
      <c r="H34873" s="12"/>
      <c r="I34873" s="12"/>
      <c r="J34873" s="12"/>
      <c r="K34873" s="12"/>
      <c r="L34873" s="12"/>
      <c r="M34873" s="11"/>
      <c r="N34873" s="11"/>
      <c r="O34873" s="11"/>
      <c r="P34873" s="11"/>
    </row>
    <row r="34874" spans="8:16" x14ac:dyDescent="0.25">
      <c r="H34874" s="12"/>
      <c r="I34874" s="12"/>
      <c r="J34874" s="12"/>
      <c r="K34874" s="12"/>
      <c r="L34874" s="12"/>
      <c r="M34874" s="11"/>
      <c r="N34874" s="11"/>
      <c r="O34874" s="11"/>
      <c r="P34874" s="11"/>
    </row>
    <row r="34875" spans="8:16" x14ac:dyDescent="0.25">
      <c r="H34875" s="12"/>
      <c r="I34875" s="12"/>
      <c r="J34875" s="12"/>
      <c r="K34875" s="12"/>
      <c r="L34875" s="12"/>
      <c r="M34875" s="11"/>
      <c r="N34875" s="11"/>
      <c r="O34875" s="11"/>
      <c r="P34875" s="11"/>
    </row>
    <row r="34876" spans="8:16" x14ac:dyDescent="0.25">
      <c r="H34876" s="12"/>
      <c r="I34876" s="12"/>
      <c r="J34876" s="12"/>
      <c r="K34876" s="12"/>
      <c r="L34876" s="12"/>
      <c r="M34876" s="11"/>
      <c r="N34876" s="11"/>
      <c r="O34876" s="11"/>
      <c r="P34876" s="11"/>
    </row>
    <row r="34877" spans="8:16" x14ac:dyDescent="0.25">
      <c r="H34877" s="12"/>
      <c r="I34877" s="12"/>
      <c r="J34877" s="12"/>
      <c r="K34877" s="12"/>
      <c r="L34877" s="12"/>
      <c r="M34877" s="11"/>
      <c r="N34877" s="11"/>
      <c r="O34877" s="11"/>
      <c r="P34877" s="11"/>
    </row>
    <row r="34878" spans="8:16" x14ac:dyDescent="0.25">
      <c r="H34878" s="12"/>
      <c r="I34878" s="12"/>
      <c r="J34878" s="12"/>
      <c r="K34878" s="12"/>
      <c r="L34878" s="12"/>
      <c r="M34878" s="11"/>
      <c r="N34878" s="11"/>
      <c r="O34878" s="11"/>
      <c r="P34878" s="11"/>
    </row>
    <row r="34879" spans="8:16" x14ac:dyDescent="0.25">
      <c r="H34879" s="12"/>
      <c r="I34879" s="12"/>
      <c r="J34879" s="12"/>
      <c r="K34879" s="12"/>
      <c r="L34879" s="12"/>
      <c r="M34879" s="11"/>
      <c r="N34879" s="11"/>
      <c r="O34879" s="11"/>
      <c r="P34879" s="11"/>
    </row>
    <row r="34880" spans="8:16" x14ac:dyDescent="0.25">
      <c r="H34880" s="12"/>
      <c r="I34880" s="12"/>
      <c r="J34880" s="12"/>
      <c r="K34880" s="12"/>
      <c r="L34880" s="12"/>
      <c r="M34880" s="11"/>
      <c r="N34880" s="11"/>
      <c r="O34880" s="11"/>
      <c r="P34880" s="11"/>
    </row>
    <row r="34881" spans="8:16" x14ac:dyDescent="0.25">
      <c r="H34881" s="12"/>
      <c r="I34881" s="12"/>
      <c r="J34881" s="12"/>
      <c r="K34881" s="12"/>
      <c r="L34881" s="12"/>
      <c r="M34881" s="11"/>
      <c r="N34881" s="11"/>
      <c r="O34881" s="11"/>
      <c r="P34881" s="11"/>
    </row>
    <row r="34882" spans="8:16" x14ac:dyDescent="0.25">
      <c r="H34882" s="12"/>
      <c r="I34882" s="12"/>
      <c r="J34882" s="12"/>
      <c r="K34882" s="12"/>
      <c r="L34882" s="12"/>
      <c r="M34882" s="11"/>
      <c r="N34882" s="11"/>
      <c r="O34882" s="11"/>
      <c r="P34882" s="11"/>
    </row>
    <row r="34883" spans="8:16" x14ac:dyDescent="0.25">
      <c r="H34883" s="12"/>
      <c r="I34883" s="12"/>
      <c r="J34883" s="12"/>
      <c r="K34883" s="12"/>
      <c r="L34883" s="12"/>
      <c r="M34883" s="11"/>
      <c r="N34883" s="11"/>
      <c r="O34883" s="11"/>
      <c r="P34883" s="11"/>
    </row>
    <row r="34884" spans="8:16" x14ac:dyDescent="0.25">
      <c r="H34884" s="12"/>
      <c r="I34884" s="12"/>
      <c r="J34884" s="12"/>
      <c r="K34884" s="12"/>
      <c r="L34884" s="12"/>
      <c r="M34884" s="11"/>
      <c r="N34884" s="11"/>
      <c r="O34884" s="11"/>
      <c r="P34884" s="11"/>
    </row>
    <row r="34885" spans="8:16" x14ac:dyDescent="0.25">
      <c r="H34885" s="12"/>
      <c r="I34885" s="12"/>
      <c r="J34885" s="12"/>
      <c r="K34885" s="12"/>
      <c r="L34885" s="12"/>
      <c r="M34885" s="11"/>
      <c r="N34885" s="11"/>
      <c r="O34885" s="11"/>
      <c r="P34885" s="11"/>
    </row>
    <row r="34886" spans="8:16" x14ac:dyDescent="0.25">
      <c r="H34886" s="12"/>
      <c r="I34886" s="12"/>
      <c r="J34886" s="12"/>
      <c r="K34886" s="12"/>
      <c r="L34886" s="12"/>
      <c r="M34886" s="11"/>
      <c r="N34886" s="11"/>
      <c r="O34886" s="11"/>
      <c r="P34886" s="11"/>
    </row>
    <row r="34887" spans="8:16" x14ac:dyDescent="0.25">
      <c r="H34887" s="12"/>
      <c r="I34887" s="12"/>
      <c r="J34887" s="12"/>
      <c r="K34887" s="12"/>
      <c r="L34887" s="12"/>
      <c r="M34887" s="11"/>
      <c r="N34887" s="11"/>
      <c r="O34887" s="11"/>
      <c r="P34887" s="11"/>
    </row>
    <row r="34888" spans="8:16" x14ac:dyDescent="0.25">
      <c r="H34888" s="12"/>
      <c r="I34888" s="12"/>
      <c r="J34888" s="12"/>
      <c r="K34888" s="12"/>
      <c r="L34888" s="12"/>
      <c r="M34888" s="11"/>
      <c r="N34888" s="11"/>
      <c r="O34888" s="11"/>
      <c r="P34888" s="11"/>
    </row>
    <row r="34889" spans="8:16" x14ac:dyDescent="0.25">
      <c r="H34889" s="12"/>
      <c r="I34889" s="12"/>
      <c r="J34889" s="12"/>
      <c r="K34889" s="12"/>
      <c r="L34889" s="12"/>
      <c r="M34889" s="11"/>
      <c r="N34889" s="11"/>
      <c r="O34889" s="11"/>
      <c r="P34889" s="11"/>
    </row>
    <row r="34890" spans="8:16" x14ac:dyDescent="0.25">
      <c r="H34890" s="12"/>
      <c r="I34890" s="12"/>
      <c r="J34890" s="12"/>
      <c r="K34890" s="12"/>
      <c r="L34890" s="12"/>
      <c r="M34890" s="11"/>
      <c r="N34890" s="11"/>
      <c r="O34890" s="11"/>
      <c r="P34890" s="11"/>
    </row>
    <row r="34891" spans="8:16" x14ac:dyDescent="0.25">
      <c r="H34891" s="12"/>
      <c r="I34891" s="12"/>
      <c r="J34891" s="12"/>
      <c r="K34891" s="12"/>
      <c r="L34891" s="12"/>
      <c r="M34891" s="11"/>
      <c r="N34891" s="11"/>
      <c r="O34891" s="11"/>
      <c r="P34891" s="11"/>
    </row>
    <row r="34892" spans="8:16" x14ac:dyDescent="0.25">
      <c r="H34892" s="12"/>
      <c r="I34892" s="12"/>
      <c r="J34892" s="12"/>
      <c r="K34892" s="12"/>
      <c r="L34892" s="12"/>
      <c r="M34892" s="11"/>
      <c r="N34892" s="11"/>
      <c r="O34892" s="11"/>
      <c r="P34892" s="11"/>
    </row>
    <row r="34893" spans="8:16" x14ac:dyDescent="0.25">
      <c r="H34893" s="12"/>
      <c r="I34893" s="12"/>
      <c r="J34893" s="12"/>
      <c r="K34893" s="12"/>
      <c r="L34893" s="12"/>
      <c r="M34893" s="11"/>
      <c r="N34893" s="11"/>
      <c r="O34893" s="11"/>
      <c r="P34893" s="11"/>
    </row>
    <row r="34894" spans="8:16" x14ac:dyDescent="0.25">
      <c r="H34894" s="12"/>
      <c r="I34894" s="12"/>
      <c r="J34894" s="12"/>
      <c r="K34894" s="12"/>
      <c r="L34894" s="12"/>
      <c r="M34894" s="11"/>
      <c r="N34894" s="11"/>
      <c r="O34894" s="11"/>
      <c r="P34894" s="11"/>
    </row>
    <row r="34895" spans="8:16" x14ac:dyDescent="0.25">
      <c r="H34895" s="12"/>
      <c r="I34895" s="12"/>
      <c r="J34895" s="12"/>
      <c r="K34895" s="12"/>
      <c r="L34895" s="12"/>
      <c r="M34895" s="11"/>
      <c r="N34895" s="11"/>
      <c r="O34895" s="11"/>
      <c r="P34895" s="11"/>
    </row>
    <row r="34896" spans="8:16" x14ac:dyDescent="0.25">
      <c r="H34896" s="12"/>
      <c r="I34896" s="12"/>
      <c r="J34896" s="12"/>
      <c r="K34896" s="12"/>
      <c r="L34896" s="12"/>
      <c r="M34896" s="11"/>
      <c r="N34896" s="11"/>
      <c r="O34896" s="11"/>
      <c r="P34896" s="11"/>
    </row>
    <row r="34897" spans="8:16" x14ac:dyDescent="0.25">
      <c r="H34897" s="12"/>
      <c r="I34897" s="12"/>
      <c r="J34897" s="12"/>
      <c r="K34897" s="12"/>
      <c r="L34897" s="12"/>
      <c r="M34897" s="11"/>
      <c r="N34897" s="11"/>
      <c r="O34897" s="11"/>
      <c r="P34897" s="11"/>
    </row>
    <row r="34898" spans="8:16" x14ac:dyDescent="0.25">
      <c r="H34898" s="12"/>
      <c r="I34898" s="12"/>
      <c r="J34898" s="12"/>
      <c r="K34898" s="12"/>
      <c r="L34898" s="12"/>
      <c r="M34898" s="11"/>
      <c r="N34898" s="11"/>
      <c r="O34898" s="11"/>
      <c r="P34898" s="11"/>
    </row>
    <row r="34899" spans="8:16" x14ac:dyDescent="0.25">
      <c r="H34899" s="12"/>
      <c r="I34899" s="12"/>
      <c r="J34899" s="12"/>
      <c r="K34899" s="12"/>
      <c r="L34899" s="12"/>
      <c r="M34899" s="11"/>
      <c r="N34899" s="11"/>
      <c r="O34899" s="11"/>
      <c r="P34899" s="11"/>
    </row>
    <row r="34900" spans="8:16" x14ac:dyDescent="0.25">
      <c r="H34900" s="12"/>
      <c r="I34900" s="12"/>
      <c r="J34900" s="12"/>
      <c r="K34900" s="12"/>
      <c r="L34900" s="12"/>
      <c r="M34900" s="11"/>
      <c r="N34900" s="11"/>
      <c r="O34900" s="11"/>
      <c r="P34900" s="11"/>
    </row>
    <row r="34901" spans="8:16" x14ac:dyDescent="0.25">
      <c r="H34901" s="12"/>
      <c r="I34901" s="12"/>
      <c r="J34901" s="12"/>
      <c r="K34901" s="12"/>
      <c r="L34901" s="12"/>
      <c r="M34901" s="11"/>
      <c r="N34901" s="11"/>
      <c r="O34901" s="11"/>
      <c r="P34901" s="11"/>
    </row>
    <row r="34902" spans="8:16" x14ac:dyDescent="0.25">
      <c r="H34902" s="12"/>
      <c r="I34902" s="12"/>
      <c r="J34902" s="12"/>
      <c r="K34902" s="12"/>
      <c r="L34902" s="12"/>
      <c r="M34902" s="11"/>
      <c r="N34902" s="11"/>
      <c r="O34902" s="11"/>
      <c r="P34902" s="11"/>
    </row>
    <row r="34903" spans="8:16" x14ac:dyDescent="0.25">
      <c r="H34903" s="12"/>
      <c r="I34903" s="12"/>
      <c r="J34903" s="12"/>
      <c r="K34903" s="12"/>
      <c r="L34903" s="12"/>
      <c r="M34903" s="11"/>
      <c r="N34903" s="11"/>
      <c r="O34903" s="11"/>
      <c r="P34903" s="11"/>
    </row>
    <row r="34904" spans="8:16" x14ac:dyDescent="0.25">
      <c r="H34904" s="12"/>
      <c r="I34904" s="12"/>
      <c r="J34904" s="12"/>
      <c r="K34904" s="12"/>
      <c r="L34904" s="12"/>
      <c r="M34904" s="11"/>
      <c r="N34904" s="11"/>
      <c r="O34904" s="11"/>
      <c r="P34904" s="11"/>
    </row>
    <row r="34905" spans="8:16" x14ac:dyDescent="0.25">
      <c r="H34905" s="12"/>
      <c r="I34905" s="12"/>
      <c r="J34905" s="12"/>
      <c r="K34905" s="12"/>
      <c r="L34905" s="12"/>
      <c r="M34905" s="11"/>
      <c r="N34905" s="11"/>
      <c r="O34905" s="11"/>
      <c r="P34905" s="11"/>
    </row>
    <row r="34906" spans="8:16" x14ac:dyDescent="0.25">
      <c r="H34906" s="12"/>
      <c r="I34906" s="12"/>
      <c r="J34906" s="12"/>
      <c r="K34906" s="12"/>
      <c r="L34906" s="12"/>
      <c r="M34906" s="11"/>
      <c r="N34906" s="11"/>
      <c r="O34906" s="11"/>
      <c r="P34906" s="11"/>
    </row>
    <row r="34907" spans="8:16" x14ac:dyDescent="0.25">
      <c r="H34907" s="12"/>
      <c r="I34907" s="12"/>
      <c r="J34907" s="12"/>
      <c r="K34907" s="12"/>
      <c r="L34907" s="12"/>
      <c r="M34907" s="11"/>
      <c r="N34907" s="11"/>
      <c r="O34907" s="11"/>
      <c r="P34907" s="11"/>
    </row>
    <row r="34908" spans="8:16" x14ac:dyDescent="0.25">
      <c r="H34908" s="12"/>
      <c r="I34908" s="12"/>
      <c r="J34908" s="12"/>
      <c r="K34908" s="12"/>
      <c r="L34908" s="12"/>
      <c r="M34908" s="11"/>
      <c r="N34908" s="11"/>
      <c r="O34908" s="11"/>
      <c r="P34908" s="11"/>
    </row>
    <row r="34909" spans="8:16" x14ac:dyDescent="0.25">
      <c r="H34909" s="12"/>
      <c r="I34909" s="12"/>
      <c r="J34909" s="12"/>
      <c r="K34909" s="12"/>
      <c r="L34909" s="12"/>
      <c r="M34909" s="11"/>
      <c r="N34909" s="11"/>
      <c r="O34909" s="11"/>
      <c r="P34909" s="11"/>
    </row>
    <row r="34910" spans="8:16" x14ac:dyDescent="0.25">
      <c r="H34910" s="12"/>
      <c r="I34910" s="12"/>
      <c r="J34910" s="12"/>
      <c r="K34910" s="12"/>
      <c r="L34910" s="12"/>
      <c r="M34910" s="11"/>
      <c r="N34910" s="11"/>
      <c r="O34910" s="11"/>
      <c r="P34910" s="11"/>
    </row>
    <row r="34911" spans="8:16" x14ac:dyDescent="0.25">
      <c r="H34911" s="12"/>
      <c r="I34911" s="12"/>
      <c r="J34911" s="12"/>
      <c r="K34911" s="12"/>
      <c r="L34911" s="12"/>
      <c r="M34911" s="11"/>
      <c r="N34911" s="11"/>
      <c r="O34911" s="11"/>
      <c r="P34911" s="11"/>
    </row>
    <row r="34912" spans="8:16" x14ac:dyDescent="0.25">
      <c r="H34912" s="12"/>
      <c r="I34912" s="12"/>
      <c r="J34912" s="12"/>
      <c r="K34912" s="12"/>
      <c r="L34912" s="12"/>
      <c r="M34912" s="11"/>
      <c r="N34912" s="11"/>
      <c r="O34912" s="11"/>
      <c r="P34912" s="11"/>
    </row>
    <row r="34913" spans="8:16" x14ac:dyDescent="0.25">
      <c r="H34913" s="12"/>
      <c r="I34913" s="12"/>
      <c r="J34913" s="12"/>
      <c r="K34913" s="12"/>
      <c r="L34913" s="12"/>
      <c r="M34913" s="11"/>
      <c r="N34913" s="11"/>
      <c r="O34913" s="11"/>
      <c r="P34913" s="11"/>
    </row>
    <row r="34914" spans="8:16" x14ac:dyDescent="0.25">
      <c r="H34914" s="12"/>
      <c r="I34914" s="12"/>
      <c r="J34914" s="12"/>
      <c r="K34914" s="12"/>
      <c r="L34914" s="12"/>
      <c r="M34914" s="11"/>
      <c r="N34914" s="11"/>
      <c r="O34914" s="11"/>
      <c r="P34914" s="11"/>
    </row>
    <row r="34915" spans="8:16" x14ac:dyDescent="0.25">
      <c r="H34915" s="12"/>
      <c r="I34915" s="12"/>
      <c r="J34915" s="12"/>
      <c r="K34915" s="12"/>
      <c r="L34915" s="12"/>
      <c r="M34915" s="11"/>
      <c r="N34915" s="11"/>
      <c r="O34915" s="11"/>
      <c r="P34915" s="11"/>
    </row>
    <row r="34916" spans="8:16" x14ac:dyDescent="0.25">
      <c r="H34916" s="12"/>
      <c r="I34916" s="12"/>
      <c r="J34916" s="12"/>
      <c r="K34916" s="12"/>
      <c r="L34916" s="12"/>
      <c r="M34916" s="11"/>
      <c r="N34916" s="11"/>
      <c r="O34916" s="11"/>
      <c r="P34916" s="11"/>
    </row>
    <row r="34917" spans="8:16" x14ac:dyDescent="0.25">
      <c r="H34917" s="12"/>
      <c r="I34917" s="12"/>
      <c r="J34917" s="12"/>
      <c r="K34917" s="12"/>
      <c r="L34917" s="12"/>
      <c r="M34917" s="11"/>
      <c r="N34917" s="11"/>
      <c r="O34917" s="11"/>
      <c r="P34917" s="11"/>
    </row>
    <row r="34918" spans="8:16" x14ac:dyDescent="0.25">
      <c r="H34918" s="12"/>
      <c r="I34918" s="12"/>
      <c r="J34918" s="12"/>
      <c r="K34918" s="12"/>
      <c r="L34918" s="12"/>
      <c r="M34918" s="11"/>
      <c r="N34918" s="11"/>
      <c r="O34918" s="11"/>
      <c r="P34918" s="11"/>
    </row>
    <row r="34919" spans="8:16" x14ac:dyDescent="0.25">
      <c r="H34919" s="12"/>
      <c r="I34919" s="12"/>
      <c r="J34919" s="12"/>
      <c r="K34919" s="12"/>
      <c r="L34919" s="12"/>
      <c r="M34919" s="11"/>
      <c r="N34919" s="11"/>
      <c r="O34919" s="11"/>
      <c r="P34919" s="11"/>
    </row>
    <row r="34920" spans="8:16" x14ac:dyDescent="0.25">
      <c r="H34920" s="12"/>
      <c r="I34920" s="12"/>
      <c r="J34920" s="12"/>
      <c r="K34920" s="12"/>
      <c r="L34920" s="12"/>
      <c r="M34920" s="11"/>
      <c r="N34920" s="11"/>
      <c r="O34920" s="11"/>
      <c r="P34920" s="11"/>
    </row>
    <row r="34921" spans="8:16" x14ac:dyDescent="0.25">
      <c r="H34921" s="12"/>
      <c r="I34921" s="12"/>
      <c r="J34921" s="12"/>
      <c r="K34921" s="12"/>
      <c r="L34921" s="12"/>
      <c r="M34921" s="11"/>
      <c r="N34921" s="11"/>
      <c r="O34921" s="11"/>
      <c r="P34921" s="11"/>
    </row>
    <row r="34922" spans="8:16" x14ac:dyDescent="0.25">
      <c r="H34922" s="12"/>
      <c r="I34922" s="12"/>
      <c r="J34922" s="12"/>
      <c r="K34922" s="12"/>
      <c r="L34922" s="12"/>
      <c r="M34922" s="11"/>
      <c r="N34922" s="11"/>
      <c r="O34922" s="11"/>
      <c r="P34922" s="11"/>
    </row>
    <row r="34923" spans="8:16" x14ac:dyDescent="0.25">
      <c r="H34923" s="12"/>
      <c r="I34923" s="12"/>
      <c r="J34923" s="12"/>
      <c r="K34923" s="12"/>
      <c r="L34923" s="12"/>
      <c r="M34923" s="11"/>
      <c r="N34923" s="11"/>
      <c r="O34923" s="11"/>
      <c r="P34923" s="11"/>
    </row>
    <row r="34924" spans="8:16" x14ac:dyDescent="0.25">
      <c r="H34924" s="12"/>
      <c r="I34924" s="12"/>
      <c r="J34924" s="12"/>
      <c r="K34924" s="12"/>
      <c r="L34924" s="12"/>
      <c r="M34924" s="11"/>
      <c r="N34924" s="11"/>
      <c r="O34924" s="11"/>
      <c r="P34924" s="11"/>
    </row>
    <row r="34925" spans="8:16" x14ac:dyDescent="0.25">
      <c r="H34925" s="12"/>
      <c r="I34925" s="12"/>
      <c r="J34925" s="12"/>
      <c r="K34925" s="12"/>
      <c r="L34925" s="12"/>
      <c r="M34925" s="11"/>
      <c r="N34925" s="11"/>
      <c r="O34925" s="11"/>
      <c r="P34925" s="11"/>
    </row>
    <row r="34926" spans="8:16" x14ac:dyDescent="0.25">
      <c r="H34926" s="12"/>
      <c r="I34926" s="12"/>
      <c r="J34926" s="12"/>
      <c r="K34926" s="12"/>
      <c r="L34926" s="12"/>
      <c r="M34926" s="11"/>
      <c r="N34926" s="11"/>
      <c r="O34926" s="11"/>
      <c r="P34926" s="11"/>
    </row>
    <row r="34927" spans="8:16" x14ac:dyDescent="0.25">
      <c r="H34927" s="12"/>
      <c r="I34927" s="12"/>
      <c r="J34927" s="12"/>
      <c r="K34927" s="12"/>
      <c r="L34927" s="12"/>
      <c r="M34927" s="11"/>
      <c r="N34927" s="11"/>
      <c r="O34927" s="11"/>
      <c r="P34927" s="11"/>
    </row>
    <row r="34928" spans="8:16" x14ac:dyDescent="0.25">
      <c r="H34928" s="12"/>
      <c r="I34928" s="12"/>
      <c r="J34928" s="12"/>
      <c r="K34928" s="12"/>
      <c r="L34928" s="12"/>
      <c r="M34928" s="11"/>
      <c r="N34928" s="11"/>
      <c r="O34928" s="11"/>
      <c r="P34928" s="11"/>
    </row>
    <row r="34929" spans="8:16" x14ac:dyDescent="0.25">
      <c r="H34929" s="12"/>
      <c r="I34929" s="12"/>
      <c r="J34929" s="12"/>
      <c r="K34929" s="12"/>
      <c r="L34929" s="12"/>
      <c r="M34929" s="11"/>
      <c r="N34929" s="11"/>
      <c r="O34929" s="11"/>
      <c r="P34929" s="11"/>
    </row>
    <row r="34930" spans="8:16" x14ac:dyDescent="0.25">
      <c r="H34930" s="12"/>
      <c r="I34930" s="12"/>
      <c r="J34930" s="12"/>
      <c r="K34930" s="12"/>
      <c r="L34930" s="12"/>
      <c r="M34930" s="11"/>
      <c r="N34930" s="11"/>
      <c r="O34930" s="11"/>
      <c r="P34930" s="11"/>
    </row>
    <row r="34931" spans="8:16" x14ac:dyDescent="0.25">
      <c r="H34931" s="12"/>
      <c r="I34931" s="12"/>
      <c r="J34931" s="12"/>
      <c r="K34931" s="12"/>
      <c r="L34931" s="12"/>
      <c r="M34931" s="11"/>
      <c r="N34931" s="11"/>
      <c r="O34931" s="11"/>
      <c r="P34931" s="11"/>
    </row>
    <row r="34932" spans="8:16" x14ac:dyDescent="0.25">
      <c r="H34932" s="12"/>
      <c r="I34932" s="12"/>
      <c r="J34932" s="12"/>
      <c r="K34932" s="12"/>
      <c r="L34932" s="12"/>
      <c r="M34932" s="11"/>
      <c r="N34932" s="11"/>
      <c r="O34932" s="11"/>
      <c r="P34932" s="11"/>
    </row>
    <row r="34933" spans="8:16" x14ac:dyDescent="0.25">
      <c r="H34933" s="12"/>
      <c r="I34933" s="12"/>
      <c r="J34933" s="12"/>
      <c r="K34933" s="12"/>
      <c r="L34933" s="12"/>
      <c r="M34933" s="11"/>
      <c r="N34933" s="11"/>
      <c r="O34933" s="11"/>
      <c r="P34933" s="11"/>
    </row>
    <row r="34934" spans="8:16" x14ac:dyDescent="0.25">
      <c r="H34934" s="12"/>
      <c r="I34934" s="12"/>
      <c r="J34934" s="12"/>
      <c r="K34934" s="12"/>
      <c r="L34934" s="12"/>
      <c r="M34934" s="11"/>
      <c r="N34934" s="11"/>
      <c r="O34934" s="11"/>
      <c r="P34934" s="11"/>
    </row>
    <row r="34935" spans="8:16" x14ac:dyDescent="0.25">
      <c r="H34935" s="12"/>
      <c r="I34935" s="12"/>
      <c r="J34935" s="12"/>
      <c r="K34935" s="12"/>
      <c r="L34935" s="12"/>
      <c r="M34935" s="11"/>
      <c r="N34935" s="11"/>
      <c r="O34935" s="11"/>
      <c r="P34935" s="11"/>
    </row>
    <row r="34936" spans="8:16" x14ac:dyDescent="0.25">
      <c r="H34936" s="12"/>
      <c r="I34936" s="12"/>
      <c r="J34936" s="12"/>
      <c r="K34936" s="12"/>
      <c r="L34936" s="12"/>
      <c r="M34936" s="11"/>
      <c r="N34936" s="11"/>
      <c r="O34936" s="11"/>
      <c r="P34936" s="11"/>
    </row>
    <row r="34937" spans="8:16" x14ac:dyDescent="0.25">
      <c r="H34937" s="12"/>
      <c r="I34937" s="12"/>
      <c r="J34937" s="12"/>
      <c r="K34937" s="12"/>
      <c r="L34937" s="12"/>
      <c r="M34937" s="11"/>
      <c r="N34937" s="11"/>
      <c r="O34937" s="11"/>
      <c r="P34937" s="11"/>
    </row>
    <row r="34938" spans="8:16" x14ac:dyDescent="0.25">
      <c r="H34938" s="12"/>
      <c r="I34938" s="12"/>
      <c r="J34938" s="12"/>
      <c r="K34938" s="12"/>
      <c r="L34938" s="12"/>
      <c r="M34938" s="11"/>
      <c r="N34938" s="11"/>
      <c r="O34938" s="11"/>
      <c r="P34938" s="11"/>
    </row>
    <row r="34939" spans="8:16" x14ac:dyDescent="0.25">
      <c r="H34939" s="12"/>
      <c r="I34939" s="12"/>
      <c r="J34939" s="12"/>
      <c r="K34939" s="12"/>
      <c r="L34939" s="12"/>
      <c r="M34939" s="11"/>
      <c r="N34939" s="11"/>
      <c r="O34939" s="11"/>
      <c r="P34939" s="11"/>
    </row>
    <row r="34940" spans="8:16" x14ac:dyDescent="0.25">
      <c r="H34940" s="12"/>
      <c r="I34940" s="12"/>
      <c r="J34940" s="12"/>
      <c r="K34940" s="12"/>
      <c r="L34940" s="12"/>
      <c r="M34940" s="11"/>
      <c r="N34940" s="11"/>
      <c r="O34940" s="11"/>
      <c r="P34940" s="11"/>
    </row>
    <row r="34941" spans="8:16" x14ac:dyDescent="0.25">
      <c r="H34941" s="12"/>
      <c r="I34941" s="12"/>
      <c r="J34941" s="12"/>
      <c r="K34941" s="12"/>
      <c r="L34941" s="12"/>
      <c r="M34941" s="11"/>
      <c r="N34941" s="11"/>
      <c r="O34941" s="11"/>
      <c r="P34941" s="11"/>
    </row>
    <row r="34942" spans="8:16" x14ac:dyDescent="0.25">
      <c r="H34942" s="12"/>
      <c r="I34942" s="12"/>
      <c r="J34942" s="12"/>
      <c r="K34942" s="12"/>
      <c r="L34942" s="12"/>
      <c r="M34942" s="11"/>
      <c r="N34942" s="11"/>
      <c r="O34942" s="11"/>
      <c r="P34942" s="11"/>
    </row>
    <row r="34943" spans="8:16" x14ac:dyDescent="0.25">
      <c r="H34943" s="12"/>
      <c r="I34943" s="12"/>
      <c r="J34943" s="12"/>
      <c r="K34943" s="12"/>
      <c r="L34943" s="12"/>
      <c r="M34943" s="11"/>
      <c r="N34943" s="11"/>
      <c r="O34943" s="11"/>
      <c r="P34943" s="11"/>
    </row>
    <row r="34944" spans="8:16" x14ac:dyDescent="0.25">
      <c r="H34944" s="12"/>
      <c r="I34944" s="12"/>
      <c r="J34944" s="12"/>
      <c r="K34944" s="12"/>
      <c r="L34944" s="12"/>
      <c r="M34944" s="11"/>
      <c r="N34944" s="11"/>
      <c r="O34944" s="11"/>
      <c r="P34944" s="11"/>
    </row>
    <row r="34945" spans="8:16" x14ac:dyDescent="0.25">
      <c r="H34945" s="12"/>
      <c r="I34945" s="12"/>
      <c r="J34945" s="12"/>
      <c r="K34945" s="12"/>
      <c r="L34945" s="12"/>
      <c r="M34945" s="11"/>
      <c r="N34945" s="11"/>
      <c r="O34945" s="11"/>
      <c r="P34945" s="11"/>
    </row>
    <row r="34946" spans="8:16" x14ac:dyDescent="0.25">
      <c r="H34946" s="12"/>
      <c r="I34946" s="12"/>
      <c r="J34946" s="12"/>
      <c r="K34946" s="12"/>
      <c r="L34946" s="12"/>
      <c r="M34946" s="11"/>
      <c r="N34946" s="11"/>
      <c r="O34946" s="11"/>
      <c r="P34946" s="11"/>
    </row>
    <row r="34947" spans="8:16" x14ac:dyDescent="0.25">
      <c r="H34947" s="12"/>
      <c r="I34947" s="12"/>
      <c r="J34947" s="12"/>
      <c r="K34947" s="12"/>
      <c r="L34947" s="12"/>
      <c r="M34947" s="11"/>
      <c r="N34947" s="11"/>
      <c r="O34947" s="11"/>
      <c r="P34947" s="11"/>
    </row>
    <row r="34948" spans="8:16" x14ac:dyDescent="0.25">
      <c r="H34948" s="12"/>
      <c r="I34948" s="12"/>
      <c r="J34948" s="12"/>
      <c r="K34948" s="12"/>
      <c r="L34948" s="12"/>
      <c r="M34948" s="11"/>
      <c r="N34948" s="11"/>
      <c r="O34948" s="11"/>
      <c r="P34948" s="11"/>
    </row>
    <row r="34949" spans="8:16" x14ac:dyDescent="0.25">
      <c r="H34949" s="12"/>
      <c r="I34949" s="12"/>
      <c r="J34949" s="12"/>
      <c r="K34949" s="12"/>
      <c r="L34949" s="12"/>
      <c r="M34949" s="11"/>
      <c r="N34949" s="11"/>
      <c r="O34949" s="11"/>
      <c r="P34949" s="11"/>
    </row>
    <row r="34950" spans="8:16" x14ac:dyDescent="0.25">
      <c r="H34950" s="12"/>
      <c r="I34950" s="12"/>
      <c r="J34950" s="12"/>
      <c r="K34950" s="12"/>
      <c r="L34950" s="12"/>
      <c r="M34950" s="11"/>
      <c r="N34950" s="11"/>
      <c r="O34950" s="11"/>
      <c r="P34950" s="11"/>
    </row>
    <row r="34951" spans="8:16" x14ac:dyDescent="0.25">
      <c r="H34951" s="12"/>
      <c r="I34951" s="12"/>
      <c r="J34951" s="12"/>
      <c r="K34951" s="12"/>
      <c r="L34951" s="12"/>
      <c r="M34951" s="11"/>
      <c r="N34951" s="11"/>
      <c r="O34951" s="11"/>
      <c r="P34951" s="11"/>
    </row>
    <row r="34952" spans="8:16" x14ac:dyDescent="0.25">
      <c r="H34952" s="12"/>
      <c r="I34952" s="12"/>
      <c r="J34952" s="12"/>
      <c r="K34952" s="12"/>
      <c r="L34952" s="12"/>
      <c r="M34952" s="11"/>
      <c r="N34952" s="11"/>
      <c r="O34952" s="11"/>
      <c r="P34952" s="11"/>
    </row>
    <row r="34953" spans="8:16" x14ac:dyDescent="0.25">
      <c r="H34953" s="12"/>
      <c r="I34953" s="12"/>
      <c r="J34953" s="12"/>
      <c r="K34953" s="12"/>
      <c r="L34953" s="12"/>
      <c r="M34953" s="11"/>
      <c r="N34953" s="11"/>
      <c r="O34953" s="11"/>
      <c r="P34953" s="11"/>
    </row>
    <row r="34954" spans="8:16" x14ac:dyDescent="0.25">
      <c r="H34954" s="12"/>
      <c r="I34954" s="12"/>
      <c r="J34954" s="12"/>
      <c r="K34954" s="12"/>
      <c r="L34954" s="12"/>
      <c r="M34954" s="11"/>
      <c r="N34954" s="11"/>
      <c r="O34954" s="11"/>
      <c r="P34954" s="11"/>
    </row>
    <row r="34955" spans="8:16" x14ac:dyDescent="0.25">
      <c r="H34955" s="12"/>
      <c r="I34955" s="12"/>
      <c r="J34955" s="12"/>
      <c r="K34955" s="12"/>
      <c r="L34955" s="12"/>
      <c r="M34955" s="11"/>
      <c r="N34955" s="11"/>
      <c r="O34955" s="11"/>
      <c r="P34955" s="11"/>
    </row>
    <row r="34956" spans="8:16" x14ac:dyDescent="0.25">
      <c r="H34956" s="12"/>
      <c r="I34956" s="12"/>
      <c r="J34956" s="12"/>
      <c r="K34956" s="12"/>
      <c r="L34956" s="12"/>
      <c r="M34956" s="11"/>
      <c r="N34956" s="11"/>
      <c r="O34956" s="11"/>
      <c r="P34956" s="11"/>
    </row>
    <row r="34957" spans="8:16" x14ac:dyDescent="0.25">
      <c r="H34957" s="12"/>
      <c r="I34957" s="12"/>
      <c r="J34957" s="12"/>
      <c r="K34957" s="12"/>
      <c r="L34957" s="12"/>
      <c r="M34957" s="11"/>
      <c r="N34957" s="11"/>
      <c r="O34957" s="11"/>
      <c r="P34957" s="11"/>
    </row>
    <row r="34958" spans="8:16" x14ac:dyDescent="0.25">
      <c r="H34958" s="12"/>
      <c r="I34958" s="12"/>
      <c r="J34958" s="12"/>
      <c r="K34958" s="12"/>
      <c r="L34958" s="12"/>
      <c r="M34958" s="11"/>
      <c r="N34958" s="11"/>
      <c r="O34958" s="11"/>
      <c r="P34958" s="11"/>
    </row>
    <row r="34959" spans="8:16" x14ac:dyDescent="0.25">
      <c r="H34959" s="12"/>
      <c r="I34959" s="12"/>
      <c r="J34959" s="12"/>
      <c r="K34959" s="12"/>
      <c r="L34959" s="12"/>
      <c r="M34959" s="11"/>
      <c r="N34959" s="11"/>
      <c r="O34959" s="11"/>
      <c r="P34959" s="11"/>
    </row>
    <row r="34960" spans="8:16" x14ac:dyDescent="0.25">
      <c r="H34960" s="12"/>
      <c r="I34960" s="12"/>
      <c r="J34960" s="12"/>
      <c r="K34960" s="12"/>
      <c r="L34960" s="12"/>
      <c r="M34960" s="11"/>
      <c r="N34960" s="11"/>
      <c r="O34960" s="11"/>
      <c r="P34960" s="11"/>
    </row>
    <row r="34961" spans="8:16" x14ac:dyDescent="0.25">
      <c r="H34961" s="12"/>
      <c r="I34961" s="12"/>
      <c r="J34961" s="12"/>
      <c r="K34961" s="12"/>
      <c r="L34961" s="12"/>
      <c r="M34961" s="11"/>
      <c r="N34961" s="11"/>
      <c r="O34961" s="11"/>
      <c r="P34961" s="11"/>
    </row>
    <row r="34962" spans="8:16" x14ac:dyDescent="0.25">
      <c r="H34962" s="12"/>
      <c r="I34962" s="12"/>
      <c r="J34962" s="12"/>
      <c r="K34962" s="12"/>
      <c r="L34962" s="12"/>
      <c r="M34962" s="11"/>
      <c r="N34962" s="11"/>
      <c r="O34962" s="11"/>
      <c r="P34962" s="11"/>
    </row>
    <row r="34963" spans="8:16" x14ac:dyDescent="0.25">
      <c r="H34963" s="12"/>
      <c r="I34963" s="12"/>
      <c r="J34963" s="12"/>
      <c r="K34963" s="12"/>
      <c r="L34963" s="12"/>
      <c r="M34963" s="11"/>
      <c r="N34963" s="11"/>
      <c r="O34963" s="11"/>
      <c r="P34963" s="11"/>
    </row>
    <row r="34964" spans="8:16" x14ac:dyDescent="0.25">
      <c r="H34964" s="12"/>
      <c r="I34964" s="12"/>
      <c r="J34964" s="12"/>
      <c r="K34964" s="12"/>
      <c r="L34964" s="12"/>
      <c r="M34964" s="11"/>
      <c r="N34964" s="11"/>
      <c r="O34964" s="11"/>
      <c r="P34964" s="11"/>
    </row>
    <row r="34965" spans="8:16" x14ac:dyDescent="0.25">
      <c r="H34965" s="12"/>
      <c r="I34965" s="12"/>
      <c r="J34965" s="12"/>
      <c r="K34965" s="12"/>
      <c r="L34965" s="12"/>
      <c r="M34965" s="11"/>
      <c r="N34965" s="11"/>
      <c r="O34965" s="11"/>
      <c r="P34965" s="11"/>
    </row>
    <row r="34966" spans="8:16" x14ac:dyDescent="0.25">
      <c r="H34966" s="12"/>
      <c r="I34966" s="12"/>
      <c r="J34966" s="12"/>
      <c r="K34966" s="12"/>
      <c r="L34966" s="12"/>
      <c r="M34966" s="11"/>
      <c r="N34966" s="11"/>
      <c r="O34966" s="11"/>
      <c r="P34966" s="11"/>
    </row>
    <row r="34967" spans="8:16" x14ac:dyDescent="0.25">
      <c r="H34967" s="12"/>
      <c r="I34967" s="12"/>
      <c r="J34967" s="12"/>
      <c r="K34967" s="12"/>
      <c r="L34967" s="12"/>
      <c r="M34967" s="11"/>
      <c r="N34967" s="11"/>
      <c r="O34967" s="11"/>
      <c r="P34967" s="11"/>
    </row>
    <row r="34968" spans="8:16" x14ac:dyDescent="0.25">
      <c r="H34968" s="12"/>
      <c r="I34968" s="12"/>
      <c r="J34968" s="12"/>
      <c r="K34968" s="12"/>
      <c r="L34968" s="12"/>
      <c r="M34968" s="11"/>
      <c r="N34968" s="11"/>
      <c r="O34968" s="11"/>
      <c r="P34968" s="11"/>
    </row>
    <row r="34969" spans="8:16" x14ac:dyDescent="0.25">
      <c r="H34969" s="12"/>
      <c r="I34969" s="12"/>
      <c r="J34969" s="12"/>
      <c r="K34969" s="12"/>
      <c r="L34969" s="12"/>
      <c r="M34969" s="11"/>
      <c r="N34969" s="11"/>
      <c r="O34969" s="11"/>
      <c r="P34969" s="11"/>
    </row>
    <row r="34970" spans="8:16" x14ac:dyDescent="0.25">
      <c r="H34970" s="12"/>
      <c r="I34970" s="12"/>
      <c r="J34970" s="12"/>
      <c r="K34970" s="12"/>
      <c r="L34970" s="12"/>
      <c r="M34970" s="11"/>
      <c r="N34970" s="11"/>
      <c r="O34970" s="11"/>
      <c r="P34970" s="11"/>
    </row>
    <row r="34971" spans="8:16" x14ac:dyDescent="0.25">
      <c r="H34971" s="12"/>
      <c r="I34971" s="12"/>
      <c r="J34971" s="12"/>
      <c r="K34971" s="12"/>
      <c r="L34971" s="12"/>
      <c r="M34971" s="11"/>
      <c r="N34971" s="11"/>
      <c r="O34971" s="11"/>
      <c r="P34971" s="11"/>
    </row>
    <row r="34972" spans="8:16" x14ac:dyDescent="0.25">
      <c r="H34972" s="12"/>
      <c r="I34972" s="12"/>
      <c r="J34972" s="12"/>
      <c r="K34972" s="12"/>
      <c r="L34972" s="12"/>
      <c r="M34972" s="11"/>
      <c r="N34972" s="11"/>
      <c r="O34972" s="11"/>
      <c r="P34972" s="11"/>
    </row>
    <row r="34973" spans="8:16" x14ac:dyDescent="0.25">
      <c r="H34973" s="12"/>
      <c r="I34973" s="12"/>
      <c r="J34973" s="12"/>
      <c r="K34973" s="12"/>
      <c r="L34973" s="12"/>
      <c r="M34973" s="11"/>
      <c r="N34973" s="11"/>
      <c r="O34973" s="11"/>
      <c r="P34973" s="11"/>
    </row>
    <row r="34974" spans="8:16" x14ac:dyDescent="0.25">
      <c r="H34974" s="12"/>
      <c r="I34974" s="12"/>
      <c r="J34974" s="12"/>
      <c r="K34974" s="12"/>
      <c r="L34974" s="12"/>
      <c r="M34974" s="11"/>
      <c r="N34974" s="11"/>
      <c r="O34974" s="11"/>
      <c r="P34974" s="11"/>
    </row>
    <row r="34975" spans="8:16" x14ac:dyDescent="0.25">
      <c r="H34975" s="12"/>
      <c r="I34975" s="12"/>
      <c r="J34975" s="12"/>
      <c r="K34975" s="12"/>
      <c r="L34975" s="12"/>
      <c r="M34975" s="11"/>
      <c r="N34975" s="11"/>
      <c r="O34975" s="11"/>
      <c r="P34975" s="11"/>
    </row>
    <row r="34976" spans="8:16" x14ac:dyDescent="0.25">
      <c r="H34976" s="12"/>
      <c r="I34976" s="12"/>
      <c r="J34976" s="12"/>
      <c r="K34976" s="12"/>
      <c r="L34976" s="12"/>
      <c r="M34976" s="11"/>
      <c r="N34976" s="11"/>
      <c r="O34976" s="11"/>
      <c r="P34976" s="11"/>
    </row>
    <row r="34977" spans="8:16" x14ac:dyDescent="0.25">
      <c r="H34977" s="12"/>
      <c r="I34977" s="12"/>
      <c r="J34977" s="12"/>
      <c r="K34977" s="12"/>
      <c r="L34977" s="12"/>
      <c r="M34977" s="11"/>
      <c r="N34977" s="11"/>
      <c r="O34977" s="11"/>
      <c r="P34977" s="11"/>
    </row>
    <row r="34978" spans="8:16" x14ac:dyDescent="0.25">
      <c r="H34978" s="12"/>
      <c r="I34978" s="12"/>
      <c r="J34978" s="12"/>
      <c r="K34978" s="12"/>
      <c r="L34978" s="12"/>
      <c r="M34978" s="11"/>
      <c r="N34978" s="11"/>
      <c r="O34978" s="11"/>
      <c r="P34978" s="11"/>
    </row>
    <row r="34979" spans="8:16" x14ac:dyDescent="0.25">
      <c r="H34979" s="12"/>
      <c r="I34979" s="12"/>
      <c r="J34979" s="12"/>
      <c r="K34979" s="12"/>
      <c r="L34979" s="12"/>
      <c r="M34979" s="11"/>
      <c r="N34979" s="11"/>
      <c r="O34979" s="11"/>
      <c r="P34979" s="11"/>
    </row>
    <row r="34980" spans="8:16" x14ac:dyDescent="0.25">
      <c r="H34980" s="12"/>
      <c r="I34980" s="12"/>
      <c r="J34980" s="12"/>
      <c r="K34980" s="12"/>
      <c r="L34980" s="12"/>
      <c r="M34980" s="11"/>
      <c r="N34980" s="11"/>
      <c r="O34980" s="11"/>
      <c r="P34980" s="11"/>
    </row>
    <row r="34981" spans="8:16" x14ac:dyDescent="0.25">
      <c r="H34981" s="12"/>
      <c r="I34981" s="12"/>
      <c r="J34981" s="12"/>
      <c r="K34981" s="12"/>
      <c r="L34981" s="12"/>
      <c r="M34981" s="11"/>
      <c r="N34981" s="11"/>
      <c r="O34981" s="11"/>
      <c r="P34981" s="11"/>
    </row>
    <row r="34982" spans="8:16" x14ac:dyDescent="0.25">
      <c r="H34982" s="12"/>
      <c r="I34982" s="12"/>
      <c r="J34982" s="12"/>
      <c r="K34982" s="12"/>
      <c r="L34982" s="12"/>
      <c r="M34982" s="11"/>
      <c r="N34982" s="11"/>
      <c r="O34982" s="11"/>
      <c r="P34982" s="11"/>
    </row>
    <row r="34983" spans="8:16" x14ac:dyDescent="0.25">
      <c r="H34983" s="12"/>
      <c r="I34983" s="12"/>
      <c r="J34983" s="12"/>
      <c r="K34983" s="12"/>
      <c r="L34983" s="12"/>
      <c r="M34983" s="11"/>
      <c r="N34983" s="11"/>
      <c r="O34983" s="11"/>
      <c r="P34983" s="11"/>
    </row>
    <row r="34984" spans="8:16" x14ac:dyDescent="0.25">
      <c r="H34984" s="12"/>
      <c r="I34984" s="12"/>
      <c r="J34984" s="12"/>
      <c r="K34984" s="12"/>
      <c r="L34984" s="12"/>
      <c r="M34984" s="11"/>
      <c r="N34984" s="11"/>
      <c r="O34984" s="11"/>
      <c r="P34984" s="11"/>
    </row>
    <row r="34985" spans="8:16" x14ac:dyDescent="0.25">
      <c r="H34985" s="12"/>
      <c r="I34985" s="12"/>
      <c r="J34985" s="12"/>
      <c r="K34985" s="12"/>
      <c r="L34985" s="12"/>
      <c r="M34985" s="11"/>
      <c r="N34985" s="11"/>
      <c r="O34985" s="11"/>
      <c r="P34985" s="11"/>
    </row>
    <row r="34986" spans="8:16" x14ac:dyDescent="0.25">
      <c r="H34986" s="12"/>
      <c r="I34986" s="12"/>
      <c r="J34986" s="12"/>
      <c r="K34986" s="12"/>
      <c r="L34986" s="12"/>
      <c r="M34986" s="11"/>
      <c r="N34986" s="11"/>
      <c r="O34986" s="11"/>
      <c r="P34986" s="11"/>
    </row>
    <row r="34987" spans="8:16" x14ac:dyDescent="0.25">
      <c r="H34987" s="12"/>
      <c r="I34987" s="12"/>
      <c r="J34987" s="12"/>
      <c r="K34987" s="12"/>
      <c r="L34987" s="12"/>
      <c r="M34987" s="11"/>
      <c r="N34987" s="11"/>
      <c r="O34987" s="11"/>
      <c r="P34987" s="11"/>
    </row>
    <row r="34988" spans="8:16" x14ac:dyDescent="0.25">
      <c r="H34988" s="12"/>
      <c r="I34988" s="12"/>
      <c r="J34988" s="12"/>
      <c r="K34988" s="12"/>
      <c r="L34988" s="12"/>
      <c r="M34988" s="11"/>
      <c r="N34988" s="11"/>
      <c r="O34988" s="11"/>
      <c r="P34988" s="11"/>
    </row>
    <row r="34989" spans="8:16" x14ac:dyDescent="0.25">
      <c r="H34989" s="12"/>
      <c r="I34989" s="12"/>
      <c r="J34989" s="12"/>
      <c r="K34989" s="12"/>
      <c r="L34989" s="12"/>
      <c r="M34989" s="11"/>
      <c r="N34989" s="11"/>
      <c r="O34989" s="11"/>
      <c r="P34989" s="11"/>
    </row>
    <row r="34990" spans="8:16" x14ac:dyDescent="0.25">
      <c r="H34990" s="12"/>
      <c r="I34990" s="12"/>
      <c r="J34990" s="12"/>
      <c r="K34990" s="12"/>
      <c r="L34990" s="12"/>
      <c r="M34990" s="11"/>
      <c r="N34990" s="11"/>
      <c r="O34990" s="11"/>
      <c r="P34990" s="11"/>
    </row>
    <row r="34991" spans="8:16" x14ac:dyDescent="0.25">
      <c r="H34991" s="12"/>
      <c r="I34991" s="12"/>
      <c r="J34991" s="12"/>
      <c r="K34991" s="12"/>
      <c r="L34991" s="12"/>
      <c r="M34991" s="11"/>
      <c r="N34991" s="11"/>
      <c r="O34991" s="11"/>
      <c r="P34991" s="11"/>
    </row>
    <row r="34992" spans="8:16" x14ac:dyDescent="0.25">
      <c r="H34992" s="12"/>
      <c r="I34992" s="12"/>
      <c r="J34992" s="12"/>
      <c r="K34992" s="12"/>
      <c r="L34992" s="12"/>
      <c r="M34992" s="11"/>
      <c r="N34992" s="11"/>
      <c r="O34992" s="11"/>
      <c r="P34992" s="11"/>
    </row>
    <row r="34993" spans="8:16" x14ac:dyDescent="0.25">
      <c r="H34993" s="12"/>
      <c r="I34993" s="12"/>
      <c r="J34993" s="12"/>
      <c r="K34993" s="12"/>
      <c r="L34993" s="12"/>
      <c r="M34993" s="11"/>
      <c r="N34993" s="11"/>
      <c r="O34993" s="11"/>
      <c r="P34993" s="11"/>
    </row>
    <row r="34994" spans="8:16" x14ac:dyDescent="0.25">
      <c r="H34994" s="12"/>
      <c r="I34994" s="12"/>
      <c r="J34994" s="12"/>
      <c r="K34994" s="12"/>
      <c r="L34994" s="12"/>
      <c r="M34994" s="11"/>
      <c r="N34994" s="11"/>
      <c r="O34994" s="11"/>
      <c r="P34994" s="11"/>
    </row>
    <row r="34995" spans="8:16" x14ac:dyDescent="0.25">
      <c r="H34995" s="12"/>
      <c r="I34995" s="12"/>
      <c r="J34995" s="12"/>
      <c r="K34995" s="12"/>
      <c r="L34995" s="12"/>
      <c r="M34995" s="11"/>
      <c r="N34995" s="11"/>
      <c r="O34995" s="11"/>
      <c r="P34995" s="11"/>
    </row>
    <row r="34996" spans="8:16" x14ac:dyDescent="0.25">
      <c r="H34996" s="12"/>
      <c r="I34996" s="12"/>
      <c r="J34996" s="12"/>
      <c r="K34996" s="12"/>
      <c r="L34996" s="12"/>
      <c r="M34996" s="11"/>
      <c r="N34996" s="11"/>
      <c r="O34996" s="11"/>
      <c r="P34996" s="11"/>
    </row>
    <row r="34997" spans="8:16" x14ac:dyDescent="0.25">
      <c r="H34997" s="12"/>
      <c r="I34997" s="12"/>
      <c r="J34997" s="12"/>
      <c r="K34997" s="12"/>
      <c r="L34997" s="12"/>
      <c r="M34997" s="11"/>
      <c r="N34997" s="11"/>
      <c r="O34997" s="11"/>
      <c r="P34997" s="11"/>
    </row>
    <row r="34998" spans="8:16" x14ac:dyDescent="0.25">
      <c r="H34998" s="12"/>
      <c r="I34998" s="12"/>
      <c r="J34998" s="12"/>
      <c r="K34998" s="12"/>
      <c r="L34998" s="12"/>
      <c r="M34998" s="11"/>
      <c r="N34998" s="11"/>
      <c r="O34998" s="11"/>
      <c r="P34998" s="11"/>
    </row>
    <row r="34999" spans="8:16" x14ac:dyDescent="0.25">
      <c r="H34999" s="12"/>
      <c r="I34999" s="12"/>
      <c r="J34999" s="12"/>
      <c r="K34999" s="12"/>
      <c r="L34999" s="12"/>
      <c r="M34999" s="11"/>
      <c r="N34999" s="11"/>
      <c r="O34999" s="11"/>
      <c r="P34999" s="11"/>
    </row>
    <row r="35000" spans="8:16" x14ac:dyDescent="0.25">
      <c r="H35000" s="12"/>
      <c r="I35000" s="12"/>
      <c r="J35000" s="12"/>
      <c r="K35000" s="12"/>
      <c r="L35000" s="12"/>
      <c r="M35000" s="11"/>
      <c r="N35000" s="11"/>
      <c r="O35000" s="11"/>
      <c r="P35000" s="11"/>
    </row>
    <row r="35001" spans="8:16" x14ac:dyDescent="0.25">
      <c r="H35001" s="12"/>
      <c r="I35001" s="12"/>
      <c r="J35001" s="12"/>
      <c r="K35001" s="12"/>
      <c r="L35001" s="12"/>
      <c r="M35001" s="11"/>
      <c r="N35001" s="11"/>
      <c r="O35001" s="11"/>
      <c r="P35001" s="11"/>
    </row>
    <row r="35002" spans="8:16" x14ac:dyDescent="0.25">
      <c r="H35002" s="12"/>
      <c r="I35002" s="12"/>
      <c r="J35002" s="12"/>
      <c r="K35002" s="12"/>
      <c r="L35002" s="12"/>
      <c r="M35002" s="11"/>
      <c r="N35002" s="11"/>
      <c r="O35002" s="11"/>
      <c r="P35002" s="11"/>
    </row>
    <row r="35003" spans="8:16" x14ac:dyDescent="0.25">
      <c r="H35003" s="12"/>
      <c r="I35003" s="12"/>
      <c r="J35003" s="12"/>
      <c r="K35003" s="12"/>
      <c r="L35003" s="12"/>
      <c r="M35003" s="11"/>
      <c r="N35003" s="11"/>
      <c r="O35003" s="11"/>
      <c r="P35003" s="11"/>
    </row>
    <row r="35004" spans="8:16" x14ac:dyDescent="0.25">
      <c r="H35004" s="12"/>
      <c r="I35004" s="12"/>
      <c r="J35004" s="12"/>
      <c r="K35004" s="12"/>
      <c r="L35004" s="12"/>
      <c r="M35004" s="11"/>
      <c r="N35004" s="11"/>
      <c r="O35004" s="11"/>
      <c r="P35004" s="11"/>
    </row>
    <row r="35005" spans="8:16" x14ac:dyDescent="0.25">
      <c r="H35005" s="12"/>
      <c r="I35005" s="12"/>
      <c r="J35005" s="12"/>
      <c r="K35005" s="12"/>
      <c r="L35005" s="12"/>
      <c r="M35005" s="11"/>
      <c r="N35005" s="11"/>
      <c r="O35005" s="11"/>
      <c r="P35005" s="11"/>
    </row>
    <row r="35006" spans="8:16" x14ac:dyDescent="0.25">
      <c r="H35006" s="12"/>
      <c r="I35006" s="12"/>
      <c r="J35006" s="12"/>
      <c r="K35006" s="12"/>
      <c r="L35006" s="12"/>
      <c r="M35006" s="11"/>
      <c r="N35006" s="11"/>
      <c r="O35006" s="11"/>
      <c r="P35006" s="11"/>
    </row>
    <row r="35007" spans="8:16" x14ac:dyDescent="0.25">
      <c r="H35007" s="12"/>
      <c r="I35007" s="12"/>
      <c r="J35007" s="12"/>
      <c r="K35007" s="12"/>
      <c r="L35007" s="12"/>
      <c r="M35007" s="11"/>
      <c r="N35007" s="11"/>
      <c r="O35007" s="11"/>
      <c r="P35007" s="11"/>
    </row>
    <row r="35008" spans="8:16" x14ac:dyDescent="0.25">
      <c r="H35008" s="12"/>
      <c r="I35008" s="12"/>
      <c r="J35008" s="12"/>
      <c r="K35008" s="12"/>
      <c r="L35008" s="12"/>
      <c r="M35008" s="11"/>
      <c r="N35008" s="11"/>
      <c r="O35008" s="11"/>
      <c r="P35008" s="11"/>
    </row>
    <row r="35009" spans="8:16" x14ac:dyDescent="0.25">
      <c r="H35009" s="12"/>
      <c r="I35009" s="12"/>
      <c r="J35009" s="12"/>
      <c r="K35009" s="12"/>
      <c r="L35009" s="12"/>
      <c r="M35009" s="11"/>
      <c r="N35009" s="11"/>
      <c r="O35009" s="11"/>
      <c r="P35009" s="11"/>
    </row>
    <row r="35010" spans="8:16" x14ac:dyDescent="0.25">
      <c r="H35010" s="12"/>
      <c r="I35010" s="12"/>
      <c r="J35010" s="12"/>
      <c r="K35010" s="12"/>
      <c r="L35010" s="12"/>
      <c r="M35010" s="11"/>
      <c r="N35010" s="11"/>
      <c r="O35010" s="11"/>
      <c r="P35010" s="11"/>
    </row>
    <row r="35011" spans="8:16" x14ac:dyDescent="0.25">
      <c r="H35011" s="12"/>
      <c r="I35011" s="12"/>
      <c r="J35011" s="12"/>
      <c r="K35011" s="12"/>
      <c r="L35011" s="12"/>
      <c r="M35011" s="11"/>
      <c r="N35011" s="11"/>
      <c r="O35011" s="11"/>
      <c r="P35011" s="11"/>
    </row>
    <row r="35012" spans="8:16" x14ac:dyDescent="0.25">
      <c r="H35012" s="12"/>
      <c r="I35012" s="12"/>
      <c r="J35012" s="12"/>
      <c r="K35012" s="12"/>
      <c r="L35012" s="12"/>
      <c r="M35012" s="11"/>
      <c r="N35012" s="11"/>
      <c r="O35012" s="11"/>
      <c r="P35012" s="11"/>
    </row>
    <row r="35013" spans="8:16" x14ac:dyDescent="0.25">
      <c r="H35013" s="12"/>
      <c r="I35013" s="12"/>
      <c r="J35013" s="12"/>
      <c r="K35013" s="12"/>
      <c r="L35013" s="12"/>
      <c r="M35013" s="11"/>
      <c r="N35013" s="11"/>
      <c r="O35013" s="11"/>
      <c r="P35013" s="11"/>
    </row>
    <row r="35014" spans="8:16" x14ac:dyDescent="0.25">
      <c r="H35014" s="12"/>
      <c r="I35014" s="12"/>
      <c r="J35014" s="12"/>
      <c r="K35014" s="12"/>
      <c r="L35014" s="12"/>
      <c r="M35014" s="11"/>
      <c r="N35014" s="11"/>
      <c r="O35014" s="11"/>
      <c r="P35014" s="11"/>
    </row>
    <row r="35015" spans="8:16" x14ac:dyDescent="0.25">
      <c r="H35015" s="12"/>
      <c r="I35015" s="12"/>
      <c r="J35015" s="12"/>
      <c r="K35015" s="12"/>
      <c r="L35015" s="12"/>
      <c r="M35015" s="11"/>
      <c r="N35015" s="11"/>
      <c r="O35015" s="11"/>
      <c r="P35015" s="11"/>
    </row>
    <row r="35016" spans="8:16" x14ac:dyDescent="0.25">
      <c r="H35016" s="12"/>
      <c r="I35016" s="12"/>
      <c r="J35016" s="12"/>
      <c r="K35016" s="12"/>
      <c r="L35016" s="12"/>
      <c r="M35016" s="11"/>
      <c r="N35016" s="11"/>
      <c r="O35016" s="11"/>
      <c r="P35016" s="11"/>
    </row>
    <row r="35017" spans="8:16" x14ac:dyDescent="0.25">
      <c r="H35017" s="12"/>
      <c r="I35017" s="12"/>
      <c r="J35017" s="12"/>
      <c r="K35017" s="12"/>
      <c r="L35017" s="12"/>
      <c r="M35017" s="11"/>
      <c r="N35017" s="11"/>
      <c r="O35017" s="11"/>
      <c r="P35017" s="11"/>
    </row>
    <row r="35018" spans="8:16" x14ac:dyDescent="0.25">
      <c r="H35018" s="12"/>
      <c r="I35018" s="12"/>
      <c r="J35018" s="12"/>
      <c r="K35018" s="12"/>
      <c r="L35018" s="12"/>
      <c r="M35018" s="11"/>
      <c r="N35018" s="11"/>
      <c r="O35018" s="11"/>
      <c r="P35018" s="11"/>
    </row>
    <row r="35019" spans="8:16" x14ac:dyDescent="0.25">
      <c r="H35019" s="12"/>
      <c r="I35019" s="12"/>
      <c r="J35019" s="12"/>
      <c r="K35019" s="12"/>
      <c r="L35019" s="12"/>
      <c r="M35019" s="11"/>
      <c r="N35019" s="11"/>
      <c r="O35019" s="11"/>
      <c r="P35019" s="11"/>
    </row>
    <row r="35020" spans="8:16" x14ac:dyDescent="0.25">
      <c r="H35020" s="12"/>
      <c r="I35020" s="12"/>
      <c r="J35020" s="12"/>
      <c r="K35020" s="12"/>
      <c r="L35020" s="12"/>
      <c r="M35020" s="11"/>
      <c r="N35020" s="11"/>
      <c r="O35020" s="11"/>
      <c r="P35020" s="11"/>
    </row>
    <row r="35021" spans="8:16" x14ac:dyDescent="0.25">
      <c r="H35021" s="12"/>
      <c r="I35021" s="12"/>
      <c r="J35021" s="12"/>
      <c r="K35021" s="12"/>
      <c r="L35021" s="12"/>
      <c r="M35021" s="11"/>
      <c r="N35021" s="11"/>
      <c r="O35021" s="11"/>
      <c r="P35021" s="11"/>
    </row>
    <row r="35022" spans="8:16" x14ac:dyDescent="0.25">
      <c r="H35022" s="12"/>
      <c r="I35022" s="12"/>
      <c r="J35022" s="12"/>
      <c r="K35022" s="12"/>
      <c r="L35022" s="12"/>
      <c r="M35022" s="11"/>
      <c r="N35022" s="11"/>
      <c r="O35022" s="11"/>
      <c r="P35022" s="11"/>
    </row>
    <row r="35023" spans="8:16" x14ac:dyDescent="0.25">
      <c r="H35023" s="12"/>
      <c r="I35023" s="12"/>
      <c r="J35023" s="12"/>
      <c r="K35023" s="12"/>
      <c r="L35023" s="12"/>
      <c r="M35023" s="11"/>
      <c r="N35023" s="11"/>
      <c r="O35023" s="11"/>
      <c r="P35023" s="11"/>
    </row>
    <row r="35024" spans="8:16" x14ac:dyDescent="0.25">
      <c r="H35024" s="12"/>
      <c r="I35024" s="12"/>
      <c r="J35024" s="12"/>
      <c r="K35024" s="12"/>
      <c r="L35024" s="12"/>
      <c r="M35024" s="11"/>
      <c r="N35024" s="11"/>
      <c r="O35024" s="11"/>
      <c r="P35024" s="11"/>
    </row>
    <row r="35025" spans="8:16" x14ac:dyDescent="0.25">
      <c r="H35025" s="12"/>
      <c r="I35025" s="12"/>
      <c r="J35025" s="12"/>
      <c r="K35025" s="12"/>
      <c r="L35025" s="12"/>
      <c r="M35025" s="11"/>
      <c r="N35025" s="11"/>
      <c r="O35025" s="11"/>
      <c r="P35025" s="11"/>
    </row>
    <row r="35026" spans="8:16" x14ac:dyDescent="0.25">
      <c r="H35026" s="12"/>
      <c r="I35026" s="12"/>
      <c r="J35026" s="12"/>
      <c r="K35026" s="12"/>
      <c r="L35026" s="12"/>
      <c r="M35026" s="11"/>
      <c r="N35026" s="11"/>
      <c r="O35026" s="11"/>
      <c r="P35026" s="11"/>
    </row>
    <row r="35027" spans="8:16" x14ac:dyDescent="0.25">
      <c r="H35027" s="12"/>
      <c r="I35027" s="12"/>
      <c r="J35027" s="12"/>
      <c r="K35027" s="12"/>
      <c r="L35027" s="12"/>
      <c r="M35027" s="11"/>
      <c r="N35027" s="11"/>
      <c r="O35027" s="11"/>
      <c r="P35027" s="11"/>
    </row>
    <row r="35028" spans="8:16" x14ac:dyDescent="0.25">
      <c r="H35028" s="12"/>
      <c r="I35028" s="12"/>
      <c r="J35028" s="12"/>
      <c r="K35028" s="12"/>
      <c r="L35028" s="12"/>
      <c r="M35028" s="11"/>
      <c r="N35028" s="11"/>
      <c r="O35028" s="11"/>
      <c r="P35028" s="11"/>
    </row>
    <row r="35029" spans="8:16" x14ac:dyDescent="0.25">
      <c r="H35029" s="12"/>
      <c r="I35029" s="12"/>
      <c r="J35029" s="12"/>
      <c r="K35029" s="12"/>
      <c r="L35029" s="12"/>
      <c r="M35029" s="11"/>
      <c r="N35029" s="11"/>
      <c r="O35029" s="11"/>
      <c r="P35029" s="11"/>
    </row>
    <row r="35030" spans="8:16" x14ac:dyDescent="0.25">
      <c r="H35030" s="12"/>
      <c r="I35030" s="12"/>
      <c r="J35030" s="12"/>
      <c r="K35030" s="12"/>
      <c r="L35030" s="12"/>
      <c r="M35030" s="11"/>
      <c r="N35030" s="11"/>
      <c r="O35030" s="11"/>
      <c r="P35030" s="11"/>
    </row>
    <row r="35031" spans="8:16" x14ac:dyDescent="0.25">
      <c r="H35031" s="12"/>
      <c r="I35031" s="12"/>
      <c r="J35031" s="12"/>
      <c r="K35031" s="12"/>
      <c r="L35031" s="12"/>
      <c r="M35031" s="11"/>
      <c r="N35031" s="11"/>
      <c r="O35031" s="11"/>
      <c r="P35031" s="11"/>
    </row>
    <row r="35032" spans="8:16" x14ac:dyDescent="0.25">
      <c r="H35032" s="12"/>
      <c r="I35032" s="12"/>
      <c r="J35032" s="12"/>
      <c r="K35032" s="12"/>
      <c r="L35032" s="12"/>
      <c r="M35032" s="11"/>
      <c r="N35032" s="11"/>
      <c r="O35032" s="11"/>
      <c r="P35032" s="11"/>
    </row>
    <row r="35033" spans="8:16" x14ac:dyDescent="0.25">
      <c r="H35033" s="12"/>
      <c r="I35033" s="12"/>
      <c r="J35033" s="12"/>
      <c r="K35033" s="12"/>
      <c r="L35033" s="12"/>
      <c r="M35033" s="11"/>
      <c r="N35033" s="11"/>
      <c r="O35033" s="11"/>
      <c r="P35033" s="11"/>
    </row>
    <row r="35034" spans="8:16" x14ac:dyDescent="0.25">
      <c r="H35034" s="12"/>
      <c r="I35034" s="12"/>
      <c r="J35034" s="12"/>
      <c r="K35034" s="12"/>
      <c r="L35034" s="12"/>
      <c r="M35034" s="11"/>
      <c r="N35034" s="11"/>
      <c r="O35034" s="11"/>
      <c r="P35034" s="11"/>
    </row>
    <row r="35035" spans="8:16" x14ac:dyDescent="0.25">
      <c r="H35035" s="12"/>
      <c r="I35035" s="12"/>
      <c r="J35035" s="12"/>
      <c r="K35035" s="12"/>
      <c r="L35035" s="12"/>
      <c r="M35035" s="11"/>
      <c r="N35035" s="11"/>
      <c r="O35035" s="11"/>
      <c r="P35035" s="11"/>
    </row>
    <row r="35036" spans="8:16" x14ac:dyDescent="0.25">
      <c r="H35036" s="12"/>
      <c r="I35036" s="12"/>
      <c r="J35036" s="12"/>
      <c r="K35036" s="12"/>
      <c r="L35036" s="12"/>
      <c r="M35036" s="11"/>
      <c r="N35036" s="11"/>
      <c r="O35036" s="11"/>
      <c r="P35036" s="11"/>
    </row>
    <row r="35037" spans="8:16" x14ac:dyDescent="0.25">
      <c r="H35037" s="12"/>
      <c r="I35037" s="12"/>
      <c r="J35037" s="12"/>
      <c r="K35037" s="12"/>
      <c r="L35037" s="12"/>
      <c r="M35037" s="11"/>
      <c r="N35037" s="11"/>
      <c r="O35037" s="11"/>
      <c r="P35037" s="11"/>
    </row>
    <row r="35038" spans="8:16" x14ac:dyDescent="0.25">
      <c r="H35038" s="12"/>
      <c r="I35038" s="12"/>
      <c r="J35038" s="12"/>
      <c r="K35038" s="12"/>
      <c r="L35038" s="12"/>
      <c r="M35038" s="11"/>
      <c r="N35038" s="11"/>
      <c r="O35038" s="11"/>
      <c r="P35038" s="11"/>
    </row>
    <row r="35039" spans="8:16" x14ac:dyDescent="0.25">
      <c r="H35039" s="12"/>
      <c r="I35039" s="12"/>
      <c r="J35039" s="12"/>
      <c r="K35039" s="12"/>
      <c r="L35039" s="12"/>
      <c r="M35039" s="11"/>
      <c r="N35039" s="11"/>
      <c r="O35039" s="11"/>
      <c r="P35039" s="11"/>
    </row>
    <row r="35040" spans="8:16" x14ac:dyDescent="0.25">
      <c r="H35040" s="12"/>
      <c r="I35040" s="12"/>
      <c r="J35040" s="12"/>
      <c r="K35040" s="12"/>
      <c r="L35040" s="12"/>
      <c r="M35040" s="11"/>
      <c r="N35040" s="11"/>
      <c r="O35040" s="11"/>
      <c r="P35040" s="11"/>
    </row>
    <row r="35041" spans="8:16" x14ac:dyDescent="0.25">
      <c r="H35041" s="12"/>
      <c r="I35041" s="12"/>
      <c r="J35041" s="12"/>
      <c r="K35041" s="12"/>
      <c r="L35041" s="12"/>
      <c r="M35041" s="11"/>
      <c r="N35041" s="11"/>
      <c r="O35041" s="11"/>
      <c r="P35041" s="11"/>
    </row>
    <row r="35042" spans="8:16" x14ac:dyDescent="0.25">
      <c r="H35042" s="12"/>
      <c r="I35042" s="12"/>
      <c r="J35042" s="12"/>
      <c r="K35042" s="12"/>
      <c r="L35042" s="12"/>
      <c r="M35042" s="11"/>
      <c r="N35042" s="11"/>
      <c r="O35042" s="11"/>
      <c r="P35042" s="11"/>
    </row>
    <row r="35043" spans="8:16" x14ac:dyDescent="0.25">
      <c r="H35043" s="12"/>
      <c r="I35043" s="12"/>
      <c r="J35043" s="12"/>
      <c r="K35043" s="12"/>
      <c r="L35043" s="12"/>
      <c r="M35043" s="11"/>
      <c r="N35043" s="11"/>
      <c r="O35043" s="11"/>
      <c r="P35043" s="11"/>
    </row>
    <row r="35044" spans="8:16" x14ac:dyDescent="0.25">
      <c r="H35044" s="12"/>
      <c r="I35044" s="12"/>
      <c r="J35044" s="12"/>
      <c r="K35044" s="12"/>
      <c r="L35044" s="12"/>
      <c r="M35044" s="11"/>
      <c r="N35044" s="11"/>
      <c r="O35044" s="11"/>
      <c r="P35044" s="11"/>
    </row>
    <row r="35045" spans="8:16" x14ac:dyDescent="0.25">
      <c r="H35045" s="12"/>
      <c r="I35045" s="12"/>
      <c r="J35045" s="12"/>
      <c r="K35045" s="12"/>
      <c r="L35045" s="12"/>
      <c r="M35045" s="11"/>
      <c r="N35045" s="11"/>
      <c r="O35045" s="11"/>
      <c r="P35045" s="11"/>
    </row>
    <row r="35046" spans="8:16" x14ac:dyDescent="0.25">
      <c r="H35046" s="12"/>
      <c r="I35046" s="12"/>
      <c r="J35046" s="12"/>
      <c r="K35046" s="12"/>
      <c r="L35046" s="12"/>
      <c r="M35046" s="11"/>
      <c r="N35046" s="11"/>
      <c r="O35046" s="11"/>
      <c r="P35046" s="11"/>
    </row>
    <row r="35047" spans="8:16" x14ac:dyDescent="0.25">
      <c r="H35047" s="12"/>
      <c r="I35047" s="12"/>
      <c r="J35047" s="12"/>
      <c r="K35047" s="12"/>
      <c r="L35047" s="12"/>
      <c r="M35047" s="11"/>
      <c r="N35047" s="11"/>
      <c r="O35047" s="11"/>
      <c r="P35047" s="11"/>
    </row>
    <row r="35048" spans="8:16" x14ac:dyDescent="0.25">
      <c r="H35048" s="12"/>
      <c r="I35048" s="12"/>
      <c r="J35048" s="12"/>
      <c r="K35048" s="12"/>
      <c r="L35048" s="12"/>
      <c r="M35048" s="11"/>
      <c r="N35048" s="11"/>
      <c r="O35048" s="11"/>
      <c r="P35048" s="11"/>
    </row>
    <row r="35049" spans="8:16" x14ac:dyDescent="0.25">
      <c r="H35049" s="12"/>
      <c r="I35049" s="12"/>
      <c r="J35049" s="12"/>
      <c r="K35049" s="12"/>
      <c r="L35049" s="12"/>
      <c r="M35049" s="11"/>
      <c r="N35049" s="11"/>
      <c r="O35049" s="11"/>
      <c r="P35049" s="11"/>
    </row>
    <row r="35050" spans="8:16" x14ac:dyDescent="0.25">
      <c r="H35050" s="12"/>
      <c r="I35050" s="12"/>
      <c r="J35050" s="12"/>
      <c r="K35050" s="12"/>
      <c r="L35050" s="12"/>
      <c r="M35050" s="11"/>
      <c r="N35050" s="11"/>
      <c r="O35050" s="11"/>
      <c r="P35050" s="11"/>
    </row>
    <row r="35051" spans="8:16" x14ac:dyDescent="0.25">
      <c r="H35051" s="12"/>
      <c r="I35051" s="12"/>
      <c r="J35051" s="12"/>
      <c r="K35051" s="12"/>
      <c r="L35051" s="12"/>
      <c r="M35051" s="11"/>
      <c r="N35051" s="11"/>
      <c r="O35051" s="11"/>
      <c r="P35051" s="11"/>
    </row>
    <row r="35052" spans="8:16" x14ac:dyDescent="0.25">
      <c r="H35052" s="12"/>
      <c r="I35052" s="12"/>
      <c r="J35052" s="12"/>
      <c r="K35052" s="12"/>
      <c r="L35052" s="12"/>
      <c r="M35052" s="11"/>
      <c r="N35052" s="11"/>
      <c r="O35052" s="11"/>
      <c r="P35052" s="11"/>
    </row>
    <row r="35053" spans="8:16" x14ac:dyDescent="0.25">
      <c r="H35053" s="12"/>
      <c r="I35053" s="12"/>
      <c r="J35053" s="12"/>
      <c r="K35053" s="12"/>
      <c r="L35053" s="12"/>
      <c r="M35053" s="11"/>
      <c r="N35053" s="11"/>
      <c r="O35053" s="11"/>
      <c r="P35053" s="11"/>
    </row>
    <row r="35054" spans="8:16" x14ac:dyDescent="0.25">
      <c r="H35054" s="12"/>
      <c r="I35054" s="12"/>
      <c r="J35054" s="12"/>
      <c r="K35054" s="12"/>
      <c r="L35054" s="12"/>
      <c r="M35054" s="11"/>
      <c r="N35054" s="11"/>
      <c r="O35054" s="11"/>
      <c r="P35054" s="11"/>
    </row>
    <row r="35055" spans="8:16" x14ac:dyDescent="0.25">
      <c r="H35055" s="12"/>
      <c r="I35055" s="12"/>
      <c r="J35055" s="12"/>
      <c r="K35055" s="12"/>
      <c r="L35055" s="12"/>
      <c r="M35055" s="11"/>
      <c r="N35055" s="11"/>
      <c r="O35055" s="11"/>
      <c r="P35055" s="11"/>
    </row>
    <row r="35056" spans="8:16" x14ac:dyDescent="0.25">
      <c r="H35056" s="12"/>
      <c r="I35056" s="12"/>
      <c r="J35056" s="12"/>
      <c r="K35056" s="12"/>
      <c r="L35056" s="12"/>
      <c r="M35056" s="11"/>
      <c r="N35056" s="11"/>
      <c r="O35056" s="11"/>
      <c r="P35056" s="11"/>
    </row>
    <row r="35057" spans="8:16" x14ac:dyDescent="0.25">
      <c r="H35057" s="12"/>
      <c r="I35057" s="12"/>
      <c r="J35057" s="12"/>
      <c r="K35057" s="12"/>
      <c r="L35057" s="12"/>
      <c r="M35057" s="11"/>
      <c r="N35057" s="11"/>
      <c r="O35057" s="11"/>
      <c r="P35057" s="11"/>
    </row>
    <row r="35058" spans="8:16" x14ac:dyDescent="0.25">
      <c r="H35058" s="12"/>
      <c r="I35058" s="12"/>
      <c r="J35058" s="12"/>
      <c r="K35058" s="12"/>
      <c r="L35058" s="12"/>
      <c r="M35058" s="11"/>
      <c r="N35058" s="11"/>
      <c r="O35058" s="11"/>
      <c r="P35058" s="11"/>
    </row>
    <row r="35059" spans="8:16" x14ac:dyDescent="0.25">
      <c r="H35059" s="12"/>
      <c r="I35059" s="12"/>
      <c r="J35059" s="12"/>
      <c r="K35059" s="12"/>
      <c r="L35059" s="12"/>
      <c r="M35059" s="11"/>
      <c r="N35059" s="11"/>
      <c r="O35059" s="11"/>
      <c r="P35059" s="11"/>
    </row>
    <row r="35060" spans="8:16" x14ac:dyDescent="0.25">
      <c r="H35060" s="12"/>
      <c r="I35060" s="12"/>
      <c r="J35060" s="12"/>
      <c r="K35060" s="12"/>
      <c r="L35060" s="12"/>
      <c r="M35060" s="11"/>
      <c r="N35060" s="11"/>
      <c r="O35060" s="11"/>
      <c r="P35060" s="11"/>
    </row>
    <row r="35061" spans="8:16" x14ac:dyDescent="0.25">
      <c r="H35061" s="12"/>
      <c r="I35061" s="12"/>
      <c r="J35061" s="12"/>
      <c r="K35061" s="12"/>
      <c r="L35061" s="12"/>
      <c r="M35061" s="11"/>
      <c r="N35061" s="11"/>
      <c r="O35061" s="11"/>
      <c r="P35061" s="11"/>
    </row>
    <row r="35062" spans="8:16" x14ac:dyDescent="0.25">
      <c r="H35062" s="12"/>
      <c r="I35062" s="12"/>
      <c r="J35062" s="12"/>
      <c r="K35062" s="12"/>
      <c r="L35062" s="12"/>
      <c r="M35062" s="11"/>
      <c r="N35062" s="11"/>
      <c r="O35062" s="11"/>
      <c r="P35062" s="11"/>
    </row>
    <row r="35063" spans="8:16" x14ac:dyDescent="0.25">
      <c r="H35063" s="12"/>
      <c r="I35063" s="12"/>
      <c r="J35063" s="12"/>
      <c r="K35063" s="12"/>
      <c r="L35063" s="12"/>
      <c r="M35063" s="11"/>
      <c r="N35063" s="11"/>
      <c r="O35063" s="11"/>
      <c r="P35063" s="11"/>
    </row>
    <row r="35064" spans="8:16" x14ac:dyDescent="0.25">
      <c r="H35064" s="12"/>
      <c r="I35064" s="12"/>
      <c r="J35064" s="12"/>
      <c r="K35064" s="12"/>
      <c r="L35064" s="12"/>
      <c r="M35064" s="11"/>
      <c r="N35064" s="11"/>
      <c r="O35064" s="11"/>
      <c r="P35064" s="11"/>
    </row>
    <row r="35065" spans="8:16" x14ac:dyDescent="0.25">
      <c r="H35065" s="12"/>
      <c r="I35065" s="12"/>
      <c r="J35065" s="12"/>
      <c r="K35065" s="12"/>
      <c r="L35065" s="12"/>
      <c r="M35065" s="11"/>
      <c r="N35065" s="11"/>
      <c r="O35065" s="11"/>
      <c r="P35065" s="11"/>
    </row>
    <row r="35066" spans="8:16" x14ac:dyDescent="0.25">
      <c r="H35066" s="12"/>
      <c r="I35066" s="12"/>
      <c r="J35066" s="12"/>
      <c r="K35066" s="12"/>
      <c r="L35066" s="12"/>
      <c r="M35066" s="11"/>
      <c r="N35066" s="11"/>
      <c r="O35066" s="11"/>
      <c r="P35066" s="11"/>
    </row>
    <row r="35067" spans="8:16" x14ac:dyDescent="0.25">
      <c r="H35067" s="12"/>
      <c r="I35067" s="12"/>
      <c r="J35067" s="12"/>
      <c r="K35067" s="12"/>
      <c r="L35067" s="12"/>
      <c r="M35067" s="11"/>
      <c r="N35067" s="11"/>
      <c r="O35067" s="11"/>
      <c r="P35067" s="11"/>
    </row>
    <row r="35068" spans="8:16" x14ac:dyDescent="0.25">
      <c r="H35068" s="12"/>
      <c r="I35068" s="12"/>
      <c r="J35068" s="12"/>
      <c r="K35068" s="12"/>
      <c r="L35068" s="12"/>
      <c r="M35068" s="11"/>
      <c r="N35068" s="11"/>
      <c r="O35068" s="11"/>
      <c r="P35068" s="11"/>
    </row>
    <row r="35069" spans="8:16" x14ac:dyDescent="0.25">
      <c r="H35069" s="12"/>
      <c r="I35069" s="12"/>
      <c r="J35069" s="12"/>
      <c r="K35069" s="12"/>
      <c r="L35069" s="12"/>
      <c r="M35069" s="11"/>
      <c r="N35069" s="11"/>
      <c r="O35069" s="11"/>
      <c r="P35069" s="11"/>
    </row>
    <row r="35070" spans="8:16" x14ac:dyDescent="0.25">
      <c r="H35070" s="12"/>
      <c r="I35070" s="12"/>
      <c r="J35070" s="12"/>
      <c r="K35070" s="12"/>
      <c r="L35070" s="12"/>
      <c r="M35070" s="11"/>
      <c r="N35070" s="11"/>
      <c r="O35070" s="11"/>
      <c r="P35070" s="11"/>
    </row>
    <row r="35071" spans="8:16" x14ac:dyDescent="0.25">
      <c r="H35071" s="12"/>
      <c r="I35071" s="12"/>
      <c r="J35071" s="12"/>
      <c r="K35071" s="12"/>
      <c r="L35071" s="12"/>
      <c r="M35071" s="11"/>
      <c r="N35071" s="11"/>
      <c r="O35071" s="11"/>
      <c r="P35071" s="11"/>
    </row>
    <row r="35072" spans="8:16" x14ac:dyDescent="0.25">
      <c r="H35072" s="12"/>
      <c r="I35072" s="12"/>
      <c r="J35072" s="12"/>
      <c r="K35072" s="12"/>
      <c r="L35072" s="12"/>
      <c r="M35072" s="11"/>
      <c r="N35072" s="11"/>
      <c r="O35072" s="11"/>
      <c r="P35072" s="11"/>
    </row>
    <row r="35073" spans="8:16" x14ac:dyDescent="0.25">
      <c r="H35073" s="12"/>
      <c r="I35073" s="12"/>
      <c r="J35073" s="12"/>
      <c r="K35073" s="12"/>
      <c r="L35073" s="12"/>
      <c r="M35073" s="11"/>
      <c r="N35073" s="11"/>
      <c r="O35073" s="11"/>
      <c r="P35073" s="11"/>
    </row>
    <row r="35074" spans="8:16" x14ac:dyDescent="0.25">
      <c r="H35074" s="12"/>
      <c r="I35074" s="12"/>
      <c r="J35074" s="12"/>
      <c r="K35074" s="12"/>
      <c r="L35074" s="12"/>
      <c r="M35074" s="11"/>
      <c r="N35074" s="11"/>
      <c r="O35074" s="11"/>
      <c r="P35074" s="11"/>
    </row>
    <row r="35075" spans="8:16" x14ac:dyDescent="0.25">
      <c r="H35075" s="12"/>
      <c r="I35075" s="12"/>
      <c r="J35075" s="12"/>
      <c r="K35075" s="12"/>
      <c r="L35075" s="12"/>
      <c r="M35075" s="11"/>
      <c r="N35075" s="11"/>
      <c r="O35075" s="11"/>
      <c r="P35075" s="11"/>
    </row>
    <row r="35076" spans="8:16" x14ac:dyDescent="0.25">
      <c r="H35076" s="12"/>
      <c r="I35076" s="12"/>
      <c r="J35076" s="12"/>
      <c r="K35076" s="12"/>
      <c r="L35076" s="12"/>
      <c r="M35076" s="11"/>
      <c r="N35076" s="11"/>
      <c r="O35076" s="11"/>
      <c r="P35076" s="11"/>
    </row>
    <row r="35077" spans="8:16" x14ac:dyDescent="0.25">
      <c r="H35077" s="12"/>
      <c r="I35077" s="12"/>
      <c r="J35077" s="12"/>
      <c r="K35077" s="12"/>
      <c r="L35077" s="12"/>
      <c r="M35077" s="11"/>
      <c r="N35077" s="11"/>
      <c r="O35077" s="11"/>
      <c r="P35077" s="11"/>
    </row>
    <row r="35078" spans="8:16" x14ac:dyDescent="0.25">
      <c r="H35078" s="12"/>
      <c r="I35078" s="12"/>
      <c r="J35078" s="12"/>
      <c r="K35078" s="12"/>
      <c r="L35078" s="12"/>
      <c r="M35078" s="11"/>
      <c r="N35078" s="11"/>
      <c r="O35078" s="11"/>
      <c r="P35078" s="11"/>
    </row>
    <row r="35079" spans="8:16" x14ac:dyDescent="0.25">
      <c r="H35079" s="12"/>
      <c r="I35079" s="12"/>
      <c r="J35079" s="12"/>
      <c r="K35079" s="12"/>
      <c r="L35079" s="12"/>
      <c r="M35079" s="11"/>
      <c r="N35079" s="11"/>
      <c r="O35079" s="11"/>
      <c r="P35079" s="11"/>
    </row>
    <row r="35080" spans="8:16" x14ac:dyDescent="0.25">
      <c r="H35080" s="12"/>
      <c r="I35080" s="12"/>
      <c r="J35080" s="12"/>
      <c r="K35080" s="12"/>
      <c r="L35080" s="12"/>
      <c r="M35080" s="11"/>
      <c r="N35080" s="11"/>
      <c r="O35080" s="11"/>
      <c r="P35080" s="11"/>
    </row>
    <row r="35081" spans="8:16" x14ac:dyDescent="0.25">
      <c r="H35081" s="12"/>
      <c r="I35081" s="12"/>
      <c r="J35081" s="12"/>
      <c r="K35081" s="12"/>
      <c r="L35081" s="12"/>
      <c r="M35081" s="11"/>
      <c r="N35081" s="11"/>
      <c r="O35081" s="11"/>
      <c r="P35081" s="11"/>
    </row>
    <row r="35082" spans="8:16" x14ac:dyDescent="0.25">
      <c r="H35082" s="12"/>
      <c r="I35082" s="12"/>
      <c r="J35082" s="12"/>
      <c r="K35082" s="12"/>
      <c r="L35082" s="12"/>
      <c r="M35082" s="11"/>
      <c r="N35082" s="11"/>
      <c r="O35082" s="11"/>
      <c r="P35082" s="11"/>
    </row>
    <row r="35083" spans="8:16" x14ac:dyDescent="0.25">
      <c r="H35083" s="12"/>
      <c r="I35083" s="12"/>
      <c r="J35083" s="12"/>
      <c r="K35083" s="12"/>
      <c r="L35083" s="12"/>
      <c r="M35083" s="11"/>
      <c r="N35083" s="11"/>
      <c r="O35083" s="11"/>
      <c r="P35083" s="11"/>
    </row>
    <row r="35084" spans="8:16" x14ac:dyDescent="0.25">
      <c r="H35084" s="12"/>
      <c r="I35084" s="12"/>
      <c r="J35084" s="12"/>
      <c r="K35084" s="12"/>
      <c r="L35084" s="12"/>
      <c r="M35084" s="11"/>
      <c r="N35084" s="11"/>
      <c r="O35084" s="11"/>
      <c r="P35084" s="11"/>
    </row>
    <row r="35085" spans="8:16" x14ac:dyDescent="0.25">
      <c r="H35085" s="12"/>
      <c r="I35085" s="12"/>
      <c r="J35085" s="12"/>
      <c r="K35085" s="12"/>
      <c r="L35085" s="12"/>
      <c r="M35085" s="11"/>
      <c r="N35085" s="11"/>
      <c r="O35085" s="11"/>
      <c r="P35085" s="11"/>
    </row>
    <row r="35086" spans="8:16" x14ac:dyDescent="0.25">
      <c r="H35086" s="12"/>
      <c r="I35086" s="12"/>
      <c r="J35086" s="12"/>
      <c r="K35086" s="12"/>
      <c r="L35086" s="12"/>
      <c r="M35086" s="11"/>
      <c r="N35086" s="11"/>
      <c r="O35086" s="11"/>
      <c r="P35086" s="11"/>
    </row>
    <row r="35087" spans="8:16" x14ac:dyDescent="0.25">
      <c r="H35087" s="12"/>
      <c r="I35087" s="12"/>
      <c r="J35087" s="12"/>
      <c r="K35087" s="12"/>
      <c r="L35087" s="12"/>
      <c r="M35087" s="11"/>
      <c r="N35087" s="11"/>
      <c r="O35087" s="11"/>
      <c r="P35087" s="11"/>
    </row>
    <row r="35088" spans="8:16" x14ac:dyDescent="0.25">
      <c r="H35088" s="12"/>
      <c r="I35088" s="12"/>
      <c r="J35088" s="12"/>
      <c r="K35088" s="12"/>
      <c r="L35088" s="12"/>
      <c r="M35088" s="11"/>
      <c r="N35088" s="11"/>
      <c r="O35088" s="11"/>
      <c r="P35088" s="11"/>
    </row>
    <row r="35089" spans="8:16" x14ac:dyDescent="0.25">
      <c r="H35089" s="12"/>
      <c r="I35089" s="12"/>
      <c r="J35089" s="12"/>
      <c r="K35089" s="12"/>
      <c r="L35089" s="12"/>
      <c r="M35089" s="11"/>
      <c r="N35089" s="11"/>
      <c r="O35089" s="11"/>
      <c r="P35089" s="11"/>
    </row>
    <row r="35090" spans="8:16" x14ac:dyDescent="0.25">
      <c r="H35090" s="12"/>
      <c r="I35090" s="12"/>
      <c r="J35090" s="12"/>
      <c r="K35090" s="12"/>
      <c r="L35090" s="12"/>
      <c r="M35090" s="11"/>
      <c r="N35090" s="11"/>
      <c r="O35090" s="11"/>
      <c r="P35090" s="11"/>
    </row>
    <row r="35091" spans="8:16" x14ac:dyDescent="0.25">
      <c r="H35091" s="12"/>
      <c r="I35091" s="12"/>
      <c r="J35091" s="12"/>
      <c r="K35091" s="12"/>
      <c r="L35091" s="12"/>
      <c r="M35091" s="11"/>
      <c r="N35091" s="11"/>
      <c r="O35091" s="11"/>
      <c r="P35091" s="11"/>
    </row>
    <row r="35092" spans="8:16" x14ac:dyDescent="0.25">
      <c r="H35092" s="12"/>
      <c r="I35092" s="12"/>
      <c r="J35092" s="12"/>
      <c r="K35092" s="12"/>
      <c r="L35092" s="12"/>
      <c r="M35092" s="11"/>
      <c r="N35092" s="11"/>
      <c r="O35092" s="11"/>
      <c r="P35092" s="11"/>
    </row>
    <row r="35093" spans="8:16" x14ac:dyDescent="0.25">
      <c r="H35093" s="12"/>
      <c r="I35093" s="12"/>
      <c r="J35093" s="12"/>
      <c r="K35093" s="12"/>
      <c r="L35093" s="12"/>
      <c r="M35093" s="11"/>
      <c r="N35093" s="11"/>
      <c r="O35093" s="11"/>
      <c r="P35093" s="11"/>
    </row>
    <row r="35094" spans="8:16" x14ac:dyDescent="0.25">
      <c r="H35094" s="12"/>
      <c r="I35094" s="12"/>
      <c r="J35094" s="12"/>
      <c r="K35094" s="12"/>
      <c r="L35094" s="12"/>
      <c r="M35094" s="11"/>
      <c r="N35094" s="11"/>
      <c r="O35094" s="11"/>
      <c r="P35094" s="11"/>
    </row>
    <row r="35095" spans="8:16" x14ac:dyDescent="0.25">
      <c r="H35095" s="12"/>
      <c r="I35095" s="12"/>
      <c r="J35095" s="12"/>
      <c r="K35095" s="12"/>
      <c r="L35095" s="12"/>
      <c r="M35095" s="11"/>
      <c r="N35095" s="11"/>
      <c r="O35095" s="11"/>
      <c r="P35095" s="11"/>
    </row>
    <row r="35096" spans="8:16" x14ac:dyDescent="0.25">
      <c r="H35096" s="12"/>
      <c r="I35096" s="12"/>
      <c r="J35096" s="12"/>
      <c r="K35096" s="12"/>
      <c r="L35096" s="12"/>
      <c r="M35096" s="11"/>
      <c r="N35096" s="11"/>
      <c r="O35096" s="11"/>
      <c r="P35096" s="11"/>
    </row>
    <row r="35097" spans="8:16" x14ac:dyDescent="0.25">
      <c r="H35097" s="12"/>
      <c r="I35097" s="12"/>
      <c r="J35097" s="12"/>
      <c r="K35097" s="12"/>
      <c r="L35097" s="12"/>
      <c r="M35097" s="11"/>
      <c r="N35097" s="11"/>
      <c r="O35097" s="11"/>
      <c r="P35097" s="11"/>
    </row>
    <row r="35098" spans="8:16" x14ac:dyDescent="0.25">
      <c r="H35098" s="12"/>
      <c r="I35098" s="12"/>
      <c r="J35098" s="12"/>
      <c r="K35098" s="12"/>
      <c r="L35098" s="12"/>
      <c r="M35098" s="11"/>
      <c r="N35098" s="11"/>
      <c r="O35098" s="11"/>
      <c r="P35098" s="11"/>
    </row>
    <row r="35099" spans="8:16" x14ac:dyDescent="0.25">
      <c r="H35099" s="12"/>
      <c r="I35099" s="12"/>
      <c r="J35099" s="12"/>
      <c r="K35099" s="12"/>
      <c r="L35099" s="12"/>
      <c r="M35099" s="11"/>
      <c r="N35099" s="11"/>
      <c r="O35099" s="11"/>
      <c r="P35099" s="11"/>
    </row>
    <row r="35100" spans="8:16" x14ac:dyDescent="0.25">
      <c r="H35100" s="12"/>
      <c r="I35100" s="12"/>
      <c r="J35100" s="12"/>
      <c r="K35100" s="12"/>
      <c r="L35100" s="12"/>
      <c r="M35100" s="11"/>
      <c r="N35100" s="11"/>
      <c r="O35100" s="11"/>
      <c r="P35100" s="11"/>
    </row>
    <row r="35101" spans="8:16" x14ac:dyDescent="0.25">
      <c r="H35101" s="12"/>
      <c r="I35101" s="12"/>
      <c r="J35101" s="12"/>
      <c r="K35101" s="12"/>
      <c r="L35101" s="12"/>
      <c r="M35101" s="11"/>
      <c r="N35101" s="11"/>
      <c r="O35101" s="11"/>
      <c r="P35101" s="11"/>
    </row>
    <row r="35102" spans="8:16" x14ac:dyDescent="0.25">
      <c r="H35102" s="12"/>
      <c r="I35102" s="12"/>
      <c r="J35102" s="12"/>
      <c r="K35102" s="12"/>
      <c r="L35102" s="12"/>
      <c r="M35102" s="11"/>
      <c r="N35102" s="11"/>
      <c r="O35102" s="11"/>
      <c r="P35102" s="11"/>
    </row>
    <row r="35103" spans="8:16" x14ac:dyDescent="0.25">
      <c r="H35103" s="12"/>
      <c r="I35103" s="12"/>
      <c r="J35103" s="12"/>
      <c r="K35103" s="12"/>
      <c r="L35103" s="12"/>
      <c r="M35103" s="11"/>
      <c r="N35103" s="11"/>
      <c r="O35103" s="11"/>
      <c r="P35103" s="11"/>
    </row>
    <row r="35104" spans="8:16" x14ac:dyDescent="0.25">
      <c r="H35104" s="12"/>
      <c r="I35104" s="12"/>
      <c r="J35104" s="12"/>
      <c r="K35104" s="12"/>
      <c r="L35104" s="12"/>
      <c r="M35104" s="11"/>
      <c r="N35104" s="11"/>
      <c r="O35104" s="11"/>
      <c r="P35104" s="11"/>
    </row>
    <row r="35105" spans="8:16" x14ac:dyDescent="0.25">
      <c r="H35105" s="12"/>
      <c r="I35105" s="12"/>
      <c r="J35105" s="12"/>
      <c r="K35105" s="12"/>
      <c r="L35105" s="12"/>
      <c r="M35105" s="11"/>
      <c r="N35105" s="11"/>
      <c r="O35105" s="11"/>
      <c r="P35105" s="11"/>
    </row>
    <row r="35106" spans="8:16" x14ac:dyDescent="0.25">
      <c r="H35106" s="12"/>
      <c r="I35106" s="12"/>
      <c r="J35106" s="12"/>
      <c r="K35106" s="12"/>
      <c r="L35106" s="12"/>
      <c r="M35106" s="11"/>
      <c r="N35106" s="11"/>
      <c r="O35106" s="11"/>
      <c r="P35106" s="11"/>
    </row>
    <row r="35107" spans="8:16" x14ac:dyDescent="0.25">
      <c r="H35107" s="12"/>
      <c r="I35107" s="12"/>
      <c r="J35107" s="12"/>
      <c r="K35107" s="12"/>
      <c r="L35107" s="12"/>
      <c r="M35107" s="11"/>
      <c r="N35107" s="11"/>
      <c r="O35107" s="11"/>
      <c r="P35107" s="11"/>
    </row>
    <row r="35108" spans="8:16" x14ac:dyDescent="0.25">
      <c r="H35108" s="12"/>
      <c r="I35108" s="12"/>
      <c r="J35108" s="12"/>
      <c r="K35108" s="12"/>
      <c r="L35108" s="12"/>
      <c r="M35108" s="11"/>
      <c r="N35108" s="11"/>
      <c r="O35108" s="11"/>
      <c r="P35108" s="11"/>
    </row>
    <row r="35109" spans="8:16" x14ac:dyDescent="0.25">
      <c r="H35109" s="12"/>
      <c r="I35109" s="12"/>
      <c r="J35109" s="12"/>
      <c r="K35109" s="12"/>
      <c r="L35109" s="12"/>
      <c r="M35109" s="11"/>
      <c r="N35109" s="11"/>
      <c r="O35109" s="11"/>
      <c r="P35109" s="11"/>
    </row>
    <row r="35110" spans="8:16" x14ac:dyDescent="0.25">
      <c r="H35110" s="12"/>
      <c r="I35110" s="12"/>
      <c r="J35110" s="12"/>
      <c r="K35110" s="12"/>
      <c r="L35110" s="12"/>
      <c r="M35110" s="11"/>
      <c r="N35110" s="11"/>
      <c r="O35110" s="11"/>
      <c r="P35110" s="11"/>
    </row>
    <row r="35111" spans="8:16" x14ac:dyDescent="0.25">
      <c r="H35111" s="12"/>
      <c r="I35111" s="12"/>
      <c r="J35111" s="12"/>
      <c r="K35111" s="12"/>
      <c r="L35111" s="12"/>
      <c r="M35111" s="11"/>
      <c r="N35111" s="11"/>
      <c r="O35111" s="11"/>
      <c r="P35111" s="11"/>
    </row>
    <row r="35112" spans="8:16" x14ac:dyDescent="0.25">
      <c r="H35112" s="12"/>
      <c r="I35112" s="12"/>
      <c r="J35112" s="12"/>
      <c r="K35112" s="12"/>
      <c r="L35112" s="12"/>
      <c r="M35112" s="11"/>
      <c r="N35112" s="11"/>
      <c r="O35112" s="11"/>
      <c r="P35112" s="11"/>
    </row>
    <row r="35113" spans="8:16" x14ac:dyDescent="0.25">
      <c r="H35113" s="12"/>
      <c r="I35113" s="12"/>
      <c r="J35113" s="12"/>
      <c r="K35113" s="12"/>
      <c r="L35113" s="12"/>
      <c r="M35113" s="11"/>
      <c r="N35113" s="11"/>
      <c r="O35113" s="11"/>
      <c r="P35113" s="11"/>
    </row>
    <row r="35114" spans="8:16" x14ac:dyDescent="0.25">
      <c r="H35114" s="12"/>
      <c r="I35114" s="12"/>
      <c r="J35114" s="12"/>
      <c r="K35114" s="12"/>
      <c r="L35114" s="12"/>
      <c r="M35114" s="11"/>
      <c r="N35114" s="11"/>
      <c r="O35114" s="11"/>
      <c r="P35114" s="11"/>
    </row>
    <row r="35115" spans="8:16" x14ac:dyDescent="0.25">
      <c r="H35115" s="12"/>
      <c r="I35115" s="12"/>
      <c r="J35115" s="12"/>
      <c r="K35115" s="12"/>
      <c r="L35115" s="12"/>
      <c r="M35115" s="11"/>
      <c r="N35115" s="11"/>
      <c r="O35115" s="11"/>
      <c r="P35115" s="11"/>
    </row>
    <row r="35116" spans="8:16" x14ac:dyDescent="0.25">
      <c r="H35116" s="12"/>
      <c r="I35116" s="12"/>
      <c r="J35116" s="12"/>
      <c r="K35116" s="12"/>
      <c r="L35116" s="12"/>
      <c r="M35116" s="11"/>
      <c r="N35116" s="11"/>
      <c r="O35116" s="11"/>
      <c r="P35116" s="11"/>
    </row>
    <row r="35117" spans="8:16" x14ac:dyDescent="0.25">
      <c r="H35117" s="12"/>
      <c r="I35117" s="12"/>
      <c r="J35117" s="12"/>
      <c r="K35117" s="12"/>
      <c r="L35117" s="12"/>
      <c r="M35117" s="11"/>
      <c r="N35117" s="11"/>
      <c r="O35117" s="11"/>
      <c r="P35117" s="11"/>
    </row>
    <row r="35118" spans="8:16" x14ac:dyDescent="0.25">
      <c r="H35118" s="12"/>
      <c r="I35118" s="12"/>
      <c r="J35118" s="12"/>
      <c r="K35118" s="12"/>
      <c r="L35118" s="12"/>
      <c r="M35118" s="11"/>
      <c r="N35118" s="11"/>
      <c r="O35118" s="11"/>
      <c r="P35118" s="11"/>
    </row>
    <row r="35119" spans="8:16" x14ac:dyDescent="0.25">
      <c r="H35119" s="12"/>
      <c r="I35119" s="12"/>
      <c r="J35119" s="12"/>
      <c r="K35119" s="12"/>
      <c r="L35119" s="12"/>
      <c r="M35119" s="11"/>
      <c r="N35119" s="11"/>
      <c r="O35119" s="11"/>
      <c r="P35119" s="11"/>
    </row>
    <row r="35120" spans="8:16" x14ac:dyDescent="0.25">
      <c r="H35120" s="12"/>
      <c r="I35120" s="12"/>
      <c r="J35120" s="12"/>
      <c r="K35120" s="12"/>
      <c r="L35120" s="12"/>
      <c r="M35120" s="11"/>
      <c r="N35120" s="11"/>
      <c r="O35120" s="11"/>
      <c r="P35120" s="11"/>
    </row>
    <row r="35121" spans="8:16" x14ac:dyDescent="0.25">
      <c r="H35121" s="12"/>
      <c r="I35121" s="12"/>
      <c r="J35121" s="12"/>
      <c r="K35121" s="12"/>
      <c r="L35121" s="12"/>
      <c r="M35121" s="11"/>
      <c r="N35121" s="11"/>
      <c r="O35121" s="11"/>
      <c r="P35121" s="11"/>
    </row>
    <row r="35122" spans="8:16" x14ac:dyDescent="0.25">
      <c r="H35122" s="12"/>
      <c r="I35122" s="12"/>
      <c r="J35122" s="12"/>
      <c r="K35122" s="12"/>
      <c r="L35122" s="12"/>
      <c r="M35122" s="11"/>
      <c r="N35122" s="11"/>
      <c r="O35122" s="11"/>
      <c r="P35122" s="11"/>
    </row>
    <row r="35123" spans="8:16" x14ac:dyDescent="0.25">
      <c r="H35123" s="12"/>
      <c r="I35123" s="12"/>
      <c r="J35123" s="12"/>
      <c r="K35123" s="12"/>
      <c r="L35123" s="12"/>
      <c r="M35123" s="11"/>
      <c r="N35123" s="11"/>
      <c r="O35123" s="11"/>
      <c r="P35123" s="11"/>
    </row>
    <row r="35124" spans="8:16" x14ac:dyDescent="0.25">
      <c r="H35124" s="12"/>
      <c r="I35124" s="12"/>
      <c r="J35124" s="12"/>
      <c r="K35124" s="12"/>
      <c r="L35124" s="12"/>
      <c r="M35124" s="11"/>
      <c r="N35124" s="11"/>
      <c r="O35124" s="11"/>
      <c r="P35124" s="11"/>
    </row>
    <row r="35125" spans="8:16" x14ac:dyDescent="0.25">
      <c r="H35125" s="12"/>
      <c r="I35125" s="12"/>
      <c r="J35125" s="12"/>
      <c r="K35125" s="12"/>
      <c r="L35125" s="12"/>
      <c r="M35125" s="11"/>
      <c r="N35125" s="11"/>
      <c r="O35125" s="11"/>
      <c r="P35125" s="11"/>
    </row>
    <row r="35126" spans="8:16" x14ac:dyDescent="0.25">
      <c r="H35126" s="12"/>
      <c r="I35126" s="12"/>
      <c r="J35126" s="12"/>
      <c r="K35126" s="12"/>
      <c r="L35126" s="12"/>
      <c r="M35126" s="11"/>
      <c r="N35126" s="11"/>
      <c r="O35126" s="11"/>
      <c r="P35126" s="11"/>
    </row>
    <row r="35127" spans="8:16" x14ac:dyDescent="0.25">
      <c r="H35127" s="12"/>
      <c r="I35127" s="12"/>
      <c r="J35127" s="12"/>
      <c r="K35127" s="12"/>
      <c r="L35127" s="12"/>
      <c r="M35127" s="11"/>
      <c r="N35127" s="11"/>
      <c r="O35127" s="11"/>
      <c r="P35127" s="11"/>
    </row>
    <row r="35128" spans="8:16" x14ac:dyDescent="0.25">
      <c r="H35128" s="12"/>
      <c r="I35128" s="12"/>
      <c r="J35128" s="12"/>
      <c r="K35128" s="12"/>
      <c r="L35128" s="12"/>
      <c r="M35128" s="11"/>
      <c r="N35128" s="11"/>
      <c r="O35128" s="11"/>
      <c r="P35128" s="11"/>
    </row>
    <row r="35129" spans="8:16" x14ac:dyDescent="0.25">
      <c r="H35129" s="12"/>
      <c r="I35129" s="12"/>
      <c r="J35129" s="12"/>
      <c r="K35129" s="12"/>
      <c r="L35129" s="12"/>
      <c r="M35129" s="11"/>
      <c r="N35129" s="11"/>
      <c r="O35129" s="11"/>
      <c r="P35129" s="11"/>
    </row>
    <row r="35130" spans="8:16" x14ac:dyDescent="0.25">
      <c r="H35130" s="12"/>
      <c r="I35130" s="12"/>
      <c r="J35130" s="12"/>
      <c r="K35130" s="12"/>
      <c r="L35130" s="12"/>
      <c r="M35130" s="11"/>
      <c r="N35130" s="11"/>
      <c r="O35130" s="11"/>
      <c r="P35130" s="11"/>
    </row>
    <row r="35131" spans="8:16" x14ac:dyDescent="0.25">
      <c r="H35131" s="12"/>
      <c r="I35131" s="12"/>
      <c r="J35131" s="12"/>
      <c r="K35131" s="12"/>
      <c r="L35131" s="12"/>
      <c r="M35131" s="11"/>
      <c r="N35131" s="11"/>
      <c r="O35131" s="11"/>
      <c r="P35131" s="11"/>
    </row>
    <row r="35132" spans="8:16" x14ac:dyDescent="0.25">
      <c r="H35132" s="12"/>
      <c r="I35132" s="12"/>
      <c r="J35132" s="12"/>
      <c r="K35132" s="12"/>
      <c r="L35132" s="12"/>
      <c r="M35132" s="11"/>
      <c r="N35132" s="11"/>
      <c r="O35132" s="11"/>
      <c r="P35132" s="11"/>
    </row>
    <row r="35133" spans="8:16" x14ac:dyDescent="0.25">
      <c r="H35133" s="12"/>
      <c r="I35133" s="12"/>
      <c r="J35133" s="12"/>
      <c r="K35133" s="12"/>
      <c r="L35133" s="12"/>
      <c r="M35133" s="11"/>
      <c r="N35133" s="11"/>
      <c r="O35133" s="11"/>
      <c r="P35133" s="11"/>
    </row>
    <row r="35134" spans="8:16" x14ac:dyDescent="0.25">
      <c r="H35134" s="12"/>
      <c r="I35134" s="12"/>
      <c r="J35134" s="12"/>
      <c r="K35134" s="12"/>
      <c r="L35134" s="12"/>
      <c r="M35134" s="11"/>
      <c r="N35134" s="11"/>
      <c r="O35134" s="11"/>
      <c r="P35134" s="11"/>
    </row>
    <row r="35135" spans="8:16" x14ac:dyDescent="0.25">
      <c r="H35135" s="12"/>
      <c r="I35135" s="12"/>
      <c r="J35135" s="12"/>
      <c r="K35135" s="12"/>
      <c r="L35135" s="12"/>
      <c r="M35135" s="11"/>
      <c r="N35135" s="11"/>
      <c r="O35135" s="11"/>
      <c r="P35135" s="11"/>
    </row>
    <row r="35136" spans="8:16" x14ac:dyDescent="0.25">
      <c r="H35136" s="12"/>
      <c r="I35136" s="12"/>
      <c r="J35136" s="12"/>
      <c r="K35136" s="12"/>
      <c r="L35136" s="12"/>
      <c r="M35136" s="11"/>
      <c r="N35136" s="11"/>
      <c r="O35136" s="11"/>
      <c r="P35136" s="11"/>
    </row>
    <row r="35137" spans="8:16" x14ac:dyDescent="0.25">
      <c r="H35137" s="12"/>
      <c r="I35137" s="12"/>
      <c r="J35137" s="12"/>
      <c r="K35137" s="12"/>
      <c r="L35137" s="12"/>
      <c r="M35137" s="11"/>
      <c r="N35137" s="11"/>
      <c r="O35137" s="11"/>
      <c r="P35137" s="11"/>
    </row>
    <row r="35138" spans="8:16" x14ac:dyDescent="0.25">
      <c r="H35138" s="12"/>
      <c r="I35138" s="12"/>
      <c r="J35138" s="12"/>
      <c r="K35138" s="12"/>
      <c r="L35138" s="12"/>
      <c r="M35138" s="11"/>
      <c r="N35138" s="11"/>
      <c r="O35138" s="11"/>
      <c r="P35138" s="11"/>
    </row>
    <row r="35139" spans="8:16" x14ac:dyDescent="0.25">
      <c r="H35139" s="12"/>
      <c r="I35139" s="12"/>
      <c r="J35139" s="12"/>
      <c r="K35139" s="12"/>
      <c r="L35139" s="12"/>
      <c r="M35139" s="11"/>
      <c r="N35139" s="11"/>
      <c r="O35139" s="11"/>
      <c r="P35139" s="11"/>
    </row>
    <row r="35140" spans="8:16" x14ac:dyDescent="0.25">
      <c r="H35140" s="12"/>
      <c r="I35140" s="12"/>
      <c r="J35140" s="12"/>
      <c r="K35140" s="12"/>
      <c r="L35140" s="12"/>
      <c r="M35140" s="11"/>
      <c r="N35140" s="11"/>
      <c r="O35140" s="11"/>
      <c r="P35140" s="11"/>
    </row>
    <row r="35141" spans="8:16" x14ac:dyDescent="0.25">
      <c r="H35141" s="12"/>
      <c r="I35141" s="12"/>
      <c r="J35141" s="12"/>
      <c r="K35141" s="12"/>
      <c r="L35141" s="12"/>
      <c r="M35141" s="11"/>
      <c r="N35141" s="11"/>
      <c r="O35141" s="11"/>
      <c r="P35141" s="11"/>
    </row>
    <row r="35142" spans="8:16" x14ac:dyDescent="0.25">
      <c r="H35142" s="12"/>
      <c r="I35142" s="12"/>
      <c r="J35142" s="12"/>
      <c r="K35142" s="12"/>
      <c r="L35142" s="12"/>
      <c r="M35142" s="11"/>
      <c r="N35142" s="11"/>
      <c r="O35142" s="11"/>
      <c r="P35142" s="11"/>
    </row>
    <row r="35143" spans="8:16" x14ac:dyDescent="0.25">
      <c r="H35143" s="12"/>
      <c r="I35143" s="12"/>
      <c r="J35143" s="12"/>
      <c r="K35143" s="12"/>
      <c r="L35143" s="12"/>
      <c r="M35143" s="11"/>
      <c r="N35143" s="11"/>
      <c r="O35143" s="11"/>
      <c r="P35143" s="11"/>
    </row>
    <row r="35144" spans="8:16" x14ac:dyDescent="0.25">
      <c r="H35144" s="12"/>
      <c r="I35144" s="12"/>
      <c r="J35144" s="12"/>
      <c r="K35144" s="12"/>
      <c r="L35144" s="12"/>
      <c r="M35144" s="11"/>
      <c r="N35144" s="11"/>
      <c r="O35144" s="11"/>
      <c r="P35144" s="11"/>
    </row>
    <row r="35145" spans="8:16" x14ac:dyDescent="0.25">
      <c r="H35145" s="12"/>
      <c r="I35145" s="12"/>
      <c r="J35145" s="12"/>
      <c r="K35145" s="12"/>
      <c r="L35145" s="12"/>
      <c r="M35145" s="11"/>
      <c r="N35145" s="11"/>
      <c r="O35145" s="11"/>
      <c r="P35145" s="11"/>
    </row>
    <row r="35146" spans="8:16" x14ac:dyDescent="0.25">
      <c r="H35146" s="12"/>
      <c r="I35146" s="12"/>
      <c r="J35146" s="12"/>
      <c r="K35146" s="12"/>
      <c r="L35146" s="12"/>
      <c r="M35146" s="11"/>
      <c r="N35146" s="11"/>
      <c r="O35146" s="11"/>
      <c r="P35146" s="11"/>
    </row>
    <row r="35147" spans="8:16" x14ac:dyDescent="0.25">
      <c r="H35147" s="12"/>
      <c r="I35147" s="12"/>
      <c r="J35147" s="12"/>
      <c r="K35147" s="12"/>
      <c r="L35147" s="12"/>
      <c r="M35147" s="11"/>
      <c r="N35147" s="11"/>
      <c r="O35147" s="11"/>
      <c r="P35147" s="11"/>
    </row>
    <row r="35148" spans="8:16" x14ac:dyDescent="0.25">
      <c r="H35148" s="12"/>
      <c r="I35148" s="12"/>
      <c r="J35148" s="12"/>
      <c r="K35148" s="12"/>
      <c r="L35148" s="12"/>
      <c r="M35148" s="11"/>
      <c r="N35148" s="11"/>
      <c r="O35148" s="11"/>
      <c r="P35148" s="11"/>
    </row>
    <row r="35149" spans="8:16" x14ac:dyDescent="0.25">
      <c r="H35149" s="12"/>
      <c r="I35149" s="12"/>
      <c r="J35149" s="12"/>
      <c r="K35149" s="12"/>
      <c r="L35149" s="12"/>
      <c r="M35149" s="11"/>
      <c r="N35149" s="11"/>
      <c r="O35149" s="11"/>
      <c r="P35149" s="11"/>
    </row>
    <row r="35150" spans="8:16" x14ac:dyDescent="0.25">
      <c r="H35150" s="12"/>
      <c r="I35150" s="12"/>
      <c r="J35150" s="12"/>
      <c r="K35150" s="12"/>
      <c r="L35150" s="12"/>
      <c r="M35150" s="11"/>
      <c r="N35150" s="11"/>
      <c r="O35150" s="11"/>
      <c r="P35150" s="11"/>
    </row>
    <row r="35151" spans="8:16" x14ac:dyDescent="0.25">
      <c r="H35151" s="12"/>
      <c r="I35151" s="12"/>
      <c r="J35151" s="12"/>
      <c r="K35151" s="12"/>
      <c r="L35151" s="12"/>
      <c r="M35151" s="11"/>
      <c r="N35151" s="11"/>
      <c r="O35151" s="11"/>
      <c r="P35151" s="11"/>
    </row>
    <row r="35152" spans="8:16" x14ac:dyDescent="0.25">
      <c r="H35152" s="12"/>
      <c r="I35152" s="12"/>
      <c r="J35152" s="12"/>
      <c r="K35152" s="12"/>
      <c r="L35152" s="12"/>
      <c r="M35152" s="11"/>
      <c r="N35152" s="11"/>
      <c r="O35152" s="11"/>
      <c r="P35152" s="11"/>
    </row>
    <row r="35153" spans="8:16" x14ac:dyDescent="0.25">
      <c r="H35153" s="12"/>
      <c r="I35153" s="12"/>
      <c r="J35153" s="12"/>
      <c r="K35153" s="12"/>
      <c r="L35153" s="12"/>
      <c r="M35153" s="11"/>
      <c r="N35153" s="11"/>
      <c r="O35153" s="11"/>
      <c r="P35153" s="11"/>
    </row>
    <row r="35154" spans="8:16" x14ac:dyDescent="0.25">
      <c r="H35154" s="12"/>
      <c r="I35154" s="12"/>
      <c r="J35154" s="12"/>
      <c r="K35154" s="12"/>
      <c r="L35154" s="12"/>
      <c r="M35154" s="11"/>
      <c r="N35154" s="11"/>
      <c r="O35154" s="11"/>
      <c r="P35154" s="11"/>
    </row>
    <row r="35155" spans="8:16" x14ac:dyDescent="0.25">
      <c r="H35155" s="12"/>
      <c r="I35155" s="12"/>
      <c r="J35155" s="12"/>
      <c r="K35155" s="12"/>
      <c r="L35155" s="12"/>
      <c r="M35155" s="11"/>
      <c r="N35155" s="11"/>
      <c r="O35155" s="11"/>
      <c r="P35155" s="11"/>
    </row>
    <row r="35156" spans="8:16" x14ac:dyDescent="0.25">
      <c r="H35156" s="12"/>
      <c r="I35156" s="12"/>
      <c r="J35156" s="12"/>
      <c r="K35156" s="12"/>
      <c r="L35156" s="12"/>
      <c r="M35156" s="11"/>
      <c r="N35156" s="11"/>
      <c r="O35156" s="11"/>
      <c r="P35156" s="11"/>
    </row>
    <row r="35157" spans="8:16" x14ac:dyDescent="0.25">
      <c r="H35157" s="12"/>
      <c r="I35157" s="12"/>
      <c r="J35157" s="12"/>
      <c r="K35157" s="12"/>
      <c r="L35157" s="12"/>
      <c r="M35157" s="11"/>
      <c r="N35157" s="11"/>
      <c r="O35157" s="11"/>
      <c r="P35157" s="11"/>
    </row>
    <row r="35158" spans="8:16" x14ac:dyDescent="0.25">
      <c r="H35158" s="12"/>
      <c r="I35158" s="12"/>
      <c r="J35158" s="12"/>
      <c r="K35158" s="12"/>
      <c r="L35158" s="12"/>
      <c r="M35158" s="11"/>
      <c r="N35158" s="11"/>
      <c r="O35158" s="11"/>
      <c r="P35158" s="11"/>
    </row>
    <row r="35159" spans="8:16" x14ac:dyDescent="0.25">
      <c r="H35159" s="12"/>
      <c r="I35159" s="12"/>
      <c r="J35159" s="12"/>
      <c r="K35159" s="12"/>
      <c r="L35159" s="12"/>
      <c r="M35159" s="11"/>
      <c r="N35159" s="11"/>
      <c r="O35159" s="11"/>
      <c r="P35159" s="11"/>
    </row>
    <row r="35160" spans="8:16" x14ac:dyDescent="0.25">
      <c r="H35160" s="12"/>
      <c r="I35160" s="12"/>
      <c r="J35160" s="12"/>
      <c r="K35160" s="12"/>
      <c r="L35160" s="12"/>
      <c r="M35160" s="11"/>
      <c r="N35160" s="11"/>
      <c r="O35160" s="11"/>
      <c r="P35160" s="11"/>
    </row>
    <row r="35161" spans="8:16" x14ac:dyDescent="0.25">
      <c r="H35161" s="12"/>
      <c r="I35161" s="12"/>
      <c r="J35161" s="12"/>
      <c r="K35161" s="12"/>
      <c r="L35161" s="12"/>
      <c r="M35161" s="11"/>
      <c r="N35161" s="11"/>
      <c r="O35161" s="11"/>
      <c r="P35161" s="11"/>
    </row>
    <row r="35162" spans="8:16" x14ac:dyDescent="0.25">
      <c r="H35162" s="12"/>
      <c r="I35162" s="12"/>
      <c r="J35162" s="12"/>
      <c r="K35162" s="12"/>
      <c r="L35162" s="12"/>
      <c r="M35162" s="11"/>
      <c r="N35162" s="11"/>
      <c r="O35162" s="11"/>
      <c r="P35162" s="11"/>
    </row>
    <row r="35163" spans="8:16" x14ac:dyDescent="0.25">
      <c r="H35163" s="12"/>
      <c r="I35163" s="12"/>
      <c r="J35163" s="12"/>
      <c r="K35163" s="12"/>
      <c r="L35163" s="12"/>
      <c r="M35163" s="11"/>
      <c r="N35163" s="11"/>
      <c r="O35163" s="11"/>
      <c r="P35163" s="11"/>
    </row>
    <row r="35164" spans="8:16" x14ac:dyDescent="0.25">
      <c r="H35164" s="12"/>
      <c r="I35164" s="12"/>
      <c r="J35164" s="12"/>
      <c r="K35164" s="12"/>
      <c r="L35164" s="12"/>
      <c r="M35164" s="11"/>
      <c r="N35164" s="11"/>
      <c r="O35164" s="11"/>
      <c r="P35164" s="11"/>
    </row>
    <row r="35165" spans="8:16" x14ac:dyDescent="0.25">
      <c r="H35165" s="12"/>
      <c r="I35165" s="12"/>
      <c r="J35165" s="12"/>
      <c r="K35165" s="12"/>
      <c r="L35165" s="12"/>
      <c r="M35165" s="11"/>
      <c r="N35165" s="11"/>
      <c r="O35165" s="11"/>
      <c r="P35165" s="11"/>
    </row>
    <row r="35166" spans="8:16" x14ac:dyDescent="0.25">
      <c r="H35166" s="12"/>
      <c r="I35166" s="12"/>
      <c r="J35166" s="12"/>
      <c r="K35166" s="12"/>
      <c r="L35166" s="12"/>
      <c r="M35166" s="11"/>
      <c r="N35166" s="11"/>
      <c r="O35166" s="11"/>
      <c r="P35166" s="11"/>
    </row>
    <row r="35167" spans="8:16" x14ac:dyDescent="0.25">
      <c r="H35167" s="12"/>
      <c r="I35167" s="12"/>
      <c r="J35167" s="12"/>
      <c r="K35167" s="12"/>
      <c r="L35167" s="12"/>
      <c r="M35167" s="11"/>
      <c r="N35167" s="11"/>
      <c r="O35167" s="11"/>
      <c r="P35167" s="11"/>
    </row>
    <row r="35168" spans="8:16" x14ac:dyDescent="0.25">
      <c r="H35168" s="12"/>
      <c r="I35168" s="12"/>
      <c r="J35168" s="12"/>
      <c r="K35168" s="12"/>
      <c r="L35168" s="12"/>
      <c r="M35168" s="11"/>
      <c r="N35168" s="11"/>
      <c r="O35168" s="11"/>
      <c r="P35168" s="11"/>
    </row>
    <row r="35169" spans="8:16" x14ac:dyDescent="0.25">
      <c r="H35169" s="12"/>
      <c r="I35169" s="12"/>
      <c r="J35169" s="12"/>
      <c r="K35169" s="12"/>
      <c r="L35169" s="12"/>
      <c r="M35169" s="11"/>
      <c r="N35169" s="11"/>
      <c r="O35169" s="11"/>
      <c r="P35169" s="11"/>
    </row>
    <row r="35170" spans="8:16" x14ac:dyDescent="0.25">
      <c r="H35170" s="12"/>
      <c r="I35170" s="12"/>
      <c r="J35170" s="12"/>
      <c r="K35170" s="12"/>
      <c r="L35170" s="12"/>
      <c r="M35170" s="11"/>
      <c r="N35170" s="11"/>
      <c r="O35170" s="11"/>
      <c r="P35170" s="11"/>
    </row>
    <row r="35171" spans="8:16" x14ac:dyDescent="0.25">
      <c r="H35171" s="12"/>
      <c r="I35171" s="12"/>
      <c r="J35171" s="12"/>
      <c r="K35171" s="12"/>
      <c r="L35171" s="12"/>
      <c r="M35171" s="11"/>
      <c r="N35171" s="11"/>
      <c r="O35171" s="11"/>
      <c r="P35171" s="11"/>
    </row>
    <row r="35172" spans="8:16" x14ac:dyDescent="0.25">
      <c r="H35172" s="12"/>
      <c r="I35172" s="12"/>
      <c r="J35172" s="12"/>
      <c r="K35172" s="12"/>
      <c r="L35172" s="12"/>
      <c r="M35172" s="11"/>
      <c r="N35172" s="11"/>
      <c r="O35172" s="11"/>
      <c r="P35172" s="11"/>
    </row>
    <row r="35173" spans="8:16" x14ac:dyDescent="0.25">
      <c r="H35173" s="12"/>
      <c r="I35173" s="12"/>
      <c r="J35173" s="12"/>
      <c r="K35173" s="12"/>
      <c r="L35173" s="12"/>
      <c r="M35173" s="11"/>
      <c r="N35173" s="11"/>
      <c r="O35173" s="11"/>
      <c r="P35173" s="11"/>
    </row>
    <row r="35174" spans="8:16" x14ac:dyDescent="0.25">
      <c r="H35174" s="12"/>
      <c r="I35174" s="12"/>
      <c r="J35174" s="12"/>
      <c r="K35174" s="12"/>
      <c r="L35174" s="12"/>
      <c r="M35174" s="11"/>
      <c r="N35174" s="11"/>
      <c r="O35174" s="11"/>
      <c r="P35174" s="11"/>
    </row>
    <row r="35175" spans="8:16" x14ac:dyDescent="0.25">
      <c r="H35175" s="12"/>
      <c r="I35175" s="12"/>
      <c r="J35175" s="12"/>
      <c r="K35175" s="12"/>
      <c r="L35175" s="12"/>
      <c r="M35175" s="11"/>
      <c r="N35175" s="11"/>
      <c r="O35175" s="11"/>
      <c r="P35175" s="11"/>
    </row>
    <row r="35176" spans="8:16" x14ac:dyDescent="0.25">
      <c r="H35176" s="12"/>
      <c r="I35176" s="12"/>
      <c r="J35176" s="12"/>
      <c r="K35176" s="12"/>
      <c r="L35176" s="12"/>
      <c r="M35176" s="11"/>
      <c r="N35176" s="11"/>
      <c r="O35176" s="11"/>
      <c r="P35176" s="11"/>
    </row>
    <row r="35177" spans="8:16" x14ac:dyDescent="0.25">
      <c r="H35177" s="12"/>
      <c r="I35177" s="12"/>
      <c r="J35177" s="12"/>
      <c r="K35177" s="12"/>
      <c r="L35177" s="12"/>
      <c r="M35177" s="11"/>
      <c r="N35177" s="11"/>
      <c r="O35177" s="11"/>
      <c r="P35177" s="11"/>
    </row>
    <row r="35178" spans="8:16" x14ac:dyDescent="0.25">
      <c r="H35178" s="12"/>
      <c r="I35178" s="12"/>
      <c r="J35178" s="12"/>
      <c r="K35178" s="12"/>
      <c r="L35178" s="12"/>
      <c r="M35178" s="11"/>
      <c r="N35178" s="11"/>
      <c r="O35178" s="11"/>
      <c r="P35178" s="11"/>
    </row>
    <row r="35179" spans="8:16" x14ac:dyDescent="0.25">
      <c r="H35179" s="12"/>
      <c r="I35179" s="12"/>
      <c r="J35179" s="12"/>
      <c r="K35179" s="12"/>
      <c r="L35179" s="12"/>
      <c r="M35179" s="11"/>
      <c r="N35179" s="11"/>
      <c r="O35179" s="11"/>
      <c r="P35179" s="11"/>
    </row>
    <row r="35180" spans="8:16" x14ac:dyDescent="0.25">
      <c r="H35180" s="12"/>
      <c r="I35180" s="12"/>
      <c r="J35180" s="12"/>
      <c r="K35180" s="12"/>
      <c r="L35180" s="12"/>
      <c r="M35180" s="11"/>
      <c r="N35180" s="11"/>
      <c r="O35180" s="11"/>
      <c r="P35180" s="11"/>
    </row>
    <row r="35181" spans="8:16" x14ac:dyDescent="0.25">
      <c r="H35181" s="12"/>
      <c r="I35181" s="12"/>
      <c r="J35181" s="12"/>
      <c r="K35181" s="12"/>
      <c r="L35181" s="12"/>
      <c r="M35181" s="11"/>
      <c r="N35181" s="11"/>
      <c r="O35181" s="11"/>
      <c r="P35181" s="11"/>
    </row>
    <row r="35182" spans="8:16" x14ac:dyDescent="0.25">
      <c r="H35182" s="12"/>
      <c r="I35182" s="12"/>
      <c r="J35182" s="12"/>
      <c r="K35182" s="12"/>
      <c r="L35182" s="12"/>
      <c r="M35182" s="11"/>
      <c r="N35182" s="11"/>
      <c r="O35182" s="11"/>
      <c r="P35182" s="11"/>
    </row>
    <row r="35183" spans="8:16" x14ac:dyDescent="0.25">
      <c r="H35183" s="12"/>
      <c r="I35183" s="12"/>
      <c r="J35183" s="12"/>
      <c r="K35183" s="12"/>
      <c r="L35183" s="12"/>
      <c r="M35183" s="11"/>
      <c r="N35183" s="11"/>
      <c r="O35183" s="11"/>
      <c r="P35183" s="11"/>
    </row>
    <row r="35184" spans="8:16" x14ac:dyDescent="0.25">
      <c r="H35184" s="12"/>
      <c r="I35184" s="12"/>
      <c r="J35184" s="12"/>
      <c r="K35184" s="12"/>
      <c r="L35184" s="12"/>
      <c r="M35184" s="11"/>
      <c r="N35184" s="11"/>
      <c r="O35184" s="11"/>
      <c r="P35184" s="11"/>
    </row>
    <row r="35185" spans="8:16" x14ac:dyDescent="0.25">
      <c r="H35185" s="12"/>
      <c r="I35185" s="12"/>
      <c r="J35185" s="12"/>
      <c r="K35185" s="12"/>
      <c r="L35185" s="12"/>
      <c r="M35185" s="11"/>
      <c r="N35185" s="11"/>
      <c r="O35185" s="11"/>
      <c r="P35185" s="11"/>
    </row>
    <row r="35186" spans="8:16" x14ac:dyDescent="0.25">
      <c r="H35186" s="12"/>
      <c r="I35186" s="12"/>
      <c r="J35186" s="12"/>
      <c r="K35186" s="12"/>
      <c r="L35186" s="12"/>
      <c r="M35186" s="11"/>
      <c r="N35186" s="11"/>
      <c r="O35186" s="11"/>
      <c r="P35186" s="11"/>
    </row>
    <row r="35187" spans="8:16" x14ac:dyDescent="0.25">
      <c r="H35187" s="12"/>
      <c r="I35187" s="12"/>
      <c r="J35187" s="12"/>
      <c r="K35187" s="12"/>
      <c r="L35187" s="12"/>
      <c r="M35187" s="11"/>
      <c r="N35187" s="11"/>
      <c r="O35187" s="11"/>
      <c r="P35187" s="11"/>
    </row>
    <row r="35188" spans="8:16" x14ac:dyDescent="0.25">
      <c r="H35188" s="12"/>
      <c r="I35188" s="12"/>
      <c r="J35188" s="12"/>
      <c r="K35188" s="12"/>
      <c r="L35188" s="12"/>
      <c r="M35188" s="11"/>
      <c r="N35188" s="11"/>
      <c r="O35188" s="11"/>
      <c r="P35188" s="11"/>
    </row>
    <row r="35189" spans="8:16" x14ac:dyDescent="0.25">
      <c r="H35189" s="12"/>
      <c r="I35189" s="12"/>
      <c r="J35189" s="12"/>
      <c r="K35189" s="12"/>
      <c r="L35189" s="12"/>
      <c r="M35189" s="11"/>
      <c r="N35189" s="11"/>
      <c r="O35189" s="11"/>
      <c r="P35189" s="11"/>
    </row>
    <row r="35190" spans="8:16" x14ac:dyDescent="0.25">
      <c r="H35190" s="12"/>
      <c r="I35190" s="12"/>
      <c r="J35190" s="12"/>
      <c r="K35190" s="12"/>
      <c r="L35190" s="12"/>
      <c r="M35190" s="11"/>
      <c r="N35190" s="11"/>
      <c r="O35190" s="11"/>
      <c r="P35190" s="11"/>
    </row>
    <row r="35191" spans="8:16" x14ac:dyDescent="0.25">
      <c r="H35191" s="12"/>
      <c r="I35191" s="12"/>
      <c r="J35191" s="12"/>
      <c r="K35191" s="12"/>
      <c r="L35191" s="12"/>
      <c r="M35191" s="11"/>
      <c r="N35191" s="11"/>
      <c r="O35191" s="11"/>
      <c r="P35191" s="11"/>
    </row>
    <row r="35192" spans="8:16" x14ac:dyDescent="0.25">
      <c r="H35192" s="12"/>
      <c r="I35192" s="12"/>
      <c r="J35192" s="12"/>
      <c r="K35192" s="12"/>
      <c r="L35192" s="12"/>
      <c r="M35192" s="11"/>
      <c r="N35192" s="11"/>
      <c r="O35192" s="11"/>
      <c r="P35192" s="11"/>
    </row>
    <row r="35193" spans="8:16" x14ac:dyDescent="0.25">
      <c r="H35193" s="12"/>
      <c r="I35193" s="12"/>
      <c r="J35193" s="12"/>
      <c r="K35193" s="12"/>
      <c r="L35193" s="12"/>
      <c r="M35193" s="11"/>
      <c r="N35193" s="11"/>
      <c r="O35193" s="11"/>
      <c r="P35193" s="11"/>
    </row>
    <row r="35194" spans="8:16" x14ac:dyDescent="0.25">
      <c r="H35194" s="12"/>
      <c r="I35194" s="12"/>
      <c r="J35194" s="12"/>
      <c r="K35194" s="12"/>
      <c r="L35194" s="12"/>
      <c r="M35194" s="11"/>
      <c r="N35194" s="11"/>
      <c r="O35194" s="11"/>
      <c r="P35194" s="11"/>
    </row>
    <row r="35195" spans="8:16" x14ac:dyDescent="0.25">
      <c r="H35195" s="12"/>
      <c r="I35195" s="12"/>
      <c r="J35195" s="12"/>
      <c r="K35195" s="12"/>
      <c r="L35195" s="12"/>
      <c r="M35195" s="11"/>
      <c r="N35195" s="11"/>
      <c r="O35195" s="11"/>
      <c r="P35195" s="11"/>
    </row>
    <row r="35196" spans="8:16" x14ac:dyDescent="0.25">
      <c r="H35196" s="12"/>
      <c r="I35196" s="12"/>
      <c r="J35196" s="12"/>
      <c r="K35196" s="12"/>
      <c r="L35196" s="12"/>
      <c r="M35196" s="11"/>
      <c r="N35196" s="11"/>
      <c r="O35196" s="11"/>
      <c r="P35196" s="11"/>
    </row>
    <row r="35197" spans="8:16" x14ac:dyDescent="0.25">
      <c r="H35197" s="12"/>
      <c r="I35197" s="12"/>
      <c r="J35197" s="12"/>
      <c r="K35197" s="12"/>
      <c r="L35197" s="12"/>
      <c r="M35197" s="11"/>
      <c r="N35197" s="11"/>
      <c r="O35197" s="11"/>
      <c r="P35197" s="11"/>
    </row>
    <row r="35198" spans="8:16" x14ac:dyDescent="0.25">
      <c r="H35198" s="12"/>
      <c r="I35198" s="12"/>
      <c r="J35198" s="12"/>
      <c r="K35198" s="12"/>
      <c r="L35198" s="12"/>
      <c r="M35198" s="11"/>
      <c r="N35198" s="11"/>
      <c r="O35198" s="11"/>
      <c r="P35198" s="11"/>
    </row>
    <row r="35199" spans="8:16" x14ac:dyDescent="0.25">
      <c r="H35199" s="12"/>
      <c r="I35199" s="12"/>
      <c r="J35199" s="12"/>
      <c r="K35199" s="12"/>
      <c r="L35199" s="12"/>
      <c r="M35199" s="11"/>
      <c r="N35199" s="11"/>
      <c r="O35199" s="11"/>
      <c r="P35199" s="11"/>
    </row>
    <row r="35200" spans="8:16" x14ac:dyDescent="0.25">
      <c r="H35200" s="12"/>
      <c r="I35200" s="12"/>
      <c r="J35200" s="12"/>
      <c r="K35200" s="12"/>
      <c r="L35200" s="12"/>
      <c r="M35200" s="11"/>
      <c r="N35200" s="11"/>
      <c r="O35200" s="11"/>
      <c r="P35200" s="11"/>
    </row>
    <row r="35201" spans="8:16" x14ac:dyDescent="0.25">
      <c r="H35201" s="12"/>
      <c r="I35201" s="12"/>
      <c r="J35201" s="12"/>
      <c r="K35201" s="12"/>
      <c r="L35201" s="12"/>
      <c r="M35201" s="11"/>
      <c r="N35201" s="11"/>
      <c r="O35201" s="11"/>
      <c r="P35201" s="11"/>
    </row>
    <row r="35202" spans="8:16" x14ac:dyDescent="0.25">
      <c r="H35202" s="12"/>
      <c r="I35202" s="12"/>
      <c r="J35202" s="12"/>
      <c r="K35202" s="12"/>
      <c r="L35202" s="12"/>
      <c r="M35202" s="11"/>
      <c r="N35202" s="11"/>
      <c r="O35202" s="11"/>
      <c r="P35202" s="11"/>
    </row>
    <row r="35203" spans="8:16" x14ac:dyDescent="0.25">
      <c r="H35203" s="12"/>
      <c r="I35203" s="12"/>
      <c r="J35203" s="12"/>
      <c r="K35203" s="12"/>
      <c r="L35203" s="12"/>
      <c r="M35203" s="11"/>
      <c r="N35203" s="11"/>
      <c r="O35203" s="11"/>
      <c r="P35203" s="11"/>
    </row>
    <row r="35204" spans="8:16" x14ac:dyDescent="0.25">
      <c r="H35204" s="12"/>
      <c r="I35204" s="12"/>
      <c r="J35204" s="12"/>
      <c r="K35204" s="12"/>
      <c r="L35204" s="12"/>
      <c r="M35204" s="11"/>
      <c r="N35204" s="11"/>
      <c r="O35204" s="11"/>
      <c r="P35204" s="11"/>
    </row>
    <row r="35205" spans="8:16" x14ac:dyDescent="0.25">
      <c r="H35205" s="12"/>
      <c r="I35205" s="12"/>
      <c r="J35205" s="12"/>
      <c r="K35205" s="12"/>
      <c r="L35205" s="12"/>
      <c r="M35205" s="11"/>
      <c r="N35205" s="11"/>
      <c r="O35205" s="11"/>
      <c r="P35205" s="11"/>
    </row>
    <row r="35206" spans="8:16" x14ac:dyDescent="0.25">
      <c r="H35206" s="12"/>
      <c r="I35206" s="12"/>
      <c r="J35206" s="12"/>
      <c r="K35206" s="12"/>
      <c r="L35206" s="12"/>
      <c r="M35206" s="11"/>
      <c r="N35206" s="11"/>
      <c r="O35206" s="11"/>
      <c r="P35206" s="11"/>
    </row>
    <row r="35207" spans="8:16" x14ac:dyDescent="0.25">
      <c r="H35207" s="12"/>
      <c r="I35207" s="12"/>
      <c r="J35207" s="12"/>
      <c r="K35207" s="12"/>
      <c r="L35207" s="12"/>
      <c r="M35207" s="11"/>
      <c r="N35207" s="11"/>
      <c r="O35207" s="11"/>
      <c r="P35207" s="11"/>
    </row>
    <row r="35208" spans="8:16" x14ac:dyDescent="0.25">
      <c r="H35208" s="12"/>
      <c r="I35208" s="12"/>
      <c r="J35208" s="12"/>
      <c r="K35208" s="12"/>
      <c r="L35208" s="12"/>
      <c r="M35208" s="11"/>
      <c r="N35208" s="11"/>
      <c r="O35208" s="11"/>
      <c r="P35208" s="11"/>
    </row>
    <row r="35209" spans="8:16" x14ac:dyDescent="0.25">
      <c r="H35209" s="12"/>
      <c r="I35209" s="12"/>
      <c r="J35209" s="12"/>
      <c r="K35209" s="12"/>
      <c r="L35209" s="12"/>
      <c r="M35209" s="11"/>
      <c r="N35209" s="11"/>
      <c r="O35209" s="11"/>
      <c r="P35209" s="11"/>
    </row>
    <row r="35210" spans="8:16" x14ac:dyDescent="0.25">
      <c r="H35210" s="12"/>
      <c r="I35210" s="12"/>
      <c r="J35210" s="12"/>
      <c r="K35210" s="12"/>
      <c r="L35210" s="12"/>
      <c r="M35210" s="11"/>
      <c r="N35210" s="11"/>
      <c r="O35210" s="11"/>
      <c r="P35210" s="11"/>
    </row>
    <row r="35211" spans="8:16" x14ac:dyDescent="0.25">
      <c r="H35211" s="12"/>
      <c r="I35211" s="12"/>
      <c r="J35211" s="12"/>
      <c r="K35211" s="12"/>
      <c r="L35211" s="12"/>
      <c r="M35211" s="11"/>
      <c r="N35211" s="11"/>
      <c r="O35211" s="11"/>
      <c r="P35211" s="11"/>
    </row>
    <row r="35212" spans="8:16" x14ac:dyDescent="0.25">
      <c r="H35212" s="12"/>
      <c r="I35212" s="12"/>
      <c r="J35212" s="12"/>
      <c r="K35212" s="12"/>
      <c r="L35212" s="12"/>
      <c r="M35212" s="11"/>
      <c r="N35212" s="11"/>
      <c r="O35212" s="11"/>
      <c r="P35212" s="11"/>
    </row>
    <row r="35213" spans="8:16" x14ac:dyDescent="0.25">
      <c r="H35213" s="12"/>
      <c r="I35213" s="12"/>
      <c r="J35213" s="12"/>
      <c r="K35213" s="12"/>
      <c r="L35213" s="12"/>
      <c r="M35213" s="11"/>
      <c r="N35213" s="11"/>
      <c r="O35213" s="11"/>
      <c r="P35213" s="11"/>
    </row>
    <row r="35214" spans="8:16" x14ac:dyDescent="0.25">
      <c r="H35214" s="12"/>
      <c r="I35214" s="12"/>
      <c r="J35214" s="12"/>
      <c r="K35214" s="12"/>
      <c r="L35214" s="12"/>
      <c r="M35214" s="11"/>
      <c r="N35214" s="11"/>
      <c r="O35214" s="11"/>
      <c r="P35214" s="11"/>
    </row>
    <row r="35215" spans="8:16" x14ac:dyDescent="0.25">
      <c r="H35215" s="12"/>
      <c r="I35215" s="12"/>
      <c r="J35215" s="12"/>
      <c r="K35215" s="12"/>
      <c r="L35215" s="12"/>
      <c r="M35215" s="11"/>
      <c r="N35215" s="11"/>
      <c r="O35215" s="11"/>
      <c r="P35215" s="11"/>
    </row>
    <row r="35216" spans="8:16" x14ac:dyDescent="0.25">
      <c r="H35216" s="12"/>
      <c r="I35216" s="12"/>
      <c r="J35216" s="12"/>
      <c r="K35216" s="12"/>
      <c r="L35216" s="12"/>
      <c r="M35216" s="11"/>
      <c r="N35216" s="11"/>
      <c r="O35216" s="11"/>
      <c r="P35216" s="11"/>
    </row>
    <row r="35217" spans="8:16" x14ac:dyDescent="0.25">
      <c r="H35217" s="12"/>
      <c r="I35217" s="12"/>
      <c r="J35217" s="12"/>
      <c r="K35217" s="12"/>
      <c r="L35217" s="12"/>
      <c r="M35217" s="11"/>
      <c r="N35217" s="11"/>
      <c r="O35217" s="11"/>
      <c r="P35217" s="11"/>
    </row>
    <row r="35218" spans="8:16" x14ac:dyDescent="0.25">
      <c r="H35218" s="12"/>
      <c r="I35218" s="12"/>
      <c r="J35218" s="12"/>
      <c r="K35218" s="12"/>
      <c r="L35218" s="12"/>
      <c r="M35218" s="11"/>
      <c r="N35218" s="11"/>
      <c r="O35218" s="11"/>
      <c r="P35218" s="11"/>
    </row>
    <row r="35219" spans="8:16" x14ac:dyDescent="0.25">
      <c r="H35219" s="12"/>
      <c r="I35219" s="12"/>
      <c r="J35219" s="12"/>
      <c r="K35219" s="12"/>
      <c r="L35219" s="12"/>
      <c r="M35219" s="11"/>
      <c r="N35219" s="11"/>
      <c r="O35219" s="11"/>
      <c r="P35219" s="11"/>
    </row>
    <row r="35220" spans="8:16" x14ac:dyDescent="0.25">
      <c r="H35220" s="12"/>
      <c r="I35220" s="12"/>
      <c r="J35220" s="12"/>
      <c r="K35220" s="12"/>
      <c r="L35220" s="12"/>
      <c r="M35220" s="11"/>
      <c r="N35220" s="11"/>
      <c r="O35220" s="11"/>
      <c r="P35220" s="11"/>
    </row>
    <row r="35221" spans="8:16" x14ac:dyDescent="0.25">
      <c r="H35221" s="12"/>
      <c r="I35221" s="12"/>
      <c r="J35221" s="12"/>
      <c r="K35221" s="12"/>
      <c r="L35221" s="12"/>
      <c r="M35221" s="11"/>
      <c r="N35221" s="11"/>
      <c r="O35221" s="11"/>
      <c r="P35221" s="11"/>
    </row>
    <row r="35222" spans="8:16" x14ac:dyDescent="0.25">
      <c r="H35222" s="12"/>
      <c r="I35222" s="12"/>
      <c r="J35222" s="12"/>
      <c r="K35222" s="12"/>
      <c r="L35222" s="12"/>
      <c r="M35222" s="11"/>
      <c r="N35222" s="11"/>
      <c r="O35222" s="11"/>
      <c r="P35222" s="11"/>
    </row>
    <row r="35223" spans="8:16" x14ac:dyDescent="0.25">
      <c r="H35223" s="12"/>
      <c r="I35223" s="12"/>
      <c r="J35223" s="12"/>
      <c r="K35223" s="12"/>
      <c r="L35223" s="12"/>
      <c r="M35223" s="11"/>
      <c r="N35223" s="11"/>
      <c r="O35223" s="11"/>
      <c r="P35223" s="11"/>
    </row>
    <row r="35224" spans="8:16" x14ac:dyDescent="0.25">
      <c r="H35224" s="12"/>
      <c r="I35224" s="12"/>
      <c r="J35224" s="12"/>
      <c r="K35224" s="12"/>
      <c r="L35224" s="12"/>
      <c r="M35224" s="11"/>
      <c r="N35224" s="11"/>
      <c r="O35224" s="11"/>
      <c r="P35224" s="11"/>
    </row>
    <row r="35225" spans="8:16" x14ac:dyDescent="0.25">
      <c r="H35225" s="12"/>
      <c r="I35225" s="12"/>
      <c r="J35225" s="12"/>
      <c r="K35225" s="12"/>
      <c r="L35225" s="12"/>
      <c r="M35225" s="11"/>
      <c r="N35225" s="11"/>
      <c r="O35225" s="11"/>
      <c r="P35225" s="11"/>
    </row>
    <row r="35226" spans="8:16" x14ac:dyDescent="0.25">
      <c r="H35226" s="12"/>
      <c r="I35226" s="12"/>
      <c r="J35226" s="12"/>
      <c r="K35226" s="12"/>
      <c r="L35226" s="12"/>
      <c r="M35226" s="11"/>
      <c r="N35226" s="11"/>
      <c r="O35226" s="11"/>
      <c r="P35226" s="11"/>
    </row>
    <row r="35227" spans="8:16" x14ac:dyDescent="0.25">
      <c r="H35227" s="12"/>
      <c r="I35227" s="12"/>
      <c r="J35227" s="12"/>
      <c r="K35227" s="12"/>
      <c r="L35227" s="12"/>
      <c r="M35227" s="11"/>
      <c r="N35227" s="11"/>
      <c r="O35227" s="11"/>
      <c r="P35227" s="11"/>
    </row>
    <row r="35228" spans="8:16" x14ac:dyDescent="0.25">
      <c r="H35228" s="12"/>
      <c r="I35228" s="12"/>
      <c r="J35228" s="12"/>
      <c r="K35228" s="12"/>
      <c r="L35228" s="12"/>
      <c r="M35228" s="11"/>
      <c r="N35228" s="11"/>
      <c r="O35228" s="11"/>
      <c r="P35228" s="11"/>
    </row>
    <row r="35229" spans="8:16" x14ac:dyDescent="0.25">
      <c r="H35229" s="12"/>
      <c r="I35229" s="12"/>
      <c r="J35229" s="12"/>
      <c r="K35229" s="12"/>
      <c r="L35229" s="12"/>
      <c r="M35229" s="11"/>
      <c r="N35229" s="11"/>
      <c r="O35229" s="11"/>
      <c r="P35229" s="11"/>
    </row>
    <row r="35230" spans="8:16" x14ac:dyDescent="0.25">
      <c r="H35230" s="12"/>
      <c r="I35230" s="12"/>
      <c r="J35230" s="12"/>
      <c r="K35230" s="12"/>
      <c r="L35230" s="12"/>
      <c r="M35230" s="11"/>
      <c r="N35230" s="11"/>
      <c r="O35230" s="11"/>
      <c r="P35230" s="11"/>
    </row>
    <row r="35231" spans="8:16" x14ac:dyDescent="0.25">
      <c r="H35231" s="12"/>
      <c r="I35231" s="12"/>
      <c r="J35231" s="12"/>
      <c r="K35231" s="12"/>
      <c r="L35231" s="12"/>
      <c r="M35231" s="11"/>
      <c r="N35231" s="11"/>
      <c r="O35231" s="11"/>
      <c r="P35231" s="11"/>
    </row>
    <row r="35232" spans="8:16" x14ac:dyDescent="0.25">
      <c r="H35232" s="12"/>
      <c r="I35232" s="12"/>
      <c r="J35232" s="12"/>
      <c r="K35232" s="12"/>
      <c r="L35232" s="12"/>
      <c r="M35232" s="11"/>
      <c r="N35232" s="11"/>
      <c r="O35232" s="11"/>
      <c r="P35232" s="11"/>
    </row>
    <row r="35233" spans="8:16" x14ac:dyDescent="0.25">
      <c r="H35233" s="12"/>
      <c r="I35233" s="12"/>
      <c r="J35233" s="12"/>
      <c r="K35233" s="12"/>
      <c r="L35233" s="12"/>
      <c r="M35233" s="11"/>
      <c r="N35233" s="11"/>
      <c r="O35233" s="11"/>
      <c r="P35233" s="11"/>
    </row>
    <row r="35234" spans="8:16" x14ac:dyDescent="0.25">
      <c r="H35234" s="12"/>
      <c r="I35234" s="12"/>
      <c r="J35234" s="12"/>
      <c r="K35234" s="12"/>
      <c r="L35234" s="12"/>
      <c r="M35234" s="11"/>
      <c r="N35234" s="11"/>
      <c r="O35234" s="11"/>
      <c r="P35234" s="11"/>
    </row>
    <row r="35235" spans="8:16" x14ac:dyDescent="0.25">
      <c r="H35235" s="12"/>
      <c r="I35235" s="12"/>
      <c r="J35235" s="12"/>
      <c r="K35235" s="12"/>
      <c r="L35235" s="12"/>
      <c r="M35235" s="11"/>
      <c r="N35235" s="11"/>
      <c r="O35235" s="11"/>
      <c r="P35235" s="11"/>
    </row>
    <row r="35236" spans="8:16" x14ac:dyDescent="0.25">
      <c r="H35236" s="12"/>
      <c r="I35236" s="12"/>
      <c r="J35236" s="12"/>
      <c r="K35236" s="12"/>
      <c r="L35236" s="12"/>
      <c r="M35236" s="11"/>
      <c r="N35236" s="11"/>
      <c r="O35236" s="11"/>
      <c r="P35236" s="11"/>
    </row>
    <row r="35237" spans="8:16" x14ac:dyDescent="0.25">
      <c r="H35237" s="12"/>
      <c r="I35237" s="12"/>
      <c r="J35237" s="12"/>
      <c r="K35237" s="12"/>
      <c r="L35237" s="12"/>
      <c r="M35237" s="11"/>
      <c r="N35237" s="11"/>
      <c r="O35237" s="11"/>
      <c r="P35237" s="11"/>
    </row>
    <row r="35238" spans="8:16" x14ac:dyDescent="0.25">
      <c r="H35238" s="12"/>
      <c r="I35238" s="12"/>
      <c r="J35238" s="12"/>
      <c r="K35238" s="12"/>
      <c r="L35238" s="12"/>
      <c r="M35238" s="11"/>
      <c r="N35238" s="11"/>
      <c r="O35238" s="11"/>
      <c r="P35238" s="11"/>
    </row>
    <row r="35239" spans="8:16" x14ac:dyDescent="0.25">
      <c r="H35239" s="12"/>
      <c r="I35239" s="12"/>
      <c r="J35239" s="12"/>
      <c r="K35239" s="12"/>
      <c r="L35239" s="12"/>
      <c r="M35239" s="11"/>
      <c r="N35239" s="11"/>
      <c r="O35239" s="11"/>
      <c r="P35239" s="11"/>
    </row>
    <row r="35240" spans="8:16" x14ac:dyDescent="0.25">
      <c r="H35240" s="12"/>
      <c r="I35240" s="12"/>
      <c r="J35240" s="12"/>
      <c r="K35240" s="12"/>
      <c r="L35240" s="12"/>
      <c r="M35240" s="11"/>
      <c r="N35240" s="11"/>
      <c r="O35240" s="11"/>
      <c r="P35240" s="11"/>
    </row>
    <row r="35241" spans="8:16" x14ac:dyDescent="0.25">
      <c r="H35241" s="12"/>
      <c r="I35241" s="12"/>
      <c r="J35241" s="12"/>
      <c r="K35241" s="12"/>
      <c r="L35241" s="12"/>
      <c r="M35241" s="11"/>
      <c r="N35241" s="11"/>
      <c r="O35241" s="11"/>
      <c r="P35241" s="11"/>
    </row>
    <row r="35242" spans="8:16" x14ac:dyDescent="0.25">
      <c r="H35242" s="12"/>
      <c r="I35242" s="12"/>
      <c r="J35242" s="12"/>
      <c r="K35242" s="12"/>
      <c r="L35242" s="12"/>
      <c r="M35242" s="11"/>
      <c r="N35242" s="11"/>
      <c r="O35242" s="11"/>
      <c r="P35242" s="11"/>
    </row>
    <row r="35243" spans="8:16" x14ac:dyDescent="0.25">
      <c r="H35243" s="12"/>
      <c r="I35243" s="12"/>
      <c r="J35243" s="12"/>
      <c r="K35243" s="12"/>
      <c r="L35243" s="12"/>
      <c r="M35243" s="11"/>
      <c r="N35243" s="11"/>
      <c r="O35243" s="11"/>
      <c r="P35243" s="11"/>
    </row>
    <row r="35244" spans="8:16" x14ac:dyDescent="0.25">
      <c r="H35244" s="12"/>
      <c r="I35244" s="12"/>
      <c r="J35244" s="12"/>
      <c r="K35244" s="12"/>
      <c r="L35244" s="12"/>
      <c r="M35244" s="11"/>
      <c r="N35244" s="11"/>
      <c r="O35244" s="11"/>
      <c r="P35244" s="11"/>
    </row>
    <row r="35245" spans="8:16" x14ac:dyDescent="0.25">
      <c r="H35245" s="12"/>
      <c r="I35245" s="12"/>
      <c r="J35245" s="12"/>
      <c r="K35245" s="12"/>
      <c r="L35245" s="12"/>
      <c r="M35245" s="11"/>
      <c r="N35245" s="11"/>
      <c r="O35245" s="11"/>
      <c r="P35245" s="11"/>
    </row>
    <row r="35246" spans="8:16" x14ac:dyDescent="0.25">
      <c r="H35246" s="12"/>
      <c r="I35246" s="12"/>
      <c r="J35246" s="12"/>
      <c r="K35246" s="12"/>
      <c r="L35246" s="12"/>
      <c r="M35246" s="11"/>
      <c r="N35246" s="11"/>
      <c r="O35246" s="11"/>
      <c r="P35246" s="11"/>
    </row>
    <row r="35247" spans="8:16" x14ac:dyDescent="0.25">
      <c r="H35247" s="12"/>
      <c r="I35247" s="12"/>
      <c r="J35247" s="12"/>
      <c r="K35247" s="12"/>
      <c r="L35247" s="12"/>
      <c r="M35247" s="11"/>
      <c r="N35247" s="11"/>
      <c r="O35247" s="11"/>
      <c r="P35247" s="11"/>
    </row>
    <row r="35248" spans="8:16" x14ac:dyDescent="0.25">
      <c r="H35248" s="12"/>
      <c r="I35248" s="12"/>
      <c r="J35248" s="12"/>
      <c r="K35248" s="12"/>
      <c r="L35248" s="12"/>
      <c r="M35248" s="11"/>
      <c r="N35248" s="11"/>
      <c r="O35248" s="11"/>
      <c r="P35248" s="11"/>
    </row>
    <row r="35249" spans="8:16" x14ac:dyDescent="0.25">
      <c r="H35249" s="12"/>
      <c r="I35249" s="12"/>
      <c r="J35249" s="12"/>
      <c r="K35249" s="12"/>
      <c r="L35249" s="12"/>
      <c r="M35249" s="11"/>
      <c r="N35249" s="11"/>
      <c r="O35249" s="11"/>
      <c r="P35249" s="11"/>
    </row>
    <row r="35250" spans="8:16" x14ac:dyDescent="0.25">
      <c r="H35250" s="12"/>
      <c r="I35250" s="12"/>
      <c r="J35250" s="12"/>
      <c r="K35250" s="12"/>
      <c r="L35250" s="12"/>
      <c r="M35250" s="11"/>
      <c r="N35250" s="11"/>
      <c r="O35250" s="11"/>
      <c r="P35250" s="11"/>
    </row>
    <row r="35251" spans="8:16" x14ac:dyDescent="0.25">
      <c r="H35251" s="12"/>
      <c r="I35251" s="12"/>
      <c r="J35251" s="12"/>
      <c r="K35251" s="12"/>
      <c r="L35251" s="12"/>
      <c r="M35251" s="11"/>
      <c r="N35251" s="11"/>
      <c r="O35251" s="11"/>
      <c r="P35251" s="11"/>
    </row>
    <row r="35252" spans="8:16" x14ac:dyDescent="0.25">
      <c r="H35252" s="12"/>
      <c r="I35252" s="12"/>
      <c r="J35252" s="12"/>
      <c r="K35252" s="12"/>
      <c r="L35252" s="12"/>
      <c r="M35252" s="11"/>
      <c r="N35252" s="11"/>
      <c r="O35252" s="11"/>
      <c r="P35252" s="11"/>
    </row>
    <row r="35253" spans="8:16" x14ac:dyDescent="0.25">
      <c r="H35253" s="12"/>
      <c r="I35253" s="12"/>
      <c r="J35253" s="12"/>
      <c r="K35253" s="12"/>
      <c r="L35253" s="12"/>
      <c r="M35253" s="11"/>
      <c r="N35253" s="11"/>
      <c r="O35253" s="11"/>
      <c r="P35253" s="11"/>
    </row>
    <row r="35254" spans="8:16" x14ac:dyDescent="0.25">
      <c r="H35254" s="12"/>
      <c r="I35254" s="12"/>
      <c r="J35254" s="12"/>
      <c r="K35254" s="12"/>
      <c r="L35254" s="12"/>
      <c r="M35254" s="11"/>
      <c r="N35254" s="11"/>
      <c r="O35254" s="11"/>
      <c r="P35254" s="11"/>
    </row>
    <row r="35255" spans="8:16" x14ac:dyDescent="0.25">
      <c r="H35255" s="12"/>
      <c r="I35255" s="12"/>
      <c r="J35255" s="12"/>
      <c r="K35255" s="12"/>
      <c r="L35255" s="12"/>
      <c r="M35255" s="11"/>
      <c r="N35255" s="11"/>
      <c r="O35255" s="11"/>
      <c r="P35255" s="11"/>
    </row>
    <row r="35256" spans="8:16" x14ac:dyDescent="0.25">
      <c r="H35256" s="12"/>
      <c r="I35256" s="12"/>
      <c r="J35256" s="12"/>
      <c r="K35256" s="12"/>
      <c r="L35256" s="12"/>
      <c r="M35256" s="11"/>
      <c r="N35256" s="11"/>
      <c r="O35256" s="11"/>
      <c r="P35256" s="11"/>
    </row>
    <row r="35257" spans="8:16" x14ac:dyDescent="0.25">
      <c r="H35257" s="12"/>
      <c r="I35257" s="12"/>
      <c r="J35257" s="12"/>
      <c r="K35257" s="12"/>
      <c r="L35257" s="12"/>
      <c r="M35257" s="11"/>
      <c r="N35257" s="11"/>
      <c r="O35257" s="11"/>
      <c r="P35257" s="11"/>
    </row>
    <row r="35258" spans="8:16" x14ac:dyDescent="0.25">
      <c r="H35258" s="12"/>
      <c r="I35258" s="12"/>
      <c r="J35258" s="12"/>
      <c r="K35258" s="12"/>
      <c r="L35258" s="12"/>
      <c r="M35258" s="11"/>
      <c r="N35258" s="11"/>
      <c r="O35258" s="11"/>
      <c r="P35258" s="11"/>
    </row>
    <row r="35259" spans="8:16" x14ac:dyDescent="0.25">
      <c r="H35259" s="12"/>
      <c r="I35259" s="12"/>
      <c r="J35259" s="12"/>
      <c r="K35259" s="12"/>
      <c r="L35259" s="12"/>
      <c r="M35259" s="11"/>
      <c r="N35259" s="11"/>
      <c r="O35259" s="11"/>
      <c r="P35259" s="11"/>
    </row>
    <row r="35260" spans="8:16" x14ac:dyDescent="0.25">
      <c r="H35260" s="12"/>
      <c r="I35260" s="12"/>
      <c r="J35260" s="12"/>
      <c r="K35260" s="12"/>
      <c r="L35260" s="12"/>
      <c r="M35260" s="11"/>
      <c r="N35260" s="11"/>
      <c r="O35260" s="11"/>
      <c r="P35260" s="11"/>
    </row>
    <row r="35261" spans="8:16" x14ac:dyDescent="0.25">
      <c r="H35261" s="12"/>
      <c r="I35261" s="12"/>
      <c r="J35261" s="12"/>
      <c r="K35261" s="12"/>
      <c r="L35261" s="12"/>
      <c r="M35261" s="11"/>
      <c r="N35261" s="11"/>
      <c r="O35261" s="11"/>
      <c r="P35261" s="11"/>
    </row>
    <row r="35262" spans="8:16" x14ac:dyDescent="0.25">
      <c r="H35262" s="12"/>
      <c r="I35262" s="12"/>
      <c r="J35262" s="12"/>
      <c r="K35262" s="12"/>
      <c r="L35262" s="12"/>
      <c r="M35262" s="11"/>
      <c r="N35262" s="11"/>
      <c r="O35262" s="11"/>
      <c r="P35262" s="11"/>
    </row>
    <row r="35263" spans="8:16" x14ac:dyDescent="0.25">
      <c r="H35263" s="12"/>
      <c r="I35263" s="12"/>
      <c r="J35263" s="12"/>
      <c r="K35263" s="12"/>
      <c r="L35263" s="12"/>
      <c r="M35263" s="11"/>
      <c r="N35263" s="11"/>
      <c r="O35263" s="11"/>
      <c r="P35263" s="11"/>
    </row>
    <row r="35264" spans="8:16" x14ac:dyDescent="0.25">
      <c r="H35264" s="12"/>
      <c r="I35264" s="12"/>
      <c r="J35264" s="12"/>
      <c r="K35264" s="12"/>
      <c r="L35264" s="12"/>
      <c r="M35264" s="11"/>
      <c r="N35264" s="11"/>
      <c r="O35264" s="11"/>
      <c r="P35264" s="11"/>
    </row>
    <row r="35265" spans="8:16" x14ac:dyDescent="0.25">
      <c r="H35265" s="12"/>
      <c r="I35265" s="12"/>
      <c r="J35265" s="12"/>
      <c r="K35265" s="12"/>
      <c r="L35265" s="12"/>
      <c r="M35265" s="11"/>
      <c r="N35265" s="11"/>
      <c r="O35265" s="11"/>
      <c r="P35265" s="11"/>
    </row>
    <row r="35266" spans="8:16" x14ac:dyDescent="0.25">
      <c r="H35266" s="12"/>
      <c r="I35266" s="12"/>
      <c r="J35266" s="12"/>
      <c r="K35266" s="12"/>
      <c r="L35266" s="12"/>
      <c r="M35266" s="11"/>
      <c r="N35266" s="11"/>
      <c r="O35266" s="11"/>
      <c r="P35266" s="11"/>
    </row>
    <row r="35267" spans="8:16" x14ac:dyDescent="0.25">
      <c r="H35267" s="12"/>
      <c r="I35267" s="12"/>
      <c r="J35267" s="12"/>
      <c r="K35267" s="12"/>
      <c r="L35267" s="12"/>
      <c r="M35267" s="11"/>
      <c r="N35267" s="11"/>
      <c r="O35267" s="11"/>
      <c r="P35267" s="11"/>
    </row>
    <row r="35268" spans="8:16" x14ac:dyDescent="0.25">
      <c r="H35268" s="12"/>
      <c r="I35268" s="12"/>
      <c r="J35268" s="12"/>
      <c r="K35268" s="12"/>
      <c r="L35268" s="12"/>
      <c r="M35268" s="11"/>
      <c r="N35268" s="11"/>
      <c r="O35268" s="11"/>
      <c r="P35268" s="11"/>
    </row>
    <row r="35269" spans="8:16" x14ac:dyDescent="0.25">
      <c r="H35269" s="12"/>
      <c r="I35269" s="12"/>
      <c r="J35269" s="12"/>
      <c r="K35269" s="12"/>
      <c r="L35269" s="12"/>
      <c r="M35269" s="11"/>
      <c r="N35269" s="11"/>
      <c r="O35269" s="11"/>
      <c r="P35269" s="11"/>
    </row>
    <row r="35270" spans="8:16" x14ac:dyDescent="0.25">
      <c r="H35270" s="12"/>
      <c r="I35270" s="12"/>
      <c r="J35270" s="12"/>
      <c r="K35270" s="12"/>
      <c r="L35270" s="12"/>
      <c r="M35270" s="11"/>
      <c r="N35270" s="11"/>
      <c r="O35270" s="11"/>
      <c r="P35270" s="11"/>
    </row>
    <row r="35271" spans="8:16" x14ac:dyDescent="0.25">
      <c r="H35271" s="12"/>
      <c r="I35271" s="12"/>
      <c r="J35271" s="12"/>
      <c r="K35271" s="12"/>
      <c r="L35271" s="12"/>
      <c r="M35271" s="11"/>
      <c r="N35271" s="11"/>
      <c r="O35271" s="11"/>
      <c r="P35271" s="11"/>
    </row>
    <row r="35272" spans="8:16" x14ac:dyDescent="0.25">
      <c r="H35272" s="12"/>
      <c r="I35272" s="12"/>
      <c r="J35272" s="12"/>
      <c r="K35272" s="12"/>
      <c r="L35272" s="12"/>
      <c r="M35272" s="11"/>
      <c r="N35272" s="11"/>
      <c r="O35272" s="11"/>
      <c r="P35272" s="11"/>
    </row>
    <row r="35273" spans="8:16" x14ac:dyDescent="0.25">
      <c r="H35273" s="12"/>
      <c r="I35273" s="12"/>
      <c r="J35273" s="12"/>
      <c r="K35273" s="12"/>
      <c r="L35273" s="12"/>
      <c r="M35273" s="11"/>
      <c r="N35273" s="11"/>
      <c r="O35273" s="11"/>
      <c r="P35273" s="11"/>
    </row>
    <row r="35274" spans="8:16" x14ac:dyDescent="0.25">
      <c r="H35274" s="12"/>
      <c r="I35274" s="12"/>
      <c r="J35274" s="12"/>
      <c r="K35274" s="12"/>
      <c r="L35274" s="12"/>
      <c r="M35274" s="11"/>
      <c r="N35274" s="11"/>
      <c r="O35274" s="11"/>
      <c r="P35274" s="11"/>
    </row>
    <row r="35275" spans="8:16" x14ac:dyDescent="0.25">
      <c r="H35275" s="12"/>
      <c r="I35275" s="12"/>
      <c r="J35275" s="12"/>
      <c r="K35275" s="12"/>
      <c r="L35275" s="12"/>
      <c r="M35275" s="11"/>
      <c r="N35275" s="11"/>
      <c r="O35275" s="11"/>
      <c r="P35275" s="11"/>
    </row>
    <row r="35276" spans="8:16" x14ac:dyDescent="0.25">
      <c r="H35276" s="12"/>
      <c r="I35276" s="12"/>
      <c r="J35276" s="12"/>
      <c r="K35276" s="12"/>
      <c r="L35276" s="12"/>
      <c r="M35276" s="11"/>
      <c r="N35276" s="11"/>
      <c r="O35276" s="11"/>
      <c r="P35276" s="11"/>
    </row>
    <row r="35277" spans="8:16" x14ac:dyDescent="0.25">
      <c r="H35277" s="12"/>
      <c r="I35277" s="12"/>
      <c r="J35277" s="12"/>
      <c r="K35277" s="12"/>
      <c r="L35277" s="12"/>
      <c r="M35277" s="11"/>
      <c r="N35277" s="11"/>
      <c r="O35277" s="11"/>
      <c r="P35277" s="11"/>
    </row>
    <row r="35278" spans="8:16" x14ac:dyDescent="0.25">
      <c r="H35278" s="12"/>
      <c r="I35278" s="12"/>
      <c r="J35278" s="12"/>
      <c r="K35278" s="12"/>
      <c r="L35278" s="12"/>
      <c r="M35278" s="11"/>
      <c r="N35278" s="11"/>
      <c r="O35278" s="11"/>
      <c r="P35278" s="11"/>
    </row>
    <row r="35279" spans="8:16" x14ac:dyDescent="0.25">
      <c r="H35279" s="12"/>
      <c r="I35279" s="12"/>
      <c r="J35279" s="12"/>
      <c r="K35279" s="12"/>
      <c r="L35279" s="12"/>
      <c r="M35279" s="11"/>
      <c r="N35279" s="11"/>
      <c r="O35279" s="11"/>
      <c r="P35279" s="11"/>
    </row>
    <row r="35280" spans="8:16" x14ac:dyDescent="0.25">
      <c r="H35280" s="12"/>
      <c r="I35280" s="12"/>
      <c r="J35280" s="12"/>
      <c r="K35280" s="12"/>
      <c r="L35280" s="12"/>
      <c r="M35280" s="11"/>
      <c r="N35280" s="11"/>
      <c r="O35280" s="11"/>
      <c r="P35280" s="11"/>
    </row>
    <row r="35281" spans="8:16" x14ac:dyDescent="0.25">
      <c r="H35281" s="12"/>
      <c r="I35281" s="12"/>
      <c r="J35281" s="12"/>
      <c r="K35281" s="12"/>
      <c r="L35281" s="12"/>
      <c r="M35281" s="11"/>
      <c r="N35281" s="11"/>
      <c r="O35281" s="11"/>
      <c r="P35281" s="11"/>
    </row>
    <row r="35282" spans="8:16" x14ac:dyDescent="0.25">
      <c r="H35282" s="12"/>
      <c r="I35282" s="12"/>
      <c r="J35282" s="12"/>
      <c r="K35282" s="12"/>
      <c r="L35282" s="12"/>
      <c r="M35282" s="11"/>
      <c r="N35282" s="11"/>
      <c r="O35282" s="11"/>
      <c r="P35282" s="11"/>
    </row>
    <row r="35283" spans="8:16" x14ac:dyDescent="0.25">
      <c r="H35283" s="12"/>
      <c r="I35283" s="12"/>
      <c r="J35283" s="12"/>
      <c r="K35283" s="12"/>
      <c r="L35283" s="12"/>
      <c r="M35283" s="11"/>
      <c r="N35283" s="11"/>
      <c r="O35283" s="11"/>
      <c r="P35283" s="11"/>
    </row>
    <row r="35284" spans="8:16" x14ac:dyDescent="0.25">
      <c r="H35284" s="12"/>
      <c r="I35284" s="12"/>
      <c r="J35284" s="12"/>
      <c r="K35284" s="12"/>
      <c r="L35284" s="12"/>
      <c r="M35284" s="11"/>
      <c r="N35284" s="11"/>
      <c r="O35284" s="11"/>
      <c r="P35284" s="11"/>
    </row>
    <row r="35285" spans="8:16" x14ac:dyDescent="0.25">
      <c r="H35285" s="12"/>
      <c r="I35285" s="12"/>
      <c r="J35285" s="12"/>
      <c r="K35285" s="12"/>
      <c r="L35285" s="12"/>
      <c r="M35285" s="11"/>
      <c r="N35285" s="11"/>
      <c r="O35285" s="11"/>
      <c r="P35285" s="11"/>
    </row>
    <row r="35286" spans="8:16" x14ac:dyDescent="0.25">
      <c r="H35286" s="12"/>
      <c r="I35286" s="12"/>
      <c r="J35286" s="12"/>
      <c r="K35286" s="12"/>
      <c r="L35286" s="12"/>
      <c r="M35286" s="11"/>
      <c r="N35286" s="11"/>
      <c r="O35286" s="11"/>
      <c r="P35286" s="11"/>
    </row>
    <row r="35287" spans="8:16" x14ac:dyDescent="0.25">
      <c r="H35287" s="12"/>
      <c r="I35287" s="12"/>
      <c r="J35287" s="12"/>
      <c r="K35287" s="12"/>
      <c r="L35287" s="12"/>
      <c r="M35287" s="11"/>
      <c r="N35287" s="11"/>
      <c r="O35287" s="11"/>
      <c r="P35287" s="11"/>
    </row>
    <row r="35288" spans="8:16" x14ac:dyDescent="0.25">
      <c r="H35288" s="12"/>
      <c r="I35288" s="12"/>
      <c r="J35288" s="12"/>
      <c r="K35288" s="12"/>
      <c r="L35288" s="12"/>
      <c r="M35288" s="11"/>
      <c r="N35288" s="11"/>
      <c r="O35288" s="11"/>
      <c r="P35288" s="11"/>
    </row>
    <row r="35289" spans="8:16" x14ac:dyDescent="0.25">
      <c r="H35289" s="12"/>
      <c r="I35289" s="12"/>
      <c r="J35289" s="12"/>
      <c r="K35289" s="12"/>
      <c r="L35289" s="12"/>
      <c r="M35289" s="11"/>
      <c r="N35289" s="11"/>
      <c r="O35289" s="11"/>
      <c r="P35289" s="11"/>
    </row>
    <row r="35290" spans="8:16" x14ac:dyDescent="0.25">
      <c r="H35290" s="12"/>
      <c r="I35290" s="12"/>
      <c r="J35290" s="12"/>
      <c r="K35290" s="12"/>
      <c r="L35290" s="12"/>
      <c r="M35290" s="11"/>
      <c r="N35290" s="11"/>
      <c r="O35290" s="11"/>
      <c r="P35290" s="11"/>
    </row>
    <row r="35291" spans="8:16" x14ac:dyDescent="0.25">
      <c r="H35291" s="12"/>
      <c r="I35291" s="12"/>
      <c r="J35291" s="12"/>
      <c r="K35291" s="12"/>
      <c r="L35291" s="12"/>
      <c r="M35291" s="11"/>
      <c r="N35291" s="11"/>
      <c r="O35291" s="11"/>
      <c r="P35291" s="11"/>
    </row>
    <row r="35292" spans="8:16" x14ac:dyDescent="0.25">
      <c r="H35292" s="12"/>
      <c r="I35292" s="12"/>
      <c r="J35292" s="12"/>
      <c r="K35292" s="12"/>
      <c r="L35292" s="12"/>
      <c r="M35292" s="11"/>
      <c r="N35292" s="11"/>
      <c r="O35292" s="11"/>
      <c r="P35292" s="11"/>
    </row>
    <row r="35293" spans="8:16" x14ac:dyDescent="0.25">
      <c r="H35293" s="12"/>
      <c r="I35293" s="12"/>
      <c r="J35293" s="12"/>
      <c r="K35293" s="12"/>
      <c r="L35293" s="12"/>
      <c r="M35293" s="11"/>
      <c r="N35293" s="11"/>
      <c r="O35293" s="11"/>
      <c r="P35293" s="11"/>
    </row>
    <row r="35294" spans="8:16" x14ac:dyDescent="0.25">
      <c r="H35294" s="12"/>
      <c r="I35294" s="12"/>
      <c r="J35294" s="12"/>
      <c r="K35294" s="12"/>
      <c r="L35294" s="12"/>
      <c r="M35294" s="11"/>
      <c r="N35294" s="11"/>
      <c r="O35294" s="11"/>
      <c r="P35294" s="11"/>
    </row>
    <row r="35295" spans="8:16" x14ac:dyDescent="0.25">
      <c r="H35295" s="12"/>
      <c r="I35295" s="12"/>
      <c r="J35295" s="12"/>
      <c r="K35295" s="12"/>
      <c r="L35295" s="12"/>
      <c r="M35295" s="11"/>
      <c r="N35295" s="11"/>
      <c r="O35295" s="11"/>
      <c r="P35295" s="11"/>
    </row>
    <row r="35296" spans="8:16" x14ac:dyDescent="0.25">
      <c r="H35296" s="12"/>
      <c r="I35296" s="12"/>
      <c r="J35296" s="12"/>
      <c r="K35296" s="12"/>
      <c r="L35296" s="12"/>
      <c r="M35296" s="11"/>
      <c r="N35296" s="11"/>
      <c r="O35296" s="11"/>
      <c r="P35296" s="11"/>
    </row>
    <row r="35297" spans="8:16" x14ac:dyDescent="0.25">
      <c r="H35297" s="12"/>
      <c r="I35297" s="12"/>
      <c r="J35297" s="12"/>
      <c r="K35297" s="12"/>
      <c r="L35297" s="12"/>
      <c r="M35297" s="11"/>
      <c r="N35297" s="11"/>
      <c r="O35297" s="11"/>
      <c r="P35297" s="11"/>
    </row>
    <row r="35298" spans="8:16" x14ac:dyDescent="0.25">
      <c r="H35298" s="12"/>
      <c r="I35298" s="12"/>
      <c r="J35298" s="12"/>
      <c r="K35298" s="12"/>
      <c r="L35298" s="12"/>
      <c r="M35298" s="11"/>
      <c r="N35298" s="11"/>
      <c r="O35298" s="11"/>
      <c r="P35298" s="11"/>
    </row>
    <row r="35299" spans="8:16" x14ac:dyDescent="0.25">
      <c r="H35299" s="12"/>
      <c r="I35299" s="12"/>
      <c r="J35299" s="12"/>
      <c r="K35299" s="12"/>
      <c r="L35299" s="12"/>
      <c r="M35299" s="11"/>
      <c r="N35299" s="11"/>
      <c r="O35299" s="11"/>
      <c r="P35299" s="11"/>
    </row>
    <row r="35300" spans="8:16" x14ac:dyDescent="0.25">
      <c r="H35300" s="12"/>
      <c r="I35300" s="12"/>
      <c r="J35300" s="12"/>
      <c r="K35300" s="12"/>
      <c r="L35300" s="12"/>
      <c r="M35300" s="11"/>
      <c r="N35300" s="11"/>
      <c r="O35300" s="11"/>
      <c r="P35300" s="11"/>
    </row>
    <row r="35301" spans="8:16" x14ac:dyDescent="0.25">
      <c r="H35301" s="12"/>
      <c r="I35301" s="12"/>
      <c r="J35301" s="12"/>
      <c r="K35301" s="12"/>
      <c r="L35301" s="12"/>
      <c r="M35301" s="11"/>
      <c r="N35301" s="11"/>
      <c r="O35301" s="11"/>
      <c r="P35301" s="11"/>
    </row>
    <row r="35302" spans="8:16" x14ac:dyDescent="0.25">
      <c r="H35302" s="12"/>
      <c r="I35302" s="12"/>
      <c r="J35302" s="12"/>
      <c r="K35302" s="12"/>
      <c r="L35302" s="12"/>
      <c r="M35302" s="11"/>
      <c r="N35302" s="11"/>
      <c r="O35302" s="11"/>
      <c r="P35302" s="11"/>
    </row>
    <row r="35303" spans="8:16" x14ac:dyDescent="0.25">
      <c r="H35303" s="12"/>
      <c r="I35303" s="12"/>
      <c r="J35303" s="12"/>
      <c r="K35303" s="12"/>
      <c r="L35303" s="12"/>
      <c r="M35303" s="11"/>
      <c r="N35303" s="11"/>
      <c r="O35303" s="11"/>
      <c r="P35303" s="11"/>
    </row>
    <row r="35304" spans="8:16" x14ac:dyDescent="0.25">
      <c r="H35304" s="12"/>
      <c r="I35304" s="12"/>
      <c r="J35304" s="12"/>
      <c r="K35304" s="12"/>
      <c r="L35304" s="12"/>
      <c r="M35304" s="11"/>
      <c r="N35304" s="11"/>
      <c r="O35304" s="11"/>
      <c r="P35304" s="11"/>
    </row>
    <row r="35305" spans="8:16" x14ac:dyDescent="0.25">
      <c r="H35305" s="12"/>
      <c r="I35305" s="12"/>
      <c r="J35305" s="12"/>
      <c r="K35305" s="12"/>
      <c r="L35305" s="12"/>
      <c r="M35305" s="11"/>
      <c r="N35305" s="11"/>
      <c r="O35305" s="11"/>
      <c r="P35305" s="11"/>
    </row>
    <row r="35306" spans="8:16" x14ac:dyDescent="0.25">
      <c r="H35306" s="12"/>
      <c r="I35306" s="12"/>
      <c r="J35306" s="12"/>
      <c r="K35306" s="12"/>
      <c r="L35306" s="12"/>
      <c r="M35306" s="11"/>
      <c r="N35306" s="11"/>
      <c r="O35306" s="11"/>
      <c r="P35306" s="11"/>
    </row>
    <row r="35307" spans="8:16" x14ac:dyDescent="0.25">
      <c r="H35307" s="12"/>
      <c r="I35307" s="12"/>
      <c r="J35307" s="12"/>
      <c r="K35307" s="12"/>
      <c r="L35307" s="12"/>
      <c r="M35307" s="11"/>
      <c r="N35307" s="11"/>
      <c r="O35307" s="11"/>
      <c r="P35307" s="11"/>
    </row>
    <row r="35308" spans="8:16" x14ac:dyDescent="0.25">
      <c r="H35308" s="12"/>
      <c r="I35308" s="12"/>
      <c r="J35308" s="12"/>
      <c r="K35308" s="12"/>
      <c r="L35308" s="12"/>
      <c r="M35308" s="11"/>
      <c r="N35308" s="11"/>
      <c r="O35308" s="11"/>
      <c r="P35308" s="11"/>
    </row>
    <row r="35309" spans="8:16" x14ac:dyDescent="0.25">
      <c r="H35309" s="12"/>
      <c r="I35309" s="12"/>
      <c r="J35309" s="12"/>
      <c r="K35309" s="12"/>
      <c r="L35309" s="12"/>
      <c r="M35309" s="11"/>
      <c r="N35309" s="11"/>
      <c r="O35309" s="11"/>
      <c r="P35309" s="11"/>
    </row>
    <row r="35310" spans="8:16" x14ac:dyDescent="0.25">
      <c r="H35310" s="12"/>
      <c r="I35310" s="12"/>
      <c r="J35310" s="12"/>
      <c r="K35310" s="12"/>
      <c r="L35310" s="12"/>
      <c r="M35310" s="11"/>
      <c r="N35310" s="11"/>
      <c r="O35310" s="11"/>
      <c r="P35310" s="11"/>
    </row>
    <row r="35311" spans="8:16" x14ac:dyDescent="0.25">
      <c r="H35311" s="12"/>
      <c r="I35311" s="12"/>
      <c r="J35311" s="12"/>
      <c r="K35311" s="12"/>
      <c r="L35311" s="12"/>
      <c r="M35311" s="11"/>
      <c r="N35311" s="11"/>
      <c r="O35311" s="11"/>
      <c r="P35311" s="11"/>
    </row>
    <row r="35312" spans="8:16" x14ac:dyDescent="0.25">
      <c r="H35312" s="12"/>
      <c r="I35312" s="12"/>
      <c r="J35312" s="12"/>
      <c r="K35312" s="12"/>
      <c r="L35312" s="12"/>
      <c r="M35312" s="11"/>
      <c r="N35312" s="11"/>
      <c r="O35312" s="11"/>
      <c r="P35312" s="11"/>
    </row>
    <row r="35313" spans="8:16" x14ac:dyDescent="0.25">
      <c r="H35313" s="12"/>
      <c r="I35313" s="12"/>
      <c r="J35313" s="12"/>
      <c r="K35313" s="12"/>
      <c r="L35313" s="12"/>
      <c r="M35313" s="11"/>
      <c r="N35313" s="11"/>
      <c r="O35313" s="11"/>
      <c r="P35313" s="11"/>
    </row>
    <row r="35314" spans="8:16" x14ac:dyDescent="0.25">
      <c r="H35314" s="12"/>
      <c r="I35314" s="12"/>
      <c r="J35314" s="12"/>
      <c r="K35314" s="12"/>
      <c r="L35314" s="12"/>
      <c r="M35314" s="11"/>
      <c r="N35314" s="11"/>
      <c r="O35314" s="11"/>
      <c r="P35314" s="11"/>
    </row>
    <row r="35315" spans="8:16" x14ac:dyDescent="0.25">
      <c r="H35315" s="12"/>
      <c r="I35315" s="12"/>
      <c r="J35315" s="12"/>
      <c r="K35315" s="12"/>
      <c r="L35315" s="12"/>
      <c r="M35315" s="11"/>
      <c r="N35315" s="11"/>
      <c r="O35315" s="11"/>
      <c r="P35315" s="11"/>
    </row>
    <row r="35316" spans="8:16" x14ac:dyDescent="0.25">
      <c r="H35316" s="12"/>
      <c r="I35316" s="12"/>
      <c r="J35316" s="12"/>
      <c r="K35316" s="12"/>
      <c r="L35316" s="12"/>
      <c r="M35316" s="11"/>
      <c r="N35316" s="11"/>
      <c r="O35316" s="11"/>
      <c r="P35316" s="11"/>
    </row>
    <row r="35317" spans="8:16" x14ac:dyDescent="0.25">
      <c r="H35317" s="12"/>
      <c r="I35317" s="12"/>
      <c r="J35317" s="12"/>
      <c r="K35317" s="12"/>
      <c r="L35317" s="12"/>
      <c r="M35317" s="11"/>
      <c r="N35317" s="11"/>
      <c r="O35317" s="11"/>
      <c r="P35317" s="11"/>
    </row>
    <row r="35318" spans="8:16" x14ac:dyDescent="0.25">
      <c r="H35318" s="12"/>
      <c r="I35318" s="12"/>
      <c r="J35318" s="12"/>
      <c r="K35318" s="12"/>
      <c r="L35318" s="12"/>
      <c r="M35318" s="11"/>
      <c r="N35318" s="11"/>
      <c r="O35318" s="11"/>
      <c r="P35318" s="11"/>
    </row>
    <row r="35319" spans="8:16" x14ac:dyDescent="0.25">
      <c r="H35319" s="12"/>
      <c r="I35319" s="12"/>
      <c r="J35319" s="12"/>
      <c r="K35319" s="12"/>
      <c r="L35319" s="12"/>
      <c r="M35319" s="11"/>
      <c r="N35319" s="11"/>
      <c r="O35319" s="11"/>
      <c r="P35319" s="11"/>
    </row>
    <row r="35320" spans="8:16" x14ac:dyDescent="0.25">
      <c r="H35320" s="12"/>
      <c r="I35320" s="12"/>
      <c r="J35320" s="12"/>
      <c r="K35320" s="12"/>
      <c r="L35320" s="12"/>
      <c r="M35320" s="11"/>
      <c r="N35320" s="11"/>
      <c r="O35320" s="11"/>
      <c r="P35320" s="11"/>
    </row>
    <row r="35321" spans="8:16" x14ac:dyDescent="0.25">
      <c r="H35321" s="12"/>
      <c r="I35321" s="12"/>
      <c r="J35321" s="12"/>
      <c r="K35321" s="12"/>
      <c r="L35321" s="12"/>
      <c r="M35321" s="11"/>
      <c r="N35321" s="11"/>
      <c r="O35321" s="11"/>
      <c r="P35321" s="11"/>
    </row>
    <row r="35322" spans="8:16" x14ac:dyDescent="0.25">
      <c r="H35322" s="12"/>
      <c r="I35322" s="12"/>
      <c r="J35322" s="12"/>
      <c r="K35322" s="12"/>
      <c r="L35322" s="12"/>
      <c r="M35322" s="11"/>
      <c r="N35322" s="11"/>
      <c r="O35322" s="11"/>
      <c r="P35322" s="11"/>
    </row>
    <row r="35323" spans="8:16" x14ac:dyDescent="0.25">
      <c r="H35323" s="12"/>
      <c r="I35323" s="12"/>
      <c r="J35323" s="12"/>
      <c r="K35323" s="12"/>
      <c r="L35323" s="12"/>
      <c r="M35323" s="11"/>
      <c r="N35323" s="11"/>
      <c r="O35323" s="11"/>
      <c r="P35323" s="11"/>
    </row>
    <row r="35324" spans="8:16" x14ac:dyDescent="0.25">
      <c r="H35324" s="12"/>
      <c r="I35324" s="12"/>
      <c r="J35324" s="12"/>
      <c r="K35324" s="12"/>
      <c r="L35324" s="12"/>
      <c r="M35324" s="11"/>
      <c r="N35324" s="11"/>
      <c r="O35324" s="11"/>
      <c r="P35324" s="11"/>
    </row>
    <row r="35325" spans="8:16" x14ac:dyDescent="0.25">
      <c r="H35325" s="12"/>
      <c r="I35325" s="12"/>
      <c r="J35325" s="12"/>
      <c r="K35325" s="12"/>
      <c r="L35325" s="12"/>
      <c r="M35325" s="11"/>
      <c r="N35325" s="11"/>
      <c r="O35325" s="11"/>
      <c r="P35325" s="11"/>
    </row>
    <row r="35326" spans="8:16" x14ac:dyDescent="0.25">
      <c r="H35326" s="12"/>
      <c r="I35326" s="12"/>
      <c r="J35326" s="12"/>
      <c r="K35326" s="12"/>
      <c r="L35326" s="12"/>
      <c r="M35326" s="11"/>
      <c r="N35326" s="11"/>
      <c r="O35326" s="11"/>
      <c r="P35326" s="11"/>
    </row>
    <row r="35327" spans="8:16" x14ac:dyDescent="0.25">
      <c r="H35327" s="12"/>
      <c r="I35327" s="12"/>
      <c r="J35327" s="12"/>
      <c r="K35327" s="12"/>
      <c r="L35327" s="12"/>
      <c r="M35327" s="11"/>
      <c r="N35327" s="11"/>
      <c r="O35327" s="11"/>
      <c r="P35327" s="11"/>
    </row>
    <row r="35328" spans="8:16" x14ac:dyDescent="0.25">
      <c r="H35328" s="12"/>
      <c r="I35328" s="12"/>
      <c r="J35328" s="12"/>
      <c r="K35328" s="12"/>
      <c r="L35328" s="12"/>
      <c r="M35328" s="11"/>
      <c r="N35328" s="11"/>
      <c r="O35328" s="11"/>
      <c r="P35328" s="11"/>
    </row>
    <row r="35329" spans="8:16" x14ac:dyDescent="0.25">
      <c r="H35329" s="12"/>
      <c r="I35329" s="12"/>
      <c r="J35329" s="12"/>
      <c r="K35329" s="12"/>
      <c r="L35329" s="12"/>
      <c r="M35329" s="11"/>
      <c r="N35329" s="11"/>
      <c r="O35329" s="11"/>
      <c r="P35329" s="11"/>
    </row>
    <row r="35330" spans="8:16" x14ac:dyDescent="0.25">
      <c r="H35330" s="12"/>
      <c r="I35330" s="12"/>
      <c r="J35330" s="12"/>
      <c r="K35330" s="12"/>
      <c r="L35330" s="12"/>
      <c r="M35330" s="11"/>
      <c r="N35330" s="11"/>
      <c r="O35330" s="11"/>
      <c r="P35330" s="11"/>
    </row>
    <row r="35331" spans="8:16" x14ac:dyDescent="0.25">
      <c r="H35331" s="12"/>
      <c r="I35331" s="12"/>
      <c r="J35331" s="12"/>
      <c r="K35331" s="12"/>
      <c r="L35331" s="12"/>
      <c r="M35331" s="11"/>
      <c r="N35331" s="11"/>
      <c r="O35331" s="11"/>
      <c r="P35331" s="11"/>
    </row>
    <row r="35332" spans="8:16" x14ac:dyDescent="0.25">
      <c r="H35332" s="12"/>
      <c r="I35332" s="12"/>
      <c r="J35332" s="12"/>
      <c r="K35332" s="12"/>
      <c r="L35332" s="12"/>
      <c r="M35332" s="11"/>
      <c r="N35332" s="11"/>
      <c r="O35332" s="11"/>
      <c r="P35332" s="11"/>
    </row>
    <row r="35333" spans="8:16" x14ac:dyDescent="0.25">
      <c r="H35333" s="12"/>
      <c r="I35333" s="12"/>
      <c r="J35333" s="12"/>
      <c r="K35333" s="12"/>
      <c r="L35333" s="12"/>
      <c r="M35333" s="11"/>
      <c r="N35333" s="11"/>
      <c r="O35333" s="11"/>
      <c r="P35333" s="11"/>
    </row>
    <row r="35334" spans="8:16" x14ac:dyDescent="0.25">
      <c r="H35334" s="12"/>
      <c r="I35334" s="12"/>
      <c r="J35334" s="12"/>
      <c r="K35334" s="12"/>
      <c r="L35334" s="12"/>
      <c r="M35334" s="11"/>
      <c r="N35334" s="11"/>
      <c r="O35334" s="11"/>
      <c r="P35334" s="11"/>
    </row>
    <row r="35335" spans="8:16" x14ac:dyDescent="0.25">
      <c r="H35335" s="12"/>
      <c r="I35335" s="12"/>
      <c r="J35335" s="12"/>
      <c r="K35335" s="12"/>
      <c r="L35335" s="12"/>
      <c r="M35335" s="11"/>
      <c r="N35335" s="11"/>
      <c r="O35335" s="11"/>
      <c r="P35335" s="11"/>
    </row>
    <row r="35336" spans="8:16" x14ac:dyDescent="0.25">
      <c r="H35336" s="12"/>
      <c r="I35336" s="12"/>
      <c r="J35336" s="12"/>
      <c r="K35336" s="12"/>
      <c r="L35336" s="12"/>
      <c r="M35336" s="11"/>
      <c r="N35336" s="11"/>
      <c r="O35336" s="11"/>
      <c r="P35336" s="11"/>
    </row>
    <row r="35337" spans="8:16" x14ac:dyDescent="0.25">
      <c r="H35337" s="12"/>
      <c r="I35337" s="12"/>
      <c r="J35337" s="12"/>
      <c r="K35337" s="12"/>
      <c r="L35337" s="12"/>
      <c r="M35337" s="11"/>
      <c r="N35337" s="11"/>
      <c r="O35337" s="11"/>
      <c r="P35337" s="11"/>
    </row>
    <row r="35338" spans="8:16" x14ac:dyDescent="0.25">
      <c r="H35338" s="12"/>
      <c r="I35338" s="12"/>
      <c r="J35338" s="12"/>
      <c r="K35338" s="12"/>
      <c r="L35338" s="12"/>
      <c r="M35338" s="11"/>
      <c r="N35338" s="11"/>
      <c r="O35338" s="11"/>
      <c r="P35338" s="11"/>
    </row>
    <row r="35339" spans="8:16" x14ac:dyDescent="0.25">
      <c r="H35339" s="12"/>
      <c r="I35339" s="12"/>
      <c r="J35339" s="12"/>
      <c r="K35339" s="12"/>
      <c r="L35339" s="12"/>
      <c r="M35339" s="11"/>
      <c r="N35339" s="11"/>
      <c r="O35339" s="11"/>
      <c r="P35339" s="11"/>
    </row>
    <row r="35340" spans="8:16" x14ac:dyDescent="0.25">
      <c r="H35340" s="12"/>
      <c r="I35340" s="12"/>
      <c r="J35340" s="12"/>
      <c r="K35340" s="12"/>
      <c r="L35340" s="12"/>
      <c r="M35340" s="11"/>
      <c r="N35340" s="11"/>
      <c r="O35340" s="11"/>
      <c r="P35340" s="11"/>
    </row>
    <row r="35341" spans="8:16" x14ac:dyDescent="0.25">
      <c r="H35341" s="12"/>
      <c r="I35341" s="12"/>
      <c r="J35341" s="12"/>
      <c r="K35341" s="12"/>
      <c r="L35341" s="12"/>
      <c r="M35341" s="11"/>
      <c r="N35341" s="11"/>
      <c r="O35341" s="11"/>
      <c r="P35341" s="11"/>
    </row>
    <row r="35342" spans="8:16" x14ac:dyDescent="0.25">
      <c r="H35342" s="12"/>
      <c r="I35342" s="12"/>
      <c r="J35342" s="12"/>
      <c r="K35342" s="12"/>
      <c r="L35342" s="12"/>
      <c r="M35342" s="11"/>
      <c r="N35342" s="11"/>
      <c r="O35342" s="11"/>
      <c r="P35342" s="11"/>
    </row>
    <row r="35343" spans="8:16" x14ac:dyDescent="0.25">
      <c r="H35343" s="12"/>
      <c r="I35343" s="12"/>
      <c r="J35343" s="12"/>
      <c r="K35343" s="12"/>
      <c r="L35343" s="12"/>
      <c r="M35343" s="11"/>
      <c r="N35343" s="11"/>
      <c r="O35343" s="11"/>
      <c r="P35343" s="11"/>
    </row>
    <row r="35344" spans="8:16" x14ac:dyDescent="0.25">
      <c r="H35344" s="12"/>
      <c r="I35344" s="12"/>
      <c r="J35344" s="12"/>
      <c r="K35344" s="12"/>
      <c r="L35344" s="12"/>
      <c r="M35344" s="11"/>
      <c r="N35344" s="11"/>
      <c r="O35344" s="11"/>
      <c r="P35344" s="11"/>
    </row>
    <row r="35345" spans="8:16" x14ac:dyDescent="0.25">
      <c r="H35345" s="12"/>
      <c r="I35345" s="12"/>
      <c r="J35345" s="12"/>
      <c r="K35345" s="12"/>
      <c r="L35345" s="12"/>
      <c r="M35345" s="11"/>
      <c r="N35345" s="11"/>
      <c r="O35345" s="11"/>
      <c r="P35345" s="11"/>
    </row>
    <row r="35346" spans="8:16" x14ac:dyDescent="0.25">
      <c r="H35346" s="12"/>
      <c r="I35346" s="12"/>
      <c r="J35346" s="12"/>
      <c r="K35346" s="12"/>
      <c r="L35346" s="12"/>
      <c r="M35346" s="11"/>
      <c r="N35346" s="11"/>
      <c r="O35346" s="11"/>
      <c r="P35346" s="11"/>
    </row>
    <row r="35347" spans="8:16" x14ac:dyDescent="0.25">
      <c r="H35347" s="12"/>
      <c r="I35347" s="12"/>
      <c r="J35347" s="12"/>
      <c r="K35347" s="12"/>
      <c r="L35347" s="12"/>
      <c r="M35347" s="11"/>
      <c r="N35347" s="11"/>
      <c r="O35347" s="11"/>
      <c r="P35347" s="11"/>
    </row>
    <row r="35348" spans="8:16" x14ac:dyDescent="0.25">
      <c r="H35348" s="12"/>
      <c r="I35348" s="12"/>
      <c r="J35348" s="12"/>
      <c r="K35348" s="12"/>
      <c r="L35348" s="12"/>
      <c r="M35348" s="11"/>
      <c r="N35348" s="11"/>
      <c r="O35348" s="11"/>
      <c r="P35348" s="11"/>
    </row>
    <row r="35349" spans="8:16" x14ac:dyDescent="0.25">
      <c r="H35349" s="12"/>
      <c r="I35349" s="12"/>
      <c r="J35349" s="12"/>
      <c r="K35349" s="12"/>
      <c r="L35349" s="12"/>
      <c r="M35349" s="11"/>
      <c r="N35349" s="11"/>
      <c r="O35349" s="11"/>
      <c r="P35349" s="11"/>
    </row>
    <row r="35350" spans="8:16" x14ac:dyDescent="0.25">
      <c r="H35350" s="12"/>
      <c r="I35350" s="12"/>
      <c r="J35350" s="12"/>
      <c r="K35350" s="12"/>
      <c r="L35350" s="12"/>
      <c r="M35350" s="11"/>
      <c r="N35350" s="11"/>
      <c r="O35350" s="11"/>
      <c r="P35350" s="11"/>
    </row>
    <row r="35351" spans="8:16" x14ac:dyDescent="0.25">
      <c r="H35351" s="12"/>
      <c r="I35351" s="12"/>
      <c r="J35351" s="12"/>
      <c r="K35351" s="12"/>
      <c r="L35351" s="12"/>
      <c r="M35351" s="11"/>
      <c r="N35351" s="11"/>
      <c r="O35351" s="11"/>
      <c r="P35351" s="11"/>
    </row>
    <row r="35352" spans="8:16" x14ac:dyDescent="0.25">
      <c r="H35352" s="12"/>
      <c r="I35352" s="12"/>
      <c r="J35352" s="12"/>
      <c r="K35352" s="12"/>
      <c r="L35352" s="12"/>
      <c r="M35352" s="11"/>
      <c r="N35352" s="11"/>
      <c r="O35352" s="11"/>
      <c r="P35352" s="11"/>
    </row>
    <row r="35353" spans="8:16" x14ac:dyDescent="0.25">
      <c r="H35353" s="12"/>
      <c r="I35353" s="12"/>
      <c r="J35353" s="12"/>
      <c r="K35353" s="12"/>
      <c r="L35353" s="12"/>
      <c r="M35353" s="11"/>
      <c r="N35353" s="11"/>
      <c r="O35353" s="11"/>
      <c r="P35353" s="11"/>
    </row>
    <row r="35354" spans="8:16" x14ac:dyDescent="0.25">
      <c r="H35354" s="12"/>
      <c r="I35354" s="12"/>
      <c r="J35354" s="12"/>
      <c r="K35354" s="12"/>
      <c r="L35354" s="12"/>
      <c r="M35354" s="11"/>
      <c r="N35354" s="11"/>
      <c r="O35354" s="11"/>
      <c r="P35354" s="11"/>
    </row>
    <row r="35355" spans="8:16" x14ac:dyDescent="0.25">
      <c r="H35355" s="12"/>
      <c r="I35355" s="12"/>
      <c r="J35355" s="12"/>
      <c r="K35355" s="12"/>
      <c r="L35355" s="12"/>
      <c r="M35355" s="11"/>
      <c r="N35355" s="11"/>
      <c r="O35355" s="11"/>
      <c r="P35355" s="11"/>
    </row>
    <row r="35356" spans="8:16" x14ac:dyDescent="0.25">
      <c r="H35356" s="12"/>
      <c r="I35356" s="12"/>
      <c r="J35356" s="12"/>
      <c r="K35356" s="12"/>
      <c r="L35356" s="12"/>
      <c r="M35356" s="11"/>
      <c r="N35356" s="11"/>
      <c r="O35356" s="11"/>
      <c r="P35356" s="11"/>
    </row>
    <row r="35357" spans="8:16" x14ac:dyDescent="0.25">
      <c r="H35357" s="12"/>
      <c r="I35357" s="12"/>
      <c r="J35357" s="12"/>
      <c r="K35357" s="12"/>
      <c r="L35357" s="12"/>
      <c r="M35357" s="11"/>
      <c r="N35357" s="11"/>
      <c r="O35357" s="11"/>
      <c r="P35357" s="11"/>
    </row>
    <row r="35358" spans="8:16" x14ac:dyDescent="0.25">
      <c r="H35358" s="12"/>
      <c r="I35358" s="12"/>
      <c r="J35358" s="12"/>
      <c r="K35358" s="12"/>
      <c r="L35358" s="12"/>
      <c r="M35358" s="11"/>
      <c r="N35358" s="11"/>
      <c r="O35358" s="11"/>
      <c r="P35358" s="11"/>
    </row>
    <row r="35359" spans="8:16" x14ac:dyDescent="0.25">
      <c r="H35359" s="12"/>
      <c r="I35359" s="12"/>
      <c r="J35359" s="12"/>
      <c r="K35359" s="12"/>
      <c r="L35359" s="12"/>
      <c r="M35359" s="11"/>
      <c r="N35359" s="11"/>
      <c r="O35359" s="11"/>
      <c r="P35359" s="11"/>
    </row>
    <row r="35360" spans="8:16" x14ac:dyDescent="0.25">
      <c r="H35360" s="12"/>
      <c r="I35360" s="12"/>
      <c r="J35360" s="12"/>
      <c r="K35360" s="12"/>
      <c r="L35360" s="12"/>
      <c r="M35360" s="11"/>
      <c r="N35360" s="11"/>
      <c r="O35360" s="11"/>
      <c r="P35360" s="11"/>
    </row>
    <row r="35361" spans="8:16" x14ac:dyDescent="0.25">
      <c r="H35361" s="12"/>
      <c r="I35361" s="12"/>
      <c r="J35361" s="12"/>
      <c r="K35361" s="12"/>
      <c r="L35361" s="12"/>
      <c r="M35361" s="11"/>
      <c r="N35361" s="11"/>
      <c r="O35361" s="11"/>
      <c r="P35361" s="11"/>
    </row>
    <row r="35362" spans="8:16" x14ac:dyDescent="0.25">
      <c r="H35362" s="12"/>
      <c r="I35362" s="12"/>
      <c r="J35362" s="12"/>
      <c r="K35362" s="12"/>
      <c r="L35362" s="12"/>
      <c r="M35362" s="11"/>
      <c r="N35362" s="11"/>
      <c r="O35362" s="11"/>
      <c r="P35362" s="11"/>
    </row>
    <row r="35363" spans="8:16" x14ac:dyDescent="0.25">
      <c r="H35363" s="12"/>
      <c r="I35363" s="12"/>
      <c r="J35363" s="12"/>
      <c r="K35363" s="12"/>
      <c r="L35363" s="12"/>
      <c r="M35363" s="11"/>
      <c r="N35363" s="11"/>
      <c r="O35363" s="11"/>
      <c r="P35363" s="11"/>
    </row>
    <row r="35364" spans="8:16" x14ac:dyDescent="0.25">
      <c r="H35364" s="12"/>
      <c r="I35364" s="12"/>
      <c r="J35364" s="12"/>
      <c r="K35364" s="12"/>
      <c r="L35364" s="12"/>
      <c r="M35364" s="11"/>
      <c r="N35364" s="11"/>
      <c r="O35364" s="11"/>
      <c r="P35364" s="11"/>
    </row>
    <row r="35365" spans="8:16" x14ac:dyDescent="0.25">
      <c r="H35365" s="12"/>
      <c r="I35365" s="12"/>
      <c r="J35365" s="12"/>
      <c r="K35365" s="12"/>
      <c r="L35365" s="12"/>
      <c r="M35365" s="11"/>
      <c r="N35365" s="11"/>
      <c r="O35365" s="11"/>
      <c r="P35365" s="11"/>
    </row>
    <row r="35366" spans="8:16" x14ac:dyDescent="0.25">
      <c r="H35366" s="12"/>
      <c r="I35366" s="12"/>
      <c r="J35366" s="12"/>
      <c r="K35366" s="12"/>
      <c r="L35366" s="12"/>
      <c r="M35366" s="11"/>
      <c r="N35366" s="11"/>
      <c r="O35366" s="11"/>
      <c r="P35366" s="11"/>
    </row>
    <row r="35367" spans="8:16" x14ac:dyDescent="0.25">
      <c r="H35367" s="12"/>
      <c r="I35367" s="12"/>
      <c r="J35367" s="12"/>
      <c r="K35367" s="12"/>
      <c r="L35367" s="12"/>
      <c r="M35367" s="11"/>
      <c r="N35367" s="11"/>
      <c r="O35367" s="11"/>
      <c r="P35367" s="11"/>
    </row>
    <row r="35368" spans="8:16" x14ac:dyDescent="0.25">
      <c r="H35368" s="12"/>
      <c r="I35368" s="12"/>
      <c r="J35368" s="12"/>
      <c r="K35368" s="12"/>
      <c r="L35368" s="12"/>
      <c r="M35368" s="11"/>
      <c r="N35368" s="11"/>
      <c r="O35368" s="11"/>
      <c r="P35368" s="11"/>
    </row>
    <row r="35369" spans="8:16" x14ac:dyDescent="0.25">
      <c r="H35369" s="12"/>
      <c r="I35369" s="12"/>
      <c r="J35369" s="12"/>
      <c r="K35369" s="12"/>
      <c r="L35369" s="12"/>
      <c r="M35369" s="11"/>
      <c r="N35369" s="11"/>
      <c r="O35369" s="11"/>
      <c r="P35369" s="11"/>
    </row>
    <row r="35370" spans="8:16" x14ac:dyDescent="0.25">
      <c r="H35370" s="12"/>
      <c r="I35370" s="12"/>
      <c r="J35370" s="12"/>
      <c r="K35370" s="12"/>
      <c r="L35370" s="12"/>
      <c r="M35370" s="11"/>
      <c r="N35370" s="11"/>
      <c r="O35370" s="11"/>
      <c r="P35370" s="11"/>
    </row>
    <row r="35371" spans="8:16" x14ac:dyDescent="0.25">
      <c r="H35371" s="12"/>
      <c r="I35371" s="12"/>
      <c r="J35371" s="12"/>
      <c r="K35371" s="12"/>
      <c r="L35371" s="12"/>
      <c r="M35371" s="11"/>
      <c r="N35371" s="11"/>
      <c r="O35371" s="11"/>
      <c r="P35371" s="11"/>
    </row>
    <row r="35372" spans="8:16" x14ac:dyDescent="0.25">
      <c r="H35372" s="12"/>
      <c r="I35372" s="12"/>
      <c r="J35372" s="12"/>
      <c r="K35372" s="12"/>
      <c r="L35372" s="12"/>
      <c r="M35372" s="11"/>
      <c r="N35372" s="11"/>
      <c r="O35372" s="11"/>
      <c r="P35372" s="11"/>
    </row>
    <row r="35373" spans="8:16" x14ac:dyDescent="0.25">
      <c r="H35373" s="12"/>
      <c r="I35373" s="12"/>
      <c r="J35373" s="12"/>
      <c r="K35373" s="12"/>
      <c r="L35373" s="12"/>
      <c r="M35373" s="11"/>
      <c r="N35373" s="11"/>
      <c r="O35373" s="11"/>
      <c r="P35373" s="11"/>
    </row>
    <row r="35374" spans="8:16" x14ac:dyDescent="0.25">
      <c r="H35374" s="12"/>
      <c r="I35374" s="12"/>
      <c r="J35374" s="12"/>
      <c r="K35374" s="12"/>
      <c r="L35374" s="12"/>
      <c r="M35374" s="11"/>
      <c r="N35374" s="11"/>
      <c r="O35374" s="11"/>
      <c r="P35374" s="11"/>
    </row>
    <row r="35375" spans="8:16" x14ac:dyDescent="0.25">
      <c r="H35375" s="12"/>
      <c r="I35375" s="12"/>
      <c r="J35375" s="12"/>
      <c r="K35375" s="12"/>
      <c r="L35375" s="12"/>
      <c r="M35375" s="11"/>
      <c r="N35375" s="11"/>
      <c r="O35375" s="11"/>
      <c r="P35375" s="11"/>
    </row>
    <row r="35376" spans="8:16" x14ac:dyDescent="0.25">
      <c r="H35376" s="12"/>
      <c r="I35376" s="12"/>
      <c r="J35376" s="12"/>
      <c r="K35376" s="12"/>
      <c r="L35376" s="12"/>
      <c r="M35376" s="11"/>
      <c r="N35376" s="11"/>
      <c r="O35376" s="11"/>
      <c r="P35376" s="11"/>
    </row>
    <row r="35377" spans="8:16" x14ac:dyDescent="0.25">
      <c r="H35377" s="12"/>
      <c r="I35377" s="12"/>
      <c r="J35377" s="12"/>
      <c r="K35377" s="12"/>
      <c r="L35377" s="12"/>
      <c r="M35377" s="11"/>
      <c r="N35377" s="11"/>
      <c r="O35377" s="11"/>
      <c r="P35377" s="11"/>
    </row>
    <row r="35378" spans="8:16" x14ac:dyDescent="0.25">
      <c r="H35378" s="12"/>
      <c r="I35378" s="12"/>
      <c r="J35378" s="12"/>
      <c r="K35378" s="12"/>
      <c r="L35378" s="12"/>
      <c r="M35378" s="11"/>
      <c r="N35378" s="11"/>
      <c r="O35378" s="11"/>
      <c r="P35378" s="11"/>
    </row>
    <row r="35379" spans="8:16" x14ac:dyDescent="0.25">
      <c r="H35379" s="12"/>
      <c r="I35379" s="12"/>
      <c r="J35379" s="12"/>
      <c r="K35379" s="12"/>
      <c r="L35379" s="12"/>
      <c r="M35379" s="11"/>
      <c r="N35379" s="11"/>
      <c r="O35379" s="11"/>
      <c r="P35379" s="11"/>
    </row>
    <row r="35380" spans="8:16" x14ac:dyDescent="0.25">
      <c r="H35380" s="12"/>
      <c r="I35380" s="12"/>
      <c r="J35380" s="12"/>
      <c r="K35380" s="12"/>
      <c r="L35380" s="12"/>
      <c r="M35380" s="11"/>
      <c r="N35380" s="11"/>
      <c r="O35380" s="11"/>
      <c r="P35380" s="11"/>
    </row>
    <row r="35381" spans="8:16" x14ac:dyDescent="0.25">
      <c r="H35381" s="12"/>
      <c r="I35381" s="12"/>
      <c r="J35381" s="12"/>
      <c r="K35381" s="12"/>
      <c r="L35381" s="12"/>
      <c r="M35381" s="11"/>
      <c r="N35381" s="11"/>
      <c r="O35381" s="11"/>
      <c r="P35381" s="11"/>
    </row>
    <row r="35382" spans="8:16" x14ac:dyDescent="0.25">
      <c r="H35382" s="12"/>
      <c r="I35382" s="12"/>
      <c r="J35382" s="12"/>
      <c r="K35382" s="12"/>
      <c r="L35382" s="12"/>
      <c r="M35382" s="11"/>
      <c r="N35382" s="11"/>
      <c r="O35382" s="11"/>
      <c r="P35382" s="11"/>
    </row>
    <row r="35383" spans="8:16" x14ac:dyDescent="0.25">
      <c r="H35383" s="12"/>
      <c r="I35383" s="12"/>
      <c r="J35383" s="12"/>
      <c r="K35383" s="12"/>
      <c r="L35383" s="12"/>
      <c r="M35383" s="11"/>
      <c r="N35383" s="11"/>
      <c r="O35383" s="11"/>
      <c r="P35383" s="11"/>
    </row>
    <row r="35384" spans="8:16" x14ac:dyDescent="0.25">
      <c r="H35384" s="12"/>
      <c r="I35384" s="12"/>
      <c r="J35384" s="12"/>
      <c r="K35384" s="12"/>
      <c r="L35384" s="12"/>
      <c r="M35384" s="11"/>
      <c r="N35384" s="11"/>
      <c r="O35384" s="11"/>
      <c r="P35384" s="11"/>
    </row>
    <row r="35385" spans="8:16" x14ac:dyDescent="0.25">
      <c r="H35385" s="12"/>
      <c r="I35385" s="12"/>
      <c r="J35385" s="12"/>
      <c r="K35385" s="12"/>
      <c r="L35385" s="12"/>
      <c r="M35385" s="11"/>
      <c r="N35385" s="11"/>
      <c r="O35385" s="11"/>
      <c r="P35385" s="11"/>
    </row>
    <row r="35386" spans="8:16" x14ac:dyDescent="0.25">
      <c r="H35386" s="12"/>
      <c r="I35386" s="12"/>
      <c r="J35386" s="12"/>
      <c r="K35386" s="12"/>
      <c r="L35386" s="12"/>
      <c r="M35386" s="11"/>
      <c r="N35386" s="11"/>
      <c r="O35386" s="11"/>
      <c r="P35386" s="11"/>
    </row>
    <row r="35387" spans="8:16" x14ac:dyDescent="0.25">
      <c r="H35387" s="12"/>
      <c r="I35387" s="12"/>
      <c r="J35387" s="12"/>
      <c r="K35387" s="12"/>
      <c r="L35387" s="12"/>
      <c r="M35387" s="11"/>
      <c r="N35387" s="11"/>
      <c r="O35387" s="11"/>
      <c r="P35387" s="11"/>
    </row>
    <row r="35388" spans="8:16" x14ac:dyDescent="0.25">
      <c r="H35388" s="12"/>
      <c r="I35388" s="12"/>
      <c r="J35388" s="12"/>
      <c r="K35388" s="12"/>
      <c r="L35388" s="12"/>
      <c r="M35388" s="11"/>
      <c r="N35388" s="11"/>
      <c r="O35388" s="11"/>
      <c r="P35388" s="11"/>
    </row>
    <row r="35389" spans="8:16" x14ac:dyDescent="0.25">
      <c r="H35389" s="12"/>
      <c r="I35389" s="12"/>
      <c r="J35389" s="12"/>
      <c r="K35389" s="12"/>
      <c r="L35389" s="12"/>
      <c r="M35389" s="11"/>
      <c r="N35389" s="11"/>
      <c r="O35389" s="11"/>
      <c r="P35389" s="11"/>
    </row>
    <row r="35390" spans="8:16" x14ac:dyDescent="0.25">
      <c r="H35390" s="12"/>
      <c r="I35390" s="12"/>
      <c r="J35390" s="12"/>
      <c r="K35390" s="12"/>
      <c r="L35390" s="12"/>
      <c r="M35390" s="11"/>
      <c r="N35390" s="11"/>
      <c r="O35390" s="11"/>
      <c r="P35390" s="11"/>
    </row>
    <row r="35391" spans="8:16" x14ac:dyDescent="0.25">
      <c r="H35391" s="12"/>
      <c r="I35391" s="12"/>
      <c r="J35391" s="12"/>
      <c r="K35391" s="12"/>
      <c r="L35391" s="12"/>
      <c r="M35391" s="11"/>
      <c r="N35391" s="11"/>
      <c r="O35391" s="11"/>
      <c r="P35391" s="11"/>
    </row>
    <row r="35392" spans="8:16" x14ac:dyDescent="0.25">
      <c r="H35392" s="12"/>
      <c r="I35392" s="12"/>
      <c r="J35392" s="12"/>
      <c r="K35392" s="12"/>
      <c r="L35392" s="12"/>
      <c r="M35392" s="11"/>
      <c r="N35392" s="11"/>
      <c r="O35392" s="11"/>
      <c r="P35392" s="11"/>
    </row>
    <row r="35393" spans="8:16" x14ac:dyDescent="0.25">
      <c r="H35393" s="12"/>
      <c r="I35393" s="12"/>
      <c r="J35393" s="12"/>
      <c r="K35393" s="12"/>
      <c r="L35393" s="12"/>
      <c r="M35393" s="11"/>
      <c r="N35393" s="11"/>
      <c r="O35393" s="11"/>
      <c r="P35393" s="11"/>
    </row>
    <row r="35394" spans="8:16" x14ac:dyDescent="0.25">
      <c r="H35394" s="12"/>
      <c r="I35394" s="12"/>
      <c r="J35394" s="12"/>
      <c r="K35394" s="12"/>
      <c r="L35394" s="12"/>
      <c r="M35394" s="11"/>
      <c r="N35394" s="11"/>
      <c r="O35394" s="11"/>
      <c r="P35394" s="11"/>
    </row>
    <row r="35395" spans="8:16" x14ac:dyDescent="0.25">
      <c r="H35395" s="12"/>
      <c r="I35395" s="12"/>
      <c r="J35395" s="12"/>
      <c r="K35395" s="12"/>
      <c r="L35395" s="12"/>
      <c r="M35395" s="11"/>
      <c r="N35395" s="11"/>
      <c r="O35395" s="11"/>
      <c r="P35395" s="11"/>
    </row>
    <row r="35396" spans="8:16" x14ac:dyDescent="0.25">
      <c r="H35396" s="12"/>
      <c r="I35396" s="12"/>
      <c r="J35396" s="12"/>
      <c r="K35396" s="12"/>
      <c r="L35396" s="12"/>
      <c r="M35396" s="11"/>
      <c r="N35396" s="11"/>
      <c r="O35396" s="11"/>
      <c r="P35396" s="11"/>
    </row>
    <row r="35397" spans="8:16" x14ac:dyDescent="0.25">
      <c r="H35397" s="12"/>
      <c r="I35397" s="12"/>
      <c r="J35397" s="12"/>
      <c r="K35397" s="12"/>
      <c r="L35397" s="12"/>
      <c r="M35397" s="11"/>
      <c r="N35397" s="11"/>
      <c r="O35397" s="11"/>
      <c r="P35397" s="11"/>
    </row>
    <row r="35398" spans="8:16" x14ac:dyDescent="0.25">
      <c r="H35398" s="12"/>
      <c r="I35398" s="12"/>
      <c r="J35398" s="12"/>
      <c r="K35398" s="12"/>
      <c r="L35398" s="12"/>
      <c r="M35398" s="11"/>
      <c r="N35398" s="11"/>
      <c r="O35398" s="11"/>
      <c r="P35398" s="11"/>
    </row>
    <row r="35399" spans="8:16" x14ac:dyDescent="0.25">
      <c r="H35399" s="12"/>
      <c r="I35399" s="12"/>
      <c r="J35399" s="12"/>
      <c r="K35399" s="12"/>
      <c r="L35399" s="12"/>
      <c r="M35399" s="11"/>
      <c r="N35399" s="11"/>
      <c r="O35399" s="11"/>
      <c r="P35399" s="11"/>
    </row>
    <row r="35400" spans="8:16" x14ac:dyDescent="0.25">
      <c r="H35400" s="12"/>
      <c r="I35400" s="12"/>
      <c r="J35400" s="12"/>
      <c r="K35400" s="12"/>
      <c r="L35400" s="12"/>
      <c r="M35400" s="11"/>
      <c r="N35400" s="11"/>
      <c r="O35400" s="11"/>
      <c r="P35400" s="11"/>
    </row>
    <row r="35401" spans="8:16" x14ac:dyDescent="0.25">
      <c r="H35401" s="12"/>
      <c r="I35401" s="12"/>
      <c r="J35401" s="12"/>
      <c r="K35401" s="12"/>
      <c r="L35401" s="12"/>
      <c r="M35401" s="11"/>
      <c r="N35401" s="11"/>
      <c r="O35401" s="11"/>
      <c r="P35401" s="11"/>
    </row>
    <row r="35402" spans="8:16" x14ac:dyDescent="0.25">
      <c r="H35402" s="12"/>
      <c r="I35402" s="12"/>
      <c r="J35402" s="12"/>
      <c r="K35402" s="12"/>
      <c r="L35402" s="12"/>
      <c r="M35402" s="11"/>
      <c r="N35402" s="11"/>
      <c r="O35402" s="11"/>
      <c r="P35402" s="11"/>
    </row>
    <row r="35403" spans="8:16" x14ac:dyDescent="0.25">
      <c r="H35403" s="12"/>
      <c r="I35403" s="12"/>
      <c r="J35403" s="12"/>
      <c r="K35403" s="12"/>
      <c r="L35403" s="12"/>
      <c r="M35403" s="11"/>
      <c r="N35403" s="11"/>
      <c r="O35403" s="11"/>
      <c r="P35403" s="11"/>
    </row>
    <row r="35404" spans="8:16" x14ac:dyDescent="0.25">
      <c r="H35404" s="12"/>
      <c r="I35404" s="12"/>
      <c r="J35404" s="12"/>
      <c r="K35404" s="12"/>
      <c r="L35404" s="12"/>
      <c r="M35404" s="11"/>
      <c r="N35404" s="11"/>
      <c r="O35404" s="11"/>
      <c r="P35404" s="11"/>
    </row>
    <row r="35405" spans="8:16" x14ac:dyDescent="0.25">
      <c r="H35405" s="12"/>
      <c r="I35405" s="12"/>
      <c r="J35405" s="12"/>
      <c r="K35405" s="12"/>
      <c r="L35405" s="12"/>
      <c r="M35405" s="11"/>
      <c r="N35405" s="11"/>
      <c r="O35405" s="11"/>
      <c r="P35405" s="11"/>
    </row>
    <row r="35406" spans="8:16" x14ac:dyDescent="0.25">
      <c r="H35406" s="12"/>
      <c r="I35406" s="12"/>
      <c r="J35406" s="12"/>
      <c r="K35406" s="12"/>
      <c r="L35406" s="12"/>
      <c r="M35406" s="11"/>
      <c r="N35406" s="11"/>
      <c r="O35406" s="11"/>
      <c r="P35406" s="11"/>
    </row>
    <row r="35407" spans="8:16" x14ac:dyDescent="0.25">
      <c r="H35407" s="12"/>
      <c r="I35407" s="12"/>
      <c r="J35407" s="12"/>
      <c r="K35407" s="12"/>
      <c r="L35407" s="12"/>
      <c r="M35407" s="11"/>
      <c r="N35407" s="11"/>
      <c r="O35407" s="11"/>
      <c r="P35407" s="11"/>
    </row>
    <row r="35408" spans="8:16" x14ac:dyDescent="0.25">
      <c r="H35408" s="12"/>
      <c r="I35408" s="12"/>
      <c r="J35408" s="12"/>
      <c r="K35408" s="12"/>
      <c r="L35408" s="12"/>
      <c r="M35408" s="11"/>
      <c r="N35408" s="11"/>
      <c r="O35408" s="11"/>
      <c r="P35408" s="11"/>
    </row>
    <row r="35409" spans="8:16" x14ac:dyDescent="0.25">
      <c r="H35409" s="12"/>
      <c r="I35409" s="12"/>
      <c r="J35409" s="12"/>
      <c r="K35409" s="12"/>
      <c r="L35409" s="12"/>
      <c r="M35409" s="11"/>
      <c r="N35409" s="11"/>
      <c r="O35409" s="11"/>
      <c r="P35409" s="11"/>
    </row>
    <row r="35410" spans="8:16" x14ac:dyDescent="0.25">
      <c r="H35410" s="12"/>
      <c r="I35410" s="12"/>
      <c r="J35410" s="12"/>
      <c r="K35410" s="12"/>
      <c r="L35410" s="12"/>
      <c r="M35410" s="11"/>
      <c r="N35410" s="11"/>
      <c r="O35410" s="11"/>
      <c r="P35410" s="11"/>
    </row>
    <row r="35411" spans="8:16" x14ac:dyDescent="0.25">
      <c r="H35411" s="12"/>
      <c r="I35411" s="12"/>
      <c r="J35411" s="12"/>
      <c r="K35411" s="12"/>
      <c r="L35411" s="12"/>
      <c r="M35411" s="11"/>
      <c r="N35411" s="11"/>
      <c r="O35411" s="11"/>
      <c r="P35411" s="11"/>
    </row>
    <row r="35412" spans="8:16" x14ac:dyDescent="0.25">
      <c r="H35412" s="12"/>
      <c r="I35412" s="12"/>
      <c r="J35412" s="12"/>
      <c r="K35412" s="12"/>
      <c r="L35412" s="12"/>
      <c r="M35412" s="11"/>
      <c r="N35412" s="11"/>
      <c r="O35412" s="11"/>
      <c r="P35412" s="11"/>
    </row>
    <row r="35413" spans="8:16" x14ac:dyDescent="0.25">
      <c r="H35413" s="12"/>
      <c r="I35413" s="12"/>
      <c r="J35413" s="12"/>
      <c r="K35413" s="12"/>
      <c r="L35413" s="12"/>
      <c r="M35413" s="11"/>
      <c r="N35413" s="11"/>
      <c r="O35413" s="11"/>
      <c r="P35413" s="11"/>
    </row>
    <row r="35414" spans="8:16" x14ac:dyDescent="0.25">
      <c r="H35414" s="12"/>
      <c r="I35414" s="12"/>
      <c r="J35414" s="12"/>
      <c r="K35414" s="12"/>
      <c r="L35414" s="12"/>
      <c r="M35414" s="11"/>
      <c r="N35414" s="11"/>
      <c r="O35414" s="11"/>
      <c r="P35414" s="11"/>
    </row>
    <row r="35415" spans="8:16" x14ac:dyDescent="0.25">
      <c r="H35415" s="12"/>
      <c r="I35415" s="12"/>
      <c r="J35415" s="12"/>
      <c r="K35415" s="12"/>
      <c r="L35415" s="12"/>
      <c r="M35415" s="11"/>
      <c r="N35415" s="11"/>
      <c r="O35415" s="11"/>
      <c r="P35415" s="11"/>
    </row>
    <row r="35416" spans="8:16" x14ac:dyDescent="0.25">
      <c r="H35416" s="12"/>
      <c r="I35416" s="12"/>
      <c r="J35416" s="12"/>
      <c r="K35416" s="12"/>
      <c r="L35416" s="12"/>
      <c r="M35416" s="11"/>
      <c r="N35416" s="11"/>
      <c r="O35416" s="11"/>
      <c r="P35416" s="11"/>
    </row>
    <row r="35417" spans="8:16" x14ac:dyDescent="0.25">
      <c r="H35417" s="12"/>
      <c r="I35417" s="12"/>
      <c r="J35417" s="12"/>
      <c r="K35417" s="12"/>
      <c r="L35417" s="12"/>
      <c r="M35417" s="11"/>
      <c r="N35417" s="11"/>
      <c r="O35417" s="11"/>
      <c r="P35417" s="11"/>
    </row>
    <row r="35418" spans="8:16" x14ac:dyDescent="0.25">
      <c r="H35418" s="12"/>
      <c r="I35418" s="12"/>
      <c r="J35418" s="12"/>
      <c r="K35418" s="12"/>
      <c r="L35418" s="12"/>
      <c r="M35418" s="11"/>
      <c r="N35418" s="11"/>
      <c r="O35418" s="11"/>
      <c r="P35418" s="11"/>
    </row>
    <row r="35419" spans="8:16" x14ac:dyDescent="0.25">
      <c r="H35419" s="12"/>
      <c r="I35419" s="12"/>
      <c r="J35419" s="12"/>
      <c r="K35419" s="12"/>
      <c r="L35419" s="12"/>
      <c r="M35419" s="11"/>
      <c r="N35419" s="11"/>
      <c r="O35419" s="11"/>
      <c r="P35419" s="11"/>
    </row>
    <row r="35420" spans="8:16" x14ac:dyDescent="0.25">
      <c r="H35420" s="12"/>
      <c r="I35420" s="12"/>
      <c r="J35420" s="12"/>
      <c r="K35420" s="12"/>
      <c r="L35420" s="12"/>
      <c r="M35420" s="11"/>
      <c r="N35420" s="11"/>
      <c r="O35420" s="11"/>
      <c r="P35420" s="11"/>
    </row>
    <row r="35421" spans="8:16" x14ac:dyDescent="0.25">
      <c r="H35421" s="12"/>
      <c r="I35421" s="12"/>
      <c r="J35421" s="12"/>
      <c r="K35421" s="12"/>
      <c r="L35421" s="12"/>
      <c r="M35421" s="11"/>
      <c r="N35421" s="11"/>
      <c r="O35421" s="11"/>
      <c r="P35421" s="11"/>
    </row>
    <row r="35422" spans="8:16" x14ac:dyDescent="0.25">
      <c r="H35422" s="12"/>
      <c r="I35422" s="12"/>
      <c r="J35422" s="12"/>
      <c r="K35422" s="12"/>
      <c r="L35422" s="12"/>
      <c r="M35422" s="11"/>
      <c r="N35422" s="11"/>
      <c r="O35422" s="11"/>
      <c r="P35422" s="11"/>
    </row>
    <row r="35423" spans="8:16" x14ac:dyDescent="0.25">
      <c r="H35423" s="12"/>
      <c r="I35423" s="12"/>
      <c r="J35423" s="12"/>
      <c r="K35423" s="12"/>
      <c r="L35423" s="12"/>
      <c r="M35423" s="11"/>
      <c r="N35423" s="11"/>
      <c r="O35423" s="11"/>
      <c r="P35423" s="11"/>
    </row>
    <row r="35424" spans="8:16" x14ac:dyDescent="0.25">
      <c r="H35424" s="12"/>
      <c r="I35424" s="12"/>
      <c r="J35424" s="12"/>
      <c r="K35424" s="12"/>
      <c r="L35424" s="12"/>
      <c r="M35424" s="11"/>
      <c r="N35424" s="11"/>
      <c r="O35424" s="11"/>
      <c r="P35424" s="11"/>
    </row>
    <row r="35425" spans="8:16" x14ac:dyDescent="0.25">
      <c r="H35425" s="12"/>
      <c r="I35425" s="12"/>
      <c r="J35425" s="12"/>
      <c r="K35425" s="12"/>
      <c r="L35425" s="12"/>
      <c r="M35425" s="11"/>
      <c r="N35425" s="11"/>
      <c r="O35425" s="11"/>
      <c r="P35425" s="11"/>
    </row>
    <row r="35426" spans="8:16" x14ac:dyDescent="0.25">
      <c r="H35426" s="12"/>
      <c r="I35426" s="12"/>
      <c r="J35426" s="12"/>
      <c r="K35426" s="12"/>
      <c r="L35426" s="12"/>
      <c r="M35426" s="11"/>
      <c r="N35426" s="11"/>
      <c r="O35426" s="11"/>
      <c r="P35426" s="11"/>
    </row>
    <row r="35427" spans="8:16" x14ac:dyDescent="0.25">
      <c r="H35427" s="12"/>
      <c r="I35427" s="12"/>
      <c r="J35427" s="12"/>
      <c r="K35427" s="12"/>
      <c r="L35427" s="12"/>
      <c r="M35427" s="11"/>
      <c r="N35427" s="11"/>
      <c r="O35427" s="11"/>
      <c r="P35427" s="11"/>
    </row>
    <row r="35428" spans="8:16" x14ac:dyDescent="0.25">
      <c r="H35428" s="12"/>
      <c r="I35428" s="12"/>
      <c r="J35428" s="12"/>
      <c r="K35428" s="12"/>
      <c r="L35428" s="12"/>
      <c r="M35428" s="11"/>
      <c r="N35428" s="11"/>
      <c r="O35428" s="11"/>
      <c r="P35428" s="11"/>
    </row>
    <row r="35429" spans="8:16" x14ac:dyDescent="0.25">
      <c r="H35429" s="12"/>
      <c r="I35429" s="12"/>
      <c r="J35429" s="12"/>
      <c r="K35429" s="12"/>
      <c r="L35429" s="12"/>
      <c r="M35429" s="11"/>
      <c r="N35429" s="11"/>
      <c r="O35429" s="11"/>
      <c r="P35429" s="11"/>
    </row>
    <row r="35430" spans="8:16" x14ac:dyDescent="0.25">
      <c r="H35430" s="12"/>
      <c r="I35430" s="12"/>
      <c r="J35430" s="12"/>
      <c r="K35430" s="12"/>
      <c r="L35430" s="12"/>
      <c r="M35430" s="11"/>
      <c r="N35430" s="11"/>
      <c r="O35430" s="11"/>
      <c r="P35430" s="11"/>
    </row>
    <row r="35431" spans="8:16" x14ac:dyDescent="0.25">
      <c r="H35431" s="12"/>
      <c r="I35431" s="12"/>
      <c r="J35431" s="12"/>
      <c r="K35431" s="12"/>
      <c r="L35431" s="12"/>
      <c r="M35431" s="11"/>
      <c r="N35431" s="11"/>
      <c r="O35431" s="11"/>
      <c r="P35431" s="11"/>
    </row>
    <row r="35432" spans="8:16" x14ac:dyDescent="0.25">
      <c r="H35432" s="12"/>
      <c r="I35432" s="12"/>
      <c r="J35432" s="12"/>
      <c r="K35432" s="12"/>
      <c r="L35432" s="12"/>
      <c r="M35432" s="11"/>
      <c r="N35432" s="11"/>
      <c r="O35432" s="11"/>
      <c r="P35432" s="11"/>
    </row>
    <row r="35433" spans="8:16" x14ac:dyDescent="0.25">
      <c r="H35433" s="12"/>
      <c r="I35433" s="12"/>
      <c r="J35433" s="12"/>
      <c r="K35433" s="12"/>
      <c r="L35433" s="12"/>
      <c r="M35433" s="11"/>
      <c r="N35433" s="11"/>
      <c r="O35433" s="11"/>
      <c r="P35433" s="11"/>
    </row>
    <row r="35434" spans="8:16" x14ac:dyDescent="0.25">
      <c r="H35434" s="12"/>
      <c r="I35434" s="12"/>
      <c r="J35434" s="12"/>
      <c r="K35434" s="12"/>
      <c r="L35434" s="12"/>
      <c r="M35434" s="11"/>
      <c r="N35434" s="11"/>
      <c r="O35434" s="11"/>
      <c r="P35434" s="11"/>
    </row>
    <row r="35435" spans="8:16" x14ac:dyDescent="0.25">
      <c r="H35435" s="12"/>
      <c r="I35435" s="12"/>
      <c r="J35435" s="12"/>
      <c r="K35435" s="12"/>
      <c r="L35435" s="12"/>
      <c r="M35435" s="11"/>
      <c r="N35435" s="11"/>
      <c r="O35435" s="11"/>
      <c r="P35435" s="11"/>
    </row>
    <row r="35436" spans="8:16" x14ac:dyDescent="0.25">
      <c r="H35436" s="12"/>
      <c r="I35436" s="12"/>
      <c r="J35436" s="12"/>
      <c r="K35436" s="12"/>
      <c r="L35436" s="12"/>
      <c r="M35436" s="11"/>
      <c r="N35436" s="11"/>
      <c r="O35436" s="11"/>
      <c r="P35436" s="11"/>
    </row>
    <row r="35437" spans="8:16" x14ac:dyDescent="0.25">
      <c r="H35437" s="12"/>
      <c r="I35437" s="12"/>
      <c r="J35437" s="12"/>
      <c r="K35437" s="12"/>
      <c r="L35437" s="12"/>
      <c r="M35437" s="11"/>
      <c r="N35437" s="11"/>
      <c r="O35437" s="11"/>
      <c r="P35437" s="11"/>
    </row>
    <row r="35438" spans="8:16" x14ac:dyDescent="0.25">
      <c r="H35438" s="12"/>
      <c r="I35438" s="12"/>
      <c r="J35438" s="12"/>
      <c r="K35438" s="12"/>
      <c r="L35438" s="12"/>
      <c r="M35438" s="11"/>
      <c r="N35438" s="11"/>
      <c r="O35438" s="11"/>
      <c r="P35438" s="11"/>
    </row>
    <row r="35439" spans="8:16" x14ac:dyDescent="0.25">
      <c r="H35439" s="12"/>
      <c r="I35439" s="12"/>
      <c r="J35439" s="12"/>
      <c r="K35439" s="12"/>
      <c r="L35439" s="12"/>
      <c r="M35439" s="11"/>
      <c r="N35439" s="11"/>
      <c r="O35439" s="11"/>
      <c r="P35439" s="11"/>
    </row>
    <row r="35440" spans="8:16" x14ac:dyDescent="0.25">
      <c r="H35440" s="12"/>
      <c r="I35440" s="12"/>
      <c r="J35440" s="12"/>
      <c r="K35440" s="12"/>
      <c r="L35440" s="12"/>
      <c r="M35440" s="11"/>
      <c r="N35440" s="11"/>
      <c r="O35440" s="11"/>
      <c r="P35440" s="11"/>
    </row>
    <row r="35441" spans="8:16" x14ac:dyDescent="0.25">
      <c r="H35441" s="12"/>
      <c r="I35441" s="12"/>
      <c r="J35441" s="12"/>
      <c r="K35441" s="12"/>
      <c r="L35441" s="12"/>
      <c r="M35441" s="11"/>
      <c r="N35441" s="11"/>
      <c r="O35441" s="11"/>
      <c r="P35441" s="11"/>
    </row>
    <row r="35442" spans="8:16" x14ac:dyDescent="0.25">
      <c r="H35442" s="12"/>
      <c r="I35442" s="12"/>
      <c r="J35442" s="12"/>
      <c r="K35442" s="12"/>
      <c r="L35442" s="12"/>
      <c r="M35442" s="11"/>
      <c r="N35442" s="11"/>
      <c r="O35442" s="11"/>
      <c r="P35442" s="11"/>
    </row>
    <row r="35443" spans="8:16" x14ac:dyDescent="0.25">
      <c r="H35443" s="12"/>
      <c r="I35443" s="12"/>
      <c r="J35443" s="12"/>
      <c r="K35443" s="12"/>
      <c r="L35443" s="12"/>
      <c r="M35443" s="11"/>
      <c r="N35443" s="11"/>
      <c r="O35443" s="11"/>
      <c r="P35443" s="11"/>
    </row>
    <row r="35444" spans="8:16" x14ac:dyDescent="0.25">
      <c r="H35444" s="12"/>
      <c r="I35444" s="12"/>
      <c r="J35444" s="12"/>
      <c r="K35444" s="12"/>
      <c r="L35444" s="12"/>
      <c r="M35444" s="11"/>
      <c r="N35444" s="11"/>
      <c r="O35444" s="11"/>
      <c r="P35444" s="11"/>
    </row>
    <row r="35445" spans="8:16" x14ac:dyDescent="0.25">
      <c r="H35445" s="12"/>
      <c r="I35445" s="12"/>
      <c r="J35445" s="12"/>
      <c r="K35445" s="12"/>
      <c r="L35445" s="12"/>
      <c r="M35445" s="11"/>
      <c r="N35445" s="11"/>
      <c r="O35445" s="11"/>
      <c r="P35445" s="11"/>
    </row>
    <row r="35446" spans="8:16" x14ac:dyDescent="0.25">
      <c r="H35446" s="12"/>
      <c r="I35446" s="12"/>
      <c r="J35446" s="12"/>
      <c r="K35446" s="12"/>
      <c r="L35446" s="12"/>
      <c r="M35446" s="11"/>
      <c r="N35446" s="11"/>
      <c r="O35446" s="11"/>
      <c r="P35446" s="11"/>
    </row>
    <row r="35447" spans="8:16" x14ac:dyDescent="0.25">
      <c r="H35447" s="12"/>
      <c r="I35447" s="12"/>
      <c r="J35447" s="12"/>
      <c r="K35447" s="12"/>
      <c r="L35447" s="12"/>
      <c r="M35447" s="11"/>
      <c r="N35447" s="11"/>
      <c r="O35447" s="11"/>
      <c r="P35447" s="11"/>
    </row>
    <row r="35448" spans="8:16" x14ac:dyDescent="0.25">
      <c r="H35448" s="12"/>
      <c r="I35448" s="12"/>
      <c r="J35448" s="12"/>
      <c r="K35448" s="12"/>
      <c r="L35448" s="12"/>
      <c r="M35448" s="11"/>
      <c r="N35448" s="11"/>
      <c r="O35448" s="11"/>
      <c r="P35448" s="11"/>
    </row>
    <row r="35449" spans="8:16" x14ac:dyDescent="0.25">
      <c r="H35449" s="12"/>
      <c r="I35449" s="12"/>
      <c r="J35449" s="12"/>
      <c r="K35449" s="12"/>
      <c r="L35449" s="12"/>
      <c r="M35449" s="11"/>
      <c r="N35449" s="11"/>
      <c r="O35449" s="11"/>
      <c r="P35449" s="11"/>
    </row>
    <row r="35450" spans="8:16" x14ac:dyDescent="0.25">
      <c r="H35450" s="12"/>
      <c r="I35450" s="12"/>
      <c r="J35450" s="12"/>
      <c r="K35450" s="12"/>
      <c r="L35450" s="12"/>
      <c r="M35450" s="11"/>
      <c r="N35450" s="11"/>
      <c r="O35450" s="11"/>
      <c r="P35450" s="11"/>
    </row>
    <row r="35451" spans="8:16" x14ac:dyDescent="0.25">
      <c r="H35451" s="12"/>
      <c r="I35451" s="12"/>
      <c r="J35451" s="12"/>
      <c r="K35451" s="12"/>
      <c r="L35451" s="12"/>
      <c r="M35451" s="11"/>
      <c r="N35451" s="11"/>
      <c r="O35451" s="11"/>
      <c r="P35451" s="11"/>
    </row>
    <row r="35452" spans="8:16" x14ac:dyDescent="0.25">
      <c r="H35452" s="12"/>
      <c r="I35452" s="12"/>
      <c r="J35452" s="12"/>
      <c r="K35452" s="12"/>
      <c r="L35452" s="12"/>
      <c r="M35452" s="11"/>
      <c r="N35452" s="11"/>
      <c r="O35452" s="11"/>
      <c r="P35452" s="11"/>
    </row>
    <row r="35453" spans="8:16" x14ac:dyDescent="0.25">
      <c r="H35453" s="12"/>
      <c r="I35453" s="12"/>
      <c r="J35453" s="12"/>
      <c r="K35453" s="12"/>
      <c r="L35453" s="12"/>
      <c r="M35453" s="11"/>
      <c r="N35453" s="11"/>
      <c r="O35453" s="11"/>
      <c r="P35453" s="11"/>
    </row>
    <row r="35454" spans="8:16" x14ac:dyDescent="0.25">
      <c r="H35454" s="12"/>
      <c r="I35454" s="12"/>
      <c r="J35454" s="12"/>
      <c r="K35454" s="12"/>
      <c r="L35454" s="12"/>
      <c r="M35454" s="11"/>
      <c r="N35454" s="11"/>
      <c r="O35454" s="11"/>
      <c r="P35454" s="11"/>
    </row>
    <row r="35455" spans="8:16" x14ac:dyDescent="0.25">
      <c r="H35455" s="12"/>
      <c r="I35455" s="12"/>
      <c r="J35455" s="12"/>
      <c r="K35455" s="12"/>
      <c r="L35455" s="12"/>
      <c r="M35455" s="11"/>
      <c r="N35455" s="11"/>
      <c r="O35455" s="11"/>
      <c r="P35455" s="11"/>
    </row>
    <row r="35456" spans="8:16" x14ac:dyDescent="0.25">
      <c r="H35456" s="12"/>
      <c r="I35456" s="12"/>
      <c r="J35456" s="12"/>
      <c r="K35456" s="12"/>
      <c r="L35456" s="12"/>
      <c r="M35456" s="11"/>
      <c r="N35456" s="11"/>
      <c r="O35456" s="11"/>
      <c r="P35456" s="11"/>
    </row>
    <row r="35457" spans="8:16" x14ac:dyDescent="0.25">
      <c r="H35457" s="12"/>
      <c r="I35457" s="12"/>
      <c r="J35457" s="12"/>
      <c r="K35457" s="12"/>
      <c r="L35457" s="12"/>
      <c r="M35457" s="11"/>
      <c r="N35457" s="11"/>
      <c r="O35457" s="11"/>
      <c r="P35457" s="11"/>
    </row>
    <row r="35458" spans="8:16" x14ac:dyDescent="0.25">
      <c r="H35458" s="12"/>
      <c r="I35458" s="12"/>
      <c r="J35458" s="12"/>
      <c r="K35458" s="12"/>
      <c r="L35458" s="12"/>
      <c r="M35458" s="11"/>
      <c r="N35458" s="11"/>
      <c r="O35458" s="11"/>
      <c r="P35458" s="11"/>
    </row>
    <row r="35459" spans="8:16" x14ac:dyDescent="0.25">
      <c r="H35459" s="12"/>
      <c r="I35459" s="12"/>
      <c r="J35459" s="12"/>
      <c r="K35459" s="12"/>
      <c r="L35459" s="12"/>
      <c r="M35459" s="11"/>
      <c r="N35459" s="11"/>
      <c r="O35459" s="11"/>
      <c r="P35459" s="11"/>
    </row>
    <row r="35460" spans="8:16" x14ac:dyDescent="0.25">
      <c r="H35460" s="12"/>
      <c r="I35460" s="12"/>
      <c r="J35460" s="12"/>
      <c r="K35460" s="12"/>
      <c r="L35460" s="12"/>
      <c r="M35460" s="11"/>
      <c r="N35460" s="11"/>
      <c r="O35460" s="11"/>
      <c r="P35460" s="11"/>
    </row>
    <row r="35461" spans="8:16" x14ac:dyDescent="0.25">
      <c r="H35461" s="12"/>
      <c r="I35461" s="12"/>
      <c r="J35461" s="12"/>
      <c r="K35461" s="12"/>
      <c r="L35461" s="12"/>
      <c r="M35461" s="11"/>
      <c r="N35461" s="11"/>
      <c r="O35461" s="11"/>
      <c r="P35461" s="11"/>
    </row>
    <row r="35462" spans="8:16" x14ac:dyDescent="0.25">
      <c r="H35462" s="12"/>
      <c r="I35462" s="12"/>
      <c r="J35462" s="12"/>
      <c r="K35462" s="12"/>
      <c r="L35462" s="12"/>
      <c r="M35462" s="11"/>
      <c r="N35462" s="11"/>
      <c r="O35462" s="11"/>
      <c r="P35462" s="11"/>
    </row>
    <row r="35463" spans="8:16" x14ac:dyDescent="0.25">
      <c r="H35463" s="12"/>
      <c r="I35463" s="12"/>
      <c r="J35463" s="12"/>
      <c r="K35463" s="12"/>
      <c r="L35463" s="12"/>
      <c r="M35463" s="11"/>
      <c r="N35463" s="11"/>
      <c r="O35463" s="11"/>
      <c r="P35463" s="11"/>
    </row>
    <row r="35464" spans="8:16" x14ac:dyDescent="0.25">
      <c r="H35464" s="12"/>
      <c r="I35464" s="12"/>
      <c r="J35464" s="12"/>
      <c r="K35464" s="12"/>
      <c r="L35464" s="12"/>
      <c r="M35464" s="11"/>
      <c r="N35464" s="11"/>
      <c r="O35464" s="11"/>
      <c r="P35464" s="11"/>
    </row>
    <row r="35465" spans="8:16" x14ac:dyDescent="0.25">
      <c r="H35465" s="12"/>
      <c r="I35465" s="12"/>
      <c r="J35465" s="12"/>
      <c r="K35465" s="12"/>
      <c r="L35465" s="12"/>
      <c r="M35465" s="11"/>
      <c r="N35465" s="11"/>
      <c r="O35465" s="11"/>
      <c r="P35465" s="11"/>
    </row>
    <row r="35466" spans="8:16" x14ac:dyDescent="0.25">
      <c r="H35466" s="12"/>
      <c r="I35466" s="12"/>
      <c r="J35466" s="12"/>
      <c r="K35466" s="12"/>
      <c r="L35466" s="12"/>
      <c r="M35466" s="11"/>
      <c r="N35466" s="11"/>
      <c r="O35466" s="11"/>
      <c r="P35466" s="11"/>
    </row>
    <row r="35467" spans="8:16" x14ac:dyDescent="0.25">
      <c r="H35467" s="12"/>
      <c r="I35467" s="12"/>
      <c r="J35467" s="12"/>
      <c r="K35467" s="12"/>
      <c r="L35467" s="12"/>
      <c r="M35467" s="11"/>
      <c r="N35467" s="11"/>
      <c r="O35467" s="11"/>
      <c r="P35467" s="11"/>
    </row>
    <row r="35468" spans="8:16" x14ac:dyDescent="0.25">
      <c r="H35468" s="12"/>
      <c r="I35468" s="12"/>
      <c r="J35468" s="12"/>
      <c r="K35468" s="12"/>
      <c r="L35468" s="12"/>
      <c r="M35468" s="11"/>
      <c r="N35468" s="11"/>
      <c r="O35468" s="11"/>
      <c r="P35468" s="11"/>
    </row>
    <row r="35469" spans="8:16" x14ac:dyDescent="0.25">
      <c r="H35469" s="12"/>
      <c r="I35469" s="12"/>
      <c r="J35469" s="12"/>
      <c r="K35469" s="12"/>
      <c r="L35469" s="12"/>
      <c r="M35469" s="11"/>
      <c r="N35469" s="11"/>
      <c r="O35469" s="11"/>
      <c r="P35469" s="11"/>
    </row>
    <row r="35470" spans="8:16" x14ac:dyDescent="0.25">
      <c r="H35470" s="12"/>
      <c r="I35470" s="12"/>
      <c r="J35470" s="12"/>
      <c r="K35470" s="12"/>
      <c r="L35470" s="12"/>
      <c r="M35470" s="11"/>
      <c r="N35470" s="11"/>
      <c r="O35470" s="11"/>
      <c r="P35470" s="11"/>
    </row>
    <row r="35471" spans="8:16" x14ac:dyDescent="0.25">
      <c r="H35471" s="12"/>
      <c r="I35471" s="12"/>
      <c r="J35471" s="12"/>
      <c r="K35471" s="12"/>
      <c r="L35471" s="12"/>
      <c r="M35471" s="11"/>
      <c r="N35471" s="11"/>
      <c r="O35471" s="11"/>
      <c r="P35471" s="11"/>
    </row>
    <row r="35472" spans="8:16" x14ac:dyDescent="0.25">
      <c r="H35472" s="12"/>
      <c r="I35472" s="12"/>
      <c r="J35472" s="12"/>
      <c r="K35472" s="12"/>
      <c r="L35472" s="12"/>
      <c r="M35472" s="11"/>
      <c r="N35472" s="11"/>
      <c r="O35472" s="11"/>
      <c r="P35472" s="11"/>
    </row>
    <row r="35473" spans="8:16" x14ac:dyDescent="0.25">
      <c r="H35473" s="12"/>
      <c r="I35473" s="12"/>
      <c r="J35473" s="12"/>
      <c r="K35473" s="12"/>
      <c r="L35473" s="12"/>
      <c r="M35473" s="11"/>
      <c r="N35473" s="11"/>
      <c r="O35473" s="11"/>
      <c r="P35473" s="11"/>
    </row>
    <row r="35474" spans="8:16" x14ac:dyDescent="0.25">
      <c r="H35474" s="12"/>
      <c r="I35474" s="12"/>
      <c r="J35474" s="12"/>
      <c r="K35474" s="12"/>
      <c r="L35474" s="12"/>
      <c r="M35474" s="11"/>
      <c r="N35474" s="11"/>
      <c r="O35474" s="11"/>
      <c r="P35474" s="11"/>
    </row>
    <row r="35475" spans="8:16" x14ac:dyDescent="0.25">
      <c r="H35475" s="12"/>
      <c r="I35475" s="12"/>
      <c r="J35475" s="12"/>
      <c r="K35475" s="12"/>
      <c r="L35475" s="12"/>
      <c r="M35475" s="11"/>
      <c r="N35475" s="11"/>
      <c r="O35475" s="11"/>
      <c r="P35475" s="11"/>
    </row>
    <row r="35476" spans="8:16" x14ac:dyDescent="0.25">
      <c r="H35476" s="12"/>
      <c r="I35476" s="12"/>
      <c r="J35476" s="12"/>
      <c r="K35476" s="12"/>
      <c r="L35476" s="12"/>
      <c r="M35476" s="11"/>
      <c r="N35476" s="11"/>
      <c r="O35476" s="11"/>
      <c r="P35476" s="11"/>
    </row>
    <row r="35477" spans="8:16" x14ac:dyDescent="0.25">
      <c r="H35477" s="12"/>
      <c r="I35477" s="12"/>
      <c r="J35477" s="12"/>
      <c r="K35477" s="12"/>
      <c r="L35477" s="12"/>
      <c r="M35477" s="11"/>
      <c r="N35477" s="11"/>
      <c r="O35477" s="11"/>
      <c r="P35477" s="11"/>
    </row>
    <row r="35478" spans="8:16" x14ac:dyDescent="0.25">
      <c r="H35478" s="12"/>
      <c r="I35478" s="12"/>
      <c r="J35478" s="12"/>
      <c r="K35478" s="12"/>
      <c r="L35478" s="12"/>
      <c r="M35478" s="11"/>
      <c r="N35478" s="11"/>
      <c r="O35478" s="11"/>
      <c r="P35478" s="11"/>
    </row>
    <row r="35479" spans="8:16" x14ac:dyDescent="0.25">
      <c r="H35479" s="12"/>
      <c r="I35479" s="12"/>
      <c r="J35479" s="12"/>
      <c r="K35479" s="12"/>
      <c r="L35479" s="12"/>
      <c r="M35479" s="11"/>
      <c r="N35479" s="11"/>
      <c r="O35479" s="11"/>
      <c r="P35479" s="11"/>
    </row>
    <row r="35480" spans="8:16" x14ac:dyDescent="0.25">
      <c r="H35480" s="12"/>
      <c r="I35480" s="12"/>
      <c r="J35480" s="12"/>
      <c r="K35480" s="12"/>
      <c r="L35480" s="12"/>
      <c r="M35480" s="11"/>
      <c r="N35480" s="11"/>
      <c r="O35480" s="11"/>
      <c r="P35480" s="11"/>
    </row>
    <row r="35481" spans="8:16" x14ac:dyDescent="0.25">
      <c r="H35481" s="12"/>
      <c r="I35481" s="12"/>
      <c r="J35481" s="12"/>
      <c r="K35481" s="12"/>
      <c r="L35481" s="12"/>
      <c r="M35481" s="11"/>
      <c r="N35481" s="11"/>
      <c r="O35481" s="11"/>
      <c r="P35481" s="11"/>
    </row>
    <row r="35482" spans="8:16" x14ac:dyDescent="0.25">
      <c r="H35482" s="12"/>
      <c r="I35482" s="12"/>
      <c r="J35482" s="12"/>
      <c r="K35482" s="12"/>
      <c r="L35482" s="12"/>
      <c r="M35482" s="11"/>
      <c r="N35482" s="11"/>
      <c r="O35482" s="11"/>
      <c r="P35482" s="11"/>
    </row>
    <row r="35483" spans="8:16" x14ac:dyDescent="0.25">
      <c r="H35483" s="12"/>
      <c r="I35483" s="12"/>
      <c r="J35483" s="12"/>
      <c r="K35483" s="12"/>
      <c r="L35483" s="12"/>
      <c r="M35483" s="11"/>
      <c r="N35483" s="11"/>
      <c r="O35483" s="11"/>
      <c r="P35483" s="11"/>
    </row>
    <row r="35484" spans="8:16" x14ac:dyDescent="0.25">
      <c r="H35484" s="12"/>
      <c r="I35484" s="12"/>
      <c r="J35484" s="12"/>
      <c r="K35484" s="12"/>
      <c r="L35484" s="12"/>
      <c r="M35484" s="11"/>
      <c r="N35484" s="11"/>
      <c r="O35484" s="11"/>
      <c r="P35484" s="11"/>
    </row>
    <row r="35485" spans="8:16" x14ac:dyDescent="0.25">
      <c r="H35485" s="12"/>
      <c r="I35485" s="12"/>
      <c r="J35485" s="12"/>
      <c r="K35485" s="12"/>
      <c r="L35485" s="12"/>
      <c r="M35485" s="11"/>
      <c r="N35485" s="11"/>
      <c r="O35485" s="11"/>
      <c r="P35485" s="11"/>
    </row>
    <row r="35486" spans="8:16" x14ac:dyDescent="0.25">
      <c r="H35486" s="12"/>
      <c r="I35486" s="12"/>
      <c r="J35486" s="12"/>
      <c r="K35486" s="12"/>
      <c r="L35486" s="12"/>
      <c r="M35486" s="11"/>
      <c r="N35486" s="11"/>
      <c r="O35486" s="11"/>
      <c r="P35486" s="11"/>
    </row>
    <row r="35487" spans="8:16" x14ac:dyDescent="0.25">
      <c r="H35487" s="12"/>
      <c r="I35487" s="12"/>
      <c r="J35487" s="12"/>
      <c r="K35487" s="12"/>
      <c r="L35487" s="12"/>
      <c r="M35487" s="11"/>
      <c r="N35487" s="11"/>
      <c r="O35487" s="11"/>
      <c r="P35487" s="11"/>
    </row>
    <row r="35488" spans="8:16" x14ac:dyDescent="0.25">
      <c r="H35488" s="12"/>
      <c r="I35488" s="12"/>
      <c r="J35488" s="12"/>
      <c r="K35488" s="12"/>
      <c r="L35488" s="12"/>
      <c r="M35488" s="11"/>
      <c r="N35488" s="11"/>
      <c r="O35488" s="11"/>
      <c r="P35488" s="11"/>
    </row>
    <row r="35489" spans="8:16" x14ac:dyDescent="0.25">
      <c r="H35489" s="12"/>
      <c r="I35489" s="12"/>
      <c r="J35489" s="12"/>
      <c r="K35489" s="12"/>
      <c r="L35489" s="12"/>
      <c r="M35489" s="11"/>
      <c r="N35489" s="11"/>
      <c r="O35489" s="11"/>
      <c r="P35489" s="11"/>
    </row>
    <row r="35490" spans="8:16" x14ac:dyDescent="0.25">
      <c r="H35490" s="12"/>
      <c r="I35490" s="12"/>
      <c r="J35490" s="12"/>
      <c r="K35490" s="12"/>
      <c r="L35490" s="12"/>
      <c r="M35490" s="11"/>
      <c r="N35490" s="11"/>
      <c r="O35490" s="11"/>
      <c r="P35490" s="11"/>
    </row>
    <row r="35491" spans="8:16" x14ac:dyDescent="0.25">
      <c r="H35491" s="12"/>
      <c r="I35491" s="12"/>
      <c r="J35491" s="12"/>
      <c r="K35491" s="12"/>
      <c r="L35491" s="12"/>
      <c r="M35491" s="11"/>
      <c r="N35491" s="11"/>
      <c r="O35491" s="11"/>
      <c r="P35491" s="11"/>
    </row>
    <row r="35492" spans="8:16" x14ac:dyDescent="0.25">
      <c r="H35492" s="12"/>
      <c r="I35492" s="12"/>
      <c r="J35492" s="12"/>
      <c r="K35492" s="12"/>
      <c r="L35492" s="12"/>
      <c r="M35492" s="11"/>
      <c r="N35492" s="11"/>
      <c r="O35492" s="11"/>
      <c r="P35492" s="11"/>
    </row>
    <row r="35493" spans="8:16" x14ac:dyDescent="0.25">
      <c r="H35493" s="12"/>
      <c r="I35493" s="12"/>
      <c r="J35493" s="12"/>
      <c r="K35493" s="12"/>
      <c r="L35493" s="12"/>
      <c r="M35493" s="11"/>
      <c r="N35493" s="11"/>
      <c r="O35493" s="11"/>
      <c r="P35493" s="11"/>
    </row>
    <row r="35494" spans="8:16" x14ac:dyDescent="0.25">
      <c r="H35494" s="12"/>
      <c r="I35494" s="12"/>
      <c r="J35494" s="12"/>
      <c r="K35494" s="12"/>
      <c r="L35494" s="12"/>
      <c r="M35494" s="11"/>
      <c r="N35494" s="11"/>
      <c r="O35494" s="11"/>
      <c r="P35494" s="11"/>
    </row>
    <row r="35495" spans="8:16" x14ac:dyDescent="0.25">
      <c r="H35495" s="12"/>
      <c r="I35495" s="12"/>
      <c r="J35495" s="12"/>
      <c r="K35495" s="12"/>
      <c r="L35495" s="12"/>
      <c r="M35495" s="11"/>
      <c r="N35495" s="11"/>
      <c r="O35495" s="11"/>
      <c r="P35495" s="11"/>
    </row>
    <row r="35496" spans="8:16" x14ac:dyDescent="0.25">
      <c r="H35496" s="12"/>
      <c r="I35496" s="12"/>
      <c r="J35496" s="12"/>
      <c r="K35496" s="12"/>
      <c r="L35496" s="12"/>
      <c r="M35496" s="11"/>
      <c r="N35496" s="11"/>
      <c r="O35496" s="11"/>
      <c r="P35496" s="11"/>
    </row>
    <row r="35497" spans="8:16" x14ac:dyDescent="0.25">
      <c r="H35497" s="12"/>
      <c r="I35497" s="12"/>
      <c r="J35497" s="12"/>
      <c r="K35497" s="12"/>
      <c r="L35497" s="12"/>
      <c r="M35497" s="11"/>
      <c r="N35497" s="11"/>
      <c r="O35497" s="11"/>
      <c r="P35497" s="11"/>
    </row>
    <row r="35498" spans="8:16" x14ac:dyDescent="0.25">
      <c r="H35498" s="12"/>
      <c r="I35498" s="12"/>
      <c r="J35498" s="12"/>
      <c r="K35498" s="12"/>
      <c r="L35498" s="12"/>
      <c r="M35498" s="11"/>
      <c r="N35498" s="11"/>
      <c r="O35498" s="11"/>
      <c r="P35498" s="11"/>
    </row>
    <row r="35499" spans="8:16" x14ac:dyDescent="0.25">
      <c r="H35499" s="12"/>
      <c r="I35499" s="12"/>
      <c r="J35499" s="12"/>
      <c r="K35499" s="12"/>
      <c r="L35499" s="12"/>
      <c r="M35499" s="11"/>
      <c r="N35499" s="11"/>
      <c r="O35499" s="11"/>
      <c r="P35499" s="11"/>
    </row>
    <row r="35500" spans="8:16" x14ac:dyDescent="0.25">
      <c r="H35500" s="12"/>
      <c r="I35500" s="12"/>
      <c r="J35500" s="12"/>
      <c r="K35500" s="12"/>
      <c r="L35500" s="12"/>
      <c r="M35500" s="11"/>
      <c r="N35500" s="11"/>
      <c r="O35500" s="11"/>
      <c r="P35500" s="11"/>
    </row>
    <row r="35501" spans="8:16" x14ac:dyDescent="0.25">
      <c r="H35501" s="12"/>
      <c r="I35501" s="12"/>
      <c r="J35501" s="12"/>
      <c r="K35501" s="12"/>
      <c r="L35501" s="12"/>
      <c r="M35501" s="11"/>
      <c r="N35501" s="11"/>
      <c r="O35501" s="11"/>
      <c r="P35501" s="11"/>
    </row>
    <row r="35502" spans="8:16" x14ac:dyDescent="0.25">
      <c r="H35502" s="12"/>
      <c r="I35502" s="12"/>
      <c r="J35502" s="12"/>
      <c r="K35502" s="12"/>
      <c r="L35502" s="12"/>
      <c r="M35502" s="11"/>
      <c r="N35502" s="11"/>
      <c r="O35502" s="11"/>
      <c r="P35502" s="11"/>
    </row>
    <row r="35503" spans="8:16" x14ac:dyDescent="0.25">
      <c r="H35503" s="12"/>
      <c r="I35503" s="12"/>
      <c r="J35503" s="12"/>
      <c r="K35503" s="12"/>
      <c r="L35503" s="12"/>
      <c r="M35503" s="11"/>
      <c r="N35503" s="11"/>
      <c r="O35503" s="11"/>
      <c r="P35503" s="11"/>
    </row>
    <row r="35504" spans="8:16" x14ac:dyDescent="0.25">
      <c r="H35504" s="12"/>
      <c r="I35504" s="12"/>
      <c r="J35504" s="12"/>
      <c r="K35504" s="12"/>
      <c r="L35504" s="12"/>
      <c r="M35504" s="11"/>
      <c r="N35504" s="11"/>
      <c r="O35504" s="11"/>
      <c r="P35504" s="11"/>
    </row>
    <row r="35505" spans="8:16" x14ac:dyDescent="0.25">
      <c r="H35505" s="12"/>
      <c r="I35505" s="12"/>
      <c r="J35505" s="12"/>
      <c r="K35505" s="12"/>
      <c r="L35505" s="12"/>
      <c r="M35505" s="11"/>
      <c r="N35505" s="11"/>
      <c r="O35505" s="11"/>
      <c r="P35505" s="11"/>
    </row>
    <row r="35506" spans="8:16" x14ac:dyDescent="0.25">
      <c r="H35506" s="12"/>
      <c r="I35506" s="12"/>
      <c r="J35506" s="12"/>
      <c r="K35506" s="12"/>
      <c r="L35506" s="12"/>
      <c r="M35506" s="11"/>
      <c r="N35506" s="11"/>
      <c r="O35506" s="11"/>
      <c r="P35506" s="11"/>
    </row>
    <row r="35507" spans="8:16" x14ac:dyDescent="0.25">
      <c r="H35507" s="12"/>
      <c r="I35507" s="12"/>
      <c r="J35507" s="12"/>
      <c r="K35507" s="12"/>
      <c r="L35507" s="12"/>
      <c r="M35507" s="11"/>
      <c r="N35507" s="11"/>
      <c r="O35507" s="11"/>
      <c r="P35507" s="11"/>
    </row>
    <row r="35508" spans="8:16" x14ac:dyDescent="0.25">
      <c r="H35508" s="12"/>
      <c r="I35508" s="12"/>
      <c r="J35508" s="12"/>
      <c r="K35508" s="12"/>
      <c r="L35508" s="12"/>
      <c r="M35508" s="11"/>
      <c r="N35508" s="11"/>
      <c r="O35508" s="11"/>
      <c r="P35508" s="11"/>
    </row>
    <row r="35509" spans="8:16" x14ac:dyDescent="0.25">
      <c r="H35509" s="12"/>
      <c r="I35509" s="12"/>
      <c r="J35509" s="12"/>
      <c r="K35509" s="12"/>
      <c r="L35509" s="12"/>
      <c r="M35509" s="11"/>
      <c r="N35509" s="11"/>
      <c r="O35509" s="11"/>
      <c r="P35509" s="11"/>
    </row>
    <row r="35510" spans="8:16" x14ac:dyDescent="0.25">
      <c r="H35510" s="12"/>
      <c r="I35510" s="12"/>
      <c r="J35510" s="12"/>
      <c r="K35510" s="12"/>
      <c r="L35510" s="12"/>
      <c r="M35510" s="11"/>
      <c r="N35510" s="11"/>
      <c r="O35510" s="11"/>
      <c r="P35510" s="11"/>
    </row>
    <row r="35511" spans="8:16" x14ac:dyDescent="0.25">
      <c r="H35511" s="12"/>
      <c r="I35511" s="12"/>
      <c r="J35511" s="12"/>
      <c r="K35511" s="12"/>
      <c r="L35511" s="12"/>
      <c r="M35511" s="11"/>
      <c r="N35511" s="11"/>
      <c r="O35511" s="11"/>
      <c r="P35511" s="11"/>
    </row>
    <row r="35512" spans="8:16" x14ac:dyDescent="0.25">
      <c r="H35512" s="12"/>
      <c r="I35512" s="12"/>
      <c r="J35512" s="12"/>
      <c r="K35512" s="12"/>
      <c r="L35512" s="12"/>
      <c r="M35512" s="11"/>
      <c r="N35512" s="11"/>
      <c r="O35512" s="11"/>
      <c r="P35512" s="11"/>
    </row>
    <row r="35513" spans="8:16" x14ac:dyDescent="0.25">
      <c r="H35513" s="12"/>
      <c r="I35513" s="12"/>
      <c r="J35513" s="12"/>
      <c r="K35513" s="12"/>
      <c r="L35513" s="12"/>
      <c r="M35513" s="11"/>
      <c r="N35513" s="11"/>
      <c r="O35513" s="11"/>
      <c r="P35513" s="11"/>
    </row>
    <row r="35514" spans="8:16" x14ac:dyDescent="0.25">
      <c r="H35514" s="12"/>
      <c r="I35514" s="12"/>
      <c r="J35514" s="12"/>
      <c r="K35514" s="12"/>
      <c r="L35514" s="12"/>
      <c r="M35514" s="11"/>
      <c r="N35514" s="11"/>
      <c r="O35514" s="11"/>
      <c r="P35514" s="11"/>
    </row>
    <row r="35515" spans="8:16" x14ac:dyDescent="0.25">
      <c r="H35515" s="12"/>
      <c r="I35515" s="12"/>
      <c r="J35515" s="12"/>
      <c r="K35515" s="12"/>
      <c r="L35515" s="12"/>
      <c r="M35515" s="11"/>
      <c r="N35515" s="11"/>
      <c r="O35515" s="11"/>
      <c r="P35515" s="11"/>
    </row>
    <row r="35516" spans="8:16" x14ac:dyDescent="0.25">
      <c r="H35516" s="12"/>
      <c r="I35516" s="12"/>
      <c r="J35516" s="12"/>
      <c r="K35516" s="12"/>
      <c r="L35516" s="12"/>
      <c r="M35516" s="11"/>
      <c r="N35516" s="11"/>
      <c r="O35516" s="11"/>
      <c r="P35516" s="11"/>
    </row>
    <row r="35517" spans="8:16" x14ac:dyDescent="0.25">
      <c r="H35517" s="12"/>
      <c r="I35517" s="12"/>
      <c r="J35517" s="12"/>
      <c r="K35517" s="12"/>
      <c r="L35517" s="12"/>
      <c r="M35517" s="11"/>
      <c r="N35517" s="11"/>
      <c r="O35517" s="11"/>
      <c r="P35517" s="11"/>
    </row>
    <row r="35518" spans="8:16" x14ac:dyDescent="0.25">
      <c r="H35518" s="12"/>
      <c r="I35518" s="12"/>
      <c r="J35518" s="12"/>
      <c r="K35518" s="12"/>
      <c r="L35518" s="12"/>
      <c r="M35518" s="11"/>
      <c r="N35518" s="11"/>
      <c r="O35518" s="11"/>
      <c r="P35518" s="11"/>
    </row>
    <row r="35519" spans="8:16" x14ac:dyDescent="0.25">
      <c r="H35519" s="12"/>
      <c r="I35519" s="12"/>
      <c r="J35519" s="12"/>
      <c r="K35519" s="12"/>
      <c r="L35519" s="12"/>
      <c r="M35519" s="11"/>
      <c r="N35519" s="11"/>
      <c r="O35519" s="11"/>
      <c r="P35519" s="11"/>
    </row>
    <row r="35520" spans="8:16" x14ac:dyDescent="0.25">
      <c r="H35520" s="12"/>
      <c r="I35520" s="12"/>
      <c r="J35520" s="12"/>
      <c r="K35520" s="12"/>
      <c r="L35520" s="12"/>
      <c r="M35520" s="11"/>
      <c r="N35520" s="11"/>
      <c r="O35520" s="11"/>
      <c r="P35520" s="11"/>
    </row>
    <row r="35521" spans="8:16" x14ac:dyDescent="0.25">
      <c r="H35521" s="12"/>
      <c r="I35521" s="12"/>
      <c r="J35521" s="12"/>
      <c r="K35521" s="12"/>
      <c r="L35521" s="12"/>
      <c r="M35521" s="11"/>
      <c r="N35521" s="11"/>
      <c r="O35521" s="11"/>
      <c r="P35521" s="11"/>
    </row>
    <row r="35522" spans="8:16" x14ac:dyDescent="0.25">
      <c r="H35522" s="12"/>
      <c r="I35522" s="12"/>
      <c r="J35522" s="12"/>
      <c r="K35522" s="12"/>
      <c r="L35522" s="12"/>
      <c r="M35522" s="11"/>
      <c r="N35522" s="11"/>
      <c r="O35522" s="11"/>
      <c r="P35522" s="11"/>
    </row>
    <row r="35523" spans="8:16" x14ac:dyDescent="0.25">
      <c r="H35523" s="12"/>
      <c r="I35523" s="12"/>
      <c r="J35523" s="12"/>
      <c r="K35523" s="12"/>
      <c r="L35523" s="12"/>
      <c r="M35523" s="11"/>
      <c r="N35523" s="11"/>
      <c r="O35523" s="11"/>
      <c r="P35523" s="11"/>
    </row>
    <row r="35524" spans="8:16" x14ac:dyDescent="0.25">
      <c r="H35524" s="12"/>
      <c r="I35524" s="12"/>
      <c r="J35524" s="12"/>
      <c r="K35524" s="12"/>
      <c r="L35524" s="12"/>
      <c r="M35524" s="11"/>
      <c r="N35524" s="11"/>
      <c r="O35524" s="11"/>
      <c r="P35524" s="11"/>
    </row>
    <row r="35525" spans="8:16" x14ac:dyDescent="0.25">
      <c r="H35525" s="12"/>
      <c r="I35525" s="12"/>
      <c r="J35525" s="12"/>
      <c r="K35525" s="12"/>
      <c r="L35525" s="12"/>
      <c r="M35525" s="11"/>
      <c r="N35525" s="11"/>
      <c r="O35525" s="11"/>
      <c r="P35525" s="11"/>
    </row>
    <row r="35526" spans="8:16" x14ac:dyDescent="0.25">
      <c r="H35526" s="12"/>
      <c r="I35526" s="12"/>
      <c r="J35526" s="12"/>
      <c r="K35526" s="12"/>
      <c r="L35526" s="12"/>
      <c r="M35526" s="11"/>
      <c r="N35526" s="11"/>
      <c r="O35526" s="11"/>
      <c r="P35526" s="11"/>
    </row>
    <row r="35527" spans="8:16" x14ac:dyDescent="0.25">
      <c r="H35527" s="12"/>
      <c r="I35527" s="12"/>
      <c r="J35527" s="12"/>
      <c r="K35527" s="12"/>
      <c r="L35527" s="12"/>
      <c r="M35527" s="11"/>
      <c r="N35527" s="11"/>
      <c r="O35527" s="11"/>
      <c r="P35527" s="11"/>
    </row>
    <row r="35528" spans="8:16" x14ac:dyDescent="0.25">
      <c r="H35528" s="12"/>
      <c r="I35528" s="12"/>
      <c r="J35528" s="12"/>
      <c r="K35528" s="12"/>
      <c r="L35528" s="12"/>
      <c r="M35528" s="11"/>
      <c r="N35528" s="11"/>
      <c r="O35528" s="11"/>
      <c r="P35528" s="11"/>
    </row>
    <row r="35529" spans="8:16" x14ac:dyDescent="0.25">
      <c r="H35529" s="12"/>
      <c r="I35529" s="12"/>
      <c r="J35529" s="12"/>
      <c r="K35529" s="12"/>
      <c r="L35529" s="12"/>
      <c r="M35529" s="11"/>
      <c r="N35529" s="11"/>
      <c r="O35529" s="11"/>
      <c r="P35529" s="11"/>
    </row>
    <row r="35530" spans="8:16" x14ac:dyDescent="0.25">
      <c r="H35530" s="12"/>
      <c r="I35530" s="12"/>
      <c r="J35530" s="12"/>
      <c r="K35530" s="12"/>
      <c r="L35530" s="12"/>
      <c r="M35530" s="11"/>
      <c r="N35530" s="11"/>
      <c r="O35530" s="11"/>
      <c r="P35530" s="11"/>
    </row>
    <row r="35531" spans="8:16" x14ac:dyDescent="0.25">
      <c r="H35531" s="12"/>
      <c r="I35531" s="12"/>
      <c r="J35531" s="12"/>
      <c r="K35531" s="12"/>
      <c r="L35531" s="12"/>
      <c r="M35531" s="11"/>
      <c r="N35531" s="11"/>
      <c r="O35531" s="11"/>
      <c r="P35531" s="11"/>
    </row>
    <row r="35532" spans="8:16" x14ac:dyDescent="0.25">
      <c r="H35532" s="12"/>
      <c r="I35532" s="12"/>
      <c r="J35532" s="12"/>
      <c r="K35532" s="12"/>
      <c r="L35532" s="12"/>
      <c r="M35532" s="11"/>
      <c r="N35532" s="11"/>
      <c r="O35532" s="11"/>
      <c r="P35532" s="11"/>
    </row>
    <row r="35533" spans="8:16" x14ac:dyDescent="0.25">
      <c r="H35533" s="12"/>
      <c r="I35533" s="12"/>
      <c r="J35533" s="12"/>
      <c r="K35533" s="12"/>
      <c r="L35533" s="12"/>
      <c r="M35533" s="11"/>
      <c r="N35533" s="11"/>
      <c r="O35533" s="11"/>
      <c r="P35533" s="11"/>
    </row>
    <row r="35534" spans="8:16" x14ac:dyDescent="0.25">
      <c r="H35534" s="12"/>
      <c r="I35534" s="12"/>
      <c r="J35534" s="12"/>
      <c r="K35534" s="12"/>
      <c r="L35534" s="12"/>
      <c r="M35534" s="11"/>
      <c r="N35534" s="11"/>
      <c r="O35534" s="11"/>
      <c r="P35534" s="11"/>
    </row>
    <row r="35535" spans="8:16" x14ac:dyDescent="0.25">
      <c r="H35535" s="12"/>
      <c r="I35535" s="12"/>
      <c r="J35535" s="12"/>
      <c r="K35535" s="12"/>
      <c r="L35535" s="12"/>
      <c r="M35535" s="11"/>
      <c r="N35535" s="11"/>
      <c r="O35535" s="11"/>
      <c r="P35535" s="11"/>
    </row>
    <row r="35536" spans="8:16" x14ac:dyDescent="0.25">
      <c r="H35536" s="12"/>
      <c r="I35536" s="12"/>
      <c r="J35536" s="12"/>
      <c r="K35536" s="12"/>
      <c r="L35536" s="12"/>
      <c r="M35536" s="11"/>
      <c r="N35536" s="11"/>
      <c r="O35536" s="11"/>
      <c r="P35536" s="11"/>
    </row>
    <row r="35537" spans="8:16" x14ac:dyDescent="0.25">
      <c r="H35537" s="12"/>
      <c r="I35537" s="12"/>
      <c r="J35537" s="12"/>
      <c r="K35537" s="12"/>
      <c r="L35537" s="12"/>
      <c r="M35537" s="11"/>
      <c r="N35537" s="11"/>
      <c r="O35537" s="11"/>
      <c r="P35537" s="11"/>
    </row>
    <row r="35538" spans="8:16" x14ac:dyDescent="0.25">
      <c r="H35538" s="12"/>
      <c r="I35538" s="12"/>
      <c r="J35538" s="12"/>
      <c r="K35538" s="12"/>
      <c r="L35538" s="12"/>
      <c r="M35538" s="11"/>
      <c r="N35538" s="11"/>
      <c r="O35538" s="11"/>
      <c r="P35538" s="11"/>
    </row>
    <row r="35539" spans="8:16" x14ac:dyDescent="0.25">
      <c r="H35539" s="12"/>
      <c r="I35539" s="12"/>
      <c r="J35539" s="12"/>
      <c r="K35539" s="12"/>
      <c r="L35539" s="12"/>
      <c r="M35539" s="11"/>
      <c r="N35539" s="11"/>
      <c r="O35539" s="11"/>
      <c r="P35539" s="11"/>
    </row>
    <row r="35540" spans="8:16" x14ac:dyDescent="0.25">
      <c r="H35540" s="12"/>
      <c r="I35540" s="12"/>
      <c r="J35540" s="12"/>
      <c r="K35540" s="12"/>
      <c r="L35540" s="12"/>
      <c r="M35540" s="11"/>
      <c r="N35540" s="11"/>
      <c r="O35540" s="11"/>
      <c r="P35540" s="11"/>
    </row>
    <row r="35541" spans="8:16" x14ac:dyDescent="0.25">
      <c r="H35541" s="12"/>
      <c r="I35541" s="12"/>
      <c r="J35541" s="12"/>
      <c r="K35541" s="12"/>
      <c r="L35541" s="12"/>
      <c r="M35541" s="11"/>
      <c r="N35541" s="11"/>
      <c r="O35541" s="11"/>
      <c r="P35541" s="11"/>
    </row>
    <row r="35542" spans="8:16" x14ac:dyDescent="0.25">
      <c r="H35542" s="12"/>
      <c r="I35542" s="12"/>
      <c r="J35542" s="12"/>
      <c r="K35542" s="12"/>
      <c r="L35542" s="12"/>
      <c r="M35542" s="11"/>
      <c r="N35542" s="11"/>
      <c r="O35542" s="11"/>
      <c r="P35542" s="11"/>
    </row>
    <row r="35543" spans="8:16" x14ac:dyDescent="0.25">
      <c r="H35543" s="12"/>
      <c r="I35543" s="12"/>
      <c r="J35543" s="12"/>
      <c r="K35543" s="12"/>
      <c r="L35543" s="12"/>
      <c r="M35543" s="11"/>
      <c r="N35543" s="11"/>
      <c r="O35543" s="11"/>
      <c r="P35543" s="11"/>
    </row>
    <row r="35544" spans="8:16" x14ac:dyDescent="0.25">
      <c r="H35544" s="12"/>
      <c r="I35544" s="12"/>
      <c r="J35544" s="12"/>
      <c r="K35544" s="12"/>
      <c r="L35544" s="12"/>
      <c r="M35544" s="11"/>
      <c r="N35544" s="11"/>
      <c r="O35544" s="11"/>
      <c r="P35544" s="11"/>
    </row>
    <row r="35545" spans="8:16" x14ac:dyDescent="0.25">
      <c r="H35545" s="12"/>
      <c r="I35545" s="12"/>
      <c r="J35545" s="12"/>
      <c r="K35545" s="12"/>
      <c r="L35545" s="12"/>
      <c r="M35545" s="11"/>
      <c r="N35545" s="11"/>
      <c r="O35545" s="11"/>
      <c r="P35545" s="11"/>
    </row>
    <row r="35546" spans="8:16" x14ac:dyDescent="0.25">
      <c r="H35546" s="12"/>
      <c r="I35546" s="12"/>
      <c r="J35546" s="12"/>
      <c r="K35546" s="12"/>
      <c r="L35546" s="12"/>
      <c r="M35546" s="11"/>
      <c r="N35546" s="11"/>
      <c r="O35546" s="11"/>
      <c r="P35546" s="11"/>
    </row>
    <row r="35547" spans="8:16" x14ac:dyDescent="0.25">
      <c r="H35547" s="12"/>
      <c r="I35547" s="12"/>
      <c r="J35547" s="12"/>
      <c r="K35547" s="12"/>
      <c r="L35547" s="12"/>
      <c r="M35547" s="11"/>
      <c r="N35547" s="11"/>
      <c r="O35547" s="11"/>
      <c r="P35547" s="11"/>
    </row>
    <row r="35548" spans="8:16" x14ac:dyDescent="0.25">
      <c r="H35548" s="12"/>
      <c r="I35548" s="12"/>
      <c r="J35548" s="12"/>
      <c r="K35548" s="12"/>
      <c r="L35548" s="12"/>
      <c r="M35548" s="11"/>
      <c r="N35548" s="11"/>
      <c r="O35548" s="11"/>
      <c r="P35548" s="11"/>
    </row>
    <row r="35549" spans="8:16" x14ac:dyDescent="0.25">
      <c r="H35549" s="12"/>
      <c r="I35549" s="12"/>
      <c r="J35549" s="12"/>
      <c r="K35549" s="12"/>
      <c r="L35549" s="12"/>
      <c r="M35549" s="11"/>
      <c r="N35549" s="11"/>
      <c r="O35549" s="11"/>
      <c r="P35549" s="11"/>
    </row>
    <row r="35550" spans="8:16" x14ac:dyDescent="0.25">
      <c r="H35550" s="12"/>
      <c r="I35550" s="12"/>
      <c r="J35550" s="12"/>
      <c r="K35550" s="12"/>
      <c r="L35550" s="12"/>
      <c r="M35550" s="11"/>
      <c r="N35550" s="11"/>
      <c r="O35550" s="11"/>
      <c r="P35550" s="11"/>
    </row>
    <row r="35551" spans="8:16" x14ac:dyDescent="0.25">
      <c r="H35551" s="12"/>
      <c r="I35551" s="12"/>
      <c r="J35551" s="12"/>
      <c r="K35551" s="12"/>
      <c r="L35551" s="12"/>
      <c r="M35551" s="11"/>
      <c r="N35551" s="11"/>
      <c r="O35551" s="11"/>
      <c r="P35551" s="11"/>
    </row>
    <row r="35552" spans="8:16" x14ac:dyDescent="0.25">
      <c r="H35552" s="12"/>
      <c r="I35552" s="12"/>
      <c r="J35552" s="12"/>
      <c r="K35552" s="12"/>
      <c r="L35552" s="12"/>
      <c r="M35552" s="11"/>
      <c r="N35552" s="11"/>
      <c r="O35552" s="11"/>
      <c r="P35552" s="11"/>
    </row>
    <row r="35553" spans="8:16" x14ac:dyDescent="0.25">
      <c r="H35553" s="12"/>
      <c r="I35553" s="12"/>
      <c r="J35553" s="12"/>
      <c r="K35553" s="12"/>
      <c r="L35553" s="12"/>
      <c r="M35553" s="11"/>
      <c r="N35553" s="11"/>
      <c r="O35553" s="11"/>
      <c r="P35553" s="11"/>
    </row>
    <row r="35554" spans="8:16" x14ac:dyDescent="0.25">
      <c r="H35554" s="12"/>
      <c r="I35554" s="12"/>
      <c r="J35554" s="12"/>
      <c r="K35554" s="12"/>
      <c r="L35554" s="12"/>
      <c r="M35554" s="11"/>
      <c r="N35554" s="11"/>
      <c r="O35554" s="11"/>
      <c r="P35554" s="11"/>
    </row>
    <row r="35555" spans="8:16" x14ac:dyDescent="0.25">
      <c r="H35555" s="12"/>
      <c r="I35555" s="12"/>
      <c r="J35555" s="12"/>
      <c r="K35555" s="12"/>
      <c r="L35555" s="12"/>
      <c r="M35555" s="11"/>
      <c r="N35555" s="11"/>
      <c r="O35555" s="11"/>
      <c r="P35555" s="11"/>
    </row>
    <row r="35556" spans="8:16" x14ac:dyDescent="0.25">
      <c r="H35556" s="12"/>
      <c r="I35556" s="12"/>
      <c r="J35556" s="12"/>
      <c r="K35556" s="12"/>
      <c r="L35556" s="12"/>
      <c r="M35556" s="11"/>
      <c r="N35556" s="11"/>
      <c r="O35556" s="11"/>
      <c r="P35556" s="11"/>
    </row>
    <row r="35557" spans="8:16" x14ac:dyDescent="0.25">
      <c r="H35557" s="12"/>
      <c r="I35557" s="12"/>
      <c r="J35557" s="12"/>
      <c r="K35557" s="12"/>
      <c r="L35557" s="12"/>
      <c r="M35557" s="11"/>
      <c r="N35557" s="11"/>
      <c r="O35557" s="11"/>
      <c r="P35557" s="11"/>
    </row>
    <row r="35558" spans="8:16" x14ac:dyDescent="0.25">
      <c r="H35558" s="12"/>
      <c r="I35558" s="12"/>
      <c r="J35558" s="12"/>
      <c r="K35558" s="12"/>
      <c r="L35558" s="12"/>
      <c r="M35558" s="11"/>
      <c r="N35558" s="11"/>
      <c r="O35558" s="11"/>
      <c r="P35558" s="11"/>
    </row>
    <row r="35559" spans="8:16" x14ac:dyDescent="0.25">
      <c r="H35559" s="12"/>
      <c r="I35559" s="12"/>
      <c r="J35559" s="12"/>
      <c r="K35559" s="12"/>
      <c r="L35559" s="12"/>
      <c r="M35559" s="11"/>
      <c r="N35559" s="11"/>
      <c r="O35559" s="11"/>
      <c r="P35559" s="11"/>
    </row>
    <row r="35560" spans="8:16" x14ac:dyDescent="0.25">
      <c r="H35560" s="12"/>
      <c r="I35560" s="12"/>
      <c r="J35560" s="12"/>
      <c r="K35560" s="12"/>
      <c r="L35560" s="12"/>
      <c r="M35560" s="11"/>
      <c r="N35560" s="11"/>
      <c r="O35560" s="11"/>
      <c r="P35560" s="11"/>
    </row>
    <row r="35561" spans="8:16" x14ac:dyDescent="0.25">
      <c r="H35561" s="12"/>
      <c r="I35561" s="12"/>
      <c r="J35561" s="12"/>
      <c r="K35561" s="12"/>
      <c r="L35561" s="12"/>
      <c r="M35561" s="11"/>
      <c r="N35561" s="11"/>
      <c r="O35561" s="11"/>
      <c r="P35561" s="11"/>
    </row>
    <row r="35562" spans="8:16" x14ac:dyDescent="0.25">
      <c r="H35562" s="12"/>
      <c r="I35562" s="12"/>
      <c r="J35562" s="12"/>
      <c r="K35562" s="12"/>
      <c r="L35562" s="12"/>
      <c r="M35562" s="11"/>
      <c r="N35562" s="11"/>
      <c r="O35562" s="11"/>
      <c r="P35562" s="11"/>
    </row>
    <row r="35563" spans="8:16" x14ac:dyDescent="0.25">
      <c r="H35563" s="12"/>
      <c r="I35563" s="12"/>
      <c r="J35563" s="12"/>
      <c r="K35563" s="12"/>
      <c r="L35563" s="12"/>
      <c r="M35563" s="11"/>
      <c r="N35563" s="11"/>
      <c r="O35563" s="11"/>
      <c r="P35563" s="11"/>
    </row>
    <row r="35564" spans="8:16" x14ac:dyDescent="0.25">
      <c r="H35564" s="12"/>
      <c r="I35564" s="12"/>
      <c r="J35564" s="12"/>
      <c r="K35564" s="12"/>
      <c r="L35564" s="12"/>
      <c r="M35564" s="11"/>
      <c r="N35564" s="11"/>
      <c r="O35564" s="11"/>
      <c r="P35564" s="11"/>
    </row>
    <row r="35565" spans="8:16" x14ac:dyDescent="0.25">
      <c r="H35565" s="12"/>
      <c r="I35565" s="12"/>
      <c r="J35565" s="12"/>
      <c r="K35565" s="12"/>
      <c r="L35565" s="12"/>
      <c r="M35565" s="11"/>
      <c r="N35565" s="11"/>
      <c r="O35565" s="11"/>
      <c r="P35565" s="11"/>
    </row>
    <row r="35566" spans="8:16" x14ac:dyDescent="0.25">
      <c r="H35566" s="12"/>
      <c r="I35566" s="12"/>
      <c r="J35566" s="12"/>
      <c r="K35566" s="12"/>
      <c r="L35566" s="12"/>
      <c r="M35566" s="11"/>
      <c r="N35566" s="11"/>
      <c r="O35566" s="11"/>
      <c r="P35566" s="11"/>
    </row>
    <row r="35567" spans="8:16" x14ac:dyDescent="0.25">
      <c r="H35567" s="12"/>
      <c r="I35567" s="12"/>
      <c r="J35567" s="12"/>
      <c r="K35567" s="12"/>
      <c r="L35567" s="12"/>
      <c r="M35567" s="11"/>
      <c r="N35567" s="11"/>
      <c r="O35567" s="11"/>
      <c r="P35567" s="11"/>
    </row>
    <row r="35568" spans="8:16" x14ac:dyDescent="0.25">
      <c r="H35568" s="12"/>
      <c r="I35568" s="12"/>
      <c r="J35568" s="12"/>
      <c r="K35568" s="12"/>
      <c r="L35568" s="12"/>
      <c r="M35568" s="11"/>
      <c r="N35568" s="11"/>
      <c r="O35568" s="11"/>
      <c r="P35568" s="11"/>
    </row>
    <row r="35569" spans="8:16" x14ac:dyDescent="0.25">
      <c r="H35569" s="12"/>
      <c r="I35569" s="12"/>
      <c r="J35569" s="12"/>
      <c r="K35569" s="12"/>
      <c r="L35569" s="12"/>
      <c r="M35569" s="11"/>
      <c r="N35569" s="11"/>
      <c r="O35569" s="11"/>
      <c r="P35569" s="11"/>
    </row>
    <row r="35570" spans="8:16" x14ac:dyDescent="0.25">
      <c r="H35570" s="12"/>
      <c r="I35570" s="12"/>
      <c r="J35570" s="12"/>
      <c r="K35570" s="12"/>
      <c r="L35570" s="12"/>
      <c r="M35570" s="11"/>
      <c r="N35570" s="11"/>
      <c r="O35570" s="11"/>
      <c r="P35570" s="11"/>
    </row>
    <row r="35571" spans="8:16" x14ac:dyDescent="0.25">
      <c r="H35571" s="12"/>
      <c r="I35571" s="12"/>
      <c r="J35571" s="12"/>
      <c r="K35571" s="12"/>
      <c r="L35571" s="12"/>
      <c r="M35571" s="11"/>
      <c r="N35571" s="11"/>
      <c r="O35571" s="11"/>
      <c r="P35571" s="11"/>
    </row>
    <row r="35572" spans="8:16" x14ac:dyDescent="0.25">
      <c r="H35572" s="12"/>
      <c r="I35572" s="12"/>
      <c r="J35572" s="12"/>
      <c r="K35572" s="12"/>
      <c r="L35572" s="12"/>
      <c r="M35572" s="11"/>
      <c r="N35572" s="11"/>
      <c r="O35572" s="11"/>
      <c r="P35572" s="11"/>
    </row>
    <row r="35573" spans="8:16" x14ac:dyDescent="0.25">
      <c r="H35573" s="12"/>
      <c r="I35573" s="12"/>
      <c r="J35573" s="12"/>
      <c r="K35573" s="12"/>
      <c r="L35573" s="12"/>
      <c r="M35573" s="11"/>
      <c r="N35573" s="11"/>
      <c r="O35573" s="11"/>
      <c r="P35573" s="11"/>
    </row>
    <row r="35574" spans="8:16" x14ac:dyDescent="0.25">
      <c r="H35574" s="12"/>
      <c r="I35574" s="12"/>
      <c r="J35574" s="12"/>
      <c r="K35574" s="12"/>
      <c r="L35574" s="12"/>
      <c r="M35574" s="11"/>
      <c r="N35574" s="11"/>
      <c r="O35574" s="11"/>
      <c r="P35574" s="11"/>
    </row>
    <row r="35575" spans="8:16" x14ac:dyDescent="0.25">
      <c r="H35575" s="12"/>
      <c r="I35575" s="12"/>
      <c r="J35575" s="12"/>
      <c r="K35575" s="12"/>
      <c r="L35575" s="12"/>
      <c r="M35575" s="11"/>
      <c r="N35575" s="11"/>
      <c r="O35575" s="11"/>
      <c r="P35575" s="11"/>
    </row>
    <row r="35576" spans="8:16" x14ac:dyDescent="0.25">
      <c r="H35576" s="12"/>
      <c r="I35576" s="12"/>
      <c r="J35576" s="12"/>
      <c r="K35576" s="12"/>
      <c r="L35576" s="12"/>
      <c r="M35576" s="11"/>
      <c r="N35576" s="11"/>
      <c r="O35576" s="11"/>
      <c r="P35576" s="11"/>
    </row>
    <row r="35577" spans="8:16" x14ac:dyDescent="0.25">
      <c r="H35577" s="12"/>
      <c r="I35577" s="12"/>
      <c r="J35577" s="12"/>
      <c r="K35577" s="12"/>
      <c r="L35577" s="12"/>
      <c r="M35577" s="11"/>
      <c r="N35577" s="11"/>
      <c r="O35577" s="11"/>
      <c r="P35577" s="11"/>
    </row>
    <row r="35578" spans="8:16" x14ac:dyDescent="0.25">
      <c r="H35578" s="12"/>
      <c r="I35578" s="12"/>
      <c r="J35578" s="12"/>
      <c r="K35578" s="12"/>
      <c r="L35578" s="12"/>
      <c r="M35578" s="11"/>
      <c r="N35578" s="11"/>
      <c r="O35578" s="11"/>
      <c r="P35578" s="11"/>
    </row>
    <row r="35579" spans="8:16" x14ac:dyDescent="0.25">
      <c r="H35579" s="12"/>
      <c r="I35579" s="12"/>
      <c r="J35579" s="12"/>
      <c r="K35579" s="12"/>
      <c r="L35579" s="12"/>
      <c r="M35579" s="11"/>
      <c r="N35579" s="11"/>
      <c r="O35579" s="11"/>
      <c r="P35579" s="11"/>
    </row>
    <row r="35580" spans="8:16" x14ac:dyDescent="0.25">
      <c r="H35580" s="12"/>
      <c r="I35580" s="12"/>
      <c r="J35580" s="12"/>
      <c r="K35580" s="12"/>
      <c r="L35580" s="12"/>
      <c r="M35580" s="11"/>
      <c r="N35580" s="11"/>
      <c r="O35580" s="11"/>
      <c r="P35580" s="11"/>
    </row>
    <row r="35581" spans="8:16" x14ac:dyDescent="0.25">
      <c r="H35581" s="12"/>
      <c r="I35581" s="12"/>
      <c r="J35581" s="12"/>
      <c r="K35581" s="12"/>
      <c r="L35581" s="12"/>
      <c r="M35581" s="11"/>
      <c r="N35581" s="11"/>
      <c r="O35581" s="11"/>
      <c r="P35581" s="11"/>
    </row>
    <row r="35582" spans="8:16" x14ac:dyDescent="0.25">
      <c r="H35582" s="12"/>
      <c r="I35582" s="12"/>
      <c r="J35582" s="12"/>
      <c r="K35582" s="12"/>
      <c r="L35582" s="12"/>
      <c r="M35582" s="11"/>
      <c r="N35582" s="11"/>
      <c r="O35582" s="11"/>
      <c r="P35582" s="11"/>
    </row>
    <row r="35583" spans="8:16" x14ac:dyDescent="0.25">
      <c r="H35583" s="12"/>
      <c r="I35583" s="12"/>
      <c r="J35583" s="12"/>
      <c r="K35583" s="12"/>
      <c r="L35583" s="12"/>
      <c r="M35583" s="11"/>
      <c r="N35583" s="11"/>
      <c r="O35583" s="11"/>
      <c r="P35583" s="11"/>
    </row>
    <row r="35584" spans="8:16" x14ac:dyDescent="0.25">
      <c r="H35584" s="12"/>
      <c r="I35584" s="12"/>
      <c r="J35584" s="12"/>
      <c r="K35584" s="12"/>
      <c r="L35584" s="12"/>
      <c r="M35584" s="11"/>
      <c r="N35584" s="11"/>
      <c r="O35584" s="11"/>
      <c r="P35584" s="11"/>
    </row>
    <row r="35585" spans="8:16" x14ac:dyDescent="0.25">
      <c r="H35585" s="12"/>
      <c r="I35585" s="12"/>
      <c r="J35585" s="12"/>
      <c r="K35585" s="12"/>
      <c r="L35585" s="12"/>
      <c r="M35585" s="11"/>
      <c r="N35585" s="11"/>
      <c r="O35585" s="11"/>
      <c r="P35585" s="11"/>
    </row>
    <row r="35586" spans="8:16" x14ac:dyDescent="0.25">
      <c r="H35586" s="12"/>
      <c r="I35586" s="12"/>
      <c r="J35586" s="12"/>
      <c r="K35586" s="12"/>
      <c r="L35586" s="12"/>
      <c r="M35586" s="11"/>
      <c r="N35586" s="11"/>
      <c r="O35586" s="11"/>
      <c r="P35586" s="11"/>
    </row>
    <row r="35587" spans="8:16" x14ac:dyDescent="0.25">
      <c r="H35587" s="12"/>
      <c r="I35587" s="12"/>
      <c r="J35587" s="12"/>
      <c r="K35587" s="12"/>
      <c r="L35587" s="12"/>
      <c r="M35587" s="11"/>
      <c r="N35587" s="11"/>
      <c r="O35587" s="11"/>
      <c r="P35587" s="11"/>
    </row>
    <row r="35588" spans="8:16" x14ac:dyDescent="0.25">
      <c r="H35588" s="12"/>
      <c r="I35588" s="12"/>
      <c r="J35588" s="12"/>
      <c r="K35588" s="12"/>
      <c r="L35588" s="12"/>
      <c r="M35588" s="11"/>
      <c r="N35588" s="11"/>
      <c r="O35588" s="11"/>
      <c r="P35588" s="11"/>
    </row>
    <row r="35589" spans="8:16" x14ac:dyDescent="0.25">
      <c r="H35589" s="12"/>
      <c r="I35589" s="12"/>
      <c r="J35589" s="12"/>
      <c r="K35589" s="12"/>
      <c r="L35589" s="12"/>
      <c r="M35589" s="11"/>
      <c r="N35589" s="11"/>
      <c r="O35589" s="11"/>
      <c r="P35589" s="11"/>
    </row>
    <row r="35590" spans="8:16" x14ac:dyDescent="0.25">
      <c r="H35590" s="12"/>
      <c r="I35590" s="12"/>
      <c r="J35590" s="12"/>
      <c r="K35590" s="12"/>
      <c r="L35590" s="12"/>
      <c r="M35590" s="11"/>
      <c r="N35590" s="11"/>
      <c r="O35590" s="11"/>
      <c r="P35590" s="11"/>
    </row>
    <row r="35591" spans="8:16" x14ac:dyDescent="0.25">
      <c r="H35591" s="12"/>
      <c r="I35591" s="12"/>
      <c r="J35591" s="12"/>
      <c r="K35591" s="12"/>
      <c r="L35591" s="12"/>
      <c r="M35591" s="11"/>
      <c r="N35591" s="11"/>
      <c r="O35591" s="11"/>
      <c r="P35591" s="11"/>
    </row>
    <row r="35592" spans="8:16" x14ac:dyDescent="0.25">
      <c r="H35592" s="12"/>
      <c r="I35592" s="12"/>
      <c r="J35592" s="12"/>
      <c r="K35592" s="12"/>
      <c r="L35592" s="12"/>
      <c r="M35592" s="11"/>
      <c r="N35592" s="11"/>
      <c r="O35592" s="11"/>
      <c r="P35592" s="11"/>
    </row>
    <row r="35593" spans="8:16" x14ac:dyDescent="0.25">
      <c r="H35593" s="12"/>
      <c r="I35593" s="12"/>
      <c r="J35593" s="12"/>
      <c r="K35593" s="12"/>
      <c r="L35593" s="12"/>
      <c r="M35593" s="11"/>
      <c r="N35593" s="11"/>
      <c r="O35593" s="11"/>
      <c r="P35593" s="11"/>
    </row>
    <row r="35594" spans="8:16" x14ac:dyDescent="0.25">
      <c r="H35594" s="12"/>
      <c r="I35594" s="12"/>
      <c r="J35594" s="12"/>
      <c r="K35594" s="12"/>
      <c r="L35594" s="12"/>
      <c r="M35594" s="11"/>
      <c r="N35594" s="11"/>
      <c r="O35594" s="11"/>
      <c r="P35594" s="11"/>
    </row>
    <row r="35595" spans="8:16" x14ac:dyDescent="0.25">
      <c r="H35595" s="12"/>
      <c r="I35595" s="12"/>
      <c r="J35595" s="12"/>
      <c r="K35595" s="12"/>
      <c r="L35595" s="12"/>
      <c r="M35595" s="11"/>
      <c r="N35595" s="11"/>
      <c r="O35595" s="11"/>
      <c r="P35595" s="11"/>
    </row>
    <row r="35596" spans="8:16" x14ac:dyDescent="0.25">
      <c r="H35596" s="12"/>
      <c r="I35596" s="12"/>
      <c r="J35596" s="12"/>
      <c r="K35596" s="12"/>
      <c r="L35596" s="12"/>
      <c r="M35596" s="11"/>
      <c r="N35596" s="11"/>
      <c r="O35596" s="11"/>
      <c r="P35596" s="11"/>
    </row>
    <row r="35597" spans="8:16" x14ac:dyDescent="0.25">
      <c r="H35597" s="12"/>
      <c r="I35597" s="12"/>
      <c r="J35597" s="12"/>
      <c r="K35597" s="12"/>
      <c r="L35597" s="12"/>
      <c r="M35597" s="11"/>
      <c r="N35597" s="11"/>
      <c r="O35597" s="11"/>
      <c r="P35597" s="11"/>
    </row>
    <row r="35598" spans="8:16" x14ac:dyDescent="0.25">
      <c r="H35598" s="12"/>
      <c r="I35598" s="12"/>
      <c r="J35598" s="12"/>
      <c r="K35598" s="12"/>
      <c r="L35598" s="12"/>
      <c r="M35598" s="11"/>
      <c r="N35598" s="11"/>
      <c r="O35598" s="11"/>
      <c r="P35598" s="11"/>
    </row>
    <row r="35599" spans="8:16" x14ac:dyDescent="0.25">
      <c r="H35599" s="12"/>
      <c r="I35599" s="12"/>
      <c r="J35599" s="12"/>
      <c r="K35599" s="12"/>
      <c r="L35599" s="12"/>
      <c r="M35599" s="11"/>
      <c r="N35599" s="11"/>
      <c r="O35599" s="11"/>
      <c r="P35599" s="11"/>
    </row>
    <row r="35600" spans="8:16" x14ac:dyDescent="0.25">
      <c r="H35600" s="12"/>
      <c r="I35600" s="12"/>
      <c r="J35600" s="12"/>
      <c r="K35600" s="12"/>
      <c r="L35600" s="12"/>
      <c r="M35600" s="11"/>
      <c r="N35600" s="11"/>
      <c r="O35600" s="11"/>
      <c r="P35600" s="11"/>
    </row>
    <row r="35601" spans="8:16" x14ac:dyDescent="0.25">
      <c r="H35601" s="12"/>
      <c r="I35601" s="12"/>
      <c r="J35601" s="12"/>
      <c r="K35601" s="12"/>
      <c r="L35601" s="12"/>
      <c r="M35601" s="11"/>
      <c r="N35601" s="11"/>
      <c r="O35601" s="11"/>
      <c r="P35601" s="11"/>
    </row>
    <row r="35602" spans="8:16" x14ac:dyDescent="0.25">
      <c r="H35602" s="12"/>
      <c r="I35602" s="12"/>
      <c r="J35602" s="12"/>
      <c r="K35602" s="12"/>
      <c r="L35602" s="12"/>
      <c r="M35602" s="11"/>
      <c r="N35602" s="11"/>
      <c r="O35602" s="11"/>
      <c r="P35602" s="11"/>
    </row>
    <row r="35603" spans="8:16" x14ac:dyDescent="0.25">
      <c r="H35603" s="12"/>
      <c r="I35603" s="12"/>
      <c r="J35603" s="12"/>
      <c r="K35603" s="12"/>
      <c r="L35603" s="12"/>
      <c r="M35603" s="11"/>
      <c r="N35603" s="11"/>
      <c r="O35603" s="11"/>
      <c r="P35603" s="11"/>
    </row>
    <row r="35604" spans="8:16" x14ac:dyDescent="0.25">
      <c r="H35604" s="12"/>
      <c r="I35604" s="12"/>
      <c r="J35604" s="12"/>
      <c r="K35604" s="12"/>
      <c r="L35604" s="12"/>
      <c r="M35604" s="11"/>
      <c r="N35604" s="11"/>
      <c r="O35604" s="11"/>
      <c r="P35604" s="11"/>
    </row>
    <row r="35605" spans="8:16" x14ac:dyDescent="0.25">
      <c r="H35605" s="12"/>
      <c r="I35605" s="12"/>
      <c r="J35605" s="12"/>
      <c r="K35605" s="12"/>
      <c r="L35605" s="12"/>
      <c r="M35605" s="11"/>
      <c r="N35605" s="11"/>
      <c r="O35605" s="11"/>
      <c r="P35605" s="11"/>
    </row>
    <row r="35606" spans="8:16" x14ac:dyDescent="0.25">
      <c r="H35606" s="12"/>
      <c r="I35606" s="12"/>
      <c r="J35606" s="12"/>
      <c r="K35606" s="12"/>
      <c r="L35606" s="12"/>
      <c r="M35606" s="11"/>
      <c r="N35606" s="11"/>
      <c r="O35606" s="11"/>
      <c r="P35606" s="11"/>
    </row>
    <row r="35607" spans="8:16" x14ac:dyDescent="0.25">
      <c r="H35607" s="12"/>
      <c r="I35607" s="12"/>
      <c r="J35607" s="12"/>
      <c r="K35607" s="12"/>
      <c r="L35607" s="12"/>
      <c r="M35607" s="11"/>
      <c r="N35607" s="11"/>
      <c r="O35607" s="11"/>
      <c r="P35607" s="11"/>
    </row>
    <row r="35608" spans="8:16" x14ac:dyDescent="0.25">
      <c r="H35608" s="12"/>
      <c r="I35608" s="12"/>
      <c r="J35608" s="12"/>
      <c r="K35608" s="12"/>
      <c r="L35608" s="12"/>
      <c r="M35608" s="11"/>
      <c r="N35608" s="11"/>
      <c r="O35608" s="11"/>
      <c r="P35608" s="11"/>
    </row>
    <row r="35609" spans="8:16" x14ac:dyDescent="0.25">
      <c r="H35609" s="12"/>
      <c r="I35609" s="12"/>
      <c r="J35609" s="12"/>
      <c r="K35609" s="12"/>
      <c r="L35609" s="12"/>
      <c r="M35609" s="11"/>
      <c r="N35609" s="11"/>
      <c r="O35609" s="11"/>
      <c r="P35609" s="11"/>
    </row>
    <row r="35610" spans="8:16" x14ac:dyDescent="0.25">
      <c r="H35610" s="12"/>
      <c r="I35610" s="12"/>
      <c r="J35610" s="12"/>
      <c r="K35610" s="12"/>
      <c r="L35610" s="12"/>
      <c r="M35610" s="11"/>
      <c r="N35610" s="11"/>
      <c r="O35610" s="11"/>
      <c r="P35610" s="11"/>
    </row>
    <row r="35611" spans="8:16" x14ac:dyDescent="0.25">
      <c r="H35611" s="12"/>
      <c r="I35611" s="12"/>
      <c r="J35611" s="12"/>
      <c r="K35611" s="12"/>
      <c r="L35611" s="12"/>
      <c r="M35611" s="11"/>
      <c r="N35611" s="11"/>
      <c r="O35611" s="11"/>
      <c r="P35611" s="11"/>
    </row>
    <row r="35612" spans="8:16" x14ac:dyDescent="0.25">
      <c r="H35612" s="12"/>
      <c r="I35612" s="12"/>
      <c r="J35612" s="12"/>
      <c r="K35612" s="12"/>
      <c r="L35612" s="12"/>
      <c r="M35612" s="11"/>
      <c r="N35612" s="11"/>
      <c r="O35612" s="11"/>
      <c r="P35612" s="11"/>
    </row>
    <row r="35613" spans="8:16" x14ac:dyDescent="0.25">
      <c r="H35613" s="12"/>
      <c r="I35613" s="12"/>
      <c r="J35613" s="12"/>
      <c r="K35613" s="12"/>
      <c r="L35613" s="12"/>
      <c r="M35613" s="11"/>
      <c r="N35613" s="11"/>
      <c r="O35613" s="11"/>
      <c r="P35613" s="11"/>
    </row>
    <row r="35614" spans="8:16" x14ac:dyDescent="0.25">
      <c r="H35614" s="12"/>
      <c r="I35614" s="12"/>
      <c r="J35614" s="12"/>
      <c r="K35614" s="12"/>
      <c r="L35614" s="12"/>
      <c r="M35614" s="11"/>
      <c r="N35614" s="11"/>
      <c r="O35614" s="11"/>
      <c r="P35614" s="11"/>
    </row>
    <row r="35615" spans="8:16" x14ac:dyDescent="0.25">
      <c r="H35615" s="12"/>
      <c r="I35615" s="12"/>
      <c r="J35615" s="12"/>
      <c r="K35615" s="12"/>
      <c r="L35615" s="12"/>
      <c r="M35615" s="11"/>
      <c r="N35615" s="11"/>
      <c r="O35615" s="11"/>
      <c r="P35615" s="11"/>
    </row>
    <row r="35616" spans="8:16" x14ac:dyDescent="0.25">
      <c r="H35616" s="12"/>
      <c r="I35616" s="12"/>
      <c r="J35616" s="12"/>
      <c r="K35616" s="12"/>
      <c r="L35616" s="12"/>
      <c r="M35616" s="11"/>
      <c r="N35616" s="11"/>
      <c r="O35616" s="11"/>
      <c r="P35616" s="11"/>
    </row>
    <row r="35617" spans="8:16" x14ac:dyDescent="0.25">
      <c r="H35617" s="12"/>
      <c r="I35617" s="12"/>
      <c r="J35617" s="12"/>
      <c r="K35617" s="12"/>
      <c r="L35617" s="12"/>
      <c r="M35617" s="11"/>
      <c r="N35617" s="11"/>
      <c r="O35617" s="11"/>
      <c r="P35617" s="11"/>
    </row>
    <row r="35618" spans="8:16" x14ac:dyDescent="0.25">
      <c r="H35618" s="12"/>
      <c r="I35618" s="12"/>
      <c r="J35618" s="12"/>
      <c r="K35618" s="12"/>
      <c r="L35618" s="12"/>
      <c r="M35618" s="11"/>
      <c r="N35618" s="11"/>
      <c r="O35618" s="11"/>
      <c r="P35618" s="11"/>
    </row>
    <row r="35619" spans="8:16" x14ac:dyDescent="0.25">
      <c r="H35619" s="12"/>
      <c r="I35619" s="12"/>
      <c r="J35619" s="12"/>
      <c r="K35619" s="12"/>
      <c r="L35619" s="12"/>
      <c r="M35619" s="11"/>
      <c r="N35619" s="11"/>
      <c r="O35619" s="11"/>
      <c r="P35619" s="11"/>
    </row>
    <row r="35620" spans="8:16" x14ac:dyDescent="0.25">
      <c r="H35620" s="12"/>
      <c r="I35620" s="12"/>
      <c r="J35620" s="12"/>
      <c r="K35620" s="12"/>
      <c r="L35620" s="12"/>
      <c r="M35620" s="11"/>
      <c r="N35620" s="11"/>
      <c r="O35620" s="11"/>
      <c r="P35620" s="11"/>
    </row>
    <row r="35621" spans="8:16" x14ac:dyDescent="0.25">
      <c r="H35621" s="12"/>
      <c r="I35621" s="12"/>
      <c r="J35621" s="12"/>
      <c r="K35621" s="12"/>
      <c r="L35621" s="12"/>
      <c r="M35621" s="11"/>
      <c r="N35621" s="11"/>
      <c r="O35621" s="11"/>
      <c r="P35621" s="11"/>
    </row>
    <row r="35622" spans="8:16" x14ac:dyDescent="0.25">
      <c r="H35622" s="12"/>
      <c r="I35622" s="12"/>
      <c r="J35622" s="12"/>
      <c r="K35622" s="12"/>
      <c r="L35622" s="12"/>
      <c r="M35622" s="11"/>
      <c r="N35622" s="11"/>
      <c r="O35622" s="11"/>
      <c r="P35622" s="11"/>
    </row>
    <row r="35623" spans="8:16" x14ac:dyDescent="0.25">
      <c r="H35623" s="12"/>
      <c r="I35623" s="12"/>
      <c r="J35623" s="12"/>
      <c r="K35623" s="12"/>
      <c r="L35623" s="12"/>
      <c r="M35623" s="11"/>
      <c r="N35623" s="11"/>
      <c r="O35623" s="11"/>
      <c r="P35623" s="11"/>
    </row>
    <row r="35624" spans="8:16" x14ac:dyDescent="0.25">
      <c r="H35624" s="12"/>
      <c r="I35624" s="12"/>
      <c r="J35624" s="12"/>
      <c r="K35624" s="12"/>
      <c r="L35624" s="12"/>
      <c r="M35624" s="11"/>
      <c r="N35624" s="11"/>
      <c r="O35624" s="11"/>
      <c r="P35624" s="11"/>
    </row>
    <row r="35625" spans="8:16" x14ac:dyDescent="0.25">
      <c r="H35625" s="12"/>
      <c r="I35625" s="12"/>
      <c r="J35625" s="12"/>
      <c r="K35625" s="12"/>
      <c r="L35625" s="12"/>
      <c r="M35625" s="11"/>
      <c r="N35625" s="11"/>
      <c r="O35625" s="11"/>
      <c r="P35625" s="11"/>
    </row>
    <row r="35626" spans="8:16" x14ac:dyDescent="0.25">
      <c r="H35626" s="12"/>
      <c r="I35626" s="12"/>
      <c r="J35626" s="12"/>
      <c r="K35626" s="12"/>
      <c r="L35626" s="12"/>
      <c r="M35626" s="11"/>
      <c r="N35626" s="11"/>
      <c r="O35626" s="11"/>
      <c r="P35626" s="11"/>
    </row>
    <row r="35627" spans="8:16" x14ac:dyDescent="0.25">
      <c r="H35627" s="12"/>
      <c r="I35627" s="12"/>
      <c r="J35627" s="12"/>
      <c r="K35627" s="12"/>
      <c r="L35627" s="12"/>
      <c r="M35627" s="11"/>
      <c r="N35627" s="11"/>
      <c r="O35627" s="11"/>
      <c r="P35627" s="11"/>
    </row>
    <row r="35628" spans="8:16" x14ac:dyDescent="0.25">
      <c r="H35628" s="12"/>
      <c r="I35628" s="12"/>
      <c r="J35628" s="12"/>
      <c r="K35628" s="12"/>
      <c r="L35628" s="12"/>
      <c r="M35628" s="11"/>
      <c r="N35628" s="11"/>
      <c r="O35628" s="11"/>
      <c r="P35628" s="11"/>
    </row>
    <row r="35629" spans="8:16" x14ac:dyDescent="0.25">
      <c r="H35629" s="12"/>
      <c r="I35629" s="12"/>
      <c r="J35629" s="12"/>
      <c r="K35629" s="12"/>
      <c r="L35629" s="12"/>
      <c r="M35629" s="11"/>
      <c r="N35629" s="11"/>
      <c r="O35629" s="11"/>
      <c r="P35629" s="11"/>
    </row>
    <row r="35630" spans="8:16" x14ac:dyDescent="0.25">
      <c r="H35630" s="12"/>
      <c r="I35630" s="12"/>
      <c r="J35630" s="12"/>
      <c r="K35630" s="12"/>
      <c r="L35630" s="12"/>
      <c r="M35630" s="11"/>
      <c r="N35630" s="11"/>
      <c r="O35630" s="11"/>
      <c r="P35630" s="11"/>
    </row>
    <row r="35631" spans="8:16" x14ac:dyDescent="0.25">
      <c r="H35631" s="12"/>
      <c r="I35631" s="12"/>
      <c r="J35631" s="12"/>
      <c r="K35631" s="12"/>
      <c r="L35631" s="12"/>
      <c r="M35631" s="11"/>
      <c r="N35631" s="11"/>
      <c r="O35631" s="11"/>
      <c r="P35631" s="11"/>
    </row>
    <row r="35632" spans="8:16" x14ac:dyDescent="0.25">
      <c r="H35632" s="12"/>
      <c r="I35632" s="12"/>
      <c r="J35632" s="12"/>
      <c r="K35632" s="12"/>
      <c r="L35632" s="12"/>
      <c r="M35632" s="11"/>
      <c r="N35632" s="11"/>
      <c r="O35632" s="11"/>
      <c r="P35632" s="11"/>
    </row>
    <row r="35633" spans="8:16" x14ac:dyDescent="0.25">
      <c r="H35633" s="12"/>
      <c r="I35633" s="12"/>
      <c r="J35633" s="12"/>
      <c r="K35633" s="12"/>
      <c r="L35633" s="12"/>
      <c r="M35633" s="11"/>
      <c r="N35633" s="11"/>
      <c r="O35633" s="11"/>
      <c r="P35633" s="11"/>
    </row>
    <row r="35634" spans="8:16" x14ac:dyDescent="0.25">
      <c r="H35634" s="12"/>
      <c r="I35634" s="12"/>
      <c r="J35634" s="12"/>
      <c r="K35634" s="12"/>
      <c r="L35634" s="12"/>
      <c r="M35634" s="11"/>
      <c r="N35634" s="11"/>
      <c r="O35634" s="11"/>
      <c r="P35634" s="11"/>
    </row>
    <row r="35635" spans="8:16" x14ac:dyDescent="0.25">
      <c r="H35635" s="12"/>
      <c r="I35635" s="12"/>
      <c r="J35635" s="12"/>
      <c r="K35635" s="12"/>
      <c r="L35635" s="12"/>
      <c r="M35635" s="11"/>
      <c r="N35635" s="11"/>
      <c r="O35635" s="11"/>
      <c r="P35635" s="11"/>
    </row>
    <row r="35636" spans="8:16" x14ac:dyDescent="0.25">
      <c r="H35636" s="12"/>
      <c r="I35636" s="12"/>
      <c r="J35636" s="12"/>
      <c r="K35636" s="12"/>
      <c r="L35636" s="12"/>
      <c r="M35636" s="11"/>
      <c r="N35636" s="11"/>
      <c r="O35636" s="11"/>
      <c r="P35636" s="11"/>
    </row>
    <row r="35637" spans="8:16" x14ac:dyDescent="0.25">
      <c r="H35637" s="12"/>
      <c r="I35637" s="12"/>
      <c r="J35637" s="12"/>
      <c r="K35637" s="12"/>
      <c r="L35637" s="12"/>
      <c r="M35637" s="11"/>
      <c r="N35637" s="11"/>
      <c r="O35637" s="11"/>
      <c r="P35637" s="11"/>
    </row>
    <row r="35638" spans="8:16" x14ac:dyDescent="0.25">
      <c r="H35638" s="12"/>
      <c r="I35638" s="12"/>
      <c r="J35638" s="12"/>
      <c r="K35638" s="12"/>
      <c r="L35638" s="12"/>
      <c r="M35638" s="11"/>
      <c r="N35638" s="11"/>
      <c r="O35638" s="11"/>
      <c r="P35638" s="11"/>
    </row>
    <row r="35639" spans="8:16" x14ac:dyDescent="0.25">
      <c r="H35639" s="12"/>
      <c r="I35639" s="12"/>
      <c r="J35639" s="12"/>
      <c r="K35639" s="12"/>
      <c r="L35639" s="12"/>
      <c r="M35639" s="11"/>
      <c r="N35639" s="11"/>
      <c r="O35639" s="11"/>
      <c r="P35639" s="11"/>
    </row>
    <row r="35640" spans="8:16" x14ac:dyDescent="0.25">
      <c r="H35640" s="12"/>
      <c r="I35640" s="12"/>
      <c r="J35640" s="12"/>
      <c r="K35640" s="12"/>
      <c r="L35640" s="12"/>
      <c r="M35640" s="11"/>
      <c r="N35640" s="11"/>
      <c r="O35640" s="11"/>
      <c r="P35640" s="11"/>
    </row>
    <row r="35641" spans="8:16" x14ac:dyDescent="0.25">
      <c r="H35641" s="12"/>
      <c r="I35641" s="12"/>
      <c r="J35641" s="12"/>
      <c r="K35641" s="12"/>
      <c r="L35641" s="12"/>
      <c r="M35641" s="11"/>
      <c r="N35641" s="11"/>
      <c r="O35641" s="11"/>
      <c r="P35641" s="11"/>
    </row>
    <row r="35642" spans="8:16" x14ac:dyDescent="0.25">
      <c r="H35642" s="12"/>
      <c r="I35642" s="12"/>
      <c r="J35642" s="12"/>
      <c r="K35642" s="12"/>
      <c r="L35642" s="12"/>
      <c r="M35642" s="11"/>
      <c r="N35642" s="11"/>
      <c r="O35642" s="11"/>
      <c r="P35642" s="11"/>
    </row>
    <row r="35643" spans="8:16" x14ac:dyDescent="0.25">
      <c r="H35643" s="12"/>
      <c r="I35643" s="12"/>
      <c r="J35643" s="12"/>
      <c r="K35643" s="12"/>
      <c r="L35643" s="12"/>
      <c r="M35643" s="11"/>
      <c r="N35643" s="11"/>
      <c r="O35643" s="11"/>
      <c r="P35643" s="11"/>
    </row>
    <row r="35644" spans="8:16" x14ac:dyDescent="0.25">
      <c r="H35644" s="12"/>
      <c r="I35644" s="12"/>
      <c r="J35644" s="12"/>
      <c r="K35644" s="12"/>
      <c r="L35644" s="12"/>
      <c r="M35644" s="11"/>
      <c r="N35644" s="11"/>
      <c r="O35644" s="11"/>
      <c r="P35644" s="11"/>
    </row>
    <row r="35645" spans="8:16" x14ac:dyDescent="0.25">
      <c r="H35645" s="12"/>
      <c r="I35645" s="12"/>
      <c r="J35645" s="12"/>
      <c r="K35645" s="12"/>
      <c r="L35645" s="12"/>
      <c r="M35645" s="11"/>
      <c r="N35645" s="11"/>
      <c r="O35645" s="11"/>
      <c r="P35645" s="11"/>
    </row>
    <row r="35646" spans="8:16" x14ac:dyDescent="0.25">
      <c r="H35646" s="12"/>
      <c r="I35646" s="12"/>
      <c r="J35646" s="12"/>
      <c r="K35646" s="12"/>
      <c r="L35646" s="12"/>
      <c r="M35646" s="11"/>
      <c r="N35646" s="11"/>
      <c r="O35646" s="11"/>
      <c r="P35646" s="11"/>
    </row>
    <row r="35647" spans="8:16" x14ac:dyDescent="0.25">
      <c r="H35647" s="12"/>
      <c r="I35647" s="12"/>
      <c r="J35647" s="12"/>
      <c r="K35647" s="12"/>
      <c r="L35647" s="12"/>
      <c r="M35647" s="11"/>
      <c r="N35647" s="11"/>
      <c r="O35647" s="11"/>
      <c r="P35647" s="11"/>
    </row>
    <row r="35648" spans="8:16" x14ac:dyDescent="0.25">
      <c r="H35648" s="12"/>
      <c r="I35648" s="12"/>
      <c r="J35648" s="12"/>
      <c r="K35648" s="12"/>
      <c r="L35648" s="12"/>
      <c r="M35648" s="11"/>
      <c r="N35648" s="11"/>
      <c r="O35648" s="11"/>
      <c r="P35648" s="11"/>
    </row>
    <row r="35649" spans="8:16" x14ac:dyDescent="0.25">
      <c r="H35649" s="12"/>
      <c r="I35649" s="12"/>
      <c r="J35649" s="12"/>
      <c r="K35649" s="12"/>
      <c r="L35649" s="12"/>
      <c r="M35649" s="11"/>
      <c r="N35649" s="11"/>
      <c r="O35649" s="11"/>
      <c r="P35649" s="11"/>
    </row>
    <row r="35650" spans="8:16" x14ac:dyDescent="0.25">
      <c r="H35650" s="12"/>
      <c r="I35650" s="12"/>
      <c r="J35650" s="12"/>
      <c r="K35650" s="12"/>
      <c r="L35650" s="12"/>
      <c r="M35650" s="11"/>
      <c r="N35650" s="11"/>
      <c r="O35650" s="11"/>
      <c r="P35650" s="11"/>
    </row>
    <row r="35651" spans="8:16" x14ac:dyDescent="0.25">
      <c r="H35651" s="12"/>
      <c r="I35651" s="12"/>
      <c r="J35651" s="12"/>
      <c r="K35651" s="12"/>
      <c r="L35651" s="12"/>
      <c r="M35651" s="11"/>
      <c r="N35651" s="11"/>
      <c r="O35651" s="11"/>
      <c r="P35651" s="11"/>
    </row>
    <row r="35652" spans="8:16" x14ac:dyDescent="0.25">
      <c r="H35652" s="12"/>
      <c r="I35652" s="12"/>
      <c r="J35652" s="12"/>
      <c r="K35652" s="12"/>
      <c r="L35652" s="12"/>
      <c r="M35652" s="11"/>
      <c r="N35652" s="11"/>
      <c r="O35652" s="11"/>
      <c r="P35652" s="11"/>
    </row>
    <row r="35653" spans="8:16" x14ac:dyDescent="0.25">
      <c r="H35653" s="12"/>
      <c r="I35653" s="12"/>
      <c r="J35653" s="12"/>
      <c r="K35653" s="12"/>
      <c r="L35653" s="12"/>
      <c r="M35653" s="11"/>
      <c r="N35653" s="11"/>
      <c r="O35653" s="11"/>
      <c r="P35653" s="11"/>
    </row>
    <row r="35654" spans="8:16" x14ac:dyDescent="0.25">
      <c r="H35654" s="12"/>
      <c r="I35654" s="12"/>
      <c r="J35654" s="12"/>
      <c r="K35654" s="12"/>
      <c r="L35654" s="12"/>
      <c r="M35654" s="11"/>
      <c r="N35654" s="11"/>
      <c r="O35654" s="11"/>
      <c r="P35654" s="11"/>
    </row>
    <row r="35655" spans="8:16" x14ac:dyDescent="0.25">
      <c r="H35655" s="12"/>
      <c r="I35655" s="12"/>
      <c r="J35655" s="12"/>
      <c r="K35655" s="12"/>
      <c r="L35655" s="12"/>
      <c r="M35655" s="11"/>
      <c r="N35655" s="11"/>
      <c r="O35655" s="11"/>
      <c r="P35655" s="11"/>
    </row>
    <row r="35656" spans="8:16" x14ac:dyDescent="0.25">
      <c r="H35656" s="12"/>
      <c r="I35656" s="12"/>
      <c r="J35656" s="12"/>
      <c r="K35656" s="12"/>
      <c r="L35656" s="12"/>
      <c r="M35656" s="11"/>
      <c r="N35656" s="11"/>
      <c r="O35656" s="11"/>
      <c r="P35656" s="11"/>
    </row>
    <row r="35657" spans="8:16" x14ac:dyDescent="0.25">
      <c r="H35657" s="12"/>
      <c r="I35657" s="12"/>
      <c r="J35657" s="12"/>
      <c r="K35657" s="12"/>
      <c r="L35657" s="12"/>
      <c r="M35657" s="11"/>
      <c r="N35657" s="11"/>
      <c r="O35657" s="11"/>
      <c r="P35657" s="11"/>
    </row>
    <row r="35658" spans="8:16" x14ac:dyDescent="0.25">
      <c r="H35658" s="12"/>
      <c r="I35658" s="12"/>
      <c r="J35658" s="12"/>
      <c r="K35658" s="12"/>
      <c r="L35658" s="12"/>
      <c r="M35658" s="11"/>
      <c r="N35658" s="11"/>
      <c r="O35658" s="11"/>
      <c r="P35658" s="11"/>
    </row>
    <row r="35659" spans="8:16" x14ac:dyDescent="0.25">
      <c r="H35659" s="12"/>
      <c r="I35659" s="12"/>
      <c r="J35659" s="12"/>
      <c r="K35659" s="12"/>
      <c r="L35659" s="12"/>
      <c r="M35659" s="11"/>
      <c r="N35659" s="11"/>
      <c r="O35659" s="11"/>
      <c r="P35659" s="11"/>
    </row>
    <row r="35660" spans="8:16" x14ac:dyDescent="0.25">
      <c r="H35660" s="12"/>
      <c r="I35660" s="12"/>
      <c r="J35660" s="12"/>
      <c r="K35660" s="12"/>
      <c r="L35660" s="12"/>
      <c r="M35660" s="11"/>
      <c r="N35660" s="11"/>
      <c r="O35660" s="11"/>
      <c r="P35660" s="11"/>
    </row>
    <row r="35661" spans="8:16" x14ac:dyDescent="0.25">
      <c r="H35661" s="12"/>
      <c r="I35661" s="12"/>
      <c r="J35661" s="12"/>
      <c r="K35661" s="12"/>
      <c r="L35661" s="12"/>
      <c r="M35661" s="11"/>
      <c r="N35661" s="11"/>
      <c r="O35661" s="11"/>
      <c r="P35661" s="11"/>
    </row>
    <row r="35662" spans="8:16" x14ac:dyDescent="0.25">
      <c r="H35662" s="12"/>
      <c r="I35662" s="12"/>
      <c r="J35662" s="12"/>
      <c r="K35662" s="12"/>
      <c r="L35662" s="12"/>
      <c r="M35662" s="11"/>
      <c r="N35662" s="11"/>
      <c r="O35662" s="11"/>
      <c r="P35662" s="11"/>
    </row>
    <row r="35663" spans="8:16" x14ac:dyDescent="0.25">
      <c r="H35663" s="12"/>
      <c r="I35663" s="12"/>
      <c r="J35663" s="12"/>
      <c r="K35663" s="12"/>
      <c r="L35663" s="12"/>
      <c r="M35663" s="11"/>
      <c r="N35663" s="11"/>
      <c r="O35663" s="11"/>
      <c r="P35663" s="11"/>
    </row>
    <row r="35664" spans="8:16" x14ac:dyDescent="0.25">
      <c r="H35664" s="12"/>
      <c r="I35664" s="12"/>
      <c r="J35664" s="12"/>
      <c r="K35664" s="12"/>
      <c r="L35664" s="12"/>
      <c r="M35664" s="11"/>
      <c r="N35664" s="11"/>
      <c r="O35664" s="11"/>
      <c r="P35664" s="11"/>
    </row>
    <row r="35665" spans="8:16" x14ac:dyDescent="0.25">
      <c r="H35665" s="12"/>
      <c r="I35665" s="12"/>
      <c r="J35665" s="12"/>
      <c r="K35665" s="12"/>
      <c r="L35665" s="12"/>
      <c r="M35665" s="11"/>
      <c r="N35665" s="11"/>
      <c r="O35665" s="11"/>
      <c r="P35665" s="11"/>
    </row>
    <row r="35666" spans="8:16" x14ac:dyDescent="0.25">
      <c r="H35666" s="12"/>
      <c r="I35666" s="12"/>
      <c r="J35666" s="12"/>
      <c r="K35666" s="12"/>
      <c r="L35666" s="12"/>
      <c r="M35666" s="11"/>
      <c r="N35666" s="11"/>
      <c r="O35666" s="11"/>
      <c r="P35666" s="11"/>
    </row>
    <row r="35667" spans="8:16" x14ac:dyDescent="0.25">
      <c r="H35667" s="12"/>
      <c r="I35667" s="12"/>
      <c r="J35667" s="12"/>
      <c r="K35667" s="12"/>
      <c r="L35667" s="12"/>
      <c r="M35667" s="11"/>
      <c r="N35667" s="11"/>
      <c r="O35667" s="11"/>
      <c r="P35667" s="11"/>
    </row>
    <row r="35668" spans="8:16" x14ac:dyDescent="0.25">
      <c r="H35668" s="12"/>
      <c r="I35668" s="12"/>
      <c r="J35668" s="12"/>
      <c r="K35668" s="12"/>
      <c r="L35668" s="12"/>
      <c r="M35668" s="11"/>
      <c r="N35668" s="11"/>
      <c r="O35668" s="11"/>
      <c r="P35668" s="11"/>
    </row>
    <row r="35669" spans="8:16" x14ac:dyDescent="0.25">
      <c r="H35669" s="12"/>
      <c r="I35669" s="12"/>
      <c r="J35669" s="12"/>
      <c r="K35669" s="12"/>
      <c r="L35669" s="12"/>
      <c r="M35669" s="11"/>
      <c r="N35669" s="11"/>
      <c r="O35669" s="11"/>
      <c r="P35669" s="11"/>
    </row>
    <row r="35670" spans="8:16" x14ac:dyDescent="0.25">
      <c r="H35670" s="12"/>
      <c r="I35670" s="12"/>
      <c r="J35670" s="12"/>
      <c r="K35670" s="12"/>
      <c r="L35670" s="12"/>
      <c r="M35670" s="11"/>
      <c r="N35670" s="11"/>
      <c r="O35670" s="11"/>
      <c r="P35670" s="11"/>
    </row>
    <row r="35671" spans="8:16" x14ac:dyDescent="0.25">
      <c r="H35671" s="12"/>
      <c r="I35671" s="12"/>
      <c r="J35671" s="12"/>
      <c r="K35671" s="12"/>
      <c r="L35671" s="12"/>
      <c r="M35671" s="11"/>
      <c r="N35671" s="11"/>
      <c r="O35671" s="11"/>
      <c r="P35671" s="11"/>
    </row>
    <row r="35672" spans="8:16" x14ac:dyDescent="0.25">
      <c r="H35672" s="12"/>
      <c r="I35672" s="12"/>
      <c r="J35672" s="12"/>
      <c r="K35672" s="12"/>
      <c r="L35672" s="12"/>
      <c r="M35672" s="11"/>
      <c r="N35672" s="11"/>
      <c r="O35672" s="11"/>
      <c r="P35672" s="11"/>
    </row>
    <row r="35673" spans="8:16" x14ac:dyDescent="0.25">
      <c r="H35673" s="12"/>
      <c r="I35673" s="12"/>
      <c r="J35673" s="12"/>
      <c r="K35673" s="12"/>
      <c r="L35673" s="12"/>
      <c r="M35673" s="11"/>
      <c r="N35673" s="11"/>
      <c r="O35673" s="11"/>
      <c r="P35673" s="11"/>
    </row>
    <row r="35674" spans="8:16" x14ac:dyDescent="0.25">
      <c r="H35674" s="12"/>
      <c r="I35674" s="12"/>
      <c r="J35674" s="12"/>
      <c r="K35674" s="12"/>
      <c r="L35674" s="12"/>
      <c r="M35674" s="11"/>
      <c r="N35674" s="11"/>
      <c r="O35674" s="11"/>
      <c r="P35674" s="11"/>
    </row>
    <row r="35675" spans="8:16" x14ac:dyDescent="0.25">
      <c r="H35675" s="12"/>
      <c r="I35675" s="12"/>
      <c r="J35675" s="12"/>
      <c r="K35675" s="12"/>
      <c r="L35675" s="12"/>
      <c r="M35675" s="11"/>
      <c r="N35675" s="11"/>
      <c r="O35675" s="11"/>
      <c r="P35675" s="11"/>
    </row>
    <row r="35676" spans="8:16" x14ac:dyDescent="0.25">
      <c r="H35676" s="12"/>
      <c r="I35676" s="12"/>
      <c r="J35676" s="12"/>
      <c r="K35676" s="12"/>
      <c r="L35676" s="12"/>
      <c r="M35676" s="11"/>
      <c r="N35676" s="11"/>
      <c r="O35676" s="11"/>
      <c r="P35676" s="11"/>
    </row>
    <row r="35677" spans="8:16" x14ac:dyDescent="0.25">
      <c r="H35677" s="12"/>
      <c r="I35677" s="12"/>
      <c r="J35677" s="12"/>
      <c r="K35677" s="12"/>
      <c r="L35677" s="12"/>
      <c r="M35677" s="11"/>
      <c r="N35677" s="11"/>
      <c r="O35677" s="11"/>
      <c r="P35677" s="11"/>
    </row>
    <row r="35678" spans="8:16" x14ac:dyDescent="0.25">
      <c r="H35678" s="12"/>
      <c r="I35678" s="12"/>
      <c r="J35678" s="12"/>
      <c r="K35678" s="12"/>
      <c r="L35678" s="12"/>
      <c r="M35678" s="11"/>
      <c r="N35678" s="11"/>
      <c r="O35678" s="11"/>
      <c r="P35678" s="11"/>
    </row>
    <row r="35679" spans="8:16" x14ac:dyDescent="0.25">
      <c r="H35679" s="12"/>
      <c r="I35679" s="12"/>
      <c r="J35679" s="12"/>
      <c r="K35679" s="12"/>
      <c r="L35679" s="12"/>
      <c r="M35679" s="11"/>
      <c r="N35679" s="11"/>
      <c r="O35679" s="11"/>
      <c r="P35679" s="11"/>
    </row>
    <row r="35680" spans="8:16" x14ac:dyDescent="0.25">
      <c r="H35680" s="12"/>
      <c r="I35680" s="12"/>
      <c r="J35680" s="12"/>
      <c r="K35680" s="12"/>
      <c r="L35680" s="12"/>
      <c r="M35680" s="11"/>
      <c r="N35680" s="11"/>
      <c r="O35680" s="11"/>
      <c r="P35680" s="11"/>
    </row>
    <row r="35681" spans="8:16" x14ac:dyDescent="0.25">
      <c r="H35681" s="12"/>
      <c r="I35681" s="12"/>
      <c r="J35681" s="12"/>
      <c r="K35681" s="12"/>
      <c r="L35681" s="12"/>
      <c r="M35681" s="11"/>
      <c r="N35681" s="11"/>
      <c r="O35681" s="11"/>
      <c r="P35681" s="11"/>
    </row>
    <row r="35682" spans="8:16" x14ac:dyDescent="0.25">
      <c r="H35682" s="12"/>
      <c r="I35682" s="12"/>
      <c r="J35682" s="12"/>
      <c r="K35682" s="12"/>
      <c r="L35682" s="12"/>
      <c r="M35682" s="11"/>
      <c r="N35682" s="11"/>
      <c r="O35682" s="11"/>
      <c r="P35682" s="11"/>
    </row>
    <row r="35683" spans="8:16" x14ac:dyDescent="0.25">
      <c r="H35683" s="12"/>
      <c r="I35683" s="12"/>
      <c r="J35683" s="12"/>
      <c r="K35683" s="12"/>
      <c r="L35683" s="12"/>
      <c r="M35683" s="11"/>
      <c r="N35683" s="11"/>
      <c r="O35683" s="11"/>
      <c r="P35683" s="11"/>
    </row>
    <row r="35684" spans="8:16" x14ac:dyDescent="0.25">
      <c r="H35684" s="12"/>
      <c r="I35684" s="12"/>
      <c r="J35684" s="12"/>
      <c r="K35684" s="12"/>
      <c r="L35684" s="12"/>
      <c r="M35684" s="11"/>
      <c r="N35684" s="11"/>
      <c r="O35684" s="11"/>
      <c r="P35684" s="11"/>
    </row>
    <row r="35685" spans="8:16" x14ac:dyDescent="0.25">
      <c r="H35685" s="12"/>
      <c r="I35685" s="12"/>
      <c r="J35685" s="12"/>
      <c r="K35685" s="12"/>
      <c r="L35685" s="12"/>
      <c r="M35685" s="11"/>
      <c r="N35685" s="11"/>
      <c r="O35685" s="11"/>
      <c r="P35685" s="11"/>
    </row>
    <row r="35686" spans="8:16" x14ac:dyDescent="0.25">
      <c r="H35686" s="12"/>
      <c r="I35686" s="12"/>
      <c r="J35686" s="12"/>
      <c r="K35686" s="12"/>
      <c r="L35686" s="12"/>
      <c r="M35686" s="11"/>
      <c r="N35686" s="11"/>
      <c r="O35686" s="11"/>
      <c r="P35686" s="11"/>
    </row>
    <row r="35687" spans="8:16" x14ac:dyDescent="0.25">
      <c r="H35687" s="12"/>
      <c r="I35687" s="12"/>
      <c r="J35687" s="12"/>
      <c r="K35687" s="12"/>
      <c r="L35687" s="12"/>
      <c r="M35687" s="11"/>
      <c r="N35687" s="11"/>
      <c r="O35687" s="11"/>
      <c r="P35687" s="11"/>
    </row>
    <row r="35688" spans="8:16" x14ac:dyDescent="0.25">
      <c r="H35688" s="12"/>
      <c r="I35688" s="12"/>
      <c r="J35688" s="12"/>
      <c r="K35688" s="12"/>
      <c r="L35688" s="12"/>
      <c r="M35688" s="11"/>
      <c r="N35688" s="11"/>
      <c r="O35688" s="11"/>
      <c r="P35688" s="11"/>
    </row>
    <row r="35689" spans="8:16" x14ac:dyDescent="0.25">
      <c r="H35689" s="12"/>
      <c r="I35689" s="12"/>
      <c r="J35689" s="12"/>
      <c r="K35689" s="12"/>
      <c r="L35689" s="12"/>
      <c r="M35689" s="11"/>
      <c r="N35689" s="11"/>
      <c r="O35689" s="11"/>
      <c r="P35689" s="11"/>
    </row>
    <row r="35690" spans="8:16" x14ac:dyDescent="0.25">
      <c r="H35690" s="12"/>
      <c r="I35690" s="12"/>
      <c r="J35690" s="12"/>
      <c r="K35690" s="12"/>
      <c r="L35690" s="12"/>
      <c r="M35690" s="11"/>
      <c r="N35690" s="11"/>
      <c r="O35690" s="11"/>
      <c r="P35690" s="11"/>
    </row>
    <row r="35691" spans="8:16" x14ac:dyDescent="0.25">
      <c r="H35691" s="12"/>
      <c r="I35691" s="12"/>
      <c r="J35691" s="12"/>
      <c r="K35691" s="12"/>
      <c r="L35691" s="12"/>
      <c r="M35691" s="11"/>
      <c r="N35691" s="11"/>
      <c r="O35691" s="11"/>
      <c r="P35691" s="11"/>
    </row>
    <row r="35692" spans="8:16" x14ac:dyDescent="0.25">
      <c r="H35692" s="12"/>
      <c r="I35692" s="12"/>
      <c r="J35692" s="12"/>
      <c r="K35692" s="12"/>
      <c r="L35692" s="12"/>
      <c r="M35692" s="11"/>
      <c r="N35692" s="11"/>
      <c r="O35692" s="11"/>
      <c r="P35692" s="11"/>
    </row>
    <row r="35693" spans="8:16" x14ac:dyDescent="0.25">
      <c r="H35693" s="12"/>
      <c r="I35693" s="12"/>
      <c r="J35693" s="12"/>
      <c r="K35693" s="12"/>
      <c r="L35693" s="12"/>
      <c r="M35693" s="11"/>
      <c r="N35693" s="11"/>
      <c r="O35693" s="11"/>
      <c r="P35693" s="11"/>
    </row>
    <row r="35694" spans="8:16" x14ac:dyDescent="0.25">
      <c r="H35694" s="12"/>
      <c r="I35694" s="12"/>
      <c r="J35694" s="12"/>
      <c r="K35694" s="12"/>
      <c r="L35694" s="12"/>
      <c r="M35694" s="11"/>
      <c r="N35694" s="11"/>
      <c r="O35694" s="11"/>
      <c r="P35694" s="11"/>
    </row>
    <row r="35695" spans="8:16" x14ac:dyDescent="0.25">
      <c r="H35695" s="12"/>
      <c r="I35695" s="12"/>
      <c r="J35695" s="12"/>
      <c r="K35695" s="12"/>
      <c r="L35695" s="12"/>
      <c r="M35695" s="11"/>
      <c r="N35695" s="11"/>
      <c r="O35695" s="11"/>
      <c r="P35695" s="11"/>
    </row>
    <row r="35696" spans="8:16" x14ac:dyDescent="0.25">
      <c r="H35696" s="12"/>
      <c r="I35696" s="12"/>
      <c r="J35696" s="12"/>
      <c r="K35696" s="12"/>
      <c r="L35696" s="12"/>
      <c r="M35696" s="11"/>
      <c r="N35696" s="11"/>
      <c r="O35696" s="11"/>
      <c r="P35696" s="11"/>
    </row>
    <row r="35697" spans="8:16" x14ac:dyDescent="0.25">
      <c r="H35697" s="12"/>
      <c r="I35697" s="12"/>
      <c r="J35697" s="12"/>
      <c r="K35697" s="12"/>
      <c r="L35697" s="12"/>
      <c r="M35697" s="11"/>
      <c r="N35697" s="11"/>
      <c r="O35697" s="11"/>
      <c r="P35697" s="11"/>
    </row>
    <row r="35698" spans="8:16" x14ac:dyDescent="0.25">
      <c r="H35698" s="12"/>
      <c r="I35698" s="12"/>
      <c r="J35698" s="12"/>
      <c r="K35698" s="12"/>
      <c r="L35698" s="12"/>
      <c r="M35698" s="11"/>
      <c r="N35698" s="11"/>
      <c r="O35698" s="11"/>
      <c r="P35698" s="11"/>
    </row>
    <row r="35699" spans="8:16" x14ac:dyDescent="0.25">
      <c r="H35699" s="12"/>
      <c r="I35699" s="12"/>
      <c r="J35699" s="12"/>
      <c r="K35699" s="12"/>
      <c r="L35699" s="12"/>
      <c r="M35699" s="11"/>
      <c r="N35699" s="11"/>
      <c r="O35699" s="11"/>
      <c r="P35699" s="11"/>
    </row>
    <row r="35700" spans="8:16" x14ac:dyDescent="0.25">
      <c r="H35700" s="12"/>
      <c r="I35700" s="12"/>
      <c r="J35700" s="12"/>
      <c r="K35700" s="12"/>
      <c r="L35700" s="12"/>
      <c r="M35700" s="11"/>
      <c r="N35700" s="11"/>
      <c r="O35700" s="11"/>
      <c r="P35700" s="11"/>
    </row>
    <row r="35701" spans="8:16" x14ac:dyDescent="0.25">
      <c r="H35701" s="12"/>
      <c r="I35701" s="12"/>
      <c r="J35701" s="12"/>
      <c r="K35701" s="12"/>
      <c r="L35701" s="12"/>
      <c r="M35701" s="11"/>
      <c r="N35701" s="11"/>
      <c r="O35701" s="11"/>
      <c r="P35701" s="11"/>
    </row>
    <row r="35702" spans="8:16" x14ac:dyDescent="0.25">
      <c r="H35702" s="12"/>
      <c r="I35702" s="12"/>
      <c r="J35702" s="12"/>
      <c r="K35702" s="12"/>
      <c r="L35702" s="12"/>
      <c r="M35702" s="11"/>
      <c r="N35702" s="11"/>
      <c r="O35702" s="11"/>
      <c r="P35702" s="11"/>
    </row>
    <row r="35703" spans="8:16" x14ac:dyDescent="0.25">
      <c r="H35703" s="12"/>
      <c r="I35703" s="12"/>
      <c r="J35703" s="12"/>
      <c r="K35703" s="12"/>
      <c r="L35703" s="12"/>
      <c r="M35703" s="11"/>
      <c r="N35703" s="11"/>
      <c r="O35703" s="11"/>
      <c r="P35703" s="11"/>
    </row>
    <row r="35704" spans="8:16" x14ac:dyDescent="0.25">
      <c r="H35704" s="12"/>
      <c r="I35704" s="12"/>
      <c r="J35704" s="12"/>
      <c r="K35704" s="12"/>
      <c r="L35704" s="12"/>
      <c r="M35704" s="11"/>
      <c r="N35704" s="11"/>
      <c r="O35704" s="11"/>
      <c r="P35704" s="11"/>
    </row>
    <row r="35705" spans="8:16" x14ac:dyDescent="0.25">
      <c r="H35705" s="12"/>
      <c r="I35705" s="12"/>
      <c r="J35705" s="12"/>
      <c r="K35705" s="12"/>
      <c r="L35705" s="12"/>
      <c r="M35705" s="11"/>
      <c r="N35705" s="11"/>
      <c r="O35705" s="11"/>
      <c r="P35705" s="11"/>
    </row>
    <row r="35706" spans="8:16" x14ac:dyDescent="0.25">
      <c r="H35706" s="12"/>
      <c r="I35706" s="12"/>
      <c r="J35706" s="12"/>
      <c r="K35706" s="12"/>
      <c r="L35706" s="12"/>
      <c r="M35706" s="11"/>
      <c r="N35706" s="11"/>
      <c r="O35706" s="11"/>
      <c r="P35706" s="11"/>
    </row>
    <row r="35707" spans="8:16" x14ac:dyDescent="0.25">
      <c r="H35707" s="12"/>
      <c r="I35707" s="12"/>
      <c r="J35707" s="12"/>
      <c r="K35707" s="12"/>
      <c r="L35707" s="12"/>
      <c r="M35707" s="11"/>
      <c r="N35707" s="11"/>
      <c r="O35707" s="11"/>
      <c r="P35707" s="11"/>
    </row>
    <row r="35708" spans="8:16" x14ac:dyDescent="0.25">
      <c r="H35708" s="12"/>
      <c r="I35708" s="12"/>
      <c r="J35708" s="12"/>
      <c r="K35708" s="12"/>
      <c r="L35708" s="12"/>
      <c r="M35708" s="11"/>
      <c r="N35708" s="11"/>
      <c r="O35708" s="11"/>
      <c r="P35708" s="11"/>
    </row>
    <row r="35709" spans="8:16" x14ac:dyDescent="0.25">
      <c r="H35709" s="12"/>
      <c r="I35709" s="12"/>
      <c r="J35709" s="12"/>
      <c r="K35709" s="12"/>
      <c r="L35709" s="12"/>
      <c r="M35709" s="11"/>
      <c r="N35709" s="11"/>
      <c r="O35709" s="11"/>
      <c r="P35709" s="11"/>
    </row>
    <row r="35710" spans="8:16" x14ac:dyDescent="0.25">
      <c r="H35710" s="12"/>
      <c r="I35710" s="12"/>
      <c r="J35710" s="12"/>
      <c r="K35710" s="12"/>
      <c r="L35710" s="12"/>
      <c r="M35710" s="11"/>
      <c r="N35710" s="11"/>
      <c r="O35710" s="11"/>
      <c r="P35710" s="11"/>
    </row>
    <row r="35711" spans="8:16" x14ac:dyDescent="0.25">
      <c r="H35711" s="12"/>
      <c r="I35711" s="12"/>
      <c r="J35711" s="12"/>
      <c r="K35711" s="12"/>
      <c r="L35711" s="12"/>
      <c r="M35711" s="11"/>
      <c r="N35711" s="11"/>
      <c r="O35711" s="11"/>
      <c r="P35711" s="11"/>
    </row>
    <row r="35712" spans="8:16" x14ac:dyDescent="0.25">
      <c r="H35712" s="12"/>
      <c r="I35712" s="12"/>
      <c r="J35712" s="12"/>
      <c r="K35712" s="12"/>
      <c r="L35712" s="12"/>
      <c r="M35712" s="11"/>
      <c r="N35712" s="11"/>
      <c r="O35712" s="11"/>
      <c r="P35712" s="11"/>
    </row>
    <row r="35713" spans="8:16" x14ac:dyDescent="0.25">
      <c r="H35713" s="12"/>
      <c r="I35713" s="12"/>
      <c r="J35713" s="12"/>
      <c r="K35713" s="12"/>
      <c r="L35713" s="12"/>
      <c r="M35713" s="11"/>
      <c r="N35713" s="11"/>
      <c r="O35713" s="11"/>
      <c r="P35713" s="11"/>
    </row>
    <row r="35714" spans="8:16" x14ac:dyDescent="0.25">
      <c r="H35714" s="12"/>
      <c r="I35714" s="12"/>
      <c r="J35714" s="12"/>
      <c r="K35714" s="12"/>
      <c r="L35714" s="12"/>
      <c r="M35714" s="11"/>
      <c r="N35714" s="11"/>
      <c r="O35714" s="11"/>
      <c r="P35714" s="11"/>
    </row>
    <row r="35715" spans="8:16" x14ac:dyDescent="0.25">
      <c r="H35715" s="12"/>
      <c r="I35715" s="12"/>
      <c r="J35715" s="12"/>
      <c r="K35715" s="12"/>
      <c r="L35715" s="12"/>
      <c r="M35715" s="11"/>
      <c r="N35715" s="11"/>
      <c r="O35715" s="11"/>
      <c r="P35715" s="11"/>
    </row>
    <row r="35716" spans="8:16" x14ac:dyDescent="0.25">
      <c r="H35716" s="12"/>
      <c r="I35716" s="12"/>
      <c r="J35716" s="12"/>
      <c r="K35716" s="12"/>
      <c r="L35716" s="12"/>
      <c r="M35716" s="11"/>
      <c r="N35716" s="11"/>
      <c r="O35716" s="11"/>
      <c r="P35716" s="11"/>
    </row>
    <row r="35717" spans="8:16" x14ac:dyDescent="0.25">
      <c r="H35717" s="12"/>
      <c r="I35717" s="12"/>
      <c r="J35717" s="12"/>
      <c r="K35717" s="12"/>
      <c r="L35717" s="12"/>
      <c r="M35717" s="11"/>
      <c r="N35717" s="11"/>
      <c r="O35717" s="11"/>
      <c r="P35717" s="11"/>
    </row>
    <row r="35718" spans="8:16" x14ac:dyDescent="0.25">
      <c r="H35718" s="12"/>
      <c r="I35718" s="12"/>
      <c r="J35718" s="12"/>
      <c r="K35718" s="12"/>
      <c r="L35718" s="12"/>
      <c r="M35718" s="11"/>
      <c r="N35718" s="11"/>
      <c r="O35718" s="11"/>
      <c r="P35718" s="11"/>
    </row>
    <row r="35719" spans="8:16" x14ac:dyDescent="0.25">
      <c r="H35719" s="12"/>
      <c r="I35719" s="12"/>
      <c r="J35719" s="12"/>
      <c r="K35719" s="12"/>
      <c r="L35719" s="12"/>
      <c r="M35719" s="11"/>
      <c r="N35719" s="11"/>
      <c r="O35719" s="11"/>
      <c r="P35719" s="11"/>
    </row>
    <row r="35720" spans="8:16" x14ac:dyDescent="0.25">
      <c r="H35720" s="12"/>
      <c r="I35720" s="12"/>
      <c r="J35720" s="12"/>
      <c r="K35720" s="12"/>
      <c r="L35720" s="12"/>
      <c r="M35720" s="11"/>
      <c r="N35720" s="11"/>
      <c r="O35720" s="11"/>
      <c r="P35720" s="11"/>
    </row>
    <row r="35721" spans="8:16" x14ac:dyDescent="0.25">
      <c r="H35721" s="12"/>
      <c r="I35721" s="12"/>
      <c r="J35721" s="12"/>
      <c r="K35721" s="12"/>
      <c r="L35721" s="12"/>
      <c r="M35721" s="11"/>
      <c r="N35721" s="11"/>
      <c r="O35721" s="11"/>
      <c r="P35721" s="11"/>
    </row>
    <row r="35722" spans="8:16" x14ac:dyDescent="0.25">
      <c r="H35722" s="12"/>
      <c r="I35722" s="12"/>
      <c r="J35722" s="12"/>
      <c r="K35722" s="12"/>
      <c r="L35722" s="12"/>
      <c r="M35722" s="11"/>
      <c r="N35722" s="11"/>
      <c r="O35722" s="11"/>
      <c r="P35722" s="11"/>
    </row>
    <row r="35723" spans="8:16" x14ac:dyDescent="0.25">
      <c r="H35723" s="12"/>
      <c r="I35723" s="12"/>
      <c r="J35723" s="12"/>
      <c r="K35723" s="12"/>
      <c r="L35723" s="12"/>
      <c r="M35723" s="11"/>
      <c r="N35723" s="11"/>
      <c r="O35723" s="11"/>
      <c r="P35723" s="11"/>
    </row>
    <row r="35724" spans="8:16" x14ac:dyDescent="0.25">
      <c r="H35724" s="12"/>
      <c r="I35724" s="12"/>
      <c r="J35724" s="12"/>
      <c r="K35724" s="12"/>
      <c r="L35724" s="12"/>
      <c r="M35724" s="11"/>
      <c r="N35724" s="11"/>
      <c r="O35724" s="11"/>
      <c r="P35724" s="11"/>
    </row>
    <row r="35725" spans="8:16" x14ac:dyDescent="0.25">
      <c r="H35725" s="12"/>
      <c r="I35725" s="12"/>
      <c r="J35725" s="12"/>
      <c r="K35725" s="12"/>
      <c r="L35725" s="12"/>
      <c r="M35725" s="11"/>
      <c r="N35725" s="11"/>
      <c r="O35725" s="11"/>
      <c r="P35725" s="11"/>
    </row>
    <row r="35726" spans="8:16" x14ac:dyDescent="0.25">
      <c r="H35726" s="12"/>
      <c r="I35726" s="12"/>
      <c r="J35726" s="12"/>
      <c r="K35726" s="12"/>
      <c r="L35726" s="12"/>
      <c r="M35726" s="11"/>
      <c r="N35726" s="11"/>
      <c r="O35726" s="11"/>
      <c r="P35726" s="11"/>
    </row>
    <row r="35727" spans="8:16" x14ac:dyDescent="0.25">
      <c r="H35727" s="12"/>
      <c r="I35727" s="12"/>
      <c r="J35727" s="12"/>
      <c r="K35727" s="12"/>
      <c r="L35727" s="12"/>
      <c r="M35727" s="11"/>
      <c r="N35727" s="11"/>
      <c r="O35727" s="11"/>
      <c r="P35727" s="11"/>
    </row>
    <row r="35728" spans="8:16" x14ac:dyDescent="0.25">
      <c r="H35728" s="12"/>
      <c r="I35728" s="12"/>
      <c r="J35728" s="12"/>
      <c r="K35728" s="12"/>
      <c r="L35728" s="12"/>
      <c r="M35728" s="11"/>
      <c r="N35728" s="11"/>
      <c r="O35728" s="11"/>
      <c r="P35728" s="11"/>
    </row>
    <row r="35729" spans="8:16" x14ac:dyDescent="0.25">
      <c r="H35729" s="12"/>
      <c r="I35729" s="12"/>
      <c r="J35729" s="12"/>
      <c r="K35729" s="12"/>
      <c r="L35729" s="12"/>
      <c r="M35729" s="11"/>
      <c r="N35729" s="11"/>
      <c r="O35729" s="11"/>
      <c r="P35729" s="11"/>
    </row>
    <row r="35730" spans="8:16" x14ac:dyDescent="0.25">
      <c r="H35730" s="12"/>
      <c r="I35730" s="12"/>
      <c r="J35730" s="12"/>
      <c r="K35730" s="12"/>
      <c r="L35730" s="12"/>
      <c r="M35730" s="11"/>
      <c r="N35730" s="11"/>
      <c r="O35730" s="11"/>
      <c r="P35730" s="11"/>
    </row>
    <row r="35731" spans="8:16" x14ac:dyDescent="0.25">
      <c r="H35731" s="12"/>
      <c r="I35731" s="12"/>
      <c r="J35731" s="12"/>
      <c r="K35731" s="12"/>
      <c r="L35731" s="12"/>
      <c r="M35731" s="11"/>
      <c r="N35731" s="11"/>
      <c r="O35731" s="11"/>
      <c r="P35731" s="11"/>
    </row>
    <row r="35732" spans="8:16" x14ac:dyDescent="0.25">
      <c r="H35732" s="12"/>
      <c r="I35732" s="12"/>
      <c r="J35732" s="12"/>
      <c r="K35732" s="12"/>
      <c r="L35732" s="12"/>
      <c r="M35732" s="11"/>
      <c r="N35732" s="11"/>
      <c r="O35732" s="11"/>
      <c r="P35732" s="11"/>
    </row>
    <row r="35733" spans="8:16" x14ac:dyDescent="0.25">
      <c r="H35733" s="12"/>
      <c r="I35733" s="12"/>
      <c r="J35733" s="12"/>
      <c r="K35733" s="12"/>
      <c r="L35733" s="12"/>
      <c r="M35733" s="11"/>
      <c r="N35733" s="11"/>
      <c r="O35733" s="11"/>
      <c r="P35733" s="11"/>
    </row>
    <row r="35734" spans="8:16" x14ac:dyDescent="0.25">
      <c r="H35734" s="12"/>
      <c r="I35734" s="12"/>
      <c r="J35734" s="12"/>
      <c r="K35734" s="12"/>
      <c r="L35734" s="12"/>
      <c r="M35734" s="11"/>
      <c r="N35734" s="11"/>
      <c r="O35734" s="11"/>
      <c r="P35734" s="11"/>
    </row>
    <row r="35735" spans="8:16" x14ac:dyDescent="0.25">
      <c r="H35735" s="12"/>
      <c r="I35735" s="12"/>
      <c r="J35735" s="12"/>
      <c r="K35735" s="12"/>
      <c r="L35735" s="12"/>
      <c r="M35735" s="11"/>
      <c r="N35735" s="11"/>
      <c r="O35735" s="11"/>
      <c r="P35735" s="11"/>
    </row>
    <row r="35736" spans="8:16" x14ac:dyDescent="0.25">
      <c r="H35736" s="12"/>
      <c r="I35736" s="12"/>
      <c r="J35736" s="12"/>
      <c r="K35736" s="12"/>
      <c r="L35736" s="12"/>
      <c r="M35736" s="11"/>
      <c r="N35736" s="11"/>
      <c r="O35736" s="11"/>
      <c r="P35736" s="11"/>
    </row>
    <row r="35737" spans="8:16" x14ac:dyDescent="0.25">
      <c r="H35737" s="12"/>
      <c r="I35737" s="12"/>
      <c r="J35737" s="12"/>
      <c r="K35737" s="12"/>
      <c r="L35737" s="12"/>
      <c r="M35737" s="11"/>
      <c r="N35737" s="11"/>
      <c r="O35737" s="11"/>
      <c r="P35737" s="11"/>
    </row>
    <row r="35738" spans="8:16" x14ac:dyDescent="0.25">
      <c r="H35738" s="12"/>
      <c r="I35738" s="12"/>
      <c r="J35738" s="12"/>
      <c r="K35738" s="12"/>
      <c r="L35738" s="12"/>
      <c r="M35738" s="11"/>
      <c r="N35738" s="11"/>
      <c r="O35738" s="11"/>
      <c r="P35738" s="11"/>
    </row>
    <row r="35739" spans="8:16" x14ac:dyDescent="0.25">
      <c r="H35739" s="12"/>
      <c r="I35739" s="12"/>
      <c r="J35739" s="12"/>
      <c r="K35739" s="12"/>
      <c r="L35739" s="12"/>
      <c r="M35739" s="11"/>
      <c r="N35739" s="11"/>
      <c r="O35739" s="11"/>
      <c r="P35739" s="11"/>
    </row>
    <row r="35740" spans="8:16" x14ac:dyDescent="0.25">
      <c r="H35740" s="12"/>
      <c r="I35740" s="12"/>
      <c r="J35740" s="12"/>
      <c r="K35740" s="12"/>
      <c r="L35740" s="12"/>
      <c r="M35740" s="11"/>
      <c r="N35740" s="11"/>
      <c r="O35740" s="11"/>
      <c r="P35740" s="11"/>
    </row>
    <row r="35741" spans="8:16" x14ac:dyDescent="0.25">
      <c r="H35741" s="12"/>
      <c r="I35741" s="12"/>
      <c r="J35741" s="12"/>
      <c r="K35741" s="12"/>
      <c r="L35741" s="12"/>
      <c r="M35741" s="11"/>
      <c r="N35741" s="11"/>
      <c r="O35741" s="11"/>
      <c r="P35741" s="11"/>
    </row>
    <row r="35742" spans="8:16" x14ac:dyDescent="0.25">
      <c r="H35742" s="12"/>
      <c r="I35742" s="12"/>
      <c r="J35742" s="12"/>
      <c r="K35742" s="12"/>
      <c r="L35742" s="12"/>
      <c r="M35742" s="11"/>
      <c r="N35742" s="11"/>
      <c r="O35742" s="11"/>
      <c r="P35742" s="11"/>
    </row>
    <row r="35743" spans="8:16" x14ac:dyDescent="0.25">
      <c r="H35743" s="12"/>
      <c r="I35743" s="12"/>
      <c r="J35743" s="12"/>
      <c r="K35743" s="12"/>
      <c r="L35743" s="12"/>
      <c r="M35743" s="11"/>
      <c r="N35743" s="11"/>
      <c r="O35743" s="11"/>
      <c r="P35743" s="11"/>
    </row>
    <row r="35744" spans="8:16" x14ac:dyDescent="0.25">
      <c r="H35744" s="12"/>
      <c r="I35744" s="12"/>
      <c r="J35744" s="12"/>
      <c r="K35744" s="12"/>
      <c r="L35744" s="12"/>
      <c r="M35744" s="11"/>
      <c r="N35744" s="11"/>
      <c r="O35744" s="11"/>
      <c r="P35744" s="11"/>
    </row>
    <row r="35745" spans="8:16" x14ac:dyDescent="0.25">
      <c r="H35745" s="12"/>
      <c r="I35745" s="12"/>
      <c r="J35745" s="12"/>
      <c r="K35745" s="12"/>
      <c r="L35745" s="12"/>
      <c r="M35745" s="11"/>
      <c r="N35745" s="11"/>
      <c r="O35745" s="11"/>
      <c r="P35745" s="11"/>
    </row>
    <row r="35746" spans="8:16" x14ac:dyDescent="0.25">
      <c r="H35746" s="12"/>
      <c r="I35746" s="12"/>
      <c r="J35746" s="12"/>
      <c r="K35746" s="12"/>
      <c r="L35746" s="12"/>
      <c r="M35746" s="11"/>
      <c r="N35746" s="11"/>
      <c r="O35746" s="11"/>
      <c r="P35746" s="11"/>
    </row>
    <row r="35747" spans="8:16" x14ac:dyDescent="0.25">
      <c r="H35747" s="12"/>
      <c r="I35747" s="12"/>
      <c r="J35747" s="12"/>
      <c r="K35747" s="12"/>
      <c r="L35747" s="12"/>
      <c r="M35747" s="11"/>
      <c r="N35747" s="11"/>
      <c r="O35747" s="11"/>
      <c r="P35747" s="11"/>
    </row>
    <row r="35748" spans="8:16" x14ac:dyDescent="0.25">
      <c r="H35748" s="12"/>
      <c r="I35748" s="12"/>
      <c r="J35748" s="12"/>
      <c r="K35748" s="12"/>
      <c r="L35748" s="12"/>
      <c r="M35748" s="11"/>
      <c r="N35748" s="11"/>
      <c r="O35748" s="11"/>
      <c r="P35748" s="11"/>
    </row>
    <row r="35749" spans="8:16" x14ac:dyDescent="0.25">
      <c r="H35749" s="12"/>
      <c r="I35749" s="12"/>
      <c r="J35749" s="12"/>
      <c r="K35749" s="12"/>
      <c r="L35749" s="12"/>
      <c r="M35749" s="11"/>
      <c r="N35749" s="11"/>
      <c r="O35749" s="11"/>
      <c r="P35749" s="11"/>
    </row>
    <row r="35750" spans="8:16" x14ac:dyDescent="0.25">
      <c r="H35750" s="12"/>
      <c r="I35750" s="12"/>
      <c r="J35750" s="12"/>
      <c r="K35750" s="12"/>
      <c r="L35750" s="12"/>
      <c r="M35750" s="11"/>
      <c r="N35750" s="11"/>
      <c r="O35750" s="11"/>
      <c r="P35750" s="11"/>
    </row>
    <row r="35751" spans="8:16" x14ac:dyDescent="0.25">
      <c r="H35751" s="12"/>
      <c r="I35751" s="12"/>
      <c r="J35751" s="12"/>
      <c r="K35751" s="12"/>
      <c r="L35751" s="12"/>
      <c r="M35751" s="11"/>
      <c r="N35751" s="11"/>
      <c r="O35751" s="11"/>
      <c r="P35751" s="11"/>
    </row>
    <row r="35752" spans="8:16" x14ac:dyDescent="0.25">
      <c r="H35752" s="12"/>
      <c r="I35752" s="12"/>
      <c r="J35752" s="12"/>
      <c r="K35752" s="12"/>
      <c r="L35752" s="12"/>
      <c r="M35752" s="11"/>
      <c r="N35752" s="11"/>
      <c r="O35752" s="11"/>
      <c r="P35752" s="11"/>
    </row>
    <row r="35753" spans="8:16" x14ac:dyDescent="0.25">
      <c r="H35753" s="12"/>
      <c r="I35753" s="12"/>
      <c r="J35753" s="12"/>
      <c r="K35753" s="12"/>
      <c r="L35753" s="12"/>
      <c r="M35753" s="11"/>
      <c r="N35753" s="11"/>
      <c r="O35753" s="11"/>
      <c r="P35753" s="11"/>
    </row>
    <row r="35754" spans="8:16" x14ac:dyDescent="0.25">
      <c r="H35754" s="12"/>
      <c r="I35754" s="12"/>
      <c r="J35754" s="12"/>
      <c r="K35754" s="12"/>
      <c r="L35754" s="12"/>
      <c r="M35754" s="11"/>
      <c r="N35754" s="11"/>
      <c r="O35754" s="11"/>
      <c r="P35754" s="11"/>
    </row>
    <row r="35755" spans="8:16" x14ac:dyDescent="0.25">
      <c r="H35755" s="12"/>
      <c r="I35755" s="12"/>
      <c r="J35755" s="12"/>
      <c r="K35755" s="12"/>
      <c r="L35755" s="12"/>
      <c r="M35755" s="11"/>
      <c r="N35755" s="11"/>
      <c r="O35755" s="11"/>
      <c r="P35755" s="11"/>
    </row>
    <row r="35756" spans="8:16" x14ac:dyDescent="0.25">
      <c r="H35756" s="12"/>
      <c r="I35756" s="12"/>
      <c r="J35756" s="12"/>
      <c r="K35756" s="12"/>
      <c r="L35756" s="12"/>
      <c r="M35756" s="11"/>
      <c r="N35756" s="11"/>
      <c r="O35756" s="11"/>
      <c r="P35756" s="11"/>
    </row>
    <row r="35757" spans="8:16" x14ac:dyDescent="0.25">
      <c r="H35757" s="12"/>
      <c r="I35757" s="12"/>
      <c r="J35757" s="12"/>
      <c r="K35757" s="12"/>
      <c r="L35757" s="12"/>
      <c r="M35757" s="11"/>
      <c r="N35757" s="11"/>
      <c r="O35757" s="11"/>
      <c r="P35757" s="11"/>
    </row>
    <row r="35758" spans="8:16" x14ac:dyDescent="0.25">
      <c r="H35758" s="12"/>
      <c r="I35758" s="12"/>
      <c r="J35758" s="12"/>
      <c r="K35758" s="12"/>
      <c r="L35758" s="12"/>
      <c r="M35758" s="11"/>
      <c r="N35758" s="11"/>
      <c r="O35758" s="11"/>
      <c r="P35758" s="11"/>
    </row>
    <row r="35759" spans="8:16" x14ac:dyDescent="0.25">
      <c r="H35759" s="12"/>
      <c r="I35759" s="12"/>
      <c r="J35759" s="12"/>
      <c r="K35759" s="12"/>
      <c r="L35759" s="12"/>
      <c r="M35759" s="11"/>
      <c r="N35759" s="11"/>
      <c r="O35759" s="11"/>
      <c r="P35759" s="11"/>
    </row>
    <row r="35760" spans="8:16" x14ac:dyDescent="0.25">
      <c r="H35760" s="12"/>
      <c r="I35760" s="12"/>
      <c r="J35760" s="12"/>
      <c r="K35760" s="12"/>
      <c r="L35760" s="12"/>
      <c r="M35760" s="11"/>
      <c r="N35760" s="11"/>
      <c r="O35760" s="11"/>
      <c r="P35760" s="11"/>
    </row>
    <row r="35761" spans="8:16" x14ac:dyDescent="0.25">
      <c r="H35761" s="12"/>
      <c r="I35761" s="12"/>
      <c r="J35761" s="12"/>
      <c r="K35761" s="12"/>
      <c r="L35761" s="12"/>
      <c r="M35761" s="11"/>
      <c r="N35761" s="11"/>
      <c r="O35761" s="11"/>
      <c r="P35761" s="11"/>
    </row>
    <row r="35762" spans="8:16" x14ac:dyDescent="0.25">
      <c r="H35762" s="12"/>
      <c r="I35762" s="12"/>
      <c r="J35762" s="12"/>
      <c r="K35762" s="12"/>
      <c r="L35762" s="12"/>
      <c r="M35762" s="11"/>
      <c r="N35762" s="11"/>
      <c r="O35762" s="11"/>
      <c r="P35762" s="11"/>
    </row>
    <row r="35763" spans="8:16" x14ac:dyDescent="0.25">
      <c r="H35763" s="12"/>
      <c r="I35763" s="12"/>
      <c r="J35763" s="12"/>
      <c r="K35763" s="12"/>
      <c r="L35763" s="12"/>
      <c r="M35763" s="11"/>
      <c r="N35763" s="11"/>
      <c r="O35763" s="11"/>
      <c r="P35763" s="11"/>
    </row>
    <row r="35764" spans="8:16" x14ac:dyDescent="0.25">
      <c r="H35764" s="12"/>
      <c r="I35764" s="12"/>
      <c r="J35764" s="12"/>
      <c r="K35764" s="12"/>
      <c r="L35764" s="12"/>
      <c r="M35764" s="11"/>
      <c r="N35764" s="11"/>
      <c r="O35764" s="11"/>
      <c r="P35764" s="11"/>
    </row>
    <row r="35765" spans="8:16" x14ac:dyDescent="0.25">
      <c r="H35765" s="12"/>
      <c r="I35765" s="12"/>
      <c r="J35765" s="12"/>
      <c r="K35765" s="12"/>
      <c r="L35765" s="12"/>
      <c r="M35765" s="11"/>
      <c r="N35765" s="11"/>
      <c r="O35765" s="11"/>
      <c r="P35765" s="11"/>
    </row>
    <row r="35766" spans="8:16" x14ac:dyDescent="0.25">
      <c r="H35766" s="12"/>
      <c r="I35766" s="12"/>
      <c r="J35766" s="12"/>
      <c r="K35766" s="12"/>
      <c r="L35766" s="12"/>
      <c r="M35766" s="11"/>
      <c r="N35766" s="11"/>
      <c r="O35766" s="11"/>
      <c r="P35766" s="11"/>
    </row>
    <row r="35767" spans="8:16" x14ac:dyDescent="0.25">
      <c r="H35767" s="12"/>
      <c r="I35767" s="12"/>
      <c r="J35767" s="12"/>
      <c r="K35767" s="12"/>
      <c r="L35767" s="12"/>
      <c r="M35767" s="11"/>
      <c r="N35767" s="11"/>
      <c r="O35767" s="11"/>
      <c r="P35767" s="11"/>
    </row>
    <row r="35768" spans="8:16" x14ac:dyDescent="0.25">
      <c r="H35768" s="12"/>
      <c r="I35768" s="12"/>
      <c r="J35768" s="12"/>
      <c r="K35768" s="12"/>
      <c r="L35768" s="12"/>
      <c r="M35768" s="11"/>
      <c r="N35768" s="11"/>
      <c r="O35768" s="11"/>
      <c r="P35768" s="11"/>
    </row>
    <row r="35769" spans="8:16" x14ac:dyDescent="0.25">
      <c r="H35769" s="12"/>
      <c r="I35769" s="12"/>
      <c r="J35769" s="12"/>
      <c r="K35769" s="12"/>
      <c r="L35769" s="12"/>
      <c r="M35769" s="11"/>
      <c r="N35769" s="11"/>
      <c r="O35769" s="11"/>
      <c r="P35769" s="11"/>
    </row>
    <row r="35770" spans="8:16" x14ac:dyDescent="0.25">
      <c r="H35770" s="12"/>
      <c r="I35770" s="12"/>
      <c r="J35770" s="12"/>
      <c r="K35770" s="12"/>
      <c r="L35770" s="12"/>
      <c r="M35770" s="11"/>
      <c r="N35770" s="11"/>
      <c r="O35770" s="11"/>
      <c r="P35770" s="11"/>
    </row>
    <row r="35771" spans="8:16" x14ac:dyDescent="0.25">
      <c r="H35771" s="12"/>
      <c r="I35771" s="12"/>
      <c r="J35771" s="12"/>
      <c r="K35771" s="12"/>
      <c r="L35771" s="12"/>
      <c r="M35771" s="11"/>
      <c r="N35771" s="11"/>
      <c r="O35771" s="11"/>
      <c r="P35771" s="11"/>
    </row>
    <row r="35772" spans="8:16" x14ac:dyDescent="0.25">
      <c r="H35772" s="12"/>
      <c r="I35772" s="12"/>
      <c r="J35772" s="12"/>
      <c r="K35772" s="12"/>
      <c r="L35772" s="12"/>
      <c r="M35772" s="11"/>
      <c r="N35772" s="11"/>
      <c r="O35772" s="11"/>
      <c r="P35772" s="11"/>
    </row>
    <row r="35773" spans="8:16" x14ac:dyDescent="0.25">
      <c r="H35773" s="12"/>
      <c r="I35773" s="12"/>
      <c r="J35773" s="12"/>
      <c r="K35773" s="12"/>
      <c r="L35773" s="12"/>
      <c r="M35773" s="11"/>
      <c r="N35773" s="11"/>
      <c r="O35773" s="11"/>
      <c r="P35773" s="11"/>
    </row>
    <row r="35774" spans="8:16" x14ac:dyDescent="0.25">
      <c r="H35774" s="12"/>
      <c r="I35774" s="12"/>
      <c r="J35774" s="12"/>
      <c r="K35774" s="12"/>
      <c r="L35774" s="12"/>
      <c r="M35774" s="11"/>
      <c r="N35774" s="11"/>
      <c r="O35774" s="11"/>
      <c r="P35774" s="11"/>
    </row>
    <row r="35775" spans="8:16" x14ac:dyDescent="0.25">
      <c r="H35775" s="12"/>
      <c r="I35775" s="12"/>
      <c r="J35775" s="12"/>
      <c r="K35775" s="12"/>
      <c r="L35775" s="12"/>
      <c r="M35775" s="11"/>
      <c r="N35775" s="11"/>
      <c r="O35775" s="11"/>
      <c r="P35775" s="11"/>
    </row>
    <row r="35776" spans="8:16" x14ac:dyDescent="0.25">
      <c r="H35776" s="12"/>
      <c r="I35776" s="12"/>
      <c r="J35776" s="12"/>
      <c r="K35776" s="12"/>
      <c r="L35776" s="12"/>
      <c r="M35776" s="11"/>
      <c r="N35776" s="11"/>
      <c r="O35776" s="11"/>
      <c r="P35776" s="11"/>
    </row>
    <row r="35777" spans="8:16" x14ac:dyDescent="0.25">
      <c r="H35777" s="12"/>
      <c r="I35777" s="12"/>
      <c r="J35777" s="12"/>
      <c r="K35777" s="12"/>
      <c r="L35777" s="12"/>
      <c r="M35777" s="11"/>
      <c r="N35777" s="11"/>
      <c r="O35777" s="11"/>
      <c r="P35777" s="11"/>
    </row>
    <row r="35778" spans="8:16" x14ac:dyDescent="0.25">
      <c r="H35778" s="12"/>
      <c r="I35778" s="12"/>
      <c r="J35778" s="12"/>
      <c r="K35778" s="12"/>
      <c r="L35778" s="12"/>
      <c r="M35778" s="11"/>
      <c r="N35778" s="11"/>
      <c r="O35778" s="11"/>
      <c r="P35778" s="11"/>
    </row>
    <row r="35779" spans="8:16" x14ac:dyDescent="0.25">
      <c r="H35779" s="12"/>
      <c r="I35779" s="12"/>
      <c r="J35779" s="12"/>
      <c r="K35779" s="12"/>
      <c r="L35779" s="12"/>
      <c r="M35779" s="11"/>
      <c r="N35779" s="11"/>
      <c r="O35779" s="11"/>
      <c r="P35779" s="11"/>
    </row>
    <row r="35780" spans="8:16" x14ac:dyDescent="0.25">
      <c r="H35780" s="12"/>
      <c r="I35780" s="12"/>
      <c r="J35780" s="12"/>
      <c r="K35780" s="12"/>
      <c r="L35780" s="12"/>
      <c r="M35780" s="11"/>
      <c r="N35780" s="11"/>
      <c r="O35780" s="11"/>
      <c r="P35780" s="11"/>
    </row>
    <row r="35781" spans="8:16" x14ac:dyDescent="0.25">
      <c r="H35781" s="12"/>
      <c r="I35781" s="12"/>
      <c r="J35781" s="12"/>
      <c r="K35781" s="12"/>
      <c r="L35781" s="12"/>
      <c r="M35781" s="11"/>
      <c r="N35781" s="11"/>
      <c r="O35781" s="11"/>
      <c r="P35781" s="11"/>
    </row>
    <row r="35782" spans="8:16" x14ac:dyDescent="0.25">
      <c r="H35782" s="12"/>
      <c r="I35782" s="12"/>
      <c r="J35782" s="12"/>
      <c r="K35782" s="12"/>
      <c r="L35782" s="12"/>
      <c r="M35782" s="11"/>
      <c r="N35782" s="11"/>
      <c r="O35782" s="11"/>
      <c r="P35782" s="11"/>
    </row>
    <row r="35783" spans="8:16" x14ac:dyDescent="0.25">
      <c r="H35783" s="12"/>
      <c r="I35783" s="12"/>
      <c r="J35783" s="12"/>
      <c r="K35783" s="12"/>
      <c r="L35783" s="12"/>
      <c r="M35783" s="11"/>
      <c r="N35783" s="11"/>
      <c r="O35783" s="11"/>
      <c r="P35783" s="11"/>
    </row>
    <row r="35784" spans="8:16" x14ac:dyDescent="0.25">
      <c r="H35784" s="12"/>
      <c r="I35784" s="12"/>
      <c r="J35784" s="12"/>
      <c r="K35784" s="12"/>
      <c r="L35784" s="12"/>
      <c r="M35784" s="11"/>
      <c r="N35784" s="11"/>
      <c r="O35784" s="11"/>
      <c r="P35784" s="11"/>
    </row>
    <row r="35785" spans="8:16" x14ac:dyDescent="0.25">
      <c r="H35785" s="12"/>
      <c r="I35785" s="12"/>
      <c r="J35785" s="12"/>
      <c r="K35785" s="12"/>
      <c r="L35785" s="12"/>
      <c r="M35785" s="11"/>
      <c r="N35785" s="11"/>
      <c r="O35785" s="11"/>
      <c r="P35785" s="11"/>
    </row>
    <row r="35786" spans="8:16" x14ac:dyDescent="0.25">
      <c r="H35786" s="12"/>
      <c r="I35786" s="12"/>
      <c r="J35786" s="12"/>
      <c r="K35786" s="12"/>
      <c r="L35786" s="12"/>
      <c r="M35786" s="11"/>
      <c r="N35786" s="11"/>
      <c r="O35786" s="11"/>
      <c r="P35786" s="11"/>
    </row>
    <row r="35787" spans="8:16" x14ac:dyDescent="0.25">
      <c r="H35787" s="12"/>
      <c r="I35787" s="12"/>
      <c r="J35787" s="12"/>
      <c r="K35787" s="12"/>
      <c r="L35787" s="12"/>
      <c r="M35787" s="11"/>
      <c r="N35787" s="11"/>
      <c r="O35787" s="11"/>
      <c r="P35787" s="11"/>
    </row>
    <row r="35788" spans="8:16" x14ac:dyDescent="0.25">
      <c r="H35788" s="12"/>
      <c r="I35788" s="12"/>
      <c r="J35788" s="12"/>
      <c r="K35788" s="12"/>
      <c r="L35788" s="12"/>
      <c r="M35788" s="11"/>
      <c r="N35788" s="11"/>
      <c r="O35788" s="11"/>
      <c r="P35788" s="11"/>
    </row>
    <row r="35789" spans="8:16" x14ac:dyDescent="0.25">
      <c r="H35789" s="12"/>
      <c r="I35789" s="12"/>
      <c r="J35789" s="12"/>
      <c r="K35789" s="12"/>
      <c r="L35789" s="12"/>
      <c r="M35789" s="11"/>
      <c r="N35789" s="11"/>
      <c r="O35789" s="11"/>
      <c r="P35789" s="11"/>
    </row>
    <row r="35790" spans="8:16" x14ac:dyDescent="0.25">
      <c r="H35790" s="12"/>
      <c r="I35790" s="12"/>
      <c r="J35790" s="12"/>
      <c r="K35790" s="12"/>
      <c r="L35790" s="12"/>
      <c r="M35790" s="11"/>
      <c r="N35790" s="11"/>
      <c r="O35790" s="11"/>
      <c r="P35790" s="11"/>
    </row>
    <row r="35791" spans="8:16" x14ac:dyDescent="0.25">
      <c r="H35791" s="12"/>
      <c r="I35791" s="12"/>
      <c r="J35791" s="12"/>
      <c r="K35791" s="12"/>
      <c r="L35791" s="12"/>
      <c r="M35791" s="11"/>
      <c r="N35791" s="11"/>
      <c r="O35791" s="11"/>
      <c r="P35791" s="11"/>
    </row>
    <row r="35792" spans="8:16" x14ac:dyDescent="0.25">
      <c r="H35792" s="12"/>
      <c r="I35792" s="12"/>
      <c r="J35792" s="12"/>
      <c r="K35792" s="12"/>
      <c r="L35792" s="12"/>
      <c r="M35792" s="11"/>
      <c r="N35792" s="11"/>
      <c r="O35792" s="11"/>
      <c r="P35792" s="11"/>
    </row>
    <row r="35793" spans="8:16" x14ac:dyDescent="0.25">
      <c r="H35793" s="12"/>
      <c r="I35793" s="12"/>
      <c r="J35793" s="12"/>
      <c r="K35793" s="12"/>
      <c r="L35793" s="12"/>
      <c r="M35793" s="11"/>
      <c r="N35793" s="11"/>
      <c r="O35793" s="11"/>
      <c r="P35793" s="11"/>
    </row>
    <row r="35794" spans="8:16" x14ac:dyDescent="0.25">
      <c r="H35794" s="12"/>
      <c r="I35794" s="12"/>
      <c r="J35794" s="12"/>
      <c r="K35794" s="12"/>
      <c r="L35794" s="12"/>
      <c r="M35794" s="11"/>
      <c r="N35794" s="11"/>
      <c r="O35794" s="11"/>
      <c r="P35794" s="11"/>
    </row>
    <row r="35795" spans="8:16" x14ac:dyDescent="0.25">
      <c r="H35795" s="12"/>
      <c r="I35795" s="12"/>
      <c r="J35795" s="12"/>
      <c r="K35795" s="12"/>
      <c r="L35795" s="12"/>
      <c r="M35795" s="11"/>
      <c r="N35795" s="11"/>
      <c r="O35795" s="11"/>
      <c r="P35795" s="11"/>
    </row>
    <row r="35796" spans="8:16" x14ac:dyDescent="0.25">
      <c r="H35796" s="12"/>
      <c r="I35796" s="12"/>
      <c r="J35796" s="12"/>
      <c r="K35796" s="12"/>
      <c r="L35796" s="12"/>
      <c r="M35796" s="11"/>
      <c r="N35796" s="11"/>
      <c r="O35796" s="11"/>
      <c r="P35796" s="11"/>
    </row>
    <row r="35797" spans="8:16" x14ac:dyDescent="0.25">
      <c r="H35797" s="12"/>
      <c r="I35797" s="12"/>
      <c r="J35797" s="12"/>
      <c r="K35797" s="12"/>
      <c r="L35797" s="12"/>
      <c r="M35797" s="11"/>
      <c r="N35797" s="11"/>
      <c r="O35797" s="11"/>
      <c r="P35797" s="11"/>
    </row>
    <row r="35798" spans="8:16" x14ac:dyDescent="0.25">
      <c r="H35798" s="12"/>
      <c r="I35798" s="12"/>
      <c r="J35798" s="12"/>
      <c r="K35798" s="12"/>
      <c r="L35798" s="12"/>
      <c r="M35798" s="11"/>
      <c r="N35798" s="11"/>
      <c r="O35798" s="11"/>
      <c r="P35798" s="11"/>
    </row>
    <row r="35799" spans="8:16" x14ac:dyDescent="0.25">
      <c r="H35799" s="12"/>
      <c r="I35799" s="12"/>
      <c r="J35799" s="12"/>
      <c r="K35799" s="12"/>
      <c r="L35799" s="12"/>
      <c r="M35799" s="11"/>
      <c r="N35799" s="11"/>
      <c r="O35799" s="11"/>
      <c r="P35799" s="11"/>
    </row>
    <row r="35800" spans="8:16" x14ac:dyDescent="0.25">
      <c r="H35800" s="12"/>
      <c r="I35800" s="12"/>
      <c r="J35800" s="12"/>
      <c r="K35800" s="12"/>
      <c r="L35800" s="12"/>
      <c r="M35800" s="11"/>
      <c r="N35800" s="11"/>
      <c r="O35800" s="11"/>
      <c r="P35800" s="11"/>
    </row>
    <row r="35801" spans="8:16" x14ac:dyDescent="0.25">
      <c r="H35801" s="12"/>
      <c r="I35801" s="12"/>
      <c r="J35801" s="12"/>
      <c r="K35801" s="12"/>
      <c r="L35801" s="12"/>
      <c r="M35801" s="11"/>
      <c r="N35801" s="11"/>
      <c r="O35801" s="11"/>
      <c r="P35801" s="11"/>
    </row>
    <row r="35802" spans="8:16" x14ac:dyDescent="0.25">
      <c r="H35802" s="12"/>
      <c r="I35802" s="12"/>
      <c r="J35802" s="12"/>
      <c r="K35802" s="12"/>
      <c r="L35802" s="12"/>
      <c r="M35802" s="11"/>
      <c r="N35802" s="11"/>
      <c r="O35802" s="11"/>
      <c r="P35802" s="11"/>
    </row>
    <row r="35803" spans="8:16" x14ac:dyDescent="0.25">
      <c r="H35803" s="12"/>
      <c r="I35803" s="12"/>
      <c r="J35803" s="12"/>
      <c r="K35803" s="12"/>
      <c r="L35803" s="12"/>
      <c r="M35803" s="11"/>
      <c r="N35803" s="11"/>
      <c r="O35803" s="11"/>
      <c r="P35803" s="11"/>
    </row>
    <row r="35804" spans="8:16" x14ac:dyDescent="0.25">
      <c r="H35804" s="12"/>
      <c r="I35804" s="12"/>
      <c r="J35804" s="12"/>
      <c r="K35804" s="12"/>
      <c r="L35804" s="12"/>
      <c r="M35804" s="11"/>
      <c r="N35804" s="11"/>
      <c r="O35804" s="11"/>
      <c r="P35804" s="11"/>
    </row>
    <row r="35805" spans="8:16" x14ac:dyDescent="0.25">
      <c r="H35805" s="12"/>
      <c r="I35805" s="12"/>
      <c r="J35805" s="12"/>
      <c r="K35805" s="12"/>
      <c r="L35805" s="12"/>
      <c r="M35805" s="11"/>
      <c r="N35805" s="11"/>
      <c r="O35805" s="11"/>
      <c r="P35805" s="11"/>
    </row>
    <row r="35806" spans="8:16" x14ac:dyDescent="0.25">
      <c r="H35806" s="12"/>
      <c r="I35806" s="12"/>
      <c r="J35806" s="12"/>
      <c r="K35806" s="12"/>
      <c r="L35806" s="12"/>
      <c r="M35806" s="11"/>
      <c r="N35806" s="11"/>
      <c r="O35806" s="11"/>
      <c r="P35806" s="11"/>
    </row>
    <row r="35807" spans="8:16" x14ac:dyDescent="0.25">
      <c r="H35807" s="12"/>
      <c r="I35807" s="12"/>
      <c r="J35807" s="12"/>
      <c r="K35807" s="12"/>
      <c r="L35807" s="12"/>
      <c r="M35807" s="11"/>
      <c r="N35807" s="11"/>
      <c r="O35807" s="11"/>
      <c r="P35807" s="11"/>
    </row>
    <row r="35808" spans="8:16" x14ac:dyDescent="0.25">
      <c r="H35808" s="12"/>
      <c r="I35808" s="12"/>
      <c r="J35808" s="12"/>
      <c r="K35808" s="12"/>
      <c r="L35808" s="12"/>
      <c r="M35808" s="11"/>
      <c r="N35808" s="11"/>
      <c r="O35808" s="11"/>
      <c r="P35808" s="11"/>
    </row>
    <row r="35809" spans="8:16" x14ac:dyDescent="0.25">
      <c r="H35809" s="12"/>
      <c r="I35809" s="12"/>
      <c r="J35809" s="12"/>
      <c r="K35809" s="12"/>
      <c r="L35809" s="12"/>
      <c r="M35809" s="11"/>
      <c r="N35809" s="11"/>
      <c r="O35809" s="11"/>
      <c r="P35809" s="11"/>
    </row>
    <row r="35810" spans="8:16" x14ac:dyDescent="0.25">
      <c r="H35810" s="12"/>
      <c r="I35810" s="12"/>
      <c r="J35810" s="12"/>
      <c r="K35810" s="12"/>
      <c r="L35810" s="12"/>
      <c r="M35810" s="11"/>
      <c r="N35810" s="11"/>
      <c r="O35810" s="11"/>
      <c r="P35810" s="11"/>
    </row>
    <row r="35811" spans="8:16" x14ac:dyDescent="0.25">
      <c r="H35811" s="12"/>
      <c r="I35811" s="12"/>
      <c r="J35811" s="12"/>
      <c r="K35811" s="12"/>
      <c r="L35811" s="12"/>
      <c r="M35811" s="11"/>
      <c r="N35811" s="11"/>
      <c r="O35811" s="11"/>
      <c r="P35811" s="11"/>
    </row>
    <row r="35812" spans="8:16" x14ac:dyDescent="0.25">
      <c r="H35812" s="12"/>
      <c r="I35812" s="12"/>
      <c r="J35812" s="12"/>
      <c r="K35812" s="12"/>
      <c r="L35812" s="12"/>
      <c r="M35812" s="11"/>
      <c r="N35812" s="11"/>
      <c r="O35812" s="11"/>
      <c r="P35812" s="11"/>
    </row>
    <row r="35813" spans="8:16" x14ac:dyDescent="0.25">
      <c r="H35813" s="12"/>
      <c r="I35813" s="12"/>
      <c r="J35813" s="12"/>
      <c r="K35813" s="12"/>
      <c r="L35813" s="12"/>
      <c r="M35813" s="11"/>
      <c r="N35813" s="11"/>
      <c r="O35813" s="11"/>
      <c r="P35813" s="11"/>
    </row>
    <row r="35814" spans="8:16" x14ac:dyDescent="0.25">
      <c r="H35814" s="12"/>
      <c r="I35814" s="12"/>
      <c r="J35814" s="12"/>
      <c r="K35814" s="12"/>
      <c r="L35814" s="12"/>
      <c r="M35814" s="11"/>
      <c r="N35814" s="11"/>
      <c r="O35814" s="11"/>
      <c r="P35814" s="11"/>
    </row>
    <row r="35815" spans="8:16" x14ac:dyDescent="0.25">
      <c r="H35815" s="12"/>
      <c r="I35815" s="12"/>
      <c r="J35815" s="12"/>
      <c r="K35815" s="12"/>
      <c r="L35815" s="12"/>
      <c r="M35815" s="11"/>
      <c r="N35815" s="11"/>
      <c r="O35815" s="11"/>
      <c r="P35815" s="11"/>
    </row>
    <row r="35816" spans="8:16" x14ac:dyDescent="0.25">
      <c r="H35816" s="12"/>
      <c r="I35816" s="12"/>
      <c r="J35816" s="12"/>
      <c r="K35816" s="12"/>
      <c r="L35816" s="12"/>
      <c r="M35816" s="11"/>
      <c r="N35816" s="11"/>
      <c r="O35816" s="11"/>
      <c r="P35816" s="11"/>
    </row>
    <row r="35817" spans="8:16" x14ac:dyDescent="0.25">
      <c r="H35817" s="12"/>
      <c r="I35817" s="12"/>
      <c r="J35817" s="12"/>
      <c r="K35817" s="12"/>
      <c r="L35817" s="12"/>
      <c r="M35817" s="11"/>
      <c r="N35817" s="11"/>
      <c r="O35817" s="11"/>
      <c r="P35817" s="11"/>
    </row>
    <row r="35818" spans="8:16" x14ac:dyDescent="0.25">
      <c r="H35818" s="12"/>
      <c r="I35818" s="12"/>
      <c r="J35818" s="12"/>
      <c r="K35818" s="12"/>
      <c r="L35818" s="12"/>
      <c r="M35818" s="11"/>
      <c r="N35818" s="11"/>
      <c r="O35818" s="11"/>
      <c r="P35818" s="11"/>
    </row>
    <row r="35819" spans="8:16" x14ac:dyDescent="0.25">
      <c r="H35819" s="12"/>
      <c r="I35819" s="12"/>
      <c r="J35819" s="12"/>
      <c r="K35819" s="12"/>
      <c r="L35819" s="12"/>
      <c r="M35819" s="11"/>
      <c r="N35819" s="11"/>
      <c r="O35819" s="11"/>
      <c r="P35819" s="11"/>
    </row>
    <row r="35820" spans="8:16" x14ac:dyDescent="0.25">
      <c r="H35820" s="12"/>
      <c r="I35820" s="12"/>
      <c r="J35820" s="12"/>
      <c r="K35820" s="12"/>
      <c r="L35820" s="12"/>
      <c r="M35820" s="11"/>
      <c r="N35820" s="11"/>
      <c r="O35820" s="11"/>
      <c r="P35820" s="11"/>
    </row>
    <row r="35821" spans="8:16" x14ac:dyDescent="0.25">
      <c r="H35821" s="12"/>
      <c r="I35821" s="12"/>
      <c r="J35821" s="12"/>
      <c r="K35821" s="12"/>
      <c r="L35821" s="12"/>
      <c r="M35821" s="11"/>
      <c r="N35821" s="11"/>
      <c r="O35821" s="11"/>
      <c r="P35821" s="11"/>
    </row>
    <row r="35822" spans="8:16" x14ac:dyDescent="0.25">
      <c r="H35822" s="12"/>
      <c r="I35822" s="12"/>
      <c r="J35822" s="12"/>
      <c r="K35822" s="12"/>
      <c r="L35822" s="12"/>
      <c r="M35822" s="11"/>
      <c r="N35822" s="11"/>
      <c r="O35822" s="11"/>
      <c r="P35822" s="11"/>
    </row>
    <row r="35823" spans="8:16" x14ac:dyDescent="0.25">
      <c r="H35823" s="12"/>
      <c r="I35823" s="12"/>
      <c r="J35823" s="12"/>
      <c r="K35823" s="12"/>
      <c r="L35823" s="12"/>
      <c r="M35823" s="11"/>
      <c r="N35823" s="11"/>
      <c r="O35823" s="11"/>
      <c r="P35823" s="11"/>
    </row>
    <row r="35824" spans="8:16" x14ac:dyDescent="0.25">
      <c r="H35824" s="12"/>
      <c r="I35824" s="12"/>
      <c r="J35824" s="12"/>
      <c r="K35824" s="12"/>
      <c r="L35824" s="12"/>
      <c r="M35824" s="11"/>
      <c r="N35824" s="11"/>
      <c r="O35824" s="11"/>
      <c r="P35824" s="11"/>
    </row>
    <row r="35825" spans="8:16" x14ac:dyDescent="0.25">
      <c r="H35825" s="12"/>
      <c r="I35825" s="12"/>
      <c r="J35825" s="12"/>
      <c r="K35825" s="12"/>
      <c r="L35825" s="12"/>
      <c r="M35825" s="11"/>
      <c r="N35825" s="11"/>
      <c r="O35825" s="11"/>
      <c r="P35825" s="11"/>
    </row>
    <row r="35826" spans="8:16" x14ac:dyDescent="0.25">
      <c r="H35826" s="12"/>
      <c r="I35826" s="12"/>
      <c r="J35826" s="12"/>
      <c r="K35826" s="12"/>
      <c r="L35826" s="12"/>
      <c r="M35826" s="11"/>
      <c r="N35826" s="11"/>
      <c r="O35826" s="11"/>
      <c r="P35826" s="11"/>
    </row>
    <row r="35827" spans="8:16" x14ac:dyDescent="0.25">
      <c r="H35827" s="12"/>
      <c r="I35827" s="12"/>
      <c r="J35827" s="12"/>
      <c r="K35827" s="12"/>
      <c r="L35827" s="12"/>
      <c r="M35827" s="11"/>
      <c r="N35827" s="11"/>
      <c r="O35827" s="11"/>
      <c r="P35827" s="11"/>
    </row>
    <row r="35828" spans="8:16" x14ac:dyDescent="0.25">
      <c r="H35828" s="12"/>
      <c r="I35828" s="12"/>
      <c r="J35828" s="12"/>
      <c r="K35828" s="12"/>
      <c r="L35828" s="12"/>
      <c r="M35828" s="11"/>
      <c r="N35828" s="11"/>
      <c r="O35828" s="11"/>
      <c r="P35828" s="11"/>
    </row>
    <row r="35829" spans="8:16" x14ac:dyDescent="0.25">
      <c r="H35829" s="12"/>
      <c r="I35829" s="12"/>
      <c r="J35829" s="12"/>
      <c r="K35829" s="12"/>
      <c r="L35829" s="12"/>
      <c r="M35829" s="11"/>
      <c r="N35829" s="11"/>
      <c r="O35829" s="11"/>
      <c r="P35829" s="11"/>
    </row>
    <row r="35830" spans="8:16" x14ac:dyDescent="0.25">
      <c r="H35830" s="12"/>
      <c r="I35830" s="12"/>
      <c r="J35830" s="12"/>
      <c r="K35830" s="12"/>
      <c r="L35830" s="12"/>
      <c r="M35830" s="11"/>
      <c r="N35830" s="11"/>
      <c r="O35830" s="11"/>
      <c r="P35830" s="11"/>
    </row>
    <row r="35831" spans="8:16" x14ac:dyDescent="0.25">
      <c r="H35831" s="12"/>
      <c r="I35831" s="12"/>
      <c r="J35831" s="12"/>
      <c r="K35831" s="12"/>
      <c r="L35831" s="12"/>
      <c r="M35831" s="11"/>
      <c r="N35831" s="11"/>
      <c r="O35831" s="11"/>
      <c r="P35831" s="11"/>
    </row>
    <row r="35832" spans="8:16" x14ac:dyDescent="0.25">
      <c r="H35832" s="12"/>
      <c r="I35832" s="12"/>
      <c r="J35832" s="12"/>
      <c r="K35832" s="12"/>
      <c r="L35832" s="12"/>
      <c r="M35832" s="11"/>
      <c r="N35832" s="11"/>
      <c r="O35832" s="11"/>
      <c r="P35832" s="11"/>
    </row>
    <row r="35833" spans="8:16" x14ac:dyDescent="0.25">
      <c r="H35833" s="12"/>
      <c r="I35833" s="12"/>
      <c r="J35833" s="12"/>
      <c r="K35833" s="12"/>
      <c r="L35833" s="12"/>
      <c r="M35833" s="11"/>
      <c r="N35833" s="11"/>
      <c r="O35833" s="11"/>
      <c r="P35833" s="11"/>
    </row>
    <row r="35834" spans="8:16" x14ac:dyDescent="0.25">
      <c r="H35834" s="12"/>
      <c r="I35834" s="12"/>
      <c r="J35834" s="12"/>
      <c r="K35834" s="12"/>
      <c r="L35834" s="12"/>
      <c r="M35834" s="11"/>
      <c r="N35834" s="11"/>
      <c r="O35834" s="11"/>
      <c r="P35834" s="11"/>
    </row>
    <row r="35835" spans="8:16" x14ac:dyDescent="0.25">
      <c r="H35835" s="12"/>
      <c r="I35835" s="12"/>
      <c r="J35835" s="12"/>
      <c r="K35835" s="12"/>
      <c r="L35835" s="12"/>
      <c r="M35835" s="11"/>
      <c r="N35835" s="11"/>
      <c r="O35835" s="11"/>
      <c r="P35835" s="11"/>
    </row>
    <row r="35836" spans="8:16" x14ac:dyDescent="0.25">
      <c r="H35836" s="12"/>
      <c r="I35836" s="12"/>
      <c r="J35836" s="12"/>
      <c r="K35836" s="12"/>
      <c r="L35836" s="12"/>
      <c r="M35836" s="11"/>
      <c r="N35836" s="11"/>
      <c r="O35836" s="11"/>
      <c r="P35836" s="11"/>
    </row>
    <row r="35837" spans="8:16" x14ac:dyDescent="0.25">
      <c r="H35837" s="12"/>
      <c r="I35837" s="12"/>
      <c r="J35837" s="12"/>
      <c r="K35837" s="12"/>
      <c r="L35837" s="12"/>
      <c r="M35837" s="11"/>
      <c r="N35837" s="11"/>
      <c r="O35837" s="11"/>
      <c r="P35837" s="11"/>
    </row>
    <row r="35838" spans="8:16" x14ac:dyDescent="0.25">
      <c r="H35838" s="12"/>
      <c r="I35838" s="12"/>
      <c r="J35838" s="12"/>
      <c r="K35838" s="12"/>
      <c r="L35838" s="12"/>
      <c r="M35838" s="11"/>
      <c r="N35838" s="11"/>
      <c r="O35838" s="11"/>
      <c r="P35838" s="11"/>
    </row>
    <row r="35839" spans="8:16" x14ac:dyDescent="0.25">
      <c r="H35839" s="12"/>
      <c r="I35839" s="12"/>
      <c r="J35839" s="12"/>
      <c r="K35839" s="12"/>
      <c r="L35839" s="12"/>
      <c r="M35839" s="11"/>
      <c r="N35839" s="11"/>
      <c r="O35839" s="11"/>
      <c r="P35839" s="11"/>
    </row>
    <row r="35840" spans="8:16" x14ac:dyDescent="0.25">
      <c r="H35840" s="12"/>
      <c r="I35840" s="12"/>
      <c r="J35840" s="12"/>
      <c r="K35840" s="12"/>
      <c r="L35840" s="12"/>
      <c r="M35840" s="11"/>
      <c r="N35840" s="11"/>
      <c r="O35840" s="11"/>
      <c r="P35840" s="11"/>
    </row>
    <row r="35841" spans="8:16" x14ac:dyDescent="0.25">
      <c r="H35841" s="12"/>
      <c r="I35841" s="12"/>
      <c r="J35841" s="12"/>
      <c r="K35841" s="12"/>
      <c r="L35841" s="12"/>
      <c r="M35841" s="11"/>
      <c r="N35841" s="11"/>
      <c r="O35841" s="11"/>
      <c r="P35841" s="11"/>
    </row>
    <row r="35842" spans="8:16" x14ac:dyDescent="0.25">
      <c r="H35842" s="12"/>
      <c r="I35842" s="12"/>
      <c r="J35842" s="12"/>
      <c r="K35842" s="12"/>
      <c r="L35842" s="12"/>
      <c r="M35842" s="11"/>
      <c r="N35842" s="11"/>
      <c r="O35842" s="11"/>
      <c r="P35842" s="11"/>
    </row>
    <row r="35843" spans="8:16" x14ac:dyDescent="0.25">
      <c r="H35843" s="12"/>
      <c r="I35843" s="12"/>
      <c r="J35843" s="12"/>
      <c r="K35843" s="12"/>
      <c r="L35843" s="12"/>
      <c r="M35843" s="11"/>
      <c r="N35843" s="11"/>
      <c r="O35843" s="11"/>
      <c r="P35843" s="11"/>
    </row>
    <row r="35844" spans="8:16" x14ac:dyDescent="0.25">
      <c r="H35844" s="12"/>
      <c r="I35844" s="12"/>
      <c r="J35844" s="12"/>
      <c r="K35844" s="12"/>
      <c r="L35844" s="12"/>
      <c r="M35844" s="11"/>
      <c r="N35844" s="11"/>
      <c r="O35844" s="11"/>
      <c r="P35844" s="11"/>
    </row>
    <row r="35845" spans="8:16" x14ac:dyDescent="0.25">
      <c r="H35845" s="12"/>
      <c r="I35845" s="12"/>
      <c r="J35845" s="12"/>
      <c r="K35845" s="12"/>
      <c r="L35845" s="12"/>
      <c r="M35845" s="11"/>
      <c r="N35845" s="11"/>
      <c r="O35845" s="11"/>
      <c r="P35845" s="11"/>
    </row>
    <row r="35846" spans="8:16" x14ac:dyDescent="0.25">
      <c r="H35846" s="12"/>
      <c r="I35846" s="12"/>
      <c r="J35846" s="12"/>
      <c r="K35846" s="12"/>
      <c r="L35846" s="12"/>
      <c r="M35846" s="11"/>
      <c r="N35846" s="11"/>
      <c r="O35846" s="11"/>
      <c r="P35846" s="11"/>
    </row>
    <row r="35847" spans="8:16" x14ac:dyDescent="0.25">
      <c r="H35847" s="12"/>
      <c r="I35847" s="12"/>
      <c r="J35847" s="12"/>
      <c r="K35847" s="12"/>
      <c r="L35847" s="12"/>
      <c r="M35847" s="11"/>
      <c r="N35847" s="11"/>
      <c r="O35847" s="11"/>
      <c r="P35847" s="11"/>
    </row>
    <row r="35848" spans="8:16" x14ac:dyDescent="0.25">
      <c r="H35848" s="12"/>
      <c r="I35848" s="12"/>
      <c r="J35848" s="12"/>
      <c r="K35848" s="12"/>
      <c r="L35848" s="12"/>
      <c r="M35848" s="11"/>
      <c r="N35848" s="11"/>
      <c r="O35848" s="11"/>
      <c r="P35848" s="11"/>
    </row>
    <row r="35849" spans="8:16" x14ac:dyDescent="0.25">
      <c r="H35849" s="12"/>
      <c r="I35849" s="12"/>
      <c r="J35849" s="12"/>
      <c r="K35849" s="12"/>
      <c r="L35849" s="12"/>
      <c r="M35849" s="11"/>
      <c r="N35849" s="11"/>
      <c r="O35849" s="11"/>
      <c r="P35849" s="11"/>
    </row>
    <row r="35850" spans="8:16" x14ac:dyDescent="0.25">
      <c r="H35850" s="12"/>
      <c r="I35850" s="12"/>
      <c r="J35850" s="12"/>
      <c r="K35850" s="12"/>
      <c r="L35850" s="12"/>
      <c r="M35850" s="11"/>
      <c r="N35850" s="11"/>
      <c r="O35850" s="11"/>
      <c r="P35850" s="11"/>
    </row>
    <row r="35851" spans="8:16" x14ac:dyDescent="0.25">
      <c r="H35851" s="12"/>
      <c r="I35851" s="12"/>
      <c r="J35851" s="12"/>
      <c r="K35851" s="12"/>
      <c r="L35851" s="12"/>
      <c r="M35851" s="11"/>
      <c r="N35851" s="11"/>
      <c r="O35851" s="11"/>
      <c r="P35851" s="11"/>
    </row>
    <row r="35852" spans="8:16" x14ac:dyDescent="0.25">
      <c r="H35852" s="12"/>
      <c r="I35852" s="12"/>
      <c r="J35852" s="12"/>
      <c r="K35852" s="12"/>
      <c r="L35852" s="12"/>
      <c r="M35852" s="11"/>
      <c r="N35852" s="11"/>
      <c r="O35852" s="11"/>
      <c r="P35852" s="11"/>
    </row>
    <row r="35853" spans="8:16" x14ac:dyDescent="0.25">
      <c r="H35853" s="12"/>
      <c r="I35853" s="12"/>
      <c r="J35853" s="12"/>
      <c r="K35853" s="12"/>
      <c r="L35853" s="12"/>
      <c r="M35853" s="11"/>
      <c r="N35853" s="11"/>
      <c r="O35853" s="11"/>
      <c r="P35853" s="11"/>
    </row>
    <row r="35854" spans="8:16" x14ac:dyDescent="0.25">
      <c r="H35854" s="12"/>
      <c r="I35854" s="12"/>
      <c r="J35854" s="12"/>
      <c r="K35854" s="12"/>
      <c r="L35854" s="12"/>
      <c r="M35854" s="11"/>
      <c r="N35854" s="11"/>
      <c r="O35854" s="11"/>
      <c r="P35854" s="11"/>
    </row>
    <row r="35855" spans="8:16" x14ac:dyDescent="0.25">
      <c r="H35855" s="12"/>
      <c r="I35855" s="12"/>
      <c r="J35855" s="12"/>
      <c r="K35855" s="12"/>
      <c r="L35855" s="12"/>
      <c r="M35855" s="11"/>
      <c r="N35855" s="11"/>
      <c r="O35855" s="11"/>
      <c r="P35855" s="11"/>
    </row>
    <row r="35856" spans="8:16" x14ac:dyDescent="0.25">
      <c r="H35856" s="12"/>
      <c r="I35856" s="12"/>
      <c r="J35856" s="12"/>
      <c r="K35856" s="12"/>
      <c r="L35856" s="12"/>
      <c r="M35856" s="11"/>
      <c r="N35856" s="11"/>
      <c r="O35856" s="11"/>
      <c r="P35856" s="11"/>
    </row>
    <row r="35857" spans="8:16" x14ac:dyDescent="0.25">
      <c r="H35857" s="12"/>
      <c r="I35857" s="12"/>
      <c r="J35857" s="12"/>
      <c r="K35857" s="12"/>
      <c r="L35857" s="12"/>
      <c r="M35857" s="11"/>
      <c r="N35857" s="11"/>
      <c r="O35857" s="11"/>
      <c r="P35857" s="11"/>
    </row>
    <row r="35858" spans="8:16" x14ac:dyDescent="0.25">
      <c r="H35858" s="12"/>
      <c r="I35858" s="12"/>
      <c r="J35858" s="12"/>
      <c r="K35858" s="12"/>
      <c r="L35858" s="12"/>
      <c r="M35858" s="11"/>
      <c r="N35858" s="11"/>
      <c r="O35858" s="11"/>
      <c r="P35858" s="11"/>
    </row>
    <row r="35859" spans="8:16" x14ac:dyDescent="0.25">
      <c r="H35859" s="12"/>
      <c r="I35859" s="12"/>
      <c r="J35859" s="12"/>
      <c r="K35859" s="12"/>
      <c r="L35859" s="12"/>
      <c r="M35859" s="11"/>
      <c r="N35859" s="11"/>
      <c r="O35859" s="11"/>
      <c r="P35859" s="11"/>
    </row>
    <row r="35860" spans="8:16" x14ac:dyDescent="0.25">
      <c r="H35860" s="12"/>
      <c r="I35860" s="12"/>
      <c r="J35860" s="12"/>
      <c r="K35860" s="12"/>
      <c r="L35860" s="12"/>
      <c r="M35860" s="11"/>
      <c r="N35860" s="11"/>
      <c r="O35860" s="11"/>
      <c r="P35860" s="11"/>
    </row>
    <row r="35861" spans="8:16" x14ac:dyDescent="0.25">
      <c r="H35861" s="12"/>
      <c r="I35861" s="12"/>
      <c r="J35861" s="12"/>
      <c r="K35861" s="12"/>
      <c r="L35861" s="12"/>
      <c r="M35861" s="11"/>
      <c r="N35861" s="11"/>
      <c r="O35861" s="11"/>
      <c r="P35861" s="11"/>
    </row>
    <row r="35862" spans="8:16" x14ac:dyDescent="0.25">
      <c r="H35862" s="12"/>
      <c r="I35862" s="12"/>
      <c r="J35862" s="12"/>
      <c r="K35862" s="12"/>
      <c r="L35862" s="12"/>
      <c r="M35862" s="11"/>
      <c r="N35862" s="11"/>
      <c r="O35862" s="11"/>
      <c r="P35862" s="11"/>
    </row>
    <row r="35863" spans="8:16" x14ac:dyDescent="0.25">
      <c r="H35863" s="12"/>
      <c r="I35863" s="12"/>
      <c r="J35863" s="12"/>
      <c r="K35863" s="12"/>
      <c r="L35863" s="12"/>
      <c r="M35863" s="11"/>
      <c r="N35863" s="11"/>
      <c r="O35863" s="11"/>
      <c r="P35863" s="11"/>
    </row>
    <row r="35864" spans="8:16" x14ac:dyDescent="0.25">
      <c r="H35864" s="12"/>
      <c r="I35864" s="12"/>
      <c r="J35864" s="12"/>
      <c r="K35864" s="12"/>
      <c r="L35864" s="12"/>
      <c r="M35864" s="11"/>
      <c r="N35864" s="11"/>
      <c r="O35864" s="11"/>
      <c r="P35864" s="11"/>
    </row>
    <row r="35865" spans="8:16" x14ac:dyDescent="0.25">
      <c r="H35865" s="12"/>
      <c r="I35865" s="12"/>
      <c r="J35865" s="12"/>
      <c r="K35865" s="12"/>
      <c r="L35865" s="12"/>
      <c r="M35865" s="11"/>
      <c r="N35865" s="11"/>
      <c r="O35865" s="11"/>
      <c r="P35865" s="11"/>
    </row>
    <row r="35866" spans="8:16" x14ac:dyDescent="0.25">
      <c r="H35866" s="12"/>
      <c r="I35866" s="12"/>
      <c r="J35866" s="12"/>
      <c r="K35866" s="12"/>
      <c r="L35866" s="12"/>
      <c r="M35866" s="11"/>
      <c r="N35866" s="11"/>
      <c r="O35866" s="11"/>
      <c r="P35866" s="11"/>
    </row>
    <row r="35867" spans="8:16" x14ac:dyDescent="0.25">
      <c r="H35867" s="12"/>
      <c r="I35867" s="12"/>
      <c r="J35867" s="12"/>
      <c r="K35867" s="12"/>
      <c r="L35867" s="12"/>
      <c r="M35867" s="11"/>
      <c r="N35867" s="11"/>
      <c r="O35867" s="11"/>
      <c r="P35867" s="11"/>
    </row>
    <row r="35868" spans="8:16" x14ac:dyDescent="0.25">
      <c r="H35868" s="12"/>
      <c r="I35868" s="12"/>
      <c r="J35868" s="12"/>
      <c r="K35868" s="12"/>
      <c r="L35868" s="12"/>
      <c r="M35868" s="11"/>
      <c r="N35868" s="11"/>
      <c r="O35868" s="11"/>
      <c r="P35868" s="11"/>
    </row>
    <row r="35869" spans="8:16" x14ac:dyDescent="0.25">
      <c r="H35869" s="12"/>
      <c r="I35869" s="12"/>
      <c r="J35869" s="12"/>
      <c r="K35869" s="12"/>
      <c r="L35869" s="12"/>
      <c r="M35869" s="11"/>
      <c r="N35869" s="11"/>
      <c r="O35869" s="11"/>
      <c r="P35869" s="11"/>
    </row>
    <row r="35870" spans="8:16" x14ac:dyDescent="0.25">
      <c r="H35870" s="12"/>
      <c r="I35870" s="12"/>
      <c r="J35870" s="12"/>
      <c r="K35870" s="12"/>
      <c r="L35870" s="12"/>
      <c r="M35870" s="11"/>
      <c r="N35870" s="11"/>
      <c r="O35870" s="11"/>
      <c r="P35870" s="11"/>
    </row>
    <row r="35871" spans="8:16" x14ac:dyDescent="0.25">
      <c r="H35871" s="12"/>
      <c r="I35871" s="12"/>
      <c r="J35871" s="12"/>
      <c r="K35871" s="12"/>
      <c r="L35871" s="12"/>
      <c r="M35871" s="11"/>
      <c r="N35871" s="11"/>
      <c r="O35871" s="11"/>
      <c r="P35871" s="11"/>
    </row>
    <row r="35872" spans="8:16" x14ac:dyDescent="0.25">
      <c r="H35872" s="12"/>
      <c r="I35872" s="12"/>
      <c r="J35872" s="12"/>
      <c r="K35872" s="12"/>
      <c r="L35872" s="12"/>
      <c r="M35872" s="11"/>
      <c r="N35872" s="11"/>
      <c r="O35872" s="11"/>
      <c r="P35872" s="11"/>
    </row>
    <row r="35873" spans="8:16" x14ac:dyDescent="0.25">
      <c r="H35873" s="12"/>
      <c r="I35873" s="12"/>
      <c r="J35873" s="12"/>
      <c r="K35873" s="12"/>
      <c r="L35873" s="12"/>
      <c r="M35873" s="11"/>
      <c r="N35873" s="11"/>
      <c r="O35873" s="11"/>
      <c r="P35873" s="11"/>
    </row>
    <row r="35874" spans="8:16" x14ac:dyDescent="0.25">
      <c r="H35874" s="12"/>
      <c r="I35874" s="12"/>
      <c r="J35874" s="12"/>
      <c r="K35874" s="12"/>
      <c r="L35874" s="12"/>
      <c r="M35874" s="11"/>
      <c r="N35874" s="11"/>
      <c r="O35874" s="11"/>
      <c r="P35874" s="11"/>
    </row>
    <row r="35875" spans="8:16" x14ac:dyDescent="0.25">
      <c r="H35875" s="12"/>
      <c r="I35875" s="12"/>
      <c r="J35875" s="12"/>
      <c r="K35875" s="12"/>
      <c r="L35875" s="12"/>
      <c r="M35875" s="11"/>
      <c r="N35875" s="11"/>
      <c r="O35875" s="11"/>
      <c r="P35875" s="11"/>
    </row>
    <row r="35876" spans="8:16" x14ac:dyDescent="0.25">
      <c r="H35876" s="12"/>
      <c r="I35876" s="12"/>
      <c r="J35876" s="12"/>
      <c r="K35876" s="12"/>
      <c r="L35876" s="12"/>
      <c r="M35876" s="11"/>
      <c r="N35876" s="11"/>
      <c r="O35876" s="11"/>
      <c r="P35876" s="11"/>
    </row>
    <row r="35877" spans="8:16" x14ac:dyDescent="0.25">
      <c r="H35877" s="12"/>
      <c r="I35877" s="12"/>
      <c r="J35877" s="12"/>
      <c r="K35877" s="12"/>
      <c r="L35877" s="12"/>
      <c r="M35877" s="11"/>
      <c r="N35877" s="11"/>
      <c r="O35877" s="11"/>
      <c r="P35877" s="11"/>
    </row>
    <row r="35878" spans="8:16" x14ac:dyDescent="0.25">
      <c r="H35878" s="12"/>
      <c r="I35878" s="12"/>
      <c r="J35878" s="12"/>
      <c r="K35878" s="12"/>
      <c r="L35878" s="12"/>
      <c r="M35878" s="11"/>
      <c r="N35878" s="11"/>
      <c r="O35878" s="11"/>
      <c r="P35878" s="11"/>
    </row>
    <row r="35879" spans="8:16" x14ac:dyDescent="0.25">
      <c r="H35879" s="12"/>
      <c r="I35879" s="12"/>
      <c r="J35879" s="12"/>
      <c r="K35879" s="12"/>
      <c r="L35879" s="12"/>
      <c r="M35879" s="11"/>
      <c r="N35879" s="11"/>
      <c r="O35879" s="11"/>
      <c r="P35879" s="11"/>
    </row>
    <row r="35880" spans="8:16" x14ac:dyDescent="0.25">
      <c r="H35880" s="12"/>
      <c r="I35880" s="12"/>
      <c r="J35880" s="12"/>
      <c r="K35880" s="12"/>
      <c r="L35880" s="12"/>
      <c r="M35880" s="11"/>
      <c r="N35880" s="11"/>
      <c r="O35880" s="11"/>
      <c r="P35880" s="11"/>
    </row>
    <row r="35881" spans="8:16" x14ac:dyDescent="0.25">
      <c r="H35881" s="12"/>
      <c r="I35881" s="12"/>
      <c r="J35881" s="12"/>
      <c r="K35881" s="12"/>
      <c r="L35881" s="12"/>
      <c r="M35881" s="11"/>
      <c r="N35881" s="11"/>
      <c r="O35881" s="11"/>
      <c r="P35881" s="11"/>
    </row>
    <row r="35882" spans="8:16" x14ac:dyDescent="0.25">
      <c r="H35882" s="12"/>
      <c r="I35882" s="12"/>
      <c r="J35882" s="12"/>
      <c r="K35882" s="12"/>
      <c r="L35882" s="12"/>
      <c r="M35882" s="11"/>
      <c r="N35882" s="11"/>
      <c r="O35882" s="11"/>
      <c r="P35882" s="11"/>
    </row>
    <row r="35883" spans="8:16" x14ac:dyDescent="0.25">
      <c r="H35883" s="12"/>
      <c r="I35883" s="12"/>
      <c r="J35883" s="12"/>
      <c r="K35883" s="12"/>
      <c r="L35883" s="12"/>
      <c r="M35883" s="11"/>
      <c r="N35883" s="11"/>
      <c r="O35883" s="11"/>
      <c r="P35883" s="11"/>
    </row>
    <row r="35884" spans="8:16" x14ac:dyDescent="0.25">
      <c r="H35884" s="12"/>
      <c r="I35884" s="12"/>
      <c r="J35884" s="12"/>
      <c r="K35884" s="12"/>
      <c r="L35884" s="12"/>
      <c r="M35884" s="11"/>
      <c r="N35884" s="11"/>
      <c r="O35884" s="11"/>
      <c r="P35884" s="11"/>
    </row>
    <row r="35885" spans="8:16" x14ac:dyDescent="0.25">
      <c r="H35885" s="12"/>
      <c r="I35885" s="12"/>
      <c r="J35885" s="12"/>
      <c r="K35885" s="12"/>
      <c r="L35885" s="12"/>
      <c r="M35885" s="11"/>
      <c r="N35885" s="11"/>
      <c r="O35885" s="11"/>
      <c r="P35885" s="11"/>
    </row>
    <row r="35886" spans="8:16" x14ac:dyDescent="0.25">
      <c r="H35886" s="12"/>
      <c r="I35886" s="12"/>
      <c r="J35886" s="12"/>
      <c r="K35886" s="12"/>
      <c r="L35886" s="12"/>
      <c r="M35886" s="11"/>
      <c r="N35886" s="11"/>
      <c r="O35886" s="11"/>
      <c r="P35886" s="11"/>
    </row>
    <row r="35887" spans="8:16" x14ac:dyDescent="0.25">
      <c r="H35887" s="12"/>
      <c r="I35887" s="12"/>
      <c r="J35887" s="12"/>
      <c r="K35887" s="12"/>
      <c r="L35887" s="12"/>
      <c r="M35887" s="11"/>
      <c r="N35887" s="11"/>
      <c r="O35887" s="11"/>
      <c r="P35887" s="11"/>
    </row>
    <row r="35888" spans="8:16" x14ac:dyDescent="0.25">
      <c r="H35888" s="12"/>
      <c r="I35888" s="12"/>
      <c r="J35888" s="12"/>
      <c r="K35888" s="12"/>
      <c r="L35888" s="12"/>
      <c r="M35888" s="11"/>
      <c r="N35888" s="11"/>
      <c r="O35888" s="11"/>
      <c r="P35888" s="11"/>
    </row>
    <row r="35889" spans="8:16" x14ac:dyDescent="0.25">
      <c r="H35889" s="12"/>
      <c r="I35889" s="12"/>
      <c r="J35889" s="12"/>
      <c r="K35889" s="12"/>
      <c r="L35889" s="12"/>
      <c r="M35889" s="11"/>
      <c r="N35889" s="11"/>
      <c r="O35889" s="11"/>
      <c r="P35889" s="11"/>
    </row>
    <row r="35890" spans="8:16" x14ac:dyDescent="0.25">
      <c r="H35890" s="12"/>
      <c r="I35890" s="12"/>
      <c r="J35890" s="12"/>
      <c r="K35890" s="12"/>
      <c r="L35890" s="12"/>
      <c r="M35890" s="11"/>
      <c r="N35890" s="11"/>
      <c r="O35890" s="11"/>
      <c r="P35890" s="11"/>
    </row>
    <row r="35891" spans="8:16" x14ac:dyDescent="0.25">
      <c r="H35891" s="12"/>
      <c r="I35891" s="12"/>
      <c r="J35891" s="12"/>
      <c r="K35891" s="12"/>
      <c r="L35891" s="12"/>
      <c r="M35891" s="11"/>
      <c r="N35891" s="11"/>
      <c r="O35891" s="11"/>
      <c r="P35891" s="11"/>
    </row>
    <row r="35892" spans="8:16" x14ac:dyDescent="0.25">
      <c r="H35892" s="12"/>
      <c r="I35892" s="12"/>
      <c r="J35892" s="12"/>
      <c r="K35892" s="12"/>
      <c r="L35892" s="12"/>
      <c r="M35892" s="11"/>
      <c r="N35892" s="11"/>
      <c r="O35892" s="11"/>
      <c r="P35892" s="11"/>
    </row>
    <row r="35893" spans="8:16" x14ac:dyDescent="0.25">
      <c r="H35893" s="12"/>
      <c r="I35893" s="12"/>
      <c r="J35893" s="12"/>
      <c r="K35893" s="12"/>
      <c r="L35893" s="12"/>
      <c r="M35893" s="11"/>
      <c r="N35893" s="11"/>
      <c r="O35893" s="11"/>
      <c r="P35893" s="11"/>
    </row>
    <row r="35894" spans="8:16" x14ac:dyDescent="0.25">
      <c r="H35894" s="12"/>
      <c r="I35894" s="12"/>
      <c r="J35894" s="12"/>
      <c r="K35894" s="12"/>
      <c r="L35894" s="12"/>
      <c r="M35894" s="11"/>
      <c r="N35894" s="11"/>
      <c r="O35894" s="11"/>
      <c r="P35894" s="11"/>
    </row>
    <row r="35895" spans="8:16" x14ac:dyDescent="0.25">
      <c r="H35895" s="12"/>
      <c r="I35895" s="12"/>
      <c r="J35895" s="12"/>
      <c r="K35895" s="12"/>
      <c r="L35895" s="12"/>
      <c r="M35895" s="11"/>
      <c r="N35895" s="11"/>
      <c r="O35895" s="11"/>
      <c r="P35895" s="11"/>
    </row>
    <row r="35896" spans="8:16" x14ac:dyDescent="0.25">
      <c r="H35896" s="12"/>
      <c r="I35896" s="12"/>
      <c r="J35896" s="12"/>
      <c r="K35896" s="12"/>
      <c r="L35896" s="12"/>
      <c r="M35896" s="11"/>
      <c r="N35896" s="11"/>
      <c r="O35896" s="11"/>
      <c r="P35896" s="11"/>
    </row>
    <row r="35897" spans="8:16" x14ac:dyDescent="0.25">
      <c r="H35897" s="12"/>
      <c r="I35897" s="12"/>
      <c r="J35897" s="12"/>
      <c r="K35897" s="12"/>
      <c r="L35897" s="12"/>
      <c r="M35897" s="11"/>
      <c r="N35897" s="11"/>
      <c r="O35897" s="11"/>
      <c r="P35897" s="11"/>
    </row>
    <row r="35898" spans="8:16" x14ac:dyDescent="0.25">
      <c r="H35898" s="12"/>
      <c r="I35898" s="12"/>
      <c r="J35898" s="12"/>
      <c r="K35898" s="12"/>
      <c r="L35898" s="12"/>
      <c r="M35898" s="11"/>
      <c r="N35898" s="11"/>
      <c r="O35898" s="11"/>
      <c r="P35898" s="11"/>
    </row>
    <row r="35899" spans="8:16" x14ac:dyDescent="0.25">
      <c r="H35899" s="12"/>
      <c r="I35899" s="12"/>
      <c r="J35899" s="12"/>
      <c r="K35899" s="12"/>
      <c r="L35899" s="12"/>
      <c r="M35899" s="11"/>
      <c r="N35899" s="11"/>
      <c r="O35899" s="11"/>
      <c r="P35899" s="11"/>
    </row>
    <row r="35900" spans="8:16" x14ac:dyDescent="0.25">
      <c r="H35900" s="12"/>
      <c r="I35900" s="12"/>
      <c r="J35900" s="12"/>
      <c r="K35900" s="12"/>
      <c r="L35900" s="12"/>
      <c r="M35900" s="11"/>
      <c r="N35900" s="11"/>
      <c r="O35900" s="11"/>
      <c r="P35900" s="11"/>
    </row>
    <row r="35901" spans="8:16" x14ac:dyDescent="0.25">
      <c r="H35901" s="12"/>
      <c r="I35901" s="12"/>
      <c r="J35901" s="12"/>
      <c r="K35901" s="12"/>
      <c r="L35901" s="12"/>
      <c r="M35901" s="11"/>
      <c r="N35901" s="11"/>
      <c r="O35901" s="11"/>
      <c r="P35901" s="11"/>
    </row>
    <row r="35902" spans="8:16" x14ac:dyDescent="0.25">
      <c r="H35902" s="12"/>
      <c r="I35902" s="12"/>
      <c r="J35902" s="12"/>
      <c r="K35902" s="12"/>
      <c r="L35902" s="12"/>
      <c r="M35902" s="11"/>
      <c r="N35902" s="11"/>
      <c r="O35902" s="11"/>
      <c r="P35902" s="11"/>
    </row>
    <row r="35903" spans="8:16" x14ac:dyDescent="0.25">
      <c r="H35903" s="12"/>
      <c r="I35903" s="12"/>
      <c r="J35903" s="12"/>
      <c r="K35903" s="12"/>
      <c r="L35903" s="12"/>
      <c r="M35903" s="11"/>
      <c r="N35903" s="11"/>
      <c r="O35903" s="11"/>
      <c r="P35903" s="11"/>
    </row>
    <row r="35904" spans="8:16" x14ac:dyDescent="0.25">
      <c r="H35904" s="12"/>
      <c r="I35904" s="12"/>
      <c r="J35904" s="12"/>
      <c r="K35904" s="12"/>
      <c r="L35904" s="12"/>
      <c r="M35904" s="11"/>
      <c r="N35904" s="11"/>
      <c r="O35904" s="11"/>
      <c r="P35904" s="11"/>
    </row>
    <row r="35905" spans="8:16" x14ac:dyDescent="0.25">
      <c r="H35905" s="12"/>
      <c r="I35905" s="12"/>
      <c r="J35905" s="12"/>
      <c r="K35905" s="12"/>
      <c r="L35905" s="12"/>
      <c r="M35905" s="11"/>
      <c r="N35905" s="11"/>
      <c r="O35905" s="11"/>
      <c r="P35905" s="11"/>
    </row>
    <row r="35906" spans="8:16" x14ac:dyDescent="0.25">
      <c r="H35906" s="12"/>
      <c r="I35906" s="12"/>
      <c r="J35906" s="12"/>
      <c r="K35906" s="12"/>
      <c r="L35906" s="12"/>
      <c r="M35906" s="11"/>
      <c r="N35906" s="11"/>
      <c r="O35906" s="11"/>
      <c r="P35906" s="11"/>
    </row>
    <row r="35907" spans="8:16" x14ac:dyDescent="0.25">
      <c r="H35907" s="12"/>
      <c r="I35907" s="12"/>
      <c r="J35907" s="12"/>
      <c r="K35907" s="12"/>
      <c r="L35907" s="12"/>
      <c r="M35907" s="11"/>
      <c r="N35907" s="11"/>
      <c r="O35907" s="11"/>
      <c r="P35907" s="11"/>
    </row>
    <row r="35908" spans="8:16" x14ac:dyDescent="0.25">
      <c r="H35908" s="12"/>
      <c r="I35908" s="12"/>
      <c r="J35908" s="12"/>
      <c r="K35908" s="12"/>
      <c r="L35908" s="12"/>
      <c r="M35908" s="11"/>
      <c r="N35908" s="11"/>
      <c r="O35908" s="11"/>
      <c r="P35908" s="11"/>
    </row>
    <row r="35909" spans="8:16" x14ac:dyDescent="0.25">
      <c r="H35909" s="12"/>
      <c r="I35909" s="12"/>
      <c r="J35909" s="12"/>
      <c r="K35909" s="12"/>
      <c r="L35909" s="12"/>
      <c r="M35909" s="11"/>
      <c r="N35909" s="11"/>
      <c r="O35909" s="11"/>
      <c r="P35909" s="11"/>
    </row>
    <row r="35910" spans="8:16" x14ac:dyDescent="0.25">
      <c r="H35910" s="12"/>
      <c r="I35910" s="12"/>
      <c r="J35910" s="12"/>
      <c r="K35910" s="12"/>
      <c r="L35910" s="12"/>
      <c r="M35910" s="11"/>
      <c r="N35910" s="11"/>
      <c r="O35910" s="11"/>
      <c r="P35910" s="11"/>
    </row>
    <row r="35911" spans="8:16" x14ac:dyDescent="0.25">
      <c r="H35911" s="12"/>
      <c r="I35911" s="12"/>
      <c r="J35911" s="12"/>
      <c r="K35911" s="12"/>
      <c r="L35911" s="12"/>
      <c r="M35911" s="11"/>
      <c r="N35911" s="11"/>
      <c r="O35911" s="11"/>
      <c r="P35911" s="11"/>
    </row>
    <row r="35912" spans="8:16" x14ac:dyDescent="0.25">
      <c r="H35912" s="12"/>
      <c r="I35912" s="12"/>
      <c r="J35912" s="12"/>
      <c r="K35912" s="12"/>
      <c r="L35912" s="12"/>
      <c r="M35912" s="11"/>
      <c r="N35912" s="11"/>
      <c r="O35912" s="11"/>
      <c r="P35912" s="11"/>
    </row>
    <row r="35913" spans="8:16" x14ac:dyDescent="0.25">
      <c r="H35913" s="12"/>
      <c r="I35913" s="12"/>
      <c r="J35913" s="12"/>
      <c r="K35913" s="12"/>
      <c r="L35913" s="12"/>
      <c r="M35913" s="11"/>
      <c r="N35913" s="11"/>
      <c r="O35913" s="11"/>
      <c r="P35913" s="11"/>
    </row>
    <row r="35914" spans="8:16" x14ac:dyDescent="0.25">
      <c r="H35914" s="12"/>
      <c r="I35914" s="12"/>
      <c r="J35914" s="12"/>
      <c r="K35914" s="12"/>
      <c r="L35914" s="12"/>
      <c r="M35914" s="11"/>
      <c r="N35914" s="11"/>
      <c r="O35914" s="11"/>
      <c r="P35914" s="11"/>
    </row>
    <row r="35915" spans="8:16" x14ac:dyDescent="0.25">
      <c r="H35915" s="12"/>
      <c r="I35915" s="12"/>
      <c r="J35915" s="12"/>
      <c r="K35915" s="12"/>
      <c r="L35915" s="12"/>
      <c r="M35915" s="11"/>
      <c r="N35915" s="11"/>
      <c r="O35915" s="11"/>
      <c r="P35915" s="11"/>
    </row>
    <row r="35916" spans="8:16" x14ac:dyDescent="0.25">
      <c r="H35916" s="12"/>
      <c r="I35916" s="12"/>
      <c r="J35916" s="12"/>
      <c r="K35916" s="12"/>
      <c r="L35916" s="12"/>
      <c r="M35916" s="11"/>
      <c r="N35916" s="11"/>
      <c r="O35916" s="11"/>
      <c r="P35916" s="11"/>
    </row>
    <row r="35917" spans="8:16" x14ac:dyDescent="0.25">
      <c r="H35917" s="12"/>
      <c r="I35917" s="12"/>
      <c r="J35917" s="12"/>
      <c r="K35917" s="12"/>
      <c r="L35917" s="12"/>
      <c r="M35917" s="11"/>
      <c r="N35917" s="11"/>
      <c r="O35917" s="11"/>
      <c r="P35917" s="11"/>
    </row>
    <row r="35918" spans="8:16" x14ac:dyDescent="0.25">
      <c r="H35918" s="12"/>
      <c r="I35918" s="12"/>
      <c r="J35918" s="12"/>
      <c r="K35918" s="12"/>
      <c r="L35918" s="12"/>
      <c r="M35918" s="11"/>
      <c r="N35918" s="11"/>
      <c r="O35918" s="11"/>
      <c r="P35918" s="11"/>
    </row>
    <row r="35919" spans="8:16" x14ac:dyDescent="0.25">
      <c r="H35919" s="12"/>
      <c r="I35919" s="12"/>
      <c r="J35919" s="12"/>
      <c r="K35919" s="12"/>
      <c r="L35919" s="12"/>
      <c r="M35919" s="11"/>
      <c r="N35919" s="11"/>
      <c r="O35919" s="11"/>
      <c r="P35919" s="11"/>
    </row>
    <row r="35920" spans="8:16" x14ac:dyDescent="0.25">
      <c r="H35920" s="12"/>
      <c r="I35920" s="12"/>
      <c r="J35920" s="12"/>
      <c r="K35920" s="12"/>
      <c r="L35920" s="12"/>
      <c r="M35920" s="11"/>
      <c r="N35920" s="11"/>
      <c r="O35920" s="11"/>
      <c r="P35920" s="11"/>
    </row>
    <row r="35921" spans="8:16" x14ac:dyDescent="0.25">
      <c r="H35921" s="12"/>
      <c r="I35921" s="12"/>
      <c r="J35921" s="12"/>
      <c r="K35921" s="12"/>
      <c r="L35921" s="12"/>
      <c r="M35921" s="11"/>
      <c r="N35921" s="11"/>
      <c r="O35921" s="11"/>
      <c r="P35921" s="11"/>
    </row>
    <row r="35922" spans="8:16" x14ac:dyDescent="0.25">
      <c r="H35922" s="12"/>
      <c r="I35922" s="12"/>
      <c r="J35922" s="12"/>
      <c r="K35922" s="12"/>
      <c r="L35922" s="12"/>
      <c r="M35922" s="11"/>
      <c r="N35922" s="11"/>
      <c r="O35922" s="11"/>
      <c r="P35922" s="11"/>
    </row>
    <row r="35923" spans="8:16" x14ac:dyDescent="0.25">
      <c r="H35923" s="12"/>
      <c r="I35923" s="12"/>
      <c r="J35923" s="12"/>
      <c r="K35923" s="12"/>
      <c r="L35923" s="12"/>
      <c r="M35923" s="11"/>
      <c r="N35923" s="11"/>
      <c r="O35923" s="11"/>
      <c r="P35923" s="11"/>
    </row>
    <row r="35924" spans="8:16" x14ac:dyDescent="0.25">
      <c r="H35924" s="12"/>
      <c r="I35924" s="12"/>
      <c r="J35924" s="12"/>
      <c r="K35924" s="12"/>
      <c r="L35924" s="12"/>
      <c r="M35924" s="11"/>
      <c r="N35924" s="11"/>
      <c r="O35924" s="11"/>
      <c r="P35924" s="11"/>
    </row>
    <row r="35925" spans="8:16" x14ac:dyDescent="0.25">
      <c r="H35925" s="12"/>
      <c r="I35925" s="12"/>
      <c r="J35925" s="12"/>
      <c r="K35925" s="12"/>
      <c r="L35925" s="12"/>
      <c r="M35925" s="11"/>
      <c r="N35925" s="11"/>
      <c r="O35925" s="11"/>
      <c r="P35925" s="11"/>
    </row>
    <row r="35926" spans="8:16" x14ac:dyDescent="0.25">
      <c r="H35926" s="12"/>
      <c r="I35926" s="12"/>
      <c r="J35926" s="12"/>
      <c r="K35926" s="12"/>
      <c r="L35926" s="12"/>
      <c r="M35926" s="11"/>
      <c r="N35926" s="11"/>
      <c r="O35926" s="11"/>
      <c r="P35926" s="11"/>
    </row>
    <row r="35927" spans="8:16" x14ac:dyDescent="0.25">
      <c r="H35927" s="12"/>
      <c r="I35927" s="12"/>
      <c r="J35927" s="12"/>
      <c r="K35927" s="12"/>
      <c r="L35927" s="12"/>
      <c r="M35927" s="11"/>
      <c r="N35927" s="11"/>
      <c r="O35927" s="11"/>
      <c r="P35927" s="11"/>
    </row>
    <row r="35928" spans="8:16" x14ac:dyDescent="0.25">
      <c r="H35928" s="12"/>
      <c r="I35928" s="12"/>
      <c r="J35928" s="12"/>
      <c r="K35928" s="12"/>
      <c r="L35928" s="12"/>
      <c r="M35928" s="11"/>
      <c r="N35928" s="11"/>
      <c r="O35928" s="11"/>
      <c r="P35928" s="11"/>
    </row>
    <row r="35929" spans="8:16" x14ac:dyDescent="0.25">
      <c r="H35929" s="12"/>
      <c r="I35929" s="12"/>
      <c r="J35929" s="12"/>
      <c r="K35929" s="12"/>
      <c r="L35929" s="12"/>
      <c r="M35929" s="11"/>
      <c r="N35929" s="11"/>
      <c r="O35929" s="11"/>
      <c r="P35929" s="11"/>
    </row>
    <row r="35930" spans="8:16" x14ac:dyDescent="0.25">
      <c r="H35930" s="12"/>
      <c r="I35930" s="12"/>
      <c r="J35930" s="12"/>
      <c r="K35930" s="12"/>
      <c r="L35930" s="12"/>
      <c r="M35930" s="11"/>
      <c r="N35930" s="11"/>
      <c r="O35930" s="11"/>
      <c r="P35930" s="11"/>
    </row>
    <row r="35931" spans="8:16" x14ac:dyDescent="0.25">
      <c r="H35931" s="12"/>
      <c r="I35931" s="12"/>
      <c r="J35931" s="12"/>
      <c r="K35931" s="12"/>
      <c r="L35931" s="12"/>
      <c r="M35931" s="11"/>
      <c r="N35931" s="11"/>
      <c r="O35931" s="11"/>
      <c r="P35931" s="11"/>
    </row>
    <row r="35932" spans="8:16" x14ac:dyDescent="0.25">
      <c r="H35932" s="12"/>
      <c r="I35932" s="12"/>
      <c r="J35932" s="12"/>
      <c r="K35932" s="12"/>
      <c r="L35932" s="12"/>
      <c r="M35932" s="11"/>
      <c r="N35932" s="11"/>
      <c r="O35932" s="11"/>
      <c r="P35932" s="11"/>
    </row>
    <row r="35933" spans="8:16" x14ac:dyDescent="0.25">
      <c r="H35933" s="12"/>
      <c r="I35933" s="12"/>
      <c r="J35933" s="12"/>
      <c r="K35933" s="12"/>
      <c r="L35933" s="12"/>
      <c r="M35933" s="11"/>
      <c r="N35933" s="11"/>
      <c r="O35933" s="11"/>
      <c r="P35933" s="11"/>
    </row>
    <row r="35934" spans="8:16" x14ac:dyDescent="0.25">
      <c r="H35934" s="12"/>
      <c r="I35934" s="12"/>
      <c r="J35934" s="12"/>
      <c r="K35934" s="12"/>
      <c r="L35934" s="12"/>
      <c r="M35934" s="11"/>
      <c r="N35934" s="11"/>
      <c r="O35934" s="11"/>
      <c r="P35934" s="11"/>
    </row>
    <row r="35935" spans="8:16" x14ac:dyDescent="0.25">
      <c r="H35935" s="12"/>
      <c r="I35935" s="12"/>
      <c r="J35935" s="12"/>
      <c r="K35935" s="12"/>
      <c r="L35935" s="12"/>
      <c r="M35935" s="11"/>
      <c r="N35935" s="11"/>
      <c r="O35935" s="11"/>
      <c r="P35935" s="11"/>
    </row>
    <row r="35936" spans="8:16" x14ac:dyDescent="0.25">
      <c r="H35936" s="12"/>
      <c r="I35936" s="12"/>
      <c r="J35936" s="12"/>
      <c r="K35936" s="12"/>
      <c r="L35936" s="12"/>
      <c r="M35936" s="11"/>
      <c r="N35936" s="11"/>
      <c r="O35936" s="11"/>
      <c r="P35936" s="11"/>
    </row>
    <row r="35937" spans="8:16" x14ac:dyDescent="0.25">
      <c r="H35937" s="12"/>
      <c r="I35937" s="12"/>
      <c r="J35937" s="12"/>
      <c r="K35937" s="12"/>
      <c r="L35937" s="12"/>
      <c r="M35937" s="11"/>
      <c r="N35937" s="11"/>
      <c r="O35937" s="11"/>
      <c r="P35937" s="11"/>
    </row>
    <row r="35938" spans="8:16" x14ac:dyDescent="0.25">
      <c r="H35938" s="12"/>
      <c r="I35938" s="12"/>
      <c r="J35938" s="12"/>
      <c r="K35938" s="12"/>
      <c r="L35938" s="12"/>
      <c r="M35938" s="11"/>
      <c r="N35938" s="11"/>
      <c r="O35938" s="11"/>
      <c r="P35938" s="11"/>
    </row>
    <row r="35939" spans="8:16" x14ac:dyDescent="0.25">
      <c r="H35939" s="12"/>
      <c r="I35939" s="12"/>
      <c r="J35939" s="12"/>
      <c r="K35939" s="12"/>
      <c r="L35939" s="12"/>
      <c r="M35939" s="11"/>
      <c r="N35939" s="11"/>
      <c r="O35939" s="11"/>
      <c r="P35939" s="11"/>
    </row>
    <row r="35940" spans="8:16" x14ac:dyDescent="0.25">
      <c r="H35940" s="12"/>
      <c r="I35940" s="12"/>
      <c r="J35940" s="12"/>
      <c r="K35940" s="12"/>
      <c r="L35940" s="12"/>
      <c r="M35940" s="11"/>
      <c r="N35940" s="11"/>
      <c r="O35940" s="11"/>
      <c r="P35940" s="11"/>
    </row>
    <row r="35941" spans="8:16" x14ac:dyDescent="0.25">
      <c r="H35941" s="12"/>
      <c r="I35941" s="12"/>
      <c r="J35941" s="12"/>
      <c r="K35941" s="12"/>
      <c r="L35941" s="12"/>
      <c r="M35941" s="11"/>
      <c r="N35941" s="11"/>
      <c r="O35941" s="11"/>
      <c r="P35941" s="11"/>
    </row>
    <row r="35942" spans="8:16" x14ac:dyDescent="0.25">
      <c r="H35942" s="12"/>
      <c r="I35942" s="12"/>
      <c r="J35942" s="12"/>
      <c r="K35942" s="12"/>
      <c r="L35942" s="12"/>
      <c r="M35942" s="11"/>
      <c r="N35942" s="11"/>
      <c r="O35942" s="11"/>
      <c r="P35942" s="11"/>
    </row>
    <row r="35943" spans="8:16" x14ac:dyDescent="0.25">
      <c r="H35943" s="12"/>
      <c r="I35943" s="12"/>
      <c r="J35943" s="12"/>
      <c r="K35943" s="12"/>
      <c r="L35943" s="12"/>
      <c r="M35943" s="11"/>
      <c r="N35943" s="11"/>
      <c r="O35943" s="11"/>
      <c r="P35943" s="11"/>
    </row>
    <row r="35944" spans="8:16" x14ac:dyDescent="0.25">
      <c r="H35944" s="12"/>
      <c r="I35944" s="12"/>
      <c r="J35944" s="12"/>
      <c r="K35944" s="12"/>
      <c r="L35944" s="12"/>
      <c r="M35944" s="11"/>
      <c r="N35944" s="11"/>
      <c r="O35944" s="11"/>
      <c r="P35944" s="11"/>
    </row>
    <row r="35945" spans="8:16" x14ac:dyDescent="0.25">
      <c r="H35945" s="12"/>
      <c r="I35945" s="12"/>
      <c r="J35945" s="12"/>
      <c r="K35945" s="12"/>
      <c r="L35945" s="12"/>
      <c r="M35945" s="11"/>
      <c r="N35945" s="11"/>
      <c r="O35945" s="11"/>
      <c r="P35945" s="11"/>
    </row>
    <row r="35946" spans="8:16" x14ac:dyDescent="0.25">
      <c r="H35946" s="12"/>
      <c r="I35946" s="12"/>
      <c r="J35946" s="12"/>
      <c r="K35946" s="12"/>
      <c r="L35946" s="12"/>
      <c r="M35946" s="11"/>
      <c r="N35946" s="11"/>
      <c r="O35946" s="11"/>
      <c r="P35946" s="11"/>
    </row>
    <row r="35947" spans="8:16" x14ac:dyDescent="0.25">
      <c r="H35947" s="12"/>
      <c r="I35947" s="12"/>
      <c r="J35947" s="12"/>
      <c r="K35947" s="12"/>
      <c r="L35947" s="12"/>
      <c r="M35947" s="11"/>
      <c r="N35947" s="11"/>
      <c r="O35947" s="11"/>
      <c r="P35947" s="11"/>
    </row>
    <row r="35948" spans="8:16" x14ac:dyDescent="0.25">
      <c r="H35948" s="12"/>
      <c r="I35948" s="12"/>
      <c r="J35948" s="12"/>
      <c r="K35948" s="12"/>
      <c r="L35948" s="12"/>
      <c r="M35948" s="11"/>
      <c r="N35948" s="11"/>
      <c r="O35948" s="11"/>
      <c r="P35948" s="11"/>
    </row>
    <row r="35949" spans="8:16" x14ac:dyDescent="0.25">
      <c r="H35949" s="12"/>
      <c r="I35949" s="12"/>
      <c r="J35949" s="12"/>
      <c r="K35949" s="12"/>
      <c r="L35949" s="12"/>
      <c r="M35949" s="11"/>
      <c r="N35949" s="11"/>
      <c r="O35949" s="11"/>
      <c r="P35949" s="11"/>
    </row>
    <row r="35950" spans="8:16" x14ac:dyDescent="0.25">
      <c r="H35950" s="12"/>
      <c r="I35950" s="12"/>
      <c r="J35950" s="12"/>
      <c r="K35950" s="12"/>
      <c r="L35950" s="12"/>
      <c r="M35950" s="11"/>
      <c r="N35950" s="11"/>
      <c r="O35950" s="11"/>
      <c r="P35950" s="11"/>
    </row>
    <row r="35951" spans="8:16" x14ac:dyDescent="0.25">
      <c r="H35951" s="12"/>
      <c r="I35951" s="12"/>
      <c r="J35951" s="12"/>
      <c r="K35951" s="12"/>
      <c r="L35951" s="12"/>
      <c r="M35951" s="11"/>
      <c r="N35951" s="11"/>
      <c r="O35951" s="11"/>
      <c r="P35951" s="11"/>
    </row>
    <row r="35952" spans="8:16" x14ac:dyDescent="0.25">
      <c r="H35952" s="12"/>
      <c r="I35952" s="12"/>
      <c r="J35952" s="12"/>
      <c r="K35952" s="12"/>
      <c r="L35952" s="12"/>
      <c r="M35952" s="11"/>
      <c r="N35952" s="11"/>
      <c r="O35952" s="11"/>
      <c r="P35952" s="11"/>
    </row>
    <row r="35953" spans="8:16" x14ac:dyDescent="0.25">
      <c r="H35953" s="12"/>
      <c r="I35953" s="12"/>
      <c r="J35953" s="12"/>
      <c r="K35953" s="12"/>
      <c r="L35953" s="12"/>
      <c r="M35953" s="11"/>
      <c r="N35953" s="11"/>
      <c r="O35953" s="11"/>
      <c r="P35953" s="11"/>
    </row>
    <row r="35954" spans="8:16" x14ac:dyDescent="0.25">
      <c r="H35954" s="12"/>
      <c r="I35954" s="12"/>
      <c r="J35954" s="12"/>
      <c r="K35954" s="12"/>
      <c r="L35954" s="12"/>
      <c r="M35954" s="11"/>
      <c r="N35954" s="11"/>
      <c r="O35954" s="11"/>
      <c r="P35954" s="11"/>
    </row>
    <row r="35955" spans="8:16" x14ac:dyDescent="0.25">
      <c r="H35955" s="12"/>
      <c r="I35955" s="12"/>
      <c r="J35955" s="12"/>
      <c r="K35955" s="12"/>
      <c r="L35955" s="12"/>
      <c r="M35955" s="11"/>
      <c r="N35955" s="11"/>
      <c r="O35955" s="11"/>
      <c r="P35955" s="11"/>
    </row>
    <row r="35956" spans="8:16" x14ac:dyDescent="0.25">
      <c r="H35956" s="12"/>
      <c r="I35956" s="12"/>
      <c r="J35956" s="12"/>
      <c r="K35956" s="12"/>
      <c r="L35956" s="12"/>
      <c r="M35956" s="11"/>
      <c r="N35956" s="11"/>
      <c r="O35956" s="11"/>
      <c r="P35956" s="11"/>
    </row>
    <row r="35957" spans="8:16" x14ac:dyDescent="0.25">
      <c r="H35957" s="12"/>
      <c r="I35957" s="12"/>
      <c r="J35957" s="12"/>
      <c r="K35957" s="12"/>
      <c r="L35957" s="12"/>
      <c r="M35957" s="11"/>
      <c r="N35957" s="11"/>
      <c r="O35957" s="11"/>
      <c r="P35957" s="11"/>
    </row>
    <row r="35958" spans="8:16" x14ac:dyDescent="0.25">
      <c r="H35958" s="12"/>
      <c r="I35958" s="12"/>
      <c r="J35958" s="12"/>
      <c r="K35958" s="12"/>
      <c r="L35958" s="12"/>
      <c r="M35958" s="11"/>
      <c r="N35958" s="11"/>
      <c r="O35958" s="11"/>
      <c r="P35958" s="11"/>
    </row>
    <row r="35959" spans="8:16" x14ac:dyDescent="0.25">
      <c r="H35959" s="12"/>
      <c r="I35959" s="12"/>
      <c r="J35959" s="12"/>
      <c r="K35959" s="12"/>
      <c r="L35959" s="12"/>
      <c r="M35959" s="11"/>
      <c r="N35959" s="11"/>
      <c r="O35959" s="11"/>
      <c r="P35959" s="11"/>
    </row>
    <row r="35960" spans="8:16" x14ac:dyDescent="0.25">
      <c r="H35960" s="12"/>
      <c r="I35960" s="12"/>
      <c r="J35960" s="12"/>
      <c r="K35960" s="12"/>
      <c r="L35960" s="12"/>
      <c r="M35960" s="11"/>
      <c r="N35960" s="11"/>
      <c r="O35960" s="11"/>
      <c r="P35960" s="11"/>
    </row>
    <row r="35961" spans="8:16" x14ac:dyDescent="0.25">
      <c r="H35961" s="12"/>
      <c r="I35961" s="12"/>
      <c r="J35961" s="12"/>
      <c r="K35961" s="12"/>
      <c r="L35961" s="12"/>
      <c r="M35961" s="11"/>
      <c r="N35961" s="11"/>
      <c r="O35961" s="11"/>
      <c r="P35961" s="11"/>
    </row>
    <row r="35962" spans="8:16" x14ac:dyDescent="0.25">
      <c r="H35962" s="12"/>
      <c r="I35962" s="12"/>
      <c r="J35962" s="12"/>
      <c r="K35962" s="12"/>
      <c r="L35962" s="12"/>
      <c r="M35962" s="11"/>
      <c r="N35962" s="11"/>
      <c r="O35962" s="11"/>
      <c r="P35962" s="11"/>
    </row>
    <row r="35963" spans="8:16" x14ac:dyDescent="0.25">
      <c r="H35963" s="12"/>
      <c r="I35963" s="12"/>
      <c r="J35963" s="12"/>
      <c r="K35963" s="12"/>
      <c r="L35963" s="12"/>
      <c r="M35963" s="11"/>
      <c r="N35963" s="11"/>
      <c r="O35963" s="11"/>
      <c r="P35963" s="11"/>
    </row>
    <row r="35964" spans="8:16" x14ac:dyDescent="0.25">
      <c r="H35964" s="12"/>
      <c r="I35964" s="12"/>
      <c r="J35964" s="12"/>
      <c r="K35964" s="12"/>
      <c r="L35964" s="12"/>
      <c r="M35964" s="11"/>
      <c r="N35964" s="11"/>
      <c r="O35964" s="11"/>
      <c r="P35964" s="11"/>
    </row>
    <row r="35965" spans="8:16" x14ac:dyDescent="0.25">
      <c r="H35965" s="12"/>
      <c r="I35965" s="12"/>
      <c r="J35965" s="12"/>
      <c r="K35965" s="12"/>
      <c r="L35965" s="12"/>
      <c r="M35965" s="11"/>
      <c r="N35965" s="11"/>
      <c r="O35965" s="11"/>
      <c r="P35965" s="11"/>
    </row>
    <row r="35966" spans="8:16" x14ac:dyDescent="0.25">
      <c r="H35966" s="12"/>
      <c r="I35966" s="12"/>
      <c r="J35966" s="12"/>
      <c r="K35966" s="12"/>
      <c r="L35966" s="12"/>
      <c r="M35966" s="11"/>
      <c r="N35966" s="11"/>
      <c r="O35966" s="11"/>
      <c r="P35966" s="11"/>
    </row>
    <row r="35967" spans="8:16" x14ac:dyDescent="0.25">
      <c r="H35967" s="12"/>
      <c r="I35967" s="12"/>
      <c r="J35967" s="12"/>
      <c r="K35967" s="12"/>
      <c r="L35967" s="12"/>
      <c r="M35967" s="11"/>
      <c r="N35967" s="11"/>
      <c r="O35967" s="11"/>
      <c r="P35967" s="11"/>
    </row>
    <row r="35968" spans="8:16" x14ac:dyDescent="0.25">
      <c r="H35968" s="12"/>
      <c r="I35968" s="12"/>
      <c r="J35968" s="12"/>
      <c r="K35968" s="12"/>
      <c r="L35968" s="12"/>
      <c r="M35968" s="11"/>
      <c r="N35968" s="11"/>
      <c r="O35968" s="11"/>
      <c r="P35968" s="11"/>
    </row>
    <row r="35969" spans="8:16" x14ac:dyDescent="0.25">
      <c r="H35969" s="12"/>
      <c r="I35969" s="12"/>
      <c r="J35969" s="12"/>
      <c r="K35969" s="12"/>
      <c r="L35969" s="12"/>
      <c r="M35969" s="11"/>
      <c r="N35969" s="11"/>
      <c r="O35969" s="11"/>
      <c r="P35969" s="11"/>
    </row>
    <row r="35970" spans="8:16" x14ac:dyDescent="0.25">
      <c r="H35970" s="12"/>
      <c r="I35970" s="12"/>
      <c r="J35970" s="12"/>
      <c r="K35970" s="12"/>
      <c r="L35970" s="12"/>
      <c r="M35970" s="11"/>
      <c r="N35970" s="11"/>
      <c r="O35970" s="11"/>
      <c r="P35970" s="11"/>
    </row>
    <row r="35971" spans="8:16" x14ac:dyDescent="0.25">
      <c r="H35971" s="12"/>
      <c r="I35971" s="12"/>
      <c r="J35971" s="12"/>
      <c r="K35971" s="12"/>
      <c r="L35971" s="12"/>
      <c r="M35971" s="11"/>
      <c r="N35971" s="11"/>
      <c r="O35971" s="11"/>
      <c r="P35971" s="11"/>
    </row>
    <row r="35972" spans="8:16" x14ac:dyDescent="0.25">
      <c r="H35972" s="12"/>
      <c r="I35972" s="12"/>
      <c r="J35972" s="12"/>
      <c r="K35972" s="12"/>
      <c r="L35972" s="12"/>
      <c r="M35972" s="11"/>
      <c r="N35972" s="11"/>
      <c r="O35972" s="11"/>
      <c r="P35972" s="11"/>
    </row>
    <row r="35973" spans="8:16" x14ac:dyDescent="0.25">
      <c r="H35973" s="12"/>
      <c r="I35973" s="12"/>
      <c r="J35973" s="12"/>
      <c r="K35973" s="12"/>
      <c r="L35973" s="12"/>
      <c r="M35973" s="11"/>
      <c r="N35973" s="11"/>
      <c r="O35973" s="11"/>
      <c r="P35973" s="11"/>
    </row>
    <row r="35974" spans="8:16" x14ac:dyDescent="0.25">
      <c r="H35974" s="12"/>
      <c r="I35974" s="12"/>
      <c r="J35974" s="12"/>
      <c r="K35974" s="12"/>
      <c r="L35974" s="12"/>
      <c r="M35974" s="11"/>
      <c r="N35974" s="11"/>
      <c r="O35974" s="11"/>
      <c r="P35974" s="11"/>
    </row>
    <row r="35975" spans="8:16" x14ac:dyDescent="0.25">
      <c r="H35975" s="12"/>
      <c r="I35975" s="12"/>
      <c r="J35975" s="12"/>
      <c r="K35975" s="12"/>
      <c r="L35975" s="12"/>
      <c r="M35975" s="11"/>
      <c r="N35975" s="11"/>
      <c r="O35975" s="11"/>
      <c r="P35975" s="11"/>
    </row>
    <row r="35976" spans="8:16" x14ac:dyDescent="0.25">
      <c r="H35976" s="12"/>
      <c r="I35976" s="12"/>
      <c r="J35976" s="12"/>
      <c r="K35976" s="12"/>
      <c r="L35976" s="12"/>
      <c r="M35976" s="11"/>
      <c r="N35976" s="11"/>
      <c r="O35976" s="11"/>
      <c r="P35976" s="11"/>
    </row>
    <row r="35977" spans="8:16" x14ac:dyDescent="0.25">
      <c r="H35977" s="12"/>
      <c r="I35977" s="12"/>
      <c r="J35977" s="12"/>
      <c r="K35977" s="12"/>
      <c r="L35977" s="12"/>
      <c r="M35977" s="11"/>
      <c r="N35977" s="11"/>
      <c r="O35977" s="11"/>
      <c r="P35977" s="11"/>
    </row>
    <row r="35978" spans="8:16" x14ac:dyDescent="0.25">
      <c r="H35978" s="12"/>
      <c r="I35978" s="12"/>
      <c r="J35978" s="12"/>
      <c r="K35978" s="12"/>
      <c r="L35978" s="12"/>
      <c r="M35978" s="11"/>
      <c r="N35978" s="11"/>
      <c r="O35978" s="11"/>
      <c r="P35978" s="11"/>
    </row>
    <row r="35979" spans="8:16" x14ac:dyDescent="0.25">
      <c r="H35979" s="12"/>
      <c r="I35979" s="12"/>
      <c r="J35979" s="12"/>
      <c r="K35979" s="12"/>
      <c r="L35979" s="12"/>
      <c r="M35979" s="11"/>
      <c r="N35979" s="11"/>
      <c r="O35979" s="11"/>
      <c r="P35979" s="11"/>
    </row>
    <row r="35980" spans="8:16" x14ac:dyDescent="0.25">
      <c r="H35980" s="12"/>
      <c r="I35980" s="12"/>
      <c r="J35980" s="12"/>
      <c r="K35980" s="12"/>
      <c r="L35980" s="12"/>
      <c r="M35980" s="11"/>
      <c r="N35980" s="11"/>
      <c r="O35980" s="11"/>
      <c r="P35980" s="11"/>
    </row>
    <row r="35981" spans="8:16" x14ac:dyDescent="0.25">
      <c r="H35981" s="12"/>
      <c r="I35981" s="12"/>
      <c r="J35981" s="12"/>
      <c r="K35981" s="12"/>
      <c r="L35981" s="12"/>
      <c r="M35981" s="11"/>
      <c r="N35981" s="11"/>
      <c r="O35981" s="11"/>
      <c r="P35981" s="11"/>
    </row>
    <row r="35982" spans="8:16" x14ac:dyDescent="0.25">
      <c r="H35982" s="12"/>
      <c r="I35982" s="12"/>
      <c r="J35982" s="12"/>
      <c r="K35982" s="12"/>
      <c r="L35982" s="12"/>
      <c r="M35982" s="11"/>
      <c r="N35982" s="11"/>
      <c r="O35982" s="11"/>
      <c r="P35982" s="11"/>
    </row>
    <row r="35983" spans="8:16" x14ac:dyDescent="0.25">
      <c r="H35983" s="12"/>
      <c r="I35983" s="12"/>
      <c r="J35983" s="12"/>
      <c r="K35983" s="12"/>
      <c r="L35983" s="12"/>
      <c r="M35983" s="11"/>
      <c r="N35983" s="11"/>
      <c r="O35983" s="11"/>
      <c r="P35983" s="11"/>
    </row>
    <row r="35984" spans="8:16" x14ac:dyDescent="0.25">
      <c r="H35984" s="12"/>
      <c r="I35984" s="12"/>
      <c r="J35984" s="12"/>
      <c r="K35984" s="12"/>
      <c r="L35984" s="12"/>
      <c r="M35984" s="11"/>
      <c r="N35984" s="11"/>
      <c r="O35984" s="11"/>
      <c r="P35984" s="11"/>
    </row>
    <row r="35985" spans="8:16" x14ac:dyDescent="0.25">
      <c r="H35985" s="12"/>
      <c r="I35985" s="12"/>
      <c r="J35985" s="12"/>
      <c r="K35985" s="12"/>
      <c r="L35985" s="12"/>
      <c r="M35985" s="11"/>
      <c r="N35985" s="11"/>
      <c r="O35985" s="11"/>
      <c r="P35985" s="11"/>
    </row>
    <row r="35986" spans="8:16" x14ac:dyDescent="0.25">
      <c r="H35986" s="12"/>
      <c r="I35986" s="12"/>
      <c r="J35986" s="12"/>
      <c r="K35986" s="12"/>
      <c r="L35986" s="12"/>
      <c r="M35986" s="11"/>
      <c r="N35986" s="11"/>
      <c r="O35986" s="11"/>
      <c r="P35986" s="11"/>
    </row>
    <row r="35987" spans="8:16" x14ac:dyDescent="0.25">
      <c r="H35987" s="12"/>
      <c r="I35987" s="12"/>
      <c r="J35987" s="12"/>
      <c r="K35987" s="12"/>
      <c r="L35987" s="12"/>
      <c r="M35987" s="11"/>
      <c r="N35987" s="11"/>
      <c r="O35987" s="11"/>
      <c r="P35987" s="11"/>
    </row>
    <row r="35988" spans="8:16" x14ac:dyDescent="0.25">
      <c r="H35988" s="12"/>
      <c r="I35988" s="12"/>
      <c r="J35988" s="12"/>
      <c r="K35988" s="12"/>
      <c r="L35988" s="12"/>
      <c r="M35988" s="11"/>
      <c r="N35988" s="11"/>
      <c r="O35988" s="11"/>
      <c r="P35988" s="11"/>
    </row>
    <row r="35989" spans="8:16" x14ac:dyDescent="0.25">
      <c r="H35989" s="12"/>
      <c r="I35989" s="12"/>
      <c r="J35989" s="12"/>
      <c r="K35989" s="12"/>
      <c r="L35989" s="12"/>
      <c r="M35989" s="11"/>
      <c r="N35989" s="11"/>
      <c r="O35989" s="11"/>
      <c r="P35989" s="11"/>
    </row>
    <row r="35990" spans="8:16" x14ac:dyDescent="0.25">
      <c r="H35990" s="12"/>
      <c r="I35990" s="12"/>
      <c r="J35990" s="12"/>
      <c r="K35990" s="12"/>
      <c r="L35990" s="12"/>
      <c r="M35990" s="11"/>
      <c r="N35990" s="11"/>
      <c r="O35990" s="11"/>
      <c r="P35990" s="11"/>
    </row>
    <row r="35991" spans="8:16" x14ac:dyDescent="0.25">
      <c r="H35991" s="12"/>
      <c r="I35991" s="12"/>
      <c r="J35991" s="12"/>
      <c r="K35991" s="12"/>
      <c r="L35991" s="12"/>
      <c r="M35991" s="11"/>
      <c r="N35991" s="11"/>
      <c r="O35991" s="11"/>
      <c r="P35991" s="11"/>
    </row>
    <row r="35992" spans="8:16" x14ac:dyDescent="0.25">
      <c r="H35992" s="12"/>
      <c r="I35992" s="12"/>
      <c r="J35992" s="12"/>
      <c r="K35992" s="12"/>
      <c r="L35992" s="12"/>
      <c r="M35992" s="11"/>
      <c r="N35992" s="11"/>
      <c r="O35992" s="11"/>
      <c r="P35992" s="11"/>
    </row>
    <row r="35993" spans="8:16" x14ac:dyDescent="0.25">
      <c r="H35993" s="12"/>
      <c r="I35993" s="12"/>
      <c r="J35993" s="12"/>
      <c r="K35993" s="12"/>
      <c r="L35993" s="12"/>
      <c r="M35993" s="11"/>
      <c r="N35993" s="11"/>
      <c r="O35993" s="11"/>
      <c r="P35993" s="11"/>
    </row>
    <row r="35994" spans="8:16" x14ac:dyDescent="0.25">
      <c r="H35994" s="12"/>
      <c r="I35994" s="12"/>
      <c r="J35994" s="12"/>
      <c r="K35994" s="12"/>
      <c r="L35994" s="12"/>
      <c r="M35994" s="11"/>
      <c r="N35994" s="11"/>
      <c r="O35994" s="11"/>
      <c r="P35994" s="11"/>
    </row>
    <row r="35995" spans="8:16" x14ac:dyDescent="0.25">
      <c r="H35995" s="12"/>
      <c r="I35995" s="12"/>
      <c r="J35995" s="12"/>
      <c r="K35995" s="12"/>
      <c r="L35995" s="12"/>
      <c r="M35995" s="11"/>
      <c r="N35995" s="11"/>
      <c r="O35995" s="11"/>
      <c r="P35995" s="11"/>
    </row>
    <row r="35996" spans="8:16" x14ac:dyDescent="0.25">
      <c r="H35996" s="12"/>
      <c r="I35996" s="12"/>
      <c r="J35996" s="12"/>
      <c r="K35996" s="12"/>
      <c r="L35996" s="12"/>
      <c r="M35996" s="11"/>
      <c r="N35996" s="11"/>
      <c r="O35996" s="11"/>
      <c r="P35996" s="11"/>
    </row>
    <row r="35997" spans="8:16" x14ac:dyDescent="0.25">
      <c r="H35997" s="12"/>
      <c r="I35997" s="12"/>
      <c r="J35997" s="12"/>
      <c r="K35997" s="12"/>
      <c r="L35997" s="12"/>
      <c r="M35997" s="11"/>
      <c r="N35997" s="11"/>
      <c r="O35997" s="11"/>
      <c r="P35997" s="11"/>
    </row>
    <row r="35998" spans="8:16" x14ac:dyDescent="0.25">
      <c r="H35998" s="12"/>
      <c r="I35998" s="12"/>
      <c r="J35998" s="12"/>
      <c r="K35998" s="12"/>
      <c r="L35998" s="12"/>
      <c r="M35998" s="11"/>
      <c r="N35998" s="11"/>
      <c r="O35998" s="11"/>
      <c r="P35998" s="11"/>
    </row>
    <row r="35999" spans="8:16" x14ac:dyDescent="0.25">
      <c r="H35999" s="12"/>
      <c r="I35999" s="12"/>
      <c r="J35999" s="12"/>
      <c r="K35999" s="12"/>
      <c r="L35999" s="12"/>
      <c r="M35999" s="11"/>
      <c r="N35999" s="11"/>
      <c r="O35999" s="11"/>
      <c r="P35999" s="11"/>
    </row>
    <row r="36000" spans="8:16" x14ac:dyDescent="0.25">
      <c r="H36000" s="12"/>
      <c r="I36000" s="12"/>
      <c r="J36000" s="12"/>
      <c r="K36000" s="12"/>
      <c r="L36000" s="12"/>
      <c r="M36000" s="11"/>
      <c r="N36000" s="11"/>
      <c r="O36000" s="11"/>
      <c r="P36000" s="11"/>
    </row>
    <row r="36001" spans="8:16" x14ac:dyDescent="0.25">
      <c r="H36001" s="12"/>
      <c r="I36001" s="12"/>
      <c r="J36001" s="12"/>
      <c r="K36001" s="12"/>
      <c r="L36001" s="12"/>
      <c r="M36001" s="11"/>
      <c r="N36001" s="11"/>
      <c r="O36001" s="11"/>
      <c r="P36001" s="11"/>
    </row>
    <row r="36002" spans="8:16" x14ac:dyDescent="0.25">
      <c r="H36002" s="12"/>
      <c r="I36002" s="12"/>
      <c r="J36002" s="12"/>
      <c r="K36002" s="12"/>
      <c r="L36002" s="12"/>
      <c r="M36002" s="11"/>
      <c r="N36002" s="11"/>
      <c r="O36002" s="11"/>
      <c r="P36002" s="11"/>
    </row>
    <row r="36003" spans="8:16" x14ac:dyDescent="0.25">
      <c r="H36003" s="12"/>
      <c r="I36003" s="12"/>
      <c r="J36003" s="12"/>
      <c r="K36003" s="12"/>
      <c r="L36003" s="12"/>
      <c r="M36003" s="11"/>
      <c r="N36003" s="11"/>
      <c r="O36003" s="11"/>
      <c r="P36003" s="11"/>
    </row>
    <row r="36004" spans="8:16" x14ac:dyDescent="0.25">
      <c r="H36004" s="12"/>
      <c r="I36004" s="12"/>
      <c r="J36004" s="12"/>
      <c r="K36004" s="12"/>
      <c r="L36004" s="12"/>
      <c r="M36004" s="11"/>
      <c r="N36004" s="11"/>
      <c r="O36004" s="11"/>
      <c r="P36004" s="11"/>
    </row>
    <row r="36005" spans="8:16" x14ac:dyDescent="0.25">
      <c r="H36005" s="12"/>
      <c r="I36005" s="12"/>
      <c r="J36005" s="12"/>
      <c r="K36005" s="12"/>
      <c r="L36005" s="12"/>
      <c r="M36005" s="11"/>
      <c r="N36005" s="11"/>
      <c r="O36005" s="11"/>
      <c r="P36005" s="11"/>
    </row>
    <row r="36006" spans="8:16" x14ac:dyDescent="0.25">
      <c r="H36006" s="12"/>
      <c r="I36006" s="12"/>
      <c r="J36006" s="12"/>
      <c r="K36006" s="12"/>
      <c r="L36006" s="12"/>
      <c r="M36006" s="11"/>
      <c r="N36006" s="11"/>
      <c r="O36006" s="11"/>
      <c r="P36006" s="11"/>
    </row>
    <row r="36007" spans="8:16" x14ac:dyDescent="0.25">
      <c r="H36007" s="12"/>
      <c r="I36007" s="12"/>
      <c r="J36007" s="12"/>
      <c r="K36007" s="12"/>
      <c r="L36007" s="12"/>
      <c r="M36007" s="11"/>
      <c r="N36007" s="11"/>
      <c r="O36007" s="11"/>
      <c r="P36007" s="11"/>
    </row>
    <row r="36008" spans="8:16" x14ac:dyDescent="0.25">
      <c r="H36008" s="12"/>
      <c r="I36008" s="12"/>
      <c r="J36008" s="12"/>
      <c r="K36008" s="12"/>
      <c r="L36008" s="12"/>
      <c r="M36008" s="11"/>
      <c r="N36008" s="11"/>
      <c r="O36008" s="11"/>
      <c r="P36008" s="11"/>
    </row>
    <row r="36009" spans="8:16" x14ac:dyDescent="0.25">
      <c r="H36009" s="12"/>
      <c r="I36009" s="12"/>
      <c r="J36009" s="12"/>
      <c r="K36009" s="12"/>
      <c r="L36009" s="12"/>
      <c r="M36009" s="11"/>
      <c r="N36009" s="11"/>
      <c r="O36009" s="11"/>
      <c r="P36009" s="11"/>
    </row>
    <row r="36010" spans="8:16" x14ac:dyDescent="0.25">
      <c r="H36010" s="12"/>
      <c r="I36010" s="12"/>
      <c r="J36010" s="12"/>
      <c r="K36010" s="12"/>
      <c r="L36010" s="12"/>
      <c r="M36010" s="11"/>
      <c r="N36010" s="11"/>
      <c r="O36010" s="11"/>
      <c r="P36010" s="11"/>
    </row>
    <row r="36011" spans="8:16" x14ac:dyDescent="0.25">
      <c r="H36011" s="12"/>
      <c r="I36011" s="12"/>
      <c r="J36011" s="12"/>
      <c r="K36011" s="12"/>
      <c r="L36011" s="12"/>
      <c r="M36011" s="11"/>
      <c r="N36011" s="11"/>
      <c r="O36011" s="11"/>
      <c r="P36011" s="11"/>
    </row>
    <row r="36012" spans="8:16" x14ac:dyDescent="0.25">
      <c r="H36012" s="12"/>
      <c r="I36012" s="12"/>
      <c r="J36012" s="12"/>
      <c r="K36012" s="12"/>
      <c r="L36012" s="12"/>
      <c r="M36012" s="11"/>
      <c r="N36012" s="11"/>
      <c r="O36012" s="11"/>
      <c r="P36012" s="11"/>
    </row>
    <row r="36013" spans="8:16" x14ac:dyDescent="0.25">
      <c r="H36013" s="12"/>
      <c r="I36013" s="12"/>
      <c r="J36013" s="12"/>
      <c r="K36013" s="12"/>
      <c r="L36013" s="12"/>
      <c r="M36013" s="11"/>
      <c r="N36013" s="11"/>
      <c r="O36013" s="11"/>
      <c r="P36013" s="11"/>
    </row>
    <row r="36014" spans="8:16" x14ac:dyDescent="0.25">
      <c r="H36014" s="12"/>
      <c r="I36014" s="12"/>
      <c r="J36014" s="12"/>
      <c r="K36014" s="12"/>
      <c r="L36014" s="12"/>
      <c r="M36014" s="11"/>
      <c r="N36014" s="11"/>
      <c r="O36014" s="11"/>
      <c r="P36014" s="11"/>
    </row>
    <row r="36015" spans="8:16" x14ac:dyDescent="0.25">
      <c r="H36015" s="12"/>
      <c r="I36015" s="12"/>
      <c r="J36015" s="12"/>
      <c r="K36015" s="12"/>
      <c r="L36015" s="12"/>
      <c r="M36015" s="11"/>
      <c r="N36015" s="11"/>
      <c r="O36015" s="11"/>
      <c r="P36015" s="11"/>
    </row>
    <row r="36016" spans="8:16" x14ac:dyDescent="0.25">
      <c r="H36016" s="12"/>
      <c r="I36016" s="12"/>
      <c r="J36016" s="12"/>
      <c r="K36016" s="12"/>
      <c r="L36016" s="12"/>
      <c r="M36016" s="11"/>
      <c r="N36016" s="11"/>
      <c r="O36016" s="11"/>
      <c r="P36016" s="11"/>
    </row>
    <row r="36017" spans="8:16" x14ac:dyDescent="0.25">
      <c r="H36017" s="12"/>
      <c r="I36017" s="12"/>
      <c r="J36017" s="12"/>
      <c r="K36017" s="12"/>
      <c r="L36017" s="12"/>
      <c r="M36017" s="11"/>
      <c r="N36017" s="11"/>
      <c r="O36017" s="11"/>
      <c r="P36017" s="11"/>
    </row>
    <row r="36018" spans="8:16" x14ac:dyDescent="0.25">
      <c r="H36018" s="12"/>
      <c r="I36018" s="12"/>
      <c r="J36018" s="12"/>
      <c r="K36018" s="12"/>
      <c r="L36018" s="12"/>
      <c r="M36018" s="11"/>
      <c r="N36018" s="11"/>
      <c r="O36018" s="11"/>
      <c r="P36018" s="11"/>
    </row>
    <row r="36019" spans="8:16" x14ac:dyDescent="0.25">
      <c r="H36019" s="12"/>
      <c r="I36019" s="12"/>
      <c r="J36019" s="12"/>
      <c r="K36019" s="12"/>
      <c r="L36019" s="12"/>
      <c r="M36019" s="11"/>
      <c r="N36019" s="11"/>
      <c r="O36019" s="11"/>
      <c r="P36019" s="11"/>
    </row>
    <row r="36020" spans="8:16" x14ac:dyDescent="0.25">
      <c r="H36020" s="12"/>
      <c r="I36020" s="12"/>
      <c r="J36020" s="12"/>
      <c r="K36020" s="12"/>
      <c r="L36020" s="12"/>
      <c r="M36020" s="11"/>
      <c r="N36020" s="11"/>
      <c r="O36020" s="11"/>
      <c r="P36020" s="11"/>
    </row>
    <row r="36021" spans="8:16" x14ac:dyDescent="0.25">
      <c r="H36021" s="12"/>
      <c r="I36021" s="12"/>
      <c r="J36021" s="12"/>
      <c r="K36021" s="12"/>
      <c r="L36021" s="12"/>
      <c r="M36021" s="11"/>
      <c r="N36021" s="11"/>
      <c r="O36021" s="11"/>
      <c r="P36021" s="11"/>
    </row>
    <row r="36022" spans="8:16" x14ac:dyDescent="0.25">
      <c r="H36022" s="12"/>
      <c r="I36022" s="12"/>
      <c r="J36022" s="12"/>
      <c r="K36022" s="12"/>
      <c r="L36022" s="12"/>
      <c r="M36022" s="11"/>
      <c r="N36022" s="11"/>
      <c r="O36022" s="11"/>
      <c r="P36022" s="11"/>
    </row>
    <row r="36023" spans="8:16" x14ac:dyDescent="0.25">
      <c r="H36023" s="12"/>
      <c r="I36023" s="12"/>
      <c r="J36023" s="12"/>
      <c r="K36023" s="12"/>
      <c r="L36023" s="12"/>
      <c r="M36023" s="11"/>
      <c r="N36023" s="11"/>
      <c r="O36023" s="11"/>
      <c r="P36023" s="11"/>
    </row>
    <row r="36024" spans="8:16" x14ac:dyDescent="0.25">
      <c r="H36024" s="12"/>
      <c r="I36024" s="12"/>
      <c r="J36024" s="12"/>
      <c r="K36024" s="12"/>
      <c r="L36024" s="12"/>
      <c r="M36024" s="11"/>
      <c r="N36024" s="11"/>
      <c r="O36024" s="11"/>
      <c r="P36024" s="11"/>
    </row>
    <row r="36025" spans="8:16" x14ac:dyDescent="0.25">
      <c r="H36025" s="12"/>
      <c r="I36025" s="12"/>
      <c r="J36025" s="12"/>
      <c r="K36025" s="12"/>
      <c r="L36025" s="12"/>
      <c r="M36025" s="11"/>
      <c r="N36025" s="11"/>
      <c r="O36025" s="11"/>
      <c r="P36025" s="11"/>
    </row>
    <row r="36026" spans="8:16" x14ac:dyDescent="0.25">
      <c r="H36026" s="12"/>
      <c r="I36026" s="12"/>
      <c r="J36026" s="12"/>
      <c r="K36026" s="12"/>
      <c r="L36026" s="12"/>
      <c r="M36026" s="11"/>
      <c r="N36026" s="11"/>
      <c r="O36026" s="11"/>
      <c r="P36026" s="11"/>
    </row>
    <row r="36027" spans="8:16" x14ac:dyDescent="0.25">
      <c r="H36027" s="12"/>
      <c r="I36027" s="12"/>
      <c r="J36027" s="12"/>
      <c r="K36027" s="12"/>
      <c r="L36027" s="12"/>
      <c r="M36027" s="11"/>
      <c r="N36027" s="11"/>
      <c r="O36027" s="11"/>
      <c r="P36027" s="11"/>
    </row>
    <row r="36028" spans="8:16" x14ac:dyDescent="0.25">
      <c r="H36028" s="12"/>
      <c r="I36028" s="12"/>
      <c r="J36028" s="12"/>
      <c r="K36028" s="12"/>
      <c r="L36028" s="12"/>
      <c r="M36028" s="11"/>
      <c r="N36028" s="11"/>
      <c r="O36028" s="11"/>
      <c r="P36028" s="11"/>
    </row>
    <row r="36029" spans="8:16" x14ac:dyDescent="0.25">
      <c r="H36029" s="12"/>
      <c r="I36029" s="12"/>
      <c r="J36029" s="12"/>
      <c r="K36029" s="12"/>
      <c r="L36029" s="12"/>
      <c r="M36029" s="11"/>
      <c r="N36029" s="11"/>
      <c r="O36029" s="11"/>
      <c r="P36029" s="11"/>
    </row>
    <row r="36030" spans="8:16" x14ac:dyDescent="0.25">
      <c r="H36030" s="12"/>
      <c r="I36030" s="12"/>
      <c r="J36030" s="12"/>
      <c r="K36030" s="12"/>
      <c r="L36030" s="12"/>
      <c r="M36030" s="11"/>
      <c r="N36030" s="11"/>
      <c r="O36030" s="11"/>
      <c r="P36030" s="11"/>
    </row>
    <row r="36031" spans="8:16" x14ac:dyDescent="0.25">
      <c r="H36031" s="12"/>
      <c r="I36031" s="12"/>
      <c r="J36031" s="12"/>
      <c r="K36031" s="12"/>
      <c r="L36031" s="12"/>
      <c r="M36031" s="11"/>
      <c r="N36031" s="11"/>
      <c r="O36031" s="11"/>
      <c r="P36031" s="11"/>
    </row>
    <row r="36032" spans="8:16" x14ac:dyDescent="0.25">
      <c r="H36032" s="12"/>
      <c r="I36032" s="12"/>
      <c r="J36032" s="12"/>
      <c r="K36032" s="12"/>
      <c r="L36032" s="12"/>
      <c r="M36032" s="11"/>
      <c r="N36032" s="11"/>
      <c r="O36032" s="11"/>
      <c r="P36032" s="11"/>
    </row>
    <row r="36033" spans="8:16" x14ac:dyDescent="0.25">
      <c r="H36033" s="12"/>
      <c r="I36033" s="12"/>
      <c r="J36033" s="12"/>
      <c r="K36033" s="12"/>
      <c r="L36033" s="12"/>
      <c r="M36033" s="11"/>
      <c r="N36033" s="11"/>
      <c r="O36033" s="11"/>
      <c r="P36033" s="11"/>
    </row>
    <row r="36034" spans="8:16" x14ac:dyDescent="0.25">
      <c r="H36034" s="12"/>
      <c r="I36034" s="12"/>
      <c r="J36034" s="12"/>
      <c r="K36034" s="12"/>
      <c r="L36034" s="12"/>
      <c r="M36034" s="11"/>
      <c r="N36034" s="11"/>
      <c r="O36034" s="11"/>
      <c r="P36034" s="11"/>
    </row>
    <row r="36035" spans="8:16" x14ac:dyDescent="0.25">
      <c r="H36035" s="12"/>
      <c r="I36035" s="12"/>
      <c r="J36035" s="12"/>
      <c r="K36035" s="12"/>
      <c r="L36035" s="12"/>
      <c r="M36035" s="11"/>
      <c r="N36035" s="11"/>
      <c r="O36035" s="11"/>
      <c r="P36035" s="11"/>
    </row>
    <row r="36036" spans="8:16" x14ac:dyDescent="0.25">
      <c r="H36036" s="12"/>
      <c r="I36036" s="12"/>
      <c r="J36036" s="12"/>
      <c r="K36036" s="12"/>
      <c r="L36036" s="12"/>
      <c r="M36036" s="11"/>
      <c r="N36036" s="11"/>
      <c r="O36036" s="11"/>
      <c r="P36036" s="11"/>
    </row>
    <row r="36037" spans="8:16" x14ac:dyDescent="0.25">
      <c r="H36037" s="12"/>
      <c r="I36037" s="12"/>
      <c r="J36037" s="12"/>
      <c r="K36037" s="12"/>
      <c r="L36037" s="12"/>
      <c r="M36037" s="11"/>
      <c r="N36037" s="11"/>
      <c r="O36037" s="11"/>
      <c r="P36037" s="11"/>
    </row>
    <row r="36038" spans="8:16" x14ac:dyDescent="0.25">
      <c r="H36038" s="12"/>
      <c r="I36038" s="12"/>
      <c r="J36038" s="12"/>
      <c r="K36038" s="12"/>
      <c r="L36038" s="12"/>
      <c r="M36038" s="11"/>
      <c r="N36038" s="11"/>
      <c r="O36038" s="11"/>
      <c r="P36038" s="11"/>
    </row>
    <row r="36039" spans="8:16" x14ac:dyDescent="0.25">
      <c r="H36039" s="12"/>
      <c r="I36039" s="12"/>
      <c r="J36039" s="12"/>
      <c r="K36039" s="12"/>
      <c r="L36039" s="12"/>
      <c r="M36039" s="11"/>
      <c r="N36039" s="11"/>
      <c r="O36039" s="11"/>
      <c r="P36039" s="11"/>
    </row>
    <row r="36040" spans="8:16" x14ac:dyDescent="0.25">
      <c r="H36040" s="12"/>
      <c r="I36040" s="12"/>
      <c r="J36040" s="12"/>
      <c r="K36040" s="12"/>
      <c r="L36040" s="12"/>
      <c r="M36040" s="11"/>
      <c r="N36040" s="11"/>
      <c r="O36040" s="11"/>
      <c r="P36040" s="11"/>
    </row>
    <row r="36041" spans="8:16" x14ac:dyDescent="0.25">
      <c r="H36041" s="12"/>
      <c r="I36041" s="12"/>
      <c r="J36041" s="12"/>
      <c r="K36041" s="12"/>
      <c r="L36041" s="12"/>
      <c r="M36041" s="11"/>
      <c r="N36041" s="11"/>
      <c r="O36041" s="11"/>
      <c r="P36041" s="11"/>
    </row>
    <row r="36042" spans="8:16" x14ac:dyDescent="0.25">
      <c r="H36042" s="12"/>
      <c r="I36042" s="12"/>
      <c r="J36042" s="12"/>
      <c r="K36042" s="12"/>
      <c r="L36042" s="12"/>
      <c r="M36042" s="11"/>
      <c r="N36042" s="11"/>
      <c r="O36042" s="11"/>
      <c r="P36042" s="11"/>
    </row>
    <row r="36043" spans="8:16" x14ac:dyDescent="0.25">
      <c r="H36043" s="12"/>
      <c r="I36043" s="12"/>
      <c r="J36043" s="12"/>
      <c r="K36043" s="12"/>
      <c r="L36043" s="12"/>
      <c r="M36043" s="11"/>
      <c r="N36043" s="11"/>
      <c r="O36043" s="11"/>
      <c r="P36043" s="11"/>
    </row>
    <row r="36044" spans="8:16" x14ac:dyDescent="0.25">
      <c r="H36044" s="12"/>
      <c r="I36044" s="12"/>
      <c r="J36044" s="12"/>
      <c r="K36044" s="12"/>
      <c r="L36044" s="12"/>
      <c r="M36044" s="11"/>
      <c r="N36044" s="11"/>
      <c r="O36044" s="11"/>
      <c r="P36044" s="11"/>
    </row>
    <row r="36045" spans="8:16" x14ac:dyDescent="0.25">
      <c r="H36045" s="12"/>
      <c r="I36045" s="12"/>
      <c r="J36045" s="12"/>
      <c r="K36045" s="12"/>
      <c r="L36045" s="12"/>
      <c r="M36045" s="11"/>
      <c r="N36045" s="11"/>
      <c r="O36045" s="11"/>
      <c r="P36045" s="11"/>
    </row>
    <row r="36046" spans="8:16" x14ac:dyDescent="0.25">
      <c r="H36046" s="12"/>
      <c r="I36046" s="12"/>
      <c r="J36046" s="12"/>
      <c r="K36046" s="12"/>
      <c r="L36046" s="12"/>
      <c r="M36046" s="11"/>
      <c r="N36046" s="11"/>
      <c r="O36046" s="11"/>
      <c r="P36046" s="11"/>
    </row>
    <row r="36047" spans="8:16" x14ac:dyDescent="0.25">
      <c r="H36047" s="12"/>
      <c r="I36047" s="12"/>
      <c r="J36047" s="12"/>
      <c r="K36047" s="12"/>
      <c r="L36047" s="12"/>
      <c r="M36047" s="11"/>
      <c r="N36047" s="11"/>
      <c r="O36047" s="11"/>
      <c r="P36047" s="11"/>
    </row>
    <row r="36048" spans="8:16" x14ac:dyDescent="0.25">
      <c r="H36048" s="12"/>
      <c r="I36048" s="12"/>
      <c r="J36048" s="12"/>
      <c r="K36048" s="12"/>
      <c r="L36048" s="12"/>
      <c r="M36048" s="11"/>
      <c r="N36048" s="11"/>
      <c r="O36048" s="11"/>
      <c r="P36048" s="11"/>
    </row>
    <row r="36049" spans="8:16" x14ac:dyDescent="0.25">
      <c r="H36049" s="12"/>
      <c r="I36049" s="12"/>
      <c r="J36049" s="12"/>
      <c r="K36049" s="12"/>
      <c r="L36049" s="12"/>
      <c r="M36049" s="11"/>
      <c r="N36049" s="11"/>
      <c r="O36049" s="11"/>
      <c r="P36049" s="11"/>
    </row>
    <row r="36050" spans="8:16" x14ac:dyDescent="0.25">
      <c r="H36050" s="12"/>
      <c r="I36050" s="12"/>
      <c r="J36050" s="12"/>
      <c r="K36050" s="12"/>
      <c r="L36050" s="12"/>
      <c r="M36050" s="11"/>
      <c r="N36050" s="11"/>
      <c r="O36050" s="11"/>
      <c r="P36050" s="11"/>
    </row>
    <row r="36051" spans="8:16" x14ac:dyDescent="0.25">
      <c r="H36051" s="12"/>
      <c r="I36051" s="12"/>
      <c r="J36051" s="12"/>
      <c r="K36051" s="12"/>
      <c r="L36051" s="12"/>
      <c r="M36051" s="11"/>
      <c r="N36051" s="11"/>
      <c r="O36051" s="11"/>
      <c r="P36051" s="11"/>
    </row>
    <row r="36052" spans="8:16" x14ac:dyDescent="0.25">
      <c r="H36052" s="12"/>
      <c r="I36052" s="12"/>
      <c r="J36052" s="12"/>
      <c r="K36052" s="12"/>
      <c r="L36052" s="12"/>
      <c r="M36052" s="11"/>
      <c r="N36052" s="11"/>
      <c r="O36052" s="11"/>
      <c r="P36052" s="11"/>
    </row>
    <row r="36053" spans="8:16" x14ac:dyDescent="0.25">
      <c r="H36053" s="12"/>
      <c r="I36053" s="12"/>
      <c r="J36053" s="12"/>
      <c r="K36053" s="12"/>
      <c r="L36053" s="12"/>
      <c r="M36053" s="11"/>
      <c r="N36053" s="11"/>
      <c r="O36053" s="11"/>
      <c r="P36053" s="11"/>
    </row>
    <row r="36054" spans="8:16" x14ac:dyDescent="0.25">
      <c r="H36054" s="12"/>
      <c r="I36054" s="12"/>
      <c r="J36054" s="12"/>
      <c r="K36054" s="12"/>
      <c r="L36054" s="12"/>
      <c r="M36054" s="11"/>
      <c r="N36054" s="11"/>
      <c r="O36054" s="11"/>
      <c r="P36054" s="11"/>
    </row>
    <row r="36055" spans="8:16" x14ac:dyDescent="0.25">
      <c r="H36055" s="12"/>
      <c r="I36055" s="12"/>
      <c r="J36055" s="12"/>
      <c r="K36055" s="12"/>
      <c r="L36055" s="12"/>
      <c r="M36055" s="11"/>
      <c r="N36055" s="11"/>
      <c r="O36055" s="11"/>
      <c r="P36055" s="11"/>
    </row>
    <row r="36056" spans="8:16" x14ac:dyDescent="0.25">
      <c r="H36056" s="12"/>
      <c r="I36056" s="12"/>
      <c r="J36056" s="12"/>
      <c r="K36056" s="12"/>
      <c r="L36056" s="12"/>
      <c r="M36056" s="11"/>
      <c r="N36056" s="11"/>
      <c r="O36056" s="11"/>
      <c r="P36056" s="11"/>
    </row>
    <row r="36057" spans="8:16" x14ac:dyDescent="0.25">
      <c r="H36057" s="12"/>
      <c r="I36057" s="12"/>
      <c r="J36057" s="12"/>
      <c r="K36057" s="12"/>
      <c r="L36057" s="12"/>
      <c r="M36057" s="11"/>
      <c r="N36057" s="11"/>
      <c r="O36057" s="11"/>
      <c r="P36057" s="11"/>
    </row>
    <row r="36058" spans="8:16" x14ac:dyDescent="0.25">
      <c r="H36058" s="12"/>
      <c r="I36058" s="12"/>
      <c r="J36058" s="12"/>
      <c r="K36058" s="12"/>
      <c r="L36058" s="12"/>
      <c r="M36058" s="11"/>
      <c r="N36058" s="11"/>
      <c r="O36058" s="11"/>
      <c r="P36058" s="11"/>
    </row>
    <row r="36059" spans="8:16" x14ac:dyDescent="0.25">
      <c r="H36059" s="12"/>
      <c r="I36059" s="12"/>
      <c r="J36059" s="12"/>
      <c r="K36059" s="12"/>
      <c r="L36059" s="12"/>
      <c r="M36059" s="11"/>
      <c r="N36059" s="11"/>
      <c r="O36059" s="11"/>
      <c r="P36059" s="11"/>
    </row>
    <row r="36060" spans="8:16" x14ac:dyDescent="0.25">
      <c r="H36060" s="12"/>
      <c r="I36060" s="12"/>
      <c r="J36060" s="12"/>
      <c r="K36060" s="12"/>
      <c r="L36060" s="12"/>
      <c r="M36060" s="11"/>
      <c r="N36060" s="11"/>
      <c r="O36060" s="11"/>
      <c r="P36060" s="11"/>
    </row>
    <row r="36061" spans="8:16" x14ac:dyDescent="0.25">
      <c r="H36061" s="12"/>
      <c r="I36061" s="12"/>
      <c r="J36061" s="12"/>
      <c r="K36061" s="12"/>
      <c r="L36061" s="12"/>
      <c r="M36061" s="11"/>
      <c r="N36061" s="11"/>
      <c r="O36061" s="11"/>
      <c r="P36061" s="11"/>
    </row>
    <row r="36062" spans="8:16" x14ac:dyDescent="0.25">
      <c r="H36062" s="12"/>
      <c r="I36062" s="12"/>
      <c r="J36062" s="12"/>
      <c r="K36062" s="12"/>
      <c r="L36062" s="12"/>
      <c r="M36062" s="11"/>
      <c r="N36062" s="11"/>
      <c r="O36062" s="11"/>
      <c r="P36062" s="11"/>
    </row>
    <row r="36063" spans="8:16" x14ac:dyDescent="0.25">
      <c r="H36063" s="12"/>
      <c r="I36063" s="12"/>
      <c r="J36063" s="12"/>
      <c r="K36063" s="12"/>
      <c r="L36063" s="12"/>
      <c r="M36063" s="11"/>
      <c r="N36063" s="11"/>
      <c r="O36063" s="11"/>
      <c r="P36063" s="11"/>
    </row>
    <row r="36064" spans="8:16" x14ac:dyDescent="0.25">
      <c r="H36064" s="12"/>
      <c r="I36064" s="12"/>
      <c r="J36064" s="12"/>
      <c r="K36064" s="12"/>
      <c r="L36064" s="12"/>
      <c r="M36064" s="11"/>
      <c r="N36064" s="11"/>
      <c r="O36064" s="11"/>
      <c r="P36064" s="11"/>
    </row>
    <row r="36065" spans="8:16" x14ac:dyDescent="0.25">
      <c r="H36065" s="12"/>
      <c r="I36065" s="12"/>
      <c r="J36065" s="12"/>
      <c r="K36065" s="12"/>
      <c r="L36065" s="12"/>
      <c r="M36065" s="11"/>
      <c r="N36065" s="11"/>
      <c r="O36065" s="11"/>
      <c r="P36065" s="11"/>
    </row>
    <row r="36066" spans="8:16" x14ac:dyDescent="0.25">
      <c r="H36066" s="12"/>
      <c r="I36066" s="12"/>
      <c r="J36066" s="12"/>
      <c r="K36066" s="12"/>
      <c r="L36066" s="12"/>
      <c r="M36066" s="11"/>
      <c r="N36066" s="11"/>
      <c r="O36066" s="11"/>
      <c r="P36066" s="11"/>
    </row>
    <row r="36067" spans="8:16" x14ac:dyDescent="0.25">
      <c r="H36067" s="12"/>
      <c r="I36067" s="12"/>
      <c r="J36067" s="12"/>
      <c r="K36067" s="12"/>
      <c r="L36067" s="12"/>
      <c r="M36067" s="11"/>
      <c r="N36067" s="11"/>
      <c r="O36067" s="11"/>
      <c r="P36067" s="11"/>
    </row>
    <row r="36068" spans="8:16" x14ac:dyDescent="0.25">
      <c r="H36068" s="12"/>
      <c r="I36068" s="12"/>
      <c r="J36068" s="12"/>
      <c r="K36068" s="12"/>
      <c r="L36068" s="12"/>
      <c r="M36068" s="11"/>
      <c r="N36068" s="11"/>
      <c r="O36068" s="11"/>
      <c r="P36068" s="11"/>
    </row>
    <row r="36069" spans="8:16" x14ac:dyDescent="0.25">
      <c r="H36069" s="12"/>
      <c r="I36069" s="12"/>
      <c r="J36069" s="12"/>
      <c r="K36069" s="12"/>
      <c r="L36069" s="12"/>
      <c r="M36069" s="11"/>
      <c r="N36069" s="11"/>
      <c r="O36069" s="11"/>
      <c r="P36069" s="11"/>
    </row>
    <row r="36070" spans="8:16" x14ac:dyDescent="0.25">
      <c r="H36070" s="12"/>
      <c r="I36070" s="12"/>
      <c r="J36070" s="12"/>
      <c r="K36070" s="12"/>
      <c r="L36070" s="12"/>
      <c r="M36070" s="11"/>
      <c r="N36070" s="11"/>
      <c r="O36070" s="11"/>
      <c r="P36070" s="11"/>
    </row>
    <row r="36071" spans="8:16" x14ac:dyDescent="0.25">
      <c r="H36071" s="12"/>
      <c r="I36071" s="12"/>
      <c r="J36071" s="12"/>
      <c r="K36071" s="12"/>
      <c r="L36071" s="12"/>
      <c r="M36071" s="11"/>
      <c r="N36071" s="11"/>
      <c r="O36071" s="11"/>
      <c r="P36071" s="11"/>
    </row>
    <row r="36072" spans="8:16" x14ac:dyDescent="0.25">
      <c r="H36072" s="12"/>
      <c r="I36072" s="12"/>
      <c r="J36072" s="12"/>
      <c r="K36072" s="12"/>
      <c r="L36072" s="12"/>
      <c r="M36072" s="11"/>
      <c r="N36072" s="11"/>
      <c r="O36072" s="11"/>
      <c r="P36072" s="11"/>
    </row>
    <row r="36073" spans="8:16" x14ac:dyDescent="0.25">
      <c r="H36073" s="12"/>
      <c r="I36073" s="12"/>
      <c r="J36073" s="12"/>
      <c r="K36073" s="12"/>
      <c r="L36073" s="12"/>
      <c r="M36073" s="11"/>
      <c r="N36073" s="11"/>
      <c r="O36073" s="11"/>
      <c r="P36073" s="11"/>
    </row>
    <row r="36074" spans="8:16" x14ac:dyDescent="0.25">
      <c r="H36074" s="12"/>
      <c r="I36074" s="12"/>
      <c r="J36074" s="12"/>
      <c r="K36074" s="12"/>
      <c r="L36074" s="12"/>
      <c r="M36074" s="11"/>
      <c r="N36074" s="11"/>
      <c r="O36074" s="11"/>
      <c r="P36074" s="11"/>
    </row>
    <row r="36075" spans="8:16" x14ac:dyDescent="0.25">
      <c r="H36075" s="12"/>
      <c r="I36075" s="12"/>
      <c r="J36075" s="12"/>
      <c r="K36075" s="12"/>
      <c r="L36075" s="12"/>
      <c r="M36075" s="11"/>
      <c r="N36075" s="11"/>
      <c r="O36075" s="11"/>
      <c r="P36075" s="11"/>
    </row>
    <row r="36076" spans="8:16" x14ac:dyDescent="0.25">
      <c r="H36076" s="12"/>
      <c r="I36076" s="12"/>
      <c r="J36076" s="12"/>
      <c r="K36076" s="12"/>
      <c r="L36076" s="12"/>
      <c r="M36076" s="11"/>
      <c r="N36076" s="11"/>
      <c r="O36076" s="11"/>
      <c r="P36076" s="11"/>
    </row>
    <row r="36077" spans="8:16" x14ac:dyDescent="0.25">
      <c r="H36077" s="12"/>
      <c r="I36077" s="12"/>
      <c r="J36077" s="12"/>
      <c r="K36077" s="12"/>
      <c r="L36077" s="12"/>
      <c r="M36077" s="11"/>
      <c r="N36077" s="11"/>
      <c r="O36077" s="11"/>
      <c r="P36077" s="11"/>
    </row>
    <row r="36078" spans="8:16" x14ac:dyDescent="0.25">
      <c r="H36078" s="12"/>
      <c r="I36078" s="12"/>
      <c r="J36078" s="12"/>
      <c r="K36078" s="12"/>
      <c r="L36078" s="12"/>
      <c r="M36078" s="11"/>
      <c r="N36078" s="11"/>
      <c r="O36078" s="11"/>
      <c r="P36078" s="11"/>
    </row>
    <row r="36079" spans="8:16" x14ac:dyDescent="0.25">
      <c r="H36079" s="12"/>
      <c r="I36079" s="12"/>
      <c r="J36079" s="12"/>
      <c r="K36079" s="12"/>
      <c r="L36079" s="12"/>
      <c r="M36079" s="11"/>
      <c r="N36079" s="11"/>
      <c r="O36079" s="11"/>
      <c r="P36079" s="11"/>
    </row>
    <row r="36080" spans="8:16" x14ac:dyDescent="0.25">
      <c r="H36080" s="12"/>
      <c r="I36080" s="12"/>
      <c r="J36080" s="12"/>
      <c r="K36080" s="12"/>
      <c r="L36080" s="12"/>
      <c r="M36080" s="11"/>
      <c r="N36080" s="11"/>
      <c r="O36080" s="11"/>
      <c r="P36080" s="11"/>
    </row>
    <row r="36081" spans="8:16" x14ac:dyDescent="0.25">
      <c r="H36081" s="12"/>
      <c r="I36081" s="12"/>
      <c r="J36081" s="12"/>
      <c r="K36081" s="12"/>
      <c r="L36081" s="12"/>
      <c r="M36081" s="11"/>
      <c r="N36081" s="11"/>
      <c r="O36081" s="11"/>
      <c r="P36081" s="11"/>
    </row>
    <row r="36082" spans="8:16" x14ac:dyDescent="0.25">
      <c r="H36082" s="12"/>
      <c r="I36082" s="12"/>
      <c r="J36082" s="12"/>
      <c r="K36082" s="12"/>
      <c r="L36082" s="12"/>
      <c r="M36082" s="11"/>
      <c r="N36082" s="11"/>
      <c r="O36082" s="11"/>
      <c r="P36082" s="11"/>
    </row>
    <row r="36083" spans="8:16" x14ac:dyDescent="0.25">
      <c r="H36083" s="12"/>
      <c r="I36083" s="12"/>
      <c r="J36083" s="12"/>
      <c r="K36083" s="12"/>
      <c r="L36083" s="12"/>
      <c r="M36083" s="11"/>
      <c r="N36083" s="11"/>
      <c r="O36083" s="11"/>
      <c r="P36083" s="11"/>
    </row>
    <row r="36084" spans="8:16" x14ac:dyDescent="0.25">
      <c r="H36084" s="12"/>
      <c r="I36084" s="12"/>
      <c r="J36084" s="12"/>
      <c r="K36084" s="12"/>
      <c r="L36084" s="12"/>
      <c r="M36084" s="11"/>
      <c r="N36084" s="11"/>
      <c r="O36084" s="11"/>
      <c r="P36084" s="11"/>
    </row>
    <row r="36085" spans="8:16" x14ac:dyDescent="0.25">
      <c r="H36085" s="12"/>
      <c r="I36085" s="12"/>
      <c r="J36085" s="12"/>
      <c r="K36085" s="12"/>
      <c r="L36085" s="12"/>
      <c r="M36085" s="11"/>
      <c r="N36085" s="11"/>
      <c r="O36085" s="11"/>
      <c r="P36085" s="11"/>
    </row>
    <row r="36086" spans="8:16" x14ac:dyDescent="0.25">
      <c r="H36086" s="12"/>
      <c r="I36086" s="12"/>
      <c r="J36086" s="12"/>
      <c r="K36086" s="12"/>
      <c r="L36086" s="12"/>
      <c r="M36086" s="11"/>
      <c r="N36086" s="11"/>
      <c r="O36086" s="11"/>
      <c r="P36086" s="11"/>
    </row>
    <row r="36087" spans="8:16" x14ac:dyDescent="0.25">
      <c r="H36087" s="12"/>
      <c r="I36087" s="12"/>
      <c r="J36087" s="12"/>
      <c r="K36087" s="12"/>
      <c r="L36087" s="12"/>
      <c r="M36087" s="11"/>
      <c r="N36087" s="11"/>
      <c r="O36087" s="11"/>
      <c r="P36087" s="11"/>
    </row>
    <row r="36088" spans="8:16" x14ac:dyDescent="0.25">
      <c r="H36088" s="12"/>
      <c r="I36088" s="12"/>
      <c r="J36088" s="12"/>
      <c r="K36088" s="12"/>
      <c r="L36088" s="12"/>
      <c r="M36088" s="11"/>
      <c r="N36088" s="11"/>
      <c r="O36088" s="11"/>
      <c r="P36088" s="11"/>
    </row>
    <row r="36089" spans="8:16" x14ac:dyDescent="0.25">
      <c r="H36089" s="12"/>
      <c r="I36089" s="12"/>
      <c r="J36089" s="12"/>
      <c r="K36089" s="12"/>
      <c r="L36089" s="12"/>
      <c r="M36089" s="11"/>
      <c r="N36089" s="11"/>
      <c r="O36089" s="11"/>
      <c r="P36089" s="11"/>
    </row>
    <row r="36090" spans="8:16" x14ac:dyDescent="0.25">
      <c r="H36090" s="12"/>
      <c r="I36090" s="12"/>
      <c r="J36090" s="12"/>
      <c r="K36090" s="12"/>
      <c r="L36090" s="12"/>
      <c r="M36090" s="11"/>
      <c r="N36090" s="11"/>
      <c r="O36090" s="11"/>
      <c r="P36090" s="11"/>
    </row>
    <row r="36091" spans="8:16" x14ac:dyDescent="0.25">
      <c r="H36091" s="12"/>
      <c r="I36091" s="12"/>
      <c r="J36091" s="12"/>
      <c r="K36091" s="12"/>
      <c r="L36091" s="12"/>
      <c r="M36091" s="11"/>
      <c r="N36091" s="11"/>
      <c r="O36091" s="11"/>
      <c r="P36091" s="11"/>
    </row>
    <row r="36092" spans="8:16" x14ac:dyDescent="0.25">
      <c r="H36092" s="12"/>
      <c r="I36092" s="12"/>
      <c r="J36092" s="12"/>
      <c r="K36092" s="12"/>
      <c r="L36092" s="12"/>
      <c r="M36092" s="11"/>
      <c r="N36092" s="11"/>
      <c r="O36092" s="11"/>
      <c r="P36092" s="11"/>
    </row>
    <row r="36093" spans="8:16" x14ac:dyDescent="0.25">
      <c r="H36093" s="12"/>
      <c r="I36093" s="12"/>
      <c r="J36093" s="12"/>
      <c r="K36093" s="12"/>
      <c r="L36093" s="12"/>
      <c r="M36093" s="11"/>
      <c r="N36093" s="11"/>
      <c r="O36093" s="11"/>
      <c r="P36093" s="11"/>
    </row>
    <row r="36094" spans="8:16" x14ac:dyDescent="0.25">
      <c r="H36094" s="12"/>
      <c r="I36094" s="12"/>
      <c r="J36094" s="12"/>
      <c r="K36094" s="12"/>
      <c r="L36094" s="12"/>
      <c r="M36094" s="11"/>
      <c r="N36094" s="11"/>
      <c r="O36094" s="11"/>
      <c r="P36094" s="11"/>
    </row>
    <row r="36095" spans="8:16" x14ac:dyDescent="0.25">
      <c r="H36095" s="12"/>
      <c r="I36095" s="12"/>
      <c r="J36095" s="12"/>
      <c r="K36095" s="12"/>
      <c r="L36095" s="12"/>
      <c r="M36095" s="11"/>
      <c r="N36095" s="11"/>
      <c r="O36095" s="11"/>
      <c r="P36095" s="11"/>
    </row>
    <row r="36096" spans="8:16" x14ac:dyDescent="0.25">
      <c r="H36096" s="12"/>
      <c r="I36096" s="12"/>
      <c r="J36096" s="12"/>
      <c r="K36096" s="12"/>
      <c r="L36096" s="12"/>
      <c r="M36096" s="11"/>
      <c r="N36096" s="11"/>
      <c r="O36096" s="11"/>
      <c r="P36096" s="11"/>
    </row>
    <row r="36097" spans="8:16" x14ac:dyDescent="0.25">
      <c r="H36097" s="12"/>
      <c r="I36097" s="12"/>
      <c r="J36097" s="12"/>
      <c r="K36097" s="12"/>
      <c r="L36097" s="12"/>
      <c r="M36097" s="11"/>
      <c r="N36097" s="11"/>
      <c r="O36097" s="11"/>
      <c r="P36097" s="11"/>
    </row>
    <row r="36098" spans="8:16" x14ac:dyDescent="0.25">
      <c r="H36098" s="12"/>
      <c r="I36098" s="12"/>
      <c r="J36098" s="12"/>
      <c r="K36098" s="12"/>
      <c r="L36098" s="12"/>
      <c r="M36098" s="11"/>
      <c r="N36098" s="11"/>
      <c r="O36098" s="11"/>
      <c r="P36098" s="11"/>
    </row>
    <row r="36099" spans="8:16" x14ac:dyDescent="0.25">
      <c r="H36099" s="12"/>
      <c r="I36099" s="12"/>
      <c r="J36099" s="12"/>
      <c r="K36099" s="12"/>
      <c r="L36099" s="12"/>
      <c r="M36099" s="11"/>
      <c r="N36099" s="11"/>
      <c r="O36099" s="11"/>
      <c r="P36099" s="11"/>
    </row>
    <row r="36100" spans="8:16" x14ac:dyDescent="0.25">
      <c r="H36100" s="12"/>
      <c r="I36100" s="12"/>
      <c r="J36100" s="12"/>
      <c r="K36100" s="12"/>
      <c r="L36100" s="12"/>
      <c r="M36100" s="11"/>
      <c r="N36100" s="11"/>
      <c r="O36100" s="11"/>
      <c r="P36100" s="11"/>
    </row>
    <row r="36101" spans="8:16" x14ac:dyDescent="0.25">
      <c r="H36101" s="12"/>
      <c r="I36101" s="12"/>
      <c r="J36101" s="12"/>
      <c r="K36101" s="12"/>
      <c r="L36101" s="12"/>
      <c r="M36101" s="11"/>
      <c r="N36101" s="11"/>
      <c r="O36101" s="11"/>
      <c r="P36101" s="11"/>
    </row>
    <row r="36102" spans="8:16" x14ac:dyDescent="0.25">
      <c r="H36102" s="12"/>
      <c r="I36102" s="12"/>
      <c r="J36102" s="12"/>
      <c r="K36102" s="12"/>
      <c r="L36102" s="12"/>
      <c r="M36102" s="11"/>
      <c r="N36102" s="11"/>
      <c r="O36102" s="11"/>
      <c r="P36102" s="11"/>
    </row>
    <row r="36103" spans="8:16" x14ac:dyDescent="0.25">
      <c r="H36103" s="12"/>
      <c r="I36103" s="12"/>
      <c r="J36103" s="12"/>
      <c r="K36103" s="12"/>
      <c r="L36103" s="12"/>
      <c r="M36103" s="11"/>
      <c r="N36103" s="11"/>
      <c r="O36103" s="11"/>
      <c r="P36103" s="11"/>
    </row>
    <row r="36104" spans="8:16" x14ac:dyDescent="0.25">
      <c r="H36104" s="12"/>
      <c r="I36104" s="12"/>
      <c r="J36104" s="12"/>
      <c r="K36104" s="12"/>
      <c r="L36104" s="12"/>
      <c r="M36104" s="11"/>
      <c r="N36104" s="11"/>
      <c r="O36104" s="11"/>
      <c r="P36104" s="11"/>
    </row>
    <row r="36105" spans="8:16" x14ac:dyDescent="0.25">
      <c r="H36105" s="12"/>
      <c r="I36105" s="12"/>
      <c r="J36105" s="12"/>
      <c r="K36105" s="12"/>
      <c r="L36105" s="12"/>
      <c r="M36105" s="11"/>
      <c r="N36105" s="11"/>
      <c r="O36105" s="11"/>
      <c r="P36105" s="11"/>
    </row>
    <row r="36106" spans="8:16" x14ac:dyDescent="0.25">
      <c r="H36106" s="12"/>
      <c r="I36106" s="12"/>
      <c r="J36106" s="12"/>
      <c r="K36106" s="12"/>
      <c r="L36106" s="12"/>
      <c r="M36106" s="11"/>
      <c r="N36106" s="11"/>
      <c r="O36106" s="11"/>
      <c r="P36106" s="11"/>
    </row>
    <row r="36107" spans="8:16" x14ac:dyDescent="0.25">
      <c r="H36107" s="12"/>
      <c r="I36107" s="12"/>
      <c r="J36107" s="12"/>
      <c r="K36107" s="12"/>
      <c r="L36107" s="12"/>
      <c r="M36107" s="11"/>
      <c r="N36107" s="11"/>
      <c r="O36107" s="11"/>
      <c r="P36107" s="11"/>
    </row>
    <row r="36108" spans="8:16" x14ac:dyDescent="0.25">
      <c r="H36108" s="12"/>
      <c r="I36108" s="12"/>
      <c r="J36108" s="12"/>
      <c r="K36108" s="12"/>
      <c r="L36108" s="12"/>
      <c r="M36108" s="11"/>
      <c r="N36108" s="11"/>
      <c r="O36108" s="11"/>
      <c r="P36108" s="11"/>
    </row>
    <row r="36109" spans="8:16" x14ac:dyDescent="0.25">
      <c r="H36109" s="12"/>
      <c r="I36109" s="12"/>
      <c r="J36109" s="12"/>
      <c r="K36109" s="12"/>
      <c r="L36109" s="12"/>
      <c r="M36109" s="11"/>
      <c r="N36109" s="11"/>
      <c r="O36109" s="11"/>
      <c r="P36109" s="11"/>
    </row>
    <row r="36110" spans="8:16" x14ac:dyDescent="0.25">
      <c r="H36110" s="12"/>
      <c r="I36110" s="12"/>
      <c r="J36110" s="12"/>
      <c r="K36110" s="12"/>
      <c r="L36110" s="12"/>
      <c r="M36110" s="11"/>
      <c r="N36110" s="11"/>
      <c r="O36110" s="11"/>
      <c r="P36110" s="11"/>
    </row>
    <row r="36111" spans="8:16" x14ac:dyDescent="0.25">
      <c r="H36111" s="12"/>
      <c r="I36111" s="12"/>
      <c r="J36111" s="12"/>
      <c r="K36111" s="12"/>
      <c r="L36111" s="12"/>
      <c r="M36111" s="11"/>
      <c r="N36111" s="11"/>
      <c r="O36111" s="11"/>
      <c r="P36111" s="11"/>
    </row>
    <row r="36112" spans="8:16" x14ac:dyDescent="0.25">
      <c r="H36112" s="12"/>
      <c r="I36112" s="12"/>
      <c r="J36112" s="12"/>
      <c r="K36112" s="12"/>
      <c r="L36112" s="12"/>
      <c r="M36112" s="11"/>
      <c r="N36112" s="11"/>
      <c r="O36112" s="11"/>
      <c r="P36112" s="11"/>
    </row>
    <row r="36113" spans="8:16" x14ac:dyDescent="0.25">
      <c r="H36113" s="12"/>
      <c r="I36113" s="12"/>
      <c r="J36113" s="12"/>
      <c r="K36113" s="12"/>
      <c r="L36113" s="12"/>
      <c r="M36113" s="11"/>
      <c r="N36113" s="11"/>
      <c r="O36113" s="11"/>
      <c r="P36113" s="11"/>
    </row>
    <row r="36114" spans="8:16" x14ac:dyDescent="0.25">
      <c r="H36114" s="12"/>
      <c r="I36114" s="12"/>
      <c r="J36114" s="12"/>
      <c r="K36114" s="12"/>
      <c r="L36114" s="12"/>
      <c r="M36114" s="11"/>
      <c r="N36114" s="11"/>
      <c r="O36114" s="11"/>
      <c r="P36114" s="11"/>
    </row>
    <row r="36115" spans="8:16" x14ac:dyDescent="0.25">
      <c r="H36115" s="12"/>
      <c r="I36115" s="12"/>
      <c r="J36115" s="12"/>
      <c r="K36115" s="12"/>
      <c r="L36115" s="12"/>
      <c r="M36115" s="11"/>
      <c r="N36115" s="11"/>
      <c r="O36115" s="11"/>
      <c r="P36115" s="11"/>
    </row>
    <row r="36116" spans="8:16" x14ac:dyDescent="0.25">
      <c r="H36116" s="12"/>
      <c r="I36116" s="12"/>
      <c r="J36116" s="12"/>
      <c r="K36116" s="12"/>
      <c r="L36116" s="12"/>
      <c r="M36116" s="11"/>
      <c r="N36116" s="11"/>
      <c r="O36116" s="11"/>
      <c r="P36116" s="11"/>
    </row>
    <row r="36117" spans="8:16" x14ac:dyDescent="0.25">
      <c r="H36117" s="12"/>
      <c r="I36117" s="12"/>
      <c r="J36117" s="12"/>
      <c r="K36117" s="12"/>
      <c r="L36117" s="12"/>
      <c r="M36117" s="11"/>
      <c r="N36117" s="11"/>
      <c r="O36117" s="11"/>
      <c r="P36117" s="11"/>
    </row>
    <row r="36118" spans="8:16" x14ac:dyDescent="0.25">
      <c r="H36118" s="12"/>
      <c r="I36118" s="12"/>
      <c r="J36118" s="12"/>
      <c r="K36118" s="12"/>
      <c r="L36118" s="12"/>
      <c r="M36118" s="11"/>
      <c r="N36118" s="11"/>
      <c r="O36118" s="11"/>
      <c r="P36118" s="11"/>
    </row>
    <row r="36119" spans="8:16" x14ac:dyDescent="0.25">
      <c r="H36119" s="12"/>
      <c r="I36119" s="12"/>
      <c r="J36119" s="12"/>
      <c r="K36119" s="12"/>
      <c r="L36119" s="12"/>
      <c r="M36119" s="11"/>
      <c r="N36119" s="11"/>
      <c r="O36119" s="11"/>
      <c r="P36119" s="11"/>
    </row>
    <row r="36120" spans="8:16" x14ac:dyDescent="0.25">
      <c r="H36120" s="12"/>
      <c r="I36120" s="12"/>
      <c r="J36120" s="12"/>
      <c r="K36120" s="12"/>
      <c r="L36120" s="12"/>
      <c r="M36120" s="11"/>
      <c r="N36120" s="11"/>
      <c r="O36120" s="11"/>
      <c r="P36120" s="11"/>
    </row>
    <row r="36121" spans="8:16" x14ac:dyDescent="0.25">
      <c r="H36121" s="12"/>
      <c r="I36121" s="12"/>
      <c r="J36121" s="12"/>
      <c r="K36121" s="12"/>
      <c r="L36121" s="12"/>
      <c r="M36121" s="11"/>
      <c r="N36121" s="11"/>
      <c r="O36121" s="11"/>
      <c r="P36121" s="11"/>
    </row>
    <row r="36122" spans="8:16" x14ac:dyDescent="0.25">
      <c r="H36122" s="12"/>
      <c r="I36122" s="12"/>
      <c r="J36122" s="12"/>
      <c r="K36122" s="12"/>
      <c r="L36122" s="12"/>
      <c r="M36122" s="11"/>
      <c r="N36122" s="11"/>
      <c r="O36122" s="11"/>
      <c r="P36122" s="11"/>
    </row>
    <row r="36123" spans="8:16" x14ac:dyDescent="0.25">
      <c r="H36123" s="12"/>
      <c r="I36123" s="12"/>
      <c r="J36123" s="12"/>
      <c r="K36123" s="12"/>
      <c r="L36123" s="12"/>
      <c r="M36123" s="11"/>
      <c r="N36123" s="11"/>
      <c r="O36123" s="11"/>
      <c r="P36123" s="11"/>
    </row>
    <row r="36124" spans="8:16" x14ac:dyDescent="0.25">
      <c r="H36124" s="12"/>
      <c r="I36124" s="12"/>
      <c r="J36124" s="12"/>
      <c r="K36124" s="12"/>
      <c r="L36124" s="12"/>
      <c r="M36124" s="11"/>
      <c r="N36124" s="11"/>
      <c r="O36124" s="11"/>
      <c r="P36124" s="11"/>
    </row>
    <row r="36125" spans="8:16" x14ac:dyDescent="0.25">
      <c r="H36125" s="12"/>
      <c r="I36125" s="12"/>
      <c r="J36125" s="12"/>
      <c r="K36125" s="12"/>
      <c r="L36125" s="12"/>
      <c r="M36125" s="11"/>
      <c r="N36125" s="11"/>
      <c r="O36125" s="11"/>
      <c r="P36125" s="11"/>
    </row>
    <row r="36126" spans="8:16" x14ac:dyDescent="0.25">
      <c r="H36126" s="12"/>
      <c r="I36126" s="12"/>
      <c r="J36126" s="12"/>
      <c r="K36126" s="12"/>
      <c r="L36126" s="12"/>
      <c r="M36126" s="11"/>
      <c r="N36126" s="11"/>
      <c r="O36126" s="11"/>
      <c r="P36126" s="11"/>
    </row>
    <row r="36127" spans="8:16" x14ac:dyDescent="0.25">
      <c r="H36127" s="12"/>
      <c r="I36127" s="12"/>
      <c r="J36127" s="12"/>
      <c r="K36127" s="12"/>
      <c r="L36127" s="12"/>
      <c r="M36127" s="11"/>
      <c r="N36127" s="11"/>
      <c r="O36127" s="11"/>
      <c r="P36127" s="11"/>
    </row>
    <row r="36128" spans="8:16" x14ac:dyDescent="0.25">
      <c r="H36128" s="12"/>
      <c r="I36128" s="12"/>
      <c r="J36128" s="12"/>
      <c r="K36128" s="12"/>
      <c r="L36128" s="12"/>
      <c r="M36128" s="11"/>
      <c r="N36128" s="11"/>
      <c r="O36128" s="11"/>
      <c r="P36128" s="11"/>
    </row>
    <row r="36129" spans="8:16" x14ac:dyDescent="0.25">
      <c r="H36129" s="12"/>
      <c r="I36129" s="12"/>
      <c r="J36129" s="12"/>
      <c r="K36129" s="12"/>
      <c r="L36129" s="12"/>
      <c r="M36129" s="11"/>
      <c r="N36129" s="11"/>
      <c r="O36129" s="11"/>
      <c r="P36129" s="11"/>
    </row>
    <row r="36130" spans="8:16" x14ac:dyDescent="0.25">
      <c r="H36130" s="12"/>
      <c r="I36130" s="12"/>
      <c r="J36130" s="12"/>
      <c r="K36130" s="12"/>
      <c r="L36130" s="12"/>
      <c r="M36130" s="11"/>
      <c r="N36130" s="11"/>
      <c r="O36130" s="11"/>
      <c r="P36130" s="11"/>
    </row>
    <row r="36131" spans="8:16" x14ac:dyDescent="0.25">
      <c r="H36131" s="12"/>
      <c r="I36131" s="12"/>
      <c r="J36131" s="12"/>
      <c r="K36131" s="12"/>
      <c r="L36131" s="12"/>
      <c r="M36131" s="11"/>
      <c r="N36131" s="11"/>
      <c r="O36131" s="11"/>
      <c r="P36131" s="11"/>
    </row>
    <row r="36132" spans="8:16" x14ac:dyDescent="0.25">
      <c r="H36132" s="12"/>
      <c r="I36132" s="12"/>
      <c r="J36132" s="12"/>
      <c r="K36132" s="12"/>
      <c r="L36132" s="12"/>
      <c r="M36132" s="11"/>
      <c r="N36132" s="11"/>
      <c r="O36132" s="11"/>
      <c r="P36132" s="11"/>
    </row>
    <row r="36133" spans="8:16" x14ac:dyDescent="0.25">
      <c r="H36133" s="12"/>
      <c r="I36133" s="12"/>
      <c r="J36133" s="12"/>
      <c r="K36133" s="12"/>
      <c r="L36133" s="12"/>
      <c r="M36133" s="11"/>
      <c r="N36133" s="11"/>
      <c r="O36133" s="11"/>
      <c r="P36133" s="11"/>
    </row>
    <row r="36134" spans="8:16" x14ac:dyDescent="0.25">
      <c r="H36134" s="12"/>
      <c r="I36134" s="12"/>
      <c r="J36134" s="12"/>
      <c r="K36134" s="12"/>
      <c r="L36134" s="12"/>
      <c r="M36134" s="11"/>
      <c r="N36134" s="11"/>
      <c r="O36134" s="11"/>
      <c r="P36134" s="11"/>
    </row>
    <row r="36135" spans="8:16" x14ac:dyDescent="0.25">
      <c r="H36135" s="12"/>
      <c r="I36135" s="12"/>
      <c r="J36135" s="12"/>
      <c r="K36135" s="12"/>
      <c r="L36135" s="12"/>
      <c r="M36135" s="11"/>
      <c r="N36135" s="11"/>
      <c r="O36135" s="11"/>
      <c r="P36135" s="11"/>
    </row>
    <row r="36136" spans="8:16" x14ac:dyDescent="0.25">
      <c r="H36136" s="12"/>
      <c r="I36136" s="12"/>
      <c r="J36136" s="12"/>
      <c r="K36136" s="12"/>
      <c r="L36136" s="12"/>
      <c r="M36136" s="11"/>
      <c r="N36136" s="11"/>
      <c r="O36136" s="11"/>
      <c r="P36136" s="11"/>
    </row>
    <row r="36137" spans="8:16" x14ac:dyDescent="0.25">
      <c r="H36137" s="12"/>
      <c r="I36137" s="12"/>
      <c r="J36137" s="12"/>
      <c r="K36137" s="12"/>
      <c r="L36137" s="12"/>
      <c r="M36137" s="11"/>
      <c r="N36137" s="11"/>
      <c r="O36137" s="11"/>
      <c r="P36137" s="11"/>
    </row>
    <row r="36138" spans="8:16" x14ac:dyDescent="0.25">
      <c r="H36138" s="12"/>
      <c r="I36138" s="12"/>
      <c r="J36138" s="12"/>
      <c r="K36138" s="12"/>
      <c r="L36138" s="12"/>
      <c r="M36138" s="11"/>
      <c r="N36138" s="11"/>
      <c r="O36138" s="11"/>
      <c r="P36138" s="11"/>
    </row>
    <row r="36139" spans="8:16" x14ac:dyDescent="0.25">
      <c r="H36139" s="12"/>
      <c r="I36139" s="12"/>
      <c r="J36139" s="12"/>
      <c r="K36139" s="12"/>
      <c r="L36139" s="12"/>
      <c r="M36139" s="11"/>
      <c r="N36139" s="11"/>
      <c r="O36139" s="11"/>
      <c r="P36139" s="11"/>
    </row>
    <row r="36140" spans="8:16" x14ac:dyDescent="0.25">
      <c r="H36140" s="12"/>
      <c r="I36140" s="12"/>
      <c r="J36140" s="12"/>
      <c r="K36140" s="12"/>
      <c r="L36140" s="12"/>
      <c r="M36140" s="11"/>
      <c r="N36140" s="11"/>
      <c r="O36140" s="11"/>
      <c r="P36140" s="11"/>
    </row>
    <row r="36141" spans="8:16" x14ac:dyDescent="0.25">
      <c r="H36141" s="12"/>
      <c r="I36141" s="12"/>
      <c r="J36141" s="12"/>
      <c r="K36141" s="12"/>
      <c r="L36141" s="12"/>
      <c r="M36141" s="11"/>
      <c r="N36141" s="11"/>
      <c r="O36141" s="11"/>
      <c r="P36141" s="11"/>
    </row>
    <row r="36142" spans="8:16" x14ac:dyDescent="0.25">
      <c r="H36142" s="12"/>
      <c r="I36142" s="12"/>
      <c r="J36142" s="12"/>
      <c r="K36142" s="12"/>
      <c r="L36142" s="12"/>
      <c r="M36142" s="11"/>
      <c r="N36142" s="11"/>
      <c r="O36142" s="11"/>
      <c r="P36142" s="11"/>
    </row>
    <row r="36143" spans="8:16" x14ac:dyDescent="0.25">
      <c r="H36143" s="12"/>
      <c r="I36143" s="12"/>
      <c r="J36143" s="12"/>
      <c r="K36143" s="12"/>
      <c r="L36143" s="12"/>
      <c r="M36143" s="11"/>
      <c r="N36143" s="11"/>
      <c r="O36143" s="11"/>
      <c r="P36143" s="11"/>
    </row>
    <row r="36144" spans="8:16" x14ac:dyDescent="0.25">
      <c r="H36144" s="12"/>
      <c r="I36144" s="12"/>
      <c r="J36144" s="12"/>
      <c r="K36144" s="12"/>
      <c r="L36144" s="12"/>
      <c r="M36144" s="11"/>
      <c r="N36144" s="11"/>
      <c r="O36144" s="11"/>
      <c r="P36144" s="11"/>
    </row>
    <row r="36145" spans="8:16" x14ac:dyDescent="0.25">
      <c r="H36145" s="12"/>
      <c r="I36145" s="12"/>
      <c r="J36145" s="12"/>
      <c r="K36145" s="12"/>
      <c r="L36145" s="12"/>
      <c r="M36145" s="11"/>
      <c r="N36145" s="11"/>
      <c r="O36145" s="11"/>
      <c r="P36145" s="11"/>
    </row>
    <row r="36146" spans="8:16" x14ac:dyDescent="0.25">
      <c r="H36146" s="12"/>
      <c r="I36146" s="12"/>
      <c r="J36146" s="12"/>
      <c r="K36146" s="12"/>
      <c r="L36146" s="12"/>
      <c r="M36146" s="11"/>
      <c r="N36146" s="11"/>
      <c r="O36146" s="11"/>
      <c r="P36146" s="11"/>
    </row>
    <row r="36147" spans="8:16" x14ac:dyDescent="0.25">
      <c r="H36147" s="12"/>
      <c r="I36147" s="12"/>
      <c r="J36147" s="12"/>
      <c r="K36147" s="12"/>
      <c r="L36147" s="12"/>
      <c r="M36147" s="11"/>
      <c r="N36147" s="11"/>
      <c r="O36147" s="11"/>
      <c r="P36147" s="11"/>
    </row>
    <row r="36148" spans="8:16" x14ac:dyDescent="0.25">
      <c r="H36148" s="12"/>
      <c r="I36148" s="12"/>
      <c r="J36148" s="12"/>
      <c r="K36148" s="12"/>
      <c r="L36148" s="12"/>
      <c r="M36148" s="11"/>
      <c r="N36148" s="11"/>
      <c r="O36148" s="11"/>
      <c r="P36148" s="11"/>
    </row>
    <row r="36149" spans="8:16" x14ac:dyDescent="0.25">
      <c r="H36149" s="12"/>
      <c r="I36149" s="12"/>
      <c r="J36149" s="12"/>
      <c r="K36149" s="12"/>
      <c r="L36149" s="12"/>
      <c r="M36149" s="11"/>
      <c r="N36149" s="11"/>
      <c r="O36149" s="11"/>
      <c r="P36149" s="11"/>
    </row>
    <row r="36150" spans="8:16" x14ac:dyDescent="0.25">
      <c r="H36150" s="12"/>
      <c r="I36150" s="12"/>
      <c r="J36150" s="12"/>
      <c r="K36150" s="12"/>
      <c r="L36150" s="12"/>
      <c r="M36150" s="11"/>
      <c r="N36150" s="11"/>
      <c r="O36150" s="11"/>
      <c r="P36150" s="11"/>
    </row>
    <row r="36151" spans="8:16" x14ac:dyDescent="0.25">
      <c r="H36151" s="12"/>
      <c r="I36151" s="12"/>
      <c r="J36151" s="12"/>
      <c r="K36151" s="12"/>
      <c r="L36151" s="12"/>
      <c r="M36151" s="11"/>
      <c r="N36151" s="11"/>
      <c r="O36151" s="11"/>
      <c r="P36151" s="11"/>
    </row>
    <row r="36152" spans="8:16" x14ac:dyDescent="0.25">
      <c r="H36152" s="12"/>
      <c r="I36152" s="12"/>
      <c r="J36152" s="12"/>
      <c r="K36152" s="12"/>
      <c r="L36152" s="12"/>
      <c r="M36152" s="11"/>
      <c r="N36152" s="11"/>
      <c r="O36152" s="11"/>
      <c r="P36152" s="11"/>
    </row>
    <row r="36153" spans="8:16" x14ac:dyDescent="0.25">
      <c r="H36153" s="12"/>
      <c r="I36153" s="12"/>
      <c r="J36153" s="12"/>
      <c r="K36153" s="12"/>
      <c r="L36153" s="12"/>
      <c r="M36153" s="11"/>
      <c r="N36153" s="11"/>
      <c r="O36153" s="11"/>
      <c r="P36153" s="11"/>
    </row>
    <row r="36154" spans="8:16" x14ac:dyDescent="0.25">
      <c r="H36154" s="12"/>
      <c r="I36154" s="12"/>
      <c r="J36154" s="12"/>
      <c r="K36154" s="12"/>
      <c r="L36154" s="12"/>
      <c r="M36154" s="11"/>
      <c r="N36154" s="11"/>
      <c r="O36154" s="11"/>
      <c r="P36154" s="11"/>
    </row>
    <row r="36155" spans="8:16" x14ac:dyDescent="0.25">
      <c r="H36155" s="12"/>
      <c r="I36155" s="12"/>
      <c r="J36155" s="12"/>
      <c r="K36155" s="12"/>
      <c r="L36155" s="12"/>
      <c r="M36155" s="11"/>
      <c r="N36155" s="11"/>
      <c r="O36155" s="11"/>
      <c r="P36155" s="11"/>
    </row>
    <row r="36156" spans="8:16" x14ac:dyDescent="0.25">
      <c r="H36156" s="12"/>
      <c r="I36156" s="12"/>
      <c r="J36156" s="12"/>
      <c r="K36156" s="12"/>
      <c r="L36156" s="12"/>
      <c r="M36156" s="11"/>
      <c r="N36156" s="11"/>
      <c r="O36156" s="11"/>
      <c r="P36156" s="11"/>
    </row>
    <row r="36157" spans="8:16" x14ac:dyDescent="0.25">
      <c r="H36157" s="12"/>
      <c r="I36157" s="12"/>
      <c r="J36157" s="12"/>
      <c r="K36157" s="12"/>
      <c r="L36157" s="12"/>
      <c r="M36157" s="11"/>
      <c r="N36157" s="11"/>
      <c r="O36157" s="11"/>
      <c r="P36157" s="11"/>
    </row>
    <row r="36158" spans="8:16" x14ac:dyDescent="0.25">
      <c r="H36158" s="12"/>
      <c r="I36158" s="12"/>
      <c r="J36158" s="12"/>
      <c r="K36158" s="12"/>
      <c r="L36158" s="12"/>
      <c r="M36158" s="11"/>
      <c r="N36158" s="11"/>
      <c r="O36158" s="11"/>
      <c r="P36158" s="11"/>
    </row>
    <row r="36159" spans="8:16" x14ac:dyDescent="0.25">
      <c r="H36159" s="12"/>
      <c r="I36159" s="12"/>
      <c r="J36159" s="12"/>
      <c r="K36159" s="12"/>
      <c r="L36159" s="12"/>
      <c r="M36159" s="11"/>
      <c r="N36159" s="11"/>
      <c r="O36159" s="11"/>
      <c r="P36159" s="11"/>
    </row>
    <row r="36160" spans="8:16" x14ac:dyDescent="0.25">
      <c r="H36160" s="12"/>
      <c r="I36160" s="12"/>
      <c r="J36160" s="12"/>
      <c r="K36160" s="12"/>
      <c r="L36160" s="12"/>
      <c r="M36160" s="11"/>
      <c r="N36160" s="11"/>
      <c r="O36160" s="11"/>
      <c r="P36160" s="11"/>
    </row>
    <row r="36161" spans="8:16" x14ac:dyDescent="0.25">
      <c r="H36161" s="12"/>
      <c r="I36161" s="12"/>
      <c r="J36161" s="12"/>
      <c r="K36161" s="12"/>
      <c r="L36161" s="12"/>
      <c r="M36161" s="11"/>
      <c r="N36161" s="11"/>
      <c r="O36161" s="11"/>
      <c r="P36161" s="11"/>
    </row>
    <row r="36162" spans="8:16" x14ac:dyDescent="0.25">
      <c r="H36162" s="12"/>
      <c r="I36162" s="12"/>
      <c r="J36162" s="12"/>
      <c r="K36162" s="12"/>
      <c r="L36162" s="12"/>
      <c r="M36162" s="11"/>
      <c r="N36162" s="11"/>
      <c r="O36162" s="11"/>
      <c r="P36162" s="11"/>
    </row>
    <row r="36163" spans="8:16" x14ac:dyDescent="0.25">
      <c r="H36163" s="12"/>
      <c r="I36163" s="12"/>
      <c r="J36163" s="12"/>
      <c r="K36163" s="12"/>
      <c r="L36163" s="12"/>
      <c r="M36163" s="11"/>
      <c r="N36163" s="11"/>
      <c r="O36163" s="11"/>
      <c r="P36163" s="11"/>
    </row>
    <row r="36164" spans="8:16" x14ac:dyDescent="0.25">
      <c r="H36164" s="12"/>
      <c r="I36164" s="12"/>
      <c r="J36164" s="12"/>
      <c r="K36164" s="12"/>
      <c r="L36164" s="12"/>
      <c r="M36164" s="11"/>
      <c r="N36164" s="11"/>
      <c r="O36164" s="11"/>
      <c r="P36164" s="11"/>
    </row>
    <row r="36165" spans="8:16" x14ac:dyDescent="0.25">
      <c r="H36165" s="12"/>
      <c r="I36165" s="12"/>
      <c r="J36165" s="12"/>
      <c r="K36165" s="12"/>
      <c r="L36165" s="12"/>
      <c r="M36165" s="11"/>
      <c r="N36165" s="11"/>
      <c r="O36165" s="11"/>
      <c r="P36165" s="11"/>
    </row>
    <row r="36166" spans="8:16" x14ac:dyDescent="0.25">
      <c r="H36166" s="12"/>
      <c r="I36166" s="12"/>
      <c r="J36166" s="12"/>
      <c r="K36166" s="12"/>
      <c r="L36166" s="12"/>
      <c r="M36166" s="11"/>
      <c r="N36166" s="11"/>
      <c r="O36166" s="11"/>
      <c r="P36166" s="11"/>
    </row>
    <row r="36167" spans="8:16" x14ac:dyDescent="0.25">
      <c r="H36167" s="12"/>
      <c r="I36167" s="12"/>
      <c r="J36167" s="12"/>
      <c r="K36167" s="12"/>
      <c r="L36167" s="12"/>
      <c r="M36167" s="11"/>
      <c r="N36167" s="11"/>
      <c r="O36167" s="11"/>
      <c r="P36167" s="11"/>
    </row>
    <row r="36168" spans="8:16" x14ac:dyDescent="0.25">
      <c r="H36168" s="12"/>
      <c r="I36168" s="12"/>
      <c r="J36168" s="12"/>
      <c r="K36168" s="12"/>
      <c r="L36168" s="12"/>
      <c r="M36168" s="11"/>
      <c r="N36168" s="11"/>
      <c r="O36168" s="11"/>
      <c r="P36168" s="11"/>
    </row>
    <row r="36169" spans="8:16" x14ac:dyDescent="0.25">
      <c r="H36169" s="12"/>
      <c r="I36169" s="12"/>
      <c r="J36169" s="12"/>
      <c r="K36169" s="12"/>
      <c r="L36169" s="12"/>
      <c r="M36169" s="11"/>
      <c r="N36169" s="11"/>
      <c r="O36169" s="11"/>
      <c r="P36169" s="11"/>
    </row>
    <row r="36170" spans="8:16" x14ac:dyDescent="0.25">
      <c r="H36170" s="12"/>
      <c r="I36170" s="12"/>
      <c r="J36170" s="12"/>
      <c r="K36170" s="12"/>
      <c r="L36170" s="12"/>
      <c r="M36170" s="11"/>
      <c r="N36170" s="11"/>
      <c r="O36170" s="11"/>
      <c r="P36170" s="11"/>
    </row>
    <row r="36171" spans="8:16" x14ac:dyDescent="0.25">
      <c r="H36171" s="12"/>
      <c r="I36171" s="12"/>
      <c r="J36171" s="12"/>
      <c r="K36171" s="12"/>
      <c r="L36171" s="12"/>
      <c r="M36171" s="11"/>
      <c r="N36171" s="11"/>
      <c r="O36171" s="11"/>
      <c r="P36171" s="11"/>
    </row>
    <row r="36172" spans="8:16" x14ac:dyDescent="0.25">
      <c r="H36172" s="12"/>
      <c r="I36172" s="12"/>
      <c r="J36172" s="12"/>
      <c r="K36172" s="12"/>
      <c r="L36172" s="12"/>
      <c r="M36172" s="11"/>
      <c r="N36172" s="11"/>
      <c r="O36172" s="11"/>
      <c r="P36172" s="11"/>
    </row>
    <row r="36173" spans="8:16" x14ac:dyDescent="0.25">
      <c r="H36173" s="12"/>
      <c r="I36173" s="12"/>
      <c r="J36173" s="12"/>
      <c r="K36173" s="12"/>
      <c r="L36173" s="12"/>
      <c r="M36173" s="11"/>
      <c r="N36173" s="11"/>
      <c r="O36173" s="11"/>
      <c r="P36173" s="11"/>
    </row>
    <row r="36174" spans="8:16" x14ac:dyDescent="0.25">
      <c r="H36174" s="12"/>
      <c r="I36174" s="12"/>
      <c r="J36174" s="12"/>
      <c r="K36174" s="12"/>
      <c r="L36174" s="12"/>
      <c r="M36174" s="11"/>
      <c r="N36174" s="11"/>
      <c r="O36174" s="11"/>
      <c r="P36174" s="11"/>
    </row>
    <row r="36175" spans="8:16" x14ac:dyDescent="0.25">
      <c r="H36175" s="12"/>
      <c r="I36175" s="12"/>
      <c r="J36175" s="12"/>
      <c r="K36175" s="12"/>
      <c r="L36175" s="12"/>
      <c r="M36175" s="11"/>
      <c r="N36175" s="11"/>
      <c r="O36175" s="11"/>
      <c r="P36175" s="11"/>
    </row>
    <row r="36176" spans="8:16" x14ac:dyDescent="0.25">
      <c r="H36176" s="12"/>
      <c r="I36176" s="12"/>
      <c r="J36176" s="12"/>
      <c r="K36176" s="12"/>
      <c r="L36176" s="12"/>
      <c r="M36176" s="11"/>
      <c r="N36176" s="11"/>
      <c r="O36176" s="11"/>
      <c r="P36176" s="11"/>
    </row>
    <row r="36177" spans="8:16" x14ac:dyDescent="0.25">
      <c r="H36177" s="12"/>
      <c r="I36177" s="12"/>
      <c r="J36177" s="12"/>
      <c r="K36177" s="12"/>
      <c r="L36177" s="12"/>
      <c r="M36177" s="11"/>
      <c r="N36177" s="11"/>
      <c r="O36177" s="11"/>
      <c r="P36177" s="11"/>
    </row>
    <row r="36178" spans="8:16" x14ac:dyDescent="0.25">
      <c r="H36178" s="12"/>
      <c r="I36178" s="12"/>
      <c r="J36178" s="12"/>
      <c r="K36178" s="12"/>
      <c r="L36178" s="12"/>
      <c r="M36178" s="11"/>
      <c r="N36178" s="11"/>
      <c r="O36178" s="11"/>
      <c r="P36178" s="11"/>
    </row>
    <row r="36179" spans="8:16" x14ac:dyDescent="0.25">
      <c r="H36179" s="12"/>
      <c r="I36179" s="12"/>
      <c r="J36179" s="12"/>
      <c r="K36179" s="12"/>
      <c r="L36179" s="12"/>
      <c r="M36179" s="11"/>
      <c r="N36179" s="11"/>
      <c r="O36179" s="11"/>
      <c r="P36179" s="11"/>
    </row>
    <row r="36180" spans="8:16" x14ac:dyDescent="0.25">
      <c r="H36180" s="12"/>
      <c r="I36180" s="12"/>
      <c r="J36180" s="12"/>
      <c r="K36180" s="12"/>
      <c r="L36180" s="12"/>
      <c r="M36180" s="11"/>
      <c r="N36180" s="11"/>
      <c r="O36180" s="11"/>
      <c r="P36180" s="11"/>
    </row>
    <row r="36181" spans="8:16" x14ac:dyDescent="0.25">
      <c r="H36181" s="12"/>
      <c r="I36181" s="12"/>
      <c r="J36181" s="12"/>
      <c r="K36181" s="12"/>
      <c r="L36181" s="12"/>
      <c r="M36181" s="11"/>
      <c r="N36181" s="11"/>
      <c r="O36181" s="11"/>
      <c r="P36181" s="11"/>
    </row>
    <row r="36182" spans="8:16" x14ac:dyDescent="0.25">
      <c r="H36182" s="12"/>
      <c r="I36182" s="12"/>
      <c r="J36182" s="12"/>
      <c r="K36182" s="12"/>
      <c r="L36182" s="12"/>
      <c r="M36182" s="11"/>
      <c r="N36182" s="11"/>
      <c r="O36182" s="11"/>
      <c r="P36182" s="11"/>
    </row>
    <row r="36183" spans="8:16" x14ac:dyDescent="0.25">
      <c r="H36183" s="12"/>
      <c r="I36183" s="12"/>
      <c r="J36183" s="12"/>
      <c r="K36183" s="12"/>
      <c r="L36183" s="12"/>
      <c r="M36183" s="11"/>
      <c r="N36183" s="11"/>
      <c r="O36183" s="11"/>
      <c r="P36183" s="11"/>
    </row>
    <row r="36184" spans="8:16" x14ac:dyDescent="0.25">
      <c r="H36184" s="12"/>
      <c r="I36184" s="12"/>
      <c r="J36184" s="12"/>
      <c r="K36184" s="12"/>
      <c r="L36184" s="12"/>
      <c r="M36184" s="11"/>
      <c r="N36184" s="11"/>
      <c r="O36184" s="11"/>
      <c r="P36184" s="11"/>
    </row>
    <row r="36185" spans="8:16" x14ac:dyDescent="0.25">
      <c r="H36185" s="12"/>
      <c r="I36185" s="12"/>
      <c r="J36185" s="12"/>
      <c r="K36185" s="12"/>
      <c r="L36185" s="12"/>
      <c r="M36185" s="11"/>
      <c r="N36185" s="11"/>
      <c r="O36185" s="11"/>
      <c r="P36185" s="11"/>
    </row>
    <row r="36186" spans="8:16" x14ac:dyDescent="0.25">
      <c r="H36186" s="12"/>
      <c r="I36186" s="12"/>
      <c r="J36186" s="12"/>
      <c r="K36186" s="12"/>
      <c r="L36186" s="12"/>
      <c r="M36186" s="11"/>
      <c r="N36186" s="11"/>
      <c r="O36186" s="11"/>
      <c r="P36186" s="11"/>
    </row>
    <row r="36187" spans="8:16" x14ac:dyDescent="0.25">
      <c r="H36187" s="12"/>
      <c r="I36187" s="12"/>
      <c r="J36187" s="12"/>
      <c r="K36187" s="12"/>
      <c r="L36187" s="12"/>
      <c r="M36187" s="11"/>
      <c r="N36187" s="11"/>
      <c r="O36187" s="11"/>
      <c r="P36187" s="11"/>
    </row>
    <row r="36188" spans="8:16" x14ac:dyDescent="0.25">
      <c r="H36188" s="12"/>
      <c r="I36188" s="12"/>
      <c r="J36188" s="12"/>
      <c r="K36188" s="12"/>
      <c r="L36188" s="12"/>
      <c r="M36188" s="11"/>
      <c r="N36188" s="11"/>
      <c r="O36188" s="11"/>
      <c r="P36188" s="11"/>
    </row>
    <row r="36189" spans="8:16" x14ac:dyDescent="0.25">
      <c r="H36189" s="12"/>
      <c r="I36189" s="12"/>
      <c r="J36189" s="12"/>
      <c r="K36189" s="12"/>
      <c r="L36189" s="12"/>
      <c r="M36189" s="11"/>
      <c r="N36189" s="11"/>
      <c r="O36189" s="11"/>
      <c r="P36189" s="11"/>
    </row>
    <row r="36190" spans="8:16" x14ac:dyDescent="0.25">
      <c r="H36190" s="12"/>
      <c r="I36190" s="12"/>
      <c r="J36190" s="12"/>
      <c r="K36190" s="12"/>
      <c r="L36190" s="12"/>
      <c r="M36190" s="11"/>
      <c r="N36190" s="11"/>
      <c r="O36190" s="11"/>
      <c r="P36190" s="11"/>
    </row>
    <row r="36191" spans="8:16" x14ac:dyDescent="0.25">
      <c r="H36191" s="12"/>
      <c r="I36191" s="12"/>
      <c r="J36191" s="12"/>
      <c r="K36191" s="12"/>
      <c r="L36191" s="12"/>
      <c r="M36191" s="11"/>
      <c r="N36191" s="11"/>
      <c r="O36191" s="11"/>
      <c r="P36191" s="11"/>
    </row>
    <row r="36192" spans="8:16" x14ac:dyDescent="0.25">
      <c r="H36192" s="12"/>
      <c r="I36192" s="12"/>
      <c r="J36192" s="12"/>
      <c r="K36192" s="12"/>
      <c r="L36192" s="12"/>
      <c r="M36192" s="11"/>
      <c r="N36192" s="11"/>
      <c r="O36192" s="11"/>
      <c r="P36192" s="11"/>
    </row>
    <row r="36193" spans="8:16" x14ac:dyDescent="0.25">
      <c r="H36193" s="12"/>
      <c r="I36193" s="12"/>
      <c r="J36193" s="12"/>
      <c r="K36193" s="12"/>
      <c r="L36193" s="12"/>
      <c r="M36193" s="11"/>
      <c r="N36193" s="11"/>
      <c r="O36193" s="11"/>
      <c r="P36193" s="11"/>
    </row>
    <row r="36194" spans="8:16" x14ac:dyDescent="0.25">
      <c r="H36194" s="12"/>
      <c r="I36194" s="12"/>
      <c r="J36194" s="12"/>
      <c r="K36194" s="12"/>
      <c r="L36194" s="12"/>
      <c r="M36194" s="11"/>
      <c r="N36194" s="11"/>
      <c r="O36194" s="11"/>
      <c r="P36194" s="11"/>
    </row>
    <row r="36195" spans="8:16" x14ac:dyDescent="0.25">
      <c r="H36195" s="12"/>
      <c r="I36195" s="12"/>
      <c r="J36195" s="12"/>
      <c r="K36195" s="12"/>
      <c r="L36195" s="12"/>
      <c r="M36195" s="11"/>
      <c r="N36195" s="11"/>
      <c r="O36195" s="11"/>
      <c r="P36195" s="11"/>
    </row>
    <row r="36196" spans="8:16" x14ac:dyDescent="0.25">
      <c r="H36196" s="12"/>
      <c r="I36196" s="12"/>
      <c r="J36196" s="12"/>
      <c r="K36196" s="12"/>
      <c r="L36196" s="12"/>
      <c r="M36196" s="11"/>
      <c r="N36196" s="11"/>
      <c r="O36196" s="11"/>
      <c r="P36196" s="11"/>
    </row>
    <row r="36197" spans="8:16" x14ac:dyDescent="0.25">
      <c r="H36197" s="12"/>
      <c r="I36197" s="12"/>
      <c r="J36197" s="12"/>
      <c r="K36197" s="12"/>
      <c r="L36197" s="12"/>
      <c r="M36197" s="11"/>
      <c r="N36197" s="11"/>
      <c r="O36197" s="11"/>
      <c r="P36197" s="11"/>
    </row>
    <row r="36198" spans="8:16" x14ac:dyDescent="0.25">
      <c r="H36198" s="12"/>
      <c r="I36198" s="12"/>
      <c r="J36198" s="12"/>
      <c r="K36198" s="12"/>
      <c r="L36198" s="12"/>
      <c r="M36198" s="11"/>
      <c r="N36198" s="11"/>
      <c r="O36198" s="11"/>
      <c r="P36198" s="11"/>
    </row>
    <row r="36199" spans="8:16" x14ac:dyDescent="0.25">
      <c r="H36199" s="12"/>
      <c r="I36199" s="12"/>
      <c r="J36199" s="12"/>
      <c r="K36199" s="12"/>
      <c r="L36199" s="12"/>
      <c r="M36199" s="11"/>
      <c r="N36199" s="11"/>
      <c r="O36199" s="11"/>
      <c r="P36199" s="11"/>
    </row>
    <row r="36200" spans="8:16" x14ac:dyDescent="0.25">
      <c r="H36200" s="12"/>
      <c r="I36200" s="12"/>
      <c r="J36200" s="12"/>
      <c r="K36200" s="12"/>
      <c r="L36200" s="12"/>
      <c r="M36200" s="11"/>
      <c r="N36200" s="11"/>
      <c r="O36200" s="11"/>
      <c r="P36200" s="11"/>
    </row>
    <row r="36201" spans="8:16" x14ac:dyDescent="0.25">
      <c r="H36201" s="12"/>
      <c r="I36201" s="12"/>
      <c r="J36201" s="12"/>
      <c r="K36201" s="12"/>
      <c r="L36201" s="12"/>
      <c r="M36201" s="11"/>
      <c r="N36201" s="11"/>
      <c r="O36201" s="11"/>
      <c r="P36201" s="11"/>
    </row>
    <row r="36202" spans="8:16" x14ac:dyDescent="0.25">
      <c r="H36202" s="12"/>
      <c r="I36202" s="12"/>
      <c r="J36202" s="12"/>
      <c r="K36202" s="12"/>
      <c r="L36202" s="12"/>
      <c r="M36202" s="11"/>
      <c r="N36202" s="11"/>
      <c r="O36202" s="11"/>
      <c r="P36202" s="11"/>
    </row>
    <row r="36203" spans="8:16" x14ac:dyDescent="0.25">
      <c r="H36203" s="12"/>
      <c r="I36203" s="12"/>
      <c r="J36203" s="12"/>
      <c r="K36203" s="12"/>
      <c r="L36203" s="12"/>
      <c r="M36203" s="11"/>
      <c r="N36203" s="11"/>
      <c r="O36203" s="11"/>
      <c r="P36203" s="11"/>
    </row>
    <row r="36204" spans="8:16" x14ac:dyDescent="0.25">
      <c r="H36204" s="12"/>
      <c r="I36204" s="12"/>
      <c r="J36204" s="12"/>
      <c r="K36204" s="12"/>
      <c r="L36204" s="12"/>
      <c r="M36204" s="11"/>
      <c r="N36204" s="11"/>
      <c r="O36204" s="11"/>
      <c r="P36204" s="11"/>
    </row>
    <row r="36205" spans="8:16" x14ac:dyDescent="0.25">
      <c r="H36205" s="12"/>
      <c r="I36205" s="12"/>
      <c r="J36205" s="12"/>
      <c r="K36205" s="12"/>
      <c r="L36205" s="12"/>
      <c r="M36205" s="11"/>
      <c r="N36205" s="11"/>
      <c r="O36205" s="11"/>
      <c r="P36205" s="11"/>
    </row>
    <row r="36206" spans="8:16" x14ac:dyDescent="0.25">
      <c r="H36206" s="12"/>
      <c r="I36206" s="12"/>
      <c r="J36206" s="12"/>
      <c r="K36206" s="12"/>
      <c r="L36206" s="12"/>
      <c r="M36206" s="11"/>
      <c r="N36206" s="11"/>
      <c r="O36206" s="11"/>
      <c r="P36206" s="11"/>
    </row>
    <row r="36207" spans="8:16" x14ac:dyDescent="0.25">
      <c r="H36207" s="12"/>
      <c r="I36207" s="12"/>
      <c r="J36207" s="12"/>
      <c r="K36207" s="12"/>
      <c r="L36207" s="12"/>
      <c r="M36207" s="11"/>
      <c r="N36207" s="11"/>
      <c r="O36207" s="11"/>
      <c r="P36207" s="11"/>
    </row>
    <row r="36208" spans="8:16" x14ac:dyDescent="0.25">
      <c r="H36208" s="12"/>
      <c r="I36208" s="12"/>
      <c r="J36208" s="12"/>
      <c r="K36208" s="12"/>
      <c r="L36208" s="12"/>
      <c r="M36208" s="11"/>
      <c r="N36208" s="11"/>
      <c r="O36208" s="11"/>
      <c r="P36208" s="11"/>
    </row>
    <row r="36209" spans="8:16" x14ac:dyDescent="0.25">
      <c r="H36209" s="12"/>
      <c r="I36209" s="12"/>
      <c r="J36209" s="12"/>
      <c r="K36209" s="12"/>
      <c r="L36209" s="12"/>
      <c r="M36209" s="11"/>
      <c r="N36209" s="11"/>
      <c r="O36209" s="11"/>
      <c r="P36209" s="11"/>
    </row>
    <row r="36210" spans="8:16" x14ac:dyDescent="0.25">
      <c r="H36210" s="12"/>
      <c r="I36210" s="12"/>
      <c r="J36210" s="12"/>
      <c r="K36210" s="12"/>
      <c r="L36210" s="12"/>
      <c r="M36210" s="11"/>
      <c r="N36210" s="11"/>
      <c r="O36210" s="11"/>
      <c r="P36210" s="11"/>
    </row>
    <row r="36211" spans="8:16" x14ac:dyDescent="0.25">
      <c r="H36211" s="12"/>
      <c r="I36211" s="12"/>
      <c r="J36211" s="12"/>
      <c r="K36211" s="12"/>
      <c r="L36211" s="12"/>
      <c r="M36211" s="11"/>
      <c r="N36211" s="11"/>
      <c r="O36211" s="11"/>
      <c r="P36211" s="11"/>
    </row>
    <row r="36212" spans="8:16" x14ac:dyDescent="0.25">
      <c r="H36212" s="12"/>
      <c r="I36212" s="12"/>
      <c r="J36212" s="12"/>
      <c r="K36212" s="12"/>
      <c r="L36212" s="12"/>
      <c r="M36212" s="11"/>
      <c r="N36212" s="11"/>
      <c r="O36212" s="11"/>
      <c r="P36212" s="11"/>
    </row>
    <row r="36213" spans="8:16" x14ac:dyDescent="0.25">
      <c r="H36213" s="12"/>
      <c r="I36213" s="12"/>
      <c r="J36213" s="12"/>
      <c r="K36213" s="12"/>
      <c r="L36213" s="12"/>
      <c r="M36213" s="11"/>
      <c r="N36213" s="11"/>
      <c r="O36213" s="11"/>
      <c r="P36213" s="11"/>
    </row>
    <row r="36214" spans="8:16" x14ac:dyDescent="0.25">
      <c r="H36214" s="12"/>
      <c r="I36214" s="12"/>
      <c r="J36214" s="12"/>
      <c r="K36214" s="12"/>
      <c r="L36214" s="12"/>
      <c r="M36214" s="11"/>
      <c r="N36214" s="11"/>
      <c r="O36214" s="11"/>
      <c r="P36214" s="11"/>
    </row>
    <row r="36215" spans="8:16" x14ac:dyDescent="0.25">
      <c r="H36215" s="12"/>
      <c r="I36215" s="12"/>
      <c r="J36215" s="12"/>
      <c r="K36215" s="12"/>
      <c r="L36215" s="12"/>
      <c r="M36215" s="11"/>
      <c r="N36215" s="11"/>
      <c r="O36215" s="11"/>
      <c r="P36215" s="11"/>
    </row>
    <row r="36216" spans="8:16" x14ac:dyDescent="0.25">
      <c r="H36216" s="12"/>
      <c r="I36216" s="12"/>
      <c r="J36216" s="12"/>
      <c r="K36216" s="12"/>
      <c r="L36216" s="12"/>
      <c r="M36216" s="11"/>
      <c r="N36216" s="11"/>
      <c r="O36216" s="11"/>
      <c r="P36216" s="11"/>
    </row>
    <row r="36217" spans="8:16" x14ac:dyDescent="0.25">
      <c r="H36217" s="12"/>
      <c r="I36217" s="12"/>
      <c r="J36217" s="12"/>
      <c r="K36217" s="12"/>
      <c r="L36217" s="12"/>
      <c r="M36217" s="11"/>
      <c r="N36217" s="11"/>
      <c r="O36217" s="11"/>
      <c r="P36217" s="11"/>
    </row>
    <row r="36218" spans="8:16" x14ac:dyDescent="0.25">
      <c r="H36218" s="12"/>
      <c r="I36218" s="12"/>
      <c r="J36218" s="12"/>
      <c r="K36218" s="12"/>
      <c r="L36218" s="12"/>
      <c r="M36218" s="11"/>
      <c r="N36218" s="11"/>
      <c r="O36218" s="11"/>
      <c r="P36218" s="11"/>
    </row>
    <row r="36219" spans="8:16" x14ac:dyDescent="0.25">
      <c r="H36219" s="12"/>
      <c r="I36219" s="12"/>
      <c r="J36219" s="12"/>
      <c r="K36219" s="12"/>
      <c r="L36219" s="12"/>
      <c r="M36219" s="11"/>
      <c r="N36219" s="11"/>
      <c r="O36219" s="11"/>
      <c r="P36219" s="11"/>
    </row>
    <row r="36220" spans="8:16" x14ac:dyDescent="0.25">
      <c r="H36220" s="12"/>
      <c r="I36220" s="12"/>
      <c r="J36220" s="12"/>
      <c r="K36220" s="12"/>
      <c r="L36220" s="12"/>
      <c r="M36220" s="11"/>
      <c r="N36220" s="11"/>
      <c r="O36220" s="11"/>
      <c r="P36220" s="11"/>
    </row>
    <row r="36221" spans="8:16" x14ac:dyDescent="0.25">
      <c r="H36221" s="12"/>
      <c r="I36221" s="12"/>
      <c r="J36221" s="12"/>
      <c r="K36221" s="12"/>
      <c r="L36221" s="12"/>
      <c r="M36221" s="11"/>
      <c r="N36221" s="11"/>
      <c r="O36221" s="11"/>
      <c r="P36221" s="11"/>
    </row>
    <row r="36222" spans="8:16" x14ac:dyDescent="0.25">
      <c r="H36222" s="12"/>
      <c r="I36222" s="12"/>
      <c r="J36222" s="12"/>
      <c r="K36222" s="12"/>
      <c r="L36222" s="12"/>
      <c r="M36222" s="11"/>
      <c r="N36222" s="11"/>
      <c r="O36222" s="11"/>
      <c r="P36222" s="11"/>
    </row>
    <row r="36223" spans="8:16" x14ac:dyDescent="0.25">
      <c r="H36223" s="12"/>
      <c r="I36223" s="12"/>
      <c r="J36223" s="12"/>
      <c r="K36223" s="12"/>
      <c r="L36223" s="12"/>
      <c r="M36223" s="11"/>
      <c r="N36223" s="11"/>
      <c r="O36223" s="11"/>
      <c r="P36223" s="11"/>
    </row>
    <row r="36224" spans="8:16" x14ac:dyDescent="0.25">
      <c r="H36224" s="12"/>
      <c r="I36224" s="12"/>
      <c r="J36224" s="12"/>
      <c r="K36224" s="12"/>
      <c r="L36224" s="12"/>
      <c r="M36224" s="11"/>
      <c r="N36224" s="11"/>
      <c r="O36224" s="11"/>
      <c r="P36224" s="11"/>
    </row>
    <row r="36225" spans="8:16" x14ac:dyDescent="0.25">
      <c r="H36225" s="12"/>
      <c r="I36225" s="12"/>
      <c r="J36225" s="12"/>
      <c r="K36225" s="12"/>
      <c r="L36225" s="12"/>
      <c r="M36225" s="11"/>
      <c r="N36225" s="11"/>
      <c r="O36225" s="11"/>
      <c r="P36225" s="11"/>
    </row>
    <row r="36226" spans="8:16" x14ac:dyDescent="0.25">
      <c r="H36226" s="12"/>
      <c r="I36226" s="12"/>
      <c r="J36226" s="12"/>
      <c r="K36226" s="12"/>
      <c r="L36226" s="12"/>
      <c r="M36226" s="11"/>
      <c r="N36226" s="11"/>
      <c r="O36226" s="11"/>
      <c r="P36226" s="11"/>
    </row>
    <row r="36227" spans="8:16" x14ac:dyDescent="0.25">
      <c r="H36227" s="12"/>
      <c r="I36227" s="12"/>
      <c r="J36227" s="12"/>
      <c r="K36227" s="12"/>
      <c r="L36227" s="12"/>
      <c r="M36227" s="11"/>
      <c r="N36227" s="11"/>
      <c r="O36227" s="11"/>
      <c r="P36227" s="11"/>
    </row>
    <row r="36228" spans="8:16" x14ac:dyDescent="0.25">
      <c r="H36228" s="12"/>
      <c r="I36228" s="12"/>
      <c r="J36228" s="12"/>
      <c r="K36228" s="12"/>
      <c r="L36228" s="12"/>
      <c r="M36228" s="11"/>
      <c r="N36228" s="11"/>
      <c r="O36228" s="11"/>
      <c r="P36228" s="11"/>
    </row>
    <row r="36229" spans="8:16" x14ac:dyDescent="0.25">
      <c r="H36229" s="12"/>
      <c r="I36229" s="12"/>
      <c r="J36229" s="12"/>
      <c r="K36229" s="12"/>
      <c r="L36229" s="12"/>
      <c r="M36229" s="11"/>
      <c r="N36229" s="11"/>
      <c r="O36229" s="11"/>
      <c r="P36229" s="11"/>
    </row>
    <row r="36230" spans="8:16" x14ac:dyDescent="0.25">
      <c r="H36230" s="12"/>
      <c r="I36230" s="12"/>
      <c r="J36230" s="12"/>
      <c r="K36230" s="12"/>
      <c r="L36230" s="12"/>
      <c r="M36230" s="11"/>
      <c r="N36230" s="11"/>
      <c r="O36230" s="11"/>
      <c r="P36230" s="11"/>
    </row>
    <row r="36231" spans="8:16" x14ac:dyDescent="0.25">
      <c r="H36231" s="12"/>
      <c r="I36231" s="12"/>
      <c r="J36231" s="12"/>
      <c r="K36231" s="12"/>
      <c r="L36231" s="12"/>
      <c r="M36231" s="11"/>
      <c r="N36231" s="11"/>
      <c r="O36231" s="11"/>
      <c r="P36231" s="11"/>
    </row>
    <row r="36232" spans="8:16" x14ac:dyDescent="0.25">
      <c r="H36232" s="12"/>
      <c r="I36232" s="12"/>
      <c r="J36232" s="12"/>
      <c r="K36232" s="12"/>
      <c r="L36232" s="12"/>
      <c r="M36232" s="11"/>
      <c r="N36232" s="11"/>
      <c r="O36232" s="11"/>
      <c r="P36232" s="11"/>
    </row>
    <row r="36233" spans="8:16" x14ac:dyDescent="0.25">
      <c r="H36233" s="12"/>
      <c r="I36233" s="12"/>
      <c r="J36233" s="12"/>
      <c r="K36233" s="12"/>
      <c r="L36233" s="12"/>
      <c r="M36233" s="11"/>
      <c r="N36233" s="11"/>
      <c r="O36233" s="11"/>
      <c r="P36233" s="11"/>
    </row>
    <row r="36234" spans="8:16" x14ac:dyDescent="0.25">
      <c r="H36234" s="12"/>
      <c r="I36234" s="12"/>
      <c r="J36234" s="12"/>
      <c r="K36234" s="12"/>
      <c r="L36234" s="12"/>
      <c r="M36234" s="11"/>
      <c r="N36234" s="11"/>
      <c r="O36234" s="11"/>
      <c r="P36234" s="11"/>
    </row>
    <row r="36235" spans="8:16" x14ac:dyDescent="0.25">
      <c r="H36235" s="12"/>
      <c r="I36235" s="12"/>
      <c r="J36235" s="12"/>
      <c r="K36235" s="12"/>
      <c r="L36235" s="12"/>
      <c r="M36235" s="11"/>
      <c r="N36235" s="11"/>
      <c r="O36235" s="11"/>
      <c r="P36235" s="11"/>
    </row>
    <row r="36236" spans="8:16" x14ac:dyDescent="0.25">
      <c r="H36236" s="12"/>
      <c r="I36236" s="12"/>
      <c r="J36236" s="12"/>
      <c r="K36236" s="12"/>
      <c r="L36236" s="12"/>
      <c r="M36236" s="11"/>
      <c r="N36236" s="11"/>
      <c r="O36236" s="11"/>
      <c r="P36236" s="11"/>
    </row>
    <row r="36237" spans="8:16" x14ac:dyDescent="0.25">
      <c r="H36237" s="12"/>
      <c r="I36237" s="12"/>
      <c r="J36237" s="12"/>
      <c r="K36237" s="12"/>
      <c r="L36237" s="12"/>
      <c r="M36237" s="11"/>
      <c r="N36237" s="11"/>
      <c r="O36237" s="11"/>
      <c r="P36237" s="11"/>
    </row>
    <row r="36238" spans="8:16" x14ac:dyDescent="0.25">
      <c r="H36238" s="12"/>
      <c r="I36238" s="12"/>
      <c r="J36238" s="12"/>
      <c r="K36238" s="12"/>
      <c r="L36238" s="12"/>
      <c r="M36238" s="11"/>
      <c r="N36238" s="11"/>
      <c r="O36238" s="11"/>
      <c r="P36238" s="11"/>
    </row>
    <row r="36239" spans="8:16" x14ac:dyDescent="0.25">
      <c r="H36239" s="12"/>
      <c r="I36239" s="12"/>
      <c r="J36239" s="12"/>
      <c r="K36239" s="12"/>
      <c r="L36239" s="12"/>
      <c r="M36239" s="11"/>
      <c r="N36239" s="11"/>
      <c r="O36239" s="11"/>
      <c r="P36239" s="11"/>
    </row>
    <row r="36240" spans="8:16" x14ac:dyDescent="0.25">
      <c r="H36240" s="12"/>
      <c r="I36240" s="12"/>
      <c r="J36240" s="12"/>
      <c r="K36240" s="12"/>
      <c r="L36240" s="12"/>
      <c r="M36240" s="11"/>
      <c r="N36240" s="11"/>
      <c r="O36240" s="11"/>
      <c r="P36240" s="11"/>
    </row>
    <row r="36241" spans="8:16" x14ac:dyDescent="0.25">
      <c r="H36241" s="12"/>
      <c r="I36241" s="12"/>
      <c r="J36241" s="12"/>
      <c r="K36241" s="12"/>
      <c r="L36241" s="12"/>
      <c r="M36241" s="11"/>
      <c r="N36241" s="11"/>
      <c r="O36241" s="11"/>
      <c r="P36241" s="11"/>
    </row>
    <row r="36242" spans="8:16" x14ac:dyDescent="0.25">
      <c r="H36242" s="12"/>
      <c r="I36242" s="12"/>
      <c r="J36242" s="12"/>
      <c r="K36242" s="12"/>
      <c r="L36242" s="12"/>
      <c r="M36242" s="11"/>
      <c r="N36242" s="11"/>
      <c r="O36242" s="11"/>
      <c r="P36242" s="11"/>
    </row>
    <row r="36243" spans="8:16" x14ac:dyDescent="0.25">
      <c r="H36243" s="12"/>
      <c r="I36243" s="12"/>
      <c r="J36243" s="12"/>
      <c r="K36243" s="12"/>
      <c r="L36243" s="12"/>
      <c r="M36243" s="11"/>
      <c r="N36243" s="11"/>
      <c r="O36243" s="11"/>
      <c r="P36243" s="11"/>
    </row>
    <row r="36244" spans="8:16" x14ac:dyDescent="0.25">
      <c r="H36244" s="12"/>
      <c r="I36244" s="12"/>
      <c r="J36244" s="12"/>
      <c r="K36244" s="12"/>
      <c r="L36244" s="12"/>
      <c r="M36244" s="11"/>
      <c r="N36244" s="11"/>
      <c r="O36244" s="11"/>
      <c r="P36244" s="11"/>
    </row>
    <row r="36245" spans="8:16" x14ac:dyDescent="0.25">
      <c r="H36245" s="12"/>
      <c r="I36245" s="12"/>
      <c r="J36245" s="12"/>
      <c r="K36245" s="12"/>
      <c r="L36245" s="12"/>
      <c r="M36245" s="11"/>
      <c r="N36245" s="11"/>
      <c r="O36245" s="11"/>
      <c r="P36245" s="11"/>
    </row>
    <row r="36246" spans="8:16" x14ac:dyDescent="0.25">
      <c r="H36246" s="12"/>
      <c r="I36246" s="12"/>
      <c r="J36246" s="12"/>
      <c r="K36246" s="12"/>
      <c r="L36246" s="12"/>
      <c r="M36246" s="11"/>
      <c r="N36246" s="11"/>
      <c r="O36246" s="11"/>
      <c r="P36246" s="11"/>
    </row>
    <row r="36247" spans="8:16" x14ac:dyDescent="0.25">
      <c r="H36247" s="12"/>
      <c r="I36247" s="12"/>
      <c r="J36247" s="12"/>
      <c r="K36247" s="12"/>
      <c r="L36247" s="12"/>
      <c r="M36247" s="11"/>
      <c r="N36247" s="11"/>
      <c r="O36247" s="11"/>
      <c r="P36247" s="11"/>
    </row>
    <row r="36248" spans="8:16" x14ac:dyDescent="0.25">
      <c r="H36248" s="12"/>
      <c r="I36248" s="12"/>
      <c r="J36248" s="12"/>
      <c r="K36248" s="12"/>
      <c r="L36248" s="12"/>
      <c r="M36248" s="11"/>
      <c r="N36248" s="11"/>
      <c r="O36248" s="11"/>
      <c r="P36248" s="11"/>
    </row>
    <row r="36249" spans="8:16" x14ac:dyDescent="0.25">
      <c r="H36249" s="12"/>
      <c r="I36249" s="12"/>
      <c r="J36249" s="12"/>
      <c r="K36249" s="12"/>
      <c r="L36249" s="12"/>
      <c r="M36249" s="11"/>
      <c r="N36249" s="11"/>
      <c r="O36249" s="11"/>
      <c r="P36249" s="11"/>
    </row>
    <row r="36250" spans="8:16" x14ac:dyDescent="0.25">
      <c r="H36250" s="12"/>
      <c r="I36250" s="12"/>
      <c r="J36250" s="12"/>
      <c r="K36250" s="12"/>
      <c r="L36250" s="12"/>
      <c r="M36250" s="11"/>
      <c r="N36250" s="11"/>
      <c r="O36250" s="11"/>
      <c r="P36250" s="11"/>
    </row>
    <row r="36251" spans="8:16" x14ac:dyDescent="0.25">
      <c r="H36251" s="12"/>
      <c r="I36251" s="12"/>
      <c r="J36251" s="12"/>
      <c r="K36251" s="12"/>
      <c r="L36251" s="12"/>
      <c r="M36251" s="11"/>
      <c r="N36251" s="11"/>
      <c r="O36251" s="11"/>
      <c r="P36251" s="11"/>
    </row>
    <row r="36252" spans="8:16" x14ac:dyDescent="0.25">
      <c r="H36252" s="12"/>
      <c r="I36252" s="12"/>
      <c r="J36252" s="12"/>
      <c r="K36252" s="12"/>
      <c r="L36252" s="12"/>
      <c r="M36252" s="11"/>
      <c r="N36252" s="11"/>
      <c r="O36252" s="11"/>
      <c r="P36252" s="11"/>
    </row>
    <row r="36253" spans="8:16" x14ac:dyDescent="0.25">
      <c r="H36253" s="12"/>
      <c r="I36253" s="12"/>
      <c r="J36253" s="12"/>
      <c r="K36253" s="12"/>
      <c r="L36253" s="12"/>
      <c r="M36253" s="11"/>
      <c r="N36253" s="11"/>
      <c r="O36253" s="11"/>
      <c r="P36253" s="11"/>
    </row>
    <row r="36254" spans="8:16" x14ac:dyDescent="0.25">
      <c r="H36254" s="12"/>
      <c r="I36254" s="12"/>
      <c r="J36254" s="12"/>
      <c r="K36254" s="12"/>
      <c r="L36254" s="12"/>
      <c r="M36254" s="11"/>
      <c r="N36254" s="11"/>
      <c r="O36254" s="11"/>
      <c r="P36254" s="11"/>
    </row>
    <row r="36255" spans="8:16" x14ac:dyDescent="0.25">
      <c r="H36255" s="12"/>
      <c r="I36255" s="12"/>
      <c r="J36255" s="12"/>
      <c r="K36255" s="12"/>
      <c r="L36255" s="12"/>
      <c r="M36255" s="11"/>
      <c r="N36255" s="11"/>
      <c r="O36255" s="11"/>
      <c r="P36255" s="11"/>
    </row>
    <row r="36256" spans="8:16" x14ac:dyDescent="0.25">
      <c r="H36256" s="12"/>
      <c r="I36256" s="12"/>
      <c r="J36256" s="12"/>
      <c r="K36256" s="12"/>
      <c r="L36256" s="12"/>
      <c r="M36256" s="11"/>
      <c r="N36256" s="11"/>
      <c r="O36256" s="11"/>
      <c r="P36256" s="11"/>
    </row>
    <row r="36257" spans="8:16" x14ac:dyDescent="0.25">
      <c r="H36257" s="12"/>
      <c r="I36257" s="12"/>
      <c r="J36257" s="12"/>
      <c r="K36257" s="12"/>
      <c r="L36257" s="12"/>
      <c r="M36257" s="11"/>
      <c r="N36257" s="11"/>
      <c r="O36257" s="11"/>
      <c r="P36257" s="11"/>
    </row>
    <row r="36258" spans="8:16" x14ac:dyDescent="0.25">
      <c r="H36258" s="12"/>
      <c r="I36258" s="12"/>
      <c r="J36258" s="12"/>
      <c r="K36258" s="12"/>
      <c r="L36258" s="12"/>
      <c r="M36258" s="11"/>
      <c r="N36258" s="11"/>
      <c r="O36258" s="11"/>
      <c r="P36258" s="11"/>
    </row>
    <row r="36259" spans="8:16" x14ac:dyDescent="0.25">
      <c r="H36259" s="12"/>
      <c r="I36259" s="12"/>
      <c r="J36259" s="12"/>
      <c r="K36259" s="12"/>
      <c r="L36259" s="12"/>
      <c r="M36259" s="11"/>
      <c r="N36259" s="11"/>
      <c r="O36259" s="11"/>
      <c r="P36259" s="11"/>
    </row>
    <row r="36260" spans="8:16" x14ac:dyDescent="0.25">
      <c r="H36260" s="12"/>
      <c r="I36260" s="12"/>
      <c r="J36260" s="12"/>
      <c r="K36260" s="12"/>
      <c r="L36260" s="12"/>
      <c r="M36260" s="11"/>
      <c r="N36260" s="11"/>
      <c r="O36260" s="11"/>
      <c r="P36260" s="11"/>
    </row>
    <row r="36261" spans="8:16" x14ac:dyDescent="0.25">
      <c r="H36261" s="12"/>
      <c r="I36261" s="12"/>
      <c r="J36261" s="12"/>
      <c r="K36261" s="12"/>
      <c r="L36261" s="12"/>
      <c r="M36261" s="11"/>
      <c r="N36261" s="11"/>
      <c r="O36261" s="11"/>
      <c r="P36261" s="11"/>
    </row>
    <row r="36262" spans="8:16" x14ac:dyDescent="0.25">
      <c r="H36262" s="12"/>
      <c r="I36262" s="12"/>
      <c r="J36262" s="12"/>
      <c r="K36262" s="12"/>
      <c r="L36262" s="12"/>
      <c r="M36262" s="11"/>
      <c r="N36262" s="11"/>
      <c r="O36262" s="11"/>
      <c r="P36262" s="11"/>
    </row>
    <row r="36263" spans="8:16" x14ac:dyDescent="0.25">
      <c r="H36263" s="12"/>
      <c r="I36263" s="12"/>
      <c r="J36263" s="12"/>
      <c r="K36263" s="12"/>
      <c r="L36263" s="12"/>
      <c r="M36263" s="11"/>
      <c r="N36263" s="11"/>
      <c r="O36263" s="11"/>
      <c r="P36263" s="11"/>
    </row>
    <row r="36264" spans="8:16" x14ac:dyDescent="0.25">
      <c r="H36264" s="12"/>
      <c r="I36264" s="12"/>
      <c r="J36264" s="12"/>
      <c r="K36264" s="12"/>
      <c r="L36264" s="12"/>
      <c r="M36264" s="11"/>
      <c r="N36264" s="11"/>
      <c r="O36264" s="11"/>
      <c r="P36264" s="11"/>
    </row>
    <row r="36265" spans="8:16" x14ac:dyDescent="0.25">
      <c r="H36265" s="12"/>
      <c r="I36265" s="12"/>
      <c r="J36265" s="12"/>
      <c r="K36265" s="12"/>
      <c r="L36265" s="12"/>
      <c r="M36265" s="11"/>
      <c r="N36265" s="11"/>
      <c r="O36265" s="11"/>
      <c r="P36265" s="11"/>
    </row>
    <row r="36266" spans="8:16" x14ac:dyDescent="0.25">
      <c r="H36266" s="12"/>
      <c r="I36266" s="12"/>
      <c r="J36266" s="12"/>
      <c r="K36266" s="12"/>
      <c r="L36266" s="12"/>
      <c r="M36266" s="11"/>
      <c r="N36266" s="11"/>
      <c r="O36266" s="11"/>
      <c r="P36266" s="11"/>
    </row>
    <row r="36267" spans="8:16" x14ac:dyDescent="0.25">
      <c r="H36267" s="12"/>
      <c r="I36267" s="12"/>
      <c r="J36267" s="12"/>
      <c r="K36267" s="12"/>
      <c r="L36267" s="12"/>
      <c r="M36267" s="11"/>
      <c r="N36267" s="11"/>
      <c r="O36267" s="11"/>
      <c r="P36267" s="11"/>
    </row>
    <row r="36268" spans="8:16" x14ac:dyDescent="0.25">
      <c r="H36268" s="12"/>
      <c r="I36268" s="12"/>
      <c r="J36268" s="12"/>
      <c r="K36268" s="12"/>
      <c r="L36268" s="12"/>
      <c r="M36268" s="11"/>
      <c r="N36268" s="11"/>
      <c r="O36268" s="11"/>
      <c r="P36268" s="11"/>
    </row>
    <row r="36269" spans="8:16" x14ac:dyDescent="0.25">
      <c r="H36269" s="12"/>
      <c r="I36269" s="12"/>
      <c r="J36269" s="12"/>
      <c r="K36269" s="12"/>
      <c r="L36269" s="12"/>
      <c r="M36269" s="11"/>
      <c r="N36269" s="11"/>
      <c r="O36269" s="11"/>
      <c r="P36269" s="11"/>
    </row>
    <row r="36270" spans="8:16" x14ac:dyDescent="0.25">
      <c r="H36270" s="12"/>
      <c r="I36270" s="12"/>
      <c r="J36270" s="12"/>
      <c r="K36270" s="12"/>
      <c r="L36270" s="12"/>
      <c r="M36270" s="11"/>
      <c r="N36270" s="11"/>
      <c r="O36270" s="11"/>
      <c r="P36270" s="11"/>
    </row>
    <row r="36271" spans="8:16" x14ac:dyDescent="0.25">
      <c r="H36271" s="12"/>
      <c r="I36271" s="12"/>
      <c r="J36271" s="12"/>
      <c r="K36271" s="12"/>
      <c r="L36271" s="12"/>
      <c r="M36271" s="11"/>
      <c r="N36271" s="11"/>
      <c r="O36271" s="11"/>
      <c r="P36271" s="11"/>
    </row>
    <row r="36272" spans="8:16" x14ac:dyDescent="0.25">
      <c r="H36272" s="12"/>
      <c r="I36272" s="12"/>
      <c r="J36272" s="12"/>
      <c r="K36272" s="12"/>
      <c r="L36272" s="12"/>
      <c r="M36272" s="11"/>
      <c r="N36272" s="11"/>
      <c r="O36272" s="11"/>
      <c r="P36272" s="11"/>
    </row>
    <row r="36273" spans="8:16" x14ac:dyDescent="0.25">
      <c r="H36273" s="12"/>
      <c r="I36273" s="12"/>
      <c r="J36273" s="12"/>
      <c r="K36273" s="12"/>
      <c r="L36273" s="12"/>
      <c r="M36273" s="11"/>
      <c r="N36273" s="11"/>
      <c r="O36273" s="11"/>
      <c r="P36273" s="11"/>
    </row>
    <row r="36274" spans="8:16" x14ac:dyDescent="0.25">
      <c r="H36274" s="12"/>
      <c r="I36274" s="12"/>
      <c r="J36274" s="12"/>
      <c r="K36274" s="12"/>
      <c r="L36274" s="12"/>
      <c r="M36274" s="11"/>
      <c r="N36274" s="11"/>
      <c r="O36274" s="11"/>
      <c r="P36274" s="11"/>
    </row>
    <row r="36275" spans="8:16" x14ac:dyDescent="0.25">
      <c r="H36275" s="12"/>
      <c r="I36275" s="12"/>
      <c r="J36275" s="12"/>
      <c r="K36275" s="12"/>
      <c r="L36275" s="12"/>
      <c r="M36275" s="11"/>
      <c r="N36275" s="11"/>
      <c r="O36275" s="11"/>
      <c r="P36275" s="11"/>
    </row>
    <row r="36276" spans="8:16" x14ac:dyDescent="0.25">
      <c r="H36276" s="12"/>
      <c r="I36276" s="12"/>
      <c r="J36276" s="12"/>
      <c r="K36276" s="12"/>
      <c r="L36276" s="12"/>
      <c r="M36276" s="11"/>
      <c r="N36276" s="11"/>
      <c r="O36276" s="11"/>
      <c r="P36276" s="11"/>
    </row>
    <row r="36277" spans="8:16" x14ac:dyDescent="0.25">
      <c r="H36277" s="12"/>
      <c r="I36277" s="12"/>
      <c r="J36277" s="12"/>
      <c r="K36277" s="12"/>
      <c r="L36277" s="12"/>
      <c r="M36277" s="11"/>
      <c r="N36277" s="11"/>
      <c r="O36277" s="11"/>
      <c r="P36277" s="11"/>
    </row>
    <row r="36278" spans="8:16" x14ac:dyDescent="0.25">
      <c r="H36278" s="12"/>
      <c r="I36278" s="12"/>
      <c r="J36278" s="12"/>
      <c r="K36278" s="12"/>
      <c r="L36278" s="12"/>
      <c r="M36278" s="11"/>
      <c r="N36278" s="11"/>
      <c r="O36278" s="11"/>
      <c r="P36278" s="11"/>
    </row>
    <row r="36279" spans="8:16" x14ac:dyDescent="0.25">
      <c r="H36279" s="12"/>
      <c r="I36279" s="12"/>
      <c r="J36279" s="12"/>
      <c r="K36279" s="12"/>
      <c r="L36279" s="12"/>
      <c r="M36279" s="11"/>
      <c r="N36279" s="11"/>
      <c r="O36279" s="11"/>
      <c r="P36279" s="11"/>
    </row>
    <row r="36280" spans="8:16" x14ac:dyDescent="0.25">
      <c r="H36280" s="12"/>
      <c r="I36280" s="12"/>
      <c r="J36280" s="12"/>
      <c r="K36280" s="12"/>
      <c r="L36280" s="12"/>
      <c r="M36280" s="11"/>
      <c r="N36280" s="11"/>
      <c r="O36280" s="11"/>
      <c r="P36280" s="11"/>
    </row>
    <row r="36281" spans="8:16" x14ac:dyDescent="0.25">
      <c r="H36281" s="12"/>
      <c r="I36281" s="12"/>
      <c r="J36281" s="12"/>
      <c r="K36281" s="12"/>
      <c r="L36281" s="12"/>
      <c r="M36281" s="11"/>
      <c r="N36281" s="11"/>
      <c r="O36281" s="11"/>
      <c r="P36281" s="11"/>
    </row>
    <row r="36282" spans="8:16" x14ac:dyDescent="0.25">
      <c r="H36282" s="12"/>
      <c r="I36282" s="12"/>
      <c r="J36282" s="12"/>
      <c r="K36282" s="12"/>
      <c r="L36282" s="12"/>
      <c r="M36282" s="11"/>
      <c r="N36282" s="11"/>
      <c r="O36282" s="11"/>
      <c r="P36282" s="11"/>
    </row>
    <row r="36283" spans="8:16" x14ac:dyDescent="0.25">
      <c r="H36283" s="12"/>
      <c r="I36283" s="12"/>
      <c r="J36283" s="12"/>
      <c r="K36283" s="12"/>
      <c r="L36283" s="12"/>
      <c r="M36283" s="11"/>
      <c r="N36283" s="11"/>
      <c r="O36283" s="11"/>
      <c r="P36283" s="11"/>
    </row>
    <row r="36284" spans="8:16" x14ac:dyDescent="0.25">
      <c r="H36284" s="12"/>
      <c r="I36284" s="12"/>
      <c r="J36284" s="12"/>
      <c r="K36284" s="12"/>
      <c r="L36284" s="12"/>
      <c r="M36284" s="11"/>
      <c r="N36284" s="11"/>
      <c r="O36284" s="11"/>
      <c r="P36284" s="11"/>
    </row>
    <row r="36285" spans="8:16" x14ac:dyDescent="0.25">
      <c r="H36285" s="12"/>
      <c r="I36285" s="12"/>
      <c r="J36285" s="12"/>
      <c r="K36285" s="12"/>
      <c r="L36285" s="12"/>
      <c r="M36285" s="11"/>
      <c r="N36285" s="11"/>
      <c r="O36285" s="11"/>
      <c r="P36285" s="11"/>
    </row>
    <row r="36286" spans="8:16" x14ac:dyDescent="0.25">
      <c r="H36286" s="12"/>
      <c r="I36286" s="12"/>
      <c r="J36286" s="12"/>
      <c r="K36286" s="12"/>
      <c r="L36286" s="12"/>
      <c r="M36286" s="11"/>
      <c r="N36286" s="11"/>
      <c r="O36286" s="11"/>
      <c r="P36286" s="11"/>
    </row>
    <row r="36287" spans="8:16" x14ac:dyDescent="0.25">
      <c r="H36287" s="12"/>
      <c r="I36287" s="12"/>
      <c r="J36287" s="12"/>
      <c r="K36287" s="12"/>
      <c r="L36287" s="12"/>
      <c r="M36287" s="11"/>
      <c r="N36287" s="11"/>
      <c r="O36287" s="11"/>
      <c r="P36287" s="11"/>
    </row>
    <row r="36288" spans="8:16" x14ac:dyDescent="0.25">
      <c r="H36288" s="12"/>
      <c r="I36288" s="12"/>
      <c r="J36288" s="12"/>
      <c r="K36288" s="12"/>
      <c r="L36288" s="12"/>
      <c r="M36288" s="11"/>
      <c r="N36288" s="11"/>
      <c r="O36288" s="11"/>
      <c r="P36288" s="11"/>
    </row>
    <row r="36289" spans="8:16" x14ac:dyDescent="0.25">
      <c r="H36289" s="12"/>
      <c r="I36289" s="12"/>
      <c r="J36289" s="12"/>
      <c r="K36289" s="12"/>
      <c r="L36289" s="12"/>
      <c r="M36289" s="11"/>
      <c r="N36289" s="11"/>
      <c r="O36289" s="11"/>
      <c r="P36289" s="11"/>
    </row>
    <row r="36290" spans="8:16" x14ac:dyDescent="0.25">
      <c r="H36290" s="12"/>
      <c r="I36290" s="12"/>
      <c r="J36290" s="12"/>
      <c r="K36290" s="12"/>
      <c r="L36290" s="12"/>
      <c r="M36290" s="11"/>
      <c r="N36290" s="11"/>
      <c r="O36290" s="11"/>
      <c r="P36290" s="11"/>
    </row>
    <row r="36291" spans="8:16" x14ac:dyDescent="0.25">
      <c r="H36291" s="12"/>
      <c r="I36291" s="12"/>
      <c r="J36291" s="12"/>
      <c r="K36291" s="12"/>
      <c r="L36291" s="12"/>
      <c r="M36291" s="11"/>
      <c r="N36291" s="11"/>
      <c r="O36291" s="11"/>
      <c r="P36291" s="11"/>
    </row>
    <row r="36292" spans="8:16" x14ac:dyDescent="0.25">
      <c r="H36292" s="12"/>
      <c r="I36292" s="12"/>
      <c r="J36292" s="12"/>
      <c r="K36292" s="12"/>
      <c r="L36292" s="12"/>
      <c r="M36292" s="11"/>
      <c r="N36292" s="11"/>
      <c r="O36292" s="11"/>
      <c r="P36292" s="11"/>
    </row>
    <row r="36293" spans="8:16" x14ac:dyDescent="0.25">
      <c r="H36293" s="12"/>
      <c r="I36293" s="12"/>
      <c r="J36293" s="12"/>
      <c r="K36293" s="12"/>
      <c r="L36293" s="12"/>
      <c r="M36293" s="11"/>
      <c r="N36293" s="11"/>
      <c r="O36293" s="11"/>
      <c r="P36293" s="11"/>
    </row>
    <row r="36294" spans="8:16" x14ac:dyDescent="0.25">
      <c r="H36294" s="12"/>
      <c r="I36294" s="12"/>
      <c r="J36294" s="12"/>
      <c r="K36294" s="12"/>
      <c r="L36294" s="12"/>
      <c r="M36294" s="11"/>
      <c r="N36294" s="11"/>
      <c r="O36294" s="11"/>
      <c r="P36294" s="11"/>
    </row>
    <row r="36295" spans="8:16" x14ac:dyDescent="0.25">
      <c r="H36295" s="12"/>
      <c r="I36295" s="12"/>
      <c r="J36295" s="12"/>
      <c r="K36295" s="12"/>
      <c r="L36295" s="12"/>
      <c r="M36295" s="11"/>
      <c r="N36295" s="11"/>
      <c r="O36295" s="11"/>
      <c r="P36295" s="11"/>
    </row>
    <row r="36296" spans="8:16" x14ac:dyDescent="0.25">
      <c r="H36296" s="12"/>
      <c r="I36296" s="12"/>
      <c r="J36296" s="12"/>
      <c r="K36296" s="12"/>
      <c r="L36296" s="12"/>
      <c r="M36296" s="11"/>
      <c r="N36296" s="11"/>
      <c r="O36296" s="11"/>
      <c r="P36296" s="11"/>
    </row>
    <row r="36297" spans="8:16" x14ac:dyDescent="0.25">
      <c r="H36297" s="12"/>
      <c r="I36297" s="12"/>
      <c r="J36297" s="12"/>
      <c r="K36297" s="12"/>
      <c r="L36297" s="12"/>
      <c r="M36297" s="11"/>
      <c r="N36297" s="11"/>
      <c r="O36297" s="11"/>
      <c r="P36297" s="11"/>
    </row>
    <row r="36298" spans="8:16" x14ac:dyDescent="0.25">
      <c r="H36298" s="12"/>
      <c r="I36298" s="12"/>
      <c r="J36298" s="12"/>
      <c r="K36298" s="12"/>
      <c r="L36298" s="12"/>
      <c r="M36298" s="11"/>
      <c r="N36298" s="11"/>
      <c r="O36298" s="11"/>
      <c r="P36298" s="11"/>
    </row>
    <row r="36299" spans="8:16" x14ac:dyDescent="0.25">
      <c r="H36299" s="12"/>
      <c r="I36299" s="12"/>
      <c r="J36299" s="12"/>
      <c r="K36299" s="12"/>
      <c r="L36299" s="12"/>
      <c r="M36299" s="11"/>
      <c r="N36299" s="11"/>
      <c r="O36299" s="11"/>
      <c r="P36299" s="11"/>
    </row>
    <row r="36300" spans="8:16" x14ac:dyDescent="0.25">
      <c r="H36300" s="12"/>
      <c r="I36300" s="12"/>
      <c r="J36300" s="12"/>
      <c r="K36300" s="12"/>
      <c r="L36300" s="12"/>
      <c r="M36300" s="11"/>
      <c r="N36300" s="11"/>
      <c r="O36300" s="11"/>
      <c r="P36300" s="11"/>
    </row>
    <row r="36301" spans="8:16" x14ac:dyDescent="0.25">
      <c r="H36301" s="12"/>
      <c r="I36301" s="12"/>
      <c r="J36301" s="12"/>
      <c r="K36301" s="12"/>
      <c r="L36301" s="12"/>
      <c r="M36301" s="11"/>
      <c r="N36301" s="11"/>
      <c r="O36301" s="11"/>
      <c r="P36301" s="11"/>
    </row>
    <row r="36302" spans="8:16" x14ac:dyDescent="0.25">
      <c r="H36302" s="12"/>
      <c r="I36302" s="12"/>
      <c r="J36302" s="12"/>
      <c r="K36302" s="12"/>
      <c r="L36302" s="12"/>
      <c r="M36302" s="11"/>
      <c r="N36302" s="11"/>
      <c r="O36302" s="11"/>
      <c r="P36302" s="11"/>
    </row>
    <row r="36303" spans="8:16" x14ac:dyDescent="0.25">
      <c r="H36303" s="12"/>
      <c r="I36303" s="12"/>
      <c r="J36303" s="12"/>
      <c r="K36303" s="12"/>
      <c r="L36303" s="12"/>
      <c r="M36303" s="11"/>
      <c r="N36303" s="11"/>
      <c r="O36303" s="11"/>
      <c r="P36303" s="11"/>
    </row>
    <row r="36304" spans="8:16" x14ac:dyDescent="0.25">
      <c r="H36304" s="12"/>
      <c r="I36304" s="12"/>
      <c r="J36304" s="12"/>
      <c r="K36304" s="12"/>
      <c r="L36304" s="12"/>
      <c r="M36304" s="11"/>
      <c r="N36304" s="11"/>
      <c r="O36304" s="11"/>
      <c r="P36304" s="11"/>
    </row>
    <row r="36305" spans="8:16" x14ac:dyDescent="0.25">
      <c r="H36305" s="12"/>
      <c r="I36305" s="12"/>
      <c r="J36305" s="12"/>
      <c r="K36305" s="12"/>
      <c r="L36305" s="12"/>
      <c r="M36305" s="11"/>
      <c r="N36305" s="11"/>
      <c r="O36305" s="11"/>
      <c r="P36305" s="11"/>
    </row>
    <row r="36306" spans="8:16" x14ac:dyDescent="0.25">
      <c r="H36306" s="12"/>
      <c r="I36306" s="12"/>
      <c r="J36306" s="12"/>
      <c r="K36306" s="12"/>
      <c r="L36306" s="12"/>
      <c r="M36306" s="11"/>
      <c r="N36306" s="11"/>
      <c r="O36306" s="11"/>
      <c r="P36306" s="11"/>
    </row>
    <row r="36307" spans="8:16" x14ac:dyDescent="0.25">
      <c r="H36307" s="12"/>
      <c r="I36307" s="12"/>
      <c r="J36307" s="12"/>
      <c r="K36307" s="12"/>
      <c r="L36307" s="12"/>
      <c r="M36307" s="11"/>
      <c r="N36307" s="11"/>
      <c r="O36307" s="11"/>
      <c r="P36307" s="11"/>
    </row>
    <row r="36308" spans="8:16" x14ac:dyDescent="0.25">
      <c r="H36308" s="12"/>
      <c r="I36308" s="12"/>
      <c r="J36308" s="12"/>
      <c r="K36308" s="12"/>
      <c r="L36308" s="12"/>
      <c r="M36308" s="11"/>
      <c r="N36308" s="11"/>
      <c r="O36308" s="11"/>
      <c r="P36308" s="11"/>
    </row>
    <row r="36309" spans="8:16" x14ac:dyDescent="0.25">
      <c r="H36309" s="12"/>
      <c r="I36309" s="12"/>
      <c r="J36309" s="12"/>
      <c r="K36309" s="12"/>
      <c r="L36309" s="12"/>
      <c r="M36309" s="11"/>
      <c r="N36309" s="11"/>
      <c r="O36309" s="11"/>
      <c r="P36309" s="11"/>
    </row>
    <row r="36310" spans="8:16" x14ac:dyDescent="0.25">
      <c r="H36310" s="12"/>
      <c r="I36310" s="12"/>
      <c r="J36310" s="12"/>
      <c r="K36310" s="12"/>
      <c r="L36310" s="12"/>
      <c r="M36310" s="11"/>
      <c r="N36310" s="11"/>
      <c r="O36310" s="11"/>
      <c r="P36310" s="11"/>
    </row>
    <row r="36311" spans="8:16" x14ac:dyDescent="0.25">
      <c r="H36311" s="12"/>
      <c r="I36311" s="12"/>
      <c r="J36311" s="12"/>
      <c r="K36311" s="12"/>
      <c r="L36311" s="12"/>
      <c r="M36311" s="11"/>
      <c r="N36311" s="11"/>
      <c r="O36311" s="11"/>
      <c r="P36311" s="11"/>
    </row>
    <row r="36312" spans="8:16" x14ac:dyDescent="0.25">
      <c r="H36312" s="12"/>
      <c r="I36312" s="12"/>
      <c r="J36312" s="12"/>
      <c r="K36312" s="12"/>
      <c r="L36312" s="12"/>
      <c r="M36312" s="11"/>
      <c r="N36312" s="11"/>
      <c r="O36312" s="11"/>
      <c r="P36312" s="11"/>
    </row>
    <row r="36313" spans="8:16" x14ac:dyDescent="0.25">
      <c r="H36313" s="12"/>
      <c r="I36313" s="12"/>
      <c r="J36313" s="12"/>
      <c r="K36313" s="12"/>
      <c r="L36313" s="12"/>
      <c r="M36313" s="11"/>
      <c r="N36313" s="11"/>
      <c r="O36313" s="11"/>
      <c r="P36313" s="11"/>
    </row>
    <row r="36314" spans="8:16" x14ac:dyDescent="0.25">
      <c r="H36314" s="12"/>
      <c r="I36314" s="12"/>
      <c r="J36314" s="12"/>
      <c r="K36314" s="12"/>
      <c r="L36314" s="12"/>
      <c r="M36314" s="11"/>
      <c r="N36314" s="11"/>
      <c r="O36314" s="11"/>
      <c r="P36314" s="11"/>
    </row>
    <row r="36315" spans="8:16" x14ac:dyDescent="0.25">
      <c r="H36315" s="12"/>
      <c r="I36315" s="12"/>
      <c r="J36315" s="12"/>
      <c r="K36315" s="12"/>
      <c r="L36315" s="12"/>
      <c r="M36315" s="11"/>
      <c r="N36315" s="11"/>
      <c r="O36315" s="11"/>
      <c r="P36315" s="11"/>
    </row>
    <row r="36316" spans="8:16" x14ac:dyDescent="0.25">
      <c r="H36316" s="12"/>
      <c r="I36316" s="12"/>
      <c r="J36316" s="12"/>
      <c r="K36316" s="12"/>
      <c r="L36316" s="12"/>
      <c r="M36316" s="11"/>
      <c r="N36316" s="11"/>
      <c r="O36316" s="11"/>
      <c r="P36316" s="11"/>
    </row>
    <row r="36317" spans="8:16" x14ac:dyDescent="0.25">
      <c r="H36317" s="12"/>
      <c r="I36317" s="12"/>
      <c r="J36317" s="12"/>
      <c r="K36317" s="12"/>
      <c r="L36317" s="12"/>
      <c r="M36317" s="11"/>
      <c r="N36317" s="11"/>
      <c r="O36317" s="11"/>
      <c r="P36317" s="11"/>
    </row>
    <row r="36318" spans="8:16" x14ac:dyDescent="0.25">
      <c r="H36318" s="12"/>
      <c r="I36318" s="12"/>
      <c r="J36318" s="12"/>
      <c r="K36318" s="12"/>
      <c r="L36318" s="12"/>
      <c r="M36318" s="11"/>
      <c r="N36318" s="11"/>
      <c r="O36318" s="11"/>
      <c r="P36318" s="11"/>
    </row>
    <row r="36319" spans="8:16" x14ac:dyDescent="0.25">
      <c r="H36319" s="12"/>
      <c r="I36319" s="12"/>
      <c r="J36319" s="12"/>
      <c r="K36319" s="12"/>
      <c r="L36319" s="12"/>
      <c r="M36319" s="11"/>
      <c r="N36319" s="11"/>
      <c r="O36319" s="11"/>
      <c r="P36319" s="11"/>
    </row>
    <row r="36320" spans="8:16" x14ac:dyDescent="0.25">
      <c r="H36320" s="12"/>
      <c r="I36320" s="12"/>
      <c r="J36320" s="12"/>
      <c r="K36320" s="12"/>
      <c r="L36320" s="12"/>
      <c r="M36320" s="11"/>
      <c r="N36320" s="11"/>
      <c r="O36320" s="11"/>
      <c r="P36320" s="11"/>
    </row>
    <row r="36321" spans="8:16" x14ac:dyDescent="0.25">
      <c r="H36321" s="12"/>
      <c r="I36321" s="12"/>
      <c r="J36321" s="12"/>
      <c r="K36321" s="12"/>
      <c r="L36321" s="12"/>
      <c r="M36321" s="11"/>
      <c r="N36321" s="11"/>
      <c r="O36321" s="11"/>
      <c r="P36321" s="11"/>
    </row>
    <row r="36322" spans="8:16" x14ac:dyDescent="0.25">
      <c r="H36322" s="12"/>
      <c r="I36322" s="12"/>
      <c r="J36322" s="12"/>
      <c r="K36322" s="12"/>
      <c r="L36322" s="12"/>
      <c r="M36322" s="11"/>
      <c r="N36322" s="11"/>
      <c r="O36322" s="11"/>
      <c r="P36322" s="11"/>
    </row>
    <row r="36323" spans="8:16" x14ac:dyDescent="0.25">
      <c r="H36323" s="12"/>
      <c r="I36323" s="12"/>
      <c r="J36323" s="12"/>
      <c r="K36323" s="12"/>
      <c r="L36323" s="12"/>
      <c r="M36323" s="11"/>
      <c r="N36323" s="11"/>
      <c r="O36323" s="11"/>
      <c r="P36323" s="11"/>
    </row>
    <row r="36324" spans="8:16" x14ac:dyDescent="0.25">
      <c r="H36324" s="12"/>
      <c r="I36324" s="12"/>
      <c r="J36324" s="12"/>
      <c r="K36324" s="12"/>
      <c r="L36324" s="12"/>
      <c r="M36324" s="11"/>
      <c r="N36324" s="11"/>
      <c r="O36324" s="11"/>
      <c r="P36324" s="11"/>
    </row>
    <row r="36325" spans="8:16" x14ac:dyDescent="0.25">
      <c r="H36325" s="12"/>
      <c r="I36325" s="12"/>
      <c r="J36325" s="12"/>
      <c r="K36325" s="12"/>
      <c r="L36325" s="12"/>
      <c r="M36325" s="11"/>
      <c r="N36325" s="11"/>
      <c r="O36325" s="11"/>
      <c r="P36325" s="11"/>
    </row>
    <row r="36326" spans="8:16" x14ac:dyDescent="0.25">
      <c r="H36326" s="12"/>
      <c r="I36326" s="12"/>
      <c r="J36326" s="12"/>
      <c r="K36326" s="12"/>
      <c r="L36326" s="12"/>
      <c r="M36326" s="11"/>
      <c r="N36326" s="11"/>
      <c r="O36326" s="11"/>
      <c r="P36326" s="11"/>
    </row>
    <row r="36327" spans="8:16" x14ac:dyDescent="0.25">
      <c r="H36327" s="12"/>
      <c r="I36327" s="12"/>
      <c r="J36327" s="12"/>
      <c r="K36327" s="12"/>
      <c r="L36327" s="12"/>
      <c r="M36327" s="11"/>
      <c r="N36327" s="11"/>
      <c r="O36327" s="11"/>
      <c r="P36327" s="11"/>
    </row>
    <row r="36328" spans="8:16" x14ac:dyDescent="0.25">
      <c r="H36328" s="12"/>
      <c r="I36328" s="12"/>
      <c r="J36328" s="12"/>
      <c r="K36328" s="12"/>
      <c r="L36328" s="12"/>
      <c r="M36328" s="11"/>
      <c r="N36328" s="11"/>
      <c r="O36328" s="11"/>
      <c r="P36328" s="11"/>
    </row>
    <row r="36329" spans="8:16" x14ac:dyDescent="0.25">
      <c r="H36329" s="12"/>
      <c r="I36329" s="12"/>
      <c r="J36329" s="12"/>
      <c r="K36329" s="12"/>
      <c r="L36329" s="12"/>
      <c r="M36329" s="11"/>
      <c r="N36329" s="11"/>
      <c r="O36329" s="11"/>
      <c r="P36329" s="11"/>
    </row>
    <row r="36330" spans="8:16" x14ac:dyDescent="0.25">
      <c r="H36330" s="12"/>
      <c r="I36330" s="12"/>
      <c r="J36330" s="12"/>
      <c r="K36330" s="12"/>
      <c r="L36330" s="12"/>
      <c r="M36330" s="11"/>
      <c r="N36330" s="11"/>
      <c r="O36330" s="11"/>
      <c r="P36330" s="11"/>
    </row>
    <row r="36331" spans="8:16" x14ac:dyDescent="0.25">
      <c r="H36331" s="12"/>
      <c r="I36331" s="12"/>
      <c r="J36331" s="12"/>
      <c r="K36331" s="12"/>
      <c r="L36331" s="12"/>
      <c r="M36331" s="11"/>
      <c r="N36331" s="11"/>
      <c r="O36331" s="11"/>
      <c r="P36331" s="11"/>
    </row>
    <row r="36332" spans="8:16" x14ac:dyDescent="0.25">
      <c r="H36332" s="12"/>
      <c r="I36332" s="12"/>
      <c r="J36332" s="12"/>
      <c r="K36332" s="12"/>
      <c r="L36332" s="12"/>
      <c r="M36332" s="11"/>
      <c r="N36332" s="11"/>
      <c r="O36332" s="11"/>
      <c r="P36332" s="11"/>
    </row>
    <row r="36333" spans="8:16" x14ac:dyDescent="0.25">
      <c r="H36333" s="12"/>
      <c r="I36333" s="12"/>
      <c r="J36333" s="12"/>
      <c r="K36333" s="12"/>
      <c r="L36333" s="12"/>
      <c r="M36333" s="11"/>
      <c r="N36333" s="11"/>
      <c r="O36333" s="11"/>
      <c r="P36333" s="11"/>
    </row>
    <row r="36334" spans="8:16" x14ac:dyDescent="0.25">
      <c r="H36334" s="12"/>
      <c r="I36334" s="12"/>
      <c r="J36334" s="12"/>
      <c r="K36334" s="12"/>
      <c r="L36334" s="12"/>
      <c r="M36334" s="11"/>
      <c r="N36334" s="11"/>
      <c r="O36334" s="11"/>
      <c r="P36334" s="11"/>
    </row>
    <row r="36335" spans="8:16" x14ac:dyDescent="0.25">
      <c r="H36335" s="12"/>
      <c r="I36335" s="12"/>
      <c r="J36335" s="12"/>
      <c r="K36335" s="12"/>
      <c r="L36335" s="12"/>
      <c r="M36335" s="11"/>
      <c r="N36335" s="11"/>
      <c r="O36335" s="11"/>
      <c r="P36335" s="11"/>
    </row>
    <row r="36336" spans="8:16" x14ac:dyDescent="0.25">
      <c r="H36336" s="12"/>
      <c r="I36336" s="12"/>
      <c r="J36336" s="12"/>
      <c r="K36336" s="12"/>
      <c r="L36336" s="12"/>
      <c r="M36336" s="11"/>
      <c r="N36336" s="11"/>
      <c r="O36336" s="11"/>
      <c r="P36336" s="11"/>
    </row>
    <row r="36337" spans="8:16" x14ac:dyDescent="0.25">
      <c r="H36337" s="12"/>
      <c r="I36337" s="12"/>
      <c r="J36337" s="12"/>
      <c r="K36337" s="12"/>
      <c r="L36337" s="12"/>
      <c r="M36337" s="11"/>
      <c r="N36337" s="11"/>
      <c r="O36337" s="11"/>
      <c r="P36337" s="11"/>
    </row>
    <row r="36338" spans="8:16" x14ac:dyDescent="0.25">
      <c r="H36338" s="12"/>
      <c r="I36338" s="12"/>
      <c r="J36338" s="12"/>
      <c r="K36338" s="12"/>
      <c r="L36338" s="12"/>
      <c r="M36338" s="11"/>
      <c r="N36338" s="11"/>
      <c r="O36338" s="11"/>
      <c r="P36338" s="11"/>
    </row>
    <row r="36339" spans="8:16" x14ac:dyDescent="0.25">
      <c r="H36339" s="12"/>
      <c r="I36339" s="12"/>
      <c r="J36339" s="12"/>
      <c r="K36339" s="12"/>
      <c r="L36339" s="12"/>
      <c r="M36339" s="11"/>
      <c r="N36339" s="11"/>
      <c r="O36339" s="11"/>
      <c r="P36339" s="11"/>
    </row>
    <row r="36340" spans="8:16" x14ac:dyDescent="0.25">
      <c r="H36340" s="12"/>
      <c r="I36340" s="12"/>
      <c r="J36340" s="12"/>
      <c r="K36340" s="12"/>
      <c r="L36340" s="12"/>
      <c r="M36340" s="11"/>
      <c r="N36340" s="11"/>
      <c r="O36340" s="11"/>
      <c r="P36340" s="11"/>
    </row>
    <row r="36341" spans="8:16" x14ac:dyDescent="0.25">
      <c r="H36341" s="12"/>
      <c r="I36341" s="12"/>
      <c r="J36341" s="12"/>
      <c r="K36341" s="12"/>
      <c r="L36341" s="12"/>
      <c r="M36341" s="11"/>
      <c r="N36341" s="11"/>
      <c r="O36341" s="11"/>
      <c r="P36341" s="11"/>
    </row>
    <row r="36342" spans="8:16" x14ac:dyDescent="0.25">
      <c r="H36342" s="12"/>
      <c r="I36342" s="12"/>
      <c r="J36342" s="12"/>
      <c r="K36342" s="12"/>
      <c r="L36342" s="12"/>
      <c r="M36342" s="11"/>
      <c r="N36342" s="11"/>
      <c r="O36342" s="11"/>
      <c r="P36342" s="11"/>
    </row>
    <row r="36343" spans="8:16" x14ac:dyDescent="0.25">
      <c r="H36343" s="12"/>
      <c r="I36343" s="12"/>
      <c r="J36343" s="12"/>
      <c r="K36343" s="12"/>
      <c r="L36343" s="12"/>
      <c r="M36343" s="11"/>
      <c r="N36343" s="11"/>
      <c r="O36343" s="11"/>
      <c r="P36343" s="11"/>
    </row>
    <row r="36344" spans="8:16" x14ac:dyDescent="0.25">
      <c r="H36344" s="12"/>
      <c r="I36344" s="12"/>
      <c r="J36344" s="12"/>
      <c r="K36344" s="12"/>
      <c r="L36344" s="12"/>
      <c r="M36344" s="11"/>
      <c r="N36344" s="11"/>
      <c r="O36344" s="11"/>
      <c r="P36344" s="11"/>
    </row>
    <row r="36345" spans="8:16" x14ac:dyDescent="0.25">
      <c r="H36345" s="12"/>
      <c r="I36345" s="12"/>
      <c r="J36345" s="12"/>
      <c r="K36345" s="12"/>
      <c r="L36345" s="12"/>
      <c r="M36345" s="11"/>
      <c r="N36345" s="11"/>
      <c r="O36345" s="11"/>
      <c r="P36345" s="11"/>
    </row>
    <row r="36346" spans="8:16" x14ac:dyDescent="0.25">
      <c r="H36346" s="12"/>
      <c r="I36346" s="12"/>
      <c r="J36346" s="12"/>
      <c r="K36346" s="12"/>
      <c r="L36346" s="12"/>
      <c r="M36346" s="11"/>
      <c r="N36346" s="11"/>
      <c r="O36346" s="11"/>
      <c r="P36346" s="11"/>
    </row>
    <row r="36347" spans="8:16" x14ac:dyDescent="0.25">
      <c r="H36347" s="12"/>
      <c r="I36347" s="12"/>
      <c r="J36347" s="12"/>
      <c r="K36347" s="12"/>
      <c r="L36347" s="12"/>
      <c r="M36347" s="11"/>
      <c r="N36347" s="11"/>
      <c r="O36347" s="11"/>
      <c r="P36347" s="11"/>
    </row>
    <row r="36348" spans="8:16" x14ac:dyDescent="0.25">
      <c r="H36348" s="12"/>
      <c r="I36348" s="12"/>
      <c r="J36348" s="12"/>
      <c r="K36348" s="12"/>
      <c r="L36348" s="12"/>
      <c r="M36348" s="11"/>
      <c r="N36348" s="11"/>
      <c r="O36348" s="11"/>
      <c r="P36348" s="11"/>
    </row>
    <row r="36349" spans="8:16" x14ac:dyDescent="0.25">
      <c r="H36349" s="12"/>
      <c r="I36349" s="12"/>
      <c r="J36349" s="12"/>
      <c r="K36349" s="12"/>
      <c r="L36349" s="12"/>
      <c r="M36349" s="11"/>
      <c r="N36349" s="11"/>
      <c r="O36349" s="11"/>
      <c r="P36349" s="11"/>
    </row>
    <row r="36350" spans="8:16" x14ac:dyDescent="0.25">
      <c r="H36350" s="12"/>
      <c r="I36350" s="12"/>
      <c r="J36350" s="12"/>
      <c r="K36350" s="12"/>
      <c r="L36350" s="12"/>
      <c r="M36350" s="11"/>
      <c r="N36350" s="11"/>
      <c r="O36350" s="11"/>
      <c r="P36350" s="11"/>
    </row>
    <row r="36351" spans="8:16" x14ac:dyDescent="0.25">
      <c r="H36351" s="12"/>
      <c r="I36351" s="12"/>
      <c r="J36351" s="12"/>
      <c r="K36351" s="12"/>
      <c r="L36351" s="12"/>
      <c r="M36351" s="11"/>
      <c r="N36351" s="11"/>
      <c r="O36351" s="11"/>
      <c r="P36351" s="11"/>
    </row>
    <row r="36352" spans="8:16" x14ac:dyDescent="0.25">
      <c r="H36352" s="12"/>
      <c r="I36352" s="12"/>
      <c r="J36352" s="12"/>
      <c r="K36352" s="12"/>
      <c r="L36352" s="12"/>
      <c r="M36352" s="11"/>
      <c r="N36352" s="11"/>
      <c r="O36352" s="11"/>
      <c r="P36352" s="11"/>
    </row>
    <row r="36353" spans="8:16" x14ac:dyDescent="0.25">
      <c r="H36353" s="12"/>
      <c r="I36353" s="12"/>
      <c r="J36353" s="12"/>
      <c r="K36353" s="12"/>
      <c r="L36353" s="12"/>
      <c r="M36353" s="11"/>
      <c r="N36353" s="11"/>
      <c r="O36353" s="11"/>
      <c r="P36353" s="11"/>
    </row>
    <row r="36354" spans="8:16" x14ac:dyDescent="0.25">
      <c r="H36354" s="12"/>
      <c r="I36354" s="12"/>
      <c r="J36354" s="12"/>
      <c r="K36354" s="12"/>
      <c r="L36354" s="12"/>
      <c r="M36354" s="11"/>
      <c r="N36354" s="11"/>
      <c r="O36354" s="11"/>
      <c r="P36354" s="11"/>
    </row>
    <row r="36355" spans="8:16" x14ac:dyDescent="0.25">
      <c r="H36355" s="12"/>
      <c r="I36355" s="12"/>
      <c r="J36355" s="12"/>
      <c r="K36355" s="12"/>
      <c r="L36355" s="12"/>
      <c r="M36355" s="11"/>
      <c r="N36355" s="11"/>
      <c r="O36355" s="11"/>
      <c r="P36355" s="11"/>
    </row>
    <row r="36356" spans="8:16" x14ac:dyDescent="0.25">
      <c r="H36356" s="12"/>
      <c r="I36356" s="12"/>
      <c r="J36356" s="12"/>
      <c r="K36356" s="12"/>
      <c r="L36356" s="12"/>
      <c r="M36356" s="11"/>
      <c r="N36356" s="11"/>
      <c r="O36356" s="11"/>
      <c r="P36356" s="11"/>
    </row>
    <row r="36357" spans="8:16" x14ac:dyDescent="0.25">
      <c r="H36357" s="12"/>
      <c r="I36357" s="12"/>
      <c r="J36357" s="12"/>
      <c r="K36357" s="12"/>
      <c r="L36357" s="12"/>
      <c r="M36357" s="11"/>
      <c r="N36357" s="11"/>
      <c r="O36357" s="11"/>
      <c r="P36357" s="11"/>
    </row>
    <row r="36358" spans="8:16" x14ac:dyDescent="0.25">
      <c r="H36358" s="12"/>
      <c r="I36358" s="12"/>
      <c r="J36358" s="12"/>
      <c r="K36358" s="12"/>
      <c r="L36358" s="12"/>
      <c r="M36358" s="11"/>
      <c r="N36358" s="11"/>
      <c r="O36358" s="11"/>
      <c r="P36358" s="11"/>
    </row>
    <row r="36359" spans="8:16" x14ac:dyDescent="0.25">
      <c r="H36359" s="12"/>
      <c r="I36359" s="12"/>
      <c r="J36359" s="12"/>
      <c r="K36359" s="12"/>
      <c r="L36359" s="12"/>
      <c r="M36359" s="11"/>
      <c r="N36359" s="11"/>
      <c r="O36359" s="11"/>
      <c r="P36359" s="11"/>
    </row>
    <row r="36360" spans="8:16" x14ac:dyDescent="0.25">
      <c r="H36360" s="12"/>
      <c r="I36360" s="12"/>
      <c r="J36360" s="12"/>
      <c r="K36360" s="12"/>
      <c r="L36360" s="12"/>
      <c r="M36360" s="11"/>
      <c r="N36360" s="11"/>
      <c r="O36360" s="11"/>
      <c r="P36360" s="11"/>
    </row>
    <row r="36361" spans="8:16" x14ac:dyDescent="0.25">
      <c r="H36361" s="12"/>
      <c r="I36361" s="12"/>
      <c r="J36361" s="12"/>
      <c r="K36361" s="12"/>
      <c r="L36361" s="12"/>
      <c r="M36361" s="11"/>
      <c r="N36361" s="11"/>
      <c r="O36361" s="11"/>
      <c r="P36361" s="11"/>
    </row>
    <row r="36362" spans="8:16" x14ac:dyDescent="0.25">
      <c r="H36362" s="12"/>
      <c r="I36362" s="12"/>
      <c r="J36362" s="12"/>
      <c r="K36362" s="12"/>
      <c r="L36362" s="12"/>
      <c r="M36362" s="11"/>
      <c r="N36362" s="11"/>
      <c r="O36362" s="11"/>
      <c r="P36362" s="11"/>
    </row>
    <row r="36363" spans="8:16" x14ac:dyDescent="0.25">
      <c r="H36363" s="12"/>
      <c r="I36363" s="12"/>
      <c r="J36363" s="12"/>
      <c r="K36363" s="12"/>
      <c r="L36363" s="12"/>
      <c r="M36363" s="11"/>
      <c r="N36363" s="11"/>
      <c r="O36363" s="11"/>
      <c r="P36363" s="11"/>
    </row>
    <row r="36364" spans="8:16" x14ac:dyDescent="0.25">
      <c r="H36364" s="12"/>
      <c r="I36364" s="12"/>
      <c r="J36364" s="12"/>
      <c r="K36364" s="12"/>
      <c r="L36364" s="12"/>
      <c r="M36364" s="11"/>
      <c r="N36364" s="11"/>
      <c r="O36364" s="11"/>
      <c r="P36364" s="11"/>
    </row>
    <row r="36365" spans="8:16" x14ac:dyDescent="0.25">
      <c r="H36365" s="12"/>
      <c r="I36365" s="12"/>
      <c r="J36365" s="12"/>
      <c r="K36365" s="12"/>
      <c r="L36365" s="12"/>
      <c r="M36365" s="11"/>
      <c r="N36365" s="11"/>
      <c r="O36365" s="11"/>
      <c r="P36365" s="11"/>
    </row>
    <row r="36366" spans="8:16" x14ac:dyDescent="0.25">
      <c r="H36366" s="12"/>
      <c r="I36366" s="12"/>
      <c r="J36366" s="12"/>
      <c r="K36366" s="12"/>
      <c r="L36366" s="12"/>
      <c r="M36366" s="11"/>
      <c r="N36366" s="11"/>
      <c r="O36366" s="11"/>
      <c r="P36366" s="11"/>
    </row>
    <row r="36367" spans="8:16" x14ac:dyDescent="0.25">
      <c r="H36367" s="12"/>
      <c r="I36367" s="12"/>
      <c r="J36367" s="12"/>
      <c r="K36367" s="12"/>
      <c r="L36367" s="12"/>
      <c r="M36367" s="11"/>
      <c r="N36367" s="11"/>
      <c r="O36367" s="11"/>
      <c r="P36367" s="11"/>
    </row>
    <row r="36368" spans="8:16" x14ac:dyDescent="0.25">
      <c r="H36368" s="12"/>
      <c r="I36368" s="12"/>
      <c r="J36368" s="12"/>
      <c r="K36368" s="12"/>
      <c r="L36368" s="12"/>
      <c r="M36368" s="11"/>
      <c r="N36368" s="11"/>
      <c r="O36368" s="11"/>
      <c r="P36368" s="11"/>
    </row>
    <row r="36369" spans="8:16" x14ac:dyDescent="0.25">
      <c r="H36369" s="12"/>
      <c r="I36369" s="12"/>
      <c r="J36369" s="12"/>
      <c r="K36369" s="12"/>
      <c r="L36369" s="12"/>
      <c r="M36369" s="11"/>
      <c r="N36369" s="11"/>
      <c r="O36369" s="11"/>
      <c r="P36369" s="11"/>
    </row>
    <row r="36370" spans="8:16" x14ac:dyDescent="0.25">
      <c r="H36370" s="12"/>
      <c r="I36370" s="12"/>
      <c r="J36370" s="12"/>
      <c r="K36370" s="12"/>
      <c r="L36370" s="12"/>
      <c r="M36370" s="11"/>
      <c r="N36370" s="11"/>
      <c r="O36370" s="11"/>
      <c r="P36370" s="11"/>
    </row>
    <row r="36371" spans="8:16" x14ac:dyDescent="0.25">
      <c r="H36371" s="12"/>
      <c r="I36371" s="12"/>
      <c r="J36371" s="12"/>
      <c r="K36371" s="12"/>
      <c r="L36371" s="12"/>
      <c r="M36371" s="11"/>
      <c r="N36371" s="11"/>
      <c r="O36371" s="11"/>
      <c r="P36371" s="11"/>
    </row>
    <row r="36372" spans="8:16" x14ac:dyDescent="0.25">
      <c r="H36372" s="12"/>
      <c r="I36372" s="12"/>
      <c r="J36372" s="12"/>
      <c r="K36372" s="12"/>
      <c r="L36372" s="12"/>
      <c r="M36372" s="11"/>
      <c r="N36372" s="11"/>
      <c r="O36372" s="11"/>
      <c r="P36372" s="11"/>
    </row>
    <row r="36373" spans="8:16" x14ac:dyDescent="0.25">
      <c r="H36373" s="12"/>
      <c r="I36373" s="12"/>
      <c r="J36373" s="12"/>
      <c r="K36373" s="12"/>
      <c r="L36373" s="12"/>
      <c r="M36373" s="11"/>
      <c r="N36373" s="11"/>
      <c r="O36373" s="11"/>
      <c r="P36373" s="11"/>
    </row>
    <row r="36374" spans="8:16" x14ac:dyDescent="0.25">
      <c r="H36374" s="12"/>
      <c r="I36374" s="12"/>
      <c r="J36374" s="12"/>
      <c r="K36374" s="12"/>
      <c r="L36374" s="12"/>
      <c r="M36374" s="11"/>
      <c r="N36374" s="11"/>
      <c r="O36374" s="11"/>
      <c r="P36374" s="11"/>
    </row>
    <row r="36375" spans="8:16" x14ac:dyDescent="0.25">
      <c r="H36375" s="12"/>
      <c r="I36375" s="12"/>
      <c r="J36375" s="12"/>
      <c r="K36375" s="12"/>
      <c r="L36375" s="12"/>
      <c r="M36375" s="11"/>
      <c r="N36375" s="11"/>
      <c r="O36375" s="11"/>
      <c r="P36375" s="11"/>
    </row>
    <row r="36376" spans="8:16" x14ac:dyDescent="0.25">
      <c r="H36376" s="12"/>
      <c r="I36376" s="12"/>
      <c r="J36376" s="12"/>
      <c r="K36376" s="12"/>
      <c r="L36376" s="12"/>
      <c r="M36376" s="11"/>
      <c r="N36376" s="11"/>
      <c r="O36376" s="11"/>
      <c r="P36376" s="11"/>
    </row>
    <row r="36377" spans="8:16" x14ac:dyDescent="0.25">
      <c r="H36377" s="12"/>
      <c r="I36377" s="12"/>
      <c r="J36377" s="12"/>
      <c r="K36377" s="12"/>
      <c r="L36377" s="12"/>
      <c r="M36377" s="11"/>
      <c r="N36377" s="11"/>
      <c r="O36377" s="11"/>
      <c r="P36377" s="11"/>
    </row>
    <row r="36378" spans="8:16" x14ac:dyDescent="0.25">
      <c r="H36378" s="12"/>
      <c r="I36378" s="12"/>
      <c r="J36378" s="12"/>
      <c r="K36378" s="12"/>
      <c r="L36378" s="12"/>
      <c r="M36378" s="11"/>
      <c r="N36378" s="11"/>
      <c r="O36378" s="11"/>
      <c r="P36378" s="11"/>
    </row>
    <row r="36379" spans="8:16" x14ac:dyDescent="0.25">
      <c r="H36379" s="12"/>
      <c r="I36379" s="12"/>
      <c r="J36379" s="12"/>
      <c r="K36379" s="12"/>
      <c r="L36379" s="12"/>
      <c r="M36379" s="11"/>
      <c r="N36379" s="11"/>
      <c r="O36379" s="11"/>
      <c r="P36379" s="11"/>
    </row>
    <row r="36380" spans="8:16" x14ac:dyDescent="0.25">
      <c r="H36380" s="12"/>
      <c r="I36380" s="12"/>
      <c r="J36380" s="12"/>
      <c r="K36380" s="12"/>
      <c r="L36380" s="12"/>
      <c r="M36380" s="11"/>
      <c r="N36380" s="11"/>
      <c r="O36380" s="11"/>
      <c r="P36380" s="11"/>
    </row>
    <row r="36381" spans="8:16" x14ac:dyDescent="0.25">
      <c r="H36381" s="12"/>
      <c r="I36381" s="12"/>
      <c r="J36381" s="12"/>
      <c r="K36381" s="12"/>
      <c r="L36381" s="12"/>
      <c r="M36381" s="11"/>
      <c r="N36381" s="11"/>
      <c r="O36381" s="11"/>
      <c r="P36381" s="11"/>
    </row>
    <row r="36382" spans="8:16" x14ac:dyDescent="0.25">
      <c r="H36382" s="12"/>
      <c r="I36382" s="12"/>
      <c r="J36382" s="12"/>
      <c r="K36382" s="12"/>
      <c r="L36382" s="12"/>
      <c r="M36382" s="11"/>
      <c r="N36382" s="11"/>
      <c r="O36382" s="11"/>
      <c r="P36382" s="11"/>
    </row>
    <row r="36383" spans="8:16" x14ac:dyDescent="0.25">
      <c r="H36383" s="12"/>
      <c r="I36383" s="12"/>
      <c r="J36383" s="12"/>
      <c r="K36383" s="12"/>
      <c r="L36383" s="12"/>
      <c r="M36383" s="11"/>
      <c r="N36383" s="11"/>
      <c r="O36383" s="11"/>
      <c r="P36383" s="11"/>
    </row>
    <row r="36384" spans="8:16" x14ac:dyDescent="0.25">
      <c r="H36384" s="12"/>
      <c r="I36384" s="12"/>
      <c r="J36384" s="12"/>
      <c r="K36384" s="12"/>
      <c r="L36384" s="12"/>
      <c r="M36384" s="11"/>
      <c r="N36384" s="11"/>
      <c r="O36384" s="11"/>
      <c r="P36384" s="11"/>
    </row>
    <row r="36385" spans="8:16" x14ac:dyDescent="0.25">
      <c r="H36385" s="12"/>
      <c r="I36385" s="12"/>
      <c r="J36385" s="12"/>
      <c r="K36385" s="12"/>
      <c r="L36385" s="12"/>
      <c r="M36385" s="11"/>
      <c r="N36385" s="11"/>
      <c r="O36385" s="11"/>
      <c r="P36385" s="11"/>
    </row>
    <row r="36386" spans="8:16" x14ac:dyDescent="0.25">
      <c r="H36386" s="12"/>
      <c r="I36386" s="12"/>
      <c r="J36386" s="12"/>
      <c r="K36386" s="12"/>
      <c r="L36386" s="12"/>
      <c r="M36386" s="11"/>
      <c r="N36386" s="11"/>
      <c r="O36386" s="11"/>
      <c r="P36386" s="11"/>
    </row>
    <row r="36387" spans="8:16" x14ac:dyDescent="0.25">
      <c r="H36387" s="12"/>
      <c r="I36387" s="12"/>
      <c r="J36387" s="12"/>
      <c r="K36387" s="12"/>
      <c r="L36387" s="12"/>
      <c r="M36387" s="11"/>
      <c r="N36387" s="11"/>
      <c r="O36387" s="11"/>
      <c r="P36387" s="11"/>
    </row>
    <row r="36388" spans="8:16" x14ac:dyDescent="0.25">
      <c r="H36388" s="12"/>
      <c r="I36388" s="12"/>
      <c r="J36388" s="12"/>
      <c r="K36388" s="12"/>
      <c r="L36388" s="12"/>
      <c r="M36388" s="11"/>
      <c r="N36388" s="11"/>
      <c r="O36388" s="11"/>
      <c r="P36388" s="11"/>
    </row>
    <row r="36389" spans="8:16" x14ac:dyDescent="0.25">
      <c r="H36389" s="12"/>
      <c r="I36389" s="12"/>
      <c r="J36389" s="12"/>
      <c r="K36389" s="12"/>
      <c r="L36389" s="12"/>
      <c r="M36389" s="11"/>
      <c r="N36389" s="11"/>
      <c r="O36389" s="11"/>
      <c r="P36389" s="11"/>
    </row>
    <row r="36390" spans="8:16" x14ac:dyDescent="0.25">
      <c r="H36390" s="12"/>
      <c r="I36390" s="12"/>
      <c r="J36390" s="12"/>
      <c r="K36390" s="12"/>
      <c r="L36390" s="12"/>
      <c r="M36390" s="11"/>
      <c r="N36390" s="11"/>
      <c r="O36390" s="11"/>
      <c r="P36390" s="11"/>
    </row>
    <row r="36391" spans="8:16" x14ac:dyDescent="0.25">
      <c r="H36391" s="12"/>
      <c r="I36391" s="12"/>
      <c r="J36391" s="12"/>
      <c r="K36391" s="12"/>
      <c r="L36391" s="12"/>
      <c r="M36391" s="11"/>
      <c r="N36391" s="11"/>
      <c r="O36391" s="11"/>
      <c r="P36391" s="11"/>
    </row>
    <row r="36392" spans="8:16" x14ac:dyDescent="0.25">
      <c r="H36392" s="12"/>
      <c r="I36392" s="12"/>
      <c r="J36392" s="12"/>
      <c r="K36392" s="12"/>
      <c r="L36392" s="12"/>
      <c r="M36392" s="11"/>
      <c r="N36392" s="11"/>
      <c r="O36392" s="11"/>
      <c r="P36392" s="11"/>
    </row>
    <row r="36393" spans="8:16" x14ac:dyDescent="0.25">
      <c r="H36393" s="12"/>
      <c r="I36393" s="12"/>
      <c r="J36393" s="12"/>
      <c r="K36393" s="12"/>
      <c r="L36393" s="12"/>
      <c r="M36393" s="11"/>
      <c r="N36393" s="11"/>
      <c r="O36393" s="11"/>
      <c r="P36393" s="11"/>
    </row>
    <row r="36394" spans="8:16" x14ac:dyDescent="0.25">
      <c r="H36394" s="12"/>
      <c r="I36394" s="12"/>
      <c r="J36394" s="12"/>
      <c r="K36394" s="12"/>
      <c r="L36394" s="12"/>
      <c r="M36394" s="11"/>
      <c r="N36394" s="11"/>
      <c r="O36394" s="11"/>
      <c r="P36394" s="11"/>
    </row>
    <row r="36395" spans="8:16" x14ac:dyDescent="0.25">
      <c r="H36395" s="12"/>
      <c r="I36395" s="12"/>
      <c r="J36395" s="12"/>
      <c r="K36395" s="12"/>
      <c r="L36395" s="12"/>
      <c r="M36395" s="11"/>
      <c r="N36395" s="11"/>
      <c r="O36395" s="11"/>
      <c r="P36395" s="11"/>
    </row>
    <row r="36396" spans="8:16" x14ac:dyDescent="0.25">
      <c r="H36396" s="12"/>
      <c r="I36396" s="12"/>
      <c r="J36396" s="12"/>
      <c r="K36396" s="12"/>
      <c r="L36396" s="12"/>
      <c r="M36396" s="11"/>
      <c r="N36396" s="11"/>
      <c r="O36396" s="11"/>
      <c r="P36396" s="11"/>
    </row>
    <row r="36397" spans="8:16" x14ac:dyDescent="0.25">
      <c r="H36397" s="12"/>
      <c r="I36397" s="12"/>
      <c r="J36397" s="12"/>
      <c r="K36397" s="12"/>
      <c r="L36397" s="12"/>
      <c r="M36397" s="11"/>
      <c r="N36397" s="11"/>
      <c r="O36397" s="11"/>
      <c r="P36397" s="11"/>
    </row>
    <row r="36398" spans="8:16" x14ac:dyDescent="0.25">
      <c r="H36398" s="12"/>
      <c r="I36398" s="12"/>
      <c r="J36398" s="12"/>
      <c r="K36398" s="12"/>
      <c r="L36398" s="12"/>
      <c r="M36398" s="11"/>
      <c r="N36398" s="11"/>
      <c r="O36398" s="11"/>
      <c r="P36398" s="11"/>
    </row>
    <row r="36399" spans="8:16" x14ac:dyDescent="0.25">
      <c r="H36399" s="12"/>
      <c r="I36399" s="12"/>
      <c r="J36399" s="12"/>
      <c r="K36399" s="12"/>
      <c r="L36399" s="12"/>
      <c r="M36399" s="11"/>
      <c r="N36399" s="11"/>
      <c r="O36399" s="11"/>
      <c r="P36399" s="11"/>
    </row>
    <row r="36400" spans="8:16" x14ac:dyDescent="0.25">
      <c r="H36400" s="12"/>
      <c r="I36400" s="12"/>
      <c r="J36400" s="12"/>
      <c r="K36400" s="12"/>
      <c r="L36400" s="12"/>
      <c r="M36400" s="11"/>
      <c r="N36400" s="11"/>
      <c r="O36400" s="11"/>
      <c r="P36400" s="11"/>
    </row>
    <row r="36401" spans="8:16" x14ac:dyDescent="0.25">
      <c r="H36401" s="12"/>
      <c r="I36401" s="12"/>
      <c r="J36401" s="12"/>
      <c r="K36401" s="12"/>
      <c r="L36401" s="12"/>
      <c r="M36401" s="11"/>
      <c r="N36401" s="11"/>
      <c r="O36401" s="11"/>
      <c r="P36401" s="11"/>
    </row>
    <row r="36402" spans="8:16" x14ac:dyDescent="0.25">
      <c r="H36402" s="12"/>
      <c r="I36402" s="12"/>
      <c r="J36402" s="12"/>
      <c r="K36402" s="12"/>
      <c r="L36402" s="12"/>
      <c r="M36402" s="11"/>
      <c r="N36402" s="11"/>
      <c r="O36402" s="11"/>
      <c r="P36402" s="11"/>
    </row>
    <row r="36403" spans="8:16" x14ac:dyDescent="0.25">
      <c r="H36403" s="12"/>
      <c r="I36403" s="12"/>
      <c r="J36403" s="12"/>
      <c r="K36403" s="12"/>
      <c r="L36403" s="12"/>
      <c r="M36403" s="11"/>
      <c r="N36403" s="11"/>
      <c r="O36403" s="11"/>
      <c r="P36403" s="11"/>
    </row>
    <row r="36404" spans="8:16" x14ac:dyDescent="0.25">
      <c r="H36404" s="12"/>
      <c r="I36404" s="12"/>
      <c r="J36404" s="12"/>
      <c r="K36404" s="12"/>
      <c r="L36404" s="12"/>
      <c r="M36404" s="11"/>
      <c r="N36404" s="11"/>
      <c r="O36404" s="11"/>
      <c r="P36404" s="11"/>
    </row>
    <row r="36405" spans="8:16" x14ac:dyDescent="0.25">
      <c r="H36405" s="12"/>
      <c r="I36405" s="12"/>
      <c r="J36405" s="12"/>
      <c r="K36405" s="12"/>
      <c r="L36405" s="12"/>
      <c r="M36405" s="11"/>
      <c r="N36405" s="11"/>
      <c r="O36405" s="11"/>
      <c r="P36405" s="11"/>
    </row>
    <row r="36406" spans="8:16" x14ac:dyDescent="0.25">
      <c r="H36406" s="12"/>
      <c r="I36406" s="12"/>
      <c r="J36406" s="12"/>
      <c r="K36406" s="12"/>
      <c r="L36406" s="12"/>
      <c r="M36406" s="11"/>
      <c r="N36406" s="11"/>
      <c r="O36406" s="11"/>
      <c r="P36406" s="11"/>
    </row>
    <row r="36407" spans="8:16" x14ac:dyDescent="0.25">
      <c r="H36407" s="12"/>
      <c r="I36407" s="12"/>
      <c r="J36407" s="12"/>
      <c r="K36407" s="12"/>
      <c r="L36407" s="12"/>
      <c r="M36407" s="11"/>
      <c r="N36407" s="11"/>
      <c r="O36407" s="11"/>
      <c r="P36407" s="11"/>
    </row>
    <row r="36408" spans="8:16" x14ac:dyDescent="0.25">
      <c r="H36408" s="12"/>
      <c r="I36408" s="12"/>
      <c r="J36408" s="12"/>
      <c r="K36408" s="12"/>
      <c r="L36408" s="12"/>
      <c r="M36408" s="11"/>
      <c r="N36408" s="11"/>
      <c r="O36408" s="11"/>
      <c r="P36408" s="11"/>
    </row>
    <row r="36409" spans="8:16" x14ac:dyDescent="0.25">
      <c r="H36409" s="12"/>
      <c r="I36409" s="12"/>
      <c r="J36409" s="12"/>
      <c r="K36409" s="12"/>
      <c r="L36409" s="12"/>
      <c r="M36409" s="11"/>
      <c r="N36409" s="11"/>
      <c r="O36409" s="11"/>
      <c r="P36409" s="11"/>
    </row>
    <row r="36410" spans="8:16" x14ac:dyDescent="0.25">
      <c r="H36410" s="12"/>
      <c r="I36410" s="12"/>
      <c r="J36410" s="12"/>
      <c r="K36410" s="12"/>
      <c r="L36410" s="12"/>
      <c r="M36410" s="11"/>
      <c r="N36410" s="11"/>
      <c r="O36410" s="11"/>
      <c r="P36410" s="11"/>
    </row>
    <row r="36411" spans="8:16" x14ac:dyDescent="0.25">
      <c r="H36411" s="12"/>
      <c r="I36411" s="12"/>
      <c r="J36411" s="12"/>
      <c r="K36411" s="12"/>
      <c r="L36411" s="12"/>
      <c r="M36411" s="11"/>
      <c r="N36411" s="11"/>
      <c r="O36411" s="11"/>
      <c r="P36411" s="11"/>
    </row>
    <row r="36412" spans="8:16" x14ac:dyDescent="0.25">
      <c r="H36412" s="12"/>
      <c r="I36412" s="12"/>
      <c r="J36412" s="12"/>
      <c r="K36412" s="12"/>
      <c r="L36412" s="12"/>
      <c r="M36412" s="11"/>
      <c r="N36412" s="11"/>
      <c r="O36412" s="11"/>
      <c r="P36412" s="11"/>
    </row>
    <row r="36413" spans="8:16" x14ac:dyDescent="0.25">
      <c r="H36413" s="12"/>
      <c r="I36413" s="12"/>
      <c r="J36413" s="12"/>
      <c r="K36413" s="12"/>
      <c r="L36413" s="12"/>
      <c r="M36413" s="11"/>
      <c r="N36413" s="11"/>
      <c r="O36413" s="11"/>
      <c r="P36413" s="11"/>
    </row>
    <row r="36414" spans="8:16" x14ac:dyDescent="0.25">
      <c r="H36414" s="12"/>
      <c r="I36414" s="12"/>
      <c r="J36414" s="12"/>
      <c r="K36414" s="12"/>
      <c r="L36414" s="12"/>
      <c r="M36414" s="11"/>
      <c r="N36414" s="11"/>
      <c r="O36414" s="11"/>
      <c r="P36414" s="11"/>
    </row>
    <row r="36415" spans="8:16" x14ac:dyDescent="0.25">
      <c r="H36415" s="12"/>
      <c r="I36415" s="12"/>
      <c r="J36415" s="12"/>
      <c r="K36415" s="12"/>
      <c r="L36415" s="12"/>
      <c r="M36415" s="11"/>
      <c r="N36415" s="11"/>
      <c r="O36415" s="11"/>
      <c r="P36415" s="11"/>
    </row>
    <row r="36416" spans="8:16" x14ac:dyDescent="0.25">
      <c r="H36416" s="12"/>
      <c r="I36416" s="12"/>
      <c r="J36416" s="12"/>
      <c r="K36416" s="12"/>
      <c r="L36416" s="12"/>
      <c r="M36416" s="11"/>
      <c r="N36416" s="11"/>
      <c r="O36416" s="11"/>
      <c r="P36416" s="11"/>
    </row>
    <row r="36417" spans="8:16" x14ac:dyDescent="0.25">
      <c r="H36417" s="12"/>
      <c r="I36417" s="12"/>
      <c r="J36417" s="12"/>
      <c r="K36417" s="12"/>
      <c r="L36417" s="12"/>
      <c r="M36417" s="11"/>
      <c r="N36417" s="11"/>
      <c r="O36417" s="11"/>
      <c r="P36417" s="11"/>
    </row>
    <row r="36418" spans="8:16" x14ac:dyDescent="0.25">
      <c r="H36418" s="12"/>
      <c r="I36418" s="12"/>
      <c r="J36418" s="12"/>
      <c r="K36418" s="12"/>
      <c r="L36418" s="12"/>
      <c r="M36418" s="11"/>
      <c r="N36418" s="11"/>
      <c r="O36418" s="11"/>
      <c r="P36418" s="11"/>
    </row>
    <row r="36419" spans="8:16" x14ac:dyDescent="0.25">
      <c r="H36419" s="12"/>
      <c r="I36419" s="12"/>
      <c r="J36419" s="12"/>
      <c r="K36419" s="12"/>
      <c r="L36419" s="12"/>
      <c r="M36419" s="11"/>
      <c r="N36419" s="11"/>
      <c r="O36419" s="11"/>
      <c r="P36419" s="11"/>
    </row>
    <row r="36420" spans="8:16" x14ac:dyDescent="0.25">
      <c r="H36420" s="12"/>
      <c r="I36420" s="12"/>
      <c r="J36420" s="12"/>
      <c r="K36420" s="12"/>
      <c r="L36420" s="12"/>
      <c r="M36420" s="11"/>
      <c r="N36420" s="11"/>
      <c r="O36420" s="11"/>
      <c r="P36420" s="11"/>
    </row>
    <row r="36421" spans="8:16" x14ac:dyDescent="0.25">
      <c r="H36421" s="12"/>
      <c r="I36421" s="12"/>
      <c r="J36421" s="12"/>
      <c r="K36421" s="12"/>
      <c r="L36421" s="12"/>
      <c r="M36421" s="11"/>
      <c r="N36421" s="11"/>
      <c r="O36421" s="11"/>
      <c r="P36421" s="11"/>
    </row>
    <row r="36422" spans="8:16" x14ac:dyDescent="0.25">
      <c r="H36422" s="12"/>
      <c r="I36422" s="12"/>
      <c r="J36422" s="12"/>
      <c r="K36422" s="12"/>
      <c r="L36422" s="12"/>
      <c r="M36422" s="11"/>
      <c r="N36422" s="11"/>
      <c r="O36422" s="11"/>
      <c r="P36422" s="11"/>
    </row>
    <row r="36423" spans="8:16" x14ac:dyDescent="0.25">
      <c r="H36423" s="12"/>
      <c r="I36423" s="12"/>
      <c r="J36423" s="12"/>
      <c r="K36423" s="12"/>
      <c r="L36423" s="12"/>
      <c r="M36423" s="11"/>
      <c r="N36423" s="11"/>
      <c r="O36423" s="11"/>
      <c r="P36423" s="11"/>
    </row>
    <row r="36424" spans="8:16" x14ac:dyDescent="0.25">
      <c r="H36424" s="12"/>
      <c r="I36424" s="12"/>
      <c r="J36424" s="12"/>
      <c r="K36424" s="12"/>
      <c r="L36424" s="12"/>
      <c r="M36424" s="11"/>
      <c r="N36424" s="11"/>
      <c r="O36424" s="11"/>
      <c r="P36424" s="11"/>
    </row>
    <row r="36425" spans="8:16" x14ac:dyDescent="0.25">
      <c r="H36425" s="12"/>
      <c r="I36425" s="12"/>
      <c r="J36425" s="12"/>
      <c r="K36425" s="12"/>
      <c r="L36425" s="12"/>
      <c r="M36425" s="11"/>
      <c r="N36425" s="11"/>
      <c r="O36425" s="11"/>
      <c r="P36425" s="11"/>
    </row>
    <row r="36426" spans="8:16" x14ac:dyDescent="0.25">
      <c r="H36426" s="12"/>
      <c r="I36426" s="12"/>
      <c r="J36426" s="12"/>
      <c r="K36426" s="12"/>
      <c r="L36426" s="12"/>
      <c r="M36426" s="11"/>
      <c r="N36426" s="11"/>
      <c r="O36426" s="11"/>
      <c r="P36426" s="11"/>
    </row>
    <row r="36427" spans="8:16" x14ac:dyDescent="0.25">
      <c r="H36427" s="12"/>
      <c r="I36427" s="12"/>
      <c r="J36427" s="12"/>
      <c r="K36427" s="12"/>
      <c r="L36427" s="12"/>
      <c r="M36427" s="11"/>
      <c r="N36427" s="11"/>
      <c r="O36427" s="11"/>
      <c r="P36427" s="11"/>
    </row>
    <row r="36428" spans="8:16" x14ac:dyDescent="0.25">
      <c r="H36428" s="12"/>
      <c r="I36428" s="12"/>
      <c r="J36428" s="12"/>
      <c r="K36428" s="12"/>
      <c r="L36428" s="12"/>
      <c r="M36428" s="11"/>
      <c r="N36428" s="11"/>
      <c r="O36428" s="11"/>
      <c r="P36428" s="11"/>
    </row>
    <row r="36429" spans="8:16" x14ac:dyDescent="0.25">
      <c r="H36429" s="12"/>
      <c r="I36429" s="12"/>
      <c r="J36429" s="12"/>
      <c r="K36429" s="12"/>
      <c r="L36429" s="12"/>
      <c r="M36429" s="11"/>
      <c r="N36429" s="11"/>
      <c r="O36429" s="11"/>
      <c r="P36429" s="11"/>
    </row>
    <row r="36430" spans="8:16" x14ac:dyDescent="0.25">
      <c r="H36430" s="12"/>
      <c r="I36430" s="12"/>
      <c r="J36430" s="12"/>
      <c r="K36430" s="12"/>
      <c r="L36430" s="12"/>
      <c r="M36430" s="11"/>
      <c r="N36430" s="11"/>
      <c r="O36430" s="11"/>
      <c r="P36430" s="11"/>
    </row>
    <row r="36431" spans="8:16" x14ac:dyDescent="0.25">
      <c r="H36431" s="12"/>
      <c r="I36431" s="12"/>
      <c r="J36431" s="12"/>
      <c r="K36431" s="12"/>
      <c r="L36431" s="12"/>
      <c r="M36431" s="11"/>
      <c r="N36431" s="11"/>
      <c r="O36431" s="11"/>
      <c r="P36431" s="11"/>
    </row>
    <row r="36432" spans="8:16" x14ac:dyDescent="0.25">
      <c r="H36432" s="12"/>
      <c r="I36432" s="12"/>
      <c r="J36432" s="12"/>
      <c r="K36432" s="12"/>
      <c r="L36432" s="12"/>
      <c r="M36432" s="11"/>
      <c r="N36432" s="11"/>
      <c r="O36432" s="11"/>
      <c r="P36432" s="11"/>
    </row>
    <row r="36433" spans="8:16" x14ac:dyDescent="0.25">
      <c r="H36433" s="12"/>
      <c r="I36433" s="12"/>
      <c r="J36433" s="12"/>
      <c r="K36433" s="12"/>
      <c r="L36433" s="12"/>
      <c r="M36433" s="11"/>
      <c r="N36433" s="11"/>
      <c r="O36433" s="11"/>
      <c r="P36433" s="11"/>
    </row>
    <row r="36434" spans="8:16" x14ac:dyDescent="0.25">
      <c r="H36434" s="12"/>
      <c r="I36434" s="12"/>
      <c r="J36434" s="12"/>
      <c r="K36434" s="12"/>
      <c r="L36434" s="12"/>
      <c r="M36434" s="11"/>
      <c r="N36434" s="11"/>
      <c r="O36434" s="11"/>
      <c r="P36434" s="11"/>
    </row>
    <row r="36435" spans="8:16" x14ac:dyDescent="0.25">
      <c r="H36435" s="12"/>
      <c r="I36435" s="12"/>
      <c r="J36435" s="12"/>
      <c r="K36435" s="12"/>
      <c r="L36435" s="12"/>
      <c r="M36435" s="11"/>
      <c r="N36435" s="11"/>
      <c r="O36435" s="11"/>
      <c r="P36435" s="11"/>
    </row>
    <row r="36436" spans="8:16" x14ac:dyDescent="0.25">
      <c r="H36436" s="12"/>
      <c r="I36436" s="12"/>
      <c r="J36436" s="12"/>
      <c r="K36436" s="12"/>
      <c r="L36436" s="12"/>
      <c r="M36436" s="11"/>
      <c r="N36436" s="11"/>
      <c r="O36436" s="11"/>
      <c r="P36436" s="11"/>
    </row>
    <row r="36437" spans="8:16" x14ac:dyDescent="0.25">
      <c r="H36437" s="12"/>
      <c r="I36437" s="12"/>
      <c r="J36437" s="12"/>
      <c r="K36437" s="12"/>
      <c r="L36437" s="12"/>
      <c r="M36437" s="11"/>
      <c r="N36437" s="11"/>
      <c r="O36437" s="11"/>
      <c r="P36437" s="11"/>
    </row>
    <row r="36438" spans="8:16" x14ac:dyDescent="0.25">
      <c r="H36438" s="12"/>
      <c r="I36438" s="12"/>
      <c r="J36438" s="12"/>
      <c r="K36438" s="12"/>
      <c r="L36438" s="12"/>
      <c r="M36438" s="11"/>
      <c r="N36438" s="11"/>
      <c r="O36438" s="11"/>
      <c r="P36438" s="11"/>
    </row>
    <row r="36439" spans="8:16" x14ac:dyDescent="0.25">
      <c r="H36439" s="12"/>
      <c r="I36439" s="12"/>
      <c r="J36439" s="12"/>
      <c r="K36439" s="12"/>
      <c r="L36439" s="12"/>
      <c r="M36439" s="11"/>
      <c r="N36439" s="11"/>
      <c r="O36439" s="11"/>
      <c r="P36439" s="11"/>
    </row>
    <row r="36440" spans="8:16" x14ac:dyDescent="0.25">
      <c r="H36440" s="12"/>
      <c r="I36440" s="12"/>
      <c r="J36440" s="12"/>
      <c r="K36440" s="12"/>
      <c r="L36440" s="12"/>
      <c r="M36440" s="11"/>
      <c r="N36440" s="11"/>
      <c r="O36440" s="11"/>
      <c r="P36440" s="11"/>
    </row>
    <row r="36441" spans="8:16" x14ac:dyDescent="0.25">
      <c r="H36441" s="12"/>
      <c r="I36441" s="12"/>
      <c r="J36441" s="12"/>
      <c r="K36441" s="12"/>
      <c r="L36441" s="12"/>
      <c r="M36441" s="11"/>
      <c r="N36441" s="11"/>
      <c r="O36441" s="11"/>
      <c r="P36441" s="11"/>
    </row>
    <row r="36442" spans="8:16" x14ac:dyDescent="0.25">
      <c r="H36442" s="12"/>
      <c r="I36442" s="12"/>
      <c r="J36442" s="12"/>
      <c r="K36442" s="12"/>
      <c r="L36442" s="12"/>
      <c r="M36442" s="11"/>
      <c r="N36442" s="11"/>
      <c r="O36442" s="11"/>
      <c r="P36442" s="11"/>
    </row>
    <row r="36443" spans="8:16" x14ac:dyDescent="0.25">
      <c r="H36443" s="12"/>
      <c r="I36443" s="12"/>
      <c r="J36443" s="12"/>
      <c r="K36443" s="12"/>
      <c r="L36443" s="12"/>
      <c r="M36443" s="11"/>
      <c r="N36443" s="11"/>
      <c r="O36443" s="11"/>
      <c r="P36443" s="11"/>
    </row>
    <row r="36444" spans="8:16" x14ac:dyDescent="0.25">
      <c r="H36444" s="12"/>
      <c r="I36444" s="12"/>
      <c r="J36444" s="12"/>
      <c r="K36444" s="12"/>
      <c r="L36444" s="12"/>
      <c r="M36444" s="11"/>
      <c r="N36444" s="11"/>
      <c r="O36444" s="11"/>
      <c r="P36444" s="11"/>
    </row>
    <row r="36445" spans="8:16" x14ac:dyDescent="0.25">
      <c r="H36445" s="12"/>
      <c r="I36445" s="12"/>
      <c r="J36445" s="12"/>
      <c r="K36445" s="12"/>
      <c r="L36445" s="12"/>
      <c r="M36445" s="11"/>
      <c r="N36445" s="11"/>
      <c r="O36445" s="11"/>
      <c r="P36445" s="11"/>
    </row>
    <row r="36446" spans="8:16" x14ac:dyDescent="0.25">
      <c r="H36446" s="12"/>
      <c r="I36446" s="12"/>
      <c r="J36446" s="12"/>
      <c r="K36446" s="12"/>
      <c r="L36446" s="12"/>
      <c r="M36446" s="11"/>
      <c r="N36446" s="11"/>
      <c r="O36446" s="11"/>
      <c r="P36446" s="11"/>
    </row>
    <row r="36447" spans="8:16" x14ac:dyDescent="0.25">
      <c r="H36447" s="12"/>
      <c r="I36447" s="12"/>
      <c r="J36447" s="12"/>
      <c r="K36447" s="12"/>
      <c r="L36447" s="12"/>
      <c r="M36447" s="11"/>
      <c r="N36447" s="11"/>
      <c r="O36447" s="11"/>
      <c r="P36447" s="11"/>
    </row>
    <row r="36448" spans="8:16" x14ac:dyDescent="0.25">
      <c r="H36448" s="12"/>
      <c r="I36448" s="12"/>
      <c r="J36448" s="12"/>
      <c r="K36448" s="12"/>
      <c r="L36448" s="12"/>
      <c r="M36448" s="11"/>
      <c r="N36448" s="11"/>
      <c r="O36448" s="11"/>
      <c r="P36448" s="11"/>
    </row>
    <row r="36449" spans="8:16" x14ac:dyDescent="0.25">
      <c r="H36449" s="12"/>
      <c r="I36449" s="12"/>
      <c r="J36449" s="12"/>
      <c r="K36449" s="12"/>
      <c r="L36449" s="12"/>
      <c r="M36449" s="11"/>
      <c r="N36449" s="11"/>
      <c r="O36449" s="11"/>
      <c r="P36449" s="11"/>
    </row>
    <row r="36450" spans="8:16" x14ac:dyDescent="0.25">
      <c r="H36450" s="12"/>
      <c r="I36450" s="12"/>
      <c r="J36450" s="12"/>
      <c r="K36450" s="12"/>
      <c r="L36450" s="12"/>
      <c r="M36450" s="11"/>
      <c r="N36450" s="11"/>
      <c r="O36450" s="11"/>
      <c r="P36450" s="11"/>
    </row>
    <row r="36451" spans="8:16" x14ac:dyDescent="0.25">
      <c r="H36451" s="12"/>
      <c r="I36451" s="12"/>
      <c r="J36451" s="12"/>
      <c r="K36451" s="12"/>
      <c r="L36451" s="12"/>
      <c r="M36451" s="11"/>
      <c r="N36451" s="11"/>
      <c r="O36451" s="11"/>
      <c r="P36451" s="11"/>
    </row>
    <row r="36452" spans="8:16" x14ac:dyDescent="0.25">
      <c r="H36452" s="12"/>
      <c r="I36452" s="12"/>
      <c r="J36452" s="12"/>
      <c r="K36452" s="12"/>
      <c r="L36452" s="12"/>
      <c r="M36452" s="11"/>
      <c r="N36452" s="11"/>
      <c r="O36452" s="11"/>
      <c r="P36452" s="11"/>
    </row>
    <row r="36453" spans="8:16" x14ac:dyDescent="0.25">
      <c r="H36453" s="12"/>
      <c r="I36453" s="12"/>
      <c r="J36453" s="12"/>
      <c r="K36453" s="12"/>
      <c r="L36453" s="12"/>
      <c r="M36453" s="11"/>
      <c r="N36453" s="11"/>
      <c r="O36453" s="11"/>
      <c r="P36453" s="11"/>
    </row>
    <row r="36454" spans="8:16" x14ac:dyDescent="0.25">
      <c r="H36454" s="12"/>
      <c r="I36454" s="12"/>
      <c r="J36454" s="12"/>
      <c r="K36454" s="12"/>
      <c r="L36454" s="12"/>
      <c r="M36454" s="11"/>
      <c r="N36454" s="11"/>
      <c r="O36454" s="11"/>
      <c r="P36454" s="11"/>
    </row>
    <row r="36455" spans="8:16" x14ac:dyDescent="0.25">
      <c r="H36455" s="12"/>
      <c r="I36455" s="12"/>
      <c r="J36455" s="12"/>
      <c r="K36455" s="12"/>
      <c r="L36455" s="12"/>
      <c r="M36455" s="11"/>
      <c r="N36455" s="11"/>
      <c r="O36455" s="11"/>
      <c r="P36455" s="11"/>
    </row>
    <row r="36456" spans="8:16" x14ac:dyDescent="0.25">
      <c r="H36456" s="12"/>
      <c r="I36456" s="12"/>
      <c r="J36456" s="12"/>
      <c r="K36456" s="12"/>
      <c r="L36456" s="12"/>
      <c r="M36456" s="11"/>
      <c r="N36456" s="11"/>
      <c r="O36456" s="11"/>
      <c r="P36456" s="11"/>
    </row>
    <row r="36457" spans="8:16" x14ac:dyDescent="0.25">
      <c r="H36457" s="12"/>
      <c r="I36457" s="12"/>
      <c r="J36457" s="12"/>
      <c r="K36457" s="12"/>
      <c r="L36457" s="12"/>
      <c r="M36457" s="11"/>
      <c r="N36457" s="11"/>
      <c r="O36457" s="11"/>
      <c r="P36457" s="11"/>
    </row>
    <row r="36458" spans="8:16" x14ac:dyDescent="0.25">
      <c r="H36458" s="12"/>
      <c r="I36458" s="12"/>
      <c r="J36458" s="12"/>
      <c r="K36458" s="12"/>
      <c r="L36458" s="12"/>
      <c r="M36458" s="11"/>
      <c r="N36458" s="11"/>
      <c r="O36458" s="11"/>
      <c r="P36458" s="11"/>
    </row>
    <row r="36459" spans="8:16" x14ac:dyDescent="0.25">
      <c r="H36459" s="12"/>
      <c r="I36459" s="12"/>
      <c r="J36459" s="12"/>
      <c r="K36459" s="12"/>
      <c r="L36459" s="12"/>
      <c r="M36459" s="11"/>
      <c r="N36459" s="11"/>
      <c r="O36459" s="11"/>
      <c r="P36459" s="11"/>
    </row>
    <row r="36460" spans="8:16" x14ac:dyDescent="0.25">
      <c r="H36460" s="12"/>
      <c r="I36460" s="12"/>
      <c r="J36460" s="12"/>
      <c r="K36460" s="12"/>
      <c r="L36460" s="12"/>
      <c r="M36460" s="11"/>
      <c r="N36460" s="11"/>
      <c r="O36460" s="11"/>
      <c r="P36460" s="11"/>
    </row>
    <row r="36461" spans="8:16" x14ac:dyDescent="0.25">
      <c r="H36461" s="12"/>
      <c r="I36461" s="12"/>
      <c r="J36461" s="12"/>
      <c r="K36461" s="12"/>
      <c r="L36461" s="12"/>
      <c r="M36461" s="11"/>
      <c r="N36461" s="11"/>
      <c r="O36461" s="11"/>
      <c r="P36461" s="11"/>
    </row>
    <row r="36462" spans="8:16" x14ac:dyDescent="0.25">
      <c r="H36462" s="12"/>
      <c r="I36462" s="12"/>
      <c r="J36462" s="12"/>
      <c r="K36462" s="12"/>
      <c r="L36462" s="12"/>
      <c r="M36462" s="11"/>
      <c r="N36462" s="11"/>
      <c r="O36462" s="11"/>
      <c r="P36462" s="11"/>
    </row>
    <row r="36463" spans="8:16" x14ac:dyDescent="0.25">
      <c r="H36463" s="12"/>
      <c r="I36463" s="12"/>
      <c r="J36463" s="12"/>
      <c r="K36463" s="12"/>
      <c r="L36463" s="12"/>
      <c r="M36463" s="11"/>
      <c r="N36463" s="11"/>
      <c r="O36463" s="11"/>
      <c r="P36463" s="11"/>
    </row>
    <row r="36464" spans="8:16" x14ac:dyDescent="0.25">
      <c r="H36464" s="12"/>
      <c r="I36464" s="12"/>
      <c r="J36464" s="12"/>
      <c r="K36464" s="12"/>
      <c r="L36464" s="12"/>
      <c r="M36464" s="11"/>
      <c r="N36464" s="11"/>
      <c r="O36464" s="11"/>
      <c r="P36464" s="11"/>
    </row>
    <row r="36465" spans="8:16" x14ac:dyDescent="0.25">
      <c r="H36465" s="12"/>
      <c r="I36465" s="12"/>
      <c r="J36465" s="12"/>
      <c r="K36465" s="12"/>
      <c r="L36465" s="12"/>
      <c r="M36465" s="11"/>
      <c r="N36465" s="11"/>
      <c r="O36465" s="11"/>
      <c r="P36465" s="11"/>
    </row>
    <row r="36466" spans="8:16" x14ac:dyDescent="0.25">
      <c r="H36466" s="12"/>
      <c r="I36466" s="12"/>
      <c r="J36466" s="12"/>
      <c r="K36466" s="12"/>
      <c r="L36466" s="12"/>
      <c r="M36466" s="11"/>
      <c r="N36466" s="11"/>
      <c r="O36466" s="11"/>
      <c r="P36466" s="11"/>
    </row>
    <row r="36467" spans="8:16" x14ac:dyDescent="0.25">
      <c r="H36467" s="12"/>
      <c r="I36467" s="12"/>
      <c r="J36467" s="12"/>
      <c r="K36467" s="12"/>
      <c r="L36467" s="12"/>
      <c r="M36467" s="11"/>
      <c r="N36467" s="11"/>
      <c r="O36467" s="11"/>
      <c r="P36467" s="11"/>
    </row>
    <row r="36468" spans="8:16" x14ac:dyDescent="0.25">
      <c r="H36468" s="12"/>
      <c r="I36468" s="12"/>
      <c r="J36468" s="12"/>
      <c r="K36468" s="12"/>
      <c r="L36468" s="12"/>
      <c r="M36468" s="11"/>
      <c r="N36468" s="11"/>
      <c r="O36468" s="11"/>
      <c r="P36468" s="11"/>
    </row>
    <row r="36469" spans="8:16" x14ac:dyDescent="0.25">
      <c r="H36469" s="12"/>
      <c r="I36469" s="12"/>
      <c r="J36469" s="12"/>
      <c r="K36469" s="12"/>
      <c r="L36469" s="12"/>
      <c r="M36469" s="11"/>
      <c r="N36469" s="11"/>
      <c r="O36469" s="11"/>
      <c r="P36469" s="11"/>
    </row>
    <row r="36470" spans="8:16" x14ac:dyDescent="0.25">
      <c r="H36470" s="12"/>
      <c r="I36470" s="12"/>
      <c r="J36470" s="12"/>
      <c r="K36470" s="12"/>
      <c r="L36470" s="12"/>
      <c r="M36470" s="11"/>
      <c r="N36470" s="11"/>
      <c r="O36470" s="11"/>
      <c r="P36470" s="11"/>
    </row>
    <row r="36471" spans="8:16" x14ac:dyDescent="0.25">
      <c r="H36471" s="12"/>
      <c r="I36471" s="12"/>
      <c r="J36471" s="12"/>
      <c r="K36471" s="12"/>
      <c r="L36471" s="12"/>
      <c r="M36471" s="11"/>
      <c r="N36471" s="11"/>
      <c r="O36471" s="11"/>
      <c r="P36471" s="11"/>
    </row>
    <row r="36472" spans="8:16" x14ac:dyDescent="0.25">
      <c r="H36472" s="12"/>
      <c r="I36472" s="12"/>
      <c r="J36472" s="12"/>
      <c r="K36472" s="12"/>
      <c r="L36472" s="12"/>
      <c r="M36472" s="11"/>
      <c r="N36472" s="11"/>
      <c r="O36472" s="11"/>
      <c r="P36472" s="11"/>
    </row>
    <row r="36473" spans="8:16" x14ac:dyDescent="0.25">
      <c r="H36473" s="12"/>
      <c r="I36473" s="12"/>
      <c r="J36473" s="12"/>
      <c r="K36473" s="12"/>
      <c r="L36473" s="12"/>
      <c r="M36473" s="11"/>
      <c r="N36473" s="11"/>
      <c r="O36473" s="11"/>
      <c r="P36473" s="11"/>
    </row>
    <row r="36474" spans="8:16" x14ac:dyDescent="0.25">
      <c r="H36474" s="12"/>
      <c r="I36474" s="12"/>
      <c r="J36474" s="12"/>
      <c r="K36474" s="12"/>
      <c r="L36474" s="12"/>
      <c r="M36474" s="11"/>
      <c r="N36474" s="11"/>
      <c r="O36474" s="11"/>
      <c r="P36474" s="11"/>
    </row>
    <row r="36475" spans="8:16" x14ac:dyDescent="0.25">
      <c r="H36475" s="12"/>
      <c r="I36475" s="12"/>
      <c r="J36475" s="12"/>
      <c r="K36475" s="12"/>
      <c r="L36475" s="12"/>
      <c r="M36475" s="11"/>
      <c r="N36475" s="11"/>
      <c r="O36475" s="11"/>
      <c r="P36475" s="11"/>
    </row>
    <row r="36476" spans="8:16" x14ac:dyDescent="0.25">
      <c r="H36476" s="12"/>
      <c r="I36476" s="12"/>
      <c r="J36476" s="12"/>
      <c r="K36476" s="12"/>
      <c r="L36476" s="12"/>
      <c r="M36476" s="11"/>
      <c r="N36476" s="11"/>
      <c r="O36476" s="11"/>
      <c r="P36476" s="11"/>
    </row>
    <row r="36477" spans="8:16" x14ac:dyDescent="0.25">
      <c r="H36477" s="12"/>
      <c r="I36477" s="12"/>
      <c r="J36477" s="12"/>
      <c r="K36477" s="12"/>
      <c r="L36477" s="12"/>
      <c r="M36477" s="11"/>
      <c r="N36477" s="11"/>
      <c r="O36477" s="11"/>
      <c r="P36477" s="11"/>
    </row>
    <row r="36478" spans="8:16" x14ac:dyDescent="0.25">
      <c r="H36478" s="12"/>
      <c r="I36478" s="12"/>
      <c r="J36478" s="12"/>
      <c r="K36478" s="12"/>
      <c r="L36478" s="12"/>
      <c r="M36478" s="11"/>
      <c r="N36478" s="11"/>
      <c r="O36478" s="11"/>
      <c r="P36478" s="11"/>
    </row>
    <row r="36479" spans="8:16" x14ac:dyDescent="0.25">
      <c r="H36479" s="12"/>
      <c r="I36479" s="12"/>
      <c r="J36479" s="12"/>
      <c r="K36479" s="12"/>
      <c r="L36479" s="12"/>
      <c r="M36479" s="11"/>
      <c r="N36479" s="11"/>
      <c r="O36479" s="11"/>
      <c r="P36479" s="11"/>
    </row>
    <row r="36480" spans="8:16" x14ac:dyDescent="0.25">
      <c r="H36480" s="12"/>
      <c r="I36480" s="12"/>
      <c r="J36480" s="12"/>
      <c r="K36480" s="12"/>
      <c r="L36480" s="12"/>
      <c r="M36480" s="11"/>
      <c r="N36480" s="11"/>
      <c r="O36480" s="11"/>
      <c r="P36480" s="11"/>
    </row>
    <row r="36481" spans="8:16" x14ac:dyDescent="0.25">
      <c r="H36481" s="12"/>
      <c r="I36481" s="12"/>
      <c r="J36481" s="12"/>
      <c r="K36481" s="12"/>
      <c r="L36481" s="12"/>
      <c r="M36481" s="11"/>
      <c r="N36481" s="11"/>
      <c r="O36481" s="11"/>
      <c r="P36481" s="11"/>
    </row>
    <row r="36482" spans="8:16" x14ac:dyDescent="0.25">
      <c r="H36482" s="12"/>
      <c r="I36482" s="12"/>
      <c r="J36482" s="12"/>
      <c r="K36482" s="12"/>
      <c r="L36482" s="12"/>
      <c r="M36482" s="11"/>
      <c r="N36482" s="11"/>
      <c r="O36482" s="11"/>
      <c r="P36482" s="11"/>
    </row>
    <row r="36483" spans="8:16" x14ac:dyDescent="0.25">
      <c r="H36483" s="12"/>
      <c r="I36483" s="12"/>
      <c r="J36483" s="12"/>
      <c r="K36483" s="12"/>
      <c r="L36483" s="12"/>
      <c r="M36483" s="11"/>
      <c r="N36483" s="11"/>
      <c r="O36483" s="11"/>
      <c r="P36483" s="11"/>
    </row>
    <row r="36484" spans="8:16" x14ac:dyDescent="0.25">
      <c r="H36484" s="12"/>
      <c r="I36484" s="12"/>
      <c r="J36484" s="12"/>
      <c r="K36484" s="12"/>
      <c r="L36484" s="12"/>
      <c r="M36484" s="11"/>
      <c r="N36484" s="11"/>
      <c r="O36484" s="11"/>
      <c r="P36484" s="11"/>
    </row>
    <row r="36485" spans="8:16" x14ac:dyDescent="0.25">
      <c r="H36485" s="12"/>
      <c r="I36485" s="12"/>
      <c r="J36485" s="12"/>
      <c r="K36485" s="12"/>
      <c r="L36485" s="12"/>
      <c r="M36485" s="11"/>
      <c r="N36485" s="11"/>
      <c r="O36485" s="11"/>
      <c r="P36485" s="11"/>
    </row>
    <row r="36486" spans="8:16" x14ac:dyDescent="0.25">
      <c r="H36486" s="12"/>
      <c r="I36486" s="12"/>
      <c r="J36486" s="12"/>
      <c r="K36486" s="12"/>
      <c r="L36486" s="12"/>
      <c r="M36486" s="11"/>
      <c r="N36486" s="11"/>
      <c r="O36486" s="11"/>
      <c r="P36486" s="11"/>
    </row>
    <row r="36487" spans="8:16" x14ac:dyDescent="0.25">
      <c r="H36487" s="12"/>
      <c r="I36487" s="12"/>
      <c r="J36487" s="12"/>
      <c r="K36487" s="12"/>
      <c r="L36487" s="12"/>
      <c r="M36487" s="11"/>
      <c r="N36487" s="11"/>
      <c r="O36487" s="11"/>
      <c r="P36487" s="11"/>
    </row>
    <row r="36488" spans="8:16" x14ac:dyDescent="0.25">
      <c r="H36488" s="12"/>
      <c r="I36488" s="12"/>
      <c r="J36488" s="12"/>
      <c r="K36488" s="12"/>
      <c r="L36488" s="12"/>
      <c r="M36488" s="11"/>
      <c r="N36488" s="11"/>
      <c r="O36488" s="11"/>
      <c r="P36488" s="11"/>
    </row>
    <row r="36489" spans="8:16" x14ac:dyDescent="0.25">
      <c r="H36489" s="12"/>
      <c r="I36489" s="12"/>
      <c r="J36489" s="12"/>
      <c r="K36489" s="12"/>
      <c r="L36489" s="12"/>
      <c r="M36489" s="11"/>
      <c r="N36489" s="11"/>
      <c r="O36489" s="11"/>
      <c r="P36489" s="11"/>
    </row>
    <row r="36490" spans="8:16" x14ac:dyDescent="0.25">
      <c r="H36490" s="12"/>
      <c r="I36490" s="12"/>
      <c r="J36490" s="12"/>
      <c r="K36490" s="12"/>
      <c r="L36490" s="12"/>
      <c r="M36490" s="11"/>
      <c r="N36490" s="11"/>
      <c r="O36490" s="11"/>
      <c r="P36490" s="11"/>
    </row>
    <row r="36491" spans="8:16" x14ac:dyDescent="0.25">
      <c r="H36491" s="12"/>
      <c r="I36491" s="12"/>
      <c r="J36491" s="12"/>
      <c r="K36491" s="12"/>
      <c r="L36491" s="12"/>
      <c r="M36491" s="11"/>
      <c r="N36491" s="11"/>
      <c r="O36491" s="11"/>
      <c r="P36491" s="11"/>
    </row>
    <row r="36492" spans="8:16" x14ac:dyDescent="0.25">
      <c r="H36492" s="12"/>
      <c r="I36492" s="12"/>
      <c r="J36492" s="12"/>
      <c r="K36492" s="12"/>
      <c r="L36492" s="12"/>
      <c r="M36492" s="11"/>
      <c r="N36492" s="11"/>
      <c r="O36492" s="11"/>
      <c r="P36492" s="11"/>
    </row>
    <row r="36493" spans="8:16" x14ac:dyDescent="0.25">
      <c r="H36493" s="12"/>
      <c r="I36493" s="12"/>
      <c r="J36493" s="12"/>
      <c r="K36493" s="12"/>
      <c r="L36493" s="12"/>
      <c r="M36493" s="11"/>
      <c r="N36493" s="11"/>
      <c r="O36493" s="11"/>
      <c r="P36493" s="11"/>
    </row>
    <row r="36494" spans="8:16" x14ac:dyDescent="0.25">
      <c r="H36494" s="12"/>
      <c r="I36494" s="12"/>
      <c r="J36494" s="12"/>
      <c r="K36494" s="12"/>
      <c r="L36494" s="12"/>
      <c r="M36494" s="11"/>
      <c r="N36494" s="11"/>
      <c r="O36494" s="11"/>
      <c r="P36494" s="11"/>
    </row>
    <row r="36495" spans="8:16" x14ac:dyDescent="0.25">
      <c r="H36495" s="12"/>
      <c r="I36495" s="12"/>
      <c r="J36495" s="12"/>
      <c r="K36495" s="12"/>
      <c r="L36495" s="12"/>
      <c r="M36495" s="11"/>
      <c r="N36495" s="11"/>
      <c r="O36495" s="11"/>
      <c r="P36495" s="11"/>
    </row>
    <row r="36496" spans="8:16" x14ac:dyDescent="0.25">
      <c r="H36496" s="12"/>
      <c r="I36496" s="12"/>
      <c r="J36496" s="12"/>
      <c r="K36496" s="12"/>
      <c r="L36496" s="12"/>
      <c r="M36496" s="11"/>
      <c r="N36496" s="11"/>
      <c r="O36496" s="11"/>
      <c r="P36496" s="11"/>
    </row>
    <row r="36497" spans="8:16" x14ac:dyDescent="0.25">
      <c r="H36497" s="12"/>
      <c r="I36497" s="12"/>
      <c r="J36497" s="12"/>
      <c r="K36497" s="12"/>
      <c r="L36497" s="12"/>
      <c r="M36497" s="11"/>
      <c r="N36497" s="11"/>
      <c r="O36497" s="11"/>
      <c r="P36497" s="11"/>
    </row>
    <row r="36498" spans="8:16" x14ac:dyDescent="0.25">
      <c r="H36498" s="12"/>
      <c r="I36498" s="12"/>
      <c r="J36498" s="12"/>
      <c r="K36498" s="12"/>
      <c r="L36498" s="12"/>
      <c r="M36498" s="11"/>
      <c r="N36498" s="11"/>
      <c r="O36498" s="11"/>
      <c r="P36498" s="11"/>
    </row>
    <row r="36499" spans="8:16" x14ac:dyDescent="0.25">
      <c r="H36499" s="12"/>
      <c r="I36499" s="12"/>
      <c r="J36499" s="12"/>
      <c r="K36499" s="12"/>
      <c r="L36499" s="12"/>
      <c r="M36499" s="11"/>
      <c r="N36499" s="11"/>
      <c r="O36499" s="11"/>
      <c r="P36499" s="11"/>
    </row>
    <row r="36500" spans="8:16" x14ac:dyDescent="0.25">
      <c r="H36500" s="12"/>
      <c r="I36500" s="12"/>
      <c r="J36500" s="12"/>
      <c r="K36500" s="12"/>
      <c r="L36500" s="12"/>
      <c r="M36500" s="11"/>
      <c r="N36500" s="11"/>
      <c r="O36500" s="11"/>
      <c r="P36500" s="11"/>
    </row>
    <row r="36501" spans="8:16" x14ac:dyDescent="0.25">
      <c r="H36501" s="12"/>
      <c r="I36501" s="12"/>
      <c r="J36501" s="12"/>
      <c r="K36501" s="12"/>
      <c r="L36501" s="12"/>
      <c r="M36501" s="11"/>
      <c r="N36501" s="11"/>
      <c r="O36501" s="11"/>
      <c r="P36501" s="11"/>
    </row>
    <row r="36502" spans="8:16" x14ac:dyDescent="0.25">
      <c r="H36502" s="12"/>
      <c r="I36502" s="12"/>
      <c r="J36502" s="12"/>
      <c r="K36502" s="12"/>
      <c r="L36502" s="12"/>
      <c r="M36502" s="11"/>
      <c r="N36502" s="11"/>
      <c r="O36502" s="11"/>
      <c r="P36502" s="11"/>
    </row>
    <row r="36503" spans="8:16" x14ac:dyDescent="0.25">
      <c r="H36503" s="12"/>
      <c r="I36503" s="12"/>
      <c r="J36503" s="12"/>
      <c r="K36503" s="12"/>
      <c r="L36503" s="12"/>
      <c r="M36503" s="11"/>
      <c r="N36503" s="11"/>
      <c r="O36503" s="11"/>
      <c r="P36503" s="11"/>
    </row>
    <row r="36504" spans="8:16" x14ac:dyDescent="0.25">
      <c r="H36504" s="12"/>
      <c r="I36504" s="12"/>
      <c r="J36504" s="12"/>
      <c r="K36504" s="12"/>
      <c r="L36504" s="12"/>
      <c r="M36504" s="11"/>
      <c r="N36504" s="11"/>
      <c r="O36504" s="11"/>
      <c r="P36504" s="11"/>
    </row>
    <row r="36505" spans="8:16" x14ac:dyDescent="0.25">
      <c r="H36505" s="12"/>
      <c r="I36505" s="12"/>
      <c r="J36505" s="12"/>
      <c r="K36505" s="12"/>
      <c r="L36505" s="12"/>
      <c r="M36505" s="11"/>
      <c r="N36505" s="11"/>
      <c r="O36505" s="11"/>
      <c r="P36505" s="11"/>
    </row>
    <row r="36506" spans="8:16" x14ac:dyDescent="0.25">
      <c r="H36506" s="12"/>
      <c r="I36506" s="12"/>
      <c r="J36506" s="12"/>
      <c r="K36506" s="12"/>
      <c r="L36506" s="12"/>
      <c r="M36506" s="11"/>
      <c r="N36506" s="11"/>
      <c r="O36506" s="11"/>
      <c r="P36506" s="11"/>
    </row>
    <row r="36507" spans="8:16" x14ac:dyDescent="0.25">
      <c r="H36507" s="12"/>
      <c r="I36507" s="12"/>
      <c r="J36507" s="12"/>
      <c r="K36507" s="12"/>
      <c r="L36507" s="12"/>
      <c r="M36507" s="11"/>
      <c r="N36507" s="11"/>
      <c r="O36507" s="11"/>
      <c r="P36507" s="11"/>
    </row>
    <row r="36508" spans="8:16" x14ac:dyDescent="0.25">
      <c r="H36508" s="12"/>
      <c r="I36508" s="12"/>
      <c r="J36508" s="12"/>
      <c r="K36508" s="12"/>
      <c r="L36508" s="12"/>
      <c r="M36508" s="11"/>
      <c r="N36508" s="11"/>
      <c r="O36508" s="11"/>
      <c r="P36508" s="11"/>
    </row>
    <row r="36509" spans="8:16" x14ac:dyDescent="0.25">
      <c r="H36509" s="12"/>
      <c r="I36509" s="12"/>
      <c r="J36509" s="12"/>
      <c r="K36509" s="12"/>
      <c r="L36509" s="12"/>
      <c r="M36509" s="11"/>
      <c r="N36509" s="11"/>
      <c r="O36509" s="11"/>
      <c r="P36509" s="11"/>
    </row>
    <row r="36510" spans="8:16" x14ac:dyDescent="0.25">
      <c r="H36510" s="12"/>
      <c r="I36510" s="12"/>
      <c r="J36510" s="12"/>
      <c r="K36510" s="12"/>
      <c r="L36510" s="12"/>
      <c r="M36510" s="11"/>
      <c r="N36510" s="11"/>
      <c r="O36510" s="11"/>
      <c r="P36510" s="11"/>
    </row>
    <row r="36511" spans="8:16" x14ac:dyDescent="0.25">
      <c r="H36511" s="12"/>
      <c r="I36511" s="12"/>
      <c r="J36511" s="12"/>
      <c r="K36511" s="12"/>
      <c r="L36511" s="12"/>
      <c r="M36511" s="11"/>
      <c r="N36511" s="11"/>
      <c r="O36511" s="11"/>
      <c r="P36511" s="11"/>
    </row>
    <row r="36512" spans="8:16" x14ac:dyDescent="0.25">
      <c r="H36512" s="12"/>
      <c r="I36512" s="12"/>
      <c r="J36512" s="12"/>
      <c r="K36512" s="12"/>
      <c r="L36512" s="12"/>
      <c r="M36512" s="11"/>
      <c r="N36512" s="11"/>
      <c r="O36512" s="11"/>
      <c r="P36512" s="11"/>
    </row>
    <row r="36513" spans="8:16" x14ac:dyDescent="0.25">
      <c r="H36513" s="12"/>
      <c r="I36513" s="12"/>
      <c r="J36513" s="12"/>
      <c r="K36513" s="12"/>
      <c r="L36513" s="12"/>
      <c r="M36513" s="11"/>
      <c r="N36513" s="11"/>
      <c r="O36513" s="11"/>
      <c r="P36513" s="11"/>
    </row>
    <row r="36514" spans="8:16" x14ac:dyDescent="0.25">
      <c r="H36514" s="12"/>
      <c r="I36514" s="12"/>
      <c r="J36514" s="12"/>
      <c r="K36514" s="12"/>
      <c r="L36514" s="12"/>
      <c r="M36514" s="11"/>
      <c r="N36514" s="11"/>
      <c r="O36514" s="11"/>
      <c r="P36514" s="11"/>
    </row>
    <row r="36515" spans="8:16" x14ac:dyDescent="0.25">
      <c r="H36515" s="12"/>
      <c r="I36515" s="12"/>
      <c r="J36515" s="12"/>
      <c r="K36515" s="12"/>
      <c r="L36515" s="12"/>
      <c r="M36515" s="11"/>
      <c r="N36515" s="11"/>
      <c r="O36515" s="11"/>
      <c r="P36515" s="11"/>
    </row>
    <row r="36516" spans="8:16" x14ac:dyDescent="0.25">
      <c r="H36516" s="12"/>
      <c r="I36516" s="12"/>
      <c r="J36516" s="12"/>
      <c r="K36516" s="12"/>
      <c r="L36516" s="12"/>
      <c r="M36516" s="11"/>
      <c r="N36516" s="11"/>
      <c r="O36516" s="11"/>
      <c r="P36516" s="11"/>
    </row>
    <row r="36517" spans="8:16" x14ac:dyDescent="0.25">
      <c r="H36517" s="12"/>
      <c r="I36517" s="12"/>
      <c r="J36517" s="12"/>
      <c r="K36517" s="12"/>
      <c r="L36517" s="12"/>
      <c r="M36517" s="11"/>
      <c r="N36517" s="11"/>
      <c r="O36517" s="11"/>
      <c r="P36517" s="11"/>
    </row>
    <row r="36518" spans="8:16" x14ac:dyDescent="0.25">
      <c r="H36518" s="12"/>
      <c r="I36518" s="12"/>
      <c r="J36518" s="12"/>
      <c r="K36518" s="12"/>
      <c r="L36518" s="12"/>
      <c r="M36518" s="11"/>
      <c r="N36518" s="11"/>
      <c r="O36518" s="11"/>
      <c r="P36518" s="11"/>
    </row>
    <row r="36519" spans="8:16" x14ac:dyDescent="0.25">
      <c r="H36519" s="12"/>
      <c r="I36519" s="12"/>
      <c r="J36519" s="12"/>
      <c r="K36519" s="12"/>
      <c r="L36519" s="12"/>
      <c r="M36519" s="11"/>
      <c r="N36519" s="11"/>
      <c r="O36519" s="11"/>
      <c r="P36519" s="11"/>
    </row>
    <row r="36520" spans="8:16" x14ac:dyDescent="0.25">
      <c r="H36520" s="12"/>
      <c r="I36520" s="12"/>
      <c r="J36520" s="12"/>
      <c r="K36520" s="12"/>
      <c r="L36520" s="12"/>
      <c r="M36520" s="11"/>
      <c r="N36520" s="11"/>
      <c r="O36520" s="11"/>
      <c r="P36520" s="11"/>
    </row>
    <row r="36521" spans="8:16" x14ac:dyDescent="0.25">
      <c r="H36521" s="12"/>
      <c r="I36521" s="12"/>
      <c r="J36521" s="12"/>
      <c r="K36521" s="12"/>
      <c r="L36521" s="12"/>
      <c r="M36521" s="11"/>
      <c r="N36521" s="11"/>
      <c r="O36521" s="11"/>
      <c r="P36521" s="11"/>
    </row>
    <row r="36522" spans="8:16" x14ac:dyDescent="0.25">
      <c r="H36522" s="12"/>
      <c r="I36522" s="12"/>
      <c r="J36522" s="12"/>
      <c r="K36522" s="12"/>
      <c r="L36522" s="12"/>
      <c r="M36522" s="11"/>
      <c r="N36522" s="11"/>
      <c r="O36522" s="11"/>
      <c r="P36522" s="11"/>
    </row>
    <row r="36523" spans="8:16" x14ac:dyDescent="0.25">
      <c r="H36523" s="12"/>
      <c r="I36523" s="12"/>
      <c r="J36523" s="12"/>
      <c r="K36523" s="12"/>
      <c r="L36523" s="12"/>
      <c r="M36523" s="11"/>
      <c r="N36523" s="11"/>
      <c r="O36523" s="11"/>
      <c r="P36523" s="11"/>
    </row>
    <row r="36524" spans="8:16" x14ac:dyDescent="0.25">
      <c r="H36524" s="12"/>
      <c r="I36524" s="12"/>
      <c r="J36524" s="12"/>
      <c r="K36524" s="12"/>
      <c r="L36524" s="12"/>
      <c r="M36524" s="11"/>
      <c r="N36524" s="11"/>
      <c r="O36524" s="11"/>
      <c r="P36524" s="11"/>
    </row>
    <row r="36525" spans="8:16" x14ac:dyDescent="0.25">
      <c r="H36525" s="12"/>
      <c r="I36525" s="12"/>
      <c r="J36525" s="12"/>
      <c r="K36525" s="12"/>
      <c r="L36525" s="12"/>
      <c r="M36525" s="11"/>
      <c r="N36525" s="11"/>
      <c r="O36525" s="11"/>
      <c r="P36525" s="11"/>
    </row>
    <row r="36526" spans="8:16" x14ac:dyDescent="0.25">
      <c r="H36526" s="12"/>
      <c r="I36526" s="12"/>
      <c r="J36526" s="12"/>
      <c r="K36526" s="12"/>
      <c r="L36526" s="12"/>
      <c r="M36526" s="11"/>
      <c r="N36526" s="11"/>
      <c r="O36526" s="11"/>
      <c r="P36526" s="11"/>
    </row>
    <row r="36527" spans="8:16" x14ac:dyDescent="0.25">
      <c r="H36527" s="12"/>
      <c r="I36527" s="12"/>
      <c r="J36527" s="12"/>
      <c r="K36527" s="12"/>
      <c r="L36527" s="12"/>
      <c r="M36527" s="11"/>
      <c r="N36527" s="11"/>
      <c r="O36527" s="11"/>
      <c r="P36527" s="11"/>
    </row>
    <row r="36528" spans="8:16" x14ac:dyDescent="0.25">
      <c r="H36528" s="12"/>
      <c r="I36528" s="12"/>
      <c r="J36528" s="12"/>
      <c r="K36528" s="12"/>
      <c r="L36528" s="12"/>
      <c r="M36528" s="11"/>
      <c r="N36528" s="11"/>
      <c r="O36528" s="11"/>
      <c r="P36528" s="11"/>
    </row>
    <row r="36529" spans="8:16" x14ac:dyDescent="0.25">
      <c r="H36529" s="12"/>
      <c r="I36529" s="12"/>
      <c r="J36529" s="12"/>
      <c r="K36529" s="12"/>
      <c r="L36529" s="12"/>
      <c r="M36529" s="11"/>
      <c r="N36529" s="11"/>
      <c r="O36529" s="11"/>
      <c r="P36529" s="11"/>
    </row>
    <row r="36530" spans="8:16" x14ac:dyDescent="0.25">
      <c r="H36530" s="12"/>
      <c r="I36530" s="12"/>
      <c r="J36530" s="12"/>
      <c r="K36530" s="12"/>
      <c r="L36530" s="12"/>
      <c r="M36530" s="11"/>
      <c r="N36530" s="11"/>
      <c r="O36530" s="11"/>
      <c r="P36530" s="11"/>
    </row>
    <row r="36531" spans="8:16" x14ac:dyDescent="0.25">
      <c r="H36531" s="12"/>
      <c r="I36531" s="12"/>
      <c r="J36531" s="12"/>
      <c r="K36531" s="12"/>
      <c r="L36531" s="12"/>
      <c r="M36531" s="11"/>
      <c r="N36531" s="11"/>
      <c r="O36531" s="11"/>
      <c r="P36531" s="11"/>
    </row>
    <row r="36532" spans="8:16" x14ac:dyDescent="0.25">
      <c r="H36532" s="12"/>
      <c r="I36532" s="12"/>
      <c r="J36532" s="12"/>
      <c r="K36532" s="12"/>
      <c r="L36532" s="12"/>
      <c r="M36532" s="11"/>
      <c r="N36532" s="11"/>
      <c r="O36532" s="11"/>
      <c r="P36532" s="11"/>
    </row>
    <row r="36533" spans="8:16" x14ac:dyDescent="0.25">
      <c r="H36533" s="12"/>
      <c r="I36533" s="12"/>
      <c r="J36533" s="12"/>
      <c r="K36533" s="12"/>
      <c r="L36533" s="12"/>
      <c r="M36533" s="11"/>
      <c r="N36533" s="11"/>
      <c r="O36533" s="11"/>
      <c r="P36533" s="11"/>
    </row>
    <row r="36534" spans="8:16" x14ac:dyDescent="0.25">
      <c r="H36534" s="12"/>
      <c r="I36534" s="12"/>
      <c r="J36534" s="12"/>
      <c r="K36534" s="12"/>
      <c r="L36534" s="12"/>
      <c r="M36534" s="11"/>
      <c r="N36534" s="11"/>
      <c r="O36534" s="11"/>
      <c r="P36534" s="11"/>
    </row>
    <row r="36535" spans="8:16" x14ac:dyDescent="0.25">
      <c r="H36535" s="12"/>
      <c r="I36535" s="12"/>
      <c r="J36535" s="12"/>
      <c r="K36535" s="12"/>
      <c r="L36535" s="12"/>
      <c r="M36535" s="11"/>
      <c r="N36535" s="11"/>
      <c r="O36535" s="11"/>
      <c r="P36535" s="11"/>
    </row>
    <row r="36536" spans="8:16" x14ac:dyDescent="0.25">
      <c r="H36536" s="12"/>
      <c r="I36536" s="12"/>
      <c r="J36536" s="12"/>
      <c r="K36536" s="12"/>
      <c r="L36536" s="12"/>
      <c r="M36536" s="11"/>
      <c r="N36536" s="11"/>
      <c r="O36536" s="11"/>
      <c r="P36536" s="11"/>
    </row>
    <row r="36537" spans="8:16" x14ac:dyDescent="0.25">
      <c r="H36537" s="12"/>
      <c r="I36537" s="12"/>
      <c r="J36537" s="12"/>
      <c r="K36537" s="12"/>
      <c r="L36537" s="12"/>
      <c r="M36537" s="11"/>
      <c r="N36537" s="11"/>
      <c r="O36537" s="11"/>
      <c r="P36537" s="11"/>
    </row>
    <row r="36538" spans="8:16" x14ac:dyDescent="0.25">
      <c r="H36538" s="12"/>
      <c r="I36538" s="12"/>
      <c r="J36538" s="12"/>
      <c r="K36538" s="12"/>
      <c r="L36538" s="12"/>
      <c r="M36538" s="11"/>
      <c r="N36538" s="11"/>
      <c r="O36538" s="11"/>
      <c r="P36538" s="11"/>
    </row>
    <row r="36539" spans="8:16" x14ac:dyDescent="0.25">
      <c r="H36539" s="12"/>
      <c r="I36539" s="12"/>
      <c r="J36539" s="12"/>
      <c r="K36539" s="12"/>
      <c r="L36539" s="12"/>
      <c r="M36539" s="11"/>
      <c r="N36539" s="11"/>
      <c r="O36539" s="11"/>
      <c r="P36539" s="11"/>
    </row>
    <row r="36540" spans="8:16" x14ac:dyDescent="0.25">
      <c r="H36540" s="12"/>
      <c r="I36540" s="12"/>
      <c r="J36540" s="12"/>
      <c r="K36540" s="12"/>
      <c r="L36540" s="12"/>
      <c r="M36540" s="11"/>
      <c r="N36540" s="11"/>
      <c r="O36540" s="11"/>
      <c r="P36540" s="11"/>
    </row>
    <row r="36541" spans="8:16" x14ac:dyDescent="0.25">
      <c r="H36541" s="12"/>
      <c r="I36541" s="12"/>
      <c r="J36541" s="12"/>
      <c r="K36541" s="12"/>
      <c r="L36541" s="12"/>
      <c r="M36541" s="11"/>
      <c r="N36541" s="11"/>
      <c r="O36541" s="11"/>
      <c r="P36541" s="11"/>
    </row>
    <row r="36542" spans="8:16" x14ac:dyDescent="0.25">
      <c r="H36542" s="12"/>
      <c r="I36542" s="12"/>
      <c r="J36542" s="12"/>
      <c r="K36542" s="12"/>
      <c r="L36542" s="12"/>
      <c r="M36542" s="11"/>
      <c r="N36542" s="11"/>
      <c r="O36542" s="11"/>
      <c r="P36542" s="11"/>
    </row>
    <row r="36543" spans="8:16" x14ac:dyDescent="0.25">
      <c r="H36543" s="12"/>
      <c r="I36543" s="12"/>
      <c r="J36543" s="12"/>
      <c r="K36543" s="12"/>
      <c r="L36543" s="12"/>
      <c r="M36543" s="11"/>
      <c r="N36543" s="11"/>
      <c r="O36543" s="11"/>
      <c r="P36543" s="11"/>
    </row>
    <row r="36544" spans="8:16" x14ac:dyDescent="0.25">
      <c r="H36544" s="12"/>
      <c r="I36544" s="12"/>
      <c r="J36544" s="12"/>
      <c r="K36544" s="12"/>
      <c r="L36544" s="12"/>
      <c r="M36544" s="11"/>
      <c r="N36544" s="11"/>
      <c r="O36544" s="11"/>
      <c r="P36544" s="11"/>
    </row>
    <row r="36545" spans="8:16" x14ac:dyDescent="0.25">
      <c r="H36545" s="12"/>
      <c r="I36545" s="12"/>
      <c r="J36545" s="12"/>
      <c r="K36545" s="12"/>
      <c r="L36545" s="12"/>
      <c r="M36545" s="11"/>
      <c r="N36545" s="11"/>
      <c r="O36545" s="11"/>
      <c r="P36545" s="11"/>
    </row>
    <row r="36546" spans="8:16" x14ac:dyDescent="0.25">
      <c r="H36546" s="12"/>
      <c r="I36546" s="12"/>
      <c r="J36546" s="12"/>
      <c r="K36546" s="12"/>
      <c r="L36546" s="12"/>
      <c r="M36546" s="11"/>
      <c r="N36546" s="11"/>
      <c r="O36546" s="11"/>
      <c r="P36546" s="11"/>
    </row>
    <row r="36547" spans="8:16" x14ac:dyDescent="0.25">
      <c r="H36547" s="12"/>
      <c r="I36547" s="12"/>
      <c r="J36547" s="12"/>
      <c r="K36547" s="12"/>
      <c r="L36547" s="12"/>
      <c r="M36547" s="11"/>
      <c r="N36547" s="11"/>
      <c r="O36547" s="11"/>
      <c r="P36547" s="11"/>
    </row>
    <row r="36548" spans="8:16" x14ac:dyDescent="0.25">
      <c r="H36548" s="12"/>
      <c r="I36548" s="12"/>
      <c r="J36548" s="12"/>
      <c r="K36548" s="12"/>
      <c r="L36548" s="12"/>
      <c r="M36548" s="11"/>
      <c r="N36548" s="11"/>
      <c r="O36548" s="11"/>
      <c r="P36548" s="11"/>
    </row>
    <row r="36549" spans="8:16" x14ac:dyDescent="0.25">
      <c r="H36549" s="12"/>
      <c r="I36549" s="12"/>
      <c r="J36549" s="12"/>
      <c r="K36549" s="12"/>
      <c r="L36549" s="12"/>
      <c r="M36549" s="11"/>
      <c r="N36549" s="11"/>
      <c r="O36549" s="11"/>
      <c r="P36549" s="11"/>
    </row>
    <row r="36550" spans="8:16" x14ac:dyDescent="0.25">
      <c r="H36550" s="12"/>
      <c r="I36550" s="12"/>
      <c r="J36550" s="12"/>
      <c r="K36550" s="12"/>
      <c r="L36550" s="12"/>
      <c r="M36550" s="11"/>
      <c r="N36550" s="11"/>
      <c r="O36550" s="11"/>
      <c r="P36550" s="11"/>
    </row>
    <row r="36551" spans="8:16" x14ac:dyDescent="0.25">
      <c r="H36551" s="12"/>
      <c r="I36551" s="12"/>
      <c r="J36551" s="12"/>
      <c r="K36551" s="12"/>
      <c r="L36551" s="12"/>
      <c r="M36551" s="11"/>
      <c r="N36551" s="11"/>
      <c r="O36551" s="11"/>
      <c r="P36551" s="11"/>
    </row>
    <row r="36552" spans="8:16" x14ac:dyDescent="0.25">
      <c r="H36552" s="12"/>
      <c r="I36552" s="12"/>
      <c r="J36552" s="12"/>
      <c r="K36552" s="12"/>
      <c r="L36552" s="12"/>
      <c r="M36552" s="11"/>
      <c r="N36552" s="11"/>
      <c r="O36552" s="11"/>
      <c r="P36552" s="11"/>
    </row>
    <row r="36553" spans="8:16" x14ac:dyDescent="0.25">
      <c r="H36553" s="12"/>
      <c r="I36553" s="12"/>
      <c r="J36553" s="12"/>
      <c r="K36553" s="12"/>
      <c r="L36553" s="12"/>
      <c r="M36553" s="11"/>
      <c r="N36553" s="11"/>
      <c r="O36553" s="11"/>
      <c r="P36553" s="11"/>
    </row>
    <row r="36554" spans="8:16" x14ac:dyDescent="0.25">
      <c r="H36554" s="12"/>
      <c r="I36554" s="12"/>
      <c r="J36554" s="12"/>
      <c r="K36554" s="12"/>
      <c r="L36554" s="12"/>
      <c r="M36554" s="11"/>
      <c r="N36554" s="11"/>
      <c r="O36554" s="11"/>
      <c r="P36554" s="11"/>
    </row>
    <row r="36555" spans="8:16" x14ac:dyDescent="0.25">
      <c r="H36555" s="12"/>
      <c r="I36555" s="12"/>
      <c r="J36555" s="12"/>
      <c r="K36555" s="12"/>
      <c r="L36555" s="12"/>
      <c r="M36555" s="11"/>
      <c r="N36555" s="11"/>
      <c r="O36555" s="11"/>
      <c r="P36555" s="11"/>
    </row>
    <row r="36556" spans="8:16" x14ac:dyDescent="0.25">
      <c r="H36556" s="12"/>
      <c r="I36556" s="12"/>
      <c r="J36556" s="12"/>
      <c r="K36556" s="12"/>
      <c r="L36556" s="12"/>
      <c r="M36556" s="11"/>
      <c r="N36556" s="11"/>
      <c r="O36556" s="11"/>
      <c r="P36556" s="11"/>
    </row>
    <row r="36557" spans="8:16" x14ac:dyDescent="0.25">
      <c r="H36557" s="12"/>
      <c r="I36557" s="12"/>
      <c r="J36557" s="12"/>
      <c r="K36557" s="12"/>
      <c r="L36557" s="12"/>
      <c r="M36557" s="11"/>
      <c r="N36557" s="11"/>
      <c r="O36557" s="11"/>
      <c r="P36557" s="11"/>
    </row>
    <row r="36558" spans="8:16" x14ac:dyDescent="0.25">
      <c r="H36558" s="12"/>
      <c r="I36558" s="12"/>
      <c r="J36558" s="12"/>
      <c r="K36558" s="12"/>
      <c r="L36558" s="12"/>
      <c r="M36558" s="11"/>
      <c r="N36558" s="11"/>
      <c r="O36558" s="11"/>
      <c r="P36558" s="11"/>
    </row>
    <row r="36559" spans="8:16" x14ac:dyDescent="0.25">
      <c r="H36559" s="12"/>
      <c r="I36559" s="12"/>
      <c r="J36559" s="12"/>
      <c r="K36559" s="12"/>
      <c r="L36559" s="12"/>
      <c r="M36559" s="11"/>
      <c r="N36559" s="11"/>
      <c r="O36559" s="11"/>
      <c r="P36559" s="11"/>
    </row>
    <row r="36560" spans="8:16" x14ac:dyDescent="0.25">
      <c r="H36560" s="12"/>
      <c r="I36560" s="12"/>
      <c r="J36560" s="12"/>
      <c r="K36560" s="12"/>
      <c r="L36560" s="12"/>
      <c r="M36560" s="11"/>
      <c r="N36560" s="11"/>
      <c r="O36560" s="11"/>
      <c r="P36560" s="11"/>
    </row>
    <row r="36561" spans="8:16" x14ac:dyDescent="0.25">
      <c r="H36561" s="12"/>
      <c r="I36561" s="12"/>
      <c r="J36561" s="12"/>
      <c r="K36561" s="12"/>
      <c r="L36561" s="12"/>
      <c r="M36561" s="11"/>
      <c r="N36561" s="11"/>
      <c r="O36561" s="11"/>
      <c r="P36561" s="11"/>
    </row>
    <row r="36562" spans="8:16" x14ac:dyDescent="0.25">
      <c r="H36562" s="12"/>
      <c r="I36562" s="12"/>
      <c r="J36562" s="12"/>
      <c r="K36562" s="12"/>
      <c r="L36562" s="12"/>
      <c r="M36562" s="11"/>
      <c r="N36562" s="11"/>
      <c r="O36562" s="11"/>
      <c r="P36562" s="11"/>
    </row>
    <row r="36563" spans="8:16" x14ac:dyDescent="0.25">
      <c r="H36563" s="12"/>
      <c r="I36563" s="12"/>
      <c r="J36563" s="12"/>
      <c r="K36563" s="12"/>
      <c r="L36563" s="12"/>
      <c r="M36563" s="11"/>
      <c r="N36563" s="11"/>
      <c r="O36563" s="11"/>
      <c r="P36563" s="11"/>
    </row>
    <row r="36564" spans="8:16" x14ac:dyDescent="0.25">
      <c r="H36564" s="12"/>
      <c r="I36564" s="12"/>
      <c r="J36564" s="12"/>
      <c r="K36564" s="12"/>
      <c r="L36564" s="12"/>
      <c r="M36564" s="11"/>
      <c r="N36564" s="11"/>
      <c r="O36564" s="11"/>
      <c r="P36564" s="11"/>
    </row>
    <row r="36565" spans="8:16" x14ac:dyDescent="0.25">
      <c r="H36565" s="12"/>
      <c r="I36565" s="12"/>
      <c r="J36565" s="12"/>
      <c r="K36565" s="12"/>
      <c r="L36565" s="12"/>
      <c r="M36565" s="11"/>
      <c r="N36565" s="11"/>
      <c r="O36565" s="11"/>
      <c r="P36565" s="11"/>
    </row>
    <row r="36566" spans="8:16" x14ac:dyDescent="0.25">
      <c r="H36566" s="12"/>
      <c r="I36566" s="12"/>
      <c r="J36566" s="12"/>
      <c r="K36566" s="12"/>
      <c r="L36566" s="12"/>
      <c r="M36566" s="11"/>
      <c r="N36566" s="11"/>
      <c r="O36566" s="11"/>
      <c r="P36566" s="11"/>
    </row>
    <row r="36567" spans="8:16" x14ac:dyDescent="0.25">
      <c r="H36567" s="12"/>
      <c r="I36567" s="12"/>
      <c r="J36567" s="12"/>
      <c r="K36567" s="12"/>
      <c r="L36567" s="12"/>
      <c r="M36567" s="11"/>
      <c r="N36567" s="11"/>
      <c r="O36567" s="11"/>
      <c r="P36567" s="11"/>
    </row>
    <row r="36568" spans="8:16" x14ac:dyDescent="0.25">
      <c r="H36568" s="12"/>
      <c r="I36568" s="12"/>
      <c r="J36568" s="12"/>
      <c r="K36568" s="12"/>
      <c r="L36568" s="12"/>
      <c r="M36568" s="11"/>
      <c r="N36568" s="11"/>
      <c r="O36568" s="11"/>
      <c r="P36568" s="11"/>
    </row>
    <row r="36569" spans="8:16" x14ac:dyDescent="0.25">
      <c r="H36569" s="12"/>
      <c r="I36569" s="12"/>
      <c r="J36569" s="12"/>
      <c r="K36569" s="12"/>
      <c r="L36569" s="12"/>
      <c r="M36569" s="11"/>
      <c r="N36569" s="11"/>
      <c r="O36569" s="11"/>
      <c r="P36569" s="11"/>
    </row>
    <row r="36570" spans="8:16" x14ac:dyDescent="0.25">
      <c r="H36570" s="12"/>
      <c r="I36570" s="12"/>
      <c r="J36570" s="12"/>
      <c r="K36570" s="12"/>
      <c r="L36570" s="12"/>
      <c r="M36570" s="11"/>
      <c r="N36570" s="11"/>
      <c r="O36570" s="11"/>
      <c r="P36570" s="11"/>
    </row>
    <row r="36571" spans="8:16" x14ac:dyDescent="0.25">
      <c r="H36571" s="12"/>
      <c r="I36571" s="12"/>
      <c r="J36571" s="12"/>
      <c r="K36571" s="12"/>
      <c r="L36571" s="12"/>
      <c r="M36571" s="11"/>
      <c r="N36571" s="11"/>
      <c r="O36571" s="11"/>
      <c r="P36571" s="11"/>
    </row>
    <row r="36572" spans="8:16" x14ac:dyDescent="0.25">
      <c r="H36572" s="12"/>
      <c r="I36572" s="12"/>
      <c r="J36572" s="12"/>
      <c r="K36572" s="12"/>
      <c r="L36572" s="12"/>
      <c r="M36572" s="11"/>
      <c r="N36572" s="11"/>
      <c r="O36572" s="11"/>
      <c r="P36572" s="11"/>
    </row>
    <row r="36573" spans="8:16" x14ac:dyDescent="0.25">
      <c r="H36573" s="12"/>
      <c r="I36573" s="12"/>
      <c r="J36573" s="12"/>
      <c r="K36573" s="12"/>
      <c r="L36573" s="12"/>
      <c r="M36573" s="11"/>
      <c r="N36573" s="11"/>
      <c r="O36573" s="11"/>
      <c r="P36573" s="11"/>
    </row>
    <row r="36574" spans="8:16" x14ac:dyDescent="0.25">
      <c r="H36574" s="12"/>
      <c r="I36574" s="12"/>
      <c r="J36574" s="12"/>
      <c r="K36574" s="12"/>
      <c r="L36574" s="12"/>
      <c r="M36574" s="11"/>
      <c r="N36574" s="11"/>
      <c r="O36574" s="11"/>
      <c r="P36574" s="11"/>
    </row>
    <row r="36575" spans="8:16" x14ac:dyDescent="0.25">
      <c r="H36575" s="12"/>
      <c r="I36575" s="12"/>
      <c r="J36575" s="12"/>
      <c r="K36575" s="12"/>
      <c r="L36575" s="12"/>
      <c r="M36575" s="11"/>
      <c r="N36575" s="11"/>
      <c r="O36575" s="11"/>
      <c r="P36575" s="11"/>
    </row>
    <row r="36576" spans="8:16" x14ac:dyDescent="0.25">
      <c r="H36576" s="12"/>
      <c r="I36576" s="12"/>
      <c r="J36576" s="12"/>
      <c r="K36576" s="12"/>
      <c r="L36576" s="12"/>
      <c r="M36576" s="11"/>
      <c r="N36576" s="11"/>
      <c r="O36576" s="11"/>
      <c r="P36576" s="11"/>
    </row>
    <row r="36577" spans="8:16" x14ac:dyDescent="0.25">
      <c r="H36577" s="12"/>
      <c r="I36577" s="12"/>
      <c r="J36577" s="12"/>
      <c r="K36577" s="12"/>
      <c r="L36577" s="12"/>
      <c r="M36577" s="11"/>
      <c r="N36577" s="11"/>
      <c r="O36577" s="11"/>
      <c r="P36577" s="11"/>
    </row>
    <row r="36578" spans="8:16" x14ac:dyDescent="0.25">
      <c r="H36578" s="12"/>
      <c r="I36578" s="12"/>
      <c r="J36578" s="12"/>
      <c r="K36578" s="12"/>
      <c r="L36578" s="12"/>
      <c r="M36578" s="11"/>
      <c r="N36578" s="11"/>
      <c r="O36578" s="11"/>
      <c r="P36578" s="11"/>
    </row>
    <row r="36579" spans="8:16" x14ac:dyDescent="0.25">
      <c r="H36579" s="12"/>
      <c r="I36579" s="12"/>
      <c r="J36579" s="12"/>
      <c r="K36579" s="12"/>
      <c r="L36579" s="12"/>
      <c r="M36579" s="11"/>
      <c r="N36579" s="11"/>
      <c r="O36579" s="11"/>
      <c r="P36579" s="11"/>
    </row>
    <row r="36580" spans="8:16" x14ac:dyDescent="0.25">
      <c r="H36580" s="12"/>
      <c r="I36580" s="12"/>
      <c r="J36580" s="12"/>
      <c r="K36580" s="12"/>
      <c r="L36580" s="12"/>
      <c r="M36580" s="11"/>
      <c r="N36580" s="11"/>
      <c r="O36580" s="11"/>
      <c r="P36580" s="11"/>
    </row>
    <row r="36581" spans="8:16" x14ac:dyDescent="0.25">
      <c r="H36581" s="12"/>
      <c r="I36581" s="12"/>
      <c r="J36581" s="12"/>
      <c r="K36581" s="12"/>
      <c r="L36581" s="12"/>
      <c r="M36581" s="11"/>
      <c r="N36581" s="11"/>
      <c r="O36581" s="11"/>
      <c r="P36581" s="11"/>
    </row>
    <row r="36582" spans="8:16" x14ac:dyDescent="0.25">
      <c r="H36582" s="12"/>
      <c r="I36582" s="12"/>
      <c r="J36582" s="12"/>
      <c r="K36582" s="12"/>
      <c r="L36582" s="12"/>
      <c r="M36582" s="11"/>
      <c r="N36582" s="11"/>
      <c r="O36582" s="11"/>
      <c r="P36582" s="11"/>
    </row>
    <row r="36583" spans="8:16" x14ac:dyDescent="0.25">
      <c r="H36583" s="12"/>
      <c r="I36583" s="12"/>
      <c r="J36583" s="12"/>
      <c r="K36583" s="12"/>
      <c r="L36583" s="12"/>
      <c r="M36583" s="11"/>
      <c r="N36583" s="11"/>
      <c r="O36583" s="11"/>
      <c r="P36583" s="11"/>
    </row>
    <row r="36584" spans="8:16" x14ac:dyDescent="0.25">
      <c r="H36584" s="12"/>
      <c r="I36584" s="12"/>
      <c r="J36584" s="12"/>
      <c r="K36584" s="12"/>
      <c r="L36584" s="12"/>
      <c r="M36584" s="11"/>
      <c r="N36584" s="11"/>
      <c r="O36584" s="11"/>
      <c r="P36584" s="11"/>
    </row>
    <row r="36585" spans="8:16" x14ac:dyDescent="0.25">
      <c r="H36585" s="12"/>
      <c r="I36585" s="12"/>
      <c r="J36585" s="12"/>
      <c r="K36585" s="12"/>
      <c r="L36585" s="12"/>
      <c r="M36585" s="11"/>
      <c r="N36585" s="11"/>
      <c r="O36585" s="11"/>
      <c r="P36585" s="11"/>
    </row>
    <row r="36586" spans="8:16" x14ac:dyDescent="0.25">
      <c r="H36586" s="12"/>
      <c r="I36586" s="12"/>
      <c r="J36586" s="12"/>
      <c r="K36586" s="12"/>
      <c r="L36586" s="12"/>
      <c r="M36586" s="11"/>
      <c r="N36586" s="11"/>
      <c r="O36586" s="11"/>
      <c r="P36586" s="11"/>
    </row>
    <row r="36587" spans="8:16" x14ac:dyDescent="0.25">
      <c r="H36587" s="12"/>
      <c r="I36587" s="12"/>
      <c r="J36587" s="12"/>
      <c r="K36587" s="12"/>
      <c r="L36587" s="12"/>
      <c r="M36587" s="11"/>
      <c r="N36587" s="11"/>
      <c r="O36587" s="11"/>
      <c r="P36587" s="11"/>
    </row>
    <row r="36588" spans="8:16" x14ac:dyDescent="0.25">
      <c r="H36588" s="12"/>
      <c r="I36588" s="12"/>
      <c r="J36588" s="12"/>
      <c r="K36588" s="12"/>
      <c r="L36588" s="12"/>
      <c r="M36588" s="11"/>
      <c r="N36588" s="11"/>
      <c r="O36588" s="11"/>
      <c r="P36588" s="11"/>
    </row>
    <row r="36589" spans="8:16" x14ac:dyDescent="0.25">
      <c r="H36589" s="12"/>
      <c r="I36589" s="12"/>
      <c r="J36589" s="12"/>
      <c r="K36589" s="12"/>
      <c r="L36589" s="12"/>
      <c r="M36589" s="11"/>
      <c r="N36589" s="11"/>
      <c r="O36589" s="11"/>
      <c r="P36589" s="11"/>
    </row>
    <row r="36590" spans="8:16" x14ac:dyDescent="0.25">
      <c r="H36590" s="12"/>
      <c r="I36590" s="12"/>
      <c r="J36590" s="12"/>
      <c r="K36590" s="12"/>
      <c r="L36590" s="12"/>
      <c r="M36590" s="11"/>
      <c r="N36590" s="11"/>
      <c r="O36590" s="11"/>
      <c r="P36590" s="11"/>
    </row>
    <row r="36591" spans="8:16" x14ac:dyDescent="0.25">
      <c r="H36591" s="12"/>
      <c r="I36591" s="12"/>
      <c r="J36591" s="12"/>
      <c r="K36591" s="12"/>
      <c r="L36591" s="12"/>
      <c r="M36591" s="11"/>
      <c r="N36591" s="11"/>
      <c r="O36591" s="11"/>
      <c r="P36591" s="11"/>
    </row>
    <row r="36592" spans="8:16" x14ac:dyDescent="0.25">
      <c r="H36592" s="12"/>
      <c r="I36592" s="12"/>
      <c r="J36592" s="12"/>
      <c r="K36592" s="12"/>
      <c r="L36592" s="12"/>
      <c r="M36592" s="11"/>
      <c r="N36592" s="11"/>
      <c r="O36592" s="11"/>
      <c r="P36592" s="11"/>
    </row>
    <row r="36593" spans="8:16" x14ac:dyDescent="0.25">
      <c r="H36593" s="12"/>
      <c r="I36593" s="12"/>
      <c r="J36593" s="12"/>
      <c r="K36593" s="12"/>
      <c r="L36593" s="12"/>
      <c r="M36593" s="11"/>
      <c r="N36593" s="11"/>
      <c r="O36593" s="11"/>
      <c r="P36593" s="11"/>
    </row>
    <row r="36594" spans="8:16" x14ac:dyDescent="0.25">
      <c r="H36594" s="12"/>
      <c r="I36594" s="12"/>
      <c r="J36594" s="12"/>
      <c r="K36594" s="12"/>
      <c r="L36594" s="12"/>
      <c r="M36594" s="11"/>
      <c r="N36594" s="11"/>
      <c r="O36594" s="11"/>
      <c r="P36594" s="11"/>
    </row>
    <row r="36595" spans="8:16" x14ac:dyDescent="0.25">
      <c r="H36595" s="12"/>
      <c r="I36595" s="12"/>
      <c r="J36595" s="12"/>
      <c r="K36595" s="12"/>
      <c r="L36595" s="12"/>
      <c r="M36595" s="11"/>
      <c r="N36595" s="11"/>
      <c r="O36595" s="11"/>
      <c r="P36595" s="11"/>
    </row>
    <row r="36596" spans="8:16" x14ac:dyDescent="0.25">
      <c r="H36596" s="12"/>
      <c r="I36596" s="12"/>
      <c r="J36596" s="12"/>
      <c r="K36596" s="12"/>
      <c r="L36596" s="12"/>
      <c r="M36596" s="11"/>
      <c r="N36596" s="11"/>
      <c r="O36596" s="11"/>
      <c r="P36596" s="11"/>
    </row>
    <row r="36597" spans="8:16" x14ac:dyDescent="0.25">
      <c r="H36597" s="12"/>
      <c r="I36597" s="12"/>
      <c r="J36597" s="12"/>
      <c r="K36597" s="12"/>
      <c r="L36597" s="12"/>
      <c r="M36597" s="11"/>
      <c r="N36597" s="11"/>
      <c r="O36597" s="11"/>
      <c r="P36597" s="11"/>
    </row>
    <row r="36598" spans="8:16" x14ac:dyDescent="0.25">
      <c r="H36598" s="12"/>
      <c r="I36598" s="12"/>
      <c r="J36598" s="12"/>
      <c r="K36598" s="12"/>
      <c r="L36598" s="12"/>
      <c r="M36598" s="11"/>
      <c r="N36598" s="11"/>
      <c r="O36598" s="11"/>
      <c r="P36598" s="11"/>
    </row>
    <row r="36599" spans="8:16" x14ac:dyDescent="0.25">
      <c r="H36599" s="12"/>
      <c r="I36599" s="12"/>
      <c r="J36599" s="12"/>
      <c r="K36599" s="12"/>
      <c r="L36599" s="12"/>
      <c r="M36599" s="11"/>
      <c r="N36599" s="11"/>
      <c r="O36599" s="11"/>
      <c r="P36599" s="11"/>
    </row>
    <row r="36600" spans="8:16" x14ac:dyDescent="0.25">
      <c r="H36600" s="12"/>
      <c r="I36600" s="12"/>
      <c r="J36600" s="12"/>
      <c r="K36600" s="12"/>
      <c r="L36600" s="12"/>
      <c r="M36600" s="11"/>
      <c r="N36600" s="11"/>
      <c r="O36600" s="11"/>
      <c r="P36600" s="11"/>
    </row>
    <row r="36601" spans="8:16" x14ac:dyDescent="0.25">
      <c r="H36601" s="12"/>
      <c r="I36601" s="12"/>
      <c r="J36601" s="12"/>
      <c r="K36601" s="12"/>
      <c r="L36601" s="12"/>
      <c r="M36601" s="11"/>
      <c r="N36601" s="11"/>
      <c r="O36601" s="11"/>
      <c r="P36601" s="11"/>
    </row>
    <row r="36602" spans="8:16" x14ac:dyDescent="0.25">
      <c r="H36602" s="12"/>
      <c r="I36602" s="12"/>
      <c r="J36602" s="12"/>
      <c r="K36602" s="12"/>
      <c r="L36602" s="12"/>
      <c r="M36602" s="11"/>
      <c r="N36602" s="11"/>
      <c r="O36602" s="11"/>
      <c r="P36602" s="11"/>
    </row>
    <row r="36603" spans="8:16" x14ac:dyDescent="0.25">
      <c r="H36603" s="12"/>
      <c r="I36603" s="12"/>
      <c r="J36603" s="12"/>
      <c r="K36603" s="12"/>
      <c r="L36603" s="12"/>
      <c r="M36603" s="11"/>
      <c r="N36603" s="11"/>
      <c r="O36603" s="11"/>
      <c r="P36603" s="11"/>
    </row>
    <row r="36604" spans="8:16" x14ac:dyDescent="0.25">
      <c r="H36604" s="12"/>
      <c r="I36604" s="12"/>
      <c r="J36604" s="12"/>
      <c r="K36604" s="12"/>
      <c r="L36604" s="12"/>
      <c r="M36604" s="11"/>
      <c r="N36604" s="11"/>
      <c r="O36604" s="11"/>
      <c r="P36604" s="11"/>
    </row>
    <row r="36605" spans="8:16" x14ac:dyDescent="0.25">
      <c r="H36605" s="12"/>
      <c r="I36605" s="12"/>
      <c r="J36605" s="12"/>
      <c r="K36605" s="12"/>
      <c r="L36605" s="12"/>
      <c r="M36605" s="11"/>
      <c r="N36605" s="11"/>
      <c r="O36605" s="11"/>
      <c r="P36605" s="11"/>
    </row>
    <row r="36606" spans="8:16" x14ac:dyDescent="0.25">
      <c r="H36606" s="12"/>
      <c r="I36606" s="12"/>
      <c r="J36606" s="12"/>
      <c r="K36606" s="12"/>
      <c r="L36606" s="12"/>
      <c r="M36606" s="11"/>
      <c r="N36606" s="11"/>
      <c r="O36606" s="11"/>
      <c r="P36606" s="11"/>
    </row>
    <row r="36607" spans="8:16" x14ac:dyDescent="0.25">
      <c r="H36607" s="12"/>
      <c r="I36607" s="12"/>
      <c r="J36607" s="12"/>
      <c r="K36607" s="12"/>
      <c r="L36607" s="12"/>
      <c r="M36607" s="11"/>
      <c r="N36607" s="11"/>
      <c r="O36607" s="11"/>
      <c r="P36607" s="11"/>
    </row>
    <row r="36608" spans="8:16" x14ac:dyDescent="0.25">
      <c r="H36608" s="12"/>
      <c r="I36608" s="12"/>
      <c r="J36608" s="12"/>
      <c r="K36608" s="12"/>
      <c r="L36608" s="12"/>
      <c r="M36608" s="11"/>
      <c r="N36608" s="11"/>
      <c r="O36608" s="11"/>
      <c r="P36608" s="11"/>
    </row>
    <row r="36609" spans="8:16" x14ac:dyDescent="0.25">
      <c r="H36609" s="12"/>
      <c r="I36609" s="12"/>
      <c r="J36609" s="12"/>
      <c r="K36609" s="12"/>
      <c r="L36609" s="12"/>
      <c r="M36609" s="11"/>
      <c r="N36609" s="11"/>
      <c r="O36609" s="11"/>
      <c r="P36609" s="11"/>
    </row>
    <row r="36610" spans="8:16" x14ac:dyDescent="0.25">
      <c r="H36610" s="12"/>
      <c r="I36610" s="12"/>
      <c r="J36610" s="12"/>
      <c r="K36610" s="12"/>
      <c r="L36610" s="12"/>
      <c r="M36610" s="11"/>
      <c r="N36610" s="11"/>
      <c r="O36610" s="11"/>
      <c r="P36610" s="11"/>
    </row>
    <row r="36611" spans="8:16" x14ac:dyDescent="0.25">
      <c r="H36611" s="12"/>
      <c r="I36611" s="12"/>
      <c r="J36611" s="12"/>
      <c r="K36611" s="12"/>
      <c r="L36611" s="12"/>
      <c r="M36611" s="11"/>
      <c r="N36611" s="11"/>
      <c r="O36611" s="11"/>
      <c r="P36611" s="11"/>
    </row>
    <row r="36612" spans="8:16" x14ac:dyDescent="0.25">
      <c r="H36612" s="12"/>
      <c r="I36612" s="12"/>
      <c r="J36612" s="12"/>
      <c r="K36612" s="12"/>
      <c r="L36612" s="12"/>
      <c r="M36612" s="11"/>
      <c r="N36612" s="11"/>
      <c r="O36612" s="11"/>
      <c r="P36612" s="11"/>
    </row>
    <row r="36613" spans="8:16" x14ac:dyDescent="0.25">
      <c r="H36613" s="12"/>
      <c r="I36613" s="12"/>
      <c r="J36613" s="12"/>
      <c r="K36613" s="12"/>
      <c r="L36613" s="12"/>
      <c r="M36613" s="11"/>
      <c r="N36613" s="11"/>
      <c r="O36613" s="11"/>
      <c r="P36613" s="11"/>
    </row>
    <row r="36614" spans="8:16" x14ac:dyDescent="0.25">
      <c r="H36614" s="12"/>
      <c r="I36614" s="12"/>
      <c r="J36614" s="12"/>
      <c r="K36614" s="12"/>
      <c r="L36614" s="12"/>
      <c r="M36614" s="11"/>
      <c r="N36614" s="11"/>
      <c r="O36614" s="11"/>
      <c r="P36614" s="11"/>
    </row>
    <row r="36615" spans="8:16" x14ac:dyDescent="0.25">
      <c r="H36615" s="12"/>
      <c r="I36615" s="12"/>
      <c r="J36615" s="12"/>
      <c r="K36615" s="12"/>
      <c r="L36615" s="12"/>
      <c r="M36615" s="11"/>
      <c r="N36615" s="11"/>
      <c r="O36615" s="11"/>
      <c r="P36615" s="11"/>
    </row>
    <row r="36616" spans="8:16" x14ac:dyDescent="0.25">
      <c r="H36616" s="12"/>
      <c r="I36616" s="12"/>
      <c r="J36616" s="12"/>
      <c r="K36616" s="12"/>
      <c r="L36616" s="12"/>
      <c r="M36616" s="11"/>
      <c r="N36616" s="11"/>
      <c r="O36616" s="11"/>
      <c r="P36616" s="11"/>
    </row>
    <row r="36617" spans="8:16" x14ac:dyDescent="0.25">
      <c r="H36617" s="12"/>
      <c r="I36617" s="12"/>
      <c r="J36617" s="12"/>
      <c r="K36617" s="12"/>
      <c r="L36617" s="12"/>
      <c r="M36617" s="11"/>
      <c r="N36617" s="11"/>
      <c r="O36617" s="11"/>
      <c r="P36617" s="11"/>
    </row>
    <row r="36618" spans="8:16" x14ac:dyDescent="0.25">
      <c r="H36618" s="12"/>
      <c r="I36618" s="12"/>
      <c r="J36618" s="12"/>
      <c r="K36618" s="12"/>
      <c r="L36618" s="12"/>
      <c r="M36618" s="11"/>
      <c r="N36618" s="11"/>
      <c r="O36618" s="11"/>
      <c r="P36618" s="11"/>
    </row>
    <row r="36619" spans="8:16" x14ac:dyDescent="0.25">
      <c r="H36619" s="12"/>
      <c r="I36619" s="12"/>
      <c r="J36619" s="12"/>
      <c r="K36619" s="12"/>
      <c r="L36619" s="12"/>
      <c r="M36619" s="11"/>
      <c r="N36619" s="11"/>
      <c r="O36619" s="11"/>
      <c r="P36619" s="11"/>
    </row>
    <row r="36620" spans="8:16" x14ac:dyDescent="0.25">
      <c r="H36620" s="12"/>
      <c r="I36620" s="12"/>
      <c r="J36620" s="12"/>
      <c r="K36620" s="12"/>
      <c r="L36620" s="12"/>
      <c r="M36620" s="11"/>
      <c r="N36620" s="11"/>
      <c r="O36620" s="11"/>
      <c r="P36620" s="11"/>
    </row>
    <row r="36621" spans="8:16" x14ac:dyDescent="0.25">
      <c r="H36621" s="12"/>
      <c r="I36621" s="12"/>
      <c r="J36621" s="12"/>
      <c r="K36621" s="12"/>
      <c r="L36621" s="12"/>
      <c r="M36621" s="11"/>
      <c r="N36621" s="11"/>
      <c r="O36621" s="11"/>
      <c r="P36621" s="11"/>
    </row>
    <row r="36622" spans="8:16" x14ac:dyDescent="0.25">
      <c r="H36622" s="12"/>
      <c r="I36622" s="12"/>
      <c r="J36622" s="12"/>
      <c r="K36622" s="12"/>
      <c r="L36622" s="12"/>
      <c r="M36622" s="11"/>
      <c r="N36622" s="11"/>
      <c r="O36622" s="11"/>
      <c r="P36622" s="11"/>
    </row>
    <row r="36623" spans="8:16" x14ac:dyDescent="0.25">
      <c r="H36623" s="12"/>
      <c r="I36623" s="12"/>
      <c r="J36623" s="12"/>
      <c r="K36623" s="12"/>
      <c r="L36623" s="12"/>
      <c r="M36623" s="11"/>
      <c r="N36623" s="11"/>
      <c r="O36623" s="11"/>
      <c r="P36623" s="11"/>
    </row>
    <row r="36624" spans="8:16" x14ac:dyDescent="0.25">
      <c r="H36624" s="12"/>
      <c r="I36624" s="12"/>
      <c r="J36624" s="12"/>
      <c r="K36624" s="12"/>
      <c r="L36624" s="12"/>
      <c r="M36624" s="11"/>
      <c r="N36624" s="11"/>
      <c r="O36624" s="11"/>
      <c r="P36624" s="11"/>
    </row>
    <row r="36625" spans="8:16" x14ac:dyDescent="0.25">
      <c r="H36625" s="12"/>
      <c r="I36625" s="12"/>
      <c r="J36625" s="12"/>
      <c r="K36625" s="12"/>
      <c r="L36625" s="12"/>
      <c r="M36625" s="11"/>
      <c r="N36625" s="11"/>
      <c r="O36625" s="11"/>
      <c r="P36625" s="11"/>
    </row>
    <row r="36626" spans="8:16" x14ac:dyDescent="0.25">
      <c r="H36626" s="12"/>
      <c r="I36626" s="12"/>
      <c r="J36626" s="12"/>
      <c r="K36626" s="12"/>
      <c r="L36626" s="12"/>
      <c r="M36626" s="11"/>
      <c r="N36626" s="11"/>
      <c r="O36626" s="11"/>
      <c r="P36626" s="11"/>
    </row>
    <row r="36627" spans="8:16" x14ac:dyDescent="0.25">
      <c r="H36627" s="12"/>
      <c r="I36627" s="12"/>
      <c r="J36627" s="12"/>
      <c r="K36627" s="12"/>
      <c r="L36627" s="12"/>
      <c r="M36627" s="11"/>
      <c r="N36627" s="11"/>
      <c r="O36627" s="11"/>
      <c r="P36627" s="11"/>
    </row>
    <row r="36628" spans="8:16" x14ac:dyDescent="0.25">
      <c r="H36628" s="12"/>
      <c r="I36628" s="12"/>
      <c r="J36628" s="12"/>
      <c r="K36628" s="12"/>
      <c r="L36628" s="12"/>
      <c r="M36628" s="11"/>
      <c r="N36628" s="11"/>
      <c r="O36628" s="11"/>
      <c r="P36628" s="11"/>
    </row>
    <row r="36629" spans="8:16" x14ac:dyDescent="0.25">
      <c r="H36629" s="12"/>
      <c r="I36629" s="12"/>
      <c r="J36629" s="12"/>
      <c r="K36629" s="12"/>
      <c r="L36629" s="12"/>
      <c r="M36629" s="11"/>
      <c r="N36629" s="11"/>
      <c r="O36629" s="11"/>
      <c r="P36629" s="11"/>
    </row>
    <row r="36630" spans="8:16" x14ac:dyDescent="0.25">
      <c r="H36630" s="12"/>
      <c r="I36630" s="12"/>
      <c r="J36630" s="12"/>
      <c r="K36630" s="12"/>
      <c r="L36630" s="12"/>
      <c r="M36630" s="11"/>
      <c r="N36630" s="11"/>
      <c r="O36630" s="11"/>
      <c r="P36630" s="11"/>
    </row>
    <row r="36631" spans="8:16" x14ac:dyDescent="0.25">
      <c r="H36631" s="12"/>
      <c r="I36631" s="12"/>
      <c r="J36631" s="12"/>
      <c r="K36631" s="12"/>
      <c r="L36631" s="12"/>
      <c r="M36631" s="11"/>
      <c r="N36631" s="11"/>
      <c r="O36631" s="11"/>
      <c r="P36631" s="11"/>
    </row>
    <row r="36632" spans="8:16" x14ac:dyDescent="0.25">
      <c r="H36632" s="12"/>
      <c r="I36632" s="12"/>
      <c r="J36632" s="12"/>
      <c r="K36632" s="12"/>
      <c r="L36632" s="12"/>
      <c r="M36632" s="11"/>
      <c r="N36632" s="11"/>
      <c r="O36632" s="11"/>
      <c r="P36632" s="11"/>
    </row>
    <row r="36633" spans="8:16" x14ac:dyDescent="0.25">
      <c r="H36633" s="12"/>
      <c r="I36633" s="12"/>
      <c r="J36633" s="12"/>
      <c r="K36633" s="12"/>
      <c r="L36633" s="12"/>
      <c r="M36633" s="11"/>
      <c r="N36633" s="11"/>
      <c r="O36633" s="11"/>
      <c r="P36633" s="11"/>
    </row>
    <row r="36634" spans="8:16" x14ac:dyDescent="0.25">
      <c r="H36634" s="12"/>
      <c r="I36634" s="12"/>
      <c r="J36634" s="12"/>
      <c r="K36634" s="12"/>
      <c r="L36634" s="12"/>
      <c r="M36634" s="11"/>
      <c r="N36634" s="11"/>
      <c r="O36634" s="11"/>
      <c r="P36634" s="11"/>
    </row>
    <row r="36635" spans="8:16" x14ac:dyDescent="0.25">
      <c r="H36635" s="12"/>
      <c r="I36635" s="12"/>
      <c r="J36635" s="12"/>
      <c r="K36635" s="12"/>
      <c r="L36635" s="12"/>
      <c r="M36635" s="11"/>
      <c r="N36635" s="11"/>
      <c r="O36635" s="11"/>
      <c r="P36635" s="11"/>
    </row>
    <row r="36636" spans="8:16" x14ac:dyDescent="0.25">
      <c r="H36636" s="12"/>
      <c r="I36636" s="12"/>
      <c r="J36636" s="12"/>
      <c r="K36636" s="12"/>
      <c r="L36636" s="12"/>
      <c r="M36636" s="11"/>
      <c r="N36636" s="11"/>
      <c r="O36636" s="11"/>
      <c r="P36636" s="11"/>
    </row>
    <row r="36637" spans="8:16" x14ac:dyDescent="0.25">
      <c r="H36637" s="12"/>
      <c r="I36637" s="12"/>
      <c r="J36637" s="12"/>
      <c r="K36637" s="12"/>
      <c r="L36637" s="12"/>
      <c r="M36637" s="11"/>
      <c r="N36637" s="11"/>
      <c r="O36637" s="11"/>
      <c r="P36637" s="11"/>
    </row>
    <row r="36638" spans="8:16" x14ac:dyDescent="0.25">
      <c r="H36638" s="12"/>
      <c r="I36638" s="12"/>
      <c r="J36638" s="12"/>
      <c r="K36638" s="12"/>
      <c r="L36638" s="12"/>
      <c r="M36638" s="11"/>
      <c r="N36638" s="11"/>
      <c r="O36638" s="11"/>
      <c r="P36638" s="11"/>
    </row>
    <row r="36639" spans="8:16" x14ac:dyDescent="0.25">
      <c r="H36639" s="12"/>
      <c r="I36639" s="12"/>
      <c r="J36639" s="12"/>
      <c r="K36639" s="12"/>
      <c r="L36639" s="12"/>
      <c r="M36639" s="11"/>
      <c r="N36639" s="11"/>
      <c r="O36639" s="11"/>
      <c r="P36639" s="11"/>
    </row>
    <row r="36640" spans="8:16" x14ac:dyDescent="0.25">
      <c r="H36640" s="12"/>
      <c r="I36640" s="12"/>
      <c r="J36640" s="12"/>
      <c r="K36640" s="12"/>
      <c r="L36640" s="12"/>
      <c r="M36640" s="11"/>
      <c r="N36640" s="11"/>
      <c r="O36640" s="11"/>
      <c r="P36640" s="11"/>
    </row>
    <row r="36641" spans="8:16" x14ac:dyDescent="0.25">
      <c r="H36641" s="12"/>
      <c r="I36641" s="12"/>
      <c r="J36641" s="12"/>
      <c r="K36641" s="12"/>
      <c r="L36641" s="12"/>
      <c r="M36641" s="11"/>
      <c r="N36641" s="11"/>
      <c r="O36641" s="11"/>
      <c r="P36641" s="11"/>
    </row>
    <row r="36642" spans="8:16" x14ac:dyDescent="0.25">
      <c r="H36642" s="12"/>
      <c r="I36642" s="12"/>
      <c r="J36642" s="12"/>
      <c r="K36642" s="12"/>
      <c r="L36642" s="12"/>
      <c r="M36642" s="11"/>
      <c r="N36642" s="11"/>
      <c r="O36642" s="11"/>
      <c r="P36642" s="11"/>
    </row>
    <row r="36643" spans="8:16" x14ac:dyDescent="0.25">
      <c r="H36643" s="12"/>
      <c r="I36643" s="12"/>
      <c r="J36643" s="12"/>
      <c r="K36643" s="12"/>
      <c r="L36643" s="12"/>
      <c r="M36643" s="11"/>
      <c r="N36643" s="11"/>
      <c r="O36643" s="11"/>
      <c r="P36643" s="11"/>
    </row>
    <row r="36644" spans="8:16" x14ac:dyDescent="0.25">
      <c r="H36644" s="12"/>
      <c r="I36644" s="12"/>
      <c r="J36644" s="12"/>
      <c r="K36644" s="12"/>
      <c r="L36644" s="12"/>
      <c r="M36644" s="11"/>
      <c r="N36644" s="11"/>
      <c r="O36644" s="11"/>
      <c r="P36644" s="11"/>
    </row>
    <row r="36645" spans="8:16" x14ac:dyDescent="0.25">
      <c r="H36645" s="12"/>
      <c r="I36645" s="12"/>
      <c r="J36645" s="12"/>
      <c r="K36645" s="12"/>
      <c r="L36645" s="12"/>
      <c r="M36645" s="11"/>
      <c r="N36645" s="11"/>
      <c r="O36645" s="11"/>
      <c r="P36645" s="11"/>
    </row>
    <row r="36646" spans="8:16" x14ac:dyDescent="0.25">
      <c r="H36646" s="12"/>
      <c r="I36646" s="12"/>
      <c r="J36646" s="12"/>
      <c r="K36646" s="12"/>
      <c r="L36646" s="12"/>
      <c r="M36646" s="11"/>
      <c r="N36646" s="11"/>
      <c r="O36646" s="11"/>
      <c r="P36646" s="11"/>
    </row>
    <row r="36647" spans="8:16" x14ac:dyDescent="0.25">
      <c r="H36647" s="12"/>
      <c r="I36647" s="12"/>
      <c r="J36647" s="12"/>
      <c r="K36647" s="12"/>
      <c r="L36647" s="12"/>
      <c r="M36647" s="11"/>
      <c r="N36647" s="11"/>
      <c r="O36647" s="11"/>
      <c r="P36647" s="11"/>
    </row>
    <row r="36648" spans="8:16" x14ac:dyDescent="0.25">
      <c r="H36648" s="12"/>
      <c r="I36648" s="12"/>
      <c r="J36648" s="12"/>
      <c r="K36648" s="12"/>
      <c r="L36648" s="12"/>
      <c r="M36648" s="11"/>
      <c r="N36648" s="11"/>
      <c r="O36648" s="11"/>
      <c r="P36648" s="11"/>
    </row>
    <row r="36649" spans="8:16" x14ac:dyDescent="0.25">
      <c r="H36649" s="12"/>
      <c r="I36649" s="12"/>
      <c r="J36649" s="12"/>
      <c r="K36649" s="12"/>
      <c r="L36649" s="12"/>
      <c r="M36649" s="11"/>
      <c r="N36649" s="11"/>
      <c r="O36649" s="11"/>
      <c r="P36649" s="11"/>
    </row>
    <row r="36650" spans="8:16" x14ac:dyDescent="0.25">
      <c r="H36650" s="12"/>
      <c r="I36650" s="12"/>
      <c r="J36650" s="12"/>
      <c r="K36650" s="12"/>
      <c r="L36650" s="12"/>
      <c r="M36650" s="11"/>
      <c r="N36650" s="11"/>
      <c r="O36650" s="11"/>
      <c r="P36650" s="11"/>
    </row>
    <row r="36651" spans="8:16" x14ac:dyDescent="0.25">
      <c r="H36651" s="12"/>
      <c r="I36651" s="12"/>
      <c r="J36651" s="12"/>
      <c r="K36651" s="12"/>
      <c r="L36651" s="12"/>
      <c r="M36651" s="11"/>
      <c r="N36651" s="11"/>
      <c r="O36651" s="11"/>
      <c r="P36651" s="11"/>
    </row>
    <row r="36652" spans="8:16" x14ac:dyDescent="0.25">
      <c r="H36652" s="12"/>
      <c r="I36652" s="12"/>
      <c r="J36652" s="12"/>
      <c r="K36652" s="12"/>
      <c r="L36652" s="12"/>
      <c r="M36652" s="11"/>
      <c r="N36652" s="11"/>
      <c r="O36652" s="11"/>
      <c r="P36652" s="11"/>
    </row>
    <row r="36653" spans="8:16" x14ac:dyDescent="0.25">
      <c r="H36653" s="12"/>
      <c r="I36653" s="12"/>
      <c r="J36653" s="12"/>
      <c r="K36653" s="12"/>
      <c r="L36653" s="12"/>
      <c r="M36653" s="11"/>
      <c r="N36653" s="11"/>
      <c r="O36653" s="11"/>
      <c r="P36653" s="11"/>
    </row>
    <row r="36654" spans="8:16" x14ac:dyDescent="0.25">
      <c r="H36654" s="12"/>
      <c r="I36654" s="12"/>
      <c r="J36654" s="12"/>
      <c r="K36654" s="12"/>
      <c r="L36654" s="12"/>
      <c r="M36654" s="11"/>
      <c r="N36654" s="11"/>
      <c r="O36654" s="11"/>
      <c r="P36654" s="11"/>
    </row>
    <row r="36655" spans="8:16" x14ac:dyDescent="0.25">
      <c r="H36655" s="12"/>
      <c r="I36655" s="12"/>
      <c r="J36655" s="12"/>
      <c r="K36655" s="12"/>
      <c r="L36655" s="12"/>
      <c r="M36655" s="11"/>
      <c r="N36655" s="11"/>
      <c r="O36655" s="11"/>
      <c r="P36655" s="11"/>
    </row>
    <row r="36656" spans="8:16" x14ac:dyDescent="0.25">
      <c r="H36656" s="12"/>
      <c r="I36656" s="12"/>
      <c r="J36656" s="12"/>
      <c r="K36656" s="12"/>
      <c r="L36656" s="12"/>
      <c r="M36656" s="11"/>
      <c r="N36656" s="11"/>
      <c r="O36656" s="11"/>
      <c r="P36656" s="11"/>
    </row>
    <row r="36657" spans="8:16" x14ac:dyDescent="0.25">
      <c r="H36657" s="12"/>
      <c r="I36657" s="12"/>
      <c r="J36657" s="12"/>
      <c r="K36657" s="12"/>
      <c r="L36657" s="12"/>
      <c r="M36657" s="11"/>
      <c r="N36657" s="11"/>
      <c r="O36657" s="11"/>
      <c r="P36657" s="11"/>
    </row>
    <row r="36658" spans="8:16" x14ac:dyDescent="0.25">
      <c r="H36658" s="12"/>
      <c r="I36658" s="12"/>
      <c r="J36658" s="12"/>
      <c r="K36658" s="12"/>
      <c r="L36658" s="12"/>
      <c r="M36658" s="11"/>
      <c r="N36658" s="11"/>
      <c r="O36658" s="11"/>
      <c r="P36658" s="11"/>
    </row>
    <row r="36659" spans="8:16" x14ac:dyDescent="0.25">
      <c r="H36659" s="12"/>
      <c r="I36659" s="12"/>
      <c r="J36659" s="12"/>
      <c r="K36659" s="12"/>
      <c r="L36659" s="12"/>
      <c r="M36659" s="11"/>
      <c r="N36659" s="11"/>
      <c r="O36659" s="11"/>
      <c r="P36659" s="11"/>
    </row>
    <row r="36660" spans="8:16" x14ac:dyDescent="0.25">
      <c r="H36660" s="12"/>
      <c r="I36660" s="12"/>
      <c r="J36660" s="12"/>
      <c r="K36660" s="12"/>
      <c r="L36660" s="12"/>
      <c r="M36660" s="11"/>
      <c r="N36660" s="11"/>
      <c r="O36660" s="11"/>
      <c r="P36660" s="11"/>
    </row>
    <row r="36661" spans="8:16" x14ac:dyDescent="0.25">
      <c r="H36661" s="12"/>
      <c r="I36661" s="12"/>
      <c r="J36661" s="12"/>
      <c r="K36661" s="12"/>
      <c r="L36661" s="12"/>
      <c r="M36661" s="11"/>
      <c r="N36661" s="11"/>
      <c r="O36661" s="11"/>
      <c r="P36661" s="11"/>
    </row>
    <row r="36662" spans="8:16" x14ac:dyDescent="0.25">
      <c r="H36662" s="12"/>
      <c r="I36662" s="12"/>
      <c r="J36662" s="12"/>
      <c r="K36662" s="12"/>
      <c r="L36662" s="12"/>
      <c r="M36662" s="11"/>
      <c r="N36662" s="11"/>
      <c r="O36662" s="11"/>
      <c r="P36662" s="11"/>
    </row>
    <row r="36663" spans="8:16" x14ac:dyDescent="0.25">
      <c r="H36663" s="12"/>
      <c r="I36663" s="12"/>
      <c r="J36663" s="12"/>
      <c r="K36663" s="12"/>
      <c r="L36663" s="12"/>
      <c r="M36663" s="11"/>
      <c r="N36663" s="11"/>
      <c r="O36663" s="11"/>
      <c r="P36663" s="11"/>
    </row>
    <row r="36664" spans="8:16" x14ac:dyDescent="0.25">
      <c r="H36664" s="12"/>
      <c r="I36664" s="12"/>
      <c r="J36664" s="12"/>
      <c r="K36664" s="12"/>
      <c r="L36664" s="12"/>
      <c r="M36664" s="11"/>
      <c r="N36664" s="11"/>
      <c r="O36664" s="11"/>
      <c r="P36664" s="11"/>
    </row>
    <row r="36665" spans="8:16" x14ac:dyDescent="0.25">
      <c r="H36665" s="12"/>
      <c r="I36665" s="12"/>
      <c r="J36665" s="12"/>
      <c r="K36665" s="12"/>
      <c r="L36665" s="12"/>
      <c r="M36665" s="11"/>
      <c r="N36665" s="11"/>
      <c r="O36665" s="11"/>
      <c r="P36665" s="11"/>
    </row>
    <row r="36666" spans="8:16" x14ac:dyDescent="0.25">
      <c r="H36666" s="12"/>
      <c r="I36666" s="12"/>
      <c r="J36666" s="12"/>
      <c r="K36666" s="12"/>
      <c r="L36666" s="12"/>
      <c r="M36666" s="11"/>
      <c r="N36666" s="11"/>
      <c r="O36666" s="11"/>
      <c r="P36666" s="11"/>
    </row>
    <row r="36667" spans="8:16" x14ac:dyDescent="0.25">
      <c r="H36667" s="12"/>
      <c r="I36667" s="12"/>
      <c r="J36667" s="12"/>
      <c r="K36667" s="12"/>
      <c r="L36667" s="12"/>
      <c r="M36667" s="11"/>
      <c r="N36667" s="11"/>
      <c r="O36667" s="11"/>
      <c r="P36667" s="11"/>
    </row>
    <row r="36668" spans="8:16" x14ac:dyDescent="0.25">
      <c r="H36668" s="12"/>
      <c r="I36668" s="12"/>
      <c r="J36668" s="12"/>
      <c r="K36668" s="12"/>
      <c r="L36668" s="12"/>
      <c r="M36668" s="11"/>
      <c r="N36668" s="11"/>
      <c r="O36668" s="11"/>
      <c r="P36668" s="11"/>
    </row>
    <row r="36669" spans="8:16" x14ac:dyDescent="0.25">
      <c r="H36669" s="12"/>
      <c r="I36669" s="12"/>
      <c r="J36669" s="12"/>
      <c r="K36669" s="12"/>
      <c r="L36669" s="12"/>
      <c r="M36669" s="11"/>
      <c r="N36669" s="11"/>
      <c r="O36669" s="11"/>
      <c r="P36669" s="11"/>
    </row>
    <row r="36670" spans="8:16" x14ac:dyDescent="0.25">
      <c r="H36670" s="12"/>
      <c r="I36670" s="12"/>
      <c r="J36670" s="12"/>
      <c r="K36670" s="12"/>
      <c r="L36670" s="12"/>
      <c r="M36670" s="11"/>
      <c r="N36670" s="11"/>
      <c r="O36670" s="11"/>
      <c r="P36670" s="11"/>
    </row>
    <row r="36671" spans="8:16" x14ac:dyDescent="0.25">
      <c r="H36671" s="12"/>
      <c r="I36671" s="12"/>
      <c r="J36671" s="12"/>
      <c r="K36671" s="12"/>
      <c r="L36671" s="12"/>
      <c r="M36671" s="11"/>
      <c r="N36671" s="11"/>
      <c r="O36671" s="11"/>
      <c r="P36671" s="11"/>
    </row>
    <row r="36672" spans="8:16" x14ac:dyDescent="0.25">
      <c r="H36672" s="12"/>
      <c r="I36672" s="12"/>
      <c r="J36672" s="12"/>
      <c r="K36672" s="12"/>
      <c r="L36672" s="12"/>
      <c r="M36672" s="11"/>
      <c r="N36672" s="11"/>
      <c r="O36672" s="11"/>
      <c r="P36672" s="11"/>
    </row>
    <row r="36673" spans="8:16" x14ac:dyDescent="0.25">
      <c r="H36673" s="12"/>
      <c r="I36673" s="12"/>
      <c r="J36673" s="12"/>
      <c r="K36673" s="12"/>
      <c r="L36673" s="12"/>
      <c r="M36673" s="11"/>
      <c r="N36673" s="11"/>
      <c r="O36673" s="11"/>
      <c r="P36673" s="11"/>
    </row>
    <row r="36674" spans="8:16" x14ac:dyDescent="0.25">
      <c r="H36674" s="12"/>
      <c r="I36674" s="12"/>
      <c r="J36674" s="12"/>
      <c r="K36674" s="12"/>
      <c r="L36674" s="12"/>
      <c r="M36674" s="11"/>
      <c r="N36674" s="11"/>
      <c r="O36674" s="11"/>
      <c r="P36674" s="11"/>
    </row>
    <row r="36675" spans="8:16" x14ac:dyDescent="0.25">
      <c r="H36675" s="12"/>
      <c r="I36675" s="12"/>
      <c r="J36675" s="12"/>
      <c r="K36675" s="12"/>
      <c r="L36675" s="12"/>
      <c r="M36675" s="11"/>
      <c r="N36675" s="11"/>
      <c r="O36675" s="11"/>
      <c r="P36675" s="11"/>
    </row>
    <row r="36676" spans="8:16" x14ac:dyDescent="0.25">
      <c r="H36676" s="12"/>
      <c r="I36676" s="12"/>
      <c r="J36676" s="12"/>
      <c r="K36676" s="12"/>
      <c r="L36676" s="12"/>
      <c r="M36676" s="11"/>
      <c r="N36676" s="11"/>
      <c r="O36676" s="11"/>
      <c r="P36676" s="11"/>
    </row>
    <row r="36677" spans="8:16" x14ac:dyDescent="0.25">
      <c r="H36677" s="12"/>
      <c r="I36677" s="12"/>
      <c r="J36677" s="12"/>
      <c r="K36677" s="12"/>
      <c r="L36677" s="12"/>
      <c r="M36677" s="11"/>
      <c r="N36677" s="11"/>
      <c r="O36677" s="11"/>
      <c r="P36677" s="11"/>
    </row>
    <row r="36678" spans="8:16" x14ac:dyDescent="0.25">
      <c r="H36678" s="12"/>
      <c r="I36678" s="12"/>
      <c r="J36678" s="12"/>
      <c r="K36678" s="12"/>
      <c r="L36678" s="12"/>
      <c r="M36678" s="11"/>
      <c r="N36678" s="11"/>
      <c r="O36678" s="11"/>
      <c r="P36678" s="11"/>
    </row>
    <row r="36679" spans="8:16" x14ac:dyDescent="0.25">
      <c r="H36679" s="12"/>
      <c r="I36679" s="12"/>
      <c r="J36679" s="12"/>
      <c r="K36679" s="12"/>
      <c r="L36679" s="12"/>
      <c r="M36679" s="11"/>
      <c r="N36679" s="11"/>
      <c r="O36679" s="11"/>
      <c r="P36679" s="11"/>
    </row>
    <row r="36680" spans="8:16" x14ac:dyDescent="0.25">
      <c r="H36680" s="12"/>
      <c r="I36680" s="12"/>
      <c r="J36680" s="12"/>
      <c r="K36680" s="12"/>
      <c r="L36680" s="12"/>
      <c r="M36680" s="11"/>
      <c r="N36680" s="11"/>
      <c r="O36680" s="11"/>
      <c r="P36680" s="11"/>
    </row>
    <row r="36681" spans="8:16" x14ac:dyDescent="0.25">
      <c r="H36681" s="12"/>
      <c r="I36681" s="12"/>
      <c r="J36681" s="12"/>
      <c r="K36681" s="12"/>
      <c r="L36681" s="12"/>
      <c r="M36681" s="11"/>
      <c r="N36681" s="11"/>
      <c r="O36681" s="11"/>
      <c r="P36681" s="11"/>
    </row>
    <row r="36682" spans="8:16" x14ac:dyDescent="0.25">
      <c r="H36682" s="12"/>
      <c r="I36682" s="12"/>
      <c r="J36682" s="12"/>
      <c r="K36682" s="12"/>
      <c r="L36682" s="12"/>
      <c r="M36682" s="11"/>
      <c r="N36682" s="11"/>
      <c r="O36682" s="11"/>
      <c r="P36682" s="11"/>
    </row>
    <row r="36683" spans="8:16" x14ac:dyDescent="0.25">
      <c r="H36683" s="12"/>
      <c r="I36683" s="12"/>
      <c r="J36683" s="12"/>
      <c r="K36683" s="12"/>
      <c r="L36683" s="12"/>
      <c r="M36683" s="11"/>
      <c r="N36683" s="11"/>
      <c r="O36683" s="11"/>
      <c r="P36683" s="11"/>
    </row>
    <row r="36684" spans="8:16" x14ac:dyDescent="0.25">
      <c r="H36684" s="12"/>
      <c r="I36684" s="12"/>
      <c r="J36684" s="12"/>
      <c r="K36684" s="12"/>
      <c r="L36684" s="12"/>
      <c r="M36684" s="11"/>
      <c r="N36684" s="11"/>
      <c r="O36684" s="11"/>
      <c r="P36684" s="11"/>
    </row>
    <row r="36685" spans="8:16" x14ac:dyDescent="0.25">
      <c r="H36685" s="12"/>
      <c r="I36685" s="12"/>
      <c r="J36685" s="12"/>
      <c r="K36685" s="12"/>
      <c r="L36685" s="12"/>
      <c r="M36685" s="11"/>
      <c r="N36685" s="11"/>
      <c r="O36685" s="11"/>
      <c r="P36685" s="11"/>
    </row>
    <row r="36686" spans="8:16" x14ac:dyDescent="0.25">
      <c r="H36686" s="12"/>
      <c r="I36686" s="12"/>
      <c r="J36686" s="12"/>
      <c r="K36686" s="12"/>
      <c r="L36686" s="12"/>
      <c r="M36686" s="11"/>
      <c r="N36686" s="11"/>
      <c r="O36686" s="11"/>
      <c r="P36686" s="11"/>
    </row>
    <row r="36687" spans="8:16" x14ac:dyDescent="0.25">
      <c r="H36687" s="12"/>
      <c r="I36687" s="12"/>
      <c r="J36687" s="12"/>
      <c r="K36687" s="12"/>
      <c r="L36687" s="12"/>
      <c r="M36687" s="11"/>
      <c r="N36687" s="11"/>
      <c r="O36687" s="11"/>
      <c r="P36687" s="11"/>
    </row>
    <row r="36688" spans="8:16" x14ac:dyDescent="0.25">
      <c r="H36688" s="12"/>
      <c r="I36688" s="12"/>
      <c r="J36688" s="12"/>
      <c r="K36688" s="12"/>
      <c r="L36688" s="12"/>
      <c r="M36688" s="11"/>
      <c r="N36688" s="11"/>
      <c r="O36688" s="11"/>
      <c r="P36688" s="11"/>
    </row>
    <row r="36689" spans="8:16" x14ac:dyDescent="0.25">
      <c r="H36689" s="12"/>
      <c r="I36689" s="12"/>
      <c r="J36689" s="12"/>
      <c r="K36689" s="12"/>
      <c r="L36689" s="12"/>
      <c r="M36689" s="11"/>
      <c r="N36689" s="11"/>
      <c r="O36689" s="11"/>
      <c r="P36689" s="11"/>
    </row>
    <row r="36690" spans="8:16" x14ac:dyDescent="0.25">
      <c r="H36690" s="12"/>
      <c r="I36690" s="12"/>
      <c r="J36690" s="12"/>
      <c r="K36690" s="12"/>
      <c r="L36690" s="12"/>
      <c r="M36690" s="11"/>
      <c r="N36690" s="11"/>
      <c r="O36690" s="11"/>
      <c r="P36690" s="11"/>
    </row>
    <row r="36691" spans="8:16" x14ac:dyDescent="0.25">
      <c r="H36691" s="12"/>
      <c r="I36691" s="12"/>
      <c r="J36691" s="12"/>
      <c r="K36691" s="12"/>
      <c r="L36691" s="12"/>
      <c r="M36691" s="11"/>
      <c r="N36691" s="11"/>
      <c r="O36691" s="11"/>
      <c r="P36691" s="11"/>
    </row>
    <row r="36692" spans="8:16" x14ac:dyDescent="0.25">
      <c r="H36692" s="12"/>
      <c r="I36692" s="12"/>
      <c r="J36692" s="12"/>
      <c r="K36692" s="12"/>
      <c r="L36692" s="12"/>
      <c r="M36692" s="11"/>
      <c r="N36692" s="11"/>
      <c r="O36692" s="11"/>
      <c r="P36692" s="11"/>
    </row>
    <row r="36693" spans="8:16" x14ac:dyDescent="0.25">
      <c r="H36693" s="12"/>
      <c r="I36693" s="12"/>
      <c r="J36693" s="12"/>
      <c r="K36693" s="12"/>
      <c r="L36693" s="12"/>
      <c r="M36693" s="11"/>
      <c r="N36693" s="11"/>
      <c r="O36693" s="11"/>
      <c r="P36693" s="11"/>
    </row>
    <row r="36694" spans="8:16" x14ac:dyDescent="0.25">
      <c r="H36694" s="12"/>
      <c r="I36694" s="12"/>
      <c r="J36694" s="12"/>
      <c r="K36694" s="12"/>
      <c r="L36694" s="12"/>
      <c r="M36694" s="11"/>
      <c r="N36694" s="11"/>
      <c r="O36694" s="11"/>
      <c r="P36694" s="11"/>
    </row>
    <row r="36695" spans="8:16" x14ac:dyDescent="0.25">
      <c r="H36695" s="12"/>
      <c r="I36695" s="12"/>
      <c r="J36695" s="12"/>
      <c r="K36695" s="12"/>
      <c r="L36695" s="12"/>
      <c r="M36695" s="11"/>
      <c r="N36695" s="11"/>
      <c r="O36695" s="11"/>
      <c r="P36695" s="11"/>
    </row>
    <row r="36696" spans="8:16" x14ac:dyDescent="0.25">
      <c r="H36696" s="12"/>
      <c r="I36696" s="12"/>
      <c r="J36696" s="12"/>
      <c r="K36696" s="12"/>
      <c r="L36696" s="12"/>
      <c r="M36696" s="11"/>
      <c r="N36696" s="11"/>
      <c r="O36696" s="11"/>
      <c r="P36696" s="11"/>
    </row>
    <row r="36697" spans="8:16" x14ac:dyDescent="0.25">
      <c r="H36697" s="12"/>
      <c r="I36697" s="12"/>
      <c r="J36697" s="12"/>
      <c r="K36697" s="12"/>
      <c r="L36697" s="12"/>
      <c r="M36697" s="11"/>
      <c r="N36697" s="11"/>
      <c r="O36697" s="11"/>
      <c r="P36697" s="11"/>
    </row>
    <row r="36698" spans="8:16" x14ac:dyDescent="0.25">
      <c r="H36698" s="12"/>
      <c r="I36698" s="12"/>
      <c r="J36698" s="12"/>
      <c r="K36698" s="12"/>
      <c r="L36698" s="12"/>
      <c r="M36698" s="11"/>
      <c r="N36698" s="11"/>
      <c r="O36698" s="11"/>
      <c r="P36698" s="11"/>
    </row>
    <row r="36699" spans="8:16" x14ac:dyDescent="0.25">
      <c r="H36699" s="12"/>
      <c r="I36699" s="12"/>
      <c r="J36699" s="12"/>
      <c r="K36699" s="12"/>
      <c r="L36699" s="12"/>
      <c r="M36699" s="11"/>
      <c r="N36699" s="11"/>
      <c r="O36699" s="11"/>
      <c r="P36699" s="11"/>
    </row>
    <row r="36700" spans="8:16" x14ac:dyDescent="0.25">
      <c r="H36700" s="12"/>
      <c r="I36700" s="12"/>
      <c r="J36700" s="12"/>
      <c r="K36700" s="12"/>
      <c r="L36700" s="12"/>
      <c r="M36700" s="11"/>
      <c r="N36700" s="11"/>
      <c r="O36700" s="11"/>
      <c r="P36700" s="11"/>
    </row>
    <row r="36701" spans="8:16" x14ac:dyDescent="0.25">
      <c r="H36701" s="12"/>
      <c r="I36701" s="12"/>
      <c r="J36701" s="12"/>
      <c r="K36701" s="12"/>
      <c r="L36701" s="12"/>
      <c r="M36701" s="11"/>
      <c r="N36701" s="11"/>
      <c r="O36701" s="11"/>
      <c r="P36701" s="11"/>
    </row>
    <row r="36702" spans="8:16" x14ac:dyDescent="0.25">
      <c r="H36702" s="12"/>
      <c r="I36702" s="12"/>
      <c r="J36702" s="12"/>
      <c r="K36702" s="12"/>
      <c r="L36702" s="12"/>
      <c r="M36702" s="11"/>
      <c r="N36702" s="11"/>
      <c r="O36702" s="11"/>
      <c r="P36702" s="11"/>
    </row>
    <row r="36703" spans="8:16" x14ac:dyDescent="0.25">
      <c r="H36703" s="12"/>
      <c r="I36703" s="12"/>
      <c r="J36703" s="12"/>
      <c r="K36703" s="12"/>
      <c r="L36703" s="12"/>
      <c r="M36703" s="11"/>
      <c r="N36703" s="11"/>
      <c r="O36703" s="11"/>
      <c r="P36703" s="11"/>
    </row>
    <row r="36704" spans="8:16" x14ac:dyDescent="0.25">
      <c r="H36704" s="12"/>
      <c r="I36704" s="12"/>
      <c r="J36704" s="12"/>
      <c r="K36704" s="12"/>
      <c r="L36704" s="12"/>
      <c r="M36704" s="11"/>
      <c r="N36704" s="11"/>
      <c r="O36704" s="11"/>
      <c r="P36704" s="11"/>
    </row>
    <row r="36705" spans="8:16" x14ac:dyDescent="0.25">
      <c r="H36705" s="12"/>
      <c r="I36705" s="12"/>
      <c r="J36705" s="12"/>
      <c r="K36705" s="12"/>
      <c r="L36705" s="12"/>
      <c r="M36705" s="11"/>
      <c r="N36705" s="11"/>
      <c r="O36705" s="11"/>
      <c r="P36705" s="11"/>
    </row>
    <row r="36706" spans="8:16" x14ac:dyDescent="0.25">
      <c r="H36706" s="12"/>
      <c r="I36706" s="12"/>
      <c r="J36706" s="12"/>
      <c r="K36706" s="12"/>
      <c r="L36706" s="12"/>
      <c r="M36706" s="11"/>
      <c r="N36706" s="11"/>
      <c r="O36706" s="11"/>
      <c r="P36706" s="11"/>
    </row>
    <row r="36707" spans="8:16" x14ac:dyDescent="0.25">
      <c r="H36707" s="12"/>
      <c r="I36707" s="12"/>
      <c r="J36707" s="12"/>
      <c r="K36707" s="12"/>
      <c r="L36707" s="12"/>
      <c r="M36707" s="11"/>
      <c r="N36707" s="11"/>
      <c r="O36707" s="11"/>
      <c r="P36707" s="11"/>
    </row>
    <row r="36708" spans="8:16" x14ac:dyDescent="0.25">
      <c r="H36708" s="12"/>
      <c r="I36708" s="12"/>
      <c r="J36708" s="12"/>
      <c r="K36708" s="12"/>
      <c r="L36708" s="12"/>
      <c r="M36708" s="11"/>
      <c r="N36708" s="11"/>
      <c r="O36708" s="11"/>
      <c r="P36708" s="11"/>
    </row>
    <row r="36709" spans="8:16" x14ac:dyDescent="0.25">
      <c r="H36709" s="12"/>
      <c r="I36709" s="12"/>
      <c r="J36709" s="12"/>
      <c r="K36709" s="12"/>
      <c r="L36709" s="12"/>
      <c r="M36709" s="11"/>
      <c r="N36709" s="11"/>
      <c r="O36709" s="11"/>
      <c r="P36709" s="11"/>
    </row>
    <row r="36710" spans="8:16" x14ac:dyDescent="0.25">
      <c r="H36710" s="12"/>
      <c r="I36710" s="12"/>
      <c r="J36710" s="12"/>
      <c r="K36710" s="12"/>
      <c r="L36710" s="12"/>
      <c r="M36710" s="11"/>
      <c r="N36710" s="11"/>
      <c r="O36710" s="11"/>
      <c r="P36710" s="11"/>
    </row>
    <row r="36711" spans="8:16" x14ac:dyDescent="0.25">
      <c r="H36711" s="12"/>
      <c r="I36711" s="12"/>
      <c r="J36711" s="12"/>
      <c r="K36711" s="12"/>
      <c r="L36711" s="12"/>
      <c r="M36711" s="11"/>
      <c r="N36711" s="11"/>
      <c r="O36711" s="11"/>
      <c r="P36711" s="11"/>
    </row>
    <row r="36712" spans="8:16" x14ac:dyDescent="0.25">
      <c r="H36712" s="12"/>
      <c r="I36712" s="12"/>
      <c r="J36712" s="12"/>
      <c r="K36712" s="12"/>
      <c r="L36712" s="12"/>
      <c r="M36712" s="11"/>
      <c r="N36712" s="11"/>
      <c r="O36712" s="11"/>
      <c r="P36712" s="11"/>
    </row>
    <row r="36713" spans="8:16" x14ac:dyDescent="0.25">
      <c r="H36713" s="12"/>
      <c r="I36713" s="12"/>
      <c r="J36713" s="12"/>
      <c r="K36713" s="12"/>
      <c r="L36713" s="12"/>
      <c r="M36713" s="11"/>
      <c r="N36713" s="11"/>
      <c r="O36713" s="11"/>
      <c r="P36713" s="11"/>
    </row>
    <row r="36714" spans="8:16" x14ac:dyDescent="0.25">
      <c r="H36714" s="12"/>
      <c r="I36714" s="12"/>
      <c r="J36714" s="12"/>
      <c r="K36714" s="12"/>
      <c r="L36714" s="12"/>
      <c r="M36714" s="11"/>
      <c r="N36714" s="11"/>
      <c r="O36714" s="11"/>
      <c r="P36714" s="11"/>
    </row>
    <row r="36715" spans="8:16" x14ac:dyDescent="0.25">
      <c r="H36715" s="12"/>
      <c r="I36715" s="12"/>
      <c r="J36715" s="12"/>
      <c r="K36715" s="12"/>
      <c r="L36715" s="12"/>
      <c r="M36715" s="11"/>
      <c r="N36715" s="11"/>
      <c r="O36715" s="11"/>
      <c r="P36715" s="11"/>
    </row>
    <row r="36716" spans="8:16" x14ac:dyDescent="0.25">
      <c r="H36716" s="12"/>
      <c r="I36716" s="12"/>
      <c r="J36716" s="12"/>
      <c r="K36716" s="12"/>
      <c r="L36716" s="12"/>
      <c r="M36716" s="11"/>
      <c r="N36716" s="11"/>
      <c r="O36716" s="11"/>
      <c r="P36716" s="11"/>
    </row>
    <row r="36717" spans="8:16" x14ac:dyDescent="0.25">
      <c r="H36717" s="12"/>
      <c r="I36717" s="12"/>
      <c r="J36717" s="12"/>
      <c r="K36717" s="12"/>
      <c r="L36717" s="12"/>
      <c r="M36717" s="11"/>
      <c r="N36717" s="11"/>
      <c r="O36717" s="11"/>
      <c r="P36717" s="11"/>
    </row>
    <row r="36718" spans="8:16" x14ac:dyDescent="0.25">
      <c r="H36718" s="12"/>
      <c r="I36718" s="12"/>
      <c r="J36718" s="12"/>
      <c r="K36718" s="12"/>
      <c r="L36718" s="12"/>
      <c r="M36718" s="11"/>
      <c r="N36718" s="11"/>
      <c r="O36718" s="11"/>
      <c r="P36718" s="11"/>
    </row>
    <row r="36719" spans="8:16" x14ac:dyDescent="0.25">
      <c r="H36719" s="12"/>
      <c r="I36719" s="12"/>
      <c r="J36719" s="12"/>
      <c r="K36719" s="12"/>
      <c r="L36719" s="12"/>
      <c r="M36719" s="11"/>
      <c r="N36719" s="11"/>
      <c r="O36719" s="11"/>
      <c r="P36719" s="11"/>
    </row>
    <row r="36720" spans="8:16" x14ac:dyDescent="0.25">
      <c r="H36720" s="12"/>
      <c r="I36720" s="12"/>
      <c r="J36720" s="12"/>
      <c r="K36720" s="12"/>
      <c r="L36720" s="12"/>
      <c r="M36720" s="11"/>
      <c r="N36720" s="11"/>
      <c r="O36720" s="11"/>
      <c r="P36720" s="11"/>
    </row>
    <row r="36721" spans="8:16" x14ac:dyDescent="0.25">
      <c r="H36721" s="12"/>
      <c r="I36721" s="12"/>
      <c r="J36721" s="12"/>
      <c r="K36721" s="12"/>
      <c r="L36721" s="12"/>
      <c r="M36721" s="11"/>
      <c r="N36721" s="11"/>
      <c r="O36721" s="11"/>
      <c r="P36721" s="11"/>
    </row>
    <row r="36722" spans="8:16" x14ac:dyDescent="0.25">
      <c r="H36722" s="12"/>
      <c r="I36722" s="12"/>
      <c r="J36722" s="12"/>
      <c r="K36722" s="12"/>
      <c r="L36722" s="12"/>
      <c r="M36722" s="11"/>
      <c r="N36722" s="11"/>
      <c r="O36722" s="11"/>
      <c r="P36722" s="11"/>
    </row>
    <row r="36723" spans="8:16" x14ac:dyDescent="0.25">
      <c r="H36723" s="12"/>
      <c r="I36723" s="12"/>
      <c r="J36723" s="12"/>
      <c r="K36723" s="12"/>
      <c r="L36723" s="12"/>
      <c r="M36723" s="11"/>
      <c r="N36723" s="11"/>
      <c r="O36723" s="11"/>
      <c r="P36723" s="11"/>
    </row>
    <row r="36724" spans="8:16" x14ac:dyDescent="0.25">
      <c r="H36724" s="12"/>
      <c r="I36724" s="12"/>
      <c r="J36724" s="12"/>
      <c r="K36724" s="12"/>
      <c r="L36724" s="12"/>
      <c r="M36724" s="11"/>
      <c r="N36724" s="11"/>
      <c r="O36724" s="11"/>
      <c r="P36724" s="11"/>
    </row>
    <row r="36725" spans="8:16" x14ac:dyDescent="0.25">
      <c r="H36725" s="12"/>
      <c r="I36725" s="12"/>
      <c r="J36725" s="12"/>
      <c r="K36725" s="12"/>
      <c r="L36725" s="12"/>
      <c r="M36725" s="11"/>
      <c r="N36725" s="11"/>
      <c r="O36725" s="11"/>
      <c r="P36725" s="11"/>
    </row>
    <row r="36726" spans="8:16" x14ac:dyDescent="0.25">
      <c r="H36726" s="12"/>
      <c r="I36726" s="12"/>
      <c r="J36726" s="12"/>
      <c r="K36726" s="12"/>
      <c r="L36726" s="12"/>
      <c r="M36726" s="11"/>
      <c r="N36726" s="11"/>
      <c r="O36726" s="11"/>
      <c r="P36726" s="11"/>
    </row>
    <row r="36727" spans="8:16" x14ac:dyDescent="0.25">
      <c r="H36727" s="12"/>
      <c r="I36727" s="12"/>
      <c r="J36727" s="12"/>
      <c r="K36727" s="12"/>
      <c r="L36727" s="12"/>
      <c r="M36727" s="11"/>
      <c r="N36727" s="11"/>
      <c r="O36727" s="11"/>
      <c r="P36727" s="11"/>
    </row>
    <row r="36728" spans="8:16" x14ac:dyDescent="0.25">
      <c r="H36728" s="12"/>
      <c r="I36728" s="12"/>
      <c r="J36728" s="12"/>
      <c r="K36728" s="12"/>
      <c r="L36728" s="12"/>
      <c r="M36728" s="11"/>
      <c r="N36728" s="11"/>
      <c r="O36728" s="11"/>
      <c r="P36728" s="11"/>
    </row>
    <row r="36729" spans="8:16" x14ac:dyDescent="0.25">
      <c r="H36729" s="12"/>
      <c r="I36729" s="12"/>
      <c r="J36729" s="12"/>
      <c r="K36729" s="12"/>
      <c r="L36729" s="12"/>
      <c r="M36729" s="11"/>
      <c r="N36729" s="11"/>
      <c r="O36729" s="11"/>
      <c r="P36729" s="11"/>
    </row>
    <row r="36730" spans="8:16" x14ac:dyDescent="0.25">
      <c r="H36730" s="12"/>
      <c r="I36730" s="12"/>
      <c r="J36730" s="12"/>
      <c r="K36730" s="12"/>
      <c r="L36730" s="12"/>
      <c r="M36730" s="11"/>
      <c r="N36730" s="11"/>
      <c r="O36730" s="11"/>
      <c r="P36730" s="11"/>
    </row>
    <row r="36731" spans="8:16" x14ac:dyDescent="0.25">
      <c r="H36731" s="12"/>
      <c r="I36731" s="12"/>
      <c r="J36731" s="12"/>
      <c r="K36731" s="12"/>
      <c r="L36731" s="12"/>
      <c r="M36731" s="11"/>
      <c r="N36731" s="11"/>
      <c r="O36731" s="11"/>
      <c r="P36731" s="11"/>
    </row>
    <row r="36732" spans="8:16" x14ac:dyDescent="0.25">
      <c r="H36732" s="12"/>
      <c r="I36732" s="12"/>
      <c r="J36732" s="12"/>
      <c r="K36732" s="12"/>
      <c r="L36732" s="12"/>
      <c r="M36732" s="11"/>
      <c r="N36732" s="11"/>
      <c r="O36732" s="11"/>
      <c r="P36732" s="11"/>
    </row>
    <row r="36733" spans="8:16" x14ac:dyDescent="0.25">
      <c r="H36733" s="12"/>
      <c r="I36733" s="12"/>
      <c r="J36733" s="12"/>
      <c r="K36733" s="12"/>
      <c r="L36733" s="12"/>
      <c r="M36733" s="11"/>
      <c r="N36733" s="11"/>
      <c r="O36733" s="11"/>
      <c r="P36733" s="11"/>
    </row>
    <row r="36734" spans="8:16" x14ac:dyDescent="0.25">
      <c r="H36734" s="12"/>
      <c r="I36734" s="12"/>
      <c r="J36734" s="12"/>
      <c r="K36734" s="12"/>
      <c r="L36734" s="12"/>
      <c r="M36734" s="11"/>
      <c r="N36734" s="11"/>
      <c r="O36734" s="11"/>
      <c r="P36734" s="11"/>
    </row>
    <row r="36735" spans="8:16" x14ac:dyDescent="0.25">
      <c r="H36735" s="12"/>
      <c r="I36735" s="12"/>
      <c r="J36735" s="12"/>
      <c r="K36735" s="12"/>
      <c r="L36735" s="12"/>
      <c r="M36735" s="11"/>
      <c r="N36735" s="11"/>
      <c r="O36735" s="11"/>
      <c r="P36735" s="11"/>
    </row>
    <row r="36736" spans="8:16" x14ac:dyDescent="0.25">
      <c r="H36736" s="12"/>
      <c r="I36736" s="12"/>
      <c r="J36736" s="12"/>
      <c r="K36736" s="12"/>
      <c r="L36736" s="12"/>
      <c r="M36736" s="11"/>
      <c r="N36736" s="11"/>
      <c r="O36736" s="11"/>
      <c r="P36736" s="11"/>
    </row>
    <row r="36737" spans="8:16" x14ac:dyDescent="0.25">
      <c r="H36737" s="12"/>
      <c r="I36737" s="12"/>
      <c r="J36737" s="12"/>
      <c r="K36737" s="12"/>
      <c r="L36737" s="12"/>
      <c r="M36737" s="11"/>
      <c r="N36737" s="11"/>
      <c r="O36737" s="11"/>
      <c r="P36737" s="11"/>
    </row>
    <row r="36738" spans="8:16" x14ac:dyDescent="0.25">
      <c r="H36738" s="12"/>
      <c r="I36738" s="12"/>
      <c r="J36738" s="12"/>
      <c r="K36738" s="12"/>
      <c r="L36738" s="12"/>
      <c r="M36738" s="11"/>
      <c r="N36738" s="11"/>
      <c r="O36738" s="11"/>
      <c r="P36738" s="11"/>
    </row>
    <row r="36739" spans="8:16" x14ac:dyDescent="0.25">
      <c r="H36739" s="12"/>
      <c r="I36739" s="12"/>
      <c r="J36739" s="12"/>
      <c r="K36739" s="12"/>
      <c r="L36739" s="12"/>
      <c r="M36739" s="11"/>
      <c r="N36739" s="11"/>
      <c r="O36739" s="11"/>
      <c r="P36739" s="11"/>
    </row>
    <row r="36740" spans="8:16" x14ac:dyDescent="0.25">
      <c r="H36740" s="12"/>
      <c r="I36740" s="12"/>
      <c r="J36740" s="12"/>
      <c r="K36740" s="12"/>
      <c r="L36740" s="12"/>
      <c r="M36740" s="11"/>
      <c r="N36740" s="11"/>
      <c r="O36740" s="11"/>
      <c r="P36740" s="11"/>
    </row>
    <row r="36741" spans="8:16" x14ac:dyDescent="0.25">
      <c r="H36741" s="12"/>
      <c r="I36741" s="12"/>
      <c r="J36741" s="12"/>
      <c r="K36741" s="12"/>
      <c r="L36741" s="12"/>
      <c r="M36741" s="11"/>
      <c r="N36741" s="11"/>
      <c r="O36741" s="11"/>
      <c r="P36741" s="11"/>
    </row>
    <row r="36742" spans="8:16" x14ac:dyDescent="0.25">
      <c r="H36742" s="12"/>
      <c r="I36742" s="12"/>
      <c r="J36742" s="12"/>
      <c r="K36742" s="12"/>
      <c r="L36742" s="12"/>
      <c r="M36742" s="11"/>
      <c r="N36742" s="11"/>
      <c r="O36742" s="11"/>
      <c r="P36742" s="11"/>
    </row>
    <row r="36743" spans="8:16" x14ac:dyDescent="0.25">
      <c r="H36743" s="12"/>
      <c r="I36743" s="12"/>
      <c r="J36743" s="12"/>
      <c r="K36743" s="12"/>
      <c r="L36743" s="12"/>
      <c r="M36743" s="11"/>
      <c r="N36743" s="11"/>
      <c r="O36743" s="11"/>
      <c r="P36743" s="11"/>
    </row>
    <row r="36744" spans="8:16" x14ac:dyDescent="0.25">
      <c r="H36744" s="12"/>
      <c r="I36744" s="12"/>
      <c r="J36744" s="12"/>
      <c r="K36744" s="12"/>
      <c r="L36744" s="12"/>
      <c r="M36744" s="11"/>
      <c r="N36744" s="11"/>
      <c r="O36744" s="11"/>
      <c r="P36744" s="11"/>
    </row>
    <row r="36745" spans="8:16" x14ac:dyDescent="0.25">
      <c r="H36745" s="12"/>
      <c r="I36745" s="12"/>
      <c r="J36745" s="12"/>
      <c r="K36745" s="12"/>
      <c r="L36745" s="12"/>
      <c r="M36745" s="11"/>
      <c r="N36745" s="11"/>
      <c r="O36745" s="11"/>
      <c r="P36745" s="11"/>
    </row>
    <row r="36746" spans="8:16" x14ac:dyDescent="0.25">
      <c r="H36746" s="12"/>
      <c r="I36746" s="12"/>
      <c r="J36746" s="12"/>
      <c r="K36746" s="12"/>
      <c r="L36746" s="12"/>
      <c r="M36746" s="11"/>
      <c r="N36746" s="11"/>
      <c r="O36746" s="11"/>
      <c r="P36746" s="11"/>
    </row>
    <row r="36747" spans="8:16" x14ac:dyDescent="0.25">
      <c r="H36747" s="12"/>
      <c r="I36747" s="12"/>
      <c r="J36747" s="12"/>
      <c r="K36747" s="12"/>
      <c r="L36747" s="12"/>
      <c r="M36747" s="11"/>
      <c r="N36747" s="11"/>
      <c r="O36747" s="11"/>
      <c r="P36747" s="11"/>
    </row>
    <row r="36748" spans="8:16" x14ac:dyDescent="0.25">
      <c r="H36748" s="12"/>
      <c r="I36748" s="12"/>
      <c r="J36748" s="12"/>
      <c r="K36748" s="12"/>
      <c r="L36748" s="12"/>
      <c r="M36748" s="11"/>
      <c r="N36748" s="11"/>
      <c r="O36748" s="11"/>
      <c r="P36748" s="11"/>
    </row>
    <row r="36749" spans="8:16" x14ac:dyDescent="0.25">
      <c r="H36749" s="12"/>
      <c r="I36749" s="12"/>
      <c r="J36749" s="12"/>
      <c r="K36749" s="12"/>
      <c r="L36749" s="12"/>
      <c r="M36749" s="11"/>
      <c r="N36749" s="11"/>
      <c r="O36749" s="11"/>
      <c r="P36749" s="11"/>
    </row>
    <row r="36750" spans="8:16" x14ac:dyDescent="0.25">
      <c r="H36750" s="12"/>
      <c r="I36750" s="12"/>
      <c r="J36750" s="12"/>
      <c r="K36750" s="12"/>
      <c r="L36750" s="12"/>
      <c r="M36750" s="11"/>
      <c r="N36750" s="11"/>
      <c r="O36750" s="11"/>
      <c r="P36750" s="11"/>
    </row>
    <row r="36751" spans="8:16" x14ac:dyDescent="0.25">
      <c r="H36751" s="12"/>
      <c r="I36751" s="12"/>
      <c r="J36751" s="12"/>
      <c r="K36751" s="12"/>
      <c r="L36751" s="12"/>
      <c r="M36751" s="11"/>
      <c r="N36751" s="11"/>
      <c r="O36751" s="11"/>
      <c r="P36751" s="11"/>
    </row>
    <row r="36752" spans="8:16" x14ac:dyDescent="0.25">
      <c r="H36752" s="12"/>
      <c r="I36752" s="12"/>
      <c r="J36752" s="12"/>
      <c r="K36752" s="12"/>
      <c r="L36752" s="12"/>
      <c r="M36752" s="11"/>
      <c r="N36752" s="11"/>
      <c r="O36752" s="11"/>
      <c r="P36752" s="11"/>
    </row>
    <row r="36753" spans="8:16" x14ac:dyDescent="0.25">
      <c r="H36753" s="12"/>
      <c r="I36753" s="12"/>
      <c r="J36753" s="12"/>
      <c r="K36753" s="12"/>
      <c r="L36753" s="12"/>
      <c r="M36753" s="11"/>
      <c r="N36753" s="11"/>
      <c r="O36753" s="11"/>
      <c r="P36753" s="11"/>
    </row>
    <row r="36754" spans="8:16" x14ac:dyDescent="0.25">
      <c r="H36754" s="12"/>
      <c r="I36754" s="12"/>
      <c r="J36754" s="12"/>
      <c r="K36754" s="12"/>
      <c r="L36754" s="12"/>
      <c r="M36754" s="11"/>
      <c r="N36754" s="11"/>
      <c r="O36754" s="11"/>
      <c r="P36754" s="11"/>
    </row>
    <row r="36755" spans="8:16" x14ac:dyDescent="0.25">
      <c r="H36755" s="12"/>
      <c r="I36755" s="12"/>
      <c r="J36755" s="12"/>
      <c r="K36755" s="12"/>
      <c r="L36755" s="12"/>
      <c r="M36755" s="11"/>
      <c r="N36755" s="11"/>
      <c r="O36755" s="11"/>
      <c r="P36755" s="11"/>
    </row>
    <row r="36756" spans="8:16" x14ac:dyDescent="0.25">
      <c r="H36756" s="12"/>
      <c r="I36756" s="12"/>
      <c r="J36756" s="12"/>
      <c r="K36756" s="12"/>
      <c r="L36756" s="12"/>
      <c r="M36756" s="11"/>
      <c r="N36756" s="11"/>
      <c r="O36756" s="11"/>
      <c r="P36756" s="11"/>
    </row>
    <row r="36757" spans="8:16" x14ac:dyDescent="0.25">
      <c r="H36757" s="12"/>
      <c r="I36757" s="12"/>
      <c r="J36757" s="12"/>
      <c r="K36757" s="12"/>
      <c r="L36757" s="12"/>
      <c r="M36757" s="11"/>
      <c r="N36757" s="11"/>
      <c r="O36757" s="11"/>
      <c r="P36757" s="11"/>
    </row>
    <row r="36758" spans="8:16" x14ac:dyDescent="0.25">
      <c r="H36758" s="12"/>
      <c r="I36758" s="12"/>
      <c r="J36758" s="12"/>
      <c r="K36758" s="12"/>
      <c r="L36758" s="12"/>
      <c r="M36758" s="11"/>
      <c r="N36758" s="11"/>
      <c r="O36758" s="11"/>
      <c r="P36758" s="11"/>
    </row>
    <row r="36759" spans="8:16" x14ac:dyDescent="0.25">
      <c r="H36759" s="12"/>
      <c r="I36759" s="12"/>
      <c r="J36759" s="12"/>
      <c r="K36759" s="12"/>
      <c r="L36759" s="12"/>
      <c r="M36759" s="11"/>
      <c r="N36759" s="11"/>
      <c r="O36759" s="11"/>
      <c r="P36759" s="11"/>
    </row>
    <row r="36760" spans="8:16" x14ac:dyDescent="0.25">
      <c r="H36760" s="12"/>
      <c r="I36760" s="12"/>
      <c r="J36760" s="12"/>
      <c r="K36760" s="12"/>
      <c r="L36760" s="12"/>
      <c r="M36760" s="11"/>
      <c r="N36760" s="11"/>
      <c r="O36760" s="11"/>
      <c r="P36760" s="11"/>
    </row>
    <row r="36761" spans="8:16" x14ac:dyDescent="0.25">
      <c r="H36761" s="12"/>
      <c r="I36761" s="12"/>
      <c r="J36761" s="12"/>
      <c r="K36761" s="12"/>
      <c r="L36761" s="12"/>
      <c r="M36761" s="11"/>
      <c r="N36761" s="11"/>
      <c r="O36761" s="11"/>
      <c r="P36761" s="11"/>
    </row>
    <row r="36762" spans="8:16" x14ac:dyDescent="0.25">
      <c r="H36762" s="12"/>
      <c r="I36762" s="12"/>
      <c r="J36762" s="12"/>
      <c r="K36762" s="12"/>
      <c r="L36762" s="12"/>
      <c r="M36762" s="11"/>
      <c r="N36762" s="11"/>
      <c r="O36762" s="11"/>
      <c r="P36762" s="11"/>
    </row>
    <row r="36763" spans="8:16" x14ac:dyDescent="0.25">
      <c r="H36763" s="12"/>
      <c r="I36763" s="12"/>
      <c r="J36763" s="12"/>
      <c r="K36763" s="12"/>
      <c r="L36763" s="12"/>
      <c r="M36763" s="11"/>
      <c r="N36763" s="11"/>
      <c r="O36763" s="11"/>
      <c r="P36763" s="11"/>
    </row>
    <row r="36764" spans="8:16" x14ac:dyDescent="0.25">
      <c r="H36764" s="12"/>
      <c r="I36764" s="12"/>
      <c r="J36764" s="12"/>
      <c r="K36764" s="12"/>
      <c r="L36764" s="12"/>
      <c r="M36764" s="11"/>
      <c r="N36764" s="11"/>
      <c r="O36764" s="11"/>
      <c r="P36764" s="11"/>
    </row>
    <row r="36765" spans="8:16" x14ac:dyDescent="0.25">
      <c r="H36765" s="12"/>
      <c r="I36765" s="12"/>
      <c r="J36765" s="12"/>
      <c r="K36765" s="12"/>
      <c r="L36765" s="12"/>
      <c r="M36765" s="11"/>
      <c r="N36765" s="11"/>
      <c r="O36765" s="11"/>
      <c r="P36765" s="11"/>
    </row>
    <row r="36766" spans="8:16" x14ac:dyDescent="0.25">
      <c r="H36766" s="12"/>
      <c r="I36766" s="12"/>
      <c r="J36766" s="12"/>
      <c r="K36766" s="12"/>
      <c r="L36766" s="12"/>
      <c r="M36766" s="11"/>
      <c r="N36766" s="11"/>
      <c r="O36766" s="11"/>
      <c r="P36766" s="11"/>
    </row>
    <row r="36767" spans="8:16" x14ac:dyDescent="0.25">
      <c r="H36767" s="12"/>
      <c r="I36767" s="12"/>
      <c r="J36767" s="12"/>
      <c r="K36767" s="12"/>
      <c r="L36767" s="12"/>
      <c r="M36767" s="11"/>
      <c r="N36767" s="11"/>
      <c r="O36767" s="11"/>
      <c r="P36767" s="11"/>
    </row>
    <row r="36768" spans="8:16" x14ac:dyDescent="0.25">
      <c r="H36768" s="12"/>
      <c r="I36768" s="12"/>
      <c r="J36768" s="12"/>
      <c r="K36768" s="12"/>
      <c r="L36768" s="12"/>
      <c r="M36768" s="11"/>
      <c r="N36768" s="11"/>
      <c r="O36768" s="11"/>
      <c r="P36768" s="11"/>
    </row>
    <row r="36769" spans="8:16" x14ac:dyDescent="0.25">
      <c r="H36769" s="12"/>
      <c r="I36769" s="12"/>
      <c r="J36769" s="12"/>
      <c r="K36769" s="12"/>
      <c r="L36769" s="12"/>
      <c r="M36769" s="11"/>
      <c r="N36769" s="11"/>
      <c r="O36769" s="11"/>
      <c r="P36769" s="11"/>
    </row>
    <row r="36770" spans="8:16" x14ac:dyDescent="0.25">
      <c r="H36770" s="12"/>
      <c r="I36770" s="12"/>
      <c r="J36770" s="12"/>
      <c r="K36770" s="12"/>
      <c r="L36770" s="12"/>
      <c r="M36770" s="11"/>
      <c r="N36770" s="11"/>
      <c r="O36770" s="11"/>
      <c r="P36770" s="11"/>
    </row>
    <row r="36771" spans="8:16" x14ac:dyDescent="0.25">
      <c r="H36771" s="12"/>
      <c r="I36771" s="12"/>
      <c r="J36771" s="12"/>
      <c r="K36771" s="12"/>
      <c r="L36771" s="12"/>
      <c r="M36771" s="11"/>
      <c r="N36771" s="11"/>
      <c r="O36771" s="11"/>
      <c r="P36771" s="11"/>
    </row>
    <row r="36772" spans="8:16" x14ac:dyDescent="0.25">
      <c r="H36772" s="12"/>
      <c r="I36772" s="12"/>
      <c r="J36772" s="12"/>
      <c r="K36772" s="12"/>
      <c r="L36772" s="12"/>
      <c r="M36772" s="11"/>
      <c r="N36772" s="11"/>
      <c r="O36772" s="11"/>
      <c r="P36772" s="11"/>
    </row>
    <row r="36773" spans="8:16" x14ac:dyDescent="0.25">
      <c r="H36773" s="12"/>
      <c r="I36773" s="12"/>
      <c r="J36773" s="12"/>
      <c r="K36773" s="12"/>
      <c r="L36773" s="12"/>
      <c r="M36773" s="11"/>
      <c r="N36773" s="11"/>
      <c r="O36773" s="11"/>
      <c r="P36773" s="11"/>
    </row>
    <row r="36774" spans="8:16" x14ac:dyDescent="0.25">
      <c r="H36774" s="12"/>
      <c r="I36774" s="12"/>
      <c r="J36774" s="12"/>
      <c r="K36774" s="12"/>
      <c r="L36774" s="12"/>
      <c r="M36774" s="11"/>
      <c r="N36774" s="11"/>
      <c r="O36774" s="11"/>
      <c r="P36774" s="11"/>
    </row>
    <row r="36775" spans="8:16" x14ac:dyDescent="0.25">
      <c r="H36775" s="12"/>
      <c r="I36775" s="12"/>
      <c r="J36775" s="12"/>
      <c r="K36775" s="12"/>
      <c r="L36775" s="12"/>
      <c r="M36775" s="11"/>
      <c r="N36775" s="11"/>
      <c r="O36775" s="11"/>
      <c r="P36775" s="11"/>
    </row>
    <row r="36776" spans="8:16" x14ac:dyDescent="0.25">
      <c r="H36776" s="12"/>
      <c r="I36776" s="12"/>
      <c r="J36776" s="12"/>
      <c r="K36776" s="12"/>
      <c r="L36776" s="12"/>
      <c r="M36776" s="11"/>
      <c r="N36776" s="11"/>
      <c r="O36776" s="11"/>
      <c r="P36776" s="11"/>
    </row>
    <row r="36777" spans="8:16" x14ac:dyDescent="0.25">
      <c r="H36777" s="12"/>
      <c r="I36777" s="12"/>
      <c r="J36777" s="12"/>
      <c r="K36777" s="12"/>
      <c r="L36777" s="12"/>
      <c r="M36777" s="11"/>
      <c r="N36777" s="11"/>
      <c r="O36777" s="11"/>
      <c r="P36777" s="11"/>
    </row>
    <row r="36778" spans="8:16" x14ac:dyDescent="0.25">
      <c r="H36778" s="12"/>
      <c r="I36778" s="12"/>
      <c r="J36778" s="12"/>
      <c r="K36778" s="12"/>
      <c r="L36778" s="12"/>
      <c r="M36778" s="11"/>
      <c r="N36778" s="11"/>
      <c r="O36778" s="11"/>
      <c r="P36778" s="11"/>
    </row>
    <row r="36779" spans="8:16" x14ac:dyDescent="0.25">
      <c r="H36779" s="12"/>
      <c r="I36779" s="12"/>
      <c r="J36779" s="12"/>
      <c r="K36779" s="12"/>
      <c r="L36779" s="12"/>
      <c r="M36779" s="11"/>
      <c r="N36779" s="11"/>
      <c r="O36779" s="11"/>
      <c r="P36779" s="11"/>
    </row>
    <row r="36780" spans="8:16" x14ac:dyDescent="0.25">
      <c r="H36780" s="12"/>
      <c r="I36780" s="12"/>
      <c r="J36780" s="12"/>
      <c r="K36780" s="12"/>
      <c r="L36780" s="12"/>
      <c r="M36780" s="11"/>
      <c r="N36780" s="11"/>
      <c r="O36780" s="11"/>
      <c r="P36780" s="11"/>
    </row>
    <row r="36781" spans="8:16" x14ac:dyDescent="0.25">
      <c r="H36781" s="12"/>
      <c r="I36781" s="12"/>
      <c r="J36781" s="12"/>
      <c r="K36781" s="12"/>
      <c r="L36781" s="12"/>
      <c r="M36781" s="11"/>
      <c r="N36781" s="11"/>
      <c r="O36781" s="11"/>
      <c r="P36781" s="11"/>
    </row>
    <row r="36782" spans="8:16" x14ac:dyDescent="0.25">
      <c r="H36782" s="12"/>
      <c r="I36782" s="12"/>
      <c r="J36782" s="12"/>
      <c r="K36782" s="12"/>
      <c r="L36782" s="12"/>
      <c r="M36782" s="11"/>
      <c r="N36782" s="11"/>
      <c r="O36782" s="11"/>
      <c r="P36782" s="11"/>
    </row>
    <row r="36783" spans="8:16" x14ac:dyDescent="0.25">
      <c r="H36783" s="12"/>
      <c r="I36783" s="12"/>
      <c r="J36783" s="12"/>
      <c r="K36783" s="12"/>
      <c r="L36783" s="12"/>
      <c r="M36783" s="11"/>
      <c r="N36783" s="11"/>
      <c r="O36783" s="11"/>
      <c r="P36783" s="11"/>
    </row>
    <row r="36784" spans="8:16" x14ac:dyDescent="0.25">
      <c r="H36784" s="12"/>
      <c r="I36784" s="12"/>
      <c r="J36784" s="12"/>
      <c r="K36784" s="12"/>
      <c r="L36784" s="12"/>
      <c r="M36784" s="11"/>
      <c r="N36784" s="11"/>
      <c r="O36784" s="11"/>
      <c r="P36784" s="11"/>
    </row>
    <row r="36785" spans="8:16" x14ac:dyDescent="0.25">
      <c r="H36785" s="12"/>
      <c r="I36785" s="12"/>
      <c r="J36785" s="12"/>
      <c r="K36785" s="12"/>
      <c r="L36785" s="12"/>
      <c r="M36785" s="11"/>
      <c r="N36785" s="11"/>
      <c r="O36785" s="11"/>
      <c r="P36785" s="11"/>
    </row>
    <row r="36786" spans="8:16" x14ac:dyDescent="0.25">
      <c r="H36786" s="12"/>
      <c r="I36786" s="12"/>
      <c r="J36786" s="12"/>
      <c r="K36786" s="12"/>
      <c r="L36786" s="12"/>
      <c r="M36786" s="11"/>
      <c r="N36786" s="11"/>
      <c r="O36786" s="11"/>
      <c r="P36786" s="11"/>
    </row>
    <row r="36787" spans="8:16" x14ac:dyDescent="0.25">
      <c r="H36787" s="12"/>
      <c r="I36787" s="12"/>
      <c r="J36787" s="12"/>
      <c r="K36787" s="12"/>
      <c r="L36787" s="12"/>
      <c r="M36787" s="11"/>
      <c r="N36787" s="11"/>
      <c r="O36787" s="11"/>
      <c r="P36787" s="11"/>
    </row>
    <row r="36788" spans="8:16" x14ac:dyDescent="0.25">
      <c r="H36788" s="12"/>
      <c r="I36788" s="12"/>
      <c r="J36788" s="12"/>
      <c r="K36788" s="12"/>
      <c r="L36788" s="12"/>
      <c r="M36788" s="11"/>
      <c r="N36788" s="11"/>
      <c r="O36788" s="11"/>
      <c r="P36788" s="11"/>
    </row>
    <row r="36789" spans="8:16" x14ac:dyDescent="0.25">
      <c r="H36789" s="12"/>
      <c r="I36789" s="12"/>
      <c r="J36789" s="12"/>
      <c r="K36789" s="12"/>
      <c r="L36789" s="12"/>
      <c r="M36789" s="11"/>
      <c r="N36789" s="11"/>
      <c r="O36789" s="11"/>
      <c r="P36789" s="11"/>
    </row>
    <row r="36790" spans="8:16" x14ac:dyDescent="0.25">
      <c r="H36790" s="12"/>
      <c r="I36790" s="12"/>
      <c r="J36790" s="12"/>
      <c r="K36790" s="12"/>
      <c r="L36790" s="12"/>
      <c r="M36790" s="11"/>
      <c r="N36790" s="11"/>
      <c r="O36790" s="11"/>
      <c r="P36790" s="11"/>
    </row>
    <row r="36791" spans="8:16" x14ac:dyDescent="0.25">
      <c r="H36791" s="12"/>
      <c r="I36791" s="12"/>
      <c r="J36791" s="12"/>
      <c r="K36791" s="12"/>
      <c r="L36791" s="12"/>
      <c r="M36791" s="11"/>
      <c r="N36791" s="11"/>
      <c r="O36791" s="11"/>
      <c r="P36791" s="11"/>
    </row>
    <row r="36792" spans="8:16" x14ac:dyDescent="0.25">
      <c r="H36792" s="12"/>
      <c r="I36792" s="12"/>
      <c r="J36792" s="12"/>
      <c r="K36792" s="12"/>
      <c r="L36792" s="12"/>
      <c r="M36792" s="11"/>
      <c r="N36792" s="11"/>
      <c r="O36792" s="11"/>
      <c r="P36792" s="11"/>
    </row>
    <row r="36793" spans="8:16" x14ac:dyDescent="0.25">
      <c r="H36793" s="12"/>
      <c r="I36793" s="12"/>
      <c r="J36793" s="12"/>
      <c r="K36793" s="12"/>
      <c r="L36793" s="12"/>
      <c r="M36793" s="11"/>
      <c r="N36793" s="11"/>
      <c r="O36793" s="11"/>
      <c r="P36793" s="11"/>
    </row>
    <row r="36794" spans="8:16" x14ac:dyDescent="0.25">
      <c r="H36794" s="12"/>
      <c r="I36794" s="12"/>
      <c r="J36794" s="12"/>
      <c r="K36794" s="12"/>
      <c r="L36794" s="12"/>
      <c r="M36794" s="11"/>
      <c r="N36794" s="11"/>
      <c r="O36794" s="11"/>
      <c r="P36794" s="11"/>
    </row>
    <row r="36795" spans="8:16" x14ac:dyDescent="0.25">
      <c r="H36795" s="12"/>
      <c r="I36795" s="12"/>
      <c r="J36795" s="12"/>
      <c r="K36795" s="12"/>
      <c r="L36795" s="12"/>
      <c r="M36795" s="11"/>
      <c r="N36795" s="11"/>
      <c r="O36795" s="11"/>
      <c r="P36795" s="11"/>
    </row>
    <row r="36796" spans="8:16" x14ac:dyDescent="0.25">
      <c r="H36796" s="12"/>
      <c r="I36796" s="12"/>
      <c r="J36796" s="12"/>
      <c r="K36796" s="12"/>
      <c r="L36796" s="12"/>
      <c r="M36796" s="11"/>
      <c r="N36796" s="11"/>
      <c r="O36796" s="11"/>
      <c r="P36796" s="11"/>
    </row>
    <row r="36797" spans="8:16" x14ac:dyDescent="0.25">
      <c r="H36797" s="12"/>
      <c r="I36797" s="12"/>
      <c r="J36797" s="12"/>
      <c r="K36797" s="12"/>
      <c r="L36797" s="12"/>
      <c r="M36797" s="11"/>
      <c r="N36797" s="11"/>
      <c r="O36797" s="11"/>
      <c r="P36797" s="11"/>
    </row>
    <row r="36798" spans="8:16" x14ac:dyDescent="0.25">
      <c r="H36798" s="12"/>
      <c r="I36798" s="12"/>
      <c r="J36798" s="12"/>
      <c r="K36798" s="12"/>
      <c r="L36798" s="12"/>
      <c r="M36798" s="11"/>
      <c r="N36798" s="11"/>
      <c r="O36798" s="11"/>
      <c r="P36798" s="11"/>
    </row>
    <row r="36799" spans="8:16" x14ac:dyDescent="0.25">
      <c r="H36799" s="12"/>
      <c r="I36799" s="12"/>
      <c r="J36799" s="12"/>
      <c r="K36799" s="12"/>
      <c r="L36799" s="12"/>
      <c r="M36799" s="11"/>
      <c r="N36799" s="11"/>
      <c r="O36799" s="11"/>
      <c r="P36799" s="11"/>
    </row>
    <row r="36800" spans="8:16" x14ac:dyDescent="0.25">
      <c r="H36800" s="12"/>
      <c r="I36800" s="12"/>
      <c r="J36800" s="12"/>
      <c r="K36800" s="12"/>
      <c r="L36800" s="12"/>
      <c r="M36800" s="11"/>
      <c r="N36800" s="11"/>
      <c r="O36800" s="11"/>
      <c r="P36800" s="11"/>
    </row>
    <row r="36801" spans="8:16" x14ac:dyDescent="0.25">
      <c r="H36801" s="12"/>
      <c r="I36801" s="12"/>
      <c r="J36801" s="12"/>
      <c r="K36801" s="12"/>
      <c r="L36801" s="12"/>
      <c r="M36801" s="11"/>
      <c r="N36801" s="11"/>
      <c r="O36801" s="11"/>
      <c r="P36801" s="11"/>
    </row>
    <row r="36802" spans="8:16" x14ac:dyDescent="0.25">
      <c r="H36802" s="12"/>
      <c r="I36802" s="12"/>
      <c r="J36802" s="12"/>
      <c r="K36802" s="12"/>
      <c r="L36802" s="12"/>
      <c r="M36802" s="11"/>
      <c r="N36802" s="11"/>
      <c r="O36802" s="11"/>
      <c r="P36802" s="11"/>
    </row>
    <row r="36803" spans="8:16" x14ac:dyDescent="0.25">
      <c r="H36803" s="12"/>
      <c r="I36803" s="12"/>
      <c r="J36803" s="12"/>
      <c r="K36803" s="12"/>
      <c r="L36803" s="12"/>
      <c r="M36803" s="11"/>
      <c r="N36803" s="11"/>
      <c r="O36803" s="11"/>
      <c r="P36803" s="11"/>
    </row>
    <row r="36804" spans="8:16" x14ac:dyDescent="0.25">
      <c r="H36804" s="12"/>
      <c r="I36804" s="12"/>
      <c r="J36804" s="12"/>
      <c r="K36804" s="12"/>
      <c r="L36804" s="12"/>
      <c r="M36804" s="11"/>
      <c r="N36804" s="11"/>
      <c r="O36804" s="11"/>
      <c r="P36804" s="11"/>
    </row>
    <row r="36805" spans="8:16" x14ac:dyDescent="0.25">
      <c r="H36805" s="12"/>
      <c r="I36805" s="12"/>
      <c r="J36805" s="12"/>
      <c r="K36805" s="12"/>
      <c r="L36805" s="12"/>
      <c r="M36805" s="11"/>
      <c r="N36805" s="11"/>
      <c r="O36805" s="11"/>
      <c r="P36805" s="11"/>
    </row>
    <row r="36806" spans="8:16" x14ac:dyDescent="0.25">
      <c r="H36806" s="12"/>
      <c r="I36806" s="12"/>
      <c r="J36806" s="12"/>
      <c r="K36806" s="12"/>
      <c r="L36806" s="12"/>
      <c r="M36806" s="11"/>
      <c r="N36806" s="11"/>
      <c r="O36806" s="11"/>
      <c r="P36806" s="11"/>
    </row>
    <row r="36807" spans="8:16" x14ac:dyDescent="0.25">
      <c r="H36807" s="12"/>
      <c r="I36807" s="12"/>
      <c r="J36807" s="12"/>
      <c r="K36807" s="12"/>
      <c r="L36807" s="12"/>
      <c r="M36807" s="11"/>
      <c r="N36807" s="11"/>
      <c r="O36807" s="11"/>
      <c r="P36807" s="11"/>
    </row>
    <row r="36808" spans="8:16" x14ac:dyDescent="0.25">
      <c r="H36808" s="12"/>
      <c r="I36808" s="12"/>
      <c r="J36808" s="12"/>
      <c r="K36808" s="12"/>
      <c r="L36808" s="12"/>
      <c r="M36808" s="11"/>
      <c r="N36808" s="11"/>
      <c r="O36808" s="11"/>
      <c r="P36808" s="11"/>
    </row>
    <row r="36809" spans="8:16" x14ac:dyDescent="0.25">
      <c r="H36809" s="12"/>
      <c r="I36809" s="12"/>
      <c r="J36809" s="12"/>
      <c r="K36809" s="12"/>
      <c r="L36809" s="12"/>
      <c r="M36809" s="11"/>
      <c r="N36809" s="11"/>
      <c r="O36809" s="11"/>
      <c r="P36809" s="11"/>
    </row>
    <row r="36810" spans="8:16" x14ac:dyDescent="0.25">
      <c r="H36810" s="12"/>
      <c r="I36810" s="12"/>
      <c r="J36810" s="12"/>
      <c r="K36810" s="12"/>
      <c r="L36810" s="12"/>
      <c r="M36810" s="11"/>
      <c r="N36810" s="11"/>
      <c r="O36810" s="11"/>
      <c r="P36810" s="11"/>
    </row>
    <row r="36811" spans="8:16" x14ac:dyDescent="0.25">
      <c r="H36811" s="12"/>
      <c r="I36811" s="12"/>
      <c r="J36811" s="12"/>
      <c r="K36811" s="12"/>
      <c r="L36811" s="12"/>
      <c r="M36811" s="11"/>
      <c r="N36811" s="11"/>
      <c r="O36811" s="11"/>
      <c r="P36811" s="11"/>
    </row>
    <row r="36812" spans="8:16" x14ac:dyDescent="0.25">
      <c r="H36812" s="12"/>
      <c r="I36812" s="12"/>
      <c r="J36812" s="12"/>
      <c r="K36812" s="12"/>
      <c r="L36812" s="12"/>
      <c r="M36812" s="11"/>
      <c r="N36812" s="11"/>
      <c r="O36812" s="11"/>
      <c r="P36812" s="11"/>
    </row>
    <row r="36813" spans="8:16" x14ac:dyDescent="0.25">
      <c r="H36813" s="12"/>
      <c r="I36813" s="12"/>
      <c r="J36813" s="12"/>
      <c r="K36813" s="12"/>
      <c r="L36813" s="12"/>
      <c r="M36813" s="11"/>
      <c r="N36813" s="11"/>
      <c r="O36813" s="11"/>
      <c r="P36813" s="11"/>
    </row>
    <row r="36814" spans="8:16" x14ac:dyDescent="0.25">
      <c r="H36814" s="12"/>
      <c r="I36814" s="12"/>
      <c r="J36814" s="12"/>
      <c r="K36814" s="12"/>
      <c r="L36814" s="12"/>
      <c r="M36814" s="11"/>
      <c r="N36814" s="11"/>
      <c r="O36814" s="11"/>
      <c r="P36814" s="11"/>
    </row>
    <row r="36815" spans="8:16" x14ac:dyDescent="0.25">
      <c r="H36815" s="12"/>
      <c r="I36815" s="12"/>
      <c r="J36815" s="12"/>
      <c r="K36815" s="12"/>
      <c r="L36815" s="12"/>
      <c r="M36815" s="11"/>
      <c r="N36815" s="11"/>
      <c r="O36815" s="11"/>
      <c r="P36815" s="11"/>
    </row>
    <row r="36816" spans="8:16" x14ac:dyDescent="0.25">
      <c r="H36816" s="12"/>
      <c r="I36816" s="12"/>
      <c r="J36816" s="12"/>
      <c r="K36816" s="12"/>
      <c r="L36816" s="12"/>
      <c r="M36816" s="11"/>
      <c r="N36816" s="11"/>
      <c r="O36816" s="11"/>
      <c r="P36816" s="11"/>
    </row>
    <row r="36817" spans="8:16" x14ac:dyDescent="0.25">
      <c r="H36817" s="12"/>
      <c r="I36817" s="12"/>
      <c r="J36817" s="12"/>
      <c r="K36817" s="12"/>
      <c r="L36817" s="12"/>
      <c r="M36817" s="11"/>
      <c r="N36817" s="11"/>
      <c r="O36817" s="11"/>
      <c r="P36817" s="11"/>
    </row>
    <row r="36818" spans="8:16" x14ac:dyDescent="0.25">
      <c r="H36818" s="12"/>
      <c r="I36818" s="12"/>
      <c r="J36818" s="12"/>
      <c r="K36818" s="12"/>
      <c r="L36818" s="12"/>
      <c r="M36818" s="11"/>
      <c r="N36818" s="11"/>
      <c r="O36818" s="11"/>
      <c r="P36818" s="11"/>
    </row>
    <row r="36819" spans="8:16" x14ac:dyDescent="0.25">
      <c r="H36819" s="12"/>
      <c r="I36819" s="12"/>
      <c r="J36819" s="12"/>
      <c r="K36819" s="12"/>
      <c r="L36819" s="12"/>
      <c r="M36819" s="11"/>
      <c r="N36819" s="11"/>
      <c r="O36819" s="11"/>
      <c r="P36819" s="11"/>
    </row>
    <row r="36820" spans="8:16" x14ac:dyDescent="0.25">
      <c r="H36820" s="12"/>
      <c r="I36820" s="12"/>
      <c r="J36820" s="12"/>
      <c r="K36820" s="12"/>
      <c r="L36820" s="12"/>
      <c r="M36820" s="11"/>
      <c r="N36820" s="11"/>
      <c r="O36820" s="11"/>
      <c r="P36820" s="11"/>
    </row>
    <row r="36821" spans="8:16" x14ac:dyDescent="0.25">
      <c r="H36821" s="12"/>
      <c r="I36821" s="12"/>
      <c r="J36821" s="12"/>
      <c r="K36821" s="12"/>
      <c r="L36821" s="12"/>
      <c r="M36821" s="11"/>
      <c r="N36821" s="11"/>
      <c r="O36821" s="11"/>
      <c r="P36821" s="11"/>
    </row>
    <row r="36822" spans="8:16" x14ac:dyDescent="0.25">
      <c r="H36822" s="12"/>
      <c r="I36822" s="12"/>
      <c r="J36822" s="12"/>
      <c r="K36822" s="12"/>
      <c r="L36822" s="12"/>
      <c r="M36822" s="11"/>
      <c r="N36822" s="11"/>
      <c r="O36822" s="11"/>
      <c r="P36822" s="11"/>
    </row>
    <row r="36823" spans="8:16" x14ac:dyDescent="0.25">
      <c r="H36823" s="12"/>
      <c r="I36823" s="12"/>
      <c r="J36823" s="12"/>
      <c r="K36823" s="12"/>
      <c r="L36823" s="12"/>
      <c r="M36823" s="11"/>
      <c r="N36823" s="11"/>
      <c r="O36823" s="11"/>
      <c r="P36823" s="11"/>
    </row>
    <row r="36824" spans="8:16" x14ac:dyDescent="0.25">
      <c r="H36824" s="12"/>
      <c r="I36824" s="12"/>
      <c r="J36824" s="12"/>
      <c r="K36824" s="12"/>
      <c r="L36824" s="12"/>
      <c r="M36824" s="11"/>
      <c r="N36824" s="11"/>
      <c r="O36824" s="11"/>
      <c r="P36824" s="11"/>
    </row>
    <row r="36825" spans="8:16" x14ac:dyDescent="0.25">
      <c r="H36825" s="12"/>
      <c r="I36825" s="12"/>
      <c r="J36825" s="12"/>
      <c r="K36825" s="12"/>
      <c r="L36825" s="12"/>
      <c r="M36825" s="11"/>
      <c r="N36825" s="11"/>
      <c r="O36825" s="11"/>
      <c r="P36825" s="11"/>
    </row>
    <row r="36826" spans="8:16" x14ac:dyDescent="0.25">
      <c r="H36826" s="12"/>
      <c r="I36826" s="12"/>
      <c r="J36826" s="12"/>
      <c r="K36826" s="12"/>
      <c r="L36826" s="12"/>
      <c r="M36826" s="11"/>
      <c r="N36826" s="11"/>
      <c r="O36826" s="11"/>
      <c r="P36826" s="11"/>
    </row>
    <row r="36827" spans="8:16" x14ac:dyDescent="0.25">
      <c r="H36827" s="12"/>
      <c r="I36827" s="12"/>
      <c r="J36827" s="12"/>
      <c r="K36827" s="12"/>
      <c r="L36827" s="12"/>
      <c r="M36827" s="11"/>
      <c r="N36827" s="11"/>
      <c r="O36827" s="11"/>
      <c r="P36827" s="11"/>
    </row>
    <row r="36828" spans="8:16" x14ac:dyDescent="0.25">
      <c r="H36828" s="12"/>
      <c r="I36828" s="12"/>
      <c r="J36828" s="12"/>
      <c r="K36828" s="12"/>
      <c r="L36828" s="12"/>
      <c r="M36828" s="11"/>
      <c r="N36828" s="11"/>
      <c r="O36828" s="11"/>
      <c r="P36828" s="11"/>
    </row>
    <row r="36829" spans="8:16" x14ac:dyDescent="0.25">
      <c r="H36829" s="12"/>
      <c r="I36829" s="12"/>
      <c r="J36829" s="12"/>
      <c r="K36829" s="12"/>
      <c r="L36829" s="12"/>
      <c r="M36829" s="11"/>
      <c r="N36829" s="11"/>
      <c r="O36829" s="11"/>
      <c r="P36829" s="11"/>
    </row>
    <row r="36830" spans="8:16" x14ac:dyDescent="0.25">
      <c r="H36830" s="12"/>
      <c r="I36830" s="12"/>
      <c r="J36830" s="12"/>
      <c r="K36830" s="12"/>
      <c r="L36830" s="12"/>
      <c r="M36830" s="11"/>
      <c r="N36830" s="11"/>
      <c r="O36830" s="11"/>
      <c r="P36830" s="11"/>
    </row>
    <row r="36831" spans="8:16" x14ac:dyDescent="0.25">
      <c r="H36831" s="12"/>
      <c r="I36831" s="12"/>
      <c r="J36831" s="12"/>
      <c r="K36831" s="12"/>
      <c r="L36831" s="12"/>
      <c r="M36831" s="11"/>
      <c r="N36831" s="11"/>
      <c r="O36831" s="11"/>
      <c r="P36831" s="11"/>
    </row>
    <row r="36832" spans="8:16" x14ac:dyDescent="0.25">
      <c r="H36832" s="12"/>
      <c r="I36832" s="12"/>
      <c r="J36832" s="12"/>
      <c r="K36832" s="12"/>
      <c r="L36832" s="12"/>
      <c r="M36832" s="11"/>
      <c r="N36832" s="11"/>
      <c r="O36832" s="11"/>
      <c r="P36832" s="11"/>
    </row>
    <row r="36833" spans="8:16" x14ac:dyDescent="0.25">
      <c r="H36833" s="12"/>
      <c r="I36833" s="12"/>
      <c r="J36833" s="12"/>
      <c r="K36833" s="12"/>
      <c r="L36833" s="12"/>
      <c r="M36833" s="11"/>
      <c r="N36833" s="11"/>
      <c r="O36833" s="11"/>
      <c r="P36833" s="11"/>
    </row>
    <row r="36834" spans="8:16" x14ac:dyDescent="0.25">
      <c r="H36834" s="12"/>
      <c r="I36834" s="12"/>
      <c r="J36834" s="12"/>
      <c r="K36834" s="12"/>
      <c r="L36834" s="12"/>
      <c r="M36834" s="11"/>
      <c r="N36834" s="11"/>
      <c r="O36834" s="11"/>
      <c r="P36834" s="11"/>
    </row>
    <row r="36835" spans="8:16" x14ac:dyDescent="0.25">
      <c r="H36835" s="12"/>
      <c r="I36835" s="12"/>
      <c r="J36835" s="12"/>
      <c r="K36835" s="12"/>
      <c r="L36835" s="12"/>
      <c r="M36835" s="11"/>
      <c r="N36835" s="11"/>
      <c r="O36835" s="11"/>
      <c r="P36835" s="11"/>
    </row>
    <row r="36836" spans="8:16" x14ac:dyDescent="0.25">
      <c r="H36836" s="12"/>
      <c r="I36836" s="12"/>
      <c r="J36836" s="12"/>
      <c r="K36836" s="12"/>
      <c r="L36836" s="12"/>
      <c r="M36836" s="11"/>
      <c r="N36836" s="11"/>
      <c r="O36836" s="11"/>
      <c r="P36836" s="11"/>
    </row>
    <row r="36837" spans="8:16" x14ac:dyDescent="0.25">
      <c r="H36837" s="12"/>
      <c r="I36837" s="12"/>
      <c r="J36837" s="12"/>
      <c r="K36837" s="12"/>
      <c r="L36837" s="12"/>
      <c r="M36837" s="11"/>
      <c r="N36837" s="11"/>
      <c r="O36837" s="11"/>
      <c r="P36837" s="11"/>
    </row>
    <row r="36838" spans="8:16" x14ac:dyDescent="0.25">
      <c r="H36838" s="12"/>
      <c r="I36838" s="12"/>
      <c r="J36838" s="12"/>
      <c r="K36838" s="12"/>
      <c r="L36838" s="12"/>
      <c r="M36838" s="11"/>
      <c r="N36838" s="11"/>
      <c r="O36838" s="11"/>
      <c r="P36838" s="11"/>
    </row>
    <row r="36839" spans="8:16" x14ac:dyDescent="0.25">
      <c r="H36839" s="12"/>
      <c r="I36839" s="12"/>
      <c r="J36839" s="12"/>
      <c r="K36839" s="12"/>
      <c r="L36839" s="12"/>
      <c r="M36839" s="11"/>
      <c r="N36839" s="11"/>
      <c r="O36839" s="11"/>
      <c r="P36839" s="11"/>
    </row>
    <row r="36840" spans="8:16" x14ac:dyDescent="0.25">
      <c r="H36840" s="12"/>
      <c r="I36840" s="12"/>
      <c r="J36840" s="12"/>
      <c r="K36840" s="12"/>
      <c r="L36840" s="12"/>
      <c r="M36840" s="11"/>
      <c r="N36840" s="11"/>
      <c r="O36840" s="11"/>
      <c r="P36840" s="11"/>
    </row>
    <row r="36841" spans="8:16" x14ac:dyDescent="0.25">
      <c r="H36841" s="12"/>
      <c r="I36841" s="12"/>
      <c r="J36841" s="12"/>
      <c r="K36841" s="12"/>
      <c r="L36841" s="12"/>
      <c r="M36841" s="11"/>
      <c r="N36841" s="11"/>
      <c r="O36841" s="11"/>
      <c r="P36841" s="11"/>
    </row>
    <row r="36842" spans="8:16" x14ac:dyDescent="0.25">
      <c r="H36842" s="12"/>
      <c r="I36842" s="12"/>
      <c r="J36842" s="12"/>
      <c r="K36842" s="12"/>
      <c r="L36842" s="12"/>
      <c r="M36842" s="11"/>
      <c r="N36842" s="11"/>
      <c r="O36842" s="11"/>
      <c r="P36842" s="11"/>
    </row>
    <row r="36843" spans="8:16" x14ac:dyDescent="0.25">
      <c r="H36843" s="12"/>
      <c r="I36843" s="12"/>
      <c r="J36843" s="12"/>
      <c r="K36843" s="12"/>
      <c r="L36843" s="12"/>
      <c r="M36843" s="11"/>
      <c r="N36843" s="11"/>
      <c r="O36843" s="11"/>
      <c r="P36843" s="11"/>
    </row>
    <row r="36844" spans="8:16" x14ac:dyDescent="0.25">
      <c r="H36844" s="12"/>
      <c r="I36844" s="12"/>
      <c r="J36844" s="12"/>
      <c r="K36844" s="12"/>
      <c r="L36844" s="12"/>
      <c r="M36844" s="11"/>
      <c r="N36844" s="11"/>
      <c r="O36844" s="11"/>
      <c r="P36844" s="11"/>
    </row>
    <row r="36845" spans="8:16" x14ac:dyDescent="0.25">
      <c r="H36845" s="12"/>
      <c r="I36845" s="12"/>
      <c r="J36845" s="12"/>
      <c r="K36845" s="12"/>
      <c r="L36845" s="12"/>
      <c r="M36845" s="11"/>
      <c r="N36845" s="11"/>
      <c r="O36845" s="11"/>
      <c r="P36845" s="11"/>
    </row>
    <row r="36846" spans="8:16" x14ac:dyDescent="0.25">
      <c r="H36846" s="12"/>
      <c r="I36846" s="12"/>
      <c r="J36846" s="12"/>
      <c r="K36846" s="12"/>
      <c r="L36846" s="12"/>
      <c r="M36846" s="11"/>
      <c r="N36846" s="11"/>
      <c r="O36846" s="11"/>
      <c r="P36846" s="11"/>
    </row>
    <row r="36847" spans="8:16" x14ac:dyDescent="0.25">
      <c r="H36847" s="12"/>
      <c r="I36847" s="12"/>
      <c r="J36847" s="12"/>
      <c r="K36847" s="12"/>
      <c r="L36847" s="12"/>
      <c r="M36847" s="11"/>
      <c r="N36847" s="11"/>
      <c r="O36847" s="11"/>
      <c r="P36847" s="11"/>
    </row>
    <row r="36848" spans="8:16" x14ac:dyDescent="0.25">
      <c r="H36848" s="12"/>
      <c r="I36848" s="12"/>
      <c r="J36848" s="12"/>
      <c r="K36848" s="12"/>
      <c r="L36848" s="12"/>
      <c r="M36848" s="11"/>
      <c r="N36848" s="11"/>
      <c r="O36848" s="11"/>
      <c r="P36848" s="11"/>
    </row>
    <row r="36849" spans="8:16" x14ac:dyDescent="0.25">
      <c r="H36849" s="12"/>
      <c r="I36849" s="12"/>
      <c r="J36849" s="12"/>
      <c r="K36849" s="12"/>
      <c r="L36849" s="12"/>
      <c r="M36849" s="11"/>
      <c r="N36849" s="11"/>
      <c r="O36849" s="11"/>
      <c r="P36849" s="11"/>
    </row>
    <row r="36850" spans="8:16" x14ac:dyDescent="0.25">
      <c r="H36850" s="12"/>
      <c r="I36850" s="12"/>
      <c r="J36850" s="12"/>
      <c r="K36850" s="12"/>
      <c r="L36850" s="12"/>
      <c r="M36850" s="11"/>
      <c r="N36850" s="11"/>
      <c r="O36850" s="11"/>
      <c r="P36850" s="11"/>
    </row>
    <row r="36851" spans="8:16" x14ac:dyDescent="0.25">
      <c r="H36851" s="12"/>
      <c r="I36851" s="12"/>
      <c r="J36851" s="12"/>
      <c r="K36851" s="12"/>
      <c r="L36851" s="12"/>
      <c r="M36851" s="11"/>
      <c r="N36851" s="11"/>
      <c r="O36851" s="11"/>
      <c r="P36851" s="11"/>
    </row>
    <row r="36852" spans="8:16" x14ac:dyDescent="0.25">
      <c r="H36852" s="12"/>
      <c r="I36852" s="12"/>
      <c r="J36852" s="12"/>
      <c r="K36852" s="12"/>
      <c r="L36852" s="12"/>
      <c r="M36852" s="11"/>
      <c r="N36852" s="11"/>
      <c r="O36852" s="11"/>
      <c r="P36852" s="11"/>
    </row>
    <row r="36853" spans="8:16" x14ac:dyDescent="0.25">
      <c r="H36853" s="12"/>
      <c r="I36853" s="12"/>
      <c r="J36853" s="12"/>
      <c r="K36853" s="12"/>
      <c r="L36853" s="12"/>
      <c r="M36853" s="11"/>
      <c r="N36853" s="11"/>
      <c r="O36853" s="11"/>
      <c r="P36853" s="11"/>
    </row>
    <row r="36854" spans="8:16" x14ac:dyDescent="0.25">
      <c r="H36854" s="12"/>
      <c r="I36854" s="12"/>
      <c r="J36854" s="12"/>
      <c r="K36854" s="12"/>
      <c r="L36854" s="12"/>
      <c r="M36854" s="11"/>
      <c r="N36854" s="11"/>
      <c r="O36854" s="11"/>
      <c r="P36854" s="11"/>
    </row>
    <row r="36855" spans="8:16" x14ac:dyDescent="0.25">
      <c r="H36855" s="12"/>
      <c r="I36855" s="12"/>
      <c r="J36855" s="12"/>
      <c r="K36855" s="12"/>
      <c r="L36855" s="12"/>
      <c r="M36855" s="11"/>
      <c r="N36855" s="11"/>
      <c r="O36855" s="11"/>
      <c r="P36855" s="11"/>
    </row>
    <row r="36856" spans="8:16" x14ac:dyDescent="0.25">
      <c r="H36856" s="12"/>
      <c r="I36856" s="12"/>
      <c r="J36856" s="12"/>
      <c r="K36856" s="12"/>
      <c r="L36856" s="12"/>
      <c r="M36856" s="11"/>
      <c r="N36856" s="11"/>
      <c r="O36856" s="11"/>
      <c r="P36856" s="11"/>
    </row>
    <row r="36857" spans="8:16" x14ac:dyDescent="0.25">
      <c r="H36857" s="12"/>
      <c r="I36857" s="12"/>
      <c r="J36857" s="12"/>
      <c r="K36857" s="12"/>
      <c r="L36857" s="12"/>
      <c r="M36857" s="11"/>
      <c r="N36857" s="11"/>
      <c r="O36857" s="11"/>
      <c r="P36857" s="11"/>
    </row>
    <row r="36858" spans="8:16" x14ac:dyDescent="0.25">
      <c r="H36858" s="12"/>
      <c r="I36858" s="12"/>
      <c r="J36858" s="12"/>
      <c r="K36858" s="12"/>
      <c r="L36858" s="12"/>
      <c r="M36858" s="11"/>
      <c r="N36858" s="11"/>
      <c r="O36858" s="11"/>
      <c r="P36858" s="11"/>
    </row>
    <row r="36859" spans="8:16" x14ac:dyDescent="0.25">
      <c r="H36859" s="12"/>
      <c r="I36859" s="12"/>
      <c r="J36859" s="12"/>
      <c r="K36859" s="12"/>
      <c r="L36859" s="12"/>
      <c r="M36859" s="11"/>
      <c r="N36859" s="11"/>
      <c r="O36859" s="11"/>
      <c r="P36859" s="11"/>
    </row>
    <row r="36860" spans="8:16" x14ac:dyDescent="0.25">
      <c r="H36860" s="12"/>
      <c r="I36860" s="12"/>
      <c r="J36860" s="12"/>
      <c r="K36860" s="12"/>
      <c r="L36860" s="12"/>
      <c r="M36860" s="11"/>
      <c r="N36860" s="11"/>
      <c r="O36860" s="11"/>
      <c r="P36860" s="11"/>
    </row>
    <row r="36861" spans="8:16" x14ac:dyDescent="0.25">
      <c r="H36861" s="12"/>
      <c r="I36861" s="12"/>
      <c r="J36861" s="12"/>
      <c r="K36861" s="12"/>
      <c r="L36861" s="12"/>
      <c r="M36861" s="11"/>
      <c r="N36861" s="11"/>
      <c r="O36861" s="11"/>
      <c r="P36861" s="11"/>
    </row>
    <row r="36862" spans="8:16" x14ac:dyDescent="0.25">
      <c r="H36862" s="12"/>
      <c r="I36862" s="12"/>
      <c r="J36862" s="12"/>
      <c r="K36862" s="12"/>
      <c r="L36862" s="12"/>
      <c r="M36862" s="11"/>
      <c r="N36862" s="11"/>
      <c r="O36862" s="11"/>
      <c r="P36862" s="11"/>
    </row>
    <row r="36863" spans="8:16" x14ac:dyDescent="0.25">
      <c r="H36863" s="12"/>
      <c r="I36863" s="12"/>
      <c r="J36863" s="12"/>
      <c r="K36863" s="12"/>
      <c r="L36863" s="12"/>
      <c r="M36863" s="11"/>
      <c r="N36863" s="11"/>
      <c r="O36863" s="11"/>
      <c r="P36863" s="11"/>
    </row>
    <row r="36864" spans="8:16" x14ac:dyDescent="0.25">
      <c r="H36864" s="12"/>
      <c r="I36864" s="12"/>
      <c r="J36864" s="12"/>
      <c r="K36864" s="12"/>
      <c r="L36864" s="12"/>
      <c r="M36864" s="11"/>
      <c r="N36864" s="11"/>
      <c r="O36864" s="11"/>
      <c r="P36864" s="11"/>
    </row>
    <row r="36865" spans="8:16" x14ac:dyDescent="0.25">
      <c r="H36865" s="12"/>
      <c r="I36865" s="12"/>
      <c r="J36865" s="12"/>
      <c r="K36865" s="12"/>
      <c r="L36865" s="12"/>
      <c r="M36865" s="11"/>
      <c r="N36865" s="11"/>
      <c r="O36865" s="11"/>
      <c r="P36865" s="11"/>
    </row>
    <row r="36866" spans="8:16" x14ac:dyDescent="0.25">
      <c r="H36866" s="12"/>
      <c r="I36866" s="12"/>
      <c r="J36866" s="12"/>
      <c r="K36866" s="12"/>
      <c r="L36866" s="12"/>
      <c r="M36866" s="11"/>
      <c r="N36866" s="11"/>
      <c r="O36866" s="11"/>
      <c r="P36866" s="11"/>
    </row>
    <row r="36867" spans="8:16" x14ac:dyDescent="0.25">
      <c r="H36867" s="12"/>
      <c r="I36867" s="12"/>
      <c r="J36867" s="12"/>
      <c r="K36867" s="12"/>
      <c r="L36867" s="12"/>
      <c r="M36867" s="11"/>
      <c r="N36867" s="11"/>
      <c r="O36867" s="11"/>
      <c r="P36867" s="11"/>
    </row>
    <row r="36868" spans="8:16" x14ac:dyDescent="0.25">
      <c r="H36868" s="12"/>
      <c r="I36868" s="12"/>
      <c r="J36868" s="12"/>
      <c r="K36868" s="12"/>
      <c r="L36868" s="12"/>
      <c r="M36868" s="11"/>
      <c r="N36868" s="11"/>
      <c r="O36868" s="11"/>
      <c r="P36868" s="11"/>
    </row>
    <row r="36869" spans="8:16" x14ac:dyDescent="0.25">
      <c r="H36869" s="12"/>
      <c r="I36869" s="12"/>
      <c r="J36869" s="12"/>
      <c r="K36869" s="12"/>
      <c r="L36869" s="12"/>
      <c r="M36869" s="11"/>
      <c r="N36869" s="11"/>
      <c r="O36869" s="11"/>
      <c r="P36869" s="11"/>
    </row>
    <row r="36870" spans="8:16" x14ac:dyDescent="0.25">
      <c r="H36870" s="12"/>
      <c r="I36870" s="12"/>
      <c r="J36870" s="12"/>
      <c r="K36870" s="12"/>
      <c r="L36870" s="12"/>
      <c r="M36870" s="11"/>
      <c r="N36870" s="11"/>
      <c r="O36870" s="11"/>
      <c r="P36870" s="11"/>
    </row>
    <row r="36871" spans="8:16" x14ac:dyDescent="0.25">
      <c r="H36871" s="12"/>
      <c r="I36871" s="12"/>
      <c r="J36871" s="12"/>
      <c r="K36871" s="12"/>
      <c r="L36871" s="12"/>
      <c r="M36871" s="11"/>
      <c r="N36871" s="11"/>
      <c r="O36871" s="11"/>
      <c r="P36871" s="11"/>
    </row>
    <row r="36872" spans="8:16" x14ac:dyDescent="0.25">
      <c r="H36872" s="12"/>
      <c r="I36872" s="12"/>
      <c r="J36872" s="12"/>
      <c r="K36872" s="12"/>
      <c r="L36872" s="12"/>
      <c r="M36872" s="11"/>
      <c r="N36872" s="11"/>
      <c r="O36872" s="11"/>
      <c r="P36872" s="11"/>
    </row>
    <row r="36873" spans="8:16" x14ac:dyDescent="0.25">
      <c r="H36873" s="12"/>
      <c r="I36873" s="12"/>
      <c r="J36873" s="12"/>
      <c r="K36873" s="12"/>
      <c r="L36873" s="12"/>
      <c r="M36873" s="11"/>
      <c r="N36873" s="11"/>
      <c r="O36873" s="11"/>
      <c r="P36873" s="11"/>
    </row>
    <row r="36874" spans="8:16" x14ac:dyDescent="0.25">
      <c r="H36874" s="12"/>
      <c r="I36874" s="12"/>
      <c r="J36874" s="12"/>
      <c r="K36874" s="12"/>
      <c r="L36874" s="12"/>
      <c r="M36874" s="11"/>
      <c r="N36874" s="11"/>
      <c r="O36874" s="11"/>
      <c r="P36874" s="11"/>
    </row>
    <row r="36875" spans="8:16" x14ac:dyDescent="0.25">
      <c r="H36875" s="12"/>
      <c r="I36875" s="12"/>
      <c r="J36875" s="12"/>
      <c r="K36875" s="12"/>
      <c r="L36875" s="12"/>
      <c r="M36875" s="11"/>
      <c r="N36875" s="11"/>
      <c r="O36875" s="11"/>
      <c r="P36875" s="11"/>
    </row>
    <row r="36876" spans="8:16" x14ac:dyDescent="0.25">
      <c r="H36876" s="12"/>
      <c r="I36876" s="12"/>
      <c r="J36876" s="12"/>
      <c r="K36876" s="12"/>
      <c r="L36876" s="12"/>
      <c r="M36876" s="11"/>
      <c r="N36876" s="11"/>
      <c r="O36876" s="11"/>
      <c r="P36876" s="11"/>
    </row>
    <row r="36877" spans="8:16" x14ac:dyDescent="0.25">
      <c r="H36877" s="12"/>
      <c r="I36877" s="12"/>
      <c r="J36877" s="12"/>
      <c r="K36877" s="12"/>
      <c r="L36877" s="12"/>
      <c r="M36877" s="11"/>
      <c r="N36877" s="11"/>
      <c r="O36877" s="11"/>
      <c r="P36877" s="11"/>
    </row>
    <row r="36878" spans="8:16" x14ac:dyDescent="0.25">
      <c r="H36878" s="12"/>
      <c r="I36878" s="12"/>
      <c r="J36878" s="12"/>
      <c r="K36878" s="12"/>
      <c r="L36878" s="12"/>
      <c r="M36878" s="11"/>
      <c r="N36878" s="11"/>
      <c r="O36878" s="11"/>
      <c r="P36878" s="11"/>
    </row>
    <row r="36879" spans="8:16" x14ac:dyDescent="0.25">
      <c r="H36879" s="12"/>
      <c r="I36879" s="12"/>
      <c r="J36879" s="12"/>
      <c r="K36879" s="12"/>
      <c r="L36879" s="12"/>
      <c r="M36879" s="11"/>
      <c r="N36879" s="11"/>
      <c r="O36879" s="11"/>
      <c r="P36879" s="11"/>
    </row>
    <row r="36880" spans="8:16" x14ac:dyDescent="0.25">
      <c r="H36880" s="12"/>
      <c r="I36880" s="12"/>
      <c r="J36880" s="12"/>
      <c r="K36880" s="12"/>
      <c r="L36880" s="12"/>
      <c r="M36880" s="11"/>
      <c r="N36880" s="11"/>
      <c r="O36880" s="11"/>
      <c r="P36880" s="11"/>
    </row>
    <row r="36881" spans="8:16" x14ac:dyDescent="0.25">
      <c r="H36881" s="12"/>
      <c r="I36881" s="12"/>
      <c r="J36881" s="12"/>
      <c r="K36881" s="12"/>
      <c r="L36881" s="12"/>
      <c r="M36881" s="11"/>
      <c r="N36881" s="11"/>
      <c r="O36881" s="11"/>
      <c r="P36881" s="11"/>
    </row>
    <row r="36882" spans="8:16" x14ac:dyDescent="0.25">
      <c r="H36882" s="12"/>
      <c r="I36882" s="12"/>
      <c r="J36882" s="12"/>
      <c r="K36882" s="12"/>
      <c r="L36882" s="12"/>
      <c r="M36882" s="11"/>
      <c r="N36882" s="11"/>
      <c r="O36882" s="11"/>
      <c r="P36882" s="11"/>
    </row>
    <row r="36883" spans="8:16" x14ac:dyDescent="0.25">
      <c r="H36883" s="12"/>
      <c r="I36883" s="12"/>
      <c r="J36883" s="12"/>
      <c r="K36883" s="12"/>
      <c r="L36883" s="12"/>
      <c r="M36883" s="11"/>
      <c r="N36883" s="11"/>
      <c r="O36883" s="11"/>
      <c r="P36883" s="11"/>
    </row>
    <row r="36884" spans="8:16" x14ac:dyDescent="0.25">
      <c r="H36884" s="12"/>
      <c r="I36884" s="12"/>
      <c r="J36884" s="12"/>
      <c r="K36884" s="12"/>
      <c r="L36884" s="12"/>
      <c r="M36884" s="11"/>
      <c r="N36884" s="11"/>
      <c r="O36884" s="11"/>
      <c r="P36884" s="11"/>
    </row>
    <row r="36885" spans="8:16" x14ac:dyDescent="0.25">
      <c r="H36885" s="12"/>
      <c r="I36885" s="12"/>
      <c r="J36885" s="12"/>
      <c r="K36885" s="12"/>
      <c r="L36885" s="12"/>
      <c r="M36885" s="11"/>
      <c r="N36885" s="11"/>
      <c r="O36885" s="11"/>
      <c r="P36885" s="11"/>
    </row>
    <row r="36886" spans="8:16" x14ac:dyDescent="0.25">
      <c r="H36886" s="12"/>
      <c r="I36886" s="12"/>
      <c r="J36886" s="12"/>
      <c r="K36886" s="12"/>
      <c r="L36886" s="12"/>
      <c r="M36886" s="11"/>
      <c r="N36886" s="11"/>
      <c r="O36886" s="11"/>
      <c r="P36886" s="11"/>
    </row>
    <row r="36887" spans="8:16" x14ac:dyDescent="0.25">
      <c r="H36887" s="12"/>
      <c r="I36887" s="12"/>
      <c r="J36887" s="12"/>
      <c r="K36887" s="12"/>
      <c r="L36887" s="12"/>
      <c r="M36887" s="11"/>
      <c r="N36887" s="11"/>
      <c r="O36887" s="11"/>
      <c r="P36887" s="11"/>
    </row>
    <row r="36888" spans="8:16" x14ac:dyDescent="0.25">
      <c r="H36888" s="12"/>
      <c r="I36888" s="12"/>
      <c r="J36888" s="12"/>
      <c r="K36888" s="12"/>
      <c r="L36888" s="12"/>
      <c r="M36888" s="11"/>
      <c r="N36888" s="11"/>
      <c r="O36888" s="11"/>
      <c r="P36888" s="11"/>
    </row>
    <row r="36889" spans="8:16" x14ac:dyDescent="0.25">
      <c r="H36889" s="12"/>
      <c r="I36889" s="12"/>
      <c r="J36889" s="12"/>
      <c r="K36889" s="12"/>
      <c r="L36889" s="12"/>
      <c r="M36889" s="11"/>
      <c r="N36889" s="11"/>
      <c r="O36889" s="11"/>
      <c r="P36889" s="11"/>
    </row>
    <row r="36890" spans="8:16" x14ac:dyDescent="0.25">
      <c r="H36890" s="12"/>
      <c r="I36890" s="12"/>
      <c r="J36890" s="12"/>
      <c r="K36890" s="12"/>
      <c r="L36890" s="12"/>
      <c r="M36890" s="11"/>
      <c r="N36890" s="11"/>
      <c r="O36890" s="11"/>
      <c r="P36890" s="11"/>
    </row>
    <row r="36891" spans="8:16" x14ac:dyDescent="0.25">
      <c r="H36891" s="12"/>
      <c r="I36891" s="12"/>
      <c r="J36891" s="12"/>
      <c r="K36891" s="12"/>
      <c r="L36891" s="12"/>
      <c r="M36891" s="11"/>
      <c r="N36891" s="11"/>
      <c r="O36891" s="11"/>
      <c r="P36891" s="11"/>
    </row>
    <row r="36892" spans="8:16" x14ac:dyDescent="0.25">
      <c r="H36892" s="12"/>
      <c r="I36892" s="12"/>
      <c r="J36892" s="12"/>
      <c r="K36892" s="12"/>
      <c r="L36892" s="12"/>
      <c r="M36892" s="11"/>
      <c r="N36892" s="11"/>
      <c r="O36892" s="11"/>
      <c r="P36892" s="11"/>
    </row>
    <row r="36893" spans="8:16" x14ac:dyDescent="0.25">
      <c r="H36893" s="12"/>
      <c r="I36893" s="12"/>
      <c r="J36893" s="12"/>
      <c r="K36893" s="12"/>
      <c r="L36893" s="12"/>
      <c r="M36893" s="11"/>
      <c r="N36893" s="11"/>
      <c r="O36893" s="11"/>
      <c r="P36893" s="11"/>
    </row>
    <row r="36894" spans="8:16" x14ac:dyDescent="0.25">
      <c r="H36894" s="12"/>
      <c r="I36894" s="12"/>
      <c r="J36894" s="12"/>
      <c r="K36894" s="12"/>
      <c r="L36894" s="12"/>
      <c r="M36894" s="11"/>
      <c r="N36894" s="11"/>
      <c r="O36894" s="11"/>
      <c r="P36894" s="11"/>
    </row>
    <row r="36895" spans="8:16" x14ac:dyDescent="0.25">
      <c r="H36895" s="12"/>
      <c r="I36895" s="12"/>
      <c r="J36895" s="12"/>
      <c r="K36895" s="12"/>
      <c r="L36895" s="12"/>
      <c r="M36895" s="11"/>
      <c r="N36895" s="11"/>
      <c r="O36895" s="11"/>
      <c r="P36895" s="11"/>
    </row>
    <row r="36896" spans="8:16" x14ac:dyDescent="0.25">
      <c r="H36896" s="12"/>
      <c r="I36896" s="12"/>
      <c r="J36896" s="12"/>
      <c r="K36896" s="12"/>
      <c r="L36896" s="12"/>
      <c r="M36896" s="11"/>
      <c r="N36896" s="11"/>
      <c r="O36896" s="11"/>
      <c r="P36896" s="11"/>
    </row>
    <row r="36897" spans="8:16" x14ac:dyDescent="0.25">
      <c r="H36897" s="12"/>
      <c r="I36897" s="12"/>
      <c r="J36897" s="12"/>
      <c r="K36897" s="12"/>
      <c r="L36897" s="12"/>
      <c r="M36897" s="11"/>
      <c r="N36897" s="11"/>
      <c r="O36897" s="11"/>
      <c r="P36897" s="11"/>
    </row>
    <row r="36898" spans="8:16" x14ac:dyDescent="0.25">
      <c r="H36898" s="12"/>
      <c r="I36898" s="12"/>
      <c r="J36898" s="12"/>
      <c r="K36898" s="12"/>
      <c r="L36898" s="12"/>
      <c r="M36898" s="11"/>
      <c r="N36898" s="11"/>
      <c r="O36898" s="11"/>
      <c r="P36898" s="11"/>
    </row>
    <row r="36899" spans="8:16" x14ac:dyDescent="0.25">
      <c r="H36899" s="12"/>
      <c r="I36899" s="12"/>
      <c r="J36899" s="12"/>
      <c r="K36899" s="12"/>
      <c r="L36899" s="12"/>
      <c r="M36899" s="11"/>
      <c r="N36899" s="11"/>
      <c r="O36899" s="11"/>
      <c r="P36899" s="11"/>
    </row>
    <row r="36900" spans="8:16" x14ac:dyDescent="0.25">
      <c r="H36900" s="12"/>
      <c r="I36900" s="12"/>
      <c r="J36900" s="12"/>
      <c r="K36900" s="12"/>
      <c r="L36900" s="12"/>
      <c r="M36900" s="11"/>
      <c r="N36900" s="11"/>
      <c r="O36900" s="11"/>
      <c r="P36900" s="11"/>
    </row>
    <row r="36901" spans="8:16" x14ac:dyDescent="0.25">
      <c r="H36901" s="12"/>
      <c r="I36901" s="12"/>
      <c r="J36901" s="12"/>
      <c r="K36901" s="12"/>
      <c r="L36901" s="12"/>
      <c r="M36901" s="11"/>
      <c r="N36901" s="11"/>
      <c r="O36901" s="11"/>
      <c r="P36901" s="11"/>
    </row>
    <row r="36902" spans="8:16" x14ac:dyDescent="0.25">
      <c r="H36902" s="12"/>
      <c r="I36902" s="12"/>
      <c r="J36902" s="12"/>
      <c r="K36902" s="12"/>
      <c r="L36902" s="12"/>
      <c r="M36902" s="11"/>
      <c r="N36902" s="11"/>
      <c r="O36902" s="11"/>
      <c r="P36902" s="11"/>
    </row>
    <row r="36903" spans="8:16" x14ac:dyDescent="0.25">
      <c r="H36903" s="12"/>
      <c r="I36903" s="12"/>
      <c r="J36903" s="12"/>
      <c r="K36903" s="12"/>
      <c r="L36903" s="12"/>
      <c r="M36903" s="11"/>
      <c r="N36903" s="11"/>
      <c r="O36903" s="11"/>
      <c r="P36903" s="11"/>
    </row>
    <row r="36904" spans="8:16" x14ac:dyDescent="0.25">
      <c r="H36904" s="12"/>
      <c r="I36904" s="12"/>
      <c r="J36904" s="12"/>
      <c r="K36904" s="12"/>
      <c r="L36904" s="12"/>
      <c r="M36904" s="11"/>
      <c r="N36904" s="11"/>
      <c r="O36904" s="11"/>
      <c r="P36904" s="11"/>
    </row>
    <row r="36905" spans="8:16" x14ac:dyDescent="0.25">
      <c r="H36905" s="12"/>
      <c r="I36905" s="12"/>
      <c r="J36905" s="12"/>
      <c r="K36905" s="12"/>
      <c r="L36905" s="12"/>
      <c r="M36905" s="11"/>
      <c r="N36905" s="11"/>
      <c r="O36905" s="11"/>
      <c r="P36905" s="11"/>
    </row>
    <row r="36906" spans="8:16" x14ac:dyDescent="0.25">
      <c r="H36906" s="12"/>
      <c r="I36906" s="12"/>
      <c r="J36906" s="12"/>
      <c r="K36906" s="12"/>
      <c r="L36906" s="12"/>
      <c r="M36906" s="11"/>
      <c r="N36906" s="11"/>
      <c r="O36906" s="11"/>
      <c r="P36906" s="11"/>
    </row>
    <row r="36907" spans="8:16" x14ac:dyDescent="0.25">
      <c r="H36907" s="12"/>
      <c r="I36907" s="12"/>
      <c r="J36907" s="12"/>
      <c r="K36907" s="12"/>
      <c r="L36907" s="12"/>
      <c r="M36907" s="11"/>
      <c r="N36907" s="11"/>
      <c r="O36907" s="11"/>
      <c r="P36907" s="11"/>
    </row>
    <row r="36908" spans="8:16" x14ac:dyDescent="0.25">
      <c r="H36908" s="12"/>
      <c r="I36908" s="12"/>
      <c r="J36908" s="12"/>
      <c r="K36908" s="12"/>
      <c r="L36908" s="12"/>
      <c r="M36908" s="11"/>
      <c r="N36908" s="11"/>
      <c r="O36908" s="11"/>
      <c r="P36908" s="11"/>
    </row>
    <row r="36909" spans="8:16" x14ac:dyDescent="0.25">
      <c r="H36909" s="12"/>
      <c r="I36909" s="12"/>
      <c r="J36909" s="12"/>
      <c r="K36909" s="12"/>
      <c r="L36909" s="12"/>
      <c r="M36909" s="11"/>
      <c r="N36909" s="11"/>
      <c r="O36909" s="11"/>
      <c r="P36909" s="11"/>
    </row>
    <row r="36910" spans="8:16" x14ac:dyDescent="0.25">
      <c r="H36910" s="12"/>
      <c r="I36910" s="12"/>
      <c r="J36910" s="12"/>
      <c r="K36910" s="12"/>
      <c r="L36910" s="12"/>
      <c r="M36910" s="11"/>
      <c r="N36910" s="11"/>
      <c r="O36910" s="11"/>
      <c r="P36910" s="11"/>
    </row>
    <row r="36911" spans="8:16" x14ac:dyDescent="0.25">
      <c r="H36911" s="12"/>
      <c r="I36911" s="12"/>
      <c r="J36911" s="12"/>
      <c r="K36911" s="12"/>
      <c r="L36911" s="12"/>
      <c r="M36911" s="11"/>
      <c r="N36911" s="11"/>
      <c r="O36911" s="11"/>
      <c r="P36911" s="11"/>
    </row>
    <row r="36912" spans="8:16" x14ac:dyDescent="0.25">
      <c r="H36912" s="12"/>
      <c r="I36912" s="12"/>
      <c r="J36912" s="12"/>
      <c r="K36912" s="12"/>
      <c r="L36912" s="12"/>
      <c r="M36912" s="11"/>
      <c r="N36912" s="11"/>
      <c r="O36912" s="11"/>
      <c r="P36912" s="11"/>
    </row>
    <row r="36913" spans="8:16" x14ac:dyDescent="0.25">
      <c r="H36913" s="12"/>
      <c r="I36913" s="12"/>
      <c r="J36913" s="12"/>
      <c r="K36913" s="12"/>
      <c r="L36913" s="12"/>
      <c r="M36913" s="11"/>
      <c r="N36913" s="11"/>
      <c r="O36913" s="11"/>
      <c r="P36913" s="11"/>
    </row>
    <row r="36914" spans="8:16" x14ac:dyDescent="0.25">
      <c r="H36914" s="12"/>
      <c r="I36914" s="12"/>
      <c r="J36914" s="12"/>
      <c r="K36914" s="12"/>
      <c r="L36914" s="12"/>
      <c r="M36914" s="11"/>
      <c r="N36914" s="11"/>
      <c r="O36914" s="11"/>
      <c r="P36914" s="11"/>
    </row>
    <row r="36915" spans="8:16" x14ac:dyDescent="0.25">
      <c r="H36915" s="12"/>
      <c r="I36915" s="12"/>
      <c r="J36915" s="12"/>
      <c r="K36915" s="12"/>
      <c r="L36915" s="12"/>
      <c r="M36915" s="11"/>
      <c r="N36915" s="11"/>
      <c r="O36915" s="11"/>
      <c r="P36915" s="11"/>
    </row>
    <row r="36916" spans="8:16" x14ac:dyDescent="0.25">
      <c r="H36916" s="12"/>
      <c r="I36916" s="12"/>
      <c r="J36916" s="12"/>
      <c r="K36916" s="12"/>
      <c r="L36916" s="12"/>
      <c r="M36916" s="11"/>
      <c r="N36916" s="11"/>
      <c r="O36916" s="11"/>
      <c r="P36916" s="11"/>
    </row>
    <row r="36917" spans="8:16" x14ac:dyDescent="0.25">
      <c r="H36917" s="12"/>
      <c r="I36917" s="12"/>
      <c r="J36917" s="12"/>
      <c r="K36917" s="12"/>
      <c r="L36917" s="12"/>
      <c r="M36917" s="11"/>
      <c r="N36917" s="11"/>
      <c r="O36917" s="11"/>
      <c r="P36917" s="11"/>
    </row>
    <row r="36918" spans="8:16" x14ac:dyDescent="0.25">
      <c r="H36918" s="12"/>
      <c r="I36918" s="12"/>
      <c r="J36918" s="12"/>
      <c r="K36918" s="12"/>
      <c r="L36918" s="12"/>
      <c r="M36918" s="11"/>
      <c r="N36918" s="11"/>
      <c r="O36918" s="11"/>
      <c r="P36918" s="11"/>
    </row>
    <row r="36919" spans="8:16" x14ac:dyDescent="0.25">
      <c r="H36919" s="12"/>
      <c r="I36919" s="12"/>
      <c r="J36919" s="12"/>
      <c r="K36919" s="12"/>
      <c r="L36919" s="12"/>
      <c r="M36919" s="11"/>
      <c r="N36919" s="11"/>
      <c r="O36919" s="11"/>
      <c r="P36919" s="11"/>
    </row>
    <row r="36920" spans="8:16" x14ac:dyDescent="0.25">
      <c r="H36920" s="12"/>
      <c r="I36920" s="12"/>
      <c r="J36920" s="12"/>
      <c r="K36920" s="12"/>
      <c r="L36920" s="12"/>
      <c r="M36920" s="11"/>
      <c r="N36920" s="11"/>
      <c r="O36920" s="11"/>
      <c r="P36920" s="11"/>
    </row>
    <row r="36921" spans="8:16" x14ac:dyDescent="0.25">
      <c r="H36921" s="12"/>
      <c r="I36921" s="12"/>
      <c r="J36921" s="12"/>
      <c r="K36921" s="12"/>
      <c r="L36921" s="12"/>
      <c r="M36921" s="11"/>
      <c r="N36921" s="11"/>
      <c r="O36921" s="11"/>
      <c r="P36921" s="11"/>
    </row>
    <row r="36922" spans="8:16" x14ac:dyDescent="0.25">
      <c r="H36922" s="12"/>
      <c r="I36922" s="12"/>
      <c r="J36922" s="12"/>
      <c r="K36922" s="12"/>
      <c r="L36922" s="12"/>
      <c r="M36922" s="11"/>
      <c r="N36922" s="11"/>
      <c r="O36922" s="11"/>
      <c r="P36922" s="11"/>
    </row>
    <row r="36923" spans="8:16" x14ac:dyDescent="0.25">
      <c r="H36923" s="12"/>
      <c r="I36923" s="12"/>
      <c r="J36923" s="12"/>
      <c r="K36923" s="12"/>
      <c r="L36923" s="12"/>
      <c r="M36923" s="11"/>
      <c r="N36923" s="11"/>
      <c r="O36923" s="11"/>
      <c r="P36923" s="11"/>
    </row>
    <row r="36924" spans="8:16" x14ac:dyDescent="0.25">
      <c r="H36924" s="12"/>
      <c r="I36924" s="12"/>
      <c r="J36924" s="12"/>
      <c r="K36924" s="12"/>
      <c r="L36924" s="12"/>
      <c r="M36924" s="11"/>
      <c r="N36924" s="11"/>
      <c r="O36924" s="11"/>
      <c r="P36924" s="11"/>
    </row>
    <row r="36925" spans="8:16" x14ac:dyDescent="0.25">
      <c r="H36925" s="12"/>
      <c r="I36925" s="12"/>
      <c r="J36925" s="12"/>
      <c r="K36925" s="12"/>
      <c r="L36925" s="12"/>
      <c r="M36925" s="11"/>
      <c r="N36925" s="11"/>
      <c r="O36925" s="11"/>
      <c r="P36925" s="11"/>
    </row>
    <row r="36926" spans="8:16" x14ac:dyDescent="0.25">
      <c r="H36926" s="12"/>
      <c r="I36926" s="12"/>
      <c r="J36926" s="12"/>
      <c r="K36926" s="12"/>
      <c r="L36926" s="12"/>
      <c r="M36926" s="11"/>
      <c r="N36926" s="11"/>
      <c r="O36926" s="11"/>
      <c r="P36926" s="11"/>
    </row>
    <row r="36927" spans="8:16" x14ac:dyDescent="0.25">
      <c r="H36927" s="12"/>
      <c r="I36927" s="12"/>
      <c r="J36927" s="12"/>
      <c r="K36927" s="12"/>
      <c r="L36927" s="12"/>
      <c r="M36927" s="11"/>
      <c r="N36927" s="11"/>
      <c r="O36927" s="11"/>
      <c r="P36927" s="11"/>
    </row>
    <row r="36928" spans="8:16" x14ac:dyDescent="0.25">
      <c r="H36928" s="12"/>
      <c r="I36928" s="12"/>
      <c r="J36928" s="12"/>
      <c r="K36928" s="12"/>
      <c r="L36928" s="12"/>
      <c r="M36928" s="11"/>
      <c r="N36928" s="11"/>
      <c r="O36928" s="11"/>
      <c r="P36928" s="11"/>
    </row>
    <row r="36929" spans="8:16" x14ac:dyDescent="0.25">
      <c r="H36929" s="12"/>
      <c r="I36929" s="12"/>
      <c r="J36929" s="12"/>
      <c r="K36929" s="12"/>
      <c r="L36929" s="12"/>
      <c r="M36929" s="11"/>
      <c r="N36929" s="11"/>
      <c r="O36929" s="11"/>
      <c r="P36929" s="11"/>
    </row>
    <row r="36930" spans="8:16" x14ac:dyDescent="0.25">
      <c r="H36930" s="12"/>
      <c r="I36930" s="12"/>
      <c r="J36930" s="12"/>
      <c r="K36930" s="12"/>
      <c r="L36930" s="12"/>
      <c r="M36930" s="11"/>
      <c r="N36930" s="11"/>
      <c r="O36930" s="11"/>
      <c r="P36930" s="11"/>
    </row>
    <row r="36931" spans="8:16" x14ac:dyDescent="0.25">
      <c r="H36931" s="12"/>
      <c r="I36931" s="12"/>
      <c r="J36931" s="12"/>
      <c r="K36931" s="12"/>
      <c r="L36931" s="12"/>
      <c r="M36931" s="11"/>
      <c r="N36931" s="11"/>
      <c r="O36931" s="11"/>
      <c r="P36931" s="11"/>
    </row>
    <row r="36932" spans="8:16" x14ac:dyDescent="0.25">
      <c r="H36932" s="12"/>
      <c r="I36932" s="12"/>
      <c r="J36932" s="12"/>
      <c r="K36932" s="12"/>
      <c r="L36932" s="12"/>
      <c r="M36932" s="11"/>
      <c r="N36932" s="11"/>
      <c r="O36932" s="11"/>
      <c r="P36932" s="11"/>
    </row>
    <row r="36933" spans="8:16" x14ac:dyDescent="0.25">
      <c r="H36933" s="12"/>
      <c r="I36933" s="12"/>
      <c r="J36933" s="12"/>
      <c r="K36933" s="12"/>
      <c r="L36933" s="12"/>
      <c r="M36933" s="11"/>
      <c r="N36933" s="11"/>
      <c r="O36933" s="11"/>
      <c r="P36933" s="11"/>
    </row>
    <row r="36934" spans="8:16" x14ac:dyDescent="0.25">
      <c r="H36934" s="12"/>
      <c r="I36934" s="12"/>
      <c r="J36934" s="12"/>
      <c r="K36934" s="12"/>
      <c r="L36934" s="12"/>
      <c r="M36934" s="11"/>
      <c r="N36934" s="11"/>
      <c r="O36934" s="11"/>
      <c r="P36934" s="11"/>
    </row>
    <row r="36935" spans="8:16" x14ac:dyDescent="0.25">
      <c r="H36935" s="12"/>
      <c r="I36935" s="12"/>
      <c r="J36935" s="12"/>
      <c r="K36935" s="12"/>
      <c r="L36935" s="12"/>
      <c r="M36935" s="11"/>
      <c r="N36935" s="11"/>
      <c r="O36935" s="11"/>
      <c r="P36935" s="11"/>
    </row>
    <row r="36936" spans="8:16" x14ac:dyDescent="0.25">
      <c r="H36936" s="12"/>
      <c r="I36936" s="12"/>
      <c r="J36936" s="12"/>
      <c r="K36936" s="12"/>
      <c r="L36936" s="12"/>
      <c r="M36936" s="11"/>
      <c r="N36936" s="11"/>
      <c r="O36936" s="11"/>
      <c r="P36936" s="11"/>
    </row>
    <row r="36937" spans="8:16" x14ac:dyDescent="0.25">
      <c r="H36937" s="12"/>
      <c r="I36937" s="12"/>
      <c r="J36937" s="12"/>
      <c r="K36937" s="12"/>
      <c r="L36937" s="12"/>
      <c r="M36937" s="11"/>
      <c r="N36937" s="11"/>
      <c r="O36937" s="11"/>
      <c r="P36937" s="11"/>
    </row>
    <row r="36938" spans="8:16" x14ac:dyDescent="0.25">
      <c r="H36938" s="12"/>
      <c r="I36938" s="12"/>
      <c r="J36938" s="12"/>
      <c r="K36938" s="12"/>
      <c r="L36938" s="12"/>
      <c r="M36938" s="11"/>
      <c r="N36938" s="11"/>
      <c r="O36938" s="11"/>
      <c r="P36938" s="11"/>
    </row>
    <row r="36939" spans="8:16" x14ac:dyDescent="0.25">
      <c r="H36939" s="12"/>
      <c r="I36939" s="12"/>
      <c r="J36939" s="12"/>
      <c r="K36939" s="12"/>
      <c r="L36939" s="12"/>
      <c r="M36939" s="11"/>
      <c r="N36939" s="11"/>
      <c r="O36939" s="11"/>
      <c r="P36939" s="11"/>
    </row>
    <row r="36940" spans="8:16" x14ac:dyDescent="0.25">
      <c r="H36940" s="12"/>
      <c r="I36940" s="12"/>
      <c r="J36940" s="12"/>
      <c r="K36940" s="12"/>
      <c r="L36940" s="12"/>
      <c r="M36940" s="11"/>
      <c r="N36940" s="11"/>
      <c r="O36940" s="11"/>
      <c r="P36940" s="11"/>
    </row>
    <row r="36941" spans="8:16" x14ac:dyDescent="0.25">
      <c r="H36941" s="12"/>
      <c r="I36941" s="12"/>
      <c r="J36941" s="12"/>
      <c r="K36941" s="12"/>
      <c r="L36941" s="12"/>
      <c r="M36941" s="11"/>
      <c r="N36941" s="11"/>
      <c r="O36941" s="11"/>
      <c r="P36941" s="11"/>
    </row>
    <row r="36942" spans="8:16" x14ac:dyDescent="0.25">
      <c r="H36942" s="12"/>
      <c r="I36942" s="12"/>
      <c r="J36942" s="12"/>
      <c r="K36942" s="12"/>
      <c r="L36942" s="12"/>
      <c r="M36942" s="11"/>
      <c r="N36942" s="11"/>
      <c r="O36942" s="11"/>
      <c r="P36942" s="11"/>
    </row>
    <row r="36943" spans="8:16" x14ac:dyDescent="0.25">
      <c r="H36943" s="12"/>
      <c r="I36943" s="12"/>
      <c r="J36943" s="12"/>
      <c r="K36943" s="12"/>
      <c r="L36943" s="12"/>
      <c r="M36943" s="11"/>
      <c r="N36943" s="11"/>
      <c r="O36943" s="11"/>
      <c r="P36943" s="11"/>
    </row>
    <row r="36944" spans="8:16" x14ac:dyDescent="0.25">
      <c r="H36944" s="12"/>
      <c r="I36944" s="12"/>
      <c r="J36944" s="12"/>
      <c r="K36944" s="12"/>
      <c r="L36944" s="12"/>
      <c r="M36944" s="11"/>
      <c r="N36944" s="11"/>
      <c r="O36944" s="11"/>
      <c r="P36944" s="11"/>
    </row>
    <row r="36945" spans="8:16" x14ac:dyDescent="0.25">
      <c r="H36945" s="12"/>
      <c r="I36945" s="12"/>
      <c r="J36945" s="12"/>
      <c r="K36945" s="12"/>
      <c r="L36945" s="12"/>
      <c r="M36945" s="11"/>
      <c r="N36945" s="11"/>
      <c r="O36945" s="11"/>
      <c r="P36945" s="11"/>
    </row>
    <row r="36946" spans="8:16" x14ac:dyDescent="0.25">
      <c r="H36946" s="12"/>
      <c r="I36946" s="12"/>
      <c r="J36946" s="12"/>
      <c r="K36946" s="12"/>
      <c r="L36946" s="12"/>
      <c r="M36946" s="11"/>
      <c r="N36946" s="11"/>
      <c r="O36946" s="11"/>
      <c r="P36946" s="11"/>
    </row>
    <row r="36947" spans="8:16" x14ac:dyDescent="0.25">
      <c r="H36947" s="12"/>
      <c r="I36947" s="12"/>
      <c r="J36947" s="12"/>
      <c r="K36947" s="12"/>
      <c r="L36947" s="12"/>
      <c r="M36947" s="11"/>
      <c r="N36947" s="11"/>
      <c r="O36947" s="11"/>
      <c r="P36947" s="11"/>
    </row>
    <row r="36948" spans="8:16" x14ac:dyDescent="0.25">
      <c r="H36948" s="12"/>
      <c r="I36948" s="12"/>
      <c r="J36948" s="12"/>
      <c r="K36948" s="12"/>
      <c r="L36948" s="12"/>
      <c r="M36948" s="11"/>
      <c r="N36948" s="11"/>
      <c r="O36948" s="11"/>
      <c r="P36948" s="11"/>
    </row>
    <row r="36949" spans="8:16" x14ac:dyDescent="0.25">
      <c r="H36949" s="12"/>
      <c r="I36949" s="12"/>
      <c r="J36949" s="12"/>
      <c r="K36949" s="12"/>
      <c r="L36949" s="12"/>
      <c r="M36949" s="11"/>
      <c r="N36949" s="11"/>
      <c r="O36949" s="11"/>
      <c r="P36949" s="11"/>
    </row>
    <row r="36950" spans="8:16" x14ac:dyDescent="0.25">
      <c r="H36950" s="12"/>
      <c r="I36950" s="12"/>
      <c r="J36950" s="12"/>
      <c r="K36950" s="12"/>
      <c r="L36950" s="12"/>
      <c r="M36950" s="11"/>
      <c r="N36950" s="11"/>
      <c r="O36950" s="11"/>
      <c r="P36950" s="11"/>
    </row>
    <row r="36951" spans="8:16" x14ac:dyDescent="0.25">
      <c r="H36951" s="12"/>
      <c r="I36951" s="12"/>
      <c r="J36951" s="12"/>
      <c r="K36951" s="12"/>
      <c r="L36951" s="12"/>
      <c r="M36951" s="11"/>
      <c r="N36951" s="11"/>
      <c r="O36951" s="11"/>
      <c r="P36951" s="11"/>
    </row>
    <row r="36952" spans="8:16" x14ac:dyDescent="0.25">
      <c r="H36952" s="12"/>
      <c r="I36952" s="12"/>
      <c r="J36952" s="12"/>
      <c r="K36952" s="12"/>
      <c r="L36952" s="12"/>
      <c r="M36952" s="11"/>
      <c r="N36952" s="11"/>
      <c r="O36952" s="11"/>
      <c r="P36952" s="11"/>
    </row>
    <row r="36953" spans="8:16" x14ac:dyDescent="0.25">
      <c r="H36953" s="12"/>
      <c r="I36953" s="12"/>
      <c r="J36953" s="12"/>
      <c r="K36953" s="12"/>
      <c r="L36953" s="12"/>
      <c r="M36953" s="11"/>
      <c r="N36953" s="11"/>
      <c r="O36953" s="11"/>
      <c r="P36953" s="11"/>
    </row>
    <row r="36954" spans="8:16" x14ac:dyDescent="0.25">
      <c r="H36954" s="12"/>
      <c r="I36954" s="12"/>
      <c r="J36954" s="12"/>
      <c r="K36954" s="12"/>
      <c r="L36954" s="12"/>
      <c r="M36954" s="11"/>
      <c r="N36954" s="11"/>
      <c r="O36954" s="11"/>
      <c r="P36954" s="11"/>
    </row>
    <row r="36955" spans="8:16" x14ac:dyDescent="0.25">
      <c r="H36955" s="12"/>
      <c r="I36955" s="12"/>
      <c r="J36955" s="12"/>
      <c r="K36955" s="12"/>
      <c r="L36955" s="12"/>
      <c r="M36955" s="11"/>
      <c r="N36955" s="11"/>
      <c r="O36955" s="11"/>
      <c r="P36955" s="11"/>
    </row>
    <row r="36956" spans="8:16" x14ac:dyDescent="0.25">
      <c r="H36956" s="12"/>
      <c r="I36956" s="12"/>
      <c r="J36956" s="12"/>
      <c r="K36956" s="12"/>
      <c r="L36956" s="12"/>
      <c r="M36956" s="11"/>
      <c r="N36956" s="11"/>
      <c r="O36956" s="11"/>
      <c r="P36956" s="11"/>
    </row>
    <row r="36957" spans="8:16" x14ac:dyDescent="0.25">
      <c r="H36957" s="12"/>
      <c r="I36957" s="12"/>
      <c r="J36957" s="12"/>
      <c r="K36957" s="12"/>
      <c r="L36957" s="12"/>
      <c r="M36957" s="11"/>
      <c r="N36957" s="11"/>
      <c r="O36957" s="11"/>
      <c r="P36957" s="11"/>
    </row>
    <row r="36958" spans="8:16" x14ac:dyDescent="0.25">
      <c r="H36958" s="12"/>
      <c r="I36958" s="12"/>
      <c r="J36958" s="12"/>
      <c r="K36958" s="12"/>
      <c r="L36958" s="12"/>
      <c r="M36958" s="11"/>
      <c r="N36958" s="11"/>
      <c r="O36958" s="11"/>
      <c r="P36958" s="11"/>
    </row>
    <row r="36959" spans="8:16" x14ac:dyDescent="0.25">
      <c r="H36959" s="12"/>
      <c r="I36959" s="12"/>
      <c r="J36959" s="12"/>
      <c r="K36959" s="12"/>
      <c r="L36959" s="12"/>
      <c r="M36959" s="11"/>
      <c r="N36959" s="11"/>
      <c r="O36959" s="11"/>
      <c r="P36959" s="11"/>
    </row>
    <row r="36960" spans="8:16" x14ac:dyDescent="0.25">
      <c r="H36960" s="12"/>
      <c r="I36960" s="12"/>
      <c r="J36960" s="12"/>
      <c r="K36960" s="12"/>
      <c r="L36960" s="12"/>
      <c r="M36960" s="11"/>
      <c r="N36960" s="11"/>
      <c r="O36960" s="11"/>
      <c r="P36960" s="11"/>
    </row>
    <row r="36961" spans="8:16" x14ac:dyDescent="0.25">
      <c r="H36961" s="12"/>
      <c r="I36961" s="12"/>
      <c r="J36961" s="12"/>
      <c r="K36961" s="12"/>
      <c r="L36961" s="12"/>
      <c r="M36961" s="11"/>
      <c r="N36961" s="11"/>
      <c r="O36961" s="11"/>
      <c r="P36961" s="11"/>
    </row>
    <row r="36962" spans="8:16" x14ac:dyDescent="0.25">
      <c r="H36962" s="12"/>
      <c r="I36962" s="12"/>
      <c r="J36962" s="12"/>
      <c r="K36962" s="12"/>
      <c r="L36962" s="12"/>
      <c r="M36962" s="11"/>
      <c r="N36962" s="11"/>
      <c r="O36962" s="11"/>
      <c r="P36962" s="11"/>
    </row>
    <row r="36963" spans="8:16" x14ac:dyDescent="0.25">
      <c r="H36963" s="12"/>
      <c r="I36963" s="12"/>
      <c r="J36963" s="12"/>
      <c r="K36963" s="12"/>
      <c r="L36963" s="12"/>
      <c r="M36963" s="11"/>
      <c r="N36963" s="11"/>
      <c r="O36963" s="11"/>
      <c r="P36963" s="11"/>
    </row>
    <row r="36964" spans="8:16" x14ac:dyDescent="0.25">
      <c r="H36964" s="12"/>
      <c r="I36964" s="12"/>
      <c r="J36964" s="12"/>
      <c r="K36964" s="12"/>
      <c r="L36964" s="12"/>
      <c r="M36964" s="11"/>
      <c r="N36964" s="11"/>
      <c r="O36964" s="11"/>
      <c r="P36964" s="11"/>
    </row>
    <row r="36965" spans="8:16" x14ac:dyDescent="0.25">
      <c r="H36965" s="12"/>
      <c r="I36965" s="12"/>
      <c r="J36965" s="12"/>
      <c r="K36965" s="12"/>
      <c r="L36965" s="12"/>
      <c r="M36965" s="11"/>
      <c r="N36965" s="11"/>
      <c r="O36965" s="11"/>
      <c r="P36965" s="11"/>
    </row>
    <row r="36966" spans="8:16" x14ac:dyDescent="0.25">
      <c r="H36966" s="12"/>
      <c r="I36966" s="12"/>
      <c r="J36966" s="12"/>
      <c r="K36966" s="12"/>
      <c r="L36966" s="12"/>
      <c r="M36966" s="11"/>
      <c r="N36966" s="11"/>
      <c r="O36966" s="11"/>
      <c r="P36966" s="11"/>
    </row>
    <row r="36967" spans="8:16" x14ac:dyDescent="0.25">
      <c r="H36967" s="12"/>
      <c r="I36967" s="12"/>
      <c r="J36967" s="12"/>
      <c r="K36967" s="12"/>
      <c r="L36967" s="12"/>
      <c r="M36967" s="11"/>
      <c r="N36967" s="11"/>
      <c r="O36967" s="11"/>
      <c r="P36967" s="11"/>
    </row>
    <row r="36968" spans="8:16" x14ac:dyDescent="0.25">
      <c r="H36968" s="12"/>
      <c r="I36968" s="12"/>
      <c r="J36968" s="12"/>
      <c r="K36968" s="12"/>
      <c r="L36968" s="12"/>
      <c r="M36968" s="11"/>
      <c r="N36968" s="11"/>
      <c r="O36968" s="11"/>
      <c r="P36968" s="11"/>
    </row>
    <row r="36969" spans="8:16" x14ac:dyDescent="0.25">
      <c r="H36969" s="12"/>
      <c r="I36969" s="12"/>
      <c r="J36969" s="12"/>
      <c r="K36969" s="12"/>
      <c r="L36969" s="12"/>
      <c r="M36969" s="11"/>
      <c r="N36969" s="11"/>
      <c r="O36969" s="11"/>
      <c r="P36969" s="11"/>
    </row>
    <row r="36970" spans="8:16" x14ac:dyDescent="0.25">
      <c r="H36970" s="12"/>
      <c r="I36970" s="12"/>
      <c r="J36970" s="12"/>
      <c r="K36970" s="12"/>
      <c r="L36970" s="12"/>
      <c r="M36970" s="11"/>
      <c r="N36970" s="11"/>
      <c r="O36970" s="11"/>
      <c r="P36970" s="11"/>
    </row>
    <row r="36971" spans="8:16" x14ac:dyDescent="0.25">
      <c r="H36971" s="12"/>
      <c r="I36971" s="12"/>
      <c r="J36971" s="12"/>
      <c r="K36971" s="12"/>
      <c r="L36971" s="12"/>
      <c r="M36971" s="11"/>
      <c r="N36971" s="11"/>
      <c r="O36971" s="11"/>
      <c r="P36971" s="11"/>
    </row>
    <row r="36972" spans="8:16" x14ac:dyDescent="0.25">
      <c r="H36972" s="12"/>
      <c r="I36972" s="12"/>
      <c r="J36972" s="12"/>
      <c r="K36972" s="12"/>
      <c r="L36972" s="12"/>
      <c r="M36972" s="11"/>
      <c r="N36972" s="11"/>
      <c r="O36972" s="11"/>
      <c r="P36972" s="11"/>
    </row>
    <row r="36973" spans="8:16" x14ac:dyDescent="0.25">
      <c r="H36973" s="12"/>
      <c r="I36973" s="12"/>
      <c r="J36973" s="12"/>
      <c r="K36973" s="12"/>
      <c r="L36973" s="12"/>
      <c r="M36973" s="11"/>
      <c r="N36973" s="11"/>
      <c r="O36973" s="11"/>
      <c r="P36973" s="11"/>
    </row>
    <row r="36974" spans="8:16" x14ac:dyDescent="0.25">
      <c r="H36974" s="12"/>
      <c r="I36974" s="12"/>
      <c r="J36974" s="12"/>
      <c r="K36974" s="12"/>
      <c r="L36974" s="12"/>
      <c r="M36974" s="11"/>
      <c r="N36974" s="11"/>
      <c r="O36974" s="11"/>
      <c r="P36974" s="11"/>
    </row>
    <row r="36975" spans="8:16" x14ac:dyDescent="0.25">
      <c r="H36975" s="12"/>
      <c r="I36975" s="12"/>
      <c r="J36975" s="12"/>
      <c r="K36975" s="12"/>
      <c r="L36975" s="12"/>
      <c r="M36975" s="11"/>
      <c r="N36975" s="11"/>
      <c r="O36975" s="11"/>
      <c r="P36975" s="11"/>
    </row>
    <row r="36976" spans="8:16" x14ac:dyDescent="0.25">
      <c r="H36976" s="12"/>
      <c r="I36976" s="12"/>
      <c r="J36976" s="12"/>
      <c r="K36976" s="12"/>
      <c r="L36976" s="12"/>
      <c r="M36976" s="11"/>
      <c r="N36976" s="11"/>
      <c r="O36976" s="11"/>
      <c r="P36976" s="11"/>
    </row>
    <row r="36977" spans="8:16" x14ac:dyDescent="0.25">
      <c r="H36977" s="12"/>
      <c r="I36977" s="12"/>
      <c r="J36977" s="12"/>
      <c r="K36977" s="12"/>
      <c r="L36977" s="12"/>
      <c r="M36977" s="11"/>
      <c r="N36977" s="11"/>
      <c r="O36977" s="11"/>
      <c r="P36977" s="11"/>
    </row>
    <row r="36978" spans="8:16" x14ac:dyDescent="0.25">
      <c r="H36978" s="12"/>
      <c r="I36978" s="12"/>
      <c r="J36978" s="12"/>
      <c r="K36978" s="12"/>
      <c r="L36978" s="12"/>
      <c r="M36978" s="11"/>
      <c r="N36978" s="11"/>
      <c r="O36978" s="11"/>
      <c r="P36978" s="11"/>
    </row>
    <row r="36979" spans="8:16" x14ac:dyDescent="0.25">
      <c r="H36979" s="12"/>
      <c r="I36979" s="12"/>
      <c r="J36979" s="12"/>
      <c r="K36979" s="12"/>
      <c r="L36979" s="12"/>
      <c r="M36979" s="11"/>
      <c r="N36979" s="11"/>
      <c r="O36979" s="11"/>
      <c r="P36979" s="11"/>
    </row>
    <row r="36980" spans="8:16" x14ac:dyDescent="0.25">
      <c r="H36980" s="12"/>
      <c r="I36980" s="12"/>
      <c r="J36980" s="12"/>
      <c r="K36980" s="12"/>
      <c r="L36980" s="12"/>
      <c r="M36980" s="11"/>
      <c r="N36980" s="11"/>
      <c r="O36980" s="11"/>
      <c r="P36980" s="11"/>
    </row>
    <row r="36981" spans="8:16" x14ac:dyDescent="0.25">
      <c r="H36981" s="12"/>
      <c r="I36981" s="12"/>
      <c r="J36981" s="12"/>
      <c r="K36981" s="12"/>
      <c r="L36981" s="12"/>
      <c r="M36981" s="11"/>
      <c r="N36981" s="11"/>
      <c r="O36981" s="11"/>
      <c r="P36981" s="11"/>
    </row>
    <row r="36982" spans="8:16" x14ac:dyDescent="0.25">
      <c r="H36982" s="12"/>
      <c r="I36982" s="12"/>
      <c r="J36982" s="12"/>
      <c r="K36982" s="12"/>
      <c r="L36982" s="12"/>
      <c r="M36982" s="11"/>
      <c r="N36982" s="11"/>
      <c r="O36982" s="11"/>
      <c r="P36982" s="11"/>
    </row>
    <row r="36983" spans="8:16" x14ac:dyDescent="0.25">
      <c r="H36983" s="12"/>
      <c r="I36983" s="12"/>
      <c r="J36983" s="12"/>
      <c r="K36983" s="12"/>
      <c r="L36983" s="12"/>
      <c r="M36983" s="11"/>
      <c r="N36983" s="11"/>
      <c r="O36983" s="11"/>
      <c r="P36983" s="11"/>
    </row>
    <row r="36984" spans="8:16" x14ac:dyDescent="0.25">
      <c r="H36984" s="12"/>
      <c r="I36984" s="12"/>
      <c r="J36984" s="12"/>
      <c r="K36984" s="12"/>
      <c r="L36984" s="12"/>
      <c r="M36984" s="11"/>
      <c r="N36984" s="11"/>
      <c r="O36984" s="11"/>
      <c r="P36984" s="11"/>
    </row>
    <row r="36985" spans="8:16" x14ac:dyDescent="0.25">
      <c r="H36985" s="12"/>
      <c r="I36985" s="12"/>
      <c r="J36985" s="12"/>
      <c r="K36985" s="12"/>
      <c r="L36985" s="12"/>
      <c r="M36985" s="11"/>
      <c r="N36985" s="11"/>
      <c r="O36985" s="11"/>
      <c r="P36985" s="11"/>
    </row>
    <row r="36986" spans="8:16" x14ac:dyDescent="0.25">
      <c r="H36986" s="12"/>
      <c r="I36986" s="12"/>
      <c r="J36986" s="12"/>
      <c r="K36986" s="12"/>
      <c r="L36986" s="12"/>
      <c r="M36986" s="11"/>
      <c r="N36986" s="11"/>
      <c r="O36986" s="11"/>
      <c r="P36986" s="11"/>
    </row>
    <row r="36987" spans="8:16" x14ac:dyDescent="0.25">
      <c r="H36987" s="12"/>
      <c r="I36987" s="12"/>
      <c r="J36987" s="12"/>
      <c r="K36987" s="12"/>
      <c r="L36987" s="12"/>
      <c r="M36987" s="11"/>
      <c r="N36987" s="11"/>
      <c r="O36987" s="11"/>
      <c r="P36987" s="11"/>
    </row>
    <row r="36988" spans="8:16" x14ac:dyDescent="0.25">
      <c r="H36988" s="12"/>
      <c r="I36988" s="12"/>
      <c r="J36988" s="12"/>
      <c r="K36988" s="12"/>
      <c r="L36988" s="12"/>
      <c r="M36988" s="11"/>
      <c r="N36988" s="11"/>
      <c r="O36988" s="11"/>
      <c r="P36988" s="11"/>
    </row>
    <row r="36989" spans="8:16" x14ac:dyDescent="0.25">
      <c r="H36989" s="12"/>
      <c r="I36989" s="12"/>
      <c r="J36989" s="12"/>
      <c r="K36989" s="12"/>
      <c r="L36989" s="12"/>
      <c r="M36989" s="11"/>
      <c r="N36989" s="11"/>
      <c r="O36989" s="11"/>
      <c r="P36989" s="11"/>
    </row>
    <row r="36990" spans="8:16" x14ac:dyDescent="0.25">
      <c r="H36990" s="12"/>
      <c r="I36990" s="12"/>
      <c r="J36990" s="12"/>
      <c r="K36990" s="12"/>
      <c r="L36990" s="12"/>
      <c r="M36990" s="11"/>
      <c r="N36990" s="11"/>
      <c r="O36990" s="11"/>
      <c r="P36990" s="11"/>
    </row>
    <row r="36991" spans="8:16" x14ac:dyDescent="0.25">
      <c r="H36991" s="12"/>
      <c r="I36991" s="12"/>
      <c r="J36991" s="12"/>
      <c r="K36991" s="12"/>
      <c r="L36991" s="12"/>
      <c r="M36991" s="11"/>
      <c r="N36991" s="11"/>
      <c r="O36991" s="11"/>
      <c r="P36991" s="11"/>
    </row>
    <row r="36992" spans="8:16" x14ac:dyDescent="0.25">
      <c r="H36992" s="12"/>
      <c r="I36992" s="12"/>
      <c r="J36992" s="12"/>
      <c r="K36992" s="12"/>
      <c r="L36992" s="12"/>
      <c r="M36992" s="11"/>
      <c r="N36992" s="11"/>
      <c r="O36992" s="11"/>
      <c r="P36992" s="11"/>
    </row>
    <row r="36993" spans="8:16" x14ac:dyDescent="0.25">
      <c r="H36993" s="12"/>
      <c r="I36993" s="12"/>
      <c r="J36993" s="12"/>
      <c r="K36993" s="12"/>
      <c r="L36993" s="12"/>
      <c r="M36993" s="11"/>
      <c r="N36993" s="11"/>
      <c r="O36993" s="11"/>
      <c r="P36993" s="11"/>
    </row>
    <row r="36994" spans="8:16" x14ac:dyDescent="0.25">
      <c r="H36994" s="12"/>
      <c r="I36994" s="12"/>
      <c r="J36994" s="12"/>
      <c r="K36994" s="12"/>
      <c r="L36994" s="12"/>
      <c r="M36994" s="11"/>
      <c r="N36994" s="11"/>
      <c r="O36994" s="11"/>
      <c r="P36994" s="11"/>
    </row>
    <row r="36995" spans="8:16" x14ac:dyDescent="0.25">
      <c r="H36995" s="12"/>
      <c r="I36995" s="12"/>
      <c r="J36995" s="12"/>
      <c r="K36995" s="12"/>
      <c r="L36995" s="12"/>
      <c r="M36995" s="11"/>
      <c r="N36995" s="11"/>
      <c r="O36995" s="11"/>
      <c r="P36995" s="11"/>
    </row>
    <row r="36996" spans="8:16" x14ac:dyDescent="0.25">
      <c r="H36996" s="12"/>
      <c r="I36996" s="12"/>
      <c r="J36996" s="12"/>
      <c r="K36996" s="12"/>
      <c r="L36996" s="12"/>
      <c r="M36996" s="11"/>
      <c r="N36996" s="11"/>
      <c r="O36996" s="11"/>
      <c r="P36996" s="11"/>
    </row>
    <row r="36997" spans="8:16" x14ac:dyDescent="0.25">
      <c r="H36997" s="12"/>
      <c r="I36997" s="12"/>
      <c r="J36997" s="12"/>
      <c r="K36997" s="12"/>
      <c r="L36997" s="12"/>
      <c r="M36997" s="11"/>
      <c r="N36997" s="11"/>
      <c r="O36997" s="11"/>
      <c r="P36997" s="11"/>
    </row>
    <row r="36998" spans="8:16" x14ac:dyDescent="0.25">
      <c r="H36998" s="12"/>
      <c r="I36998" s="12"/>
      <c r="J36998" s="12"/>
      <c r="K36998" s="12"/>
      <c r="L36998" s="12"/>
      <c r="M36998" s="11"/>
      <c r="N36998" s="11"/>
      <c r="O36998" s="11"/>
    </row>
    <row r="36999" spans="8:16" x14ac:dyDescent="0.25">
      <c r="H36999" s="12"/>
      <c r="I36999" s="12"/>
      <c r="J36999" s="12"/>
      <c r="K36999" s="12"/>
      <c r="L36999" s="12"/>
      <c r="M36999" s="11"/>
      <c r="N36999" s="11"/>
      <c r="O36999" s="11"/>
    </row>
    <row r="37000" spans="8:16" x14ac:dyDescent="0.25">
      <c r="H37000" s="12"/>
      <c r="I37000" s="12"/>
      <c r="J37000" s="12"/>
      <c r="K37000" s="12"/>
      <c r="L37000" s="12"/>
      <c r="M37000" s="11"/>
      <c r="N37000" s="11"/>
      <c r="O37000" s="11"/>
    </row>
  </sheetData>
  <autoFilter ref="A1:L4340" xr:uid="{00000000-0009-0000-0000-000010000000}">
    <filterColumn colId="8">
      <colorFilter dxfId="10"/>
    </filterColumn>
  </autoFilter>
  <sortState ref="A2:P53">
    <sortCondition ref="A1"/>
  </sortState>
  <conditionalFormatting sqref="E2:E65536">
    <cfRule type="expression" dxfId="9" priority="13" stopIfTrue="1">
      <formula>AND($E2&lt;&gt;#REF!,$E2&gt;0)</formula>
    </cfRule>
  </conditionalFormatting>
  <conditionalFormatting sqref="F2:F65536">
    <cfRule type="expression" dxfId="8" priority="12" stopIfTrue="1">
      <formula>AND($F2&lt;&gt;#REF!,$F2&gt;0)</formula>
    </cfRule>
  </conditionalFormatting>
  <conditionalFormatting sqref="H2:L37000">
    <cfRule type="containsBlanks" dxfId="7" priority="14" stopIfTrue="1">
      <formula>LEN(TRIM(H2))=0</formula>
    </cfRule>
  </conditionalFormatting>
  <conditionalFormatting sqref="I2:I37000">
    <cfRule type="expression" dxfId="6" priority="7" stopIfTrue="1">
      <formula>AND(LEFT($J2,4)="2700",OR(LEFT($I2,2)="Ba",LEFT($I2,2)="Re",LEFT($I2,3)="100",LEFT($I2,1)="2", LEFT($I2,1)="5", LEFT($I2,1)="6", LEFT($I2,3)="700", LEFT($I2,3)="800", LEFT($I2,3)="900"))</formula>
    </cfRule>
    <cfRule type="expression" dxfId="5" priority="8" stopIfTrue="1">
      <formula>AND(LEFT($H2,4)="1072",OR(LEFT($I2,3)="100",LEFT($I2,3)="200",LEFT($I2,3)="260",LEFT($I2,3)="270",LEFT($I2,3)="400", LEFT($I2,3)="430", LEFT($I2,1)="5", LEFT($I2,1)="6", LEFT($I2,3)="700", LEFT($I2,3)="800", LEFT($I2,3)="900"))</formula>
    </cfRule>
    <cfRule type="expression" dxfId="4" priority="11" stopIfTrue="1">
      <formula>AND(LEFT($H2,4)="1071",OR(LEFT($I2,3)="100",LEFT($I2,3)="200",LEFT($I2,3)="265",LEFT($I2,3)="270",LEFT($I2,3)="400", LEFT($I2,3)="435", LEFT($I2,1)="5", LEFT($I2,1)="6", LEFT($I2,3)="700", LEFT($I2,3)="800", LEFT($I2,3)="900"))</formula>
    </cfRule>
  </conditionalFormatting>
  <conditionalFormatting sqref="J2:J37000">
    <cfRule type="expression" dxfId="3" priority="1" stopIfTrue="1">
      <formula>AND(LEFT($K2,3)="682",OR(LEFT($J2,1)="B",LEFT($J2,1)="R",LEFT($J2,1)="1",LEFT($J2,2)="21",LEFT($J2,2)="22",LEFT($J2,2)="24",LEFT($J2,2)="25",LEFT($J2,2)="26",LEFT($J2,2)="27",LEFT($J2,2)="29",LEFT($J2,1)="3",LEFT($J2,1)="4",LEFT($J2,1)="5"))</formula>
    </cfRule>
    <cfRule type="expression" dxfId="2" priority="2" stopIfTrue="1">
      <formula>AND(LEFT($K2,3)="685",OR(LEFT($J2,1)="B",LEFT($J2,1)="R",LEFT($J2,1)="1",LEFT($J2,2)="21",LEFT($J2,2)="22",LEFT($J2,2)="23",LEFT($J2,2)="24",LEFT($J2,2)="26",LEFT($J2,2)="27",LEFT($J2,2)="29",LEFT($J2,1)="3",LEFT($J2,1)="4"))</formula>
    </cfRule>
  </conditionalFormatting>
  <conditionalFormatting sqref="K2:K37000">
    <cfRule type="expression" dxfId="1" priority="4" stopIfTrue="1">
      <formula>AND(OR(LEFT($H2,4)="1071",LEFT($H2,4)="1072"),OR(LEFT($K2,2)="13",LEFT($K2,2)="14",LEFT($K2,2)="16",LEFT($K2,2)="17",LEFT($K2,2)="18",LEFT($K2,2)="19",LEFT($K2,1)="O",LEFT($K2,1)="2",LEFT($K2,2)="31",LEFT($K2,2)="39",LEFT($K2,1)="4"))</formula>
    </cfRule>
    <cfRule type="expression" dxfId="0" priority="5" stopIfTrue="1">
      <formula>AND(LEFT($H2,3)="101",OR(LEFT($K2,2)="13",LEFT($K2,2)="14",LEFT($K2,2)="16",LEFT($K2,2)="17",LEFT($K2,2)="18",LEFT($K2,2)="19",LEFT($K2,1)="O",LEFT($K2,1)="2",LEFT($K2,1)="4"))</formula>
    </cfRule>
  </conditionalFormatting>
  <dataValidations count="5">
    <dataValidation type="list" allowBlank="1" showInputMessage="1" showErrorMessage="1" sqref="L2:L37000" xr:uid="{00000000-0002-0000-1000-000000000000}">
      <formula1>$Y$2:$Y$21</formula1>
    </dataValidation>
    <dataValidation type="list" allowBlank="1" showInputMessage="1" showErrorMessage="1" sqref="I2:I37000" xr:uid="{00000000-0002-0000-1000-000001000000}">
      <formula1>$N$2:$N$21</formula1>
    </dataValidation>
    <dataValidation type="list" allowBlank="1" showInputMessage="1" showErrorMessage="1" sqref="J2:J37000" xr:uid="{00000000-0002-0000-1000-000002000000}">
      <formula1>$O$2:$O$21</formula1>
    </dataValidation>
    <dataValidation type="list" allowBlank="1" showInputMessage="1" showErrorMessage="1" sqref="K2:K37000" xr:uid="{00000000-0002-0000-1000-000003000000}">
      <formula1>$P$2:$P$41</formula1>
    </dataValidation>
    <dataValidation type="list" allowBlank="1" showInputMessage="1" showErrorMessage="1" sqref="H2:H37000" xr:uid="{00000000-0002-0000-1000-000004000000}">
      <formula1>$M$3:$M$41</formula1>
    </dataValidation>
  </dataValidations>
  <hyperlinks>
    <hyperlink ref="M25:M27" location="ImpactAidandOtherFederalProjects" display="13__ Impact Aid" xr:uid="{00000000-0004-0000-1000-000000000000}"/>
  </hyperlinks>
  <pageMargins left="0.75" right="0.25" top="0.25" bottom="0.25" header="0.5" footer="0.15"/>
  <pageSetup paperSize="5" scale="52" orientation="landscape" r:id="rId1"/>
  <headerFooter>
    <oddFooter>&amp;LRev. 8/24 Arizona Department of Education and Auditor General&amp;CFY 2024</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53FEE-CD0E-4D78-8368-259836ADEC6D}">
  <sheetPr>
    <pageSetUpPr fitToPage="1"/>
  </sheetPr>
  <dimension ref="A1:E1539"/>
  <sheetViews>
    <sheetView showGridLines="0" workbookViewId="0"/>
  </sheetViews>
  <sheetFormatPr defaultColWidth="9.33203125" defaultRowHeight="12.75" x14ac:dyDescent="0.2"/>
  <cols>
    <col min="1" max="1" width="27.33203125" customWidth="1"/>
    <col min="2" max="2" width="24" customWidth="1"/>
    <col min="3" max="3" width="23.33203125" customWidth="1"/>
    <col min="4" max="4" width="28.33203125" customWidth="1"/>
    <col min="5" max="5" width="26.33203125" customWidth="1"/>
  </cols>
  <sheetData>
    <row r="1" spans="1:5" ht="15" x14ac:dyDescent="0.25">
      <c r="A1" s="558" t="s">
        <v>1000</v>
      </c>
      <c r="B1" s="558" t="s">
        <v>1001</v>
      </c>
      <c r="C1" s="558" t="s">
        <v>1002</v>
      </c>
      <c r="D1" s="558" t="s">
        <v>1003</v>
      </c>
      <c r="E1" s="559" t="s">
        <v>1004</v>
      </c>
    </row>
    <row r="2" spans="1:5" x14ac:dyDescent="0.2">
      <c r="A2" s="560" t="s">
        <v>1005</v>
      </c>
      <c r="B2" s="560" t="s">
        <v>1005</v>
      </c>
      <c r="C2" s="560">
        <v>1000</v>
      </c>
      <c r="D2" s="560">
        <v>6100</v>
      </c>
      <c r="E2" s="561">
        <f>SUMIFS('Accounting data'!$G$2:$G$37000,'Accounting data'!$J$2:$J$37000,"1*",'Accounting data'!$K$2:$K$37000,"61*")</f>
        <v>387115</v>
      </c>
    </row>
    <row r="3" spans="1:5" x14ac:dyDescent="0.2">
      <c r="A3" s="560" t="s">
        <v>1006</v>
      </c>
      <c r="B3" s="560" t="s">
        <v>1005</v>
      </c>
      <c r="C3" s="560">
        <v>1000</v>
      </c>
      <c r="D3" s="560">
        <v>6100</v>
      </c>
      <c r="E3" s="561">
        <f>SUMIFS('Accounting data'!$G$2:$G$37000,'Accounting data'!$H$2:$H$37000,"9999*",'Accounting data'!$J$2:$J$37000,"1*",'Accounting data'!$K$2:$K$37000,"61*")</f>
        <v>0</v>
      </c>
    </row>
    <row r="4" spans="1:5" x14ac:dyDescent="0.2">
      <c r="A4" s="560" t="s">
        <v>1005</v>
      </c>
      <c r="B4" s="560" t="s">
        <v>1007</v>
      </c>
      <c r="C4" s="560">
        <v>1000</v>
      </c>
      <c r="D4" s="560">
        <v>6100</v>
      </c>
      <c r="E4" s="561">
        <f>SUMIFS('Accounting data'!$G$2:$G$37000,'Accounting data'!$I$2:$I$37000,"7*",'Accounting data'!$J$2:$J$37000,"1*",'Accounting data'!$K$2:$K$37000,"61*")+SUMIFS('Accounting data'!$G$2:$G$37000,'Accounting data'!$I$2:$I$37000,"8*",'Accounting data'!$J$2:$J$37000,"1*",'Accounting data'!$K$2:$K$37000,"61*")+SUMIFS('Accounting data'!$G$2:$G$37000,'Accounting data'!$I$2:$I$37000,"9*",'Accounting data'!$J$2:$J$37000,"1*",'Accounting data'!$K$2:$K$37000,"61*")</f>
        <v>0</v>
      </c>
    </row>
    <row r="5" spans="1:5" x14ac:dyDescent="0.2">
      <c r="A5" s="562" t="s">
        <v>1006</v>
      </c>
      <c r="B5" s="560" t="s">
        <v>1007</v>
      </c>
      <c r="C5" s="560">
        <v>1000</v>
      </c>
      <c r="D5" s="560">
        <v>6100</v>
      </c>
      <c r="E5" s="561">
        <f>SUMIFS('Accounting data'!$G$2:$G$37000,'Accounting data'!$H$2:$H$37000,"9999*",'Accounting data'!$I$2:$I$37000,"7*",'Accounting data'!$J$2:$J$37000,"1*",'Accounting data'!$K$2:$K$37000,"61*")+SUMIFS('Accounting data'!$G$2:$G$37000,'Accounting data'!$H$2:$H$37000,"9999*",'Accounting data'!$I$2:$I$37000,"8*",'Accounting data'!$J$2:$J$37000,"1*",'Accounting data'!$K$2:$K$37000,"61*")+SUMIFS('Accounting data'!$G$2:$G$37000,'Accounting data'!$H$2:$H$37000,"9999*",'Accounting data'!$I$2:$I$37000,"9*",'Accounting data'!$J$2:$J$37000,"1*",'Accounting data'!$K$2:$K$37000,"61*")</f>
        <v>0</v>
      </c>
    </row>
    <row r="6" spans="1:5" x14ac:dyDescent="0.2">
      <c r="A6" s="560"/>
      <c r="B6" s="560"/>
      <c r="C6" s="560"/>
      <c r="D6" s="560"/>
      <c r="E6" s="561"/>
    </row>
    <row r="7" spans="1:5" x14ac:dyDescent="0.2">
      <c r="A7" s="560"/>
      <c r="B7" s="560"/>
      <c r="C7" s="560"/>
      <c r="D7" s="560"/>
      <c r="E7" s="561"/>
    </row>
    <row r="8" spans="1:5" ht="15" x14ac:dyDescent="0.25">
      <c r="A8" s="563" t="s">
        <v>1008</v>
      </c>
      <c r="B8" s="563"/>
      <c r="C8" s="563"/>
      <c r="D8" s="563"/>
      <c r="E8" s="564">
        <f>(E2-E3-E4)+(E5+E6+E7)</f>
        <v>387115</v>
      </c>
    </row>
    <row r="9" spans="1:5" x14ac:dyDescent="0.2">
      <c r="A9" s="560" t="s">
        <v>1005</v>
      </c>
      <c r="B9" s="560" t="s">
        <v>1005</v>
      </c>
      <c r="C9" s="560">
        <v>2100</v>
      </c>
      <c r="D9" s="560">
        <v>6100</v>
      </c>
      <c r="E9" s="561">
        <f>SUMIFS('Accounting data'!$G$2:$G$37000,'Accounting data'!$J$2:$J$37000,"21*",'Accounting data'!$K$2:$K$37000,"61*")</f>
        <v>258039</v>
      </c>
    </row>
    <row r="10" spans="1:5" x14ac:dyDescent="0.2">
      <c r="A10" s="560" t="s">
        <v>1006</v>
      </c>
      <c r="B10" s="560" t="s">
        <v>1005</v>
      </c>
      <c r="C10" s="560">
        <v>2100</v>
      </c>
      <c r="D10" s="560">
        <v>6100</v>
      </c>
      <c r="E10" s="561">
        <f>SUMIFS('Accounting data'!$G$2:$G$37000,'Accounting data'!$H$2:$H$37000,"9999*",'Accounting data'!$J$2:$J$37000,"21*",'Accounting data'!$K$2:$K$37000,"61*")</f>
        <v>0</v>
      </c>
    </row>
    <row r="11" spans="1:5" x14ac:dyDescent="0.2">
      <c r="A11" s="560" t="s">
        <v>1005</v>
      </c>
      <c r="B11" s="560" t="s">
        <v>1007</v>
      </c>
      <c r="C11" s="560">
        <v>2100</v>
      </c>
      <c r="D11" s="560">
        <v>6100</v>
      </c>
      <c r="E11" s="561">
        <f>SUMIFS('Accounting data'!$G$2:$G$37000,'Accounting data'!$I$2:$I$37000,"7*",'Accounting data'!$J$2:$J$37000,"21*",'Accounting data'!$K$2:$K$37000,"61*")+SUMIFS('Accounting data'!$G$2:$G$37000,'Accounting data'!$I$2:$I$37000,"8*",'Accounting data'!$J$2:$J$37000,"21*",'Accounting data'!$K$2:$K$37000,"61*")+SUMIFS('Accounting data'!$G$2:$G$37000,'Accounting data'!$I$2:$I$37000,"9*",'Accounting data'!$J$2:$J$37000,"21*",'Accounting data'!$K$2:$K$37000,"61*")</f>
        <v>0</v>
      </c>
    </row>
    <row r="12" spans="1:5" x14ac:dyDescent="0.2">
      <c r="A12" s="562" t="s">
        <v>1006</v>
      </c>
      <c r="B12" s="560" t="s">
        <v>1007</v>
      </c>
      <c r="C12" s="560">
        <v>2100</v>
      </c>
      <c r="D12" s="560">
        <v>6100</v>
      </c>
      <c r="E12" s="561">
        <f>SUMIFS('Accounting data'!$G$2:$G$37000,'Accounting data'!$H$2:$H$37000,"9999*",'Accounting data'!$I$2:$I$37000,"7*",'Accounting data'!$J$2:$J$37000,"21*",'Accounting data'!$K$2:$K$37000,"61*")+SUMIFS('Accounting data'!$G$2:$G$37000,'Accounting data'!$H$2:$H$37000,"9999*",'Accounting data'!$I$2:$I$37000,"8*",'Accounting data'!$J$2:$J$37000,"21*",'Accounting data'!$K$2:$K$37000,"61*")+SUMIFS('Accounting data'!$G$2:$G$37000,'Accounting data'!$H$2:$H$37000,"9999*",'Accounting data'!$I$2:$I$37000,"9*",'Accounting data'!$J$2:$J$37000,"21*",'Accounting data'!$K$2:$K$37000,"61*")</f>
        <v>0</v>
      </c>
    </row>
    <row r="13" spans="1:5" x14ac:dyDescent="0.2">
      <c r="A13" s="560"/>
      <c r="B13" s="560"/>
      <c r="C13" s="560"/>
      <c r="D13" s="560"/>
      <c r="E13" s="561"/>
    </row>
    <row r="14" spans="1:5" x14ac:dyDescent="0.2">
      <c r="A14" s="560"/>
      <c r="B14" s="560"/>
      <c r="C14" s="560"/>
      <c r="D14" s="560"/>
      <c r="E14" s="561"/>
    </row>
    <row r="15" spans="1:5" ht="15" x14ac:dyDescent="0.25">
      <c r="A15" s="563" t="s">
        <v>1009</v>
      </c>
      <c r="B15" s="563"/>
      <c r="C15" s="563"/>
      <c r="D15" s="563"/>
      <c r="E15" s="564">
        <f>(E9-E10-E11)+(E12+E13+E14)</f>
        <v>258039</v>
      </c>
    </row>
    <row r="16" spans="1:5" x14ac:dyDescent="0.2">
      <c r="A16" s="560" t="s">
        <v>1005</v>
      </c>
      <c r="B16" s="560" t="s">
        <v>1005</v>
      </c>
      <c r="C16" s="560">
        <v>2200</v>
      </c>
      <c r="D16" s="560">
        <v>6100</v>
      </c>
      <c r="E16" s="561">
        <f>SUMIFS('Accounting data'!$G$2:$G$37000,'Accounting data'!$J$2:$J$37000,"22*",'Accounting data'!$K$2:$K$37000,"61*")</f>
        <v>5178</v>
      </c>
    </row>
    <row r="17" spans="1:5" x14ac:dyDescent="0.2">
      <c r="A17" s="560" t="s">
        <v>1006</v>
      </c>
      <c r="B17" s="560" t="s">
        <v>1005</v>
      </c>
      <c r="C17" s="560">
        <v>2200</v>
      </c>
      <c r="D17" s="560">
        <v>6100</v>
      </c>
      <c r="E17" s="561">
        <f>SUMIFS('Accounting data'!$G$2:$G$37000,'Accounting data'!$H$2:$H$37000,"9999*",'Accounting data'!$J$2:$J$37000,"22*",'Accounting data'!$K$2:$K$37000,"61*")</f>
        <v>0</v>
      </c>
    </row>
    <row r="18" spans="1:5" x14ac:dyDescent="0.2">
      <c r="A18" s="560" t="s">
        <v>1005</v>
      </c>
      <c r="B18" s="560" t="s">
        <v>1007</v>
      </c>
      <c r="C18" s="560">
        <v>2200</v>
      </c>
      <c r="D18" s="560">
        <v>6100</v>
      </c>
      <c r="E18" s="561">
        <f>SUMIFS('Accounting data'!$G$2:$G$37000,'Accounting data'!$I$2:$I$37000,"7*",'Accounting data'!$J$2:$J$37000,"22*",'Accounting data'!$K$2:$K$37000,"61*")+SUMIFS('Accounting data'!$G$2:$G$37000,'Accounting data'!$I$2:$I$37000,"8*",'Accounting data'!$J$2:$J$37000,"22*",'Accounting data'!$K$2:$K$37000,"61*")+SUMIFS('Accounting data'!$G$2:$G$37000,'Accounting data'!$I$2:$I$37000,"9*",'Accounting data'!$J$2:$J$37000,"22*",'Accounting data'!$K$2:$K$37000,"61*")</f>
        <v>0</v>
      </c>
    </row>
    <row r="19" spans="1:5" x14ac:dyDescent="0.2">
      <c r="A19" s="562" t="s">
        <v>1006</v>
      </c>
      <c r="B19" s="560" t="s">
        <v>1007</v>
      </c>
      <c r="C19" s="560">
        <v>2200</v>
      </c>
      <c r="D19" s="560">
        <v>6100</v>
      </c>
      <c r="E19" s="561">
        <f>SUMIFS('Accounting data'!$G$2:$G$37000,'Accounting data'!$H$2:$H$37000,"9999*",'Accounting data'!$I$2:$I$37000,"7*",'Accounting data'!$J$2:$J$37000,"22*",'Accounting data'!$K$2:$K$37000,"61*")+SUMIFS('Accounting data'!$G$2:$G$37000,'Accounting data'!$H$2:$H$37000,"9999*",'Accounting data'!$I$2:$I$37000,"8*",'Accounting data'!$J$2:$J$37000,"22*",'Accounting data'!$K$2:$K$37000,"61*")+SUMIFS('Accounting data'!$G$2:$G$37000,'Accounting data'!$H$2:$H$37000,"9999*",'Accounting data'!$I$2:$I$37000,"9*",'Accounting data'!$J$2:$J$37000,"22*",'Accounting data'!$K$2:$K$37000,"61*")</f>
        <v>0</v>
      </c>
    </row>
    <row r="20" spans="1:5" x14ac:dyDescent="0.2">
      <c r="A20" s="560"/>
      <c r="B20" s="560"/>
      <c r="C20" s="560"/>
      <c r="D20" s="560"/>
      <c r="E20" s="561"/>
    </row>
    <row r="21" spans="1:5" x14ac:dyDescent="0.2">
      <c r="A21" s="560"/>
      <c r="B21" s="560"/>
      <c r="C21" s="560"/>
      <c r="D21" s="560"/>
      <c r="E21" s="561"/>
    </row>
    <row r="22" spans="1:5" ht="15" x14ac:dyDescent="0.25">
      <c r="A22" s="563" t="s">
        <v>1010</v>
      </c>
      <c r="B22" s="563"/>
      <c r="C22" s="563"/>
      <c r="D22" s="563"/>
      <c r="E22" s="564">
        <f>(E16-E17-E18)+(E19+E20+E21)</f>
        <v>5178</v>
      </c>
    </row>
    <row r="23" spans="1:5" x14ac:dyDescent="0.2">
      <c r="A23" s="560" t="s">
        <v>1005</v>
      </c>
      <c r="B23" s="560" t="s">
        <v>1005</v>
      </c>
      <c r="C23" s="560">
        <v>2300</v>
      </c>
      <c r="D23" s="560">
        <v>6100</v>
      </c>
      <c r="E23" s="561">
        <f>SUMIFS('Accounting data'!$G$2:$G$37000,'Accounting data'!$J$2:$J$37000,"23*",'Accounting data'!$K$2:$K$37000,"61*")</f>
        <v>3497</v>
      </c>
    </row>
    <row r="24" spans="1:5" x14ac:dyDescent="0.2">
      <c r="A24" s="560" t="s">
        <v>1006</v>
      </c>
      <c r="B24" s="560" t="s">
        <v>1005</v>
      </c>
      <c r="C24" s="560">
        <v>2300</v>
      </c>
      <c r="D24" s="560">
        <v>6100</v>
      </c>
      <c r="E24" s="561">
        <f>SUMIFS('Accounting data'!$G$2:$G$37000,'Accounting data'!$H$2:$H$37000,"9999*",'Accounting data'!$J$2:$J$37000,"23*",'Accounting data'!$K$2:$K$37000,"61*")</f>
        <v>0</v>
      </c>
    </row>
    <row r="25" spans="1:5" x14ac:dyDescent="0.2">
      <c r="A25" s="560" t="s">
        <v>1005</v>
      </c>
      <c r="B25" s="560" t="s">
        <v>1007</v>
      </c>
      <c r="C25" s="560">
        <v>2300</v>
      </c>
      <c r="D25" s="560">
        <v>6100</v>
      </c>
      <c r="E25" s="561">
        <f>SUMIFS('Accounting data'!$G$2:$G$37000,'Accounting data'!$I$2:$I$37000,"7*",'Accounting data'!$J$2:$J$37000,"23*",'Accounting data'!$K$2:$K$37000,"61*")+SUMIFS('Accounting data'!$G$2:$G$37000,'Accounting data'!$I$2:$I$37000,"8*",'Accounting data'!$J$2:$J$37000,"23*",'Accounting data'!$K$2:$K$37000,"61*")+SUMIFS('Accounting data'!$G$2:$G$37000,'Accounting data'!$I$2:$I$37000,"9*",'Accounting data'!$J$2:$J$37000,"23*",'Accounting data'!$K$2:$K$37000,"61*")</f>
        <v>0</v>
      </c>
    </row>
    <row r="26" spans="1:5" x14ac:dyDescent="0.2">
      <c r="A26" s="562" t="s">
        <v>1006</v>
      </c>
      <c r="B26" s="560" t="s">
        <v>1007</v>
      </c>
      <c r="C26" s="560">
        <v>2300</v>
      </c>
      <c r="D26" s="560">
        <v>6100</v>
      </c>
      <c r="E26" s="561">
        <f>SUMIFS('Accounting data'!$G$2:$G$37000,'Accounting data'!$H$2:$H$37000,"9999*",'Accounting data'!$I$2:$I$37000,"7*",'Accounting data'!$J$2:$J$37000,"23*",'Accounting data'!$K$2:$K$37000,"61*")+SUMIFS('Accounting data'!$G$2:$G$37000,'Accounting data'!$H$2:$H$37000,"9999*",'Accounting data'!$I$2:$I$37000,"8*",'Accounting data'!$J$2:$J$37000,"23*",'Accounting data'!$K$2:$K$37000,"61*")+SUMIFS('Accounting data'!$G$2:$G$37000,'Accounting data'!$H$2:$H$37000,"9999*",'Accounting data'!$I$2:$I$37000,"9*",'Accounting data'!$J$2:$J$37000,"23*",'Accounting data'!$K$2:$K$37000,"61*")</f>
        <v>0</v>
      </c>
    </row>
    <row r="27" spans="1:5" x14ac:dyDescent="0.2">
      <c r="A27" s="560"/>
      <c r="B27" s="560"/>
      <c r="C27" s="560"/>
      <c r="D27" s="560"/>
      <c r="E27" s="561"/>
    </row>
    <row r="28" spans="1:5" x14ac:dyDescent="0.2">
      <c r="A28" s="560"/>
      <c r="B28" s="560"/>
      <c r="C28" s="560"/>
      <c r="D28" s="560"/>
      <c r="E28" s="561"/>
    </row>
    <row r="29" spans="1:5" x14ac:dyDescent="0.2">
      <c r="A29" s="563" t="s">
        <v>1011</v>
      </c>
      <c r="B29" s="563"/>
      <c r="C29" s="563"/>
      <c r="D29" s="563"/>
      <c r="E29" s="565">
        <f>(E23-E24-E25)+(E26+E27+E28)</f>
        <v>3497</v>
      </c>
    </row>
    <row r="30" spans="1:5" x14ac:dyDescent="0.2">
      <c r="A30" s="560" t="s">
        <v>1005</v>
      </c>
      <c r="B30" s="560" t="s">
        <v>1005</v>
      </c>
      <c r="C30" s="560">
        <v>2400</v>
      </c>
      <c r="D30" s="560">
        <v>6100</v>
      </c>
      <c r="E30" s="561">
        <f>SUMIFS('Accounting data'!$G$2:$G$37000,'Accounting data'!$J$2:$J$37000,"24*",'Accounting data'!$K$2:$K$37000,"61*")</f>
        <v>97418</v>
      </c>
    </row>
    <row r="31" spans="1:5" x14ac:dyDescent="0.2">
      <c r="A31" s="560" t="s">
        <v>1006</v>
      </c>
      <c r="B31" s="560" t="s">
        <v>1005</v>
      </c>
      <c r="C31" s="560">
        <v>2400</v>
      </c>
      <c r="D31" s="560">
        <v>6100</v>
      </c>
      <c r="E31" s="561">
        <f>SUMIFS('Accounting data'!$G$2:$G$37000,'Accounting data'!$H$2:$H$37000,"9999*",'Accounting data'!$J$2:$J$37000,"24*",'Accounting data'!$K$2:$K$37000,"61*")</f>
        <v>0</v>
      </c>
    </row>
    <row r="32" spans="1:5" x14ac:dyDescent="0.2">
      <c r="A32" s="560" t="s">
        <v>1005</v>
      </c>
      <c r="B32" s="560" t="s">
        <v>1007</v>
      </c>
      <c r="C32" s="560">
        <v>2400</v>
      </c>
      <c r="D32" s="560">
        <v>6100</v>
      </c>
      <c r="E32" s="561">
        <f>SUMIFS('Accounting data'!$G$2:$G$37000,'Accounting data'!$I$2:$I$37000,"7*",'Accounting data'!$J$2:$J$37000,"24*",'Accounting data'!$K$2:$K$37000,"61*")+SUMIFS('Accounting data'!$G$2:$G$37000,'Accounting data'!$I$2:$I$37000,"8*",'Accounting data'!$J$2:$J$37000,"24*",'Accounting data'!$K$2:$K$37000,"61*")+SUMIFS('Accounting data'!$G$2:$G$37000,'Accounting data'!$I$2:$I$37000,"9*",'Accounting data'!$J$2:$J$37000,"24*",'Accounting data'!$K$2:$K$37000,"61*")</f>
        <v>0</v>
      </c>
    </row>
    <row r="33" spans="1:5" x14ac:dyDescent="0.2">
      <c r="A33" s="562" t="s">
        <v>1006</v>
      </c>
      <c r="B33" s="560" t="s">
        <v>1007</v>
      </c>
      <c r="C33" s="560">
        <v>2400</v>
      </c>
      <c r="D33" s="560">
        <v>6100</v>
      </c>
      <c r="E33" s="561">
        <f>SUMIFS('Accounting data'!$G$2:$G$37000,'Accounting data'!$H$2:$H$37000,"9999*",'Accounting data'!$I$2:$I$37000,"7*",'Accounting data'!$J$2:$J$37000,"24*",'Accounting data'!$K$2:$K$37000,"61*")+SUMIFS('Accounting data'!$G$2:$G$37000,'Accounting data'!$H$2:$H$37000,"9999*",'Accounting data'!$I$2:$I$37000,"8*",'Accounting data'!$J$2:$J$37000,"24*",'Accounting data'!$K$2:$K$37000,"61*")+SUMIFS('Accounting data'!$G$2:$G$37000,'Accounting data'!$H$2:$H$37000,"9999*",'Accounting data'!$I$2:$I$37000,"9*",'Accounting data'!$J$2:$J$37000,"24*",'Accounting data'!$K$2:$K$37000,"61*")</f>
        <v>0</v>
      </c>
    </row>
    <row r="34" spans="1:5" x14ac:dyDescent="0.2">
      <c r="A34" s="560"/>
      <c r="B34" s="560"/>
      <c r="C34" s="560"/>
      <c r="D34" s="560"/>
      <c r="E34" s="561"/>
    </row>
    <row r="35" spans="1:5" x14ac:dyDescent="0.2">
      <c r="A35" s="560"/>
      <c r="B35" s="560"/>
      <c r="C35" s="560"/>
      <c r="D35" s="560"/>
      <c r="E35" s="561"/>
    </row>
    <row r="36" spans="1:5" ht="15" x14ac:dyDescent="0.25">
      <c r="A36" s="563" t="s">
        <v>1012</v>
      </c>
      <c r="B36" s="563"/>
      <c r="C36" s="563"/>
      <c r="D36" s="563"/>
      <c r="E36" s="564">
        <f>(E30-E31-E32)+(E33+E34+E35)</f>
        <v>97418</v>
      </c>
    </row>
    <row r="37" spans="1:5" x14ac:dyDescent="0.2">
      <c r="A37" s="560" t="s">
        <v>1005</v>
      </c>
      <c r="B37" s="560" t="s">
        <v>1005</v>
      </c>
      <c r="C37" s="560">
        <v>2500</v>
      </c>
      <c r="D37" s="560">
        <v>6100</v>
      </c>
      <c r="E37" s="561">
        <f>SUMIFS('Accounting data'!$G$2:$G$37000,'Accounting data'!$J$2:$J$37000,"25*",'Accounting data'!$K$2:$K$37000,"61*")</f>
        <v>49713</v>
      </c>
    </row>
    <row r="38" spans="1:5" x14ac:dyDescent="0.2">
      <c r="A38" s="560" t="s">
        <v>1006</v>
      </c>
      <c r="B38" s="560" t="s">
        <v>1005</v>
      </c>
      <c r="C38" s="560">
        <v>2500</v>
      </c>
      <c r="D38" s="560">
        <v>6100</v>
      </c>
      <c r="E38" s="561">
        <f>SUMIFS('Accounting data'!$G$2:$G$37000,'Accounting data'!$H$2:$H$37000,"9999*",'Accounting data'!$J$2:$J$37000,"25*",'Accounting data'!$K$2:$K$37000,"61*")</f>
        <v>0</v>
      </c>
    </row>
    <row r="39" spans="1:5" x14ac:dyDescent="0.2">
      <c r="A39" s="560" t="s">
        <v>1005</v>
      </c>
      <c r="B39" s="560" t="s">
        <v>1007</v>
      </c>
      <c r="C39" s="560">
        <v>2500</v>
      </c>
      <c r="D39" s="560">
        <v>6100</v>
      </c>
      <c r="E39" s="561">
        <f>SUMIFS('Accounting data'!$G$2:$G$37000,'Accounting data'!$I$2:$I$37000,"7*",'Accounting data'!$J$2:$J$37000,"25*",'Accounting data'!$K$2:$K$37000,"61*")+SUMIFS('Accounting data'!$G$2:$G$37000,'Accounting data'!$I$2:$I$37000,"8*",'Accounting data'!$J$2:$J$37000,"25*",'Accounting data'!$K$2:$K$37000,"61*")+SUMIFS('Accounting data'!$G$2:$G$37000,'Accounting data'!$I$2:$I$37000,"9*",'Accounting data'!$J$2:$J$37000,"25*",'Accounting data'!$K$2:$K$37000,"61*")</f>
        <v>0</v>
      </c>
    </row>
    <row r="40" spans="1:5" x14ac:dyDescent="0.2">
      <c r="A40" s="562" t="s">
        <v>1006</v>
      </c>
      <c r="B40" s="560" t="s">
        <v>1007</v>
      </c>
      <c r="C40" s="560">
        <v>2500</v>
      </c>
      <c r="D40" s="560">
        <v>6100</v>
      </c>
      <c r="E40" s="561">
        <f>SUMIFS('Accounting data'!$G$2:$G$37000,'Accounting data'!$H$2:$H$37000,"9999*",'Accounting data'!$I$2:$I$37000,"7*",'Accounting data'!$J$2:$J$37000,"25*",'Accounting data'!$K$2:$K$37000,"61*")+SUMIFS('Accounting data'!$G$2:$G$37000,'Accounting data'!$H$2:$H$37000,"9999*",'Accounting data'!$I$2:$I$37000,"8*",'Accounting data'!$J$2:$J$37000,"25*",'Accounting data'!$K$2:$K$37000,"61*")+SUMIFS('Accounting data'!$G$2:$G$37000,'Accounting data'!$H$2:$H$37000,"9999*",'Accounting data'!$I$2:$I$37000,"9*",'Accounting data'!$J$2:$J$37000,"25*",'Accounting data'!$K$2:$K$37000,"61*")</f>
        <v>0</v>
      </c>
    </row>
    <row r="41" spans="1:5" x14ac:dyDescent="0.2">
      <c r="A41" s="560"/>
      <c r="B41" s="560"/>
      <c r="C41" s="560"/>
      <c r="D41" s="560"/>
      <c r="E41" s="561"/>
    </row>
    <row r="42" spans="1:5" x14ac:dyDescent="0.2">
      <c r="A42" s="560"/>
      <c r="B42" s="560"/>
      <c r="C42" s="560"/>
      <c r="D42" s="560"/>
      <c r="E42" s="561"/>
    </row>
    <row r="43" spans="1:5" ht="15" x14ac:dyDescent="0.25">
      <c r="A43" s="563" t="s">
        <v>1013</v>
      </c>
      <c r="B43" s="563"/>
      <c r="C43" s="563"/>
      <c r="D43" s="563"/>
      <c r="E43" s="564">
        <f>(E37-E38-E39)+(E40+E41+E42)</f>
        <v>49713</v>
      </c>
    </row>
    <row r="44" spans="1:5" x14ac:dyDescent="0.2">
      <c r="A44" s="560" t="s">
        <v>1005</v>
      </c>
      <c r="B44" s="560" t="s">
        <v>1005</v>
      </c>
      <c r="C44" s="560">
        <v>2900</v>
      </c>
      <c r="D44" s="560">
        <v>6100</v>
      </c>
      <c r="E44" s="561">
        <f>SUMIFS('Accounting data'!$G$2:$G$37000,'Accounting data'!$J$2:$J$37000,"29*",'Accounting data'!$K$2:$K$37000,"61*")</f>
        <v>0</v>
      </c>
    </row>
    <row r="45" spans="1:5" x14ac:dyDescent="0.2">
      <c r="A45" s="560" t="s">
        <v>1006</v>
      </c>
      <c r="B45" s="560" t="s">
        <v>1005</v>
      </c>
      <c r="C45" s="560">
        <v>2900</v>
      </c>
      <c r="D45" s="560">
        <v>6100</v>
      </c>
      <c r="E45" s="561">
        <f>SUMIFS('Accounting data'!$G$2:$G$37000,'Accounting data'!$H$2:$H$37000,"9999*",'Accounting data'!$J$2:$J$37000,"29*",'Accounting data'!$K$2:$K$37000,"61*")</f>
        <v>0</v>
      </c>
    </row>
    <row r="46" spans="1:5" x14ac:dyDescent="0.2">
      <c r="A46" s="560" t="s">
        <v>1005</v>
      </c>
      <c r="B46" s="560" t="s">
        <v>1007</v>
      </c>
      <c r="C46" s="560">
        <v>2900</v>
      </c>
      <c r="D46" s="560">
        <v>6100</v>
      </c>
      <c r="E46" s="561">
        <f>SUMIFS('Accounting data'!$G$2:$G$37000,'Accounting data'!$I$2:$I$37000,"7*",'Accounting data'!$J$2:$J$37000,"29*",'Accounting data'!$K$2:$K$37000,"61*")+SUMIFS('Accounting data'!$G$2:$G$37000,'Accounting data'!$I$2:$I$37000,"8*",'Accounting data'!$J$2:$J$37000,"29*",'Accounting data'!$K$2:$K$37000,"61*")+SUMIFS('Accounting data'!$G$2:$G$37000,'Accounting data'!$I$2:$I$37000,"9*",'Accounting data'!$J$2:$J$37000,"29*",'Accounting data'!$K$2:$K$37000,"61*")</f>
        <v>0</v>
      </c>
    </row>
    <row r="47" spans="1:5" x14ac:dyDescent="0.2">
      <c r="A47" s="562" t="s">
        <v>1006</v>
      </c>
      <c r="B47" s="560" t="s">
        <v>1007</v>
      </c>
      <c r="C47" s="560">
        <v>2900</v>
      </c>
      <c r="D47" s="560">
        <v>6100</v>
      </c>
      <c r="E47" s="561">
        <f>SUMIFS('Accounting data'!$G$2:$G$37000,'Accounting data'!$H$2:$H$37000,"9999*",'Accounting data'!$I$2:$I$37000,"7*",'Accounting data'!$J$2:$J$37000,"29*",'Accounting data'!$K$2:$K$37000,"61*")+SUMIFS('Accounting data'!$G$2:$G$37000,'Accounting data'!$H$2:$H$37000,"9999*",'Accounting data'!$I$2:$I$37000,"8*",'Accounting data'!$J$2:$J$37000,"29*",'Accounting data'!$K$2:$K$37000,"61*")+SUMIFS('Accounting data'!$G$2:$G$37000,'Accounting data'!$H$2:$H$37000,"9999*",'Accounting data'!$I$2:$I$37000,"9*",'Accounting data'!$J$2:$J$37000,"29*",'Accounting data'!$K$2:$K$37000,"61*")</f>
        <v>0</v>
      </c>
    </row>
    <row r="48" spans="1:5" x14ac:dyDescent="0.2">
      <c r="A48" s="560"/>
      <c r="B48" s="560"/>
      <c r="C48" s="560"/>
      <c r="D48" s="560"/>
      <c r="E48" s="561"/>
    </row>
    <row r="49" spans="1:5" x14ac:dyDescent="0.2">
      <c r="A49" s="560"/>
      <c r="B49" s="560"/>
      <c r="C49" s="560"/>
      <c r="D49" s="560"/>
      <c r="E49" s="561"/>
    </row>
    <row r="50" spans="1:5" ht="15" x14ac:dyDescent="0.25">
      <c r="A50" s="563" t="s">
        <v>1014</v>
      </c>
      <c r="B50" s="563"/>
      <c r="C50" s="563"/>
      <c r="D50" s="563"/>
      <c r="E50" s="564">
        <f>(E44-E45-E46)+(E47+E48+E49)</f>
        <v>0</v>
      </c>
    </row>
    <row r="51" spans="1:5" x14ac:dyDescent="0.2">
      <c r="A51" s="560" t="s">
        <v>1005</v>
      </c>
      <c r="B51" s="560" t="s">
        <v>1005</v>
      </c>
      <c r="C51" s="560">
        <v>2600</v>
      </c>
      <c r="D51" s="560">
        <v>6100</v>
      </c>
      <c r="E51" s="561">
        <f>SUMIFS('Accounting data'!$G$2:$G$37000,'Accounting data'!$J$2:$J$37000,"26*",'Accounting data'!$K$2:$K$37000,"61*")</f>
        <v>41128</v>
      </c>
    </row>
    <row r="52" spans="1:5" x14ac:dyDescent="0.2">
      <c r="A52" s="560" t="s">
        <v>1006</v>
      </c>
      <c r="B52" s="560" t="s">
        <v>1005</v>
      </c>
      <c r="C52" s="560">
        <v>2600</v>
      </c>
      <c r="D52" s="560">
        <v>6100</v>
      </c>
      <c r="E52" s="561">
        <f>SUMIFS('Accounting data'!$G$2:$G$37000,'Accounting data'!$H$2:$H$37000,"9999*",'Accounting data'!$J$2:$J$37000,"26*",'Accounting data'!$K$2:$K$37000,"61*")</f>
        <v>0</v>
      </c>
    </row>
    <row r="53" spans="1:5" x14ac:dyDescent="0.2">
      <c r="A53" s="560" t="s">
        <v>1005</v>
      </c>
      <c r="B53" s="560" t="s">
        <v>1007</v>
      </c>
      <c r="C53" s="560">
        <v>2600</v>
      </c>
      <c r="D53" s="560">
        <v>6100</v>
      </c>
      <c r="E53" s="561">
        <f>SUMIFS('Accounting data'!$G$2:$G$37000,'Accounting data'!$I$2:$I$37000,"7*",'Accounting data'!$J$2:$J$37000,"26*",'Accounting data'!$K$2:$K$37000,"61*")+SUMIFS('Accounting data'!$G$2:$G$37000,'Accounting data'!$I$2:$I$37000,"8*",'Accounting data'!$J$2:$J$37000,"26*",'Accounting data'!$K$2:$K$37000,"61*")+SUMIFS('Accounting data'!$G$2:$G$37000,'Accounting data'!$I$2:$I$37000,"9*",'Accounting data'!$J$2:$J$37000,"26*",'Accounting data'!$K$2:$K$37000,"61*")</f>
        <v>0</v>
      </c>
    </row>
    <row r="54" spans="1:5" x14ac:dyDescent="0.2">
      <c r="A54" s="562" t="s">
        <v>1006</v>
      </c>
      <c r="B54" s="560" t="s">
        <v>1007</v>
      </c>
      <c r="C54" s="560">
        <v>2600</v>
      </c>
      <c r="D54" s="560">
        <v>6100</v>
      </c>
      <c r="E54" s="561">
        <f>SUMIFS('Accounting data'!$G$2:$G$37000,'Accounting data'!$H$2:$H$37000,"9999*",'Accounting data'!$I$2:$I$37000,"7*",'Accounting data'!$J$2:$J$37000,"26*",'Accounting data'!$K$2:$K$37000,"61*")+SUMIFS('Accounting data'!$G$2:$G$37000,'Accounting data'!$H$2:$H$37000,"9999*",'Accounting data'!$I$2:$I$37000,"8*",'Accounting data'!$J$2:$J$37000,"26*",'Accounting data'!$K$2:$K$37000,"61*")+SUMIFS('Accounting data'!$G$2:$G$37000,'Accounting data'!$H$2:$H$37000,"9999*",'Accounting data'!$I$2:$I$37000,"9*",'Accounting data'!$J$2:$J$37000,"26*",'Accounting data'!$K$2:$K$37000,"61*")</f>
        <v>0</v>
      </c>
    </row>
    <row r="55" spans="1:5" x14ac:dyDescent="0.2">
      <c r="A55" s="560"/>
      <c r="B55" s="560"/>
      <c r="C55" s="560"/>
      <c r="D55" s="560"/>
      <c r="E55" s="561"/>
    </row>
    <row r="56" spans="1:5" x14ac:dyDescent="0.2">
      <c r="A56" s="560"/>
      <c r="B56" s="560"/>
      <c r="C56" s="560"/>
      <c r="D56" s="560"/>
      <c r="E56" s="561"/>
    </row>
    <row r="57" spans="1:5" ht="15" x14ac:dyDescent="0.25">
      <c r="A57" s="563" t="s">
        <v>1015</v>
      </c>
      <c r="B57" s="563"/>
      <c r="C57" s="563"/>
      <c r="D57" s="563"/>
      <c r="E57" s="564">
        <f>(E51-E52-E53)+(E54+E55+E56)</f>
        <v>41128</v>
      </c>
    </row>
    <row r="58" spans="1:5" x14ac:dyDescent="0.2">
      <c r="A58" s="560" t="s">
        <v>1005</v>
      </c>
      <c r="B58" s="560" t="s">
        <v>1005</v>
      </c>
      <c r="C58" s="560">
        <v>2700</v>
      </c>
      <c r="D58" s="560">
        <v>6100</v>
      </c>
      <c r="E58" s="561">
        <f>SUMIFS('Accounting data'!$G$2:$G$37000,'Accounting data'!$J$2:$J$37000,"27*",'Accounting data'!$K$2:$K$37000,"61*")</f>
        <v>5505</v>
      </c>
    </row>
    <row r="59" spans="1:5" x14ac:dyDescent="0.2">
      <c r="A59" s="560" t="s">
        <v>1006</v>
      </c>
      <c r="B59" s="560" t="s">
        <v>1005</v>
      </c>
      <c r="C59" s="560">
        <v>2700</v>
      </c>
      <c r="D59" s="560">
        <v>6100</v>
      </c>
      <c r="E59" s="561">
        <f>SUMIFS('Accounting data'!$G$2:$G$37000,'Accounting data'!$H$2:$H$37000,"9999*",'Accounting data'!$J$2:$J$37000,"27*",'Accounting data'!$K$2:$K$37000,"61*")</f>
        <v>0</v>
      </c>
    </row>
    <row r="60" spans="1:5" x14ac:dyDescent="0.2">
      <c r="A60" s="560" t="s">
        <v>1005</v>
      </c>
      <c r="B60" s="560" t="s">
        <v>1007</v>
      </c>
      <c r="C60" s="560">
        <v>2700</v>
      </c>
      <c r="D60" s="560">
        <v>6100</v>
      </c>
      <c r="E60" s="561">
        <f>SUMIFS('Accounting data'!$G$2:$G$37000,'Accounting data'!$I$2:$I$37000,"7*",'Accounting data'!$J$2:$J$37000,"27*",'Accounting data'!$K$2:$K$37000,"61*")+SUMIFS('Accounting data'!$G$2:$G$37000,'Accounting data'!$I$2:$I$37000,"8*",'Accounting data'!$J$2:$J$37000,"27*",'Accounting data'!$K$2:$K$37000,"61*")+SUMIFS('Accounting data'!$G$2:$G$37000,'Accounting data'!$I$2:$I$37000,"9*",'Accounting data'!$J$2:$J$37000,"27*",'Accounting data'!$K$2:$K$37000,"61*")</f>
        <v>0</v>
      </c>
    </row>
    <row r="61" spans="1:5" x14ac:dyDescent="0.2">
      <c r="A61" s="562" t="s">
        <v>1006</v>
      </c>
      <c r="B61" s="560" t="s">
        <v>1007</v>
      </c>
      <c r="C61" s="560">
        <v>2700</v>
      </c>
      <c r="D61" s="560">
        <v>6100</v>
      </c>
      <c r="E61" s="561">
        <f>SUMIFS('Accounting data'!$G$2:$G$37000,'Accounting data'!$H$2:$H$37000,"9999*",'Accounting data'!$I$2:$I$37000,"7*",'Accounting data'!$J$2:$J$37000,"27*",'Accounting data'!$K$2:$K$37000,"61*")+SUMIFS('Accounting data'!$G$2:$G$37000,'Accounting data'!$H$2:$H$37000,"9999*",'Accounting data'!$I$2:$I$37000,"8*",'Accounting data'!$J$2:$J$37000,"27*",'Accounting data'!$K$2:$K$37000,"61*")+SUMIFS('Accounting data'!$G$2:$G$37000,'Accounting data'!$H$2:$H$37000,"9999*",'Accounting data'!$I$2:$I$37000,"9*",'Accounting data'!$J$2:$J$37000,"27*",'Accounting data'!$K$2:$K$37000,"61*")</f>
        <v>0</v>
      </c>
    </row>
    <row r="62" spans="1:5" x14ac:dyDescent="0.2">
      <c r="A62" s="560"/>
      <c r="B62" s="560"/>
      <c r="C62" s="560"/>
      <c r="D62" s="560"/>
      <c r="E62" s="561"/>
    </row>
    <row r="63" spans="1:5" x14ac:dyDescent="0.2">
      <c r="A63" s="560"/>
      <c r="B63" s="560"/>
      <c r="C63" s="560"/>
      <c r="D63" s="560"/>
      <c r="E63" s="561"/>
    </row>
    <row r="64" spans="1:5" ht="15" x14ac:dyDescent="0.25">
      <c r="A64" s="563" t="s">
        <v>1016</v>
      </c>
      <c r="B64" s="563"/>
      <c r="C64" s="563"/>
      <c r="D64" s="563"/>
      <c r="E64" s="564">
        <f>(E58-E59-E60)+(E61+E62+E63)</f>
        <v>5505</v>
      </c>
    </row>
    <row r="65" spans="1:5" x14ac:dyDescent="0.2">
      <c r="A65" s="560" t="s">
        <v>1005</v>
      </c>
      <c r="B65" s="560" t="s">
        <v>1005</v>
      </c>
      <c r="C65" s="560">
        <v>3100</v>
      </c>
      <c r="D65" s="560">
        <v>6100</v>
      </c>
      <c r="E65" s="561">
        <f>SUMIFS('Accounting data'!$G$2:$G$37000,'Accounting data'!$J$2:$J$37000,"31*",'Accounting data'!$K$2:$K$37000,"61*")</f>
        <v>5631</v>
      </c>
    </row>
    <row r="66" spans="1:5" x14ac:dyDescent="0.2">
      <c r="A66" s="560" t="s">
        <v>1006</v>
      </c>
      <c r="B66" s="560" t="s">
        <v>1005</v>
      </c>
      <c r="C66" s="560">
        <v>3100</v>
      </c>
      <c r="D66" s="560">
        <v>6100</v>
      </c>
      <c r="E66" s="561">
        <f>SUMIFS('Accounting data'!$G$2:$G$37000,'Accounting data'!$H$2:$H$37000,"9999*",'Accounting data'!$J$2:$J$37000,"31*",'Accounting data'!$K$2:$K$37000,"61*")</f>
        <v>0</v>
      </c>
    </row>
    <row r="67" spans="1:5" x14ac:dyDescent="0.2">
      <c r="A67" s="560" t="s">
        <v>1005</v>
      </c>
      <c r="B67" s="560" t="s">
        <v>1007</v>
      </c>
      <c r="C67" s="560">
        <v>3100</v>
      </c>
      <c r="D67" s="560">
        <v>6100</v>
      </c>
      <c r="E67" s="561">
        <f>SUMIFS('Accounting data'!$G$2:$G$37000,'Accounting data'!$I$2:$I$37000,"7*",'Accounting data'!$J$2:$J$37000,"31*",'Accounting data'!$K$2:$K$37000,"61*")+SUMIFS('Accounting data'!$G$2:$G$37000,'Accounting data'!$I$2:$I$37000,"8*",'Accounting data'!$J$2:$J$37000,"31*",'Accounting data'!$K$2:$K$37000,"61*")+SUMIFS('Accounting data'!$G$2:$G$37000,'Accounting data'!$I$2:$I$37000,"9*",'Accounting data'!$J$2:$J$37000,"31*",'Accounting data'!$K$2:$K$37000,"61*")</f>
        <v>0</v>
      </c>
    </row>
    <row r="68" spans="1:5" x14ac:dyDescent="0.2">
      <c r="A68" s="562" t="s">
        <v>1006</v>
      </c>
      <c r="B68" s="560" t="s">
        <v>1007</v>
      </c>
      <c r="C68" s="560">
        <v>3100</v>
      </c>
      <c r="D68" s="560">
        <v>6100</v>
      </c>
      <c r="E68" s="561">
        <f>SUMIFS('Accounting data'!$G$2:$G$37000,'Accounting data'!$H$2:$H$37000,"9999*",'Accounting data'!$I$2:$I$37000,"7*",'Accounting data'!$J$2:$J$37000,"31*",'Accounting data'!$K$2:$K$37000,"61*")+SUMIFS('Accounting data'!$G$2:$G$37000,'Accounting data'!$H$2:$H$37000,"9999*",'Accounting data'!$I$2:$I$37000,"8*",'Accounting data'!$J$2:$J$37000,"31*",'Accounting data'!$K$2:$K$37000,"61*")+SUMIFS('Accounting data'!$G$2:$G$37000,'Accounting data'!$H$2:$H$37000,"9999*",'Accounting data'!$I$2:$I$37000,"9*",'Accounting data'!$J$2:$J$37000,"31*",'Accounting data'!$K$2:$K$37000,"61*")</f>
        <v>0</v>
      </c>
    </row>
    <row r="69" spans="1:5" x14ac:dyDescent="0.2">
      <c r="A69" s="560"/>
      <c r="B69" s="560"/>
      <c r="C69" s="560"/>
      <c r="D69" s="560"/>
      <c r="E69" s="561"/>
    </row>
    <row r="70" spans="1:5" x14ac:dyDescent="0.2">
      <c r="A70" s="560"/>
      <c r="B70" s="560"/>
      <c r="C70" s="560"/>
      <c r="D70" s="560"/>
      <c r="E70" s="561"/>
    </row>
    <row r="71" spans="1:5" ht="15" x14ac:dyDescent="0.25">
      <c r="A71" s="563" t="s">
        <v>1017</v>
      </c>
      <c r="B71" s="563"/>
      <c r="C71" s="563"/>
      <c r="D71" s="563"/>
      <c r="E71" s="564">
        <f>(E65-E66-E67)+(E68+E69+E70)</f>
        <v>5631</v>
      </c>
    </row>
    <row r="72" spans="1:5" x14ac:dyDescent="0.2">
      <c r="A72" s="560"/>
      <c r="B72" s="560"/>
      <c r="C72" s="560"/>
      <c r="D72" s="560"/>
      <c r="E72" s="561"/>
    </row>
    <row r="73" spans="1:5" x14ac:dyDescent="0.2">
      <c r="A73" s="560"/>
      <c r="B73" s="560"/>
      <c r="C73" s="560"/>
      <c r="D73" s="560"/>
      <c r="E73" s="561"/>
    </row>
    <row r="74" spans="1:5" x14ac:dyDescent="0.2">
      <c r="A74" s="560"/>
      <c r="B74" s="560"/>
      <c r="C74" s="560"/>
      <c r="D74" s="560"/>
      <c r="E74" s="561"/>
    </row>
    <row r="75" spans="1:5" x14ac:dyDescent="0.2">
      <c r="A75" s="562"/>
      <c r="B75" s="560"/>
      <c r="C75" s="560"/>
      <c r="D75" s="560"/>
      <c r="E75" s="561"/>
    </row>
    <row r="76" spans="1:5" x14ac:dyDescent="0.2">
      <c r="A76" s="560"/>
      <c r="B76" s="560"/>
      <c r="C76" s="560"/>
      <c r="D76" s="560"/>
      <c r="E76" s="561"/>
    </row>
    <row r="77" spans="1:5" x14ac:dyDescent="0.2">
      <c r="A77" s="560"/>
      <c r="B77" s="560"/>
      <c r="C77" s="560"/>
      <c r="D77" s="560"/>
      <c r="E77" s="561"/>
    </row>
    <row r="78" spans="1:5" ht="15" x14ac:dyDescent="0.25">
      <c r="A78" s="563"/>
      <c r="B78" s="563"/>
      <c r="C78" s="563"/>
      <c r="D78" s="563"/>
      <c r="E78" s="564"/>
    </row>
    <row r="79" spans="1:5" x14ac:dyDescent="0.2">
      <c r="A79" s="560" t="s">
        <v>1005</v>
      </c>
      <c r="B79" s="560" t="s">
        <v>1005</v>
      </c>
      <c r="C79" s="560">
        <v>3400</v>
      </c>
      <c r="D79" s="560">
        <v>6100</v>
      </c>
      <c r="E79" s="561">
        <f>SUMIFS('Accounting data'!$G$2:$G$37000,'Accounting data'!$J$2:$J$37000,"34*",'Accounting data'!$K$2:$K$37000,"61*")</f>
        <v>0</v>
      </c>
    </row>
    <row r="80" spans="1:5" x14ac:dyDescent="0.2">
      <c r="A80" s="560" t="s">
        <v>1006</v>
      </c>
      <c r="B80" s="560" t="s">
        <v>1005</v>
      </c>
      <c r="C80" s="560">
        <v>3400</v>
      </c>
      <c r="D80" s="560">
        <v>6100</v>
      </c>
      <c r="E80" s="561">
        <f>SUMIFS('Accounting data'!$G$2:$G$37000,'Accounting data'!$H$2:$H$37000,"9999*",'Accounting data'!$J$2:$J$37000,"34*",'Accounting data'!$K$2:$K$37000,"61*")</f>
        <v>0</v>
      </c>
    </row>
    <row r="81" spans="1:5" x14ac:dyDescent="0.2">
      <c r="A81" s="560" t="s">
        <v>1005</v>
      </c>
      <c r="B81" s="560" t="s">
        <v>1007</v>
      </c>
      <c r="C81" s="560">
        <v>3400</v>
      </c>
      <c r="D81" s="560">
        <v>6100</v>
      </c>
      <c r="E81" s="561">
        <f>SUMIFS('Accounting data'!$G$2:$G$37000,'Accounting data'!$I$2:$I$37000,"7*",'Accounting data'!$J$2:$J$37000,"34*",'Accounting data'!$K$2:$K$37000,"61*")+SUMIFS('Accounting data'!$G$2:$G$37000,'Accounting data'!$I$2:$I$37000,"8*",'Accounting data'!$J$2:$J$37000,"34*",'Accounting data'!$K$2:$K$37000,"61*")+SUMIFS('Accounting data'!$G$2:$G$37000,'Accounting data'!$I$2:$I$37000,"9*",'Accounting data'!$J$2:$J$37000,"34*",'Accounting data'!$K$2:$K$37000,"61*")</f>
        <v>0</v>
      </c>
    </row>
    <row r="82" spans="1:5" x14ac:dyDescent="0.2">
      <c r="A82" s="562" t="s">
        <v>1006</v>
      </c>
      <c r="B82" s="560" t="s">
        <v>1007</v>
      </c>
      <c r="C82" s="560">
        <v>3400</v>
      </c>
      <c r="D82" s="560">
        <v>6100</v>
      </c>
      <c r="E82" s="561">
        <f>SUMIFS('Accounting data'!$G$2:$G$37000,'Accounting data'!$H$2:$H$37000,"9999*",'Accounting data'!$I$2:$I$37000,"7*",'Accounting data'!$J$2:$J$37000,"34*",'Accounting data'!$K$2:$K$37000,"61*")+SUMIFS('Accounting data'!$G$2:$G$37000,'Accounting data'!$H$2:$H$37000,"9999*",'Accounting data'!$I$2:$I$37000,"8*",'Accounting data'!$J$2:$J$37000,"34*",'Accounting data'!$K$2:$K$37000,"61*")+SUMIFS('Accounting data'!$G$2:$G$37000,'Accounting data'!$H$2:$H$37000,"9999*",'Accounting data'!$I$2:$I$37000,"9*",'Accounting data'!$J$2:$J$37000,"34*",'Accounting data'!$K$2:$K$37000,"61*")</f>
        <v>0</v>
      </c>
    </row>
    <row r="83" spans="1:5" x14ac:dyDescent="0.2">
      <c r="A83" s="560"/>
      <c r="B83" s="560"/>
      <c r="C83" s="560"/>
      <c r="D83" s="560"/>
      <c r="E83" s="561"/>
    </row>
    <row r="84" spans="1:5" x14ac:dyDescent="0.2">
      <c r="A84" s="560"/>
      <c r="B84" s="560"/>
      <c r="C84" s="560"/>
      <c r="D84" s="560"/>
      <c r="E84" s="561"/>
    </row>
    <row r="85" spans="1:5" ht="15" x14ac:dyDescent="0.25">
      <c r="A85" s="563" t="s">
        <v>1018</v>
      </c>
      <c r="B85" s="563"/>
      <c r="C85" s="563"/>
      <c r="D85" s="563"/>
      <c r="E85" s="564">
        <f>(E79-E80-E81)+(E82+E83+E84)</f>
        <v>0</v>
      </c>
    </row>
    <row r="86" spans="1:5" x14ac:dyDescent="0.2">
      <c r="A86" s="560" t="s">
        <v>1005</v>
      </c>
      <c r="B86" s="560" t="s">
        <v>1005</v>
      </c>
      <c r="C86" s="560">
        <v>4000</v>
      </c>
      <c r="D86" s="560">
        <v>6100</v>
      </c>
      <c r="E86" s="561">
        <f>SUMIFS('Accounting data'!$G$2:$G$37000,'Accounting data'!$J$2:$J$37000,"4*",'Accounting data'!$K$2:$K$37000,"61*")</f>
        <v>0</v>
      </c>
    </row>
    <row r="87" spans="1:5" x14ac:dyDescent="0.2">
      <c r="A87" s="560" t="s">
        <v>1006</v>
      </c>
      <c r="B87" s="560" t="s">
        <v>1005</v>
      </c>
      <c r="C87" s="560">
        <v>4000</v>
      </c>
      <c r="D87" s="560">
        <v>6100</v>
      </c>
      <c r="E87" s="561">
        <f>SUMIFS('Accounting data'!$G$2:$G$37000,'Accounting data'!$H$2:$H$37000,"9999*",'Accounting data'!$J$2:$J$37000,"4*",'Accounting data'!$K$2:$K$37000,"61*")</f>
        <v>0</v>
      </c>
    </row>
    <row r="88" spans="1:5" x14ac:dyDescent="0.2">
      <c r="A88" s="560" t="s">
        <v>1005</v>
      </c>
      <c r="B88" s="560" t="s">
        <v>1007</v>
      </c>
      <c r="C88" s="560">
        <v>4000</v>
      </c>
      <c r="D88" s="560">
        <v>6100</v>
      </c>
      <c r="E88" s="561">
        <f>SUMIFS('Accounting data'!$G$2:$G$37000,'Accounting data'!$I$2:$I$37000,"7*",'Accounting data'!$J$2:$J$37000,"4*",'Accounting data'!$K$2:$K$37000,"61*")+SUMIFS('Accounting data'!$G$2:$G$37000,'Accounting data'!$I$2:$I$37000,"8*",'Accounting data'!$J$2:$J$37000,"4*",'Accounting data'!$K$2:$K$37000,"61*")+SUMIFS('Accounting data'!$G$2:$G$37000,'Accounting data'!$I$2:$I$37000,"9*",'Accounting data'!$J$2:$J$37000,"4*",'Accounting data'!$K$2:$K$37000,"61*")</f>
        <v>0</v>
      </c>
    </row>
    <row r="89" spans="1:5" x14ac:dyDescent="0.2">
      <c r="A89" s="562" t="s">
        <v>1006</v>
      </c>
      <c r="B89" s="560" t="s">
        <v>1007</v>
      </c>
      <c r="C89" s="560">
        <v>4000</v>
      </c>
      <c r="D89" s="560">
        <v>6100</v>
      </c>
      <c r="E89" s="561">
        <f>SUMIFS('Accounting data'!$G$2:$G$37000,'Accounting data'!$H$2:$H$37000,"9999*",'Accounting data'!$I$2:$I$37000,"7*",'Accounting data'!$J$2:$J$37000,"4*",'Accounting data'!$K$2:$K$37000,"61*")+SUMIFS('Accounting data'!$G$2:$G$37000,'Accounting data'!$H$2:$H$37000,"9999*",'Accounting data'!$I$2:$I$37000,"8*",'Accounting data'!$J$2:$J$37000,"4*",'Accounting data'!$K$2:$K$37000,"61*")+SUMIFS('Accounting data'!$G$2:$G$37000,'Accounting data'!$H$2:$H$37000,"9999*",'Accounting data'!$I$2:$I$37000,"9*",'Accounting data'!$J$2:$J$37000,"4*",'Accounting data'!$K$2:$K$37000,"61*")</f>
        <v>0</v>
      </c>
    </row>
    <row r="90" spans="1:5" x14ac:dyDescent="0.2">
      <c r="A90" s="560"/>
      <c r="B90" s="560"/>
      <c r="C90" s="560"/>
      <c r="D90" s="560"/>
      <c r="E90" s="561"/>
    </row>
    <row r="91" spans="1:5" x14ac:dyDescent="0.2">
      <c r="A91" s="560"/>
      <c r="B91" s="560"/>
      <c r="C91" s="560"/>
      <c r="D91" s="560"/>
      <c r="E91" s="561"/>
    </row>
    <row r="92" spans="1:5" ht="15" x14ac:dyDescent="0.25">
      <c r="A92" s="563" t="s">
        <v>1019</v>
      </c>
      <c r="B92" s="563"/>
      <c r="C92" s="563"/>
      <c r="D92" s="563"/>
      <c r="E92" s="564">
        <f>(E86-E87-E88)+(E89+E90+E91)</f>
        <v>0</v>
      </c>
    </row>
    <row r="93" spans="1:5" ht="15" x14ac:dyDescent="0.25">
      <c r="A93" s="566" t="s">
        <v>1020</v>
      </c>
      <c r="B93" s="566"/>
      <c r="C93" s="566"/>
      <c r="D93" s="566"/>
      <c r="E93" s="567">
        <f>E8+E15+E22+E29+E36+E43+E50+E57+E64+E71+E78+E85</f>
        <v>853224</v>
      </c>
    </row>
    <row r="94" spans="1:5" x14ac:dyDescent="0.2">
      <c r="A94" s="560" t="s">
        <v>1021</v>
      </c>
      <c r="B94" s="560" t="s">
        <v>1005</v>
      </c>
      <c r="C94" s="560">
        <v>1000</v>
      </c>
      <c r="D94" s="560">
        <v>6100</v>
      </c>
      <c r="E94" s="561">
        <f>SUMIFS('Accounting data'!$G$2:$G$37000,'Accounting data'!$H$2:$H$37000,"11*",'Accounting data'!$J$2:$J$37000,"1*",'Accounting data'!$K$2:$K$37000,"61*")+SUMIFS('Accounting data'!$G$2:$G$37000,'Accounting data'!$H$2:$H$37000,"12*",'Accounting data'!$J$2:$J$37000,"1*",'Accounting data'!$K$2:$K$37000,"61*")+SUMIFS('Accounting data'!$G$2:$G$37000,'Accounting data'!$H$2:$H$37000,"13*",'Accounting data'!$J$2:$J$37000,"1*",'Accounting data'!$K$2:$K$37000,"61*")</f>
        <v>312456</v>
      </c>
    </row>
    <row r="95" spans="1:5" x14ac:dyDescent="0.2">
      <c r="A95" s="560" t="s">
        <v>1021</v>
      </c>
      <c r="B95" s="560" t="s">
        <v>1005</v>
      </c>
      <c r="C95" s="560">
        <v>2000</v>
      </c>
      <c r="D95" s="560">
        <v>6100</v>
      </c>
      <c r="E95" s="561">
        <f>SUMIFS('Accounting data'!$G$2:$G$37000,'Accounting data'!$H$2:$H$37000,"11*",'Accounting data'!$J$2:$J$37000,"2*",'Accounting data'!$K$2:$K$37000,"61*")+SUMIFS('Accounting data'!$G$2:$G$37000,'Accounting data'!$H$2:$H$37000,"12*",'Accounting data'!$J$2:$J$37000,"2*",'Accounting data'!$K$2:$K$37000,"61*")+SUMIFS('Accounting data'!$G$2:$G$37000,'Accounting data'!$H$2:$H$37000,"13*",'Accounting data'!$J$2:$J$37000,"2*",'Accounting data'!$K$2:$K$37000,"61*")</f>
        <v>121918</v>
      </c>
    </row>
    <row r="96" spans="1:5" x14ac:dyDescent="0.2">
      <c r="A96" s="560" t="s">
        <v>1021</v>
      </c>
      <c r="B96" s="560" t="s">
        <v>1005</v>
      </c>
      <c r="C96" s="560">
        <v>3000</v>
      </c>
      <c r="D96" s="560">
        <v>6100</v>
      </c>
      <c r="E96" s="561">
        <f>SUMIFS('Accounting data'!$G$2:$G$37000,'Accounting data'!$H$2:$H$37000,"11*",'Accounting data'!$J$2:$J$37000,"3*",'Accounting data'!$K$2:$K$37000,"61*")+SUMIFS('Accounting data'!$G$2:$G$37000,'Accounting data'!$H$2:$H$37000,"12*",'Accounting data'!$J$2:$J$37000,"3*",'Accounting data'!$K$2:$K$37000,"61*")+SUMIFS('Accounting data'!$G$2:$G$37000,'Accounting data'!$H$2:$H$37000,"13*",'Accounting data'!$J$2:$J$37000,"3*",'Accounting data'!$K$2:$K$37000,"61*")</f>
        <v>0</v>
      </c>
    </row>
    <row r="97" spans="1:5" x14ac:dyDescent="0.2">
      <c r="A97" s="560" t="s">
        <v>1021</v>
      </c>
      <c r="B97" s="562">
        <v>700</v>
      </c>
      <c r="C97" s="560">
        <v>1000</v>
      </c>
      <c r="D97" s="560">
        <v>6100</v>
      </c>
      <c r="E97" s="561">
        <f>SUMIFS('Accounting data'!$G$2:$G$37000,'Accounting data'!$H$2:$H$37000,"11*",'Accounting data'!$I$2:$I$37000,"7*",'Accounting data'!$J$2:$J$37000,"1*",'Accounting data'!$K$2:$K$37000,"61*")+SUMIFS('Accounting data'!$G$2:$G$37000,'Accounting data'!$H$2:$H$37000,"12*",'Accounting data'!$I$2:$I$37000,"7*",'Accounting data'!$J$2:$J$37000,"1*",'Accounting data'!$K$2:$K$37000,"61*")+SUMIFS('Accounting data'!$G$2:$G$37000,'Accounting data'!$H$2:$H$37000,"13*",'Accounting data'!$I$2:$I$37000,"7*",'Accounting data'!$J$2:$J$37000,"1*",'Accounting data'!$K$2:$K$37000,"61*")</f>
        <v>0</v>
      </c>
    </row>
    <row r="98" spans="1:5" x14ac:dyDescent="0.2">
      <c r="A98" s="560" t="s">
        <v>1021</v>
      </c>
      <c r="B98" s="562">
        <v>800</v>
      </c>
      <c r="C98" s="560">
        <v>1000</v>
      </c>
      <c r="D98" s="560">
        <v>6100</v>
      </c>
      <c r="E98" s="561">
        <f>SUMIFS('Accounting data'!$G$2:$G$37000,'Accounting data'!$H$2:$H$37000,"11*",'Accounting data'!$I$2:$I$37000,"8*",'Accounting data'!$J$2:$J$37000,"1*",'Accounting data'!$K$2:$K$37000,"61*")+SUMIFS('Accounting data'!$G$2:$G$37000,'Accounting data'!$H$2:$H$37000,"12*",'Accounting data'!$I$2:$I$37000,"8*",'Accounting data'!$J$2:$J$37000,"1*",'Accounting data'!$K$2:$K$37000,"61*")+SUMIFS('Accounting data'!$G$2:$G$37000,'Accounting data'!$H$2:$H$37000,"13*",'Accounting data'!$I$2:$I$37000,"8*",'Accounting data'!$J$2:$J$37000,"1*",'Accounting data'!$K$2:$K$37000,"61*")</f>
        <v>0</v>
      </c>
    </row>
    <row r="99" spans="1:5" x14ac:dyDescent="0.2">
      <c r="A99" s="560" t="s">
        <v>1021</v>
      </c>
      <c r="B99" s="562">
        <v>900</v>
      </c>
      <c r="C99" s="560">
        <v>1000</v>
      </c>
      <c r="D99" s="560">
        <v>6100</v>
      </c>
      <c r="E99" s="561">
        <f>SUMIFS('Accounting data'!$G$2:$G$37000,'Accounting data'!$H$2:$H$37000,"11*",'Accounting data'!$I$2:$I$37000,"9*",'Accounting data'!$J$2:$J$37000,"1*",'Accounting data'!$K$2:$K$37000,"61*")+SUMIFS('Accounting data'!$G$2:$G$37000,'Accounting data'!$H$2:$H$37000,"12*",'Accounting data'!$I$2:$I$37000,"9*",'Accounting data'!$J$2:$J$37000,"1*",'Accounting data'!$K$2:$K$37000,"61*")+SUMIFS('Accounting data'!$G$2:$G$37000,'Accounting data'!$H$2:$H$37000,"13*",'Accounting data'!$I$2:$I$37000,"9*",'Accounting data'!$J$2:$J$37000,"1*",'Accounting data'!$K$2:$K$37000,"61*")</f>
        <v>0</v>
      </c>
    </row>
    <row r="100" spans="1:5" x14ac:dyDescent="0.2">
      <c r="A100" s="560" t="s">
        <v>1021</v>
      </c>
      <c r="B100" s="562">
        <v>700</v>
      </c>
      <c r="C100" s="560">
        <v>2000</v>
      </c>
      <c r="D100" s="560">
        <v>6100</v>
      </c>
      <c r="E100" s="561">
        <f>SUMIFS('Accounting data'!$G$2:$G$37000,'Accounting data'!$H$2:$H$37000,"11*",'Accounting data'!$I$2:$I$37000,"7*",'Accounting data'!$J$2:$J$37000,"2*",'Accounting data'!$K$2:$K$37000,"61*")+SUMIFS('Accounting data'!$G$2:$G$37000,'Accounting data'!$H$2:$H$37000,"12*",'Accounting data'!$I$2:$I$37000,"7*",'Accounting data'!$J$2:$J$37000,"2*",'Accounting data'!$K$2:$K$37000,"61*")+SUMIFS('Accounting data'!$G$2:$G$37000,'Accounting data'!$H$2:$H$37000,"13*",'Accounting data'!$I$2:$I$37000,"7*",'Accounting data'!$J$2:$J$37000,"2*",'Accounting data'!$K$2:$K$37000,"61*")</f>
        <v>0</v>
      </c>
    </row>
    <row r="101" spans="1:5" x14ac:dyDescent="0.2">
      <c r="A101" s="560" t="s">
        <v>1021</v>
      </c>
      <c r="B101" s="562">
        <v>800</v>
      </c>
      <c r="C101" s="560">
        <v>2000</v>
      </c>
      <c r="D101" s="560">
        <v>6100</v>
      </c>
      <c r="E101" s="561">
        <f>SUMIFS('Accounting data'!$G$2:$G$37000,'Accounting data'!$H$2:$H$37000,"11*",'Accounting data'!$I$2:$I$37000,"8*",'Accounting data'!$J$2:$J$37000,"2*",'Accounting data'!$K$2:$K$37000,"61*")+SUMIFS('Accounting data'!$G$2:$G$37000,'Accounting data'!$H$2:$H$37000,"12*",'Accounting data'!$I$2:$I$37000,"8*",'Accounting data'!$J$2:$J$37000,"2*",'Accounting data'!$K$2:$K$37000,"61*")+SUMIFS('Accounting data'!$G$2:$G$37000,'Accounting data'!$H$2:$H$37000,"13*",'Accounting data'!$I$2:$I$37000,"8*",'Accounting data'!$J$2:$J$37000,"2*",'Accounting data'!$K$2:$K$37000,"61*")</f>
        <v>0</v>
      </c>
    </row>
    <row r="102" spans="1:5" x14ac:dyDescent="0.2">
      <c r="A102" s="560" t="s">
        <v>1021</v>
      </c>
      <c r="B102" s="562">
        <v>900</v>
      </c>
      <c r="C102" s="560">
        <v>2000</v>
      </c>
      <c r="D102" s="560">
        <v>6100</v>
      </c>
      <c r="E102" s="561">
        <f>SUMIFS('Accounting data'!$G$2:$G$37000,'Accounting data'!$H$2:$H$37000,"11*",'Accounting data'!$I$2:$I$37000,"9*",'Accounting data'!$J$2:$J$37000,"2*",'Accounting data'!$K$2:$K$37000,"61*")+SUMIFS('Accounting data'!$G$2:$G$37000,'Accounting data'!$H$2:$H$37000,"12*",'Accounting data'!$I$2:$I$37000,"9*",'Accounting data'!$J$2:$J$37000,"2*",'Accounting data'!$K$2:$K$37000,"61*")+SUMIFS('Accounting data'!$G$2:$G$37000,'Accounting data'!$H$2:$H$37000,"13*",'Accounting data'!$I$2:$I$37000,"9*",'Accounting data'!$J$2:$J$37000,"2*",'Accounting data'!$K$2:$K$37000,"61*")</f>
        <v>0</v>
      </c>
    </row>
    <row r="103" spans="1:5" x14ac:dyDescent="0.2">
      <c r="A103" s="560" t="s">
        <v>1021</v>
      </c>
      <c r="B103" s="562">
        <v>700</v>
      </c>
      <c r="C103" s="560">
        <v>3000</v>
      </c>
      <c r="D103" s="560">
        <v>6100</v>
      </c>
      <c r="E103" s="561">
        <f>SUMIFS('Accounting data'!$G$2:$G$37000,'Accounting data'!$H$2:$H$37000,"11*",'Accounting data'!$I$2:$I$37000,"7*",'Accounting data'!$J$2:$J$37000,"3*",'Accounting data'!$K$2:$K$37000,"61*")+SUMIFS('Accounting data'!$G$2:$G$37000,'Accounting data'!$H$2:$H$37000,"12*",'Accounting data'!$I$2:$I$37000,"7*",'Accounting data'!$J$2:$J$37000,"3*",'Accounting data'!$K$2:$K$37000,"61*")+SUMIFS('Accounting data'!$G$2:$G$37000,'Accounting data'!$H$2:$H$37000,"13*",'Accounting data'!$I$2:$I$37000,"7*",'Accounting data'!$J$2:$J$37000,"3*",'Accounting data'!$K$2:$K$37000,"61*")</f>
        <v>0</v>
      </c>
    </row>
    <row r="104" spans="1:5" x14ac:dyDescent="0.2">
      <c r="A104" s="560" t="s">
        <v>1021</v>
      </c>
      <c r="B104" s="562">
        <v>800</v>
      </c>
      <c r="C104" s="560">
        <v>3000</v>
      </c>
      <c r="D104" s="560">
        <v>6100</v>
      </c>
      <c r="E104" s="561">
        <f>SUMIFS('Accounting data'!$G$2:$G$37000,'Accounting data'!$H$2:$H$37000,"11*",'Accounting data'!$I$2:$I$37000,"8*",'Accounting data'!$J$2:$J$37000,"3*",'Accounting data'!$K$2:$K$37000,"61*")+SUMIFS('Accounting data'!$G$2:$G$37000,'Accounting data'!$H$2:$H$37000,"12*",'Accounting data'!$I$2:$I$37000,"8*",'Accounting data'!$J$2:$J$37000,"3*",'Accounting data'!$K$2:$K$37000,"61*")+SUMIFS('Accounting data'!$G$2:$G$37000,'Accounting data'!$H$2:$H$37000,"13*",'Accounting data'!$I$2:$I$37000,"8*",'Accounting data'!$J$2:$J$37000,"3*",'Accounting data'!$K$2:$K$37000,"61*")</f>
        <v>0</v>
      </c>
    </row>
    <row r="105" spans="1:5" x14ac:dyDescent="0.2">
      <c r="A105" s="560" t="s">
        <v>1021</v>
      </c>
      <c r="B105" s="562">
        <v>900</v>
      </c>
      <c r="C105" s="560">
        <v>3000</v>
      </c>
      <c r="D105" s="560">
        <v>6100</v>
      </c>
      <c r="E105" s="561">
        <f>SUMIFS('Accounting data'!$G$2:$G$37000,'Accounting data'!$H$2:$H$37000,"11*",'Accounting data'!$I$2:$I$37000,"9*",'Accounting data'!$J$2:$J$37000,"3*",'Accounting data'!$K$2:$K$37000,"61*")+SUMIFS('Accounting data'!$G$2:$G$37000,'Accounting data'!$H$2:$H$37000,"12*",'Accounting data'!$I$2:$I$37000,"9*",'Accounting data'!$J$2:$J$37000,"3*",'Accounting data'!$K$2:$K$37000,"61*")+SUMIFS('Accounting data'!$G$2:$G$37000,'Accounting data'!$H$2:$H$37000,"13*",'Accounting data'!$I$2:$I$37000,"9*",'Accounting data'!$J$2:$J$37000,"3*",'Accounting data'!$K$2:$K$37000,"61*")</f>
        <v>0</v>
      </c>
    </row>
    <row r="106" spans="1:5" ht="15" x14ac:dyDescent="0.25">
      <c r="A106" s="563" t="s">
        <v>1022</v>
      </c>
      <c r="B106" s="563"/>
      <c r="C106" s="563"/>
      <c r="D106" s="563"/>
      <c r="E106" s="564">
        <f>(E94+E95+E96)-(E97+E98+E99+E100+E101+E102+E103+E104+E105)</f>
        <v>434374</v>
      </c>
    </row>
    <row r="107" spans="1:5" x14ac:dyDescent="0.2">
      <c r="A107" s="560" t="s">
        <v>1005</v>
      </c>
      <c r="B107" s="560" t="s">
        <v>1005</v>
      </c>
      <c r="C107" s="560">
        <v>1000</v>
      </c>
      <c r="D107" s="560">
        <v>6200</v>
      </c>
      <c r="E107" s="561">
        <f>SUMIFS('Accounting data'!$G$2:$G$37000,'Accounting data'!$J$2:$J$37000,"1*",'Accounting data'!$K$2:$K$37000,"62*")</f>
        <v>105290</v>
      </c>
    </row>
    <row r="108" spans="1:5" x14ac:dyDescent="0.2">
      <c r="A108" s="560" t="s">
        <v>1006</v>
      </c>
      <c r="B108" s="560" t="s">
        <v>1005</v>
      </c>
      <c r="C108" s="560">
        <v>1000</v>
      </c>
      <c r="D108" s="560">
        <v>6200</v>
      </c>
      <c r="E108" s="561">
        <f>SUMIFS('Accounting data'!$G$2:$G$37000,'Accounting data'!$H$2:$H$37000,"9999*",'Accounting data'!$J$2:$J$37000,"1*",'Accounting data'!$K$2:$K$37000,"62*")</f>
        <v>0</v>
      </c>
    </row>
    <row r="109" spans="1:5" x14ac:dyDescent="0.2">
      <c r="A109" s="560" t="s">
        <v>1005</v>
      </c>
      <c r="B109" s="560" t="s">
        <v>1007</v>
      </c>
      <c r="C109" s="560">
        <v>1000</v>
      </c>
      <c r="D109" s="560">
        <v>6200</v>
      </c>
      <c r="E109" s="561">
        <f>SUMIFS('Accounting data'!$G$2:$G$37000,'Accounting data'!$I$2:$I$37000,"7*",'Accounting data'!$J$2:$J$37000,"1*",'Accounting data'!$K$2:$K$37000,"62*")+SUMIFS('Accounting data'!$G$2:$G$37000,'Accounting data'!$I$2:$I$37000,"8*",'Accounting data'!$J$2:$J$37000,"1*",'Accounting data'!$K$2:$K$37000,"62*")+SUMIFS('Accounting data'!$G$2:$G$37000,'Accounting data'!$I$2:$I$37000,"9*",'Accounting data'!$J$2:$J$37000,"1*",'Accounting data'!$K$2:$K$37000,"62*")</f>
        <v>0</v>
      </c>
    </row>
    <row r="110" spans="1:5" x14ac:dyDescent="0.2">
      <c r="A110" s="562" t="s">
        <v>1006</v>
      </c>
      <c r="B110" s="560" t="s">
        <v>1007</v>
      </c>
      <c r="C110" s="560">
        <v>1000</v>
      </c>
      <c r="D110" s="560">
        <v>6200</v>
      </c>
      <c r="E110" s="561">
        <f>SUMIFS('Accounting data'!$G$2:$G$37000,'Accounting data'!$H$2:$H$37000,"9999*",'Accounting data'!$I$2:$I$37000,"7*",'Accounting data'!$J$2:$J$37000,"1*",'Accounting data'!$K$2:$K$37000,"62*")+SUMIFS('Accounting data'!$G$2:$G$37000,'Accounting data'!$H$2:$H$37000,"9999*",'Accounting data'!$I$2:$I$37000,"8*",'Accounting data'!$J$2:$J$37000,"1*",'Accounting data'!$K$2:$K$37000,"62*")+SUMIFS('Accounting data'!$G$2:$G$37000,'Accounting data'!$H$2:$H$37000,"9999*",'Accounting data'!$I$2:$I$37000,"9*",'Accounting data'!$J$2:$J$37000,"1*",'Accounting data'!$K$2:$K$37000,"62*")</f>
        <v>0</v>
      </c>
    </row>
    <row r="111" spans="1:5" x14ac:dyDescent="0.2">
      <c r="A111" s="560"/>
      <c r="B111" s="560"/>
      <c r="C111" s="560"/>
      <c r="D111" s="560"/>
      <c r="E111" s="561"/>
    </row>
    <row r="112" spans="1:5" x14ac:dyDescent="0.2">
      <c r="A112" s="560"/>
      <c r="B112" s="560"/>
      <c r="C112" s="560"/>
      <c r="D112" s="560"/>
      <c r="E112" s="561"/>
    </row>
    <row r="113" spans="1:5" ht="15" x14ac:dyDescent="0.25">
      <c r="A113" s="563" t="s">
        <v>1023</v>
      </c>
      <c r="B113" s="563"/>
      <c r="C113" s="563"/>
      <c r="D113" s="563"/>
      <c r="E113" s="564">
        <f>(E107-E108-E109)+(E110+E111+E112)</f>
        <v>105290</v>
      </c>
    </row>
    <row r="114" spans="1:5" x14ac:dyDescent="0.2">
      <c r="A114" s="560" t="s">
        <v>1005</v>
      </c>
      <c r="B114" s="560" t="s">
        <v>1005</v>
      </c>
      <c r="C114" s="560">
        <v>2100</v>
      </c>
      <c r="D114" s="560">
        <v>6200</v>
      </c>
      <c r="E114" s="561">
        <f>SUMIFS('Accounting data'!$G$2:$G$37000,'Accounting data'!$J$2:$J$37000,"21*",'Accounting data'!$K$2:$K$37000,"62*")</f>
        <v>69748</v>
      </c>
    </row>
    <row r="115" spans="1:5" x14ac:dyDescent="0.2">
      <c r="A115" s="560" t="s">
        <v>1006</v>
      </c>
      <c r="B115" s="560" t="s">
        <v>1005</v>
      </c>
      <c r="C115" s="560">
        <v>2100</v>
      </c>
      <c r="D115" s="560">
        <v>6200</v>
      </c>
      <c r="E115" s="561">
        <f>SUMIFS('Accounting data'!$G$2:$G$37000,'Accounting data'!$H$2:$H$37000,"9999*",'Accounting data'!$J$2:$J$37000,"21*",'Accounting data'!$K$2:$K$37000,"62*")</f>
        <v>0</v>
      </c>
    </row>
    <row r="116" spans="1:5" x14ac:dyDescent="0.2">
      <c r="A116" s="560" t="s">
        <v>1005</v>
      </c>
      <c r="B116" s="560" t="s">
        <v>1007</v>
      </c>
      <c r="C116" s="560">
        <v>2100</v>
      </c>
      <c r="D116" s="560">
        <v>6200</v>
      </c>
      <c r="E116" s="561">
        <f>SUMIFS('Accounting data'!$G$2:$G$37000,'Accounting data'!$I$2:$I$37000,"7*",'Accounting data'!$J$2:$J$37000,"21*",'Accounting data'!$K$2:$K$37000,"62*")+SUMIFS('Accounting data'!$G$2:$G$37000,'Accounting data'!$I$2:$I$37000,"8*",'Accounting data'!$J$2:$J$37000,"21*",'Accounting data'!$K$2:$K$37000,"62*")+SUMIFS('Accounting data'!$G$2:$G$37000,'Accounting data'!$I$2:$I$37000,"9*",'Accounting data'!$J$2:$J$37000,"21*",'Accounting data'!$K$2:$K$37000,"62*")</f>
        <v>0</v>
      </c>
    </row>
    <row r="117" spans="1:5" x14ac:dyDescent="0.2">
      <c r="A117" s="562" t="s">
        <v>1006</v>
      </c>
      <c r="B117" s="560" t="s">
        <v>1007</v>
      </c>
      <c r="C117" s="560">
        <v>2100</v>
      </c>
      <c r="D117" s="560">
        <v>6200</v>
      </c>
      <c r="E117" s="561">
        <f>SUMIFS('Accounting data'!$G$2:$G$37000,'Accounting data'!$H$2:$H$37000,"9999*",'Accounting data'!$I$2:$I$37000,"7*",'Accounting data'!$J$2:$J$37000,"21*",'Accounting data'!$K$2:$K$37000,"62*")+SUMIFS('Accounting data'!$G$2:$G$37000,'Accounting data'!$H$2:$H$37000,"9999*",'Accounting data'!$I$2:$I$37000,"8*",'Accounting data'!$J$2:$J$37000,"21*",'Accounting data'!$K$2:$K$37000,"62*")+SUMIFS('Accounting data'!$G$2:$G$37000,'Accounting data'!$H$2:$H$37000,"9999*",'Accounting data'!$I$2:$I$37000,"9*",'Accounting data'!$J$2:$J$37000,"21*",'Accounting data'!$K$2:$K$37000,"62*")</f>
        <v>0</v>
      </c>
    </row>
    <row r="118" spans="1:5" x14ac:dyDescent="0.2">
      <c r="A118" s="560"/>
      <c r="B118" s="560"/>
      <c r="C118" s="560"/>
      <c r="D118" s="560"/>
      <c r="E118" s="561"/>
    </row>
    <row r="119" spans="1:5" x14ac:dyDescent="0.2">
      <c r="A119" s="560"/>
      <c r="B119" s="560"/>
      <c r="C119" s="560"/>
      <c r="D119" s="560"/>
      <c r="E119" s="561"/>
    </row>
    <row r="120" spans="1:5" ht="15" x14ac:dyDescent="0.25">
      <c r="A120" s="563" t="s">
        <v>1024</v>
      </c>
      <c r="B120" s="563"/>
      <c r="C120" s="563"/>
      <c r="D120" s="563"/>
      <c r="E120" s="564">
        <f>(E114-E115-E116)+(E117+E118+E119)</f>
        <v>69748</v>
      </c>
    </row>
    <row r="121" spans="1:5" x14ac:dyDescent="0.2">
      <c r="A121" s="560" t="s">
        <v>1005</v>
      </c>
      <c r="B121" s="560" t="s">
        <v>1005</v>
      </c>
      <c r="C121" s="560">
        <v>2200</v>
      </c>
      <c r="D121" s="560">
        <v>6200</v>
      </c>
      <c r="E121" s="561">
        <f>SUMIFS('Accounting data'!$G$2:$G$37000,'Accounting data'!$J$2:$J$37000,"22*",'Accounting data'!$K$2:$K$37000,"62*")</f>
        <v>1235</v>
      </c>
    </row>
    <row r="122" spans="1:5" x14ac:dyDescent="0.2">
      <c r="A122" s="560" t="s">
        <v>1006</v>
      </c>
      <c r="B122" s="560" t="s">
        <v>1005</v>
      </c>
      <c r="C122" s="560">
        <v>2200</v>
      </c>
      <c r="D122" s="560">
        <v>6200</v>
      </c>
      <c r="E122" s="561">
        <f>SUMIFS('Accounting data'!$G$2:$G$37000,'Accounting data'!$H$2:$H$37000,"9999*",'Accounting data'!$J$2:$J$37000,"22*",'Accounting data'!$K$2:$K$37000,"62*")</f>
        <v>0</v>
      </c>
    </row>
    <row r="123" spans="1:5" x14ac:dyDescent="0.2">
      <c r="A123" s="560" t="s">
        <v>1005</v>
      </c>
      <c r="B123" s="560" t="s">
        <v>1007</v>
      </c>
      <c r="C123" s="560">
        <v>2200</v>
      </c>
      <c r="D123" s="560">
        <v>6200</v>
      </c>
      <c r="E123" s="561">
        <f>SUMIFS('Accounting data'!$G$2:$G$37000,'Accounting data'!$I$2:$I$37000,"7*",'Accounting data'!$J$2:$J$37000,"22*",'Accounting data'!$K$2:$K$37000,"62*")+SUMIFS('Accounting data'!$G$2:$G$37000,'Accounting data'!$I$2:$I$37000,"8*",'Accounting data'!$J$2:$J$37000,"22*",'Accounting data'!$K$2:$K$37000,"62*")+SUMIFS('Accounting data'!$G$2:$G$37000,'Accounting data'!$I$2:$I$37000,"9*",'Accounting data'!$J$2:$J$37000,"22*",'Accounting data'!$K$2:$K$37000,"62*")</f>
        <v>0</v>
      </c>
    </row>
    <row r="124" spans="1:5" x14ac:dyDescent="0.2">
      <c r="A124" s="562" t="s">
        <v>1006</v>
      </c>
      <c r="B124" s="560" t="s">
        <v>1007</v>
      </c>
      <c r="C124" s="560">
        <v>2200</v>
      </c>
      <c r="D124" s="560">
        <v>6200</v>
      </c>
      <c r="E124" s="561">
        <f>SUMIFS('Accounting data'!$G$2:$G$37000,'Accounting data'!$H$2:$H$37000,"9999*",'Accounting data'!$I$2:$I$37000,"7*",'Accounting data'!$J$2:$J$37000,"22*",'Accounting data'!$K$2:$K$37000,"62*")+SUMIFS('Accounting data'!$G$2:$G$37000,'Accounting data'!$H$2:$H$37000,"9999*",'Accounting data'!$I$2:$I$37000,"8*",'Accounting data'!$J$2:$J$37000,"22*",'Accounting data'!$K$2:$K$37000,"62*")+SUMIFS('Accounting data'!$G$2:$G$37000,'Accounting data'!$H$2:$H$37000,"9999*",'Accounting data'!$I$2:$I$37000,"9*",'Accounting data'!$J$2:$J$37000,"22*",'Accounting data'!$K$2:$K$37000,"62*")</f>
        <v>0</v>
      </c>
    </row>
    <row r="125" spans="1:5" x14ac:dyDescent="0.2">
      <c r="A125" s="560"/>
      <c r="B125" s="560"/>
      <c r="C125" s="560"/>
      <c r="D125" s="560"/>
      <c r="E125" s="561"/>
    </row>
    <row r="126" spans="1:5" x14ac:dyDescent="0.2">
      <c r="A126" s="560"/>
      <c r="B126" s="560"/>
      <c r="C126" s="560"/>
      <c r="D126" s="560"/>
      <c r="E126" s="561"/>
    </row>
    <row r="127" spans="1:5" ht="15" x14ac:dyDescent="0.25">
      <c r="A127" s="563" t="s">
        <v>1025</v>
      </c>
      <c r="B127" s="563"/>
      <c r="C127" s="563"/>
      <c r="D127" s="563"/>
      <c r="E127" s="564">
        <f>(E121-E122-E123)+(E124+E125+E126)</f>
        <v>1235</v>
      </c>
    </row>
    <row r="128" spans="1:5" x14ac:dyDescent="0.2">
      <c r="A128" s="560" t="s">
        <v>1005</v>
      </c>
      <c r="B128" s="560" t="s">
        <v>1005</v>
      </c>
      <c r="C128" s="560">
        <v>2300</v>
      </c>
      <c r="D128" s="560">
        <v>6200</v>
      </c>
      <c r="E128" s="561">
        <f>SUMIFS('Accounting data'!$G$2:$G$37000,'Accounting data'!$J$2:$J$37000,"23*",'Accounting data'!$K$2:$K$37000,"62*")</f>
        <v>731</v>
      </c>
    </row>
    <row r="129" spans="1:5" x14ac:dyDescent="0.2">
      <c r="A129" s="560" t="s">
        <v>1006</v>
      </c>
      <c r="B129" s="560" t="s">
        <v>1005</v>
      </c>
      <c r="C129" s="560">
        <v>2300</v>
      </c>
      <c r="D129" s="560">
        <v>6200</v>
      </c>
      <c r="E129" s="561">
        <f>SUMIFS('Accounting data'!$G$2:$G$37000,'Accounting data'!$H$2:$H$37000,"9999*",'Accounting data'!$J$2:$J$37000,"23*",'Accounting data'!$K$2:$K$37000,"62*")</f>
        <v>0</v>
      </c>
    </row>
    <row r="130" spans="1:5" x14ac:dyDescent="0.2">
      <c r="A130" s="560" t="s">
        <v>1005</v>
      </c>
      <c r="B130" s="560" t="s">
        <v>1007</v>
      </c>
      <c r="C130" s="560">
        <v>2300</v>
      </c>
      <c r="D130" s="560">
        <v>6200</v>
      </c>
      <c r="E130" s="561">
        <f>SUMIFS('Accounting data'!$G$2:$G$37000,'Accounting data'!$I$2:$I$37000,"7*",'Accounting data'!$J$2:$J$37000,"23*",'Accounting data'!$K$2:$K$37000,"62*")+SUMIFS('Accounting data'!$G$2:$G$37000,'Accounting data'!$I$2:$I$37000,"8*",'Accounting data'!$J$2:$J$37000,"23*",'Accounting data'!$K$2:$K$37000,"62*")+SUMIFS('Accounting data'!$G$2:$G$37000,'Accounting data'!$I$2:$I$37000,"9*",'Accounting data'!$J$2:$J$37000,"23*",'Accounting data'!$K$2:$K$37000,"62*")</f>
        <v>0</v>
      </c>
    </row>
    <row r="131" spans="1:5" x14ac:dyDescent="0.2">
      <c r="A131" s="562" t="s">
        <v>1006</v>
      </c>
      <c r="B131" s="560" t="s">
        <v>1007</v>
      </c>
      <c r="C131" s="560">
        <v>2300</v>
      </c>
      <c r="D131" s="560">
        <v>6200</v>
      </c>
      <c r="E131" s="561">
        <f>SUMIFS('Accounting data'!$G$2:$G$37000,'Accounting data'!$H$2:$H$37000,"9999*",'Accounting data'!$I$2:$I$37000,"7*",'Accounting data'!$J$2:$J$37000,"23*",'Accounting data'!$K$2:$K$37000,"62*")+SUMIFS('Accounting data'!$G$2:$G$37000,'Accounting data'!$H$2:$H$37000,"9999*",'Accounting data'!$I$2:$I$37000,"8*",'Accounting data'!$J$2:$J$37000,"23*",'Accounting data'!$K$2:$K$37000,"62*")+SUMIFS('Accounting data'!$G$2:$G$37000,'Accounting data'!$H$2:$H$37000,"9999*",'Accounting data'!$I$2:$I$37000,"9*",'Accounting data'!$J$2:$J$37000,"23*",'Accounting data'!$K$2:$K$37000,"62*")</f>
        <v>0</v>
      </c>
    </row>
    <row r="132" spans="1:5" x14ac:dyDescent="0.2">
      <c r="A132" s="560"/>
      <c r="B132" s="560"/>
      <c r="C132" s="560"/>
      <c r="D132" s="560"/>
      <c r="E132" s="561"/>
    </row>
    <row r="133" spans="1:5" x14ac:dyDescent="0.2">
      <c r="A133" s="560"/>
      <c r="B133" s="560"/>
      <c r="C133" s="560"/>
      <c r="D133" s="560"/>
      <c r="E133" s="561"/>
    </row>
    <row r="134" spans="1:5" ht="15" x14ac:dyDescent="0.25">
      <c r="A134" s="563" t="s">
        <v>1026</v>
      </c>
      <c r="B134" s="563"/>
      <c r="C134" s="563"/>
      <c r="D134" s="563"/>
      <c r="E134" s="564">
        <f>(E128-E129-E130)+(E131+E132+E133)</f>
        <v>731</v>
      </c>
    </row>
    <row r="135" spans="1:5" x14ac:dyDescent="0.2">
      <c r="A135" s="560" t="s">
        <v>1005</v>
      </c>
      <c r="B135" s="560" t="s">
        <v>1005</v>
      </c>
      <c r="C135" s="560">
        <v>2400</v>
      </c>
      <c r="D135" s="560">
        <v>6200</v>
      </c>
      <c r="E135" s="561">
        <f>SUMIFS('Accounting data'!$G$2:$G$37000,'Accounting data'!$J$2:$J$37000,"24*",'Accounting data'!$K$2:$K$37000,"62*")</f>
        <v>24948</v>
      </c>
    </row>
    <row r="136" spans="1:5" x14ac:dyDescent="0.2">
      <c r="A136" s="560" t="s">
        <v>1006</v>
      </c>
      <c r="B136" s="560" t="s">
        <v>1005</v>
      </c>
      <c r="C136" s="560">
        <v>2400</v>
      </c>
      <c r="D136" s="560">
        <v>6200</v>
      </c>
      <c r="E136" s="561">
        <f>SUMIFS('Accounting data'!$G$2:$G$37000,'Accounting data'!$H$2:$H$37000,"9999*",'Accounting data'!$J$2:$J$37000,"24*",'Accounting data'!$K$2:$K$37000,"62*")</f>
        <v>0</v>
      </c>
    </row>
    <row r="137" spans="1:5" x14ac:dyDescent="0.2">
      <c r="A137" s="560" t="s">
        <v>1005</v>
      </c>
      <c r="B137" s="560" t="s">
        <v>1007</v>
      </c>
      <c r="C137" s="560">
        <v>2400</v>
      </c>
      <c r="D137" s="560">
        <v>6200</v>
      </c>
      <c r="E137" s="561">
        <f>SUMIFS('Accounting data'!$G$2:$G$37000,'Accounting data'!$I$2:$I$37000,"7*",'Accounting data'!$J$2:$J$37000,"24*",'Accounting data'!$K$2:$K$37000,"62*")+SUMIFS('Accounting data'!$G$2:$G$37000,'Accounting data'!$I$2:$I$37000,"8*",'Accounting data'!$J$2:$J$37000,"24*",'Accounting data'!$K$2:$K$37000,"62*")+SUMIFS('Accounting data'!$G$2:$G$37000,'Accounting data'!$I$2:$I$37000,"9*",'Accounting data'!$J$2:$J$37000,"24*",'Accounting data'!$K$2:$K$37000,"62*")</f>
        <v>0</v>
      </c>
    </row>
    <row r="138" spans="1:5" x14ac:dyDescent="0.2">
      <c r="A138" s="562" t="s">
        <v>1006</v>
      </c>
      <c r="B138" s="560" t="s">
        <v>1007</v>
      </c>
      <c r="C138" s="560">
        <v>2400</v>
      </c>
      <c r="D138" s="560">
        <v>6200</v>
      </c>
      <c r="E138" s="561">
        <f>SUMIFS('Accounting data'!$G$2:$G$37000,'Accounting data'!$H$2:$H$37000,"9999*",'Accounting data'!$I$2:$I$37000,"7*",'Accounting data'!$J$2:$J$37000,"24*",'Accounting data'!$K$2:$K$37000,"62*")+SUMIFS('Accounting data'!$G$2:$G$37000,'Accounting data'!$H$2:$H$37000,"9999*",'Accounting data'!$I$2:$I$37000,"8*",'Accounting data'!$J$2:$J$37000,"24*",'Accounting data'!$K$2:$K$37000,"62*")+SUMIFS('Accounting data'!$G$2:$G$37000,'Accounting data'!$H$2:$H$37000,"9999*",'Accounting data'!$I$2:$I$37000,"9*",'Accounting data'!$J$2:$J$37000,"24*",'Accounting data'!$K$2:$K$37000,"62*")</f>
        <v>0</v>
      </c>
    </row>
    <row r="139" spans="1:5" x14ac:dyDescent="0.2">
      <c r="A139" s="560"/>
      <c r="B139" s="560"/>
      <c r="C139" s="560"/>
      <c r="D139" s="560"/>
      <c r="E139" s="561"/>
    </row>
    <row r="140" spans="1:5" x14ac:dyDescent="0.2">
      <c r="A140" s="560"/>
      <c r="B140" s="560"/>
      <c r="C140" s="560"/>
      <c r="D140" s="560"/>
      <c r="E140" s="561"/>
    </row>
    <row r="141" spans="1:5" ht="15" x14ac:dyDescent="0.25">
      <c r="A141" s="563" t="s">
        <v>1027</v>
      </c>
      <c r="B141" s="563"/>
      <c r="C141" s="563"/>
      <c r="D141" s="563"/>
      <c r="E141" s="564">
        <f>(E135-E136-E137)+(E138+E139+E140)</f>
        <v>24948</v>
      </c>
    </row>
    <row r="142" spans="1:5" x14ac:dyDescent="0.2">
      <c r="A142" s="560" t="s">
        <v>1005</v>
      </c>
      <c r="B142" s="560" t="s">
        <v>1005</v>
      </c>
      <c r="C142" s="560">
        <v>2500</v>
      </c>
      <c r="D142" s="560">
        <v>6200</v>
      </c>
      <c r="E142" s="561">
        <f>SUMIFS('Accounting data'!$G$2:$G$37000,'Accounting data'!$J$2:$J$37000,"25*",'Accounting data'!$K$2:$K$37000,"62*")</f>
        <v>64896</v>
      </c>
    </row>
    <row r="143" spans="1:5" x14ac:dyDescent="0.2">
      <c r="A143" s="560" t="s">
        <v>1006</v>
      </c>
      <c r="B143" s="560" t="s">
        <v>1005</v>
      </c>
      <c r="C143" s="560">
        <v>2500</v>
      </c>
      <c r="D143" s="560">
        <v>6200</v>
      </c>
      <c r="E143" s="561">
        <f>SUMIFS('Accounting data'!$G$2:$G$37000,'Accounting data'!$H$2:$H$37000,"9999*",'Accounting data'!$J$2:$J$37000,"25*",'Accounting data'!$K$2:$K$37000,"62*")</f>
        <v>0</v>
      </c>
    </row>
    <row r="144" spans="1:5" x14ac:dyDescent="0.2">
      <c r="A144" s="560" t="s">
        <v>1005</v>
      </c>
      <c r="B144" s="560" t="s">
        <v>1007</v>
      </c>
      <c r="C144" s="560">
        <v>2500</v>
      </c>
      <c r="D144" s="560">
        <v>6200</v>
      </c>
      <c r="E144" s="561">
        <f>SUMIFS('Accounting data'!$G$2:$G$37000,'Accounting data'!$I$2:$I$37000,"7*",'Accounting data'!$J$2:$J$37000,"25*",'Accounting data'!$K$2:$K$37000,"62*")+SUMIFS('Accounting data'!$G$2:$G$37000,'Accounting data'!$I$2:$I$37000,"8*",'Accounting data'!$J$2:$J$37000,"25*",'Accounting data'!$K$2:$K$37000,"62*")+SUMIFS('Accounting data'!$G$2:$G$37000,'Accounting data'!$I$2:$I$37000,"9*",'Accounting data'!$J$2:$J$37000,"25*",'Accounting data'!$K$2:$K$37000,"62*")</f>
        <v>0</v>
      </c>
    </row>
    <row r="145" spans="1:5" x14ac:dyDescent="0.2">
      <c r="A145" s="562" t="s">
        <v>1006</v>
      </c>
      <c r="B145" s="560" t="s">
        <v>1007</v>
      </c>
      <c r="C145" s="560">
        <v>2500</v>
      </c>
      <c r="D145" s="560">
        <v>6200</v>
      </c>
      <c r="E145" s="561">
        <f>SUMIFS('Accounting data'!$G$2:$G$37000,'Accounting data'!$H$2:$H$37000,"9999*",'Accounting data'!$I$2:$I$37000,"7*",'Accounting data'!$J$2:$J$37000,"25*",'Accounting data'!$K$2:$K$37000,"62*")+SUMIFS('Accounting data'!$G$2:$G$37000,'Accounting data'!$H$2:$H$37000,"9999*",'Accounting data'!$I$2:$I$37000,"8*",'Accounting data'!$J$2:$J$37000,"25*",'Accounting data'!$K$2:$K$37000,"62*")+SUMIFS('Accounting data'!$G$2:$G$37000,'Accounting data'!$H$2:$H$37000,"9999*",'Accounting data'!$I$2:$I$37000,"9*",'Accounting data'!$J$2:$J$37000,"25*",'Accounting data'!$K$2:$K$37000,"62*")</f>
        <v>0</v>
      </c>
    </row>
    <row r="146" spans="1:5" x14ac:dyDescent="0.2">
      <c r="A146" s="560"/>
      <c r="B146" s="560"/>
      <c r="C146" s="560"/>
      <c r="D146" s="560"/>
      <c r="E146" s="561"/>
    </row>
    <row r="147" spans="1:5" x14ac:dyDescent="0.2">
      <c r="A147" s="560"/>
      <c r="B147" s="560"/>
      <c r="C147" s="560"/>
      <c r="D147" s="560"/>
      <c r="E147" s="561"/>
    </row>
    <row r="148" spans="1:5" ht="15" x14ac:dyDescent="0.25">
      <c r="A148" s="563" t="s">
        <v>1028</v>
      </c>
      <c r="B148" s="563"/>
      <c r="C148" s="563"/>
      <c r="D148" s="563"/>
      <c r="E148" s="564">
        <f>(E142-E143-E144)+(E145+E146+E147)</f>
        <v>64896</v>
      </c>
    </row>
    <row r="149" spans="1:5" x14ac:dyDescent="0.2">
      <c r="A149" s="560" t="s">
        <v>1005</v>
      </c>
      <c r="B149" s="560" t="s">
        <v>1005</v>
      </c>
      <c r="C149" s="560">
        <v>2900</v>
      </c>
      <c r="D149" s="560">
        <v>6200</v>
      </c>
      <c r="E149" s="561">
        <f>SUMIFS('Accounting data'!$G$2:$G$37000,'Accounting data'!$J$2:$J$37000,"29*",'Accounting data'!$K$2:$K$37000,"62*")</f>
        <v>0</v>
      </c>
    </row>
    <row r="150" spans="1:5" x14ac:dyDescent="0.2">
      <c r="A150" s="560" t="s">
        <v>1006</v>
      </c>
      <c r="B150" s="560" t="s">
        <v>1005</v>
      </c>
      <c r="C150" s="560">
        <v>2900</v>
      </c>
      <c r="D150" s="560">
        <v>6200</v>
      </c>
      <c r="E150" s="561">
        <f>SUMIFS('Accounting data'!$G$2:$G$37000,'Accounting data'!$H$2:$H$37000,"9999*",'Accounting data'!$J$2:$J$37000,"29*",'Accounting data'!$K$2:$K$37000,"62*")</f>
        <v>0</v>
      </c>
    </row>
    <row r="151" spans="1:5" x14ac:dyDescent="0.2">
      <c r="A151" s="560" t="s">
        <v>1005</v>
      </c>
      <c r="B151" s="560" t="s">
        <v>1007</v>
      </c>
      <c r="C151" s="560">
        <v>2900</v>
      </c>
      <c r="D151" s="560">
        <v>6200</v>
      </c>
      <c r="E151" s="561">
        <f>SUMIFS('Accounting data'!$G$2:$G$37000,'Accounting data'!$I$2:$I$37000,"7*",'Accounting data'!$J$2:$J$37000,"29*",'Accounting data'!$K$2:$K$37000,"62*")+SUMIFS('Accounting data'!$G$2:$G$37000,'Accounting data'!$I$2:$I$37000,"8*",'Accounting data'!$J$2:$J$37000,"29*",'Accounting data'!$K$2:$K$37000,"62*")+SUMIFS('Accounting data'!$G$2:$G$37000,'Accounting data'!$I$2:$I$37000,"9*",'Accounting data'!$J$2:$J$37000,"29*",'Accounting data'!$K$2:$K$37000,"62*")</f>
        <v>0</v>
      </c>
    </row>
    <row r="152" spans="1:5" x14ac:dyDescent="0.2">
      <c r="A152" s="562" t="s">
        <v>1006</v>
      </c>
      <c r="B152" s="560" t="s">
        <v>1007</v>
      </c>
      <c r="C152" s="560">
        <v>2900</v>
      </c>
      <c r="D152" s="560">
        <v>6200</v>
      </c>
      <c r="E152" s="561">
        <f>SUMIFS('Accounting data'!$G$2:$G$37000,'Accounting data'!$H$2:$H$37000,"9999*",'Accounting data'!$I$2:$I$37000,"7*",'Accounting data'!$J$2:$J$37000,"29*",'Accounting data'!$K$2:$K$37000,"62*")+SUMIFS('Accounting data'!$G$2:$G$37000,'Accounting data'!$H$2:$H$37000,"9999*",'Accounting data'!$I$2:$I$37000,"8*",'Accounting data'!$J$2:$J$37000,"29*",'Accounting data'!$K$2:$K$37000,"62*")+SUMIFS('Accounting data'!$G$2:$G$37000,'Accounting data'!$H$2:$H$37000,"9999*",'Accounting data'!$I$2:$I$37000,"9*",'Accounting data'!$J$2:$J$37000,"29*",'Accounting data'!$K$2:$K$37000,"62*")</f>
        <v>0</v>
      </c>
    </row>
    <row r="153" spans="1:5" x14ac:dyDescent="0.2">
      <c r="A153" s="560"/>
      <c r="B153" s="560"/>
      <c r="C153" s="560"/>
      <c r="D153" s="560"/>
      <c r="E153" s="561"/>
    </row>
    <row r="154" spans="1:5" x14ac:dyDescent="0.2">
      <c r="A154" s="560"/>
      <c r="B154" s="560"/>
      <c r="C154" s="560"/>
      <c r="D154" s="560"/>
      <c r="E154" s="561"/>
    </row>
    <row r="155" spans="1:5" ht="15" x14ac:dyDescent="0.25">
      <c r="A155" s="563" t="s">
        <v>1029</v>
      </c>
      <c r="B155" s="563"/>
      <c r="C155" s="563"/>
      <c r="D155" s="563"/>
      <c r="E155" s="564">
        <f>(E149-E150-E151)+(E152+E153+E154)</f>
        <v>0</v>
      </c>
    </row>
    <row r="156" spans="1:5" x14ac:dyDescent="0.2">
      <c r="A156" s="560" t="s">
        <v>1005</v>
      </c>
      <c r="B156" s="560" t="s">
        <v>1005</v>
      </c>
      <c r="C156" s="560">
        <v>2600</v>
      </c>
      <c r="D156" s="560">
        <v>6200</v>
      </c>
      <c r="E156" s="561">
        <f>SUMIFS('Accounting data'!$G$2:$G$37000,'Accounting data'!$J$2:$J$37000,"26*",'Accounting data'!$K$2:$K$37000,"62*")</f>
        <v>11576</v>
      </c>
    </row>
    <row r="157" spans="1:5" x14ac:dyDescent="0.2">
      <c r="A157" s="560" t="s">
        <v>1006</v>
      </c>
      <c r="B157" s="560" t="s">
        <v>1005</v>
      </c>
      <c r="C157" s="560">
        <v>2600</v>
      </c>
      <c r="D157" s="560">
        <v>6200</v>
      </c>
      <c r="E157" s="561">
        <f>SUMIFS('Accounting data'!$G$2:$G$37000,'Accounting data'!$H$2:$H$37000,"9999*",'Accounting data'!$J$2:$J$37000,"26*",'Accounting data'!$K$2:$K$37000,"62*")</f>
        <v>0</v>
      </c>
    </row>
    <row r="158" spans="1:5" x14ac:dyDescent="0.2">
      <c r="A158" s="560" t="s">
        <v>1005</v>
      </c>
      <c r="B158" s="560" t="s">
        <v>1007</v>
      </c>
      <c r="C158" s="560">
        <v>2600</v>
      </c>
      <c r="D158" s="560">
        <v>6200</v>
      </c>
      <c r="E158" s="561">
        <f>SUMIFS('Accounting data'!$G$2:$G$37000,'Accounting data'!$I$2:$I$37000,"7*",'Accounting data'!$J$2:$J$37000,"26*",'Accounting data'!$K$2:$K$37000,"62*")+SUMIFS('Accounting data'!$G$2:$G$37000,'Accounting data'!$I$2:$I$37000,"8*",'Accounting data'!$J$2:$J$37000,"26*",'Accounting data'!$K$2:$K$37000,"62*")+SUMIFS('Accounting data'!$G$2:$G$37000,'Accounting data'!$I$2:$I$37000,"9*",'Accounting data'!$J$2:$J$37000,"26*",'Accounting data'!$K$2:$K$37000,"62*")</f>
        <v>0</v>
      </c>
    </row>
    <row r="159" spans="1:5" x14ac:dyDescent="0.2">
      <c r="A159" s="562" t="s">
        <v>1006</v>
      </c>
      <c r="B159" s="560" t="s">
        <v>1007</v>
      </c>
      <c r="C159" s="560">
        <v>2600</v>
      </c>
      <c r="D159" s="560">
        <v>6200</v>
      </c>
      <c r="E159" s="561">
        <f>SUMIFS('Accounting data'!$G$2:$G$37000,'Accounting data'!$H$2:$H$37000,"9999*",'Accounting data'!$I$2:$I$37000,"7*",'Accounting data'!$J$2:$J$37000,"26*",'Accounting data'!$K$2:$K$37000,"62*")+SUMIFS('Accounting data'!$G$2:$G$37000,'Accounting data'!$H$2:$H$37000,"9999*",'Accounting data'!$I$2:$I$37000,"8*",'Accounting data'!$J$2:$J$37000,"26*",'Accounting data'!$K$2:$K$37000,"62*")+SUMIFS('Accounting data'!$G$2:$G$37000,'Accounting data'!$H$2:$H$37000,"9999*",'Accounting data'!$I$2:$I$37000,"9*",'Accounting data'!$J$2:$J$37000,"26*",'Accounting data'!$K$2:$K$37000,"62*")</f>
        <v>0</v>
      </c>
    </row>
    <row r="160" spans="1:5" x14ac:dyDescent="0.2">
      <c r="A160" s="560"/>
      <c r="B160" s="560"/>
      <c r="C160" s="560"/>
      <c r="D160" s="560"/>
      <c r="E160" s="561"/>
    </row>
    <row r="161" spans="1:5" x14ac:dyDescent="0.2">
      <c r="A161" s="560"/>
      <c r="B161" s="560"/>
      <c r="C161" s="560"/>
      <c r="D161" s="560"/>
      <c r="E161" s="561"/>
    </row>
    <row r="162" spans="1:5" ht="15" x14ac:dyDescent="0.25">
      <c r="A162" s="563" t="s">
        <v>1030</v>
      </c>
      <c r="B162" s="563"/>
      <c r="C162" s="563"/>
      <c r="D162" s="563"/>
      <c r="E162" s="564">
        <f>(E156-E157-E158)+(E159+E160+E161)</f>
        <v>11576</v>
      </c>
    </row>
    <row r="163" spans="1:5" x14ac:dyDescent="0.2">
      <c r="A163" s="560" t="s">
        <v>1005</v>
      </c>
      <c r="B163" s="560" t="s">
        <v>1005</v>
      </c>
      <c r="C163" s="560">
        <v>2700</v>
      </c>
      <c r="D163" s="560">
        <v>6200</v>
      </c>
      <c r="E163" s="561">
        <f>SUMIFS('Accounting data'!$G$2:$G$37000,'Accounting data'!$J$2:$J$37000,"27*",'Accounting data'!$K$2:$K$37000,"62*")</f>
        <v>1717</v>
      </c>
    </row>
    <row r="164" spans="1:5" x14ac:dyDescent="0.2">
      <c r="A164" s="560" t="s">
        <v>1006</v>
      </c>
      <c r="B164" s="560" t="s">
        <v>1005</v>
      </c>
      <c r="C164" s="560">
        <v>2700</v>
      </c>
      <c r="D164" s="560">
        <v>6200</v>
      </c>
      <c r="E164" s="561">
        <f>SUMIFS('Accounting data'!$G$2:$G$37000,'Accounting data'!$H$2:$H$37000,"9999*",'Accounting data'!$J$2:$J$37000,"27*",'Accounting data'!$K$2:$K$37000,"62*")</f>
        <v>0</v>
      </c>
    </row>
    <row r="165" spans="1:5" x14ac:dyDescent="0.2">
      <c r="A165" s="560" t="s">
        <v>1005</v>
      </c>
      <c r="B165" s="560" t="s">
        <v>1007</v>
      </c>
      <c r="C165" s="560">
        <v>2700</v>
      </c>
      <c r="D165" s="560">
        <v>6200</v>
      </c>
      <c r="E165" s="561">
        <f>SUMIFS('Accounting data'!$G$2:$G$37000,'Accounting data'!$I$2:$I$37000,"7*",'Accounting data'!$J$2:$J$37000,"27*",'Accounting data'!$K$2:$K$37000,"62*")+SUMIFS('Accounting data'!$G$2:$G$37000,'Accounting data'!$I$2:$I$37000,"8*",'Accounting data'!$J$2:$J$37000,"27*",'Accounting data'!$K$2:$K$37000,"62*")+SUMIFS('Accounting data'!$G$2:$G$37000,'Accounting data'!$I$2:$I$37000,"9*",'Accounting data'!$J$2:$J$37000,"27*",'Accounting data'!$K$2:$K$37000,"62*")</f>
        <v>0</v>
      </c>
    </row>
    <row r="166" spans="1:5" x14ac:dyDescent="0.2">
      <c r="A166" s="562" t="s">
        <v>1006</v>
      </c>
      <c r="B166" s="560" t="s">
        <v>1007</v>
      </c>
      <c r="C166" s="560">
        <v>2700</v>
      </c>
      <c r="D166" s="560">
        <v>6200</v>
      </c>
      <c r="E166" s="561">
        <f>SUMIFS('Accounting data'!$G$2:$G$37000,'Accounting data'!$H$2:$H$37000,"9999*",'Accounting data'!$I$2:$I$37000,"7*",'Accounting data'!$J$2:$J$37000,"27*",'Accounting data'!$K$2:$K$37000,"62*")+SUMIFS('Accounting data'!$G$2:$G$37000,'Accounting data'!$H$2:$H$37000,"9999*",'Accounting data'!$I$2:$I$37000,"8*",'Accounting data'!$J$2:$J$37000,"27*",'Accounting data'!$K$2:$K$37000,"62*")+SUMIFS('Accounting data'!$G$2:$G$37000,'Accounting data'!$H$2:$H$37000,"9999*",'Accounting data'!$I$2:$I$37000,"9*",'Accounting data'!$J$2:$J$37000,"27*",'Accounting data'!$K$2:$K$37000,"62*")</f>
        <v>0</v>
      </c>
    </row>
    <row r="167" spans="1:5" x14ac:dyDescent="0.2">
      <c r="A167" s="560"/>
      <c r="B167" s="560"/>
      <c r="C167" s="560"/>
      <c r="D167" s="560"/>
      <c r="E167" s="561"/>
    </row>
    <row r="168" spans="1:5" x14ac:dyDescent="0.2">
      <c r="A168" s="560"/>
      <c r="B168" s="560"/>
      <c r="C168" s="560"/>
      <c r="D168" s="560"/>
      <c r="E168" s="561"/>
    </row>
    <row r="169" spans="1:5" ht="15" x14ac:dyDescent="0.25">
      <c r="A169" s="563" t="s">
        <v>1031</v>
      </c>
      <c r="B169" s="563"/>
      <c r="C169" s="563"/>
      <c r="D169" s="563"/>
      <c r="E169" s="564">
        <f>(E163-E164-E165)+(E166+E167+E168)</f>
        <v>1717</v>
      </c>
    </row>
    <row r="170" spans="1:5" x14ac:dyDescent="0.2">
      <c r="A170" s="560" t="s">
        <v>1005</v>
      </c>
      <c r="B170" s="560" t="s">
        <v>1005</v>
      </c>
      <c r="C170" s="560">
        <v>3100</v>
      </c>
      <c r="D170" s="560">
        <v>6200</v>
      </c>
      <c r="E170" s="561">
        <f>SUMIFS('Accounting data'!$G$2:$G$37000,'Accounting data'!$J$2:$J$37000,"31*",'Accounting data'!$K$2:$K$37000,"62*")</f>
        <v>1151</v>
      </c>
    </row>
    <row r="171" spans="1:5" x14ac:dyDescent="0.2">
      <c r="A171" s="560" t="s">
        <v>1006</v>
      </c>
      <c r="B171" s="560" t="s">
        <v>1005</v>
      </c>
      <c r="C171" s="560">
        <v>3100</v>
      </c>
      <c r="D171" s="560">
        <v>6200</v>
      </c>
      <c r="E171" s="561">
        <f>SUMIFS('Accounting data'!$G$2:$G$37000,'Accounting data'!$H$2:$H$37000,"9999*",'Accounting data'!$J$2:$J$37000,"31*",'Accounting data'!$K$2:$K$37000,"62*")</f>
        <v>0</v>
      </c>
    </row>
    <row r="172" spans="1:5" x14ac:dyDescent="0.2">
      <c r="A172" s="560" t="s">
        <v>1005</v>
      </c>
      <c r="B172" s="560" t="s">
        <v>1007</v>
      </c>
      <c r="C172" s="560">
        <v>3100</v>
      </c>
      <c r="D172" s="560">
        <v>6200</v>
      </c>
      <c r="E172" s="561">
        <f>SUMIFS('Accounting data'!$G$2:$G$37000,'Accounting data'!$I$2:$I$37000,"7*",'Accounting data'!$J$2:$J$37000,"31*",'Accounting data'!$K$2:$K$37000,"62*")+SUMIFS('Accounting data'!$G$2:$G$37000,'Accounting data'!$I$2:$I$37000,"8*",'Accounting data'!$J$2:$J$37000,"31*",'Accounting data'!$K$2:$K$37000,"62*")+SUMIFS('Accounting data'!$G$2:$G$37000,'Accounting data'!$I$2:$I$37000,"9*",'Accounting data'!$J$2:$J$37000,"31*",'Accounting data'!$K$2:$K$37000,"62*")</f>
        <v>0</v>
      </c>
    </row>
    <row r="173" spans="1:5" x14ac:dyDescent="0.2">
      <c r="A173" s="562" t="s">
        <v>1006</v>
      </c>
      <c r="B173" s="560" t="s">
        <v>1007</v>
      </c>
      <c r="C173" s="560">
        <v>3100</v>
      </c>
      <c r="D173" s="560">
        <v>6200</v>
      </c>
      <c r="E173" s="561">
        <f>SUMIFS('Accounting data'!$G$2:$G$37000,'Accounting data'!$H$2:$H$37000,"9999*",'Accounting data'!$I$2:$I$37000,"7*",'Accounting data'!$J$2:$J$37000,"31*",'Accounting data'!$K$2:$K$37000,"62*")+SUMIFS('Accounting data'!$G$2:$G$37000,'Accounting data'!$H$2:$H$37000,"9999*",'Accounting data'!$I$2:$I$37000,"8*",'Accounting data'!$J$2:$J$37000,"31*",'Accounting data'!$K$2:$K$37000,"62*")+SUMIFS('Accounting data'!$G$2:$G$37000,'Accounting data'!$H$2:$H$37000,"9999*",'Accounting data'!$I$2:$I$37000,"9*",'Accounting data'!$J$2:$J$37000,"31*",'Accounting data'!$K$2:$K$37000,"62*")</f>
        <v>0</v>
      </c>
    </row>
    <row r="174" spans="1:5" x14ac:dyDescent="0.2">
      <c r="A174" s="560"/>
      <c r="B174" s="560"/>
      <c r="C174" s="560"/>
      <c r="D174" s="560"/>
      <c r="E174" s="561"/>
    </row>
    <row r="175" spans="1:5" x14ac:dyDescent="0.2">
      <c r="A175" s="560"/>
      <c r="B175" s="560"/>
      <c r="C175" s="560"/>
      <c r="D175" s="560"/>
      <c r="E175" s="561"/>
    </row>
    <row r="176" spans="1:5" ht="15" x14ac:dyDescent="0.25">
      <c r="A176" s="563" t="s">
        <v>1032</v>
      </c>
      <c r="B176" s="563"/>
      <c r="C176" s="563"/>
      <c r="D176" s="563"/>
      <c r="E176" s="564">
        <f>(E170-E171-E172)+(E173+E174+E175)</f>
        <v>1151</v>
      </c>
    </row>
    <row r="177" spans="1:5" x14ac:dyDescent="0.2">
      <c r="A177" s="560"/>
      <c r="B177" s="560"/>
      <c r="C177" s="560"/>
      <c r="D177" s="560"/>
      <c r="E177" s="561"/>
    </row>
    <row r="178" spans="1:5" x14ac:dyDescent="0.2">
      <c r="A178" s="560"/>
      <c r="B178" s="560"/>
      <c r="C178" s="560"/>
      <c r="D178" s="560"/>
      <c r="E178" s="561"/>
    </row>
    <row r="179" spans="1:5" x14ac:dyDescent="0.2">
      <c r="A179" s="560"/>
      <c r="B179" s="560"/>
      <c r="C179" s="560"/>
      <c r="D179" s="560"/>
      <c r="E179" s="561"/>
    </row>
    <row r="180" spans="1:5" x14ac:dyDescent="0.2">
      <c r="A180" s="562"/>
      <c r="B180" s="560"/>
      <c r="C180" s="560"/>
      <c r="D180" s="560"/>
      <c r="E180" s="561"/>
    </row>
    <row r="181" spans="1:5" x14ac:dyDescent="0.2">
      <c r="A181" s="560"/>
      <c r="B181" s="560"/>
      <c r="C181" s="560"/>
      <c r="D181" s="560"/>
      <c r="E181" s="561"/>
    </row>
    <row r="182" spans="1:5" x14ac:dyDescent="0.2">
      <c r="A182" s="560"/>
      <c r="B182" s="560"/>
      <c r="C182" s="560"/>
      <c r="D182" s="560"/>
      <c r="E182" s="561"/>
    </row>
    <row r="183" spans="1:5" ht="15" x14ac:dyDescent="0.25">
      <c r="A183" s="563"/>
      <c r="B183" s="563"/>
      <c r="C183" s="563"/>
      <c r="D183" s="563"/>
      <c r="E183" s="564"/>
    </row>
    <row r="184" spans="1:5" x14ac:dyDescent="0.2">
      <c r="A184" s="560" t="s">
        <v>1005</v>
      </c>
      <c r="B184" s="560" t="s">
        <v>1005</v>
      </c>
      <c r="C184" s="560">
        <v>3400</v>
      </c>
      <c r="D184" s="560">
        <v>6200</v>
      </c>
      <c r="E184" s="561">
        <f>SUMIFS('Accounting data'!$G$2:$G$37000,'Accounting data'!$J$2:$J$37000,"34*",'Accounting data'!$K$2:$K$37000,"62*")</f>
        <v>0</v>
      </c>
    </row>
    <row r="185" spans="1:5" x14ac:dyDescent="0.2">
      <c r="A185" s="560" t="s">
        <v>1006</v>
      </c>
      <c r="B185" s="560" t="s">
        <v>1005</v>
      </c>
      <c r="C185" s="560">
        <v>3400</v>
      </c>
      <c r="D185" s="560">
        <v>6200</v>
      </c>
      <c r="E185" s="561">
        <f>SUMIFS('Accounting data'!$G$2:$G$37000,'Accounting data'!$H$2:$H$37000,"9999*",'Accounting data'!$J$2:$J$37000,"34*",'Accounting data'!$K$2:$K$37000,"62*")</f>
        <v>0</v>
      </c>
    </row>
    <row r="186" spans="1:5" x14ac:dyDescent="0.2">
      <c r="A186" s="560" t="s">
        <v>1005</v>
      </c>
      <c r="B186" s="560" t="s">
        <v>1007</v>
      </c>
      <c r="C186" s="560">
        <v>3400</v>
      </c>
      <c r="D186" s="560">
        <v>6200</v>
      </c>
      <c r="E186" s="561">
        <f>SUMIFS('Accounting data'!$G$2:$G$37000,'Accounting data'!$I$2:$I$37000,"7*",'Accounting data'!$J$2:$J$37000,"34*",'Accounting data'!$K$2:$K$37000,"62*")+SUMIFS('Accounting data'!$G$2:$G$37000,'Accounting data'!$I$2:$I$37000,"8*",'Accounting data'!$J$2:$J$37000,"34*",'Accounting data'!$K$2:$K$37000,"62*")+SUMIFS('Accounting data'!$G$2:$G$37000,'Accounting data'!$I$2:$I$37000,"9*",'Accounting data'!$J$2:$J$37000,"34*",'Accounting data'!$K$2:$K$37000,"62*")</f>
        <v>0</v>
      </c>
    </row>
    <row r="187" spans="1:5" x14ac:dyDescent="0.2">
      <c r="A187" s="562" t="s">
        <v>1006</v>
      </c>
      <c r="B187" s="560" t="s">
        <v>1007</v>
      </c>
      <c r="C187" s="560">
        <v>3400</v>
      </c>
      <c r="D187" s="560">
        <v>6200</v>
      </c>
      <c r="E187" s="561">
        <f>SUMIFS('Accounting data'!$G$2:$G$37000,'Accounting data'!$H$2:$H$37000,"9999*",'Accounting data'!$I$2:$I$37000,"7*",'Accounting data'!$J$2:$J$37000,"34*",'Accounting data'!$K$2:$K$37000,"62*")+SUMIFS('Accounting data'!$G$2:$G$37000,'Accounting data'!$H$2:$H$37000,"9999*",'Accounting data'!$I$2:$I$37000,"8*",'Accounting data'!$J$2:$J$37000,"34*",'Accounting data'!$K$2:$K$37000,"62*")+SUMIFS('Accounting data'!$G$2:$G$37000,'Accounting data'!$H$2:$H$37000,"9999*",'Accounting data'!$I$2:$I$37000,"9*",'Accounting data'!$J$2:$J$37000,"34*",'Accounting data'!$K$2:$K$37000,"62*")</f>
        <v>0</v>
      </c>
    </row>
    <row r="188" spans="1:5" x14ac:dyDescent="0.2">
      <c r="A188" s="560"/>
      <c r="B188" s="560"/>
      <c r="C188" s="560"/>
      <c r="D188" s="560"/>
      <c r="E188" s="561"/>
    </row>
    <row r="189" spans="1:5" x14ac:dyDescent="0.2">
      <c r="A189" s="560"/>
      <c r="B189" s="560"/>
      <c r="C189" s="560"/>
      <c r="D189" s="560"/>
      <c r="E189" s="561"/>
    </row>
    <row r="190" spans="1:5" ht="15" x14ac:dyDescent="0.25">
      <c r="A190" s="563" t="s">
        <v>1033</v>
      </c>
      <c r="B190" s="563"/>
      <c r="C190" s="563"/>
      <c r="D190" s="563"/>
      <c r="E190" s="564">
        <f>(E184-E185-E186)+(E187+E188+E189)</f>
        <v>0</v>
      </c>
    </row>
    <row r="191" spans="1:5" x14ac:dyDescent="0.2">
      <c r="A191" s="560" t="s">
        <v>1005</v>
      </c>
      <c r="B191" s="560" t="s">
        <v>1005</v>
      </c>
      <c r="C191" s="560">
        <v>4000</v>
      </c>
      <c r="D191" s="560">
        <v>6200</v>
      </c>
      <c r="E191" s="561">
        <f>SUMIFS('Accounting data'!$G$2:$G$37000,'Accounting data'!$J$2:$J$37000,"4*",'Accounting data'!$K$2:$K$37000,"62*")</f>
        <v>0</v>
      </c>
    </row>
    <row r="192" spans="1:5" x14ac:dyDescent="0.2">
      <c r="A192" s="560" t="s">
        <v>1006</v>
      </c>
      <c r="B192" s="560" t="s">
        <v>1005</v>
      </c>
      <c r="C192" s="560">
        <v>4000</v>
      </c>
      <c r="D192" s="560">
        <v>6200</v>
      </c>
      <c r="E192" s="561">
        <f>SUMIFS('Accounting data'!$G$2:$G$37000,'Accounting data'!$H$2:$H$37000,"9999*",'Accounting data'!$J$2:$J$37000,"4*",'Accounting data'!$K$2:$K$37000,"62*")</f>
        <v>0</v>
      </c>
    </row>
    <row r="193" spans="1:5" x14ac:dyDescent="0.2">
      <c r="A193" s="560" t="s">
        <v>1005</v>
      </c>
      <c r="B193" s="560" t="s">
        <v>1007</v>
      </c>
      <c r="C193" s="560">
        <v>4000</v>
      </c>
      <c r="D193" s="560">
        <v>6200</v>
      </c>
      <c r="E193" s="561">
        <f>SUMIFS('Accounting data'!$G$2:$G$37000,'Accounting data'!$I$2:$I$37000,"7*",'Accounting data'!$J$2:$J$37000,"4*",'Accounting data'!$K$2:$K$37000,"62*")+SUMIFS('Accounting data'!$G$2:$G$37000,'Accounting data'!$I$2:$I$37000,"8*",'Accounting data'!$J$2:$J$37000,"4*",'Accounting data'!$K$2:$K$37000,"62*")+SUMIFS('Accounting data'!$G$2:$G$37000,'Accounting data'!$I$2:$I$37000,"9*",'Accounting data'!$J$2:$J$37000,"4*",'Accounting data'!$K$2:$K$37000,"62*")</f>
        <v>0</v>
      </c>
    </row>
    <row r="194" spans="1:5" x14ac:dyDescent="0.2">
      <c r="A194" s="562" t="s">
        <v>1006</v>
      </c>
      <c r="B194" s="560" t="s">
        <v>1007</v>
      </c>
      <c r="C194" s="560">
        <v>4000</v>
      </c>
      <c r="D194" s="560">
        <v>6200</v>
      </c>
      <c r="E194" s="561">
        <f>SUMIFS('Accounting data'!$G$2:$G$37000,'Accounting data'!$H$2:$H$37000,"9999*",'Accounting data'!$I$2:$I$37000,"7*",'Accounting data'!$J$2:$J$37000,"4*",'Accounting data'!$K$2:$K$37000,"62*")+SUMIFS('Accounting data'!$G$2:$G$37000,'Accounting data'!$H$2:$H$37000,"9999*",'Accounting data'!$I$2:$I$37000,"8*",'Accounting data'!$J$2:$J$37000,"4*",'Accounting data'!$K$2:$K$37000,"62*")+SUMIFS('Accounting data'!$G$2:$G$37000,'Accounting data'!$H$2:$H$37000,"9999*",'Accounting data'!$I$2:$I$37000,"9*",'Accounting data'!$J$2:$J$37000,"4*",'Accounting data'!$K$2:$K$37000,"62*")</f>
        <v>0</v>
      </c>
    </row>
    <row r="195" spans="1:5" x14ac:dyDescent="0.2">
      <c r="A195" s="560"/>
      <c r="B195" s="560"/>
      <c r="C195" s="560"/>
      <c r="D195" s="560"/>
      <c r="E195" s="561"/>
    </row>
    <row r="196" spans="1:5" x14ac:dyDescent="0.2">
      <c r="A196" s="560"/>
      <c r="B196" s="560"/>
      <c r="C196" s="560"/>
      <c r="D196" s="560"/>
      <c r="E196" s="561"/>
    </row>
    <row r="197" spans="1:5" ht="15" x14ac:dyDescent="0.25">
      <c r="A197" s="563" t="s">
        <v>1034</v>
      </c>
      <c r="B197" s="563"/>
      <c r="C197" s="563"/>
      <c r="D197" s="563"/>
      <c r="E197" s="564">
        <f>(E191-E192-E193)+(E194+E195+E196)</f>
        <v>0</v>
      </c>
    </row>
    <row r="198" spans="1:5" ht="15" x14ac:dyDescent="0.25">
      <c r="A198" s="566" t="s">
        <v>1035</v>
      </c>
      <c r="B198" s="566"/>
      <c r="C198" s="566"/>
      <c r="D198" s="566"/>
      <c r="E198" s="567">
        <f>E113+E120+E127+E134+E141+E148+E155+E162+E169+E176+E183+E190</f>
        <v>281292</v>
      </c>
    </row>
    <row r="199" spans="1:5" ht="15" x14ac:dyDescent="0.25">
      <c r="A199" s="560" t="s">
        <v>1021</v>
      </c>
      <c r="B199" s="560" t="s">
        <v>1005</v>
      </c>
      <c r="C199" s="560">
        <v>1000</v>
      </c>
      <c r="D199" s="560">
        <v>6200</v>
      </c>
      <c r="E199" s="568">
        <f>SUMIFS('Accounting data'!$G$2:$G$37000,'Accounting data'!$H$2:$H$37000,"11*",'Accounting data'!$J$2:$J$37000,"1*",'Accounting data'!$K$2:$K$37000,"62*")+SUMIFS('Accounting data'!$G$2:$G$37000,'Accounting data'!$H$2:$H$37000,"12*",'Accounting data'!$J$2:$J$37000,"1*",'Accounting data'!$K$2:$K$37000,"62*")+SUMIFS('Accounting data'!$G$2:$G$37000,'Accounting data'!$H$2:$H$37000,"13*",'Accounting data'!$J$2:$J$37000,"1*",'Accounting data'!$K$2:$K$37000,"62*")</f>
        <v>96322</v>
      </c>
    </row>
    <row r="200" spans="1:5" ht="15" x14ac:dyDescent="0.25">
      <c r="A200" s="560" t="s">
        <v>1021</v>
      </c>
      <c r="B200" s="560" t="s">
        <v>1005</v>
      </c>
      <c r="C200" s="560">
        <v>2000</v>
      </c>
      <c r="D200" s="560">
        <v>6200</v>
      </c>
      <c r="E200" s="568">
        <f>SUMIFS('Accounting data'!$G$2:$G$37000,'Accounting data'!$H$2:$H$37000,"11*",'Accounting data'!$J$2:$J$37000,"2*",'Accounting data'!$K$2:$K$37000,"62*")+SUMIFS('Accounting data'!$G$2:$G$37000,'Accounting data'!$H$2:$H$37000,"12*",'Accounting data'!$J$2:$J$37000,"2*",'Accounting data'!$K$2:$K$37000,"62*")+SUMIFS('Accounting data'!$G$2:$G$37000,'Accounting data'!$H$2:$H$37000,"13*",'Accounting data'!$J$2:$J$37000,"2*",'Accounting data'!$K$2:$K$37000,"62*")</f>
        <v>33809</v>
      </c>
    </row>
    <row r="201" spans="1:5" ht="15" x14ac:dyDescent="0.25">
      <c r="A201" s="560" t="s">
        <v>1021</v>
      </c>
      <c r="B201" s="560" t="s">
        <v>1005</v>
      </c>
      <c r="C201" s="560">
        <v>3000</v>
      </c>
      <c r="D201" s="560">
        <v>6200</v>
      </c>
      <c r="E201" s="568">
        <f>SUMIFS('Accounting data'!$G$2:$G$37000,'Accounting data'!$H$2:$H$37000,"11*",'Accounting data'!$J$2:$J$37000,"3*",'Accounting data'!$K$2:$K$37000,"62*")+SUMIFS('Accounting data'!$G$2:$G$37000,'Accounting data'!$H$2:$H$37000,"12*",'Accounting data'!$J$2:$J$37000,"3*",'Accounting data'!$K$2:$K$37000,"62*")+SUMIFS('Accounting data'!$G$2:$G$37000,'Accounting data'!$H$2:$H$37000,"13*",'Accounting data'!$J$2:$J$37000,"3*",'Accounting data'!$K$2:$K$37000,"62*")</f>
        <v>0</v>
      </c>
    </row>
    <row r="202" spans="1:5" ht="15" x14ac:dyDescent="0.25">
      <c r="A202" s="560" t="s">
        <v>1021</v>
      </c>
      <c r="B202" s="562">
        <v>700</v>
      </c>
      <c r="C202" s="560">
        <v>1000</v>
      </c>
      <c r="D202" s="560">
        <v>6200</v>
      </c>
      <c r="E202" s="568">
        <f>SUMIFS('Accounting data'!$G$2:$G$37000,'Accounting data'!$H$2:$H$37000,"11*",'Accounting data'!$I$2:$I$37000,"7*",'Accounting data'!$J$2:$J$37000,"1*",'Accounting data'!$K$2:$K$37000,"62*")+SUMIFS('Accounting data'!$G$2:$G$37000,'Accounting data'!$H$2:$H$37000,"12*",'Accounting data'!$I$2:$I$37000,"7*",'Accounting data'!$J$2:$J$37000,"1*",'Accounting data'!$K$2:$K$37000,"62*")+SUMIFS('Accounting data'!$G$2:$G$37000,'Accounting data'!$H$2:$H$37000,"13*",'Accounting data'!$I$2:$I$37000,"7*",'Accounting data'!$J$2:$J$37000,"1*",'Accounting data'!$K$2:$K$37000,"62*")</f>
        <v>0</v>
      </c>
    </row>
    <row r="203" spans="1:5" ht="15" x14ac:dyDescent="0.25">
      <c r="A203" s="560" t="s">
        <v>1021</v>
      </c>
      <c r="B203" s="562">
        <v>800</v>
      </c>
      <c r="C203" s="560">
        <v>1000</v>
      </c>
      <c r="D203" s="560">
        <v>6200</v>
      </c>
      <c r="E203" s="568">
        <f>SUMIFS('Accounting data'!$G$2:$G$37000,'Accounting data'!$H$2:$H$37000,"11*",'Accounting data'!$I$2:$I$37000,"8*",'Accounting data'!$J$2:$J$37000,"1*",'Accounting data'!$K$2:$K$37000,"62*")+SUMIFS('Accounting data'!$G$2:$G$37000,'Accounting data'!$H$2:$H$37000,"12*",'Accounting data'!$I$2:$I$37000,"8*",'Accounting data'!$J$2:$J$37000,"1*",'Accounting data'!$K$2:$K$37000,"62*")+SUMIFS('Accounting data'!$G$2:$G$37000,'Accounting data'!$H$2:$H$37000,"13*",'Accounting data'!$I$2:$I$37000,"8*",'Accounting data'!$J$2:$J$37000,"1*",'Accounting data'!$K$2:$K$37000,"62*")</f>
        <v>0</v>
      </c>
    </row>
    <row r="204" spans="1:5" ht="15" x14ac:dyDescent="0.25">
      <c r="A204" s="560" t="s">
        <v>1021</v>
      </c>
      <c r="B204" s="562">
        <v>900</v>
      </c>
      <c r="C204" s="560">
        <v>1000</v>
      </c>
      <c r="D204" s="560">
        <v>6200</v>
      </c>
      <c r="E204" s="568">
        <f>SUMIFS('Accounting data'!$G$2:$G$37000,'Accounting data'!$H$2:$H$37000,"11*",'Accounting data'!$I$2:$I$37000,"9*",'Accounting data'!$J$2:$J$37000,"1*",'Accounting data'!$K$2:$K$37000,"62*")+SUMIFS('Accounting data'!$G$2:$G$37000,'Accounting data'!$H$2:$H$37000,"12*",'Accounting data'!$I$2:$I$37000,"9*",'Accounting data'!$J$2:$J$37000,"1*",'Accounting data'!$K$2:$K$37000,"62*")+SUMIFS('Accounting data'!$G$2:$G$37000,'Accounting data'!$H$2:$H$37000,"13*",'Accounting data'!$I$2:$I$37000,"9*",'Accounting data'!$J$2:$J$37000,"1*",'Accounting data'!$K$2:$K$37000,"62*")</f>
        <v>0</v>
      </c>
    </row>
    <row r="205" spans="1:5" ht="15" x14ac:dyDescent="0.25">
      <c r="A205" s="560" t="s">
        <v>1021</v>
      </c>
      <c r="B205" s="562">
        <v>700</v>
      </c>
      <c r="C205" s="560">
        <v>2000</v>
      </c>
      <c r="D205" s="560">
        <v>6200</v>
      </c>
      <c r="E205" s="568">
        <f>SUMIFS('Accounting data'!$G$2:$G$37000,'Accounting data'!$H$2:$H$37000,"11*",'Accounting data'!$I$2:$I$37000,"7*",'Accounting data'!$J$2:$J$37000,"2*",'Accounting data'!$K$2:$K$37000,"62*")+SUMIFS('Accounting data'!$G$2:$G$37000,'Accounting data'!$H$2:$H$37000,"12*",'Accounting data'!$I$2:$I$37000,"7*",'Accounting data'!$J$2:$J$37000,"2*",'Accounting data'!$K$2:$K$37000,"62*")+SUMIFS('Accounting data'!$G$2:$G$37000,'Accounting data'!$H$2:$H$37000,"13*",'Accounting data'!$I$2:$I$37000,"7*",'Accounting data'!$J$2:$J$37000,"2*",'Accounting data'!$K$2:$K$37000,"62*")</f>
        <v>0</v>
      </c>
    </row>
    <row r="206" spans="1:5" ht="15" x14ac:dyDescent="0.25">
      <c r="A206" s="560" t="s">
        <v>1021</v>
      </c>
      <c r="B206" s="562">
        <v>800</v>
      </c>
      <c r="C206" s="560">
        <v>2000</v>
      </c>
      <c r="D206" s="560">
        <v>6200</v>
      </c>
      <c r="E206" s="568">
        <f>SUMIFS('Accounting data'!$G$2:$G$37000,'Accounting data'!$H$2:$H$37000,"11*",'Accounting data'!$I$2:$I$37000,"8*",'Accounting data'!$J$2:$J$37000,"2*",'Accounting data'!$K$2:$K$37000,"62*")+SUMIFS('Accounting data'!$G$2:$G$37000,'Accounting data'!$H$2:$H$37000,"12*",'Accounting data'!$I$2:$I$37000,"8*",'Accounting data'!$J$2:$J$37000,"2*",'Accounting data'!$K$2:$K$37000,"62*")+SUMIFS('Accounting data'!$G$2:$G$37000,'Accounting data'!$H$2:$H$37000,"13*",'Accounting data'!$I$2:$I$37000,"8*",'Accounting data'!$J$2:$J$37000,"2*",'Accounting data'!$K$2:$K$37000,"62*")</f>
        <v>0</v>
      </c>
    </row>
    <row r="207" spans="1:5" ht="15" x14ac:dyDescent="0.25">
      <c r="A207" s="560" t="s">
        <v>1021</v>
      </c>
      <c r="B207" s="562">
        <v>900</v>
      </c>
      <c r="C207" s="560">
        <v>2000</v>
      </c>
      <c r="D207" s="560">
        <v>6200</v>
      </c>
      <c r="E207" s="568">
        <f>SUMIFS('Accounting data'!$G$2:$G$37000,'Accounting data'!$H$2:$H$37000,"11*",'Accounting data'!$I$2:$I$37000,"9*",'Accounting data'!$J$2:$J$37000,"2*",'Accounting data'!$K$2:$K$37000,"62*")+SUMIFS('Accounting data'!$G$2:$G$37000,'Accounting data'!$H$2:$H$37000,"12*",'Accounting data'!$I$2:$I$37000,"9*",'Accounting data'!$J$2:$J$37000,"2*",'Accounting data'!$K$2:$K$37000,"62*")+SUMIFS('Accounting data'!$G$2:$G$37000,'Accounting data'!$H$2:$H$37000,"13*",'Accounting data'!$I$2:$I$37000,"9*",'Accounting data'!$J$2:$J$37000,"2*",'Accounting data'!$K$2:$K$37000,"62*")</f>
        <v>0</v>
      </c>
    </row>
    <row r="208" spans="1:5" ht="15" x14ac:dyDescent="0.25">
      <c r="A208" s="560" t="s">
        <v>1021</v>
      </c>
      <c r="B208" s="562">
        <v>700</v>
      </c>
      <c r="C208" s="560">
        <v>3000</v>
      </c>
      <c r="D208" s="560">
        <v>6200</v>
      </c>
      <c r="E208" s="568">
        <f>SUMIFS('Accounting data'!$G$2:$G$37000,'Accounting data'!$H$2:$H$37000,"11*",'Accounting data'!$I$2:$I$37000,"7*",'Accounting data'!$J$2:$J$37000,"3*",'Accounting data'!$K$2:$K$37000,"62*")+SUMIFS('Accounting data'!$G$2:$G$37000,'Accounting data'!$H$2:$H$37000,"12*",'Accounting data'!$I$2:$I$37000,"7*",'Accounting data'!$J$2:$J$37000,"3*",'Accounting data'!$K$2:$K$37000,"62*")+SUMIFS('Accounting data'!$G$2:$G$37000,'Accounting data'!$H$2:$H$37000,"13*",'Accounting data'!$I$2:$I$37000,"7*",'Accounting data'!$J$2:$J$37000,"3*",'Accounting data'!$K$2:$K$37000,"62*")</f>
        <v>0</v>
      </c>
    </row>
    <row r="209" spans="1:5" ht="15" x14ac:dyDescent="0.25">
      <c r="A209" s="560" t="s">
        <v>1021</v>
      </c>
      <c r="B209" s="562">
        <v>800</v>
      </c>
      <c r="C209" s="560">
        <v>3000</v>
      </c>
      <c r="D209" s="560">
        <v>6200</v>
      </c>
      <c r="E209" s="568">
        <f>SUMIFS('Accounting data'!$G$2:$G$37000,'Accounting data'!$H$2:$H$37000,"11*",'Accounting data'!$I$2:$I$37000,"8*",'Accounting data'!$J$2:$J$37000,"3*",'Accounting data'!$K$2:$K$37000,"62*")+SUMIFS('Accounting data'!$G$2:$G$37000,'Accounting data'!$H$2:$H$37000,"12*",'Accounting data'!$I$2:$I$37000,"8*",'Accounting data'!$J$2:$J$37000,"3*",'Accounting data'!$K$2:$K$37000,"62*")+SUMIFS('Accounting data'!$G$2:$G$37000,'Accounting data'!$H$2:$H$37000,"13*",'Accounting data'!$I$2:$I$37000,"8*",'Accounting data'!$J$2:$J$37000,"3*",'Accounting data'!$K$2:$K$37000,"62*")</f>
        <v>0</v>
      </c>
    </row>
    <row r="210" spans="1:5" ht="15" x14ac:dyDescent="0.25">
      <c r="A210" s="560" t="s">
        <v>1021</v>
      </c>
      <c r="B210" s="562">
        <v>900</v>
      </c>
      <c r="C210" s="560">
        <v>3000</v>
      </c>
      <c r="D210" s="560">
        <v>6200</v>
      </c>
      <c r="E210" s="568">
        <f>SUMIFS('Accounting data'!$G$2:$G$37000,'Accounting data'!$H$2:$H$37000,"11*",'Accounting data'!$I$2:$I$37000,"9*",'Accounting data'!$J$2:$J$37000,"3*",'Accounting data'!$K$2:$K$37000,"62*")+SUMIFS('Accounting data'!$G$2:$G$37000,'Accounting data'!$H$2:$H$37000,"12*",'Accounting data'!$I$2:$I$37000,"9*",'Accounting data'!$J$2:$J$37000,"3*",'Accounting data'!$K$2:$K$37000,"62*")+SUMIFS('Accounting data'!$G$2:$G$37000,'Accounting data'!$H$2:$H$37000,"13*",'Accounting data'!$I$2:$I$37000,"9*",'Accounting data'!$J$2:$J$37000,"3*",'Accounting data'!$K$2:$K$37000,"62*")</f>
        <v>0</v>
      </c>
    </row>
    <row r="211" spans="1:5" ht="15" x14ac:dyDescent="0.25">
      <c r="A211" s="563" t="s">
        <v>1036</v>
      </c>
      <c r="B211" s="563"/>
      <c r="C211" s="563"/>
      <c r="D211" s="563"/>
      <c r="E211" s="564">
        <f>(E199+E200+E201)-(E202+E203+E204+E205+E206+E207+E208+E209+E210)</f>
        <v>130131</v>
      </c>
    </row>
    <row r="212" spans="1:5" ht="15" x14ac:dyDescent="0.25">
      <c r="A212" s="560" t="s">
        <v>1005</v>
      </c>
      <c r="B212" s="560" t="s">
        <v>1005</v>
      </c>
      <c r="C212" s="560">
        <v>1000</v>
      </c>
      <c r="D212" s="569" t="s">
        <v>1037</v>
      </c>
      <c r="E212" s="568">
        <f>SUMIFS('Accounting data'!$G$2:$G$37000,'Accounting data'!$J$2:$J$37000,"1*",'Accounting data'!$K$2:$K$37000,"63*")+SUMIFS('Accounting data'!$G$2:$G$37000,'Accounting data'!$J$2:$J$37000,"1*",'Accounting data'!$K$2:$K$37000,"64*")+SUMIFS('Accounting data'!$G$2:$G$37000,'Accounting data'!$J$2:$J$37000,"1*",'Accounting data'!$K$2:$K$37000,"65*")</f>
        <v>48068</v>
      </c>
    </row>
    <row r="213" spans="1:5" ht="15" x14ac:dyDescent="0.25">
      <c r="A213" s="560" t="s">
        <v>1006</v>
      </c>
      <c r="B213" s="560" t="s">
        <v>1005</v>
      </c>
      <c r="C213" s="560">
        <v>1000</v>
      </c>
      <c r="D213" s="560">
        <v>6300</v>
      </c>
      <c r="E213" s="568">
        <f>SUMIFS('Accounting data'!$G$2:$G$37000,'Accounting data'!$H$2:$H$37000,"9999*",'Accounting data'!$J$2:$J$37000,"1*",'Accounting data'!$K$2:$K$37000,"63*")</f>
        <v>0</v>
      </c>
    </row>
    <row r="214" spans="1:5" ht="15" x14ac:dyDescent="0.25">
      <c r="A214" s="560" t="s">
        <v>1006</v>
      </c>
      <c r="B214" s="560" t="s">
        <v>1005</v>
      </c>
      <c r="C214" s="560">
        <v>1000</v>
      </c>
      <c r="D214" s="560">
        <v>6400</v>
      </c>
      <c r="E214" s="568">
        <f>SUMIFS('Accounting data'!$G$2:$G$37000,'Accounting data'!$H$2:$H$37000,"9999*",'Accounting data'!$J$2:$J$37000,"1*",'Accounting data'!$K$2:$K$37000,"64*")</f>
        <v>0</v>
      </c>
    </row>
    <row r="215" spans="1:5" ht="15" x14ac:dyDescent="0.25">
      <c r="A215" s="560" t="s">
        <v>1006</v>
      </c>
      <c r="B215" s="560" t="s">
        <v>1005</v>
      </c>
      <c r="C215" s="560">
        <v>1000</v>
      </c>
      <c r="D215" s="560">
        <v>6500</v>
      </c>
      <c r="E215" s="568">
        <f>SUMIFS('Accounting data'!$G$2:$G$37000,'Accounting data'!$H$2:$H$37000,"9999*",'Accounting data'!$J$2:$J$37000,"1*",'Accounting data'!$K$2:$K$37000,"65*")</f>
        <v>0</v>
      </c>
    </row>
    <row r="216" spans="1:5" ht="15" x14ac:dyDescent="0.25">
      <c r="A216" s="560" t="s">
        <v>1005</v>
      </c>
      <c r="B216" s="560" t="s">
        <v>1007</v>
      </c>
      <c r="C216" s="560">
        <v>1000</v>
      </c>
      <c r="D216" s="569" t="s">
        <v>1037</v>
      </c>
      <c r="E216" s="568">
        <f>SUMIFS('Accounting data'!$G$2:$G$37000,'Accounting data'!$I$2:$I$37000,"7*",'Accounting data'!$J$2:$J$37000,"1*",'Accounting data'!$K$2:$K$37000,"63*")+SUMIFS('Accounting data'!$G$2:$G$37000,'Accounting data'!$I$2:$I$37000,"8*",'Accounting data'!$J$2:$J$37000,"1*",'Accounting data'!$K$2:$K$37000,"63*")+SUMIFS('Accounting data'!$G$2:$G$37000,'Accounting data'!$I$2:$I$37000,"9*",'Accounting data'!$J$2:$J$37000,"1*",'Accounting data'!$K$2:$K$37000,"63*")+SUMIFS('Accounting data'!$G$2:$G$37000,'Accounting data'!$I$2:$I$37000,"7*",'Accounting data'!$J$2:$J$37000,"1*",'Accounting data'!$K$2:$K$37000,"64*")+SUMIFS('Accounting data'!$G$2:$G$37000,'Accounting data'!$I$2:$I$37000,"8*",'Accounting data'!$J$2:$J$37000,"1*",'Accounting data'!$K$2:$K$37000,"64*")+SUMIFS('Accounting data'!$G$2:$G$37000,'Accounting data'!$I$2:$I$37000,"9*",'Accounting data'!$J$2:$J$37000,"1*",'Accounting data'!$K$2:$K$37000,"64*")+SUMIFS('Accounting data'!$G$2:$G$37000,'Accounting data'!$I$2:$I$37000,"7*",'Accounting data'!$J$2:$J$37000,"1*",'Accounting data'!$K$2:$K$37000,"65*")+SUMIFS('Accounting data'!$G$2:$G$37000,'Accounting data'!$I$2:$I$37000,"8*",'Accounting data'!$J$2:$J$37000,"1*",'Accounting data'!$K$2:$K$37000,"65*")+SUMIFS('Accounting data'!$G$2:$G$37000,'Accounting data'!$I$2:$I$37000,"9*",'Accounting data'!$J$2:$J$37000,"1*",'Accounting data'!$K$2:$K$37000,"65*")</f>
        <v>0</v>
      </c>
    </row>
    <row r="217" spans="1:5" ht="15" x14ac:dyDescent="0.25">
      <c r="A217" s="562" t="s">
        <v>1006</v>
      </c>
      <c r="B217" s="560" t="s">
        <v>1007</v>
      </c>
      <c r="C217" s="560">
        <v>1000</v>
      </c>
      <c r="D217" s="560">
        <v>6300</v>
      </c>
      <c r="E217" s="568">
        <f>SUMIFS('Accounting data'!$G$2:$G$37000,'Accounting data'!$H$2:$H$37000,"9999*",'Accounting data'!$I$2:$I$37000,"7*",'Accounting data'!$J$2:$J$37000,"1*",'Accounting data'!$K$2:$K$37000,"63*")+SUMIFS('Accounting data'!$G$2:$G$37000,'Accounting data'!$H$2:$H$37000,"9999*",'Accounting data'!$I$2:$I$37000,"8*",'Accounting data'!$J$2:$J$37000,"1*",'Accounting data'!$K$2:$K$37000,"63*")+SUMIFS('Accounting data'!$G$2:$G$37000,'Accounting data'!$H$2:$H$37000,"9999*",'Accounting data'!$I$2:$I$37000,"9*",'Accounting data'!$J$2:$J$37000,"1*",'Accounting data'!$K$2:$K$37000,"63*")</f>
        <v>0</v>
      </c>
    </row>
    <row r="218" spans="1:5" ht="15" x14ac:dyDescent="0.25">
      <c r="A218" s="562" t="s">
        <v>1006</v>
      </c>
      <c r="B218" s="560" t="s">
        <v>1007</v>
      </c>
      <c r="C218" s="560">
        <v>1000</v>
      </c>
      <c r="D218" s="560">
        <v>6400</v>
      </c>
      <c r="E218" s="568">
        <f>SUMIFS('Accounting data'!$G$2:$G$37000,'Accounting data'!$H$2:$H$37000,"9999*",'Accounting data'!$I$2:$I$37000,"7*",'Accounting data'!$J$2:$J$37000,"1*",'Accounting data'!$K$2:$K$37000,"64*")+SUMIFS('Accounting data'!$G$2:$G$37000,'Accounting data'!$H$2:$H$37000,"9999*",'Accounting data'!$I$2:$I$37000,"8*",'Accounting data'!$J$2:$J$37000,"1*",'Accounting data'!$K$2:$K$37000,"64*")+SUMIFS('Accounting data'!$G$2:$G$37000,'Accounting data'!$H$2:$H$37000,"9999*",'Accounting data'!$I$2:$I$37000,"9*",'Accounting data'!$J$2:$J$37000,"1*",'Accounting data'!$K$2:$K$37000,"64*")</f>
        <v>0</v>
      </c>
    </row>
    <row r="219" spans="1:5" ht="15" x14ac:dyDescent="0.25">
      <c r="A219" s="562" t="s">
        <v>1006</v>
      </c>
      <c r="B219" s="560" t="s">
        <v>1007</v>
      </c>
      <c r="C219" s="560">
        <v>1000</v>
      </c>
      <c r="D219" s="560">
        <v>6500</v>
      </c>
      <c r="E219" s="568">
        <f>SUMIFS('Accounting data'!$G$2:$G$37000,'Accounting data'!$H$2:$H$37000,"9999*",'Accounting data'!$I$2:$I$37000,"7*",'Accounting data'!$J$2:$J$37000,"1*",'Accounting data'!$K$2:$K$37000,"65*")+SUMIFS('Accounting data'!$G$2:$G$37000,'Accounting data'!$H$2:$H$37000,"9999*",'Accounting data'!$I$2:$I$37000,"8*",'Accounting data'!$J$2:$J$37000,"1*",'Accounting data'!$K$2:$K$37000,"65*")+SUMIFS('Accounting data'!$G$2:$G$37000,'Accounting data'!$H$2:$H$37000,"9999*",'Accounting data'!$I$2:$I$37000,"9*",'Accounting data'!$J$2:$J$37000,"1*",'Accounting data'!$K$2:$K$37000,"65*")</f>
        <v>0</v>
      </c>
    </row>
    <row r="220" spans="1:5" x14ac:dyDescent="0.2">
      <c r="A220" s="562"/>
      <c r="B220" s="560"/>
      <c r="C220" s="560"/>
      <c r="D220" s="560"/>
      <c r="E220" s="561"/>
    </row>
    <row r="221" spans="1:5" x14ac:dyDescent="0.2">
      <c r="A221" s="562"/>
      <c r="B221" s="560"/>
      <c r="C221" s="560"/>
      <c r="D221" s="560"/>
      <c r="E221" s="561"/>
    </row>
    <row r="222" spans="1:5" x14ac:dyDescent="0.2">
      <c r="A222" s="562"/>
      <c r="B222" s="560"/>
      <c r="C222" s="560"/>
      <c r="D222" s="560"/>
      <c r="E222" s="561"/>
    </row>
    <row r="223" spans="1:5" x14ac:dyDescent="0.2">
      <c r="A223" s="562"/>
      <c r="B223" s="560"/>
      <c r="C223" s="560"/>
      <c r="D223" s="560"/>
      <c r="E223" s="561"/>
    </row>
    <row r="224" spans="1:5" x14ac:dyDescent="0.2">
      <c r="A224" s="562"/>
      <c r="B224" s="560"/>
      <c r="C224" s="560"/>
      <c r="D224" s="560"/>
      <c r="E224" s="561"/>
    </row>
    <row r="225" spans="1:5" x14ac:dyDescent="0.2">
      <c r="A225" s="562"/>
      <c r="B225" s="560"/>
      <c r="C225" s="560"/>
      <c r="D225" s="560"/>
      <c r="E225" s="561"/>
    </row>
    <row r="226" spans="1:5" x14ac:dyDescent="0.2">
      <c r="A226" s="562"/>
      <c r="B226" s="560"/>
      <c r="C226" s="560"/>
      <c r="D226" s="560"/>
      <c r="E226" s="561"/>
    </row>
    <row r="227" spans="1:5" x14ac:dyDescent="0.2">
      <c r="A227" s="560"/>
      <c r="B227" s="560"/>
      <c r="C227" s="560"/>
      <c r="D227" s="560"/>
      <c r="E227" s="561"/>
    </row>
    <row r="228" spans="1:5" x14ac:dyDescent="0.2">
      <c r="A228" s="562"/>
      <c r="B228" s="560"/>
      <c r="C228" s="560"/>
      <c r="D228" s="560"/>
      <c r="E228" s="561"/>
    </row>
    <row r="229" spans="1:5" x14ac:dyDescent="0.2">
      <c r="A229" s="562"/>
      <c r="B229" s="560"/>
      <c r="C229" s="560"/>
      <c r="D229" s="560"/>
      <c r="E229" s="561"/>
    </row>
    <row r="230" spans="1:5" x14ac:dyDescent="0.2">
      <c r="A230" s="562"/>
      <c r="B230" s="560"/>
      <c r="C230" s="560"/>
      <c r="D230" s="560"/>
      <c r="E230" s="561"/>
    </row>
    <row r="231" spans="1:5" x14ac:dyDescent="0.2">
      <c r="A231" s="562"/>
      <c r="B231" s="560"/>
      <c r="C231" s="560"/>
      <c r="D231" s="560"/>
      <c r="E231" s="561"/>
    </row>
    <row r="232" spans="1:5" x14ac:dyDescent="0.2">
      <c r="A232" s="562"/>
      <c r="B232" s="560"/>
      <c r="C232" s="560"/>
      <c r="D232" s="560"/>
      <c r="E232" s="561"/>
    </row>
    <row r="233" spans="1:5" x14ac:dyDescent="0.2">
      <c r="A233" s="560"/>
      <c r="B233" s="560"/>
      <c r="C233" s="560"/>
      <c r="D233" s="560"/>
      <c r="E233" s="561"/>
    </row>
    <row r="234" spans="1:5" x14ac:dyDescent="0.2">
      <c r="A234" s="562"/>
      <c r="B234" s="560"/>
      <c r="C234" s="560"/>
      <c r="D234" s="560"/>
      <c r="E234" s="561"/>
    </row>
    <row r="235" spans="1:5" x14ac:dyDescent="0.2">
      <c r="A235" s="562"/>
      <c r="B235" s="560"/>
      <c r="C235" s="560"/>
      <c r="D235" s="560"/>
      <c r="E235" s="561"/>
    </row>
    <row r="236" spans="1:5" x14ac:dyDescent="0.2">
      <c r="A236" s="562"/>
      <c r="B236" s="560"/>
      <c r="C236" s="560"/>
      <c r="D236" s="560"/>
      <c r="E236" s="561"/>
    </row>
    <row r="237" spans="1:5" x14ac:dyDescent="0.2">
      <c r="A237" s="562"/>
      <c r="B237" s="560"/>
      <c r="C237" s="560"/>
      <c r="D237" s="560"/>
      <c r="E237" s="561"/>
    </row>
    <row r="238" spans="1:5" ht="15" x14ac:dyDescent="0.25">
      <c r="A238" s="563" t="s">
        <v>1038</v>
      </c>
      <c r="B238" s="563"/>
      <c r="C238" s="563"/>
      <c r="D238" s="563"/>
      <c r="E238" s="564">
        <f>((E212-E213-E214-E215-E216)+(E217+E218+E219+E220+E221+E222+E223+E224+E225))-((E226-E227-E228)+(E229+E230+E231))-((E232-E233-E234)+(E235+E236+E237))</f>
        <v>48068</v>
      </c>
    </row>
    <row r="239" spans="1:5" x14ac:dyDescent="0.2">
      <c r="A239" s="560" t="s">
        <v>1005</v>
      </c>
      <c r="B239" s="560" t="s">
        <v>1005</v>
      </c>
      <c r="C239" s="560">
        <v>2100</v>
      </c>
      <c r="D239" s="569" t="s">
        <v>1037</v>
      </c>
      <c r="E239" s="561">
        <f>SUMIFS('Accounting data'!$G$2:$G$37000,'Accounting data'!$J$2:$J$37000,"21*",'Accounting data'!$K$2:$K$37000,"63*")+SUMIFS('Accounting data'!$G$2:$G$37000,'Accounting data'!$J$2:$J$37000,"21*",'Accounting data'!$K$2:$K$37000,"64*")+SUMIFS('Accounting data'!$G$2:$G$37000,'Accounting data'!$J$2:$J$37000,"21*",'Accounting data'!$K$2:$K$37000,"65*")</f>
        <v>7580</v>
      </c>
    </row>
    <row r="240" spans="1:5" x14ac:dyDescent="0.2">
      <c r="A240" s="560" t="s">
        <v>1006</v>
      </c>
      <c r="B240" s="560" t="s">
        <v>1005</v>
      </c>
      <c r="C240" s="560">
        <v>2100</v>
      </c>
      <c r="D240" s="560">
        <v>6300</v>
      </c>
      <c r="E240" s="561">
        <f>SUMIFS('Accounting data'!$G$2:$G$37000,'Accounting data'!$H$2:$H$37000,"9999*",'Accounting data'!$J$2:$J$37000,"21*",'Accounting data'!$K$2:$K$37000,"63*")</f>
        <v>0</v>
      </c>
    </row>
    <row r="241" spans="1:5" x14ac:dyDescent="0.2">
      <c r="A241" s="560" t="s">
        <v>1006</v>
      </c>
      <c r="B241" s="560" t="s">
        <v>1005</v>
      </c>
      <c r="C241" s="560">
        <v>2100</v>
      </c>
      <c r="D241" s="560">
        <v>6400</v>
      </c>
      <c r="E241" s="561">
        <f>SUMIFS('Accounting data'!$G$2:$G$37000,'Accounting data'!$H$2:$H$37000,"9999*",'Accounting data'!$J$2:$J$37000,"21*",'Accounting data'!$K$2:$K$37000,"64*")</f>
        <v>0</v>
      </c>
    </row>
    <row r="242" spans="1:5" x14ac:dyDescent="0.2">
      <c r="A242" s="560" t="s">
        <v>1006</v>
      </c>
      <c r="B242" s="560" t="s">
        <v>1005</v>
      </c>
      <c r="C242" s="560">
        <v>2100</v>
      </c>
      <c r="D242" s="560">
        <v>6500</v>
      </c>
      <c r="E242" s="561">
        <f>SUMIFS('Accounting data'!$G$2:$G$37000,'Accounting data'!$H$2:$H$37000,"9999*",'Accounting data'!$J$2:$J$37000,"21*",'Accounting data'!$K$2:$K$37000,"65*")</f>
        <v>0</v>
      </c>
    </row>
    <row r="243" spans="1:5" x14ac:dyDescent="0.2">
      <c r="A243" s="560" t="s">
        <v>1005</v>
      </c>
      <c r="B243" s="560" t="s">
        <v>1007</v>
      </c>
      <c r="C243" s="560">
        <v>2100</v>
      </c>
      <c r="D243" s="569" t="s">
        <v>1037</v>
      </c>
      <c r="E243" s="561">
        <f>SUMIFS('Accounting data'!$G$2:$G$37000,'Accounting data'!$I$2:$I$37000,"7*",'Accounting data'!$J$2:$J$37000,"21*",'Accounting data'!$K$2:$K$37000,"63*")+SUMIFS('Accounting data'!$G$2:$G$37000,'Accounting data'!$I$2:$I$37000,"8*",'Accounting data'!$J$2:$J$37000,"21*",'Accounting data'!$K$2:$K$37000,"63*")+SUMIFS('Accounting data'!$G$2:$G$37000,'Accounting data'!$I$2:$I$37000,"9*",'Accounting data'!$J$2:$J$37000,"21*",'Accounting data'!$K$2:$K$37000,"63*")+SUMIFS('Accounting data'!$G$2:$G$37000,'Accounting data'!$I$2:$I$37000,"7*",'Accounting data'!$J$2:$J$37000,"21*",'Accounting data'!$K$2:$K$37000,"64*")+SUMIFS('Accounting data'!$G$2:$G$37000,'Accounting data'!$I$2:$I$37000,"8*",'Accounting data'!$J$2:$J$37000,"21*",'Accounting data'!$K$2:$K$37000,"64*")+SUMIFS('Accounting data'!$G$2:$G$37000,'Accounting data'!$I$2:$I$37000,"9*",'Accounting data'!$J$2:$J$37000,"21*",'Accounting data'!$K$2:$K$37000,"64*")+SUMIFS('Accounting data'!$G$2:$G$37000,'Accounting data'!$I$2:$I$37000,"7*",'Accounting data'!$J$2:$J$37000,"21*",'Accounting data'!$K$2:$K$37000,"65*")+SUMIFS('Accounting data'!$G$2:$G$37000,'Accounting data'!$I$2:$I$37000,"8*",'Accounting data'!$J$2:$J$37000,"21*",'Accounting data'!$K$2:$K$37000,"65*")+SUMIFS('Accounting data'!$G$2:$G$37000,'Accounting data'!$I$2:$I$37000,"9*",'Accounting data'!$J$2:$J$37000,"21*",'Accounting data'!$K$2:$K$37000,"65*")</f>
        <v>0</v>
      </c>
    </row>
    <row r="244" spans="1:5" x14ac:dyDescent="0.2">
      <c r="A244" s="562" t="s">
        <v>1006</v>
      </c>
      <c r="B244" s="560" t="s">
        <v>1007</v>
      </c>
      <c r="C244" s="560">
        <v>2100</v>
      </c>
      <c r="D244" s="560">
        <v>6300</v>
      </c>
      <c r="E244" s="561">
        <f>SUMIFS('Accounting data'!$G$2:$G$37000,'Accounting data'!$H$2:$H$37000,"9999*",'Accounting data'!$I$2:$I$37000,"7*",'Accounting data'!$J$2:$J$37000,"21*",'Accounting data'!$K$2:$K$37000,"63*")+SUMIFS('Accounting data'!$G$2:$G$37000,'Accounting data'!$H$2:$H$37000,"9999*",'Accounting data'!$I$2:$I$37000,"8*",'Accounting data'!$J$2:$J$37000,"21*",'Accounting data'!$K$2:$K$37000,"63*")+SUMIFS('Accounting data'!$G$2:$G$37000,'Accounting data'!$H$2:$H$37000,"9999*",'Accounting data'!$I$2:$I$37000,"9*",'Accounting data'!$J$2:$J$37000,"21*",'Accounting data'!$K$2:$K$37000,"63*")</f>
        <v>0</v>
      </c>
    </row>
    <row r="245" spans="1:5" x14ac:dyDescent="0.2">
      <c r="A245" s="562" t="s">
        <v>1006</v>
      </c>
      <c r="B245" s="560" t="s">
        <v>1007</v>
      </c>
      <c r="C245" s="560">
        <v>2100</v>
      </c>
      <c r="D245" s="560">
        <v>6400</v>
      </c>
      <c r="E245" s="561">
        <f>SUMIFS('Accounting data'!$G$2:$G$37000,'Accounting data'!$H$2:$H$37000,"9999*",'Accounting data'!$I$2:$I$37000,"7*",'Accounting data'!$J$2:$J$37000,"21*",'Accounting data'!$K$2:$K$37000,"64*")+SUMIFS('Accounting data'!$G$2:$G$37000,'Accounting data'!$H$2:$H$37000,"9999*",'Accounting data'!$I$2:$I$37000,"8*",'Accounting data'!$J$2:$J$37000,"21*",'Accounting data'!$K$2:$K$37000,"64*")+SUMIFS('Accounting data'!$G$2:$G$37000,'Accounting data'!$H$2:$H$37000,"9999*",'Accounting data'!$I$2:$I$37000,"9*",'Accounting data'!$J$2:$J$37000,"21*",'Accounting data'!$K$2:$K$37000,"64*")</f>
        <v>0</v>
      </c>
    </row>
    <row r="246" spans="1:5" x14ac:dyDescent="0.2">
      <c r="A246" s="562" t="s">
        <v>1006</v>
      </c>
      <c r="B246" s="560" t="s">
        <v>1007</v>
      </c>
      <c r="C246" s="560">
        <v>2100</v>
      </c>
      <c r="D246" s="560">
        <v>6500</v>
      </c>
      <c r="E246" s="561">
        <f>SUMIFS('Accounting data'!$G$2:$G$37000,'Accounting data'!$H$2:$H$37000,"9999*",'Accounting data'!$I$2:$I$37000,"7*",'Accounting data'!$J$2:$J$37000,"21*",'Accounting data'!$K$2:$K$37000,"65*")+SUMIFS('Accounting data'!$G$2:$G$37000,'Accounting data'!$H$2:$H$37000,"9999*",'Accounting data'!$I$2:$I$37000,"8*",'Accounting data'!$J$2:$J$37000,"21*",'Accounting data'!$K$2:$K$37000,"65*")+SUMIFS('Accounting data'!$G$2:$G$37000,'Accounting data'!$H$2:$H$37000,"9999*",'Accounting data'!$I$2:$I$37000,"9*",'Accounting data'!$J$2:$J$37000,"21*",'Accounting data'!$K$2:$K$37000,"65*")</f>
        <v>0</v>
      </c>
    </row>
    <row r="247" spans="1:5" x14ac:dyDescent="0.2">
      <c r="A247" s="562"/>
      <c r="B247" s="560"/>
      <c r="C247" s="560"/>
      <c r="D247" s="560"/>
      <c r="E247" s="561"/>
    </row>
    <row r="248" spans="1:5" x14ac:dyDescent="0.2">
      <c r="A248" s="562"/>
      <c r="B248" s="560"/>
      <c r="C248" s="560"/>
      <c r="D248" s="560"/>
      <c r="E248" s="561"/>
    </row>
    <row r="249" spans="1:5" x14ac:dyDescent="0.2">
      <c r="A249" s="562"/>
      <c r="B249" s="560"/>
      <c r="C249" s="560"/>
      <c r="D249" s="560"/>
      <c r="E249" s="561"/>
    </row>
    <row r="250" spans="1:5" x14ac:dyDescent="0.2">
      <c r="A250" s="562"/>
      <c r="B250" s="560"/>
      <c r="C250" s="560"/>
      <c r="D250" s="560"/>
      <c r="E250" s="561"/>
    </row>
    <row r="251" spans="1:5" x14ac:dyDescent="0.2">
      <c r="A251" s="562"/>
      <c r="B251" s="560"/>
      <c r="C251" s="560"/>
      <c r="D251" s="560"/>
      <c r="E251" s="561"/>
    </row>
    <row r="252" spans="1:5" x14ac:dyDescent="0.2">
      <c r="A252" s="562"/>
      <c r="B252" s="560"/>
      <c r="C252" s="560"/>
      <c r="D252" s="560"/>
      <c r="E252" s="561"/>
    </row>
    <row r="253" spans="1:5" x14ac:dyDescent="0.2">
      <c r="A253" s="562"/>
      <c r="B253" s="560"/>
      <c r="C253" s="560"/>
      <c r="D253" s="560"/>
      <c r="E253" s="561"/>
    </row>
    <row r="254" spans="1:5" x14ac:dyDescent="0.2">
      <c r="A254" s="560"/>
      <c r="B254" s="560"/>
      <c r="C254" s="560"/>
      <c r="D254" s="560"/>
      <c r="E254" s="561"/>
    </row>
    <row r="255" spans="1:5" x14ac:dyDescent="0.2">
      <c r="A255" s="562"/>
      <c r="B255" s="560"/>
      <c r="C255" s="560"/>
      <c r="D255" s="560"/>
      <c r="E255" s="561"/>
    </row>
    <row r="256" spans="1:5" x14ac:dyDescent="0.2">
      <c r="A256" s="562"/>
      <c r="B256" s="560"/>
      <c r="C256" s="560"/>
      <c r="D256" s="560"/>
      <c r="E256" s="561"/>
    </row>
    <row r="257" spans="1:5" x14ac:dyDescent="0.2">
      <c r="A257" s="562"/>
      <c r="B257" s="560"/>
      <c r="C257" s="560"/>
      <c r="D257" s="560"/>
      <c r="E257" s="561"/>
    </row>
    <row r="258" spans="1:5" x14ac:dyDescent="0.2">
      <c r="A258" s="562"/>
      <c r="B258" s="560"/>
      <c r="C258" s="560"/>
      <c r="D258" s="560"/>
      <c r="E258" s="561"/>
    </row>
    <row r="259" spans="1:5" x14ac:dyDescent="0.2">
      <c r="A259" s="562"/>
      <c r="B259" s="560"/>
      <c r="C259" s="560"/>
      <c r="D259" s="560"/>
      <c r="E259" s="561"/>
    </row>
    <row r="260" spans="1:5" x14ac:dyDescent="0.2">
      <c r="A260" s="560"/>
      <c r="B260" s="560"/>
      <c r="C260" s="560"/>
      <c r="D260" s="560"/>
      <c r="E260" s="561"/>
    </row>
    <row r="261" spans="1:5" x14ac:dyDescent="0.2">
      <c r="A261" s="562"/>
      <c r="B261" s="560"/>
      <c r="C261" s="560"/>
      <c r="D261" s="560"/>
      <c r="E261" s="561"/>
    </row>
    <row r="262" spans="1:5" x14ac:dyDescent="0.2">
      <c r="A262" s="562"/>
      <c r="B262" s="560"/>
      <c r="C262" s="560"/>
      <c r="D262" s="560"/>
      <c r="E262" s="561"/>
    </row>
    <row r="263" spans="1:5" x14ac:dyDescent="0.2">
      <c r="A263" s="562"/>
      <c r="B263" s="560"/>
      <c r="C263" s="560"/>
      <c r="D263" s="560"/>
      <c r="E263" s="561"/>
    </row>
    <row r="264" spans="1:5" x14ac:dyDescent="0.2">
      <c r="A264" s="562"/>
      <c r="B264" s="560"/>
      <c r="C264" s="560"/>
      <c r="D264" s="560"/>
      <c r="E264" s="561"/>
    </row>
    <row r="265" spans="1:5" x14ac:dyDescent="0.2">
      <c r="A265" s="563" t="s">
        <v>1039</v>
      </c>
      <c r="B265" s="563"/>
      <c r="C265" s="563"/>
      <c r="D265" s="563"/>
      <c r="E265" s="565">
        <f>((E239-E240-E241-E242-E243)+(E244+E245+E246+E247+E248+E249+E250+E251+E252))-((E253-E254-E255)+(E256+E257+E258))-((E259-E260-E261)+(E262+E263+E264))</f>
        <v>7580</v>
      </c>
    </row>
    <row r="266" spans="1:5" x14ac:dyDescent="0.2">
      <c r="A266" s="560" t="s">
        <v>1005</v>
      </c>
      <c r="B266" s="560" t="s">
        <v>1005</v>
      </c>
      <c r="C266" s="560">
        <v>2200</v>
      </c>
      <c r="D266" s="569" t="s">
        <v>1037</v>
      </c>
      <c r="E266" s="561">
        <f>SUMIFS('Accounting data'!$G$2:$G$37000,'Accounting data'!$J$2:$J$37000,"22*",'Accounting data'!$K$2:$K$37000,"63*")+SUMIFS('Accounting data'!$G$2:$G$37000,'Accounting data'!$J$2:$J$37000,"22*",'Accounting data'!$K$2:$K$37000,"64*")+SUMIFS('Accounting data'!$G$2:$G$37000,'Accounting data'!$J$2:$J$37000,"22*",'Accounting data'!$K$2:$K$37000,"65*")</f>
        <v>5194</v>
      </c>
    </row>
    <row r="267" spans="1:5" x14ac:dyDescent="0.2">
      <c r="A267" s="560" t="s">
        <v>1006</v>
      </c>
      <c r="B267" s="560" t="s">
        <v>1005</v>
      </c>
      <c r="C267" s="560">
        <v>2200</v>
      </c>
      <c r="D267" s="560">
        <v>6300</v>
      </c>
      <c r="E267" s="561">
        <f>SUMIFS('Accounting data'!$G$2:$G$37000,'Accounting data'!$H$2:$H$37000,"9999*",'Accounting data'!$J$2:$J$37000,"22*",'Accounting data'!$K$2:$K$37000,"63*")</f>
        <v>0</v>
      </c>
    </row>
    <row r="268" spans="1:5" x14ac:dyDescent="0.2">
      <c r="A268" s="560" t="s">
        <v>1006</v>
      </c>
      <c r="B268" s="560" t="s">
        <v>1005</v>
      </c>
      <c r="C268" s="560">
        <v>2200</v>
      </c>
      <c r="D268" s="560">
        <v>6400</v>
      </c>
      <c r="E268" s="561">
        <f>SUMIFS('Accounting data'!$G$2:$G$37000,'Accounting data'!$H$2:$H$37000,"9999*",'Accounting data'!$J$2:$J$37000,"22*",'Accounting data'!$K$2:$K$37000,"64*")</f>
        <v>0</v>
      </c>
    </row>
    <row r="269" spans="1:5" x14ac:dyDescent="0.2">
      <c r="A269" s="560" t="s">
        <v>1006</v>
      </c>
      <c r="B269" s="560" t="s">
        <v>1005</v>
      </c>
      <c r="C269" s="560">
        <v>2200</v>
      </c>
      <c r="D269" s="560">
        <v>6500</v>
      </c>
      <c r="E269" s="561">
        <f>SUMIFS('Accounting data'!$G$2:$G$37000,'Accounting data'!$H$2:$H$37000,"9999*",'Accounting data'!$J$2:$J$37000,"22*",'Accounting data'!$K$2:$K$37000,"65*")</f>
        <v>0</v>
      </c>
    </row>
    <row r="270" spans="1:5" x14ac:dyDescent="0.2">
      <c r="A270" s="560" t="s">
        <v>1005</v>
      </c>
      <c r="B270" s="560" t="s">
        <v>1007</v>
      </c>
      <c r="C270" s="560">
        <v>2200</v>
      </c>
      <c r="D270" s="569" t="s">
        <v>1037</v>
      </c>
      <c r="E270" s="561">
        <f>SUMIFS('Accounting data'!$G$2:$G$37000,'Accounting data'!$I$2:$I$37000,"7*",'Accounting data'!$J$2:$J$37000,"22*",'Accounting data'!$K$2:$K$37000,"63*")+SUMIFS('Accounting data'!$G$2:$G$37000,'Accounting data'!$I$2:$I$37000,"8*",'Accounting data'!$J$2:$J$37000,"22*",'Accounting data'!$K$2:$K$37000,"63*")+SUMIFS('Accounting data'!$G$2:$G$37000,'Accounting data'!$I$2:$I$37000,"9*",'Accounting data'!$J$2:$J$37000,"22*",'Accounting data'!$K$2:$K$37000,"63*")+SUMIFS('Accounting data'!$G$2:$G$37000,'Accounting data'!$I$2:$I$37000,"7*",'Accounting data'!$J$2:$J$37000,"22*",'Accounting data'!$K$2:$K$37000,"64*")+SUMIFS('Accounting data'!$G$2:$G$37000,'Accounting data'!$I$2:$I$37000,"8*",'Accounting data'!$J$2:$J$37000,"22*",'Accounting data'!$K$2:$K$37000,"64*")+SUMIFS('Accounting data'!$G$2:$G$37000,'Accounting data'!$I$2:$I$37000,"9*",'Accounting data'!$J$2:$J$37000,"22*",'Accounting data'!$K$2:$K$37000,"64*")+SUMIFS('Accounting data'!$G$2:$G$37000,'Accounting data'!$I$2:$I$37000,"7*",'Accounting data'!$J$2:$J$37000,"22*",'Accounting data'!$K$2:$K$37000,"65*")+SUMIFS('Accounting data'!$G$2:$G$37000,'Accounting data'!$I$2:$I$37000,"8*",'Accounting data'!$J$2:$J$37000,"22*",'Accounting data'!$K$2:$K$37000,"65*")+SUMIFS('Accounting data'!$G$2:$G$37000,'Accounting data'!$I$2:$I$37000,"9*",'Accounting data'!$J$2:$J$37000,"22*",'Accounting data'!$K$2:$K$37000,"65*")</f>
        <v>0</v>
      </c>
    </row>
    <row r="271" spans="1:5" x14ac:dyDescent="0.2">
      <c r="A271" s="562" t="s">
        <v>1006</v>
      </c>
      <c r="B271" s="560" t="s">
        <v>1007</v>
      </c>
      <c r="C271" s="560">
        <v>2200</v>
      </c>
      <c r="D271" s="560">
        <v>6300</v>
      </c>
      <c r="E271" s="561">
        <f>SUMIFS('Accounting data'!$G$2:$G$37000,'Accounting data'!$H$2:$H$37000,"9999*",'Accounting data'!$I$2:$I$37000,"7*",'Accounting data'!$J$2:$J$37000,"22*",'Accounting data'!$K$2:$K$37000,"63*")+SUMIFS('Accounting data'!$G$2:$G$37000,'Accounting data'!$H$2:$H$37000,"9999*",'Accounting data'!$I$2:$I$37000,"8*",'Accounting data'!$J$2:$J$37000,"22*",'Accounting data'!$K$2:$K$37000,"63*")+SUMIFS('Accounting data'!$G$2:$G$37000,'Accounting data'!$H$2:$H$37000,"9999*",'Accounting data'!$I$2:$I$37000,"9*",'Accounting data'!$J$2:$J$37000,"22*",'Accounting data'!$K$2:$K$37000,"63*")</f>
        <v>0</v>
      </c>
    </row>
    <row r="272" spans="1:5" x14ac:dyDescent="0.2">
      <c r="A272" s="562" t="s">
        <v>1006</v>
      </c>
      <c r="B272" s="560" t="s">
        <v>1007</v>
      </c>
      <c r="C272" s="560">
        <v>2200</v>
      </c>
      <c r="D272" s="560">
        <v>6400</v>
      </c>
      <c r="E272" s="561">
        <f>SUMIFS('Accounting data'!$G$2:$G$37000,'Accounting data'!$H$2:$H$37000,"9999*",'Accounting data'!$I$2:$I$37000,"7*",'Accounting data'!$J$2:$J$37000,"22*",'Accounting data'!$K$2:$K$37000,"64*")+SUMIFS('Accounting data'!$G$2:$G$37000,'Accounting data'!$H$2:$H$37000,"9999*",'Accounting data'!$I$2:$I$37000,"8*",'Accounting data'!$J$2:$J$37000,"22*",'Accounting data'!$K$2:$K$37000,"64*")+SUMIFS('Accounting data'!$G$2:$G$37000,'Accounting data'!$H$2:$H$37000,"9999*",'Accounting data'!$I$2:$I$37000,"9*",'Accounting data'!$J$2:$J$37000,"22*",'Accounting data'!$K$2:$K$37000,"64*")</f>
        <v>0</v>
      </c>
    </row>
    <row r="273" spans="1:5" x14ac:dyDescent="0.2">
      <c r="A273" s="562" t="s">
        <v>1006</v>
      </c>
      <c r="B273" s="560" t="s">
        <v>1007</v>
      </c>
      <c r="C273" s="560">
        <v>2200</v>
      </c>
      <c r="D273" s="560">
        <v>6500</v>
      </c>
      <c r="E273" s="561">
        <f>SUMIFS('Accounting data'!$G$2:$G$37000,'Accounting data'!$H$2:$H$37000,"9999*",'Accounting data'!$I$2:$I$37000,"7*",'Accounting data'!$J$2:$J$37000,"22*",'Accounting data'!$K$2:$K$37000,"65*")+SUMIFS('Accounting data'!$G$2:$G$37000,'Accounting data'!$H$2:$H$37000,"9999*",'Accounting data'!$I$2:$I$37000,"8*",'Accounting data'!$J$2:$J$37000,"22*",'Accounting data'!$K$2:$K$37000,"65*")+SUMIFS('Accounting data'!$G$2:$G$37000,'Accounting data'!$H$2:$H$37000,"9999*",'Accounting data'!$I$2:$I$37000,"9*",'Accounting data'!$J$2:$J$37000,"22*",'Accounting data'!$K$2:$K$37000,"65*")</f>
        <v>0</v>
      </c>
    </row>
    <row r="274" spans="1:5" x14ac:dyDescent="0.2">
      <c r="A274" s="560"/>
      <c r="B274" s="560"/>
      <c r="C274" s="560"/>
      <c r="D274" s="560"/>
      <c r="E274" s="561"/>
    </row>
    <row r="275" spans="1:5" x14ac:dyDescent="0.2">
      <c r="A275" s="560"/>
      <c r="B275" s="560"/>
      <c r="C275" s="560"/>
      <c r="D275" s="560"/>
      <c r="E275" s="561"/>
    </row>
    <row r="276" spans="1:5" x14ac:dyDescent="0.2">
      <c r="A276" s="560"/>
      <c r="B276" s="560"/>
      <c r="C276" s="560"/>
      <c r="D276" s="560"/>
      <c r="E276" s="561"/>
    </row>
    <row r="277" spans="1:5" x14ac:dyDescent="0.2">
      <c r="A277" s="560"/>
      <c r="B277" s="560"/>
      <c r="C277" s="560"/>
      <c r="D277" s="560"/>
      <c r="E277" s="561"/>
    </row>
    <row r="278" spans="1:5" x14ac:dyDescent="0.2">
      <c r="A278" s="560"/>
      <c r="B278" s="560"/>
      <c r="C278" s="560"/>
      <c r="D278" s="560"/>
      <c r="E278" s="561"/>
    </row>
    <row r="279" spans="1:5" x14ac:dyDescent="0.2">
      <c r="A279" s="560"/>
      <c r="B279" s="560"/>
      <c r="C279" s="560"/>
      <c r="D279" s="560"/>
      <c r="E279" s="561"/>
    </row>
    <row r="280" spans="1:5" x14ac:dyDescent="0.2">
      <c r="A280" s="560"/>
      <c r="B280" s="560"/>
      <c r="C280" s="560"/>
      <c r="D280" s="560"/>
      <c r="E280" s="561"/>
    </row>
    <row r="281" spans="1:5" x14ac:dyDescent="0.2">
      <c r="A281" s="560"/>
      <c r="B281" s="560"/>
      <c r="C281" s="560"/>
      <c r="D281" s="560"/>
      <c r="E281" s="561"/>
    </row>
    <row r="282" spans="1:5" x14ac:dyDescent="0.2">
      <c r="A282" s="560"/>
      <c r="B282" s="560"/>
      <c r="C282" s="560"/>
      <c r="D282" s="560"/>
      <c r="E282" s="561"/>
    </row>
    <row r="283" spans="1:5" x14ac:dyDescent="0.2">
      <c r="A283" s="562"/>
      <c r="B283" s="560"/>
      <c r="C283" s="560"/>
      <c r="D283" s="560"/>
      <c r="E283" s="561"/>
    </row>
    <row r="284" spans="1:5" x14ac:dyDescent="0.2">
      <c r="A284" s="560"/>
      <c r="B284" s="560"/>
      <c r="C284" s="560"/>
      <c r="D284" s="560"/>
      <c r="E284" s="561"/>
    </row>
    <row r="285" spans="1:5" x14ac:dyDescent="0.2">
      <c r="A285" s="560"/>
      <c r="B285" s="560"/>
      <c r="C285" s="560"/>
      <c r="D285" s="560"/>
      <c r="E285" s="561"/>
    </row>
    <row r="286" spans="1:5" x14ac:dyDescent="0.2">
      <c r="A286" s="560"/>
      <c r="B286" s="560"/>
      <c r="C286" s="560"/>
      <c r="D286" s="560"/>
      <c r="E286" s="561"/>
    </row>
    <row r="287" spans="1:5" x14ac:dyDescent="0.2">
      <c r="A287" s="560"/>
      <c r="B287" s="560"/>
      <c r="C287" s="560"/>
      <c r="D287" s="560"/>
      <c r="E287" s="561"/>
    </row>
    <row r="288" spans="1:5" x14ac:dyDescent="0.2">
      <c r="A288" s="560"/>
      <c r="B288" s="560"/>
      <c r="C288" s="560"/>
      <c r="D288" s="560"/>
      <c r="E288" s="561"/>
    </row>
    <row r="289" spans="1:5" x14ac:dyDescent="0.2">
      <c r="A289" s="562"/>
      <c r="B289" s="560"/>
      <c r="C289" s="560"/>
      <c r="D289" s="560"/>
      <c r="E289" s="561"/>
    </row>
    <row r="290" spans="1:5" x14ac:dyDescent="0.2">
      <c r="A290" s="560"/>
      <c r="B290" s="560"/>
      <c r="C290" s="560"/>
      <c r="D290" s="560"/>
      <c r="E290" s="561"/>
    </row>
    <row r="291" spans="1:5" x14ac:dyDescent="0.2">
      <c r="A291" s="560"/>
      <c r="B291" s="560"/>
      <c r="C291" s="560"/>
      <c r="D291" s="560"/>
      <c r="E291" s="561"/>
    </row>
    <row r="292" spans="1:5" x14ac:dyDescent="0.2">
      <c r="A292" s="563" t="s">
        <v>1040</v>
      </c>
      <c r="B292" s="563"/>
      <c r="C292" s="563"/>
      <c r="D292" s="563"/>
      <c r="E292" s="565">
        <f>((E266-E267-E268-E269-E270)+(E271+E272+E273+E274+E275+E276+E277+E278+E279))-((E280-E281-E282)+(E283+E284+E285))-((E286-E287-E288)+(E289+E290+E291))</f>
        <v>5194</v>
      </c>
    </row>
    <row r="293" spans="1:5" x14ac:dyDescent="0.2">
      <c r="A293" s="560" t="s">
        <v>1005</v>
      </c>
      <c r="B293" s="560" t="s">
        <v>1005</v>
      </c>
      <c r="C293" s="560">
        <v>2300</v>
      </c>
      <c r="D293" s="569" t="s">
        <v>1037</v>
      </c>
      <c r="E293" s="561">
        <f>SUMIFS('Accounting data'!$G$2:$G$37000,'Accounting data'!$J$2:$J$37000,"23*",'Accounting data'!$K$2:$K$37000,"63*")+SUMIFS('Accounting data'!$G$2:$G$37000,'Accounting data'!$J$2:$J$37000,"23*",'Accounting data'!$K$2:$K$37000,"64*")+SUMIFS('Accounting data'!$G$2:$G$37000,'Accounting data'!$J$2:$J$37000,"23*",'Accounting data'!$K$2:$K$37000,"65*")</f>
        <v>582</v>
      </c>
    </row>
    <row r="294" spans="1:5" x14ac:dyDescent="0.2">
      <c r="A294" s="560" t="s">
        <v>1006</v>
      </c>
      <c r="B294" s="560" t="s">
        <v>1005</v>
      </c>
      <c r="C294" s="560">
        <v>2300</v>
      </c>
      <c r="D294" s="560">
        <v>6300</v>
      </c>
      <c r="E294" s="561">
        <f>SUMIFS('Accounting data'!$G$2:$G$37000,'Accounting data'!$H$2:$H$37000,"9999*",'Accounting data'!$J$2:$J$37000,"23*",'Accounting data'!$K$2:$K$37000,"63*")</f>
        <v>0</v>
      </c>
    </row>
    <row r="295" spans="1:5" x14ac:dyDescent="0.2">
      <c r="A295" s="560" t="s">
        <v>1006</v>
      </c>
      <c r="B295" s="560" t="s">
        <v>1005</v>
      </c>
      <c r="C295" s="560">
        <v>2300</v>
      </c>
      <c r="D295" s="560">
        <v>6400</v>
      </c>
      <c r="E295" s="561">
        <f>SUMIFS('Accounting data'!$G$2:$G$37000,'Accounting data'!$H$2:$H$37000,"9999*",'Accounting data'!$J$2:$J$37000,"23*",'Accounting data'!$K$2:$K$37000,"64*")</f>
        <v>0</v>
      </c>
    </row>
    <row r="296" spans="1:5" x14ac:dyDescent="0.2">
      <c r="A296" s="560" t="s">
        <v>1006</v>
      </c>
      <c r="B296" s="560" t="s">
        <v>1005</v>
      </c>
      <c r="C296" s="560">
        <v>2300</v>
      </c>
      <c r="D296" s="560">
        <v>6500</v>
      </c>
      <c r="E296" s="561">
        <f>SUMIFS('Accounting data'!$G$2:$G$37000,'Accounting data'!$H$2:$H$37000,"9999*",'Accounting data'!$J$2:$J$37000,"23*",'Accounting data'!$K$2:$K$37000,"65*")</f>
        <v>0</v>
      </c>
    </row>
    <row r="297" spans="1:5" x14ac:dyDescent="0.2">
      <c r="A297" s="560" t="s">
        <v>1005</v>
      </c>
      <c r="B297" s="560" t="s">
        <v>1007</v>
      </c>
      <c r="C297" s="560">
        <v>2300</v>
      </c>
      <c r="D297" s="569" t="s">
        <v>1037</v>
      </c>
      <c r="E297" s="561">
        <f>SUMIFS('Accounting data'!$G$2:$G$37000,'Accounting data'!$I$2:$I$37000,"7*",'Accounting data'!$J$2:$J$37000,"23*",'Accounting data'!$K$2:$K$37000,"63*")+SUMIFS('Accounting data'!$G$2:$G$37000,'Accounting data'!$I$2:$I$37000,"8*",'Accounting data'!$J$2:$J$37000,"23*",'Accounting data'!$K$2:$K$37000,"63*")+SUMIFS('Accounting data'!$G$2:$G$37000,'Accounting data'!$I$2:$I$37000,"9*",'Accounting data'!$J$2:$J$37000,"23*",'Accounting data'!$K$2:$K$37000,"63*")+SUMIFS('Accounting data'!$G$2:$G$37000,'Accounting data'!$I$2:$I$37000,"7*",'Accounting data'!$J$2:$J$37000,"23*",'Accounting data'!$K$2:$K$37000,"64*")+SUMIFS('Accounting data'!$G$2:$G$37000,'Accounting data'!$I$2:$I$37000,"8*",'Accounting data'!$J$2:$J$37000,"23*",'Accounting data'!$K$2:$K$37000,"64*")+SUMIFS('Accounting data'!$G$2:$G$37000,'Accounting data'!$I$2:$I$37000,"9*",'Accounting data'!$J$2:$J$37000,"23*",'Accounting data'!$K$2:$K$37000,"64*")+SUMIFS('Accounting data'!$G$2:$G$37000,'Accounting data'!$I$2:$I$37000,"7*",'Accounting data'!$J$2:$J$37000,"23*",'Accounting data'!$K$2:$K$37000,"65*")+SUMIFS('Accounting data'!$G$2:$G$37000,'Accounting data'!$I$2:$I$37000,"8*",'Accounting data'!$J$2:$J$37000,"23*",'Accounting data'!$K$2:$K$37000,"65*")+SUMIFS('Accounting data'!$G$2:$G$37000,'Accounting data'!$I$2:$I$37000,"9*",'Accounting data'!$J$2:$J$37000,"23*",'Accounting data'!$K$2:$K$37000,"65*")</f>
        <v>0</v>
      </c>
    </row>
    <row r="298" spans="1:5" x14ac:dyDescent="0.2">
      <c r="A298" s="562" t="s">
        <v>1006</v>
      </c>
      <c r="B298" s="560" t="s">
        <v>1007</v>
      </c>
      <c r="C298" s="560">
        <v>2300</v>
      </c>
      <c r="D298" s="560">
        <v>6300</v>
      </c>
      <c r="E298" s="561">
        <f>SUMIFS('Accounting data'!$G$2:$G$37000,'Accounting data'!$H$2:$H$37000,"9999*",'Accounting data'!$I$2:$I$37000,"7*",'Accounting data'!$J$2:$J$37000,"23*",'Accounting data'!$K$2:$K$37000,"63*")+SUMIFS('Accounting data'!$G$2:$G$37000,'Accounting data'!$H$2:$H$37000,"9999*",'Accounting data'!$I$2:$I$37000,"8*",'Accounting data'!$J$2:$J$37000,"23*",'Accounting data'!$K$2:$K$37000,"63*")+SUMIFS('Accounting data'!$G$2:$G$37000,'Accounting data'!$H$2:$H$37000,"9999*",'Accounting data'!$I$2:$I$37000,"9*",'Accounting data'!$J$2:$J$37000,"23*",'Accounting data'!$K$2:$K$37000,"63*")</f>
        <v>0</v>
      </c>
    </row>
    <row r="299" spans="1:5" x14ac:dyDescent="0.2">
      <c r="A299" s="562" t="s">
        <v>1006</v>
      </c>
      <c r="B299" s="560" t="s">
        <v>1007</v>
      </c>
      <c r="C299" s="560">
        <v>2300</v>
      </c>
      <c r="D299" s="560">
        <v>6400</v>
      </c>
      <c r="E299" s="561">
        <f>SUMIFS('Accounting data'!$G$2:$G$37000,'Accounting data'!$H$2:$H$37000,"9999*",'Accounting data'!$I$2:$I$37000,"7*",'Accounting data'!$J$2:$J$37000,"23*",'Accounting data'!$K$2:$K$37000,"64*")+SUMIFS('Accounting data'!$G$2:$G$37000,'Accounting data'!$H$2:$H$37000,"9999*",'Accounting data'!$I$2:$I$37000,"8*",'Accounting data'!$J$2:$J$37000,"23*",'Accounting data'!$K$2:$K$37000,"64*")+SUMIFS('Accounting data'!$G$2:$G$37000,'Accounting data'!$H$2:$H$37000,"9999*",'Accounting data'!$I$2:$I$37000,"9*",'Accounting data'!$J$2:$J$37000,"23*",'Accounting data'!$K$2:$K$37000,"64*")</f>
        <v>0</v>
      </c>
    </row>
    <row r="300" spans="1:5" x14ac:dyDescent="0.2">
      <c r="A300" s="562" t="s">
        <v>1006</v>
      </c>
      <c r="B300" s="560" t="s">
        <v>1007</v>
      </c>
      <c r="C300" s="560">
        <v>2300</v>
      </c>
      <c r="D300" s="560">
        <v>6500</v>
      </c>
      <c r="E300" s="561">
        <f>SUMIFS('Accounting data'!$G$2:$G$37000,'Accounting data'!$H$2:$H$37000,"9999*",'Accounting data'!$I$2:$I$37000,"7*",'Accounting data'!$J$2:$J$37000,"23*",'Accounting data'!$K$2:$K$37000,"65*")+SUMIFS('Accounting data'!$G$2:$G$37000,'Accounting data'!$H$2:$H$37000,"9999*",'Accounting data'!$I$2:$I$37000,"8*",'Accounting data'!$J$2:$J$37000,"23*",'Accounting data'!$K$2:$K$37000,"65*")+SUMIFS('Accounting data'!$G$2:$G$37000,'Accounting data'!$H$2:$H$37000,"9999*",'Accounting data'!$I$2:$I$37000,"9*",'Accounting data'!$J$2:$J$37000,"23*",'Accounting data'!$K$2:$K$37000,"65*")</f>
        <v>0</v>
      </c>
    </row>
    <row r="301" spans="1:5" x14ac:dyDescent="0.2">
      <c r="A301" s="560"/>
      <c r="B301" s="560"/>
      <c r="C301" s="560"/>
      <c r="D301" s="560"/>
      <c r="E301" s="561"/>
    </row>
    <row r="302" spans="1:5" x14ac:dyDescent="0.2">
      <c r="A302" s="560"/>
      <c r="B302" s="560"/>
      <c r="C302" s="560"/>
      <c r="D302" s="560"/>
      <c r="E302" s="561"/>
    </row>
    <row r="303" spans="1:5" x14ac:dyDescent="0.2">
      <c r="A303" s="560"/>
      <c r="B303" s="560"/>
      <c r="C303" s="560"/>
      <c r="D303" s="560"/>
      <c r="E303" s="561"/>
    </row>
    <row r="304" spans="1:5" x14ac:dyDescent="0.2">
      <c r="A304" s="560"/>
      <c r="B304" s="560"/>
      <c r="C304" s="560"/>
      <c r="D304" s="560"/>
      <c r="E304" s="561"/>
    </row>
    <row r="305" spans="1:5" x14ac:dyDescent="0.2">
      <c r="A305" s="560"/>
      <c r="B305" s="560"/>
      <c r="C305" s="560"/>
      <c r="D305" s="560"/>
      <c r="E305" s="561"/>
    </row>
    <row r="306" spans="1:5" x14ac:dyDescent="0.2">
      <c r="A306" s="560"/>
      <c r="B306" s="560"/>
      <c r="C306" s="560"/>
      <c r="D306" s="560"/>
      <c r="E306" s="561"/>
    </row>
    <row r="307" spans="1:5" x14ac:dyDescent="0.2">
      <c r="A307" s="560"/>
      <c r="B307" s="560"/>
      <c r="C307" s="560"/>
      <c r="D307" s="560"/>
      <c r="E307" s="561"/>
    </row>
    <row r="308" spans="1:5" x14ac:dyDescent="0.2">
      <c r="A308" s="560"/>
      <c r="B308" s="560"/>
      <c r="C308" s="560"/>
      <c r="D308" s="560"/>
      <c r="E308" s="561"/>
    </row>
    <row r="309" spans="1:5" x14ac:dyDescent="0.2">
      <c r="A309" s="560"/>
      <c r="B309" s="560"/>
      <c r="C309" s="560"/>
      <c r="D309" s="560"/>
      <c r="E309" s="561"/>
    </row>
    <row r="310" spans="1:5" x14ac:dyDescent="0.2">
      <c r="A310" s="562"/>
      <c r="B310" s="560"/>
      <c r="C310" s="560"/>
      <c r="D310" s="560"/>
      <c r="E310" s="561"/>
    </row>
    <row r="311" spans="1:5" x14ac:dyDescent="0.2">
      <c r="A311" s="560"/>
      <c r="B311" s="560"/>
      <c r="C311" s="560"/>
      <c r="D311" s="560"/>
      <c r="E311" s="561"/>
    </row>
    <row r="312" spans="1:5" x14ac:dyDescent="0.2">
      <c r="A312" s="560"/>
      <c r="B312" s="560"/>
      <c r="C312" s="560"/>
      <c r="D312" s="560"/>
      <c r="E312" s="561"/>
    </row>
    <row r="313" spans="1:5" x14ac:dyDescent="0.2">
      <c r="A313" s="560"/>
      <c r="B313" s="560"/>
      <c r="C313" s="560"/>
      <c r="D313" s="560"/>
      <c r="E313" s="561"/>
    </row>
    <row r="314" spans="1:5" x14ac:dyDescent="0.2">
      <c r="A314" s="560"/>
      <c r="B314" s="560"/>
      <c r="C314" s="560"/>
      <c r="D314" s="560"/>
      <c r="E314" s="561"/>
    </row>
    <row r="315" spans="1:5" x14ac:dyDescent="0.2">
      <c r="A315" s="560"/>
      <c r="B315" s="560"/>
      <c r="C315" s="560"/>
      <c r="D315" s="560"/>
      <c r="E315" s="561"/>
    </row>
    <row r="316" spans="1:5" x14ac:dyDescent="0.2">
      <c r="A316" s="562"/>
      <c r="B316" s="560"/>
      <c r="C316" s="560"/>
      <c r="D316" s="560"/>
      <c r="E316" s="561"/>
    </row>
    <row r="317" spans="1:5" x14ac:dyDescent="0.2">
      <c r="A317" s="560"/>
      <c r="B317" s="560"/>
      <c r="C317" s="560"/>
      <c r="D317" s="560"/>
      <c r="E317" s="561"/>
    </row>
    <row r="318" spans="1:5" x14ac:dyDescent="0.2">
      <c r="A318" s="560"/>
      <c r="B318" s="560"/>
      <c r="C318" s="560"/>
      <c r="D318" s="560"/>
      <c r="E318" s="561"/>
    </row>
    <row r="319" spans="1:5" x14ac:dyDescent="0.2">
      <c r="A319" s="563" t="s">
        <v>1041</v>
      </c>
      <c r="B319" s="563"/>
      <c r="C319" s="563"/>
      <c r="D319" s="563"/>
      <c r="E319" s="565">
        <f>((E293-E294-E295-E296-E297)+(E298+E299+E300+E301+E302+E303+E304+E305+E306))-((E307-E308-E309)+(E310+E311+E312))-((E313-E314-E315)+(E316+E317+E318))</f>
        <v>582</v>
      </c>
    </row>
    <row r="320" spans="1:5" x14ac:dyDescent="0.2">
      <c r="A320" s="560" t="s">
        <v>1005</v>
      </c>
      <c r="B320" s="560" t="s">
        <v>1005</v>
      </c>
      <c r="C320" s="560">
        <v>2400</v>
      </c>
      <c r="D320" s="569" t="s">
        <v>1037</v>
      </c>
      <c r="E320" s="561">
        <f>SUMIFS('Accounting data'!$G$2:$G$37000,'Accounting data'!$J$2:$J$37000,"24*",'Accounting data'!$K$2:$K$37000,"63*")+SUMIFS('Accounting data'!$G$2:$G$37000,'Accounting data'!$J$2:$J$37000,"24*",'Accounting data'!$K$2:$K$37000,"64*")+SUMIFS('Accounting data'!$G$2:$G$37000,'Accounting data'!$J$2:$J$37000,"24*",'Accounting data'!$K$2:$K$37000,"65*")</f>
        <v>1992</v>
      </c>
    </row>
    <row r="321" spans="1:5" x14ac:dyDescent="0.2">
      <c r="A321" s="560" t="s">
        <v>1006</v>
      </c>
      <c r="B321" s="560" t="s">
        <v>1005</v>
      </c>
      <c r="C321" s="560">
        <v>2400</v>
      </c>
      <c r="D321" s="560">
        <v>6300</v>
      </c>
      <c r="E321" s="561">
        <f>SUMIFS('Accounting data'!$G$2:$G$37000,'Accounting data'!$H$2:$H$37000,"9999*",'Accounting data'!$J$2:$J$37000,"24*",'Accounting data'!$K$2:$K$37000,"63*")</f>
        <v>0</v>
      </c>
    </row>
    <row r="322" spans="1:5" x14ac:dyDescent="0.2">
      <c r="A322" s="560" t="s">
        <v>1006</v>
      </c>
      <c r="B322" s="560" t="s">
        <v>1005</v>
      </c>
      <c r="C322" s="560">
        <v>2400</v>
      </c>
      <c r="D322" s="560">
        <v>6400</v>
      </c>
      <c r="E322" s="561">
        <f>SUMIFS('Accounting data'!$G$2:$G$37000,'Accounting data'!$H$2:$H$37000,"9999*",'Accounting data'!$J$2:$J$37000,"24*",'Accounting data'!$K$2:$K$37000,"64*")</f>
        <v>0</v>
      </c>
    </row>
    <row r="323" spans="1:5" x14ac:dyDescent="0.2">
      <c r="A323" s="560" t="s">
        <v>1006</v>
      </c>
      <c r="B323" s="560" t="s">
        <v>1005</v>
      </c>
      <c r="C323" s="560">
        <v>2400</v>
      </c>
      <c r="D323" s="560">
        <v>6500</v>
      </c>
      <c r="E323" s="561">
        <f>SUMIFS('Accounting data'!$G$2:$G$37000,'Accounting data'!$H$2:$H$37000,"9999*",'Accounting data'!$J$2:$J$37000,"24*",'Accounting data'!$K$2:$K$37000,"65*")</f>
        <v>0</v>
      </c>
    </row>
    <row r="324" spans="1:5" x14ac:dyDescent="0.2">
      <c r="A324" s="560" t="s">
        <v>1005</v>
      </c>
      <c r="B324" s="560" t="s">
        <v>1007</v>
      </c>
      <c r="C324" s="560">
        <v>2400</v>
      </c>
      <c r="D324" s="569" t="s">
        <v>1037</v>
      </c>
      <c r="E324" s="561">
        <f>SUMIFS('Accounting data'!$G$2:$G$37000,'Accounting data'!$I$2:$I$37000,"7*",'Accounting data'!$J$2:$J$37000,"24*",'Accounting data'!$K$2:$K$37000,"63*")+SUMIFS('Accounting data'!$G$2:$G$37000,'Accounting data'!$I$2:$I$37000,"8*",'Accounting data'!$J$2:$J$37000,"24*",'Accounting data'!$K$2:$K$37000,"63*")+SUMIFS('Accounting data'!$G$2:$G$37000,'Accounting data'!$I$2:$I$37000,"9*",'Accounting data'!$J$2:$J$37000,"24*",'Accounting data'!$K$2:$K$37000,"63*")+SUMIFS('Accounting data'!$G$2:$G$37000,'Accounting data'!$I$2:$I$37000,"7*",'Accounting data'!$J$2:$J$37000,"24*",'Accounting data'!$K$2:$K$37000,"64*")+SUMIFS('Accounting data'!$G$2:$G$37000,'Accounting data'!$I$2:$I$37000,"8*",'Accounting data'!$J$2:$J$37000,"24*",'Accounting data'!$K$2:$K$37000,"64*")+SUMIFS('Accounting data'!$G$2:$G$37000,'Accounting data'!$I$2:$I$37000,"9*",'Accounting data'!$J$2:$J$37000,"24*",'Accounting data'!$K$2:$K$37000,"64*")+SUMIFS('Accounting data'!$G$2:$G$37000,'Accounting data'!$I$2:$I$37000,"7*",'Accounting data'!$J$2:$J$37000,"24*",'Accounting data'!$K$2:$K$37000,"65*")+SUMIFS('Accounting data'!$G$2:$G$37000,'Accounting data'!$I$2:$I$37000,"8*",'Accounting data'!$J$2:$J$37000,"24*",'Accounting data'!$K$2:$K$37000,"65*")+SUMIFS('Accounting data'!$G$2:$G$37000,'Accounting data'!$I$2:$I$37000,"9*",'Accounting data'!$J$2:$J$37000,"24*",'Accounting data'!$K$2:$K$37000,"65*")</f>
        <v>0</v>
      </c>
    </row>
    <row r="325" spans="1:5" x14ac:dyDescent="0.2">
      <c r="A325" s="562" t="s">
        <v>1006</v>
      </c>
      <c r="B325" s="560" t="s">
        <v>1007</v>
      </c>
      <c r="C325" s="560">
        <v>2400</v>
      </c>
      <c r="D325" s="560">
        <v>6300</v>
      </c>
      <c r="E325" s="561">
        <f>SUMIFS('Accounting data'!$G$2:$G$37000,'Accounting data'!$H$2:$H$37000,"9999*",'Accounting data'!$I$2:$I$37000,"7*",'Accounting data'!$J$2:$J$37000,"24*",'Accounting data'!$K$2:$K$37000,"63*")+SUMIFS('Accounting data'!$G$2:$G$37000,'Accounting data'!$H$2:$H$37000,"9999*",'Accounting data'!$I$2:$I$37000,"8*",'Accounting data'!$J$2:$J$37000,"24*",'Accounting data'!$K$2:$K$37000,"63*")+SUMIFS('Accounting data'!$G$2:$G$37000,'Accounting data'!$H$2:$H$37000,"9999*",'Accounting data'!$I$2:$I$37000,"9*",'Accounting data'!$J$2:$J$37000,"24*",'Accounting data'!$K$2:$K$37000,"63*")</f>
        <v>0</v>
      </c>
    </row>
    <row r="326" spans="1:5" x14ac:dyDescent="0.2">
      <c r="A326" s="562" t="s">
        <v>1006</v>
      </c>
      <c r="B326" s="560" t="s">
        <v>1007</v>
      </c>
      <c r="C326" s="560">
        <v>2400</v>
      </c>
      <c r="D326" s="560">
        <v>6400</v>
      </c>
      <c r="E326" s="561">
        <f>SUMIFS('Accounting data'!$G$2:$G$37000,'Accounting data'!$H$2:$H$37000,"9999*",'Accounting data'!$I$2:$I$37000,"7*",'Accounting data'!$J$2:$J$37000,"24*",'Accounting data'!$K$2:$K$37000,"64*")+SUMIFS('Accounting data'!$G$2:$G$37000,'Accounting data'!$H$2:$H$37000,"9999*",'Accounting data'!$I$2:$I$37000,"8*",'Accounting data'!$J$2:$J$37000,"24*",'Accounting data'!$K$2:$K$37000,"64*")+SUMIFS('Accounting data'!$G$2:$G$37000,'Accounting data'!$H$2:$H$37000,"9999*",'Accounting data'!$I$2:$I$37000,"9*",'Accounting data'!$J$2:$J$37000,"24*",'Accounting data'!$K$2:$K$37000,"64*")</f>
        <v>0</v>
      </c>
    </row>
    <row r="327" spans="1:5" x14ac:dyDescent="0.2">
      <c r="A327" s="562" t="s">
        <v>1006</v>
      </c>
      <c r="B327" s="560" t="s">
        <v>1007</v>
      </c>
      <c r="C327" s="560">
        <v>2400</v>
      </c>
      <c r="D327" s="560">
        <v>6500</v>
      </c>
      <c r="E327" s="561">
        <f>SUMIFS('Accounting data'!$G$2:$G$37000,'Accounting data'!$H$2:$H$37000,"9999*",'Accounting data'!$I$2:$I$37000,"7*",'Accounting data'!$J$2:$J$37000,"24*",'Accounting data'!$K$2:$K$37000,"65*")+SUMIFS('Accounting data'!$G$2:$G$37000,'Accounting data'!$H$2:$H$37000,"9999*",'Accounting data'!$I$2:$I$37000,"8*",'Accounting data'!$J$2:$J$37000,"24*",'Accounting data'!$K$2:$K$37000,"65*")+SUMIFS('Accounting data'!$G$2:$G$37000,'Accounting data'!$H$2:$H$37000,"9999*",'Accounting data'!$I$2:$I$37000,"9*",'Accounting data'!$J$2:$J$37000,"24*",'Accounting data'!$K$2:$K$37000,"65*")</f>
        <v>0</v>
      </c>
    </row>
    <row r="328" spans="1:5" x14ac:dyDescent="0.2">
      <c r="A328" s="560"/>
      <c r="B328" s="560"/>
      <c r="C328" s="560"/>
      <c r="D328" s="560"/>
      <c r="E328" s="561"/>
    </row>
    <row r="329" spans="1:5" x14ac:dyDescent="0.2">
      <c r="A329" s="560"/>
      <c r="B329" s="560"/>
      <c r="C329" s="560"/>
      <c r="D329" s="560"/>
      <c r="E329" s="561"/>
    </row>
    <row r="330" spans="1:5" x14ac:dyDescent="0.2">
      <c r="A330" s="560"/>
      <c r="B330" s="560"/>
      <c r="C330" s="560"/>
      <c r="D330" s="560"/>
      <c r="E330" s="561"/>
    </row>
    <row r="331" spans="1:5" x14ac:dyDescent="0.2">
      <c r="A331" s="560"/>
      <c r="B331" s="560"/>
      <c r="C331" s="560"/>
      <c r="D331" s="560"/>
      <c r="E331" s="561"/>
    </row>
    <row r="332" spans="1:5" x14ac:dyDescent="0.2">
      <c r="A332" s="560"/>
      <c r="B332" s="560"/>
      <c r="C332" s="560"/>
      <c r="D332" s="560"/>
      <c r="E332" s="561"/>
    </row>
    <row r="333" spans="1:5" x14ac:dyDescent="0.2">
      <c r="A333" s="560"/>
      <c r="B333" s="560"/>
      <c r="C333" s="560"/>
      <c r="D333" s="560"/>
      <c r="E333" s="561"/>
    </row>
    <row r="334" spans="1:5" x14ac:dyDescent="0.2">
      <c r="A334" s="560"/>
      <c r="B334" s="560"/>
      <c r="C334" s="560"/>
      <c r="D334" s="560"/>
      <c r="E334" s="561"/>
    </row>
    <row r="335" spans="1:5" x14ac:dyDescent="0.2">
      <c r="A335" s="560"/>
      <c r="B335" s="560"/>
      <c r="C335" s="560"/>
      <c r="D335" s="560"/>
      <c r="E335" s="561"/>
    </row>
    <row r="336" spans="1:5" x14ac:dyDescent="0.2">
      <c r="A336" s="560"/>
      <c r="B336" s="560"/>
      <c r="C336" s="560"/>
      <c r="D336" s="560"/>
      <c r="E336" s="561"/>
    </row>
    <row r="337" spans="1:5" x14ac:dyDescent="0.2">
      <c r="A337" s="562"/>
      <c r="B337" s="560"/>
      <c r="C337" s="560"/>
      <c r="D337" s="560"/>
      <c r="E337" s="561"/>
    </row>
    <row r="338" spans="1:5" x14ac:dyDescent="0.2">
      <c r="A338" s="560"/>
      <c r="B338" s="560"/>
      <c r="C338" s="560"/>
      <c r="D338" s="560"/>
      <c r="E338" s="561"/>
    </row>
    <row r="339" spans="1:5" x14ac:dyDescent="0.2">
      <c r="A339" s="560"/>
      <c r="B339" s="560"/>
      <c r="C339" s="560"/>
      <c r="D339" s="560"/>
      <c r="E339" s="561"/>
    </row>
    <row r="340" spans="1:5" x14ac:dyDescent="0.2">
      <c r="A340" s="560"/>
      <c r="B340" s="560"/>
      <c r="C340" s="560"/>
      <c r="D340" s="560"/>
      <c r="E340" s="561"/>
    </row>
    <row r="341" spans="1:5" x14ac:dyDescent="0.2">
      <c r="A341" s="560"/>
      <c r="B341" s="560"/>
      <c r="C341" s="560"/>
      <c r="D341" s="560"/>
      <c r="E341" s="561"/>
    </row>
    <row r="342" spans="1:5" x14ac:dyDescent="0.2">
      <c r="A342" s="560"/>
      <c r="B342" s="560"/>
      <c r="C342" s="560"/>
      <c r="D342" s="560"/>
      <c r="E342" s="561"/>
    </row>
    <row r="343" spans="1:5" x14ac:dyDescent="0.2">
      <c r="A343" s="562"/>
      <c r="B343" s="560"/>
      <c r="C343" s="560"/>
      <c r="D343" s="560"/>
      <c r="E343" s="561"/>
    </row>
    <row r="344" spans="1:5" x14ac:dyDescent="0.2">
      <c r="A344" s="560"/>
      <c r="B344" s="560"/>
      <c r="C344" s="560"/>
      <c r="D344" s="560"/>
      <c r="E344" s="561"/>
    </row>
    <row r="345" spans="1:5" x14ac:dyDescent="0.2">
      <c r="A345" s="560"/>
      <c r="B345" s="560"/>
      <c r="C345" s="560"/>
      <c r="D345" s="560"/>
      <c r="E345" s="561"/>
    </row>
    <row r="346" spans="1:5" x14ac:dyDescent="0.2">
      <c r="A346" s="563" t="s">
        <v>1042</v>
      </c>
      <c r="B346" s="563"/>
      <c r="C346" s="563"/>
      <c r="D346" s="563"/>
      <c r="E346" s="565">
        <f>((E320-E321-E322-E323-E324)+(E325+E326+E327+E328+E329+E330+E331+E332+E333))-((E334-E335-E336)+(E337+E338+E339))-((E340-E341-E342)+(E343+E344+E345))</f>
        <v>1992</v>
      </c>
    </row>
    <row r="347" spans="1:5" x14ac:dyDescent="0.2">
      <c r="A347" s="560" t="s">
        <v>1005</v>
      </c>
      <c r="B347" s="560" t="s">
        <v>1005</v>
      </c>
      <c r="C347" s="560">
        <v>2500</v>
      </c>
      <c r="D347" s="569" t="s">
        <v>1037</v>
      </c>
      <c r="E347" s="561">
        <f>SUMIFS('Accounting data'!$G$2:$G$37000,'Accounting data'!$J$2:$J$37000,"25*",'Accounting data'!$K$2:$K$37000,"63*")+SUMIFS('Accounting data'!$G$2:$G$37000,'Accounting data'!$J$2:$J$37000,"25*",'Accounting data'!$K$2:$K$37000,"64*")+SUMIFS('Accounting data'!$G$2:$G$37000,'Accounting data'!$J$2:$J$37000,"25*",'Accounting data'!$K$2:$K$37000,"65*")</f>
        <v>96921</v>
      </c>
    </row>
    <row r="348" spans="1:5" x14ac:dyDescent="0.2">
      <c r="A348" s="560" t="s">
        <v>1006</v>
      </c>
      <c r="B348" s="560" t="s">
        <v>1005</v>
      </c>
      <c r="C348" s="560">
        <v>2500</v>
      </c>
      <c r="D348" s="560">
        <v>6300</v>
      </c>
      <c r="E348" s="561">
        <f>SUMIFS('Accounting data'!$G$2:$G$37000,'Accounting data'!$H$2:$H$37000,"9999*",'Accounting data'!$J$2:$J$37000,"25*",'Accounting data'!$K$2:$K$37000,"63*")</f>
        <v>0</v>
      </c>
    </row>
    <row r="349" spans="1:5" x14ac:dyDescent="0.2">
      <c r="A349" s="560" t="s">
        <v>1006</v>
      </c>
      <c r="B349" s="560" t="s">
        <v>1005</v>
      </c>
      <c r="C349" s="560">
        <v>2500</v>
      </c>
      <c r="D349" s="560">
        <v>6400</v>
      </c>
      <c r="E349" s="561">
        <f>SUMIFS('Accounting data'!$G$2:$G$37000,'Accounting data'!$H$2:$H$37000,"9999*",'Accounting data'!$J$2:$J$37000,"25*",'Accounting data'!$K$2:$K$37000,"64*")</f>
        <v>0</v>
      </c>
    </row>
    <row r="350" spans="1:5" x14ac:dyDescent="0.2">
      <c r="A350" s="560" t="s">
        <v>1006</v>
      </c>
      <c r="B350" s="560" t="s">
        <v>1005</v>
      </c>
      <c r="C350" s="560">
        <v>2500</v>
      </c>
      <c r="D350" s="560">
        <v>6500</v>
      </c>
      <c r="E350" s="561">
        <f>SUMIFS('Accounting data'!$G$2:$G$37000,'Accounting data'!$H$2:$H$37000,"9999*",'Accounting data'!$J$2:$J$37000,"25*",'Accounting data'!$K$2:$K$37000,"65*")</f>
        <v>0</v>
      </c>
    </row>
    <row r="351" spans="1:5" x14ac:dyDescent="0.2">
      <c r="A351" s="560" t="s">
        <v>1005</v>
      </c>
      <c r="B351" s="560" t="s">
        <v>1007</v>
      </c>
      <c r="C351" s="560">
        <v>2500</v>
      </c>
      <c r="D351" s="569" t="s">
        <v>1037</v>
      </c>
      <c r="E351" s="561">
        <f>SUMIFS('Accounting data'!$G$2:$G$37000,'Accounting data'!$I$2:$I$37000,"7*",'Accounting data'!$J$2:$J$37000,"25*",'Accounting data'!$K$2:$K$37000,"63*")+SUMIFS('Accounting data'!$G$2:$G$37000,'Accounting data'!$I$2:$I$37000,"8*",'Accounting data'!$J$2:$J$37000,"25*",'Accounting data'!$K$2:$K$37000,"63*")+SUMIFS('Accounting data'!$G$2:$G$37000,'Accounting data'!$I$2:$I$37000,"9*",'Accounting data'!$J$2:$J$37000,"25*",'Accounting data'!$K$2:$K$37000,"63*")+SUMIFS('Accounting data'!$G$2:$G$37000,'Accounting data'!$I$2:$I$37000,"7*",'Accounting data'!$J$2:$J$37000,"25*",'Accounting data'!$K$2:$K$37000,"64*")+SUMIFS('Accounting data'!$G$2:$G$37000,'Accounting data'!$I$2:$I$37000,"8*",'Accounting data'!$J$2:$J$37000,"25*",'Accounting data'!$K$2:$K$37000,"64*")+SUMIFS('Accounting data'!$G$2:$G$37000,'Accounting data'!$I$2:$I$37000,"9*",'Accounting data'!$J$2:$J$37000,"25*",'Accounting data'!$K$2:$K$37000,"64*")+SUMIFS('Accounting data'!$G$2:$G$37000,'Accounting data'!$I$2:$I$37000,"7*",'Accounting data'!$J$2:$J$37000,"25*",'Accounting data'!$K$2:$K$37000,"65*")+SUMIFS('Accounting data'!$G$2:$G$37000,'Accounting data'!$I$2:$I$37000,"8*",'Accounting data'!$J$2:$J$37000,"25*",'Accounting data'!$K$2:$K$37000,"65*")+SUMIFS('Accounting data'!$G$2:$G$37000,'Accounting data'!$I$2:$I$37000,"9*",'Accounting data'!$J$2:$J$37000,"25*",'Accounting data'!$K$2:$K$37000,"65*")</f>
        <v>0</v>
      </c>
    </row>
    <row r="352" spans="1:5" x14ac:dyDescent="0.2">
      <c r="A352" s="562" t="s">
        <v>1006</v>
      </c>
      <c r="B352" s="560" t="s">
        <v>1007</v>
      </c>
      <c r="C352" s="560">
        <v>2500</v>
      </c>
      <c r="D352" s="560">
        <v>6300</v>
      </c>
      <c r="E352" s="561">
        <f>SUMIFS('Accounting data'!$G$2:$G$37000,'Accounting data'!$H$2:$H$37000,"9999*",'Accounting data'!$I$2:$I$37000,"7*",'Accounting data'!$J$2:$J$37000,"25*",'Accounting data'!$K$2:$K$37000,"63*")+SUMIFS('Accounting data'!$G$2:$G$37000,'Accounting data'!$H$2:$H$37000,"9999*",'Accounting data'!$I$2:$I$37000,"8*",'Accounting data'!$J$2:$J$37000,"25*",'Accounting data'!$K$2:$K$37000,"63*")+SUMIFS('Accounting data'!$G$2:$G$37000,'Accounting data'!$H$2:$H$37000,"9999*",'Accounting data'!$I$2:$I$37000,"9*",'Accounting data'!$J$2:$J$37000,"25*",'Accounting data'!$K$2:$K$37000,"63*")</f>
        <v>0</v>
      </c>
    </row>
    <row r="353" spans="1:5" x14ac:dyDescent="0.2">
      <c r="A353" s="562" t="s">
        <v>1006</v>
      </c>
      <c r="B353" s="560" t="s">
        <v>1007</v>
      </c>
      <c r="C353" s="560">
        <v>2500</v>
      </c>
      <c r="D353" s="560">
        <v>6400</v>
      </c>
      <c r="E353" s="561">
        <f>SUMIFS('Accounting data'!$G$2:$G$37000,'Accounting data'!$H$2:$H$37000,"9999*",'Accounting data'!$I$2:$I$37000,"7*",'Accounting data'!$J$2:$J$37000,"25*",'Accounting data'!$K$2:$K$37000,"64*")+SUMIFS('Accounting data'!$G$2:$G$37000,'Accounting data'!$H$2:$H$37000,"9999*",'Accounting data'!$I$2:$I$37000,"8*",'Accounting data'!$J$2:$J$37000,"25*",'Accounting data'!$K$2:$K$37000,"64*")+SUMIFS('Accounting data'!$G$2:$G$37000,'Accounting data'!$H$2:$H$37000,"9999*",'Accounting data'!$I$2:$I$37000,"9*",'Accounting data'!$J$2:$J$37000,"25*",'Accounting data'!$K$2:$K$37000,"64*")</f>
        <v>0</v>
      </c>
    </row>
    <row r="354" spans="1:5" x14ac:dyDescent="0.2">
      <c r="A354" s="562" t="s">
        <v>1006</v>
      </c>
      <c r="B354" s="560" t="s">
        <v>1007</v>
      </c>
      <c r="C354" s="560">
        <v>2500</v>
      </c>
      <c r="D354" s="560">
        <v>6500</v>
      </c>
      <c r="E354" s="561">
        <f>SUMIFS('Accounting data'!$G$2:$G$37000,'Accounting data'!$H$2:$H$37000,"9999*",'Accounting data'!$I$2:$I$37000,"7*",'Accounting data'!$J$2:$J$37000,"25*",'Accounting data'!$K$2:$K$37000,"65*")+SUMIFS('Accounting data'!$G$2:$G$37000,'Accounting data'!$H$2:$H$37000,"9999*",'Accounting data'!$I$2:$I$37000,"8*",'Accounting data'!$J$2:$J$37000,"25*",'Accounting data'!$K$2:$K$37000,"65*")+SUMIFS('Accounting data'!$G$2:$G$37000,'Accounting data'!$H$2:$H$37000,"9999*",'Accounting data'!$I$2:$I$37000,"9*",'Accounting data'!$J$2:$J$37000,"25*",'Accounting data'!$K$2:$K$37000,"65*")</f>
        <v>0</v>
      </c>
    </row>
    <row r="355" spans="1:5" x14ac:dyDescent="0.2">
      <c r="A355" s="560"/>
      <c r="B355" s="560"/>
      <c r="C355" s="560"/>
      <c r="D355" s="560"/>
      <c r="E355" s="561"/>
    </row>
    <row r="356" spans="1:5" x14ac:dyDescent="0.2">
      <c r="A356" s="560"/>
      <c r="B356" s="560"/>
      <c r="C356" s="560"/>
      <c r="D356" s="560"/>
      <c r="E356" s="561"/>
    </row>
    <row r="357" spans="1:5" x14ac:dyDescent="0.2">
      <c r="A357" s="560"/>
      <c r="B357" s="560"/>
      <c r="C357" s="560"/>
      <c r="D357" s="560"/>
      <c r="E357" s="561"/>
    </row>
    <row r="358" spans="1:5" x14ac:dyDescent="0.2">
      <c r="A358" s="560"/>
      <c r="B358" s="560"/>
      <c r="C358" s="560"/>
      <c r="D358" s="560"/>
      <c r="E358" s="561"/>
    </row>
    <row r="359" spans="1:5" x14ac:dyDescent="0.2">
      <c r="A359" s="560"/>
      <c r="B359" s="560"/>
      <c r="C359" s="560"/>
      <c r="D359" s="560"/>
      <c r="E359" s="561"/>
    </row>
    <row r="360" spans="1:5" x14ac:dyDescent="0.2">
      <c r="A360" s="560"/>
      <c r="B360" s="560"/>
      <c r="C360" s="560"/>
      <c r="D360" s="560"/>
      <c r="E360" s="561"/>
    </row>
    <row r="361" spans="1:5" x14ac:dyDescent="0.2">
      <c r="A361" s="560"/>
      <c r="B361" s="560"/>
      <c r="C361" s="560"/>
      <c r="D361" s="560"/>
      <c r="E361" s="561"/>
    </row>
    <row r="362" spans="1:5" x14ac:dyDescent="0.2">
      <c r="A362" s="560"/>
      <c r="B362" s="560"/>
      <c r="C362" s="560"/>
      <c r="D362" s="560"/>
      <c r="E362" s="561"/>
    </row>
    <row r="363" spans="1:5" x14ac:dyDescent="0.2">
      <c r="A363" s="560"/>
      <c r="B363" s="560"/>
      <c r="C363" s="560"/>
      <c r="D363" s="560"/>
      <c r="E363" s="561"/>
    </row>
    <row r="364" spans="1:5" x14ac:dyDescent="0.2">
      <c r="A364" s="562"/>
      <c r="B364" s="560"/>
      <c r="C364" s="560"/>
      <c r="D364" s="560"/>
      <c r="E364" s="561"/>
    </row>
    <row r="365" spans="1:5" x14ac:dyDescent="0.2">
      <c r="A365" s="560"/>
      <c r="B365" s="560"/>
      <c r="C365" s="560"/>
      <c r="D365" s="560"/>
      <c r="E365" s="561"/>
    </row>
    <row r="366" spans="1:5" x14ac:dyDescent="0.2">
      <c r="A366" s="560"/>
      <c r="B366" s="560"/>
      <c r="C366" s="560"/>
      <c r="D366" s="560"/>
      <c r="E366" s="561"/>
    </row>
    <row r="367" spans="1:5" x14ac:dyDescent="0.2">
      <c r="A367" s="560"/>
      <c r="B367" s="560"/>
      <c r="C367" s="560"/>
      <c r="D367" s="560"/>
      <c r="E367" s="561"/>
    </row>
    <row r="368" spans="1:5" x14ac:dyDescent="0.2">
      <c r="A368" s="560"/>
      <c r="B368" s="560"/>
      <c r="C368" s="560"/>
      <c r="D368" s="560"/>
      <c r="E368" s="561"/>
    </row>
    <row r="369" spans="1:5" x14ac:dyDescent="0.2">
      <c r="A369" s="560"/>
      <c r="B369" s="560"/>
      <c r="C369" s="560"/>
      <c r="D369" s="560"/>
      <c r="E369" s="561"/>
    </row>
    <row r="370" spans="1:5" x14ac:dyDescent="0.2">
      <c r="A370" s="562"/>
      <c r="B370" s="560"/>
      <c r="C370" s="560"/>
      <c r="D370" s="560"/>
      <c r="E370" s="561"/>
    </row>
    <row r="371" spans="1:5" x14ac:dyDescent="0.2">
      <c r="A371" s="560"/>
      <c r="B371" s="560"/>
      <c r="C371" s="560"/>
      <c r="D371" s="560"/>
      <c r="E371" s="561"/>
    </row>
    <row r="372" spans="1:5" x14ac:dyDescent="0.2">
      <c r="A372" s="560"/>
      <c r="B372" s="560"/>
      <c r="C372" s="560"/>
      <c r="D372" s="560"/>
      <c r="E372" s="561"/>
    </row>
    <row r="373" spans="1:5" x14ac:dyDescent="0.2">
      <c r="A373" s="563" t="s">
        <v>1043</v>
      </c>
      <c r="B373" s="563"/>
      <c r="C373" s="563"/>
      <c r="D373" s="563"/>
      <c r="E373" s="565">
        <f>((E347-E348-E349-E350-E351)+(E352+E353+E354+E355+E356+E357+E358+E359+E360))-((E361-E362-E363)+(E364+E365+E366))-((E367-E368-E369)+(E370+E371+E372))</f>
        <v>96921</v>
      </c>
    </row>
    <row r="374" spans="1:5" x14ac:dyDescent="0.2">
      <c r="A374" s="560" t="s">
        <v>1005</v>
      </c>
      <c r="B374" s="560" t="s">
        <v>1005</v>
      </c>
      <c r="C374" s="560">
        <v>2900</v>
      </c>
      <c r="D374" s="569" t="s">
        <v>1037</v>
      </c>
      <c r="E374" s="561">
        <f>SUMIFS('Accounting data'!$G$2:$G$37000,'Accounting data'!$J$2:$J$37000,"29*",'Accounting data'!$K$2:$K$37000,"63*")+SUMIFS('Accounting data'!$G$2:$G$37000,'Accounting data'!$J$2:$J$37000,"29*",'Accounting data'!$K$2:$K$37000,"64*")+SUMIFS('Accounting data'!$G$2:$G$37000,'Accounting data'!$J$2:$J$37000,"29*",'Accounting data'!$K$2:$K$37000,"65*")</f>
        <v>0</v>
      </c>
    </row>
    <row r="375" spans="1:5" x14ac:dyDescent="0.2">
      <c r="A375" s="560" t="s">
        <v>1006</v>
      </c>
      <c r="B375" s="560" t="s">
        <v>1005</v>
      </c>
      <c r="C375" s="560">
        <v>2900</v>
      </c>
      <c r="D375" s="560">
        <v>6300</v>
      </c>
      <c r="E375" s="561">
        <f>SUMIFS('Accounting data'!$G$2:$G$37000,'Accounting data'!$H$2:$H$37000,"9999*",'Accounting data'!$J$2:$J$37000,"29*",'Accounting data'!$K$2:$K$37000,"63*")</f>
        <v>0</v>
      </c>
    </row>
    <row r="376" spans="1:5" x14ac:dyDescent="0.2">
      <c r="A376" s="560" t="s">
        <v>1006</v>
      </c>
      <c r="B376" s="560" t="s">
        <v>1005</v>
      </c>
      <c r="C376" s="560">
        <v>2900</v>
      </c>
      <c r="D376" s="560">
        <v>6400</v>
      </c>
      <c r="E376" s="561">
        <f>SUMIFS('Accounting data'!$G$2:$G$37000,'Accounting data'!$H$2:$H$37000,"9999*",'Accounting data'!$J$2:$J$37000,"29*",'Accounting data'!$K$2:$K$37000,"64*")</f>
        <v>0</v>
      </c>
    </row>
    <row r="377" spans="1:5" x14ac:dyDescent="0.2">
      <c r="A377" s="560" t="s">
        <v>1006</v>
      </c>
      <c r="B377" s="560" t="s">
        <v>1005</v>
      </c>
      <c r="C377" s="560">
        <v>2900</v>
      </c>
      <c r="D377" s="560">
        <v>6500</v>
      </c>
      <c r="E377" s="561">
        <f>SUMIFS('Accounting data'!$G$2:$G$37000,'Accounting data'!$H$2:$H$37000,"9999*",'Accounting data'!$J$2:$J$37000,"29*",'Accounting data'!$K$2:$K$37000,"65*")</f>
        <v>0</v>
      </c>
    </row>
    <row r="378" spans="1:5" x14ac:dyDescent="0.2">
      <c r="A378" s="560" t="s">
        <v>1005</v>
      </c>
      <c r="B378" s="560" t="s">
        <v>1007</v>
      </c>
      <c r="C378" s="560">
        <v>2900</v>
      </c>
      <c r="D378" s="569" t="s">
        <v>1037</v>
      </c>
      <c r="E378" s="561">
        <f>SUMIFS('Accounting data'!$G$2:$G$37000,'Accounting data'!$I$2:$I$37000,"7*",'Accounting data'!$J$2:$J$37000,"29*",'Accounting data'!$K$2:$K$37000,"63*")+SUMIFS('Accounting data'!$G$2:$G$37000,'Accounting data'!$I$2:$I$37000,"8*",'Accounting data'!$J$2:$J$37000,"29*",'Accounting data'!$K$2:$K$37000,"63*")+SUMIFS('Accounting data'!$G$2:$G$37000,'Accounting data'!$I$2:$I$37000,"9*",'Accounting data'!$J$2:$J$37000,"29*",'Accounting data'!$K$2:$K$37000,"63*")+SUMIFS('Accounting data'!$G$2:$G$37000,'Accounting data'!$I$2:$I$37000,"7*",'Accounting data'!$J$2:$J$37000,"29*",'Accounting data'!$K$2:$K$37000,"64*")+SUMIFS('Accounting data'!$G$2:$G$37000,'Accounting data'!$I$2:$I$37000,"8*",'Accounting data'!$J$2:$J$37000,"29*",'Accounting data'!$K$2:$K$37000,"64*")+SUMIFS('Accounting data'!$G$2:$G$37000,'Accounting data'!$I$2:$I$37000,"9*",'Accounting data'!$J$2:$J$37000,"29*",'Accounting data'!$K$2:$K$37000,"64*")+SUMIFS('Accounting data'!$G$2:$G$37000,'Accounting data'!$I$2:$I$37000,"7*",'Accounting data'!$J$2:$J$37000,"29*",'Accounting data'!$K$2:$K$37000,"65*")+SUMIFS('Accounting data'!$G$2:$G$37000,'Accounting data'!$I$2:$I$37000,"8*",'Accounting data'!$J$2:$J$37000,"29*",'Accounting data'!$K$2:$K$37000,"65*")+SUMIFS('Accounting data'!$G$2:$G$37000,'Accounting data'!$I$2:$I$37000,"9*",'Accounting data'!$J$2:$J$37000,"29*",'Accounting data'!$K$2:$K$37000,"65*")</f>
        <v>0</v>
      </c>
    </row>
    <row r="379" spans="1:5" x14ac:dyDescent="0.2">
      <c r="A379" s="562" t="s">
        <v>1006</v>
      </c>
      <c r="B379" s="560" t="s">
        <v>1007</v>
      </c>
      <c r="C379" s="560">
        <v>2900</v>
      </c>
      <c r="D379" s="560">
        <v>6300</v>
      </c>
      <c r="E379" s="561">
        <f>SUMIFS('Accounting data'!$G$2:$G$37000,'Accounting data'!$H$2:$H$37000,"9999*",'Accounting data'!$I$2:$I$37000,"7*",'Accounting data'!$J$2:$J$37000,"29*",'Accounting data'!$K$2:$K$37000,"63*")+SUMIFS('Accounting data'!$G$2:$G$37000,'Accounting data'!$H$2:$H$37000,"9999*",'Accounting data'!$I$2:$I$37000,"8*",'Accounting data'!$J$2:$J$37000,"29*",'Accounting data'!$K$2:$K$37000,"63*")+SUMIFS('Accounting data'!$G$2:$G$37000,'Accounting data'!$H$2:$H$37000,"9999*",'Accounting data'!$I$2:$I$37000,"9*",'Accounting data'!$J$2:$J$37000,"29*",'Accounting data'!$K$2:$K$37000,"63*")</f>
        <v>0</v>
      </c>
    </row>
    <row r="380" spans="1:5" x14ac:dyDescent="0.2">
      <c r="A380" s="562" t="s">
        <v>1006</v>
      </c>
      <c r="B380" s="560" t="s">
        <v>1007</v>
      </c>
      <c r="C380" s="560">
        <v>2900</v>
      </c>
      <c r="D380" s="560">
        <v>6400</v>
      </c>
      <c r="E380" s="561">
        <f>SUMIFS('Accounting data'!$G$2:$G$37000,'Accounting data'!$H$2:$H$37000,"9999*",'Accounting data'!$I$2:$I$37000,"7*",'Accounting data'!$J$2:$J$37000,"29*",'Accounting data'!$K$2:$K$37000,"64*")+SUMIFS('Accounting data'!$G$2:$G$37000,'Accounting data'!$H$2:$H$37000,"9999*",'Accounting data'!$I$2:$I$37000,"8*",'Accounting data'!$J$2:$J$37000,"29*",'Accounting data'!$K$2:$K$37000,"64*")+SUMIFS('Accounting data'!$G$2:$G$37000,'Accounting data'!$H$2:$H$37000,"9999*",'Accounting data'!$I$2:$I$37000,"9*",'Accounting data'!$J$2:$J$37000,"29*",'Accounting data'!$K$2:$K$37000,"64*")</f>
        <v>0</v>
      </c>
    </row>
    <row r="381" spans="1:5" x14ac:dyDescent="0.2">
      <c r="A381" s="562" t="s">
        <v>1006</v>
      </c>
      <c r="B381" s="560" t="s">
        <v>1007</v>
      </c>
      <c r="C381" s="560">
        <v>2900</v>
      </c>
      <c r="D381" s="560">
        <v>6500</v>
      </c>
      <c r="E381" s="561">
        <f>SUMIFS('Accounting data'!$G$2:$G$37000,'Accounting data'!$H$2:$H$37000,"9999*",'Accounting data'!$I$2:$I$37000,"7*",'Accounting data'!$J$2:$J$37000,"29*",'Accounting data'!$K$2:$K$37000,"65*")+SUMIFS('Accounting data'!$G$2:$G$37000,'Accounting data'!$H$2:$H$37000,"9999*",'Accounting data'!$I$2:$I$37000,"8*",'Accounting data'!$J$2:$J$37000,"29*",'Accounting data'!$K$2:$K$37000,"65*")+SUMIFS('Accounting data'!$G$2:$G$37000,'Accounting data'!$H$2:$H$37000,"9999*",'Accounting data'!$I$2:$I$37000,"9*",'Accounting data'!$J$2:$J$37000,"29*",'Accounting data'!$K$2:$K$37000,"65*")</f>
        <v>0</v>
      </c>
    </row>
    <row r="382" spans="1:5" x14ac:dyDescent="0.2">
      <c r="A382" s="560"/>
      <c r="B382" s="560"/>
      <c r="C382" s="560"/>
      <c r="D382" s="560"/>
      <c r="E382" s="561"/>
    </row>
    <row r="383" spans="1:5" x14ac:dyDescent="0.2">
      <c r="A383" s="560"/>
      <c r="B383" s="560"/>
      <c r="C383" s="560"/>
      <c r="D383" s="560"/>
      <c r="E383" s="561"/>
    </row>
    <row r="384" spans="1:5" x14ac:dyDescent="0.2">
      <c r="A384" s="560"/>
      <c r="B384" s="560"/>
      <c r="C384" s="560"/>
      <c r="D384" s="560"/>
      <c r="E384" s="561"/>
    </row>
    <row r="385" spans="1:5" x14ac:dyDescent="0.2">
      <c r="A385" s="560"/>
      <c r="B385" s="560"/>
      <c r="C385" s="560"/>
      <c r="D385" s="560"/>
      <c r="E385" s="561"/>
    </row>
    <row r="386" spans="1:5" x14ac:dyDescent="0.2">
      <c r="A386" s="560"/>
      <c r="B386" s="560"/>
      <c r="C386" s="560"/>
      <c r="D386" s="560"/>
      <c r="E386" s="561"/>
    </row>
    <row r="387" spans="1:5" x14ac:dyDescent="0.2">
      <c r="A387" s="560"/>
      <c r="B387" s="560"/>
      <c r="C387" s="560"/>
      <c r="D387" s="560"/>
      <c r="E387" s="561"/>
    </row>
    <row r="388" spans="1:5" x14ac:dyDescent="0.2">
      <c r="A388" s="560"/>
      <c r="B388" s="560"/>
      <c r="C388" s="560"/>
      <c r="D388" s="560"/>
      <c r="E388" s="561"/>
    </row>
    <row r="389" spans="1:5" x14ac:dyDescent="0.2">
      <c r="A389" s="560"/>
      <c r="B389" s="560"/>
      <c r="C389" s="560"/>
      <c r="D389" s="560"/>
      <c r="E389" s="561"/>
    </row>
    <row r="390" spans="1:5" x14ac:dyDescent="0.2">
      <c r="A390" s="560"/>
      <c r="B390" s="560"/>
      <c r="C390" s="560"/>
      <c r="D390" s="560"/>
      <c r="E390" s="561"/>
    </row>
    <row r="391" spans="1:5" x14ac:dyDescent="0.2">
      <c r="A391" s="562"/>
      <c r="B391" s="560"/>
      <c r="C391" s="560"/>
      <c r="D391" s="560"/>
      <c r="E391" s="561"/>
    </row>
    <row r="392" spans="1:5" x14ac:dyDescent="0.2">
      <c r="A392" s="560"/>
      <c r="B392" s="560"/>
      <c r="C392" s="560"/>
      <c r="D392" s="560"/>
      <c r="E392" s="561"/>
    </row>
    <row r="393" spans="1:5" x14ac:dyDescent="0.2">
      <c r="A393" s="560"/>
      <c r="B393" s="560"/>
      <c r="C393" s="560"/>
      <c r="D393" s="560"/>
      <c r="E393" s="561"/>
    </row>
    <row r="394" spans="1:5" x14ac:dyDescent="0.2">
      <c r="A394" s="560"/>
      <c r="B394" s="560"/>
      <c r="C394" s="560"/>
      <c r="D394" s="560"/>
      <c r="E394" s="561"/>
    </row>
    <row r="395" spans="1:5" x14ac:dyDescent="0.2">
      <c r="A395" s="560"/>
      <c r="B395" s="560"/>
      <c r="C395" s="560"/>
      <c r="D395" s="560"/>
      <c r="E395" s="561"/>
    </row>
    <row r="396" spans="1:5" x14ac:dyDescent="0.2">
      <c r="A396" s="560"/>
      <c r="B396" s="560"/>
      <c r="C396" s="560"/>
      <c r="D396" s="560"/>
      <c r="E396" s="561"/>
    </row>
    <row r="397" spans="1:5" x14ac:dyDescent="0.2">
      <c r="A397" s="562"/>
      <c r="B397" s="560"/>
      <c r="C397" s="560"/>
      <c r="D397" s="560"/>
      <c r="E397" s="561"/>
    </row>
    <row r="398" spans="1:5" x14ac:dyDescent="0.2">
      <c r="A398" s="560"/>
      <c r="B398" s="560"/>
      <c r="C398" s="560"/>
      <c r="D398" s="560"/>
      <c r="E398" s="561"/>
    </row>
    <row r="399" spans="1:5" x14ac:dyDescent="0.2">
      <c r="A399" s="560"/>
      <c r="B399" s="560"/>
      <c r="C399" s="560"/>
      <c r="D399" s="560"/>
      <c r="E399" s="561"/>
    </row>
    <row r="400" spans="1:5" x14ac:dyDescent="0.2">
      <c r="A400" s="563" t="s">
        <v>1044</v>
      </c>
      <c r="B400" s="563"/>
      <c r="C400" s="563"/>
      <c r="D400" s="563"/>
      <c r="E400" s="565">
        <f>((E374-E375-E376-E377-E378)+(E379+E380+E381+E382+E383+E384+E385+E386+E387))-((E388-E389-E390)+(E391+E392+E393))-((E394-E395-E396)+(E397+E398+E399))</f>
        <v>0</v>
      </c>
    </row>
    <row r="401" spans="1:5" x14ac:dyDescent="0.2">
      <c r="A401" s="560" t="s">
        <v>1005</v>
      </c>
      <c r="B401" s="560" t="s">
        <v>1005</v>
      </c>
      <c r="C401" s="560">
        <v>2600</v>
      </c>
      <c r="D401" s="569" t="s">
        <v>1037</v>
      </c>
      <c r="E401" s="561">
        <f>SUMIFS('Accounting data'!$G$2:$G$37000,'Accounting data'!$J$2:$J$37000,"26*",'Accounting data'!$K$2:$K$37000,"63*")+SUMIFS('Accounting data'!$G$2:$G$37000,'Accounting data'!$J$2:$J$37000,"26*",'Accounting data'!$K$2:$K$37000,"64*")+SUMIFS('Accounting data'!$G$2:$G$37000,'Accounting data'!$J$2:$J$37000,"26*",'Accounting data'!$K$2:$K$37000,"65*")</f>
        <v>186489</v>
      </c>
    </row>
    <row r="402" spans="1:5" x14ac:dyDescent="0.2">
      <c r="A402" s="560" t="s">
        <v>1006</v>
      </c>
      <c r="B402" s="560" t="s">
        <v>1005</v>
      </c>
      <c r="C402" s="560">
        <v>2600</v>
      </c>
      <c r="D402" s="560">
        <v>6300</v>
      </c>
      <c r="E402" s="561">
        <f>SUMIFS('Accounting data'!$G$2:$G$37000,'Accounting data'!$H$2:$H$37000,"9999*",'Accounting data'!$J$2:$J$37000,"26*",'Accounting data'!$K$2:$K$37000,"63*")</f>
        <v>0</v>
      </c>
    </row>
    <row r="403" spans="1:5" x14ac:dyDescent="0.2">
      <c r="A403" s="560" t="s">
        <v>1006</v>
      </c>
      <c r="B403" s="560" t="s">
        <v>1005</v>
      </c>
      <c r="C403" s="560">
        <v>2600</v>
      </c>
      <c r="D403" s="560">
        <v>6400</v>
      </c>
      <c r="E403" s="561">
        <f>SUMIFS('Accounting data'!$G$2:$G$37000,'Accounting data'!$H$2:$H$37000,"9999*",'Accounting data'!$J$2:$J$37000,"26*",'Accounting data'!$K$2:$K$37000,"64*")</f>
        <v>0</v>
      </c>
    </row>
    <row r="404" spans="1:5" x14ac:dyDescent="0.2">
      <c r="A404" s="560" t="s">
        <v>1006</v>
      </c>
      <c r="B404" s="560" t="s">
        <v>1005</v>
      </c>
      <c r="C404" s="560">
        <v>2600</v>
      </c>
      <c r="D404" s="560">
        <v>6500</v>
      </c>
      <c r="E404" s="561">
        <f>SUMIFS('Accounting data'!$G$2:$G$37000,'Accounting data'!$H$2:$H$37000,"9999*",'Accounting data'!$J$2:$J$37000,"26*",'Accounting data'!$K$2:$K$37000,"65*")</f>
        <v>0</v>
      </c>
    </row>
    <row r="405" spans="1:5" x14ac:dyDescent="0.2">
      <c r="A405" s="560" t="s">
        <v>1005</v>
      </c>
      <c r="B405" s="560" t="s">
        <v>1007</v>
      </c>
      <c r="C405" s="560">
        <v>2600</v>
      </c>
      <c r="D405" s="569" t="s">
        <v>1037</v>
      </c>
      <c r="E405" s="561">
        <f>SUMIFS('Accounting data'!$G$2:$G$37000,'Accounting data'!$I$2:$I$37000,"7*",'Accounting data'!$J$2:$J$37000,"26*",'Accounting data'!$K$2:$K$37000,"63*")+SUMIFS('Accounting data'!$G$2:$G$37000,'Accounting data'!$I$2:$I$37000,"8*",'Accounting data'!$J$2:$J$37000,"26*",'Accounting data'!$K$2:$K$37000,"63*")+SUMIFS('Accounting data'!$G$2:$G$37000,'Accounting data'!$I$2:$I$37000,"9*",'Accounting data'!$J$2:$J$37000,"26*",'Accounting data'!$K$2:$K$37000,"63*")+SUMIFS('Accounting data'!$G$2:$G$37000,'Accounting data'!$I$2:$I$37000,"7*",'Accounting data'!$J$2:$J$37000,"26*",'Accounting data'!$K$2:$K$37000,"64*")+SUMIFS('Accounting data'!$G$2:$G$37000,'Accounting data'!$I$2:$I$37000,"8*",'Accounting data'!$J$2:$J$37000,"26*",'Accounting data'!$K$2:$K$37000,"64*")+SUMIFS('Accounting data'!$G$2:$G$37000,'Accounting data'!$I$2:$I$37000,"9*",'Accounting data'!$J$2:$J$37000,"26*",'Accounting data'!$K$2:$K$37000,"64*")+SUMIFS('Accounting data'!$G$2:$G$37000,'Accounting data'!$I$2:$I$37000,"7*",'Accounting data'!$J$2:$J$37000,"26*",'Accounting data'!$K$2:$K$37000,"65*")+SUMIFS('Accounting data'!$G$2:$G$37000,'Accounting data'!$I$2:$I$37000,"8*",'Accounting data'!$J$2:$J$37000,"26*",'Accounting data'!$K$2:$K$37000,"65*")+SUMIFS('Accounting data'!$G$2:$G$37000,'Accounting data'!$I$2:$I$37000,"9*",'Accounting data'!$J$2:$J$37000,"26*",'Accounting data'!$K$2:$K$37000,"65*")</f>
        <v>0</v>
      </c>
    </row>
    <row r="406" spans="1:5" x14ac:dyDescent="0.2">
      <c r="A406" s="562" t="s">
        <v>1006</v>
      </c>
      <c r="B406" s="560" t="s">
        <v>1007</v>
      </c>
      <c r="C406" s="560">
        <v>2600</v>
      </c>
      <c r="D406" s="560">
        <v>6300</v>
      </c>
      <c r="E406" s="561">
        <f>SUMIFS('Accounting data'!$G$2:$G$37000,'Accounting data'!$H$2:$H$37000,"9999*",'Accounting data'!$I$2:$I$37000,"7*",'Accounting data'!$J$2:$J$37000,"26*",'Accounting data'!$K$2:$K$37000,"63*")+SUMIFS('Accounting data'!$G$2:$G$37000,'Accounting data'!$H$2:$H$37000,"9999*",'Accounting data'!$I$2:$I$37000,"8*",'Accounting data'!$J$2:$J$37000,"26*",'Accounting data'!$K$2:$K$37000,"63*")+SUMIFS('Accounting data'!$G$2:$G$37000,'Accounting data'!$H$2:$H$37000,"9999*",'Accounting data'!$I$2:$I$37000,"9*",'Accounting data'!$J$2:$J$37000,"26*",'Accounting data'!$K$2:$K$37000,"63*")</f>
        <v>0</v>
      </c>
    </row>
    <row r="407" spans="1:5" x14ac:dyDescent="0.2">
      <c r="A407" s="562" t="s">
        <v>1006</v>
      </c>
      <c r="B407" s="560" t="s">
        <v>1007</v>
      </c>
      <c r="C407" s="560">
        <v>2600</v>
      </c>
      <c r="D407" s="560">
        <v>6400</v>
      </c>
      <c r="E407" s="561">
        <f>SUMIFS('Accounting data'!$G$2:$G$37000,'Accounting data'!$H$2:$H$37000,"9999*",'Accounting data'!$I$2:$I$37000,"7*",'Accounting data'!$J$2:$J$37000,"26*",'Accounting data'!$K$2:$K$37000,"64*")+SUMIFS('Accounting data'!$G$2:$G$37000,'Accounting data'!$H$2:$H$37000,"9999*",'Accounting data'!$I$2:$I$37000,"8*",'Accounting data'!$J$2:$J$37000,"26*",'Accounting data'!$K$2:$K$37000,"64*")+SUMIFS('Accounting data'!$G$2:$G$37000,'Accounting data'!$H$2:$H$37000,"9999*",'Accounting data'!$I$2:$I$37000,"9*",'Accounting data'!$J$2:$J$37000,"26*",'Accounting data'!$K$2:$K$37000,"64*")</f>
        <v>0</v>
      </c>
    </row>
    <row r="408" spans="1:5" x14ac:dyDescent="0.2">
      <c r="A408" s="562" t="s">
        <v>1006</v>
      </c>
      <c r="B408" s="560" t="s">
        <v>1007</v>
      </c>
      <c r="C408" s="560">
        <v>2600</v>
      </c>
      <c r="D408" s="560">
        <v>6500</v>
      </c>
      <c r="E408" s="561">
        <f>SUMIFS('Accounting data'!$G$2:$G$37000,'Accounting data'!$H$2:$H$37000,"9999*",'Accounting data'!$I$2:$I$37000,"7*",'Accounting data'!$J$2:$J$37000,"26*",'Accounting data'!$K$2:$K$37000,"65*")+SUMIFS('Accounting data'!$G$2:$G$37000,'Accounting data'!$H$2:$H$37000,"9999*",'Accounting data'!$I$2:$I$37000,"8*",'Accounting data'!$J$2:$J$37000,"26*",'Accounting data'!$K$2:$K$37000,"65*")+SUMIFS('Accounting data'!$G$2:$G$37000,'Accounting data'!$H$2:$H$37000,"9999*",'Accounting data'!$I$2:$I$37000,"9*",'Accounting data'!$J$2:$J$37000,"26*",'Accounting data'!$K$2:$K$37000,"65*")</f>
        <v>0</v>
      </c>
    </row>
    <row r="409" spans="1:5" x14ac:dyDescent="0.2">
      <c r="A409" s="560"/>
      <c r="B409" s="560"/>
      <c r="C409" s="560"/>
      <c r="D409" s="560"/>
      <c r="E409" s="561"/>
    </row>
    <row r="410" spans="1:5" x14ac:dyDescent="0.2">
      <c r="A410" s="560"/>
      <c r="B410" s="560"/>
      <c r="C410" s="560"/>
      <c r="D410" s="560"/>
      <c r="E410" s="561"/>
    </row>
    <row r="411" spans="1:5" x14ac:dyDescent="0.2">
      <c r="A411" s="560"/>
      <c r="B411" s="560"/>
      <c r="C411" s="560"/>
      <c r="D411" s="560"/>
      <c r="E411" s="561"/>
    </row>
    <row r="412" spans="1:5" x14ac:dyDescent="0.2">
      <c r="A412" s="560"/>
      <c r="B412" s="560"/>
      <c r="C412" s="560"/>
      <c r="D412" s="560"/>
      <c r="E412" s="561"/>
    </row>
    <row r="413" spans="1:5" x14ac:dyDescent="0.2">
      <c r="A413" s="560"/>
      <c r="B413" s="560"/>
      <c r="C413" s="560"/>
      <c r="D413" s="560"/>
      <c r="E413" s="561"/>
    </row>
    <row r="414" spans="1:5" x14ac:dyDescent="0.2">
      <c r="A414" s="560"/>
      <c r="B414" s="560"/>
      <c r="C414" s="560"/>
      <c r="D414" s="560"/>
      <c r="E414" s="561"/>
    </row>
    <row r="415" spans="1:5" x14ac:dyDescent="0.2">
      <c r="A415" s="560"/>
      <c r="B415" s="560"/>
      <c r="C415" s="560"/>
      <c r="D415" s="560"/>
      <c r="E415" s="561"/>
    </row>
    <row r="416" spans="1:5" x14ac:dyDescent="0.2">
      <c r="A416" s="560"/>
      <c r="B416" s="560"/>
      <c r="C416" s="560"/>
      <c r="D416" s="560"/>
      <c r="E416" s="561"/>
    </row>
    <row r="417" spans="1:5" x14ac:dyDescent="0.2">
      <c r="A417" s="560"/>
      <c r="B417" s="560"/>
      <c r="C417" s="560"/>
      <c r="D417" s="560"/>
      <c r="E417" s="561"/>
    </row>
    <row r="418" spans="1:5" x14ac:dyDescent="0.2">
      <c r="A418" s="562"/>
      <c r="B418" s="560"/>
      <c r="C418" s="560"/>
      <c r="D418" s="560"/>
      <c r="E418" s="561"/>
    </row>
    <row r="419" spans="1:5" x14ac:dyDescent="0.2">
      <c r="A419" s="560"/>
      <c r="B419" s="560"/>
      <c r="C419" s="560"/>
      <c r="D419" s="560"/>
      <c r="E419" s="561"/>
    </row>
    <row r="420" spans="1:5" x14ac:dyDescent="0.2">
      <c r="A420" s="560"/>
      <c r="B420" s="560"/>
      <c r="C420" s="560"/>
      <c r="D420" s="560"/>
      <c r="E420" s="561"/>
    </row>
    <row r="421" spans="1:5" x14ac:dyDescent="0.2">
      <c r="A421" s="560"/>
      <c r="B421" s="560"/>
      <c r="C421" s="560"/>
      <c r="D421" s="560"/>
      <c r="E421" s="561"/>
    </row>
    <row r="422" spans="1:5" x14ac:dyDescent="0.2">
      <c r="A422" s="560"/>
      <c r="B422" s="560"/>
      <c r="C422" s="560"/>
      <c r="D422" s="560"/>
      <c r="E422" s="561"/>
    </row>
    <row r="423" spans="1:5" x14ac:dyDescent="0.2">
      <c r="A423" s="560"/>
      <c r="B423" s="560"/>
      <c r="C423" s="560"/>
      <c r="D423" s="560"/>
      <c r="E423" s="561"/>
    </row>
    <row r="424" spans="1:5" x14ac:dyDescent="0.2">
      <c r="A424" s="562"/>
      <c r="B424" s="560"/>
      <c r="C424" s="560"/>
      <c r="D424" s="560"/>
      <c r="E424" s="561"/>
    </row>
    <row r="425" spans="1:5" x14ac:dyDescent="0.2">
      <c r="A425" s="560"/>
      <c r="B425" s="560"/>
      <c r="C425" s="560"/>
      <c r="D425" s="560"/>
      <c r="E425" s="561"/>
    </row>
    <row r="426" spans="1:5" x14ac:dyDescent="0.2">
      <c r="A426" s="560"/>
      <c r="B426" s="560"/>
      <c r="C426" s="560"/>
      <c r="D426" s="560"/>
      <c r="E426" s="561"/>
    </row>
    <row r="427" spans="1:5" x14ac:dyDescent="0.2">
      <c r="A427" s="563" t="s">
        <v>1045</v>
      </c>
      <c r="B427" s="563"/>
      <c r="C427" s="563"/>
      <c r="D427" s="563"/>
      <c r="E427" s="565">
        <f>((E401-E402-E403-E404-E405)+(E406+E407+E408+E409+E410+E411+E412+E413+E414))-((E415-E416-E417)+(E418+E419+E420))-((E421-E422-E423)+(E424+E425+E426))</f>
        <v>186489</v>
      </c>
    </row>
    <row r="428" spans="1:5" x14ac:dyDescent="0.2">
      <c r="A428" s="560" t="s">
        <v>1005</v>
      </c>
      <c r="B428" s="560" t="s">
        <v>1005</v>
      </c>
      <c r="C428" s="560">
        <v>2700</v>
      </c>
      <c r="D428" s="569" t="s">
        <v>1037</v>
      </c>
      <c r="E428" s="561">
        <f>SUMIFS('Accounting data'!$G$2:$G$37000,'Accounting data'!$J$2:$J$37000,"27*",'Accounting data'!$K$2:$K$37000,"63*")+SUMIFS('Accounting data'!$G$2:$G$37000,'Accounting data'!$J$2:$J$37000,"27*",'Accounting data'!$K$2:$K$37000,"64*")+SUMIFS('Accounting data'!$G$2:$G$37000,'Accounting data'!$J$2:$J$37000,"27*",'Accounting data'!$K$2:$K$37000,"65*")</f>
        <v>27805</v>
      </c>
    </row>
    <row r="429" spans="1:5" x14ac:dyDescent="0.2">
      <c r="A429" s="560" t="s">
        <v>1006</v>
      </c>
      <c r="B429" s="560" t="s">
        <v>1005</v>
      </c>
      <c r="C429" s="560">
        <v>2700</v>
      </c>
      <c r="D429" s="560">
        <v>6300</v>
      </c>
      <c r="E429" s="561">
        <f>SUMIFS('Accounting data'!$G$2:$G$37000,'Accounting data'!$H$2:$H$37000,"9999*",'Accounting data'!$J$2:$J$37000,"27*",'Accounting data'!$K$2:$K$37000,"63*")</f>
        <v>0</v>
      </c>
    </row>
    <row r="430" spans="1:5" x14ac:dyDescent="0.2">
      <c r="A430" s="560" t="s">
        <v>1006</v>
      </c>
      <c r="B430" s="560" t="s">
        <v>1005</v>
      </c>
      <c r="C430" s="560">
        <v>2700</v>
      </c>
      <c r="D430" s="560">
        <v>6400</v>
      </c>
      <c r="E430" s="561">
        <f>SUMIFS('Accounting data'!$G$2:$G$37000,'Accounting data'!$H$2:$H$37000,"9999*",'Accounting data'!$J$2:$J$37000,"27*",'Accounting data'!$K$2:$K$37000,"64*")</f>
        <v>0</v>
      </c>
    </row>
    <row r="431" spans="1:5" x14ac:dyDescent="0.2">
      <c r="A431" s="560" t="s">
        <v>1006</v>
      </c>
      <c r="B431" s="560" t="s">
        <v>1005</v>
      </c>
      <c r="C431" s="560">
        <v>2700</v>
      </c>
      <c r="D431" s="560">
        <v>6500</v>
      </c>
      <c r="E431" s="561">
        <f>SUMIFS('Accounting data'!$G$2:$G$37000,'Accounting data'!$H$2:$H$37000,"9999*",'Accounting data'!$J$2:$J$37000,"27*",'Accounting data'!$K$2:$K$37000,"65*")</f>
        <v>0</v>
      </c>
    </row>
    <row r="432" spans="1:5" x14ac:dyDescent="0.2">
      <c r="A432" s="560" t="s">
        <v>1005</v>
      </c>
      <c r="B432" s="560" t="s">
        <v>1007</v>
      </c>
      <c r="C432" s="560">
        <v>2700</v>
      </c>
      <c r="D432" s="569" t="s">
        <v>1037</v>
      </c>
      <c r="E432" s="561">
        <f>SUMIFS('Accounting data'!$G$2:$G$37000,'Accounting data'!$I$2:$I$37000,"7*",'Accounting data'!$J$2:$J$37000,"27*",'Accounting data'!$K$2:$K$37000,"63*")+SUMIFS('Accounting data'!$G$2:$G$37000,'Accounting data'!$I$2:$I$37000,"8*",'Accounting data'!$J$2:$J$37000,"27*",'Accounting data'!$K$2:$K$37000,"63*")+SUMIFS('Accounting data'!$G$2:$G$37000,'Accounting data'!$I$2:$I$37000,"9*",'Accounting data'!$J$2:$J$37000,"27*",'Accounting data'!$K$2:$K$37000,"63*")+SUMIFS('Accounting data'!$G$2:$G$37000,'Accounting data'!$I$2:$I$37000,"7*",'Accounting data'!$J$2:$J$37000,"27*",'Accounting data'!$K$2:$K$37000,"64*")+SUMIFS('Accounting data'!$G$2:$G$37000,'Accounting data'!$I$2:$I$37000,"8*",'Accounting data'!$J$2:$J$37000,"27*",'Accounting data'!$K$2:$K$37000,"64*")+SUMIFS('Accounting data'!$G$2:$G$37000,'Accounting data'!$I$2:$I$37000,"9*",'Accounting data'!$J$2:$J$37000,"27*",'Accounting data'!$K$2:$K$37000,"64*")+SUMIFS('Accounting data'!$G$2:$G$37000,'Accounting data'!$I$2:$I$37000,"7*",'Accounting data'!$J$2:$J$37000,"27*",'Accounting data'!$K$2:$K$37000,"65*")+SUMIFS('Accounting data'!$G$2:$G$37000,'Accounting data'!$I$2:$I$37000,"8*",'Accounting data'!$J$2:$J$37000,"27*",'Accounting data'!$K$2:$K$37000,"65*")+SUMIFS('Accounting data'!$G$2:$G$37000,'Accounting data'!$I$2:$I$37000,"9*",'Accounting data'!$J$2:$J$37000,"27*",'Accounting data'!$K$2:$K$37000,"65*")</f>
        <v>0</v>
      </c>
    </row>
    <row r="433" spans="1:5" x14ac:dyDescent="0.2">
      <c r="A433" s="562" t="s">
        <v>1006</v>
      </c>
      <c r="B433" s="560" t="s">
        <v>1007</v>
      </c>
      <c r="C433" s="560">
        <v>2700</v>
      </c>
      <c r="D433" s="560">
        <v>6300</v>
      </c>
      <c r="E433" s="561">
        <f>SUMIFS('Accounting data'!$G$2:$G$37000,'Accounting data'!$H$2:$H$37000,"9999*",'Accounting data'!$I$2:$I$37000,"7*",'Accounting data'!$J$2:$J$37000,"27*",'Accounting data'!$K$2:$K$37000,"63*")+SUMIFS('Accounting data'!$G$2:$G$37000,'Accounting data'!$H$2:$H$37000,"9999*",'Accounting data'!$I$2:$I$37000,"8*",'Accounting data'!$J$2:$J$37000,"27*",'Accounting data'!$K$2:$K$37000,"63*")+SUMIFS('Accounting data'!$G$2:$G$37000,'Accounting data'!$H$2:$H$37000,"9999*",'Accounting data'!$I$2:$I$37000,"9*",'Accounting data'!$J$2:$J$37000,"27*",'Accounting data'!$K$2:$K$37000,"63*")</f>
        <v>0</v>
      </c>
    </row>
    <row r="434" spans="1:5" x14ac:dyDescent="0.2">
      <c r="A434" s="562" t="s">
        <v>1006</v>
      </c>
      <c r="B434" s="560" t="s">
        <v>1007</v>
      </c>
      <c r="C434" s="560">
        <v>2700</v>
      </c>
      <c r="D434" s="560">
        <v>6400</v>
      </c>
      <c r="E434" s="561">
        <f>SUMIFS('Accounting data'!$G$2:$G$37000,'Accounting data'!$H$2:$H$37000,"9999*",'Accounting data'!$I$2:$I$37000,"7*",'Accounting data'!$J$2:$J$37000,"27*",'Accounting data'!$K$2:$K$37000,"64*")+SUMIFS('Accounting data'!$G$2:$G$37000,'Accounting data'!$H$2:$H$37000,"9999*",'Accounting data'!$I$2:$I$37000,"8*",'Accounting data'!$J$2:$J$37000,"27*",'Accounting data'!$K$2:$K$37000,"64*")+SUMIFS('Accounting data'!$G$2:$G$37000,'Accounting data'!$H$2:$H$37000,"9999*",'Accounting data'!$I$2:$I$37000,"9*",'Accounting data'!$J$2:$J$37000,"27*",'Accounting data'!$K$2:$K$37000,"64*")</f>
        <v>0</v>
      </c>
    </row>
    <row r="435" spans="1:5" x14ac:dyDescent="0.2">
      <c r="A435" s="562" t="s">
        <v>1006</v>
      </c>
      <c r="B435" s="560" t="s">
        <v>1007</v>
      </c>
      <c r="C435" s="560">
        <v>2700</v>
      </c>
      <c r="D435" s="560">
        <v>6500</v>
      </c>
      <c r="E435" s="561">
        <f>SUMIFS('Accounting data'!$G$2:$G$37000,'Accounting data'!$H$2:$H$37000,"9999*",'Accounting data'!$I$2:$I$37000,"7*",'Accounting data'!$J$2:$J$37000,"27*",'Accounting data'!$K$2:$K$37000,"65*")+SUMIFS('Accounting data'!$G$2:$G$37000,'Accounting data'!$H$2:$H$37000,"9999*",'Accounting data'!$I$2:$I$37000,"8*",'Accounting data'!$J$2:$J$37000,"27*",'Accounting data'!$K$2:$K$37000,"65*")+SUMIFS('Accounting data'!$G$2:$G$37000,'Accounting data'!$H$2:$H$37000,"9999*",'Accounting data'!$I$2:$I$37000,"9*",'Accounting data'!$J$2:$J$37000,"27*",'Accounting data'!$K$2:$K$37000,"65*")</f>
        <v>0</v>
      </c>
    </row>
    <row r="436" spans="1:5" x14ac:dyDescent="0.2">
      <c r="A436" s="560"/>
      <c r="B436" s="560"/>
      <c r="C436" s="560"/>
      <c r="D436" s="560"/>
      <c r="E436" s="561"/>
    </row>
    <row r="437" spans="1:5" x14ac:dyDescent="0.2">
      <c r="A437" s="560"/>
      <c r="B437" s="560"/>
      <c r="C437" s="560"/>
      <c r="D437" s="560"/>
      <c r="E437" s="561"/>
    </row>
    <row r="438" spans="1:5" x14ac:dyDescent="0.2">
      <c r="A438" s="560"/>
      <c r="B438" s="560"/>
      <c r="C438" s="560"/>
      <c r="D438" s="560"/>
      <c r="E438" s="561"/>
    </row>
    <row r="439" spans="1:5" x14ac:dyDescent="0.2">
      <c r="A439" s="560"/>
      <c r="B439" s="560"/>
      <c r="C439" s="560"/>
      <c r="D439" s="560"/>
      <c r="E439" s="561"/>
    </row>
    <row r="440" spans="1:5" x14ac:dyDescent="0.2">
      <c r="A440" s="560"/>
      <c r="B440" s="560"/>
      <c r="C440" s="560"/>
      <c r="D440" s="560"/>
      <c r="E440" s="561"/>
    </row>
    <row r="441" spans="1:5" x14ac:dyDescent="0.2">
      <c r="A441" s="560"/>
      <c r="B441" s="560"/>
      <c r="C441" s="560"/>
      <c r="D441" s="560"/>
      <c r="E441" s="561"/>
    </row>
    <row r="442" spans="1:5" x14ac:dyDescent="0.2">
      <c r="A442" s="560"/>
      <c r="B442" s="560"/>
      <c r="C442" s="560"/>
      <c r="D442" s="560"/>
      <c r="E442" s="561"/>
    </row>
    <row r="443" spans="1:5" x14ac:dyDescent="0.2">
      <c r="A443" s="560"/>
      <c r="B443" s="560"/>
      <c r="C443" s="560"/>
      <c r="D443" s="560"/>
      <c r="E443" s="561"/>
    </row>
    <row r="444" spans="1:5" x14ac:dyDescent="0.2">
      <c r="A444" s="560"/>
      <c r="B444" s="560"/>
      <c r="C444" s="560"/>
      <c r="D444" s="560"/>
      <c r="E444" s="561"/>
    </row>
    <row r="445" spans="1:5" x14ac:dyDescent="0.2">
      <c r="A445" s="560"/>
      <c r="B445" s="560"/>
      <c r="C445" s="560"/>
      <c r="D445" s="560"/>
      <c r="E445" s="561"/>
    </row>
    <row r="446" spans="1:5" x14ac:dyDescent="0.2">
      <c r="A446" s="560"/>
      <c r="B446" s="560"/>
      <c r="C446" s="560"/>
      <c r="D446" s="560"/>
      <c r="E446" s="561"/>
    </row>
    <row r="447" spans="1:5" x14ac:dyDescent="0.2">
      <c r="A447" s="560"/>
      <c r="B447" s="560"/>
      <c r="C447" s="560"/>
      <c r="D447" s="560"/>
      <c r="E447" s="561"/>
    </row>
    <row r="448" spans="1:5" x14ac:dyDescent="0.2">
      <c r="A448" s="560"/>
      <c r="B448" s="560"/>
      <c r="C448" s="560"/>
      <c r="D448" s="560"/>
      <c r="E448" s="561"/>
    </row>
    <row r="449" spans="1:5" x14ac:dyDescent="0.2">
      <c r="A449" s="560"/>
      <c r="B449" s="560"/>
      <c r="C449" s="560"/>
      <c r="D449" s="560"/>
      <c r="E449" s="561"/>
    </row>
    <row r="450" spans="1:5" x14ac:dyDescent="0.2">
      <c r="A450" s="560"/>
      <c r="B450" s="560"/>
      <c r="C450" s="560"/>
      <c r="D450" s="560"/>
      <c r="E450" s="561"/>
    </row>
    <row r="451" spans="1:5" x14ac:dyDescent="0.2">
      <c r="A451" s="560"/>
      <c r="B451" s="560"/>
      <c r="C451" s="560"/>
      <c r="D451" s="560"/>
      <c r="E451" s="561"/>
    </row>
    <row r="452" spans="1:5" x14ac:dyDescent="0.2">
      <c r="A452" s="560"/>
      <c r="B452" s="560"/>
      <c r="C452" s="560"/>
      <c r="D452" s="560"/>
      <c r="E452" s="561"/>
    </row>
    <row r="453" spans="1:5" x14ac:dyDescent="0.2">
      <c r="A453" s="560"/>
      <c r="B453" s="560"/>
      <c r="C453" s="560"/>
      <c r="D453" s="560"/>
      <c r="E453" s="561"/>
    </row>
    <row r="454" spans="1:5" x14ac:dyDescent="0.2">
      <c r="A454" s="563" t="s">
        <v>1046</v>
      </c>
      <c r="B454" s="563"/>
      <c r="C454" s="563"/>
      <c r="D454" s="563"/>
      <c r="E454" s="565">
        <f>((E428-E429-E430-E431-E432)+(E433+E434+E435+E436+E437+E438+E439+E440+E441))-((E442-E443-E444)+(E445+E446+E447))-((E448-E449-E450)+(E451+E452+E453))</f>
        <v>27805</v>
      </c>
    </row>
    <row r="455" spans="1:5" x14ac:dyDescent="0.2">
      <c r="A455" s="560" t="s">
        <v>1005</v>
      </c>
      <c r="B455" s="560" t="s">
        <v>1005</v>
      </c>
      <c r="C455" s="560">
        <v>3100</v>
      </c>
      <c r="D455" s="569" t="s">
        <v>1037</v>
      </c>
      <c r="E455" s="561">
        <f>SUMIFS('Accounting data'!$G$2:$G$37000,'Accounting data'!$J$2:$J$37000,"31*",'Accounting data'!$K$2:$K$37000,"63*")+SUMIFS('Accounting data'!$G$2:$G$37000,'Accounting data'!$J$2:$J$37000,"31*",'Accounting data'!$K$2:$K$37000,"64*")+SUMIFS('Accounting data'!$G$2:$G$37000,'Accounting data'!$J$2:$J$37000,"31*",'Accounting data'!$K$2:$K$37000,"65*")</f>
        <v>6</v>
      </c>
    </row>
    <row r="456" spans="1:5" x14ac:dyDescent="0.2">
      <c r="A456" s="560" t="s">
        <v>1006</v>
      </c>
      <c r="B456" s="560" t="s">
        <v>1005</v>
      </c>
      <c r="C456" s="560">
        <v>3100</v>
      </c>
      <c r="D456" s="560">
        <v>6300</v>
      </c>
      <c r="E456" s="561">
        <f>SUMIFS('Accounting data'!$G$2:$G$37000,'Accounting data'!$H$2:$H$37000,"9999*",'Accounting data'!$J$2:$J$37000,"31*",'Accounting data'!$K$2:$K$37000,"63*")</f>
        <v>0</v>
      </c>
    </row>
    <row r="457" spans="1:5" x14ac:dyDescent="0.2">
      <c r="A457" s="560" t="s">
        <v>1006</v>
      </c>
      <c r="B457" s="560" t="s">
        <v>1005</v>
      </c>
      <c r="C457" s="560">
        <v>3100</v>
      </c>
      <c r="D457" s="560">
        <v>6400</v>
      </c>
      <c r="E457" s="561">
        <f>SUMIFS('Accounting data'!$G$2:$G$37000,'Accounting data'!$H$2:$H$37000,"9999*",'Accounting data'!$J$2:$J$37000,"31*",'Accounting data'!$K$2:$K$37000,"64*")</f>
        <v>0</v>
      </c>
    </row>
    <row r="458" spans="1:5" x14ac:dyDescent="0.2">
      <c r="A458" s="560" t="s">
        <v>1006</v>
      </c>
      <c r="B458" s="560" t="s">
        <v>1005</v>
      </c>
      <c r="C458" s="560">
        <v>3100</v>
      </c>
      <c r="D458" s="560">
        <v>6500</v>
      </c>
      <c r="E458" s="561">
        <f>SUMIFS('Accounting data'!$G$2:$G$37000,'Accounting data'!$H$2:$H$37000,"9999*",'Accounting data'!$J$2:$J$37000,"31*",'Accounting data'!$K$2:$K$37000,"65*")</f>
        <v>0</v>
      </c>
    </row>
    <row r="459" spans="1:5" x14ac:dyDescent="0.2">
      <c r="A459" s="560" t="s">
        <v>1005</v>
      </c>
      <c r="B459" s="560" t="s">
        <v>1007</v>
      </c>
      <c r="C459" s="560">
        <v>3100</v>
      </c>
      <c r="D459" s="569" t="s">
        <v>1037</v>
      </c>
      <c r="E459" s="561">
        <f>SUMIFS('Accounting data'!$G$2:$G$37000,'Accounting data'!$I$2:$I$37000,"7*",'Accounting data'!$J$2:$J$37000,"31*",'Accounting data'!$K$2:$K$37000,"63*")+SUMIFS('Accounting data'!$G$2:$G$37000,'Accounting data'!$I$2:$I$37000,"8*",'Accounting data'!$J$2:$J$37000,"31*",'Accounting data'!$K$2:$K$37000,"63*")+SUMIFS('Accounting data'!$G$2:$G$37000,'Accounting data'!$I$2:$I$37000,"9*",'Accounting data'!$J$2:$J$37000,"31*",'Accounting data'!$K$2:$K$37000,"63*")+SUMIFS('Accounting data'!$G$2:$G$37000,'Accounting data'!$I$2:$I$37000,"7*",'Accounting data'!$J$2:$J$37000,"31*",'Accounting data'!$K$2:$K$37000,"64*")+SUMIFS('Accounting data'!$G$2:$G$37000,'Accounting data'!$I$2:$I$37000,"8*",'Accounting data'!$J$2:$J$37000,"31*",'Accounting data'!$K$2:$K$37000,"64*")+SUMIFS('Accounting data'!$G$2:$G$37000,'Accounting data'!$I$2:$I$37000,"9*",'Accounting data'!$J$2:$J$37000,"31*",'Accounting data'!$K$2:$K$37000,"64*")+SUMIFS('Accounting data'!$G$2:$G$37000,'Accounting data'!$I$2:$I$37000,"7*",'Accounting data'!$J$2:$J$37000,"31*",'Accounting data'!$K$2:$K$37000,"65*")+SUMIFS('Accounting data'!$G$2:$G$37000,'Accounting data'!$I$2:$I$37000,"8*",'Accounting data'!$J$2:$J$37000,"31*",'Accounting data'!$K$2:$K$37000,"65*")+SUMIFS('Accounting data'!$G$2:$G$37000,'Accounting data'!$I$2:$I$37000,"9*",'Accounting data'!$J$2:$J$37000,"31*",'Accounting data'!$K$2:$K$37000,"65*")</f>
        <v>0</v>
      </c>
    </row>
    <row r="460" spans="1:5" x14ac:dyDescent="0.2">
      <c r="A460" s="562" t="s">
        <v>1006</v>
      </c>
      <c r="B460" s="560" t="s">
        <v>1007</v>
      </c>
      <c r="C460" s="560">
        <v>3100</v>
      </c>
      <c r="D460" s="560">
        <v>6300</v>
      </c>
      <c r="E460" s="561">
        <f>SUMIFS('Accounting data'!$G$2:$G$37000,'Accounting data'!$H$2:$H$37000,"9999*",'Accounting data'!$I$2:$I$37000,"7*",'Accounting data'!$J$2:$J$37000,"31*",'Accounting data'!$K$2:$K$37000,"63*")+SUMIFS('Accounting data'!$G$2:$G$37000,'Accounting data'!$H$2:$H$37000,"9999*",'Accounting data'!$I$2:$I$37000,"8*",'Accounting data'!$J$2:$J$37000,"31*",'Accounting data'!$K$2:$K$37000,"63*")+SUMIFS('Accounting data'!$G$2:$G$37000,'Accounting data'!$H$2:$H$37000,"9999*",'Accounting data'!$I$2:$I$37000,"9*",'Accounting data'!$J$2:$J$37000,"31*",'Accounting data'!$K$2:$K$37000,"63*")</f>
        <v>0</v>
      </c>
    </row>
    <row r="461" spans="1:5" x14ac:dyDescent="0.2">
      <c r="A461" s="562" t="s">
        <v>1006</v>
      </c>
      <c r="B461" s="560" t="s">
        <v>1007</v>
      </c>
      <c r="C461" s="560">
        <v>3100</v>
      </c>
      <c r="D461" s="560">
        <v>6400</v>
      </c>
      <c r="E461" s="561">
        <f>SUMIFS('Accounting data'!$G$2:$G$37000,'Accounting data'!$H$2:$H$37000,"9999*",'Accounting data'!$I$2:$I$37000,"7*",'Accounting data'!$J$2:$J$37000,"31*",'Accounting data'!$K$2:$K$37000,"64*")+SUMIFS('Accounting data'!$G$2:$G$37000,'Accounting data'!$H$2:$H$37000,"9999*",'Accounting data'!$I$2:$I$37000,"8*",'Accounting data'!$J$2:$J$37000,"31*",'Accounting data'!$K$2:$K$37000,"64*")+SUMIFS('Accounting data'!$G$2:$G$37000,'Accounting data'!$H$2:$H$37000,"9999*",'Accounting data'!$I$2:$I$37000,"9*",'Accounting data'!$J$2:$J$37000,"31*",'Accounting data'!$K$2:$K$37000,"64*")</f>
        <v>0</v>
      </c>
    </row>
    <row r="462" spans="1:5" x14ac:dyDescent="0.2">
      <c r="A462" s="562" t="s">
        <v>1006</v>
      </c>
      <c r="B462" s="560" t="s">
        <v>1007</v>
      </c>
      <c r="C462" s="560">
        <v>3100</v>
      </c>
      <c r="D462" s="560">
        <v>6500</v>
      </c>
      <c r="E462" s="561">
        <f>SUMIFS('Accounting data'!$G$2:$G$37000,'Accounting data'!$H$2:$H$37000,"9999*",'Accounting data'!$I$2:$I$37000,"7*",'Accounting data'!$J$2:$J$37000,"31*",'Accounting data'!$K$2:$K$37000,"65*")+SUMIFS('Accounting data'!$G$2:$G$37000,'Accounting data'!$H$2:$H$37000,"9999*",'Accounting data'!$I$2:$I$37000,"8*",'Accounting data'!$J$2:$J$37000,"31*",'Accounting data'!$K$2:$K$37000,"65*")+SUMIFS('Accounting data'!$G$2:$G$37000,'Accounting data'!$H$2:$H$37000,"9999*",'Accounting data'!$I$2:$I$37000,"9*",'Accounting data'!$J$2:$J$37000,"31*",'Accounting data'!$K$2:$K$37000,"65*")</f>
        <v>0</v>
      </c>
    </row>
    <row r="463" spans="1:5" x14ac:dyDescent="0.2">
      <c r="A463" s="560"/>
      <c r="B463" s="560"/>
      <c r="C463" s="560"/>
      <c r="D463" s="560"/>
      <c r="E463" s="561"/>
    </row>
    <row r="464" spans="1:5" x14ac:dyDescent="0.2">
      <c r="A464" s="560"/>
      <c r="B464" s="560"/>
      <c r="C464" s="560"/>
      <c r="D464" s="560"/>
      <c r="E464" s="561"/>
    </row>
    <row r="465" spans="1:5" x14ac:dyDescent="0.2">
      <c r="A465" s="560"/>
      <c r="B465" s="560"/>
      <c r="C465" s="560"/>
      <c r="D465" s="560"/>
      <c r="E465" s="561"/>
    </row>
    <row r="466" spans="1:5" x14ac:dyDescent="0.2">
      <c r="A466" s="560"/>
      <c r="B466" s="560"/>
      <c r="C466" s="560"/>
      <c r="D466" s="560"/>
      <c r="E466" s="561"/>
    </row>
    <row r="467" spans="1:5" x14ac:dyDescent="0.2">
      <c r="A467" s="560"/>
      <c r="B467" s="560"/>
      <c r="C467" s="560"/>
      <c r="D467" s="560"/>
      <c r="E467" s="561"/>
    </row>
    <row r="468" spans="1:5" x14ac:dyDescent="0.2">
      <c r="A468" s="560"/>
      <c r="B468" s="560"/>
      <c r="C468" s="560"/>
      <c r="D468" s="560"/>
      <c r="E468" s="561"/>
    </row>
    <row r="469" spans="1:5" x14ac:dyDescent="0.2">
      <c r="A469" s="560"/>
      <c r="B469" s="560"/>
      <c r="C469" s="560"/>
      <c r="D469" s="560"/>
      <c r="E469" s="561"/>
    </row>
    <row r="470" spans="1:5" x14ac:dyDescent="0.2">
      <c r="A470" s="560"/>
      <c r="B470" s="560"/>
      <c r="C470" s="560"/>
      <c r="D470" s="560"/>
      <c r="E470" s="561"/>
    </row>
    <row r="471" spans="1:5" x14ac:dyDescent="0.2">
      <c r="A471" s="560"/>
      <c r="B471" s="560"/>
      <c r="C471" s="560"/>
      <c r="D471" s="560"/>
      <c r="E471" s="561"/>
    </row>
    <row r="472" spans="1:5" x14ac:dyDescent="0.2">
      <c r="A472" s="562"/>
      <c r="B472" s="560"/>
      <c r="C472" s="560"/>
      <c r="D472" s="560"/>
      <c r="E472" s="561"/>
    </row>
    <row r="473" spans="1:5" x14ac:dyDescent="0.2">
      <c r="A473" s="560"/>
      <c r="B473" s="560"/>
      <c r="C473" s="560"/>
      <c r="D473" s="560"/>
      <c r="E473" s="561"/>
    </row>
    <row r="474" spans="1:5" x14ac:dyDescent="0.2">
      <c r="A474" s="560"/>
      <c r="B474" s="560"/>
      <c r="C474" s="560"/>
      <c r="D474" s="560"/>
      <c r="E474" s="561"/>
    </row>
    <row r="475" spans="1:5" x14ac:dyDescent="0.2">
      <c r="A475" s="560"/>
      <c r="B475" s="560"/>
      <c r="C475" s="560"/>
      <c r="D475" s="560"/>
      <c r="E475" s="561"/>
    </row>
    <row r="476" spans="1:5" x14ac:dyDescent="0.2">
      <c r="A476" s="560"/>
      <c r="B476" s="560"/>
      <c r="C476" s="560"/>
      <c r="D476" s="560"/>
      <c r="E476" s="561"/>
    </row>
    <row r="477" spans="1:5" x14ac:dyDescent="0.2">
      <c r="A477" s="560"/>
      <c r="B477" s="560"/>
      <c r="C477" s="560"/>
      <c r="D477" s="560"/>
      <c r="E477" s="561"/>
    </row>
    <row r="478" spans="1:5" x14ac:dyDescent="0.2">
      <c r="A478" s="562"/>
      <c r="B478" s="560"/>
      <c r="C478" s="560"/>
      <c r="D478" s="560"/>
      <c r="E478" s="561"/>
    </row>
    <row r="479" spans="1:5" x14ac:dyDescent="0.2">
      <c r="A479" s="560"/>
      <c r="B479" s="560"/>
      <c r="C479" s="560"/>
      <c r="D479" s="560"/>
      <c r="E479" s="561"/>
    </row>
    <row r="480" spans="1:5" x14ac:dyDescent="0.2">
      <c r="A480" s="560"/>
      <c r="B480" s="560"/>
      <c r="C480" s="560"/>
      <c r="D480" s="560"/>
      <c r="E480" s="561"/>
    </row>
    <row r="481" spans="1:5" x14ac:dyDescent="0.2">
      <c r="A481" s="563" t="s">
        <v>1047</v>
      </c>
      <c r="B481" s="563"/>
      <c r="C481" s="563"/>
      <c r="D481" s="563"/>
      <c r="E481" s="565">
        <f>((E455-E456-E457-E458-E459)+(E460+E461+E462+E463+E464+E465+E466+E467+E468))-((E469-E470-E471)+(E472+E473+E474))-((E475-E476-E477)+(E478+E479+E480))</f>
        <v>6</v>
      </c>
    </row>
    <row r="482" spans="1:5" x14ac:dyDescent="0.2">
      <c r="A482" s="560"/>
      <c r="B482" s="560"/>
      <c r="C482" s="560"/>
      <c r="D482" s="569"/>
      <c r="E482" s="561"/>
    </row>
    <row r="483" spans="1:5" x14ac:dyDescent="0.2">
      <c r="A483" s="560"/>
      <c r="B483" s="560"/>
      <c r="C483" s="560"/>
      <c r="D483" s="560"/>
      <c r="E483" s="561"/>
    </row>
    <row r="484" spans="1:5" x14ac:dyDescent="0.2">
      <c r="A484" s="560"/>
      <c r="B484" s="560"/>
      <c r="C484" s="560"/>
      <c r="D484" s="560"/>
      <c r="E484" s="561"/>
    </row>
    <row r="485" spans="1:5" x14ac:dyDescent="0.2">
      <c r="A485" s="560"/>
      <c r="B485" s="560"/>
      <c r="C485" s="560"/>
      <c r="D485" s="560"/>
      <c r="E485" s="561"/>
    </row>
    <row r="486" spans="1:5" x14ac:dyDescent="0.2">
      <c r="A486" s="560"/>
      <c r="B486" s="560"/>
      <c r="C486" s="560"/>
      <c r="D486" s="569"/>
      <c r="E486" s="561"/>
    </row>
    <row r="487" spans="1:5" x14ac:dyDescent="0.2">
      <c r="A487" s="562"/>
      <c r="B487" s="560"/>
      <c r="C487" s="560"/>
      <c r="D487" s="560"/>
      <c r="E487" s="561"/>
    </row>
    <row r="488" spans="1:5" x14ac:dyDescent="0.2">
      <c r="A488" s="562"/>
      <c r="B488" s="560"/>
      <c r="C488" s="560"/>
      <c r="D488" s="560"/>
      <c r="E488" s="561"/>
    </row>
    <row r="489" spans="1:5" x14ac:dyDescent="0.2">
      <c r="A489" s="562"/>
      <c r="B489" s="560"/>
      <c r="C489" s="560"/>
      <c r="D489" s="560"/>
      <c r="E489" s="561"/>
    </row>
    <row r="490" spans="1:5" x14ac:dyDescent="0.2">
      <c r="A490" s="560"/>
      <c r="B490" s="560"/>
      <c r="C490" s="560"/>
      <c r="D490" s="560"/>
      <c r="E490" s="561"/>
    </row>
    <row r="491" spans="1:5" x14ac:dyDescent="0.2">
      <c r="A491" s="560"/>
      <c r="B491" s="560"/>
      <c r="C491" s="560"/>
      <c r="D491" s="560"/>
      <c r="E491" s="561"/>
    </row>
    <row r="492" spans="1:5" x14ac:dyDescent="0.2">
      <c r="A492" s="560"/>
      <c r="B492" s="560"/>
      <c r="C492" s="560"/>
      <c r="D492" s="560"/>
      <c r="E492" s="561"/>
    </row>
    <row r="493" spans="1:5" x14ac:dyDescent="0.2">
      <c r="A493" s="560"/>
      <c r="B493" s="560"/>
      <c r="C493" s="560"/>
      <c r="D493" s="560"/>
      <c r="E493" s="561"/>
    </row>
    <row r="494" spans="1:5" x14ac:dyDescent="0.2">
      <c r="A494" s="560"/>
      <c r="B494" s="560"/>
      <c r="C494" s="560"/>
      <c r="D494" s="560"/>
      <c r="E494" s="561"/>
    </row>
    <row r="495" spans="1:5" x14ac:dyDescent="0.2">
      <c r="A495" s="560"/>
      <c r="B495" s="560"/>
      <c r="C495" s="560"/>
      <c r="D495" s="560"/>
      <c r="E495" s="561"/>
    </row>
    <row r="496" spans="1:5" x14ac:dyDescent="0.2">
      <c r="A496" s="560"/>
      <c r="B496" s="560"/>
      <c r="C496" s="560"/>
      <c r="D496" s="560"/>
      <c r="E496" s="561"/>
    </row>
    <row r="497" spans="1:5" x14ac:dyDescent="0.2">
      <c r="A497" s="560"/>
      <c r="B497" s="560"/>
      <c r="C497" s="560"/>
      <c r="D497" s="560"/>
      <c r="E497" s="561"/>
    </row>
    <row r="498" spans="1:5" x14ac:dyDescent="0.2">
      <c r="A498" s="560"/>
      <c r="B498" s="560"/>
      <c r="C498" s="560"/>
      <c r="D498" s="560"/>
      <c r="E498" s="561"/>
    </row>
    <row r="499" spans="1:5" x14ac:dyDescent="0.2">
      <c r="A499" s="562"/>
      <c r="B499" s="560"/>
      <c r="C499" s="560"/>
      <c r="D499" s="560"/>
      <c r="E499" s="561"/>
    </row>
    <row r="500" spans="1:5" x14ac:dyDescent="0.2">
      <c r="A500" s="560"/>
      <c r="B500" s="560"/>
      <c r="C500" s="560"/>
      <c r="D500" s="560"/>
      <c r="E500" s="561"/>
    </row>
    <row r="501" spans="1:5" x14ac:dyDescent="0.2">
      <c r="A501" s="560"/>
      <c r="B501" s="560"/>
      <c r="C501" s="560"/>
      <c r="D501" s="560"/>
      <c r="E501" s="561"/>
    </row>
    <row r="502" spans="1:5" x14ac:dyDescent="0.2">
      <c r="A502" s="560"/>
      <c r="B502" s="560"/>
      <c r="C502" s="560"/>
      <c r="D502" s="560"/>
      <c r="E502" s="561"/>
    </row>
    <row r="503" spans="1:5" x14ac:dyDescent="0.2">
      <c r="A503" s="560"/>
      <c r="B503" s="560"/>
      <c r="C503" s="560"/>
      <c r="D503" s="560"/>
      <c r="E503" s="561"/>
    </row>
    <row r="504" spans="1:5" x14ac:dyDescent="0.2">
      <c r="A504" s="560"/>
      <c r="B504" s="560"/>
      <c r="C504" s="560"/>
      <c r="D504" s="560"/>
      <c r="E504" s="561"/>
    </row>
    <row r="505" spans="1:5" x14ac:dyDescent="0.2">
      <c r="A505" s="562"/>
      <c r="B505" s="560"/>
      <c r="C505" s="560"/>
      <c r="D505" s="560"/>
      <c r="E505" s="561"/>
    </row>
    <row r="506" spans="1:5" x14ac:dyDescent="0.2">
      <c r="A506" s="560"/>
      <c r="B506" s="560"/>
      <c r="C506" s="560"/>
      <c r="D506" s="560"/>
      <c r="E506" s="561"/>
    </row>
    <row r="507" spans="1:5" x14ac:dyDescent="0.2">
      <c r="A507" s="560"/>
      <c r="B507" s="560"/>
      <c r="C507" s="560"/>
      <c r="D507" s="560"/>
      <c r="E507" s="561"/>
    </row>
    <row r="508" spans="1:5" x14ac:dyDescent="0.2">
      <c r="A508" s="563"/>
      <c r="B508" s="563"/>
      <c r="C508" s="563"/>
      <c r="D508" s="563"/>
      <c r="E508" s="565"/>
    </row>
    <row r="509" spans="1:5" x14ac:dyDescent="0.2">
      <c r="A509" s="560" t="s">
        <v>1005</v>
      </c>
      <c r="B509" s="560" t="s">
        <v>1005</v>
      </c>
      <c r="C509" s="560">
        <v>3400</v>
      </c>
      <c r="D509" s="569" t="s">
        <v>1037</v>
      </c>
      <c r="E509" s="561">
        <f>SUMIFS('Accounting data'!$G$2:$G$37000,'Accounting data'!$J$2:$J$37000,"34*",'Accounting data'!$K$2:$K$37000,"63*")+SUMIFS('Accounting data'!$G$2:$G$37000,'Accounting data'!$J$2:$J$37000,"34*",'Accounting data'!$K$2:$K$37000,"64*")+SUMIFS('Accounting data'!$G$2:$G$37000,'Accounting data'!$J$2:$J$37000,"34*",'Accounting data'!$K$2:$K$37000,"65*")</f>
        <v>0</v>
      </c>
    </row>
    <row r="510" spans="1:5" x14ac:dyDescent="0.2">
      <c r="A510" s="560" t="s">
        <v>1006</v>
      </c>
      <c r="B510" s="560" t="s">
        <v>1005</v>
      </c>
      <c r="C510" s="560">
        <v>3400</v>
      </c>
      <c r="D510" s="560">
        <v>6300</v>
      </c>
      <c r="E510" s="561">
        <f>SUMIFS('Accounting data'!$G$2:$G$37000,'Accounting data'!$H$2:$H$37000,"9999*",'Accounting data'!$J$2:$J$37000,"34*",'Accounting data'!$K$2:$K$37000,"63*")</f>
        <v>0</v>
      </c>
    </row>
    <row r="511" spans="1:5" x14ac:dyDescent="0.2">
      <c r="A511" s="560" t="s">
        <v>1006</v>
      </c>
      <c r="B511" s="560" t="s">
        <v>1005</v>
      </c>
      <c r="C511" s="560">
        <v>3400</v>
      </c>
      <c r="D511" s="560">
        <v>6400</v>
      </c>
      <c r="E511" s="561">
        <f>SUMIFS('Accounting data'!$G$2:$G$37000,'Accounting data'!$H$2:$H$37000,"9999*",'Accounting data'!$J$2:$J$37000,"34*",'Accounting data'!$K$2:$K$37000,"64*")</f>
        <v>0</v>
      </c>
    </row>
    <row r="512" spans="1:5" x14ac:dyDescent="0.2">
      <c r="A512" s="560" t="s">
        <v>1006</v>
      </c>
      <c r="B512" s="560" t="s">
        <v>1005</v>
      </c>
      <c r="C512" s="560">
        <v>3400</v>
      </c>
      <c r="D512" s="560">
        <v>6500</v>
      </c>
      <c r="E512" s="561">
        <f>SUMIFS('Accounting data'!$G$2:$G$37000,'Accounting data'!$H$2:$H$37000,"9999*",'Accounting data'!$J$2:$J$37000,"34*",'Accounting data'!$K$2:$K$37000,"65*")</f>
        <v>0</v>
      </c>
    </row>
    <row r="513" spans="1:5" x14ac:dyDescent="0.2">
      <c r="A513" s="560" t="s">
        <v>1005</v>
      </c>
      <c r="B513" s="560" t="s">
        <v>1007</v>
      </c>
      <c r="C513" s="560">
        <v>3400</v>
      </c>
      <c r="D513" s="569" t="s">
        <v>1037</v>
      </c>
      <c r="E513" s="561">
        <f>SUMIFS('Accounting data'!$G$2:$G$37000,'Accounting data'!$I$2:$I$37000,"7*",'Accounting data'!$J$2:$J$37000,"34*",'Accounting data'!$K$2:$K$37000,"63*")+SUMIFS('Accounting data'!$G$2:$G$37000,'Accounting data'!$I$2:$I$37000,"8*",'Accounting data'!$J$2:$J$37000,"34*",'Accounting data'!$K$2:$K$37000,"63*")+SUMIFS('Accounting data'!$G$2:$G$37000,'Accounting data'!$I$2:$I$37000,"9*",'Accounting data'!$J$2:$J$37000,"34*",'Accounting data'!$K$2:$K$37000,"63*")+SUMIFS('Accounting data'!$G$2:$G$37000,'Accounting data'!$I$2:$I$37000,"7*",'Accounting data'!$J$2:$J$37000,"34*",'Accounting data'!$K$2:$K$37000,"64*")+SUMIFS('Accounting data'!$G$2:$G$37000,'Accounting data'!$I$2:$I$37000,"8*",'Accounting data'!$J$2:$J$37000,"34*",'Accounting data'!$K$2:$K$37000,"64*")+SUMIFS('Accounting data'!$G$2:$G$37000,'Accounting data'!$I$2:$I$37000,"9*",'Accounting data'!$J$2:$J$37000,"34*",'Accounting data'!$K$2:$K$37000,"64*")+SUMIFS('Accounting data'!$G$2:$G$37000,'Accounting data'!$I$2:$I$37000,"7*",'Accounting data'!$J$2:$J$37000,"34*",'Accounting data'!$K$2:$K$37000,"65*")+SUMIFS('Accounting data'!$G$2:$G$37000,'Accounting data'!$I$2:$I$37000,"8*",'Accounting data'!$J$2:$J$37000,"34*",'Accounting data'!$K$2:$K$37000,"65*")+SUMIFS('Accounting data'!$G$2:$G$37000,'Accounting data'!$I$2:$I$37000,"9*",'Accounting data'!$J$2:$J$37000,"34*",'Accounting data'!$K$2:$K$37000,"65*")</f>
        <v>0</v>
      </c>
    </row>
    <row r="514" spans="1:5" x14ac:dyDescent="0.2">
      <c r="A514" s="562" t="s">
        <v>1006</v>
      </c>
      <c r="B514" s="560" t="s">
        <v>1007</v>
      </c>
      <c r="C514" s="560">
        <v>3400</v>
      </c>
      <c r="D514" s="560">
        <v>6300</v>
      </c>
      <c r="E514" s="561">
        <f>SUMIFS('Accounting data'!$G$2:$G$37000,'Accounting data'!$H$2:$H$37000,"9999*",'Accounting data'!$I$2:$I$37000,"7*",'Accounting data'!$J$2:$J$37000,"34*",'Accounting data'!$K$2:$K$37000,"63*")+SUMIFS('Accounting data'!$G$2:$G$37000,'Accounting data'!$H$2:$H$37000,"9999*",'Accounting data'!$I$2:$I$37000,"8*",'Accounting data'!$J$2:$J$37000,"34*",'Accounting data'!$K$2:$K$37000,"63*")+SUMIFS('Accounting data'!$G$2:$G$37000,'Accounting data'!$H$2:$H$37000,"9999*",'Accounting data'!$I$2:$I$37000,"9*",'Accounting data'!$J$2:$J$37000,"34*",'Accounting data'!$K$2:$K$37000,"63*")</f>
        <v>0</v>
      </c>
    </row>
    <row r="515" spans="1:5" x14ac:dyDescent="0.2">
      <c r="A515" s="562" t="s">
        <v>1006</v>
      </c>
      <c r="B515" s="560" t="s">
        <v>1007</v>
      </c>
      <c r="C515" s="560">
        <v>3400</v>
      </c>
      <c r="D515" s="560">
        <v>6400</v>
      </c>
      <c r="E515" s="561">
        <f>SUMIFS('Accounting data'!$G$2:$G$37000,'Accounting data'!$H$2:$H$37000,"9999*",'Accounting data'!$I$2:$I$37000,"7*",'Accounting data'!$J$2:$J$37000,"34*",'Accounting data'!$K$2:$K$37000,"64*")+SUMIFS('Accounting data'!$G$2:$G$37000,'Accounting data'!$H$2:$H$37000,"9999*",'Accounting data'!$I$2:$I$37000,"8*",'Accounting data'!$J$2:$J$37000,"34*",'Accounting data'!$K$2:$K$37000,"64*")+SUMIFS('Accounting data'!$G$2:$G$37000,'Accounting data'!$H$2:$H$37000,"9999*",'Accounting data'!$I$2:$I$37000,"9*",'Accounting data'!$J$2:$J$37000,"34*",'Accounting data'!$K$2:$K$37000,"64*")</f>
        <v>0</v>
      </c>
    </row>
    <row r="516" spans="1:5" x14ac:dyDescent="0.2">
      <c r="A516" s="562" t="s">
        <v>1006</v>
      </c>
      <c r="B516" s="560" t="s">
        <v>1007</v>
      </c>
      <c r="C516" s="560">
        <v>3400</v>
      </c>
      <c r="D516" s="560">
        <v>6500</v>
      </c>
      <c r="E516" s="561">
        <f>SUMIFS('Accounting data'!$G$2:$G$37000,'Accounting data'!$H$2:$H$37000,"9999*",'Accounting data'!$I$2:$I$37000,"7*",'Accounting data'!$J$2:$J$37000,"34*",'Accounting data'!$K$2:$K$37000,"65*")+SUMIFS('Accounting data'!$G$2:$G$37000,'Accounting data'!$H$2:$H$37000,"9999*",'Accounting data'!$I$2:$I$37000,"8*",'Accounting data'!$J$2:$J$37000,"34*",'Accounting data'!$K$2:$K$37000,"65*")+SUMIFS('Accounting data'!$G$2:$G$37000,'Accounting data'!$H$2:$H$37000,"9999*",'Accounting data'!$I$2:$I$37000,"9*",'Accounting data'!$J$2:$J$37000,"34*",'Accounting data'!$K$2:$K$37000,"65*")</f>
        <v>0</v>
      </c>
    </row>
    <row r="517" spans="1:5" x14ac:dyDescent="0.2">
      <c r="A517" s="560"/>
      <c r="B517" s="560"/>
      <c r="C517" s="560"/>
      <c r="D517" s="560"/>
      <c r="E517" s="561"/>
    </row>
    <row r="518" spans="1:5" x14ac:dyDescent="0.2">
      <c r="A518" s="560"/>
      <c r="B518" s="560"/>
      <c r="C518" s="560"/>
      <c r="D518" s="560"/>
      <c r="E518" s="561"/>
    </row>
    <row r="519" spans="1:5" x14ac:dyDescent="0.2">
      <c r="A519" s="560"/>
      <c r="B519" s="560"/>
      <c r="C519" s="560"/>
      <c r="D519" s="560"/>
      <c r="E519" s="561"/>
    </row>
    <row r="520" spans="1:5" x14ac:dyDescent="0.2">
      <c r="A520" s="560"/>
      <c r="B520" s="560"/>
      <c r="C520" s="560"/>
      <c r="D520" s="560"/>
      <c r="E520" s="561"/>
    </row>
    <row r="521" spans="1:5" x14ac:dyDescent="0.2">
      <c r="A521" s="560"/>
      <c r="B521" s="560"/>
      <c r="C521" s="560"/>
      <c r="D521" s="560"/>
      <c r="E521" s="561"/>
    </row>
    <row r="522" spans="1:5" x14ac:dyDescent="0.2">
      <c r="A522" s="560"/>
      <c r="B522" s="560"/>
      <c r="C522" s="560"/>
      <c r="D522" s="560"/>
      <c r="E522" s="561"/>
    </row>
    <row r="523" spans="1:5" x14ac:dyDescent="0.2">
      <c r="A523" s="560"/>
      <c r="B523" s="560"/>
      <c r="C523" s="560"/>
      <c r="D523" s="560"/>
      <c r="E523" s="561"/>
    </row>
    <row r="524" spans="1:5" x14ac:dyDescent="0.2">
      <c r="A524" s="560"/>
      <c r="B524" s="560"/>
      <c r="C524" s="560"/>
      <c r="D524" s="560"/>
      <c r="E524" s="561"/>
    </row>
    <row r="525" spans="1:5" x14ac:dyDescent="0.2">
      <c r="A525" s="560"/>
      <c r="B525" s="560"/>
      <c r="C525" s="560"/>
      <c r="D525" s="560"/>
      <c r="E525" s="561"/>
    </row>
    <row r="526" spans="1:5" x14ac:dyDescent="0.2">
      <c r="A526" s="562"/>
      <c r="B526" s="560"/>
      <c r="C526" s="560"/>
      <c r="D526" s="560"/>
      <c r="E526" s="561"/>
    </row>
    <row r="527" spans="1:5" x14ac:dyDescent="0.2">
      <c r="A527" s="560"/>
      <c r="B527" s="560"/>
      <c r="C527" s="560"/>
      <c r="D527" s="560"/>
      <c r="E527" s="561"/>
    </row>
    <row r="528" spans="1:5" x14ac:dyDescent="0.2">
      <c r="A528" s="560"/>
      <c r="B528" s="560"/>
      <c r="C528" s="560"/>
      <c r="D528" s="560"/>
      <c r="E528" s="561"/>
    </row>
    <row r="529" spans="1:5" x14ac:dyDescent="0.2">
      <c r="A529" s="560"/>
      <c r="B529" s="560"/>
      <c r="C529" s="560"/>
      <c r="D529" s="560"/>
      <c r="E529" s="561"/>
    </row>
    <row r="530" spans="1:5" x14ac:dyDescent="0.2">
      <c r="A530" s="560"/>
      <c r="B530" s="560"/>
      <c r="C530" s="560"/>
      <c r="D530" s="560"/>
      <c r="E530" s="561"/>
    </row>
    <row r="531" spans="1:5" x14ac:dyDescent="0.2">
      <c r="A531" s="560"/>
      <c r="B531" s="560"/>
      <c r="C531" s="560"/>
      <c r="D531" s="560"/>
      <c r="E531" s="561"/>
    </row>
    <row r="532" spans="1:5" x14ac:dyDescent="0.2">
      <c r="A532" s="562"/>
      <c r="B532" s="560"/>
      <c r="C532" s="560"/>
      <c r="D532" s="560"/>
      <c r="E532" s="561"/>
    </row>
    <row r="533" spans="1:5" x14ac:dyDescent="0.2">
      <c r="A533" s="560"/>
      <c r="B533" s="560"/>
      <c r="C533" s="560"/>
      <c r="D533" s="560"/>
      <c r="E533" s="561"/>
    </row>
    <row r="534" spans="1:5" x14ac:dyDescent="0.2">
      <c r="A534" s="560"/>
      <c r="B534" s="560"/>
      <c r="C534" s="560"/>
      <c r="D534" s="560"/>
      <c r="E534" s="561"/>
    </row>
    <row r="535" spans="1:5" x14ac:dyDescent="0.2">
      <c r="A535" s="563" t="s">
        <v>1048</v>
      </c>
      <c r="B535" s="563"/>
      <c r="C535" s="563"/>
      <c r="D535" s="563"/>
      <c r="E535" s="565">
        <f>((E509-E510-E511-E512-E513)+(E514+E515+E516+E517+E518+E519+E520+E521+E522))-((E523-E524-E525)+(E526+E527+E528))-((E529-E530-E531)+(E532+E533+E534))</f>
        <v>0</v>
      </c>
    </row>
    <row r="536" spans="1:5" x14ac:dyDescent="0.2">
      <c r="A536" s="560" t="s">
        <v>1005</v>
      </c>
      <c r="B536" s="560" t="s">
        <v>1005</v>
      </c>
      <c r="C536" s="560">
        <v>4000</v>
      </c>
      <c r="D536" s="569" t="s">
        <v>1037</v>
      </c>
      <c r="E536" s="561">
        <f>SUMIFS('Accounting data'!$G$2:$G$37000,'Accounting data'!$J$2:$J$37000,"4*",'Accounting data'!$K$2:$K$37000,"63*")+SUMIFS('Accounting data'!$G$2:$G$37000,'Accounting data'!$J$2:$J$37000,"4*",'Accounting data'!$K$2:$K$37000,"64*")+SUMIFS('Accounting data'!$G$2:$G$37000,'Accounting data'!$J$2:$J$37000,"4*",'Accounting data'!$K$2:$K$37000,"65*")</f>
        <v>0</v>
      </c>
    </row>
    <row r="537" spans="1:5" x14ac:dyDescent="0.2">
      <c r="A537" s="560" t="s">
        <v>1006</v>
      </c>
      <c r="B537" s="560" t="s">
        <v>1005</v>
      </c>
      <c r="C537" s="560">
        <v>4000</v>
      </c>
      <c r="D537" s="560">
        <v>6300</v>
      </c>
      <c r="E537" s="561">
        <f>SUMIFS('Accounting data'!$G$2:$G$37000,'Accounting data'!$H$2:$H$37000,"9999*",'Accounting data'!$J$2:$J$37000,"4*",'Accounting data'!$K$2:$K$37000,"63*")</f>
        <v>0</v>
      </c>
    </row>
    <row r="538" spans="1:5" x14ac:dyDescent="0.2">
      <c r="A538" s="560" t="s">
        <v>1006</v>
      </c>
      <c r="B538" s="560" t="s">
        <v>1005</v>
      </c>
      <c r="C538" s="560">
        <v>4000</v>
      </c>
      <c r="D538" s="560">
        <v>6400</v>
      </c>
      <c r="E538" s="561">
        <f>SUMIFS('Accounting data'!$G$2:$G$37000,'Accounting data'!$H$2:$H$37000,"9999*",'Accounting data'!$J$2:$J$37000,"4*",'Accounting data'!$K$2:$K$37000,"64*")</f>
        <v>0</v>
      </c>
    </row>
    <row r="539" spans="1:5" x14ac:dyDescent="0.2">
      <c r="A539" s="560" t="s">
        <v>1006</v>
      </c>
      <c r="B539" s="560" t="s">
        <v>1005</v>
      </c>
      <c r="C539" s="560">
        <v>4000</v>
      </c>
      <c r="D539" s="560">
        <v>6500</v>
      </c>
      <c r="E539" s="561">
        <f>SUMIFS('Accounting data'!$G$2:$G$37000,'Accounting data'!$H$2:$H$37000,"9999*",'Accounting data'!$J$2:$J$37000,"4*",'Accounting data'!$K$2:$K$37000,"65*")</f>
        <v>0</v>
      </c>
    </row>
    <row r="540" spans="1:5" x14ac:dyDescent="0.2">
      <c r="A540" s="560" t="s">
        <v>1005</v>
      </c>
      <c r="B540" s="560" t="s">
        <v>1007</v>
      </c>
      <c r="C540" s="560">
        <v>4000</v>
      </c>
      <c r="D540" s="569" t="s">
        <v>1037</v>
      </c>
      <c r="E540" s="561">
        <f>SUMIFS('Accounting data'!$G$2:$G$37000,'Accounting data'!$I$2:$I$37000,"7*",'Accounting data'!$J$2:$J$37000,"4*",'Accounting data'!$K$2:$K$37000,"63*")+SUMIFS('Accounting data'!$G$2:$G$37000,'Accounting data'!$I$2:$I$37000,"8*",'Accounting data'!$J$2:$J$37000,"4*",'Accounting data'!$K$2:$K$37000,"63*")+SUMIFS('Accounting data'!$G$2:$G$37000,'Accounting data'!$I$2:$I$37000,"9*",'Accounting data'!$J$2:$J$37000,"4*",'Accounting data'!$K$2:$K$37000,"63*")+SUMIFS('Accounting data'!$G$2:$G$37000,'Accounting data'!$I$2:$I$37000,"7*",'Accounting data'!$J$2:$J$37000,"4*",'Accounting data'!$K$2:$K$37000,"64*")+SUMIFS('Accounting data'!$G$2:$G$37000,'Accounting data'!$I$2:$I$37000,"8*",'Accounting data'!$J$2:$J$37000,"4*",'Accounting data'!$K$2:$K$37000,"64*")+SUMIFS('Accounting data'!$G$2:$G$37000,'Accounting data'!$I$2:$I$37000,"9*",'Accounting data'!$J$2:$J$37000,"4*",'Accounting data'!$K$2:$K$37000,"64*")+SUMIFS('Accounting data'!$G$2:$G$37000,'Accounting data'!$I$2:$I$37000,"7*",'Accounting data'!$J$2:$J$37000,"4*",'Accounting data'!$K$2:$K$37000,"65*")+SUMIFS('Accounting data'!$G$2:$G$37000,'Accounting data'!$I$2:$I$37000,"8*",'Accounting data'!$J$2:$J$37000,"4*",'Accounting data'!$K$2:$K$37000,"65*")+SUMIFS('Accounting data'!$G$2:$G$37000,'Accounting data'!$I$2:$I$37000,"9*",'Accounting data'!$J$2:$J$37000,"4*",'Accounting data'!$K$2:$K$37000,"65*")</f>
        <v>0</v>
      </c>
    </row>
    <row r="541" spans="1:5" x14ac:dyDescent="0.2">
      <c r="A541" s="562" t="s">
        <v>1006</v>
      </c>
      <c r="B541" s="560" t="s">
        <v>1007</v>
      </c>
      <c r="C541" s="560">
        <v>4000</v>
      </c>
      <c r="D541" s="560">
        <v>6300</v>
      </c>
      <c r="E541" s="561">
        <f>SUMIFS('Accounting data'!$G$2:$G$37000,'Accounting data'!$H$2:$H$37000,"9999*",'Accounting data'!$I$2:$I$37000,"7*",'Accounting data'!$J$2:$J$37000,"4*",'Accounting data'!$K$2:$K$37000,"63*")+SUMIFS('Accounting data'!$G$2:$G$37000,'Accounting data'!$H$2:$H$37000,"9999*",'Accounting data'!$I$2:$I$37000,"8*",'Accounting data'!$J$2:$J$37000,"4*",'Accounting data'!$K$2:$K$37000,"63*")+SUMIFS('Accounting data'!$G$2:$G$37000,'Accounting data'!$H$2:$H$37000,"9999*",'Accounting data'!$I$2:$I$37000,"9*",'Accounting data'!$J$2:$J$37000,"4*",'Accounting data'!$K$2:$K$37000,"63*")</f>
        <v>0</v>
      </c>
    </row>
    <row r="542" spans="1:5" x14ac:dyDescent="0.2">
      <c r="A542" s="562" t="s">
        <v>1006</v>
      </c>
      <c r="B542" s="560" t="s">
        <v>1007</v>
      </c>
      <c r="C542" s="560">
        <v>4000</v>
      </c>
      <c r="D542" s="560">
        <v>6400</v>
      </c>
      <c r="E542" s="561">
        <f>SUMIFS('Accounting data'!$G$2:$G$37000,'Accounting data'!$H$2:$H$37000,"9999*",'Accounting data'!$I$2:$I$37000,"7*",'Accounting data'!$J$2:$J$37000,"4*",'Accounting data'!$K$2:$K$37000,"64*")+SUMIFS('Accounting data'!$G$2:$G$37000,'Accounting data'!$H$2:$H$37000,"9999*",'Accounting data'!$I$2:$I$37000,"8*",'Accounting data'!$J$2:$J$37000,"4*",'Accounting data'!$K$2:$K$37000,"64*")+SUMIFS('Accounting data'!$G$2:$G$37000,'Accounting data'!$H$2:$H$37000,"9999*",'Accounting data'!$I$2:$I$37000,"9*",'Accounting data'!$J$2:$J$37000,"4*",'Accounting data'!$K$2:$K$37000,"64*")</f>
        <v>0</v>
      </c>
    </row>
    <row r="543" spans="1:5" x14ac:dyDescent="0.2">
      <c r="A543" s="562" t="s">
        <v>1006</v>
      </c>
      <c r="B543" s="560" t="s">
        <v>1007</v>
      </c>
      <c r="C543" s="560">
        <v>4000</v>
      </c>
      <c r="D543" s="560">
        <v>6500</v>
      </c>
      <c r="E543" s="561">
        <f>SUMIFS('Accounting data'!$G$2:$G$37000,'Accounting data'!$H$2:$H$37000,"9999*",'Accounting data'!$I$2:$I$37000,"7*",'Accounting data'!$J$2:$J$37000,"4*",'Accounting data'!$K$2:$K$37000,"65*")+SUMIFS('Accounting data'!$G$2:$G$37000,'Accounting data'!$H$2:$H$37000,"9999*",'Accounting data'!$I$2:$I$37000,"8*",'Accounting data'!$J$2:$J$37000,"4*",'Accounting data'!$K$2:$K$37000,"65*")+SUMIFS('Accounting data'!$G$2:$G$37000,'Accounting data'!$H$2:$H$37000,"9999*",'Accounting data'!$I$2:$I$37000,"9*",'Accounting data'!$J$2:$J$37000,"4*",'Accounting data'!$K$2:$K$37000,"65*")</f>
        <v>0</v>
      </c>
    </row>
    <row r="544" spans="1:5" x14ac:dyDescent="0.2">
      <c r="A544" s="560"/>
      <c r="B544" s="560"/>
      <c r="C544" s="560"/>
      <c r="D544" s="560"/>
      <c r="E544" s="561"/>
    </row>
    <row r="545" spans="1:5" x14ac:dyDescent="0.2">
      <c r="A545" s="560"/>
      <c r="B545" s="560"/>
      <c r="C545" s="560"/>
      <c r="D545" s="560"/>
      <c r="E545" s="561"/>
    </row>
    <row r="546" spans="1:5" x14ac:dyDescent="0.2">
      <c r="A546" s="560"/>
      <c r="B546" s="560"/>
      <c r="C546" s="560"/>
      <c r="D546" s="560"/>
      <c r="E546" s="561"/>
    </row>
    <row r="547" spans="1:5" x14ac:dyDescent="0.2">
      <c r="A547" s="560"/>
      <c r="B547" s="560"/>
      <c r="C547" s="560"/>
      <c r="D547" s="560"/>
      <c r="E547" s="561"/>
    </row>
    <row r="548" spans="1:5" x14ac:dyDescent="0.2">
      <c r="A548" s="560"/>
      <c r="B548" s="560"/>
      <c r="C548" s="560"/>
      <c r="D548" s="560"/>
      <c r="E548" s="561"/>
    </row>
    <row r="549" spans="1:5" x14ac:dyDescent="0.2">
      <c r="A549" s="560"/>
      <c r="B549" s="560"/>
      <c r="C549" s="560"/>
      <c r="D549" s="560"/>
      <c r="E549" s="561"/>
    </row>
    <row r="550" spans="1:5" x14ac:dyDescent="0.2">
      <c r="A550" s="560"/>
      <c r="B550" s="560"/>
      <c r="C550" s="560"/>
      <c r="D550" s="560"/>
      <c r="E550" s="561"/>
    </row>
    <row r="551" spans="1:5" x14ac:dyDescent="0.2">
      <c r="A551" s="560"/>
      <c r="B551" s="560"/>
      <c r="C551" s="560"/>
      <c r="D551" s="560"/>
      <c r="E551" s="561"/>
    </row>
    <row r="552" spans="1:5" x14ac:dyDescent="0.2">
      <c r="A552" s="560"/>
      <c r="B552" s="560"/>
      <c r="C552" s="560"/>
      <c r="D552" s="560"/>
      <c r="E552" s="561"/>
    </row>
    <row r="553" spans="1:5" x14ac:dyDescent="0.2">
      <c r="A553" s="562"/>
      <c r="B553" s="560"/>
      <c r="C553" s="560"/>
      <c r="D553" s="560"/>
      <c r="E553" s="561"/>
    </row>
    <row r="554" spans="1:5" x14ac:dyDescent="0.2">
      <c r="A554" s="560"/>
      <c r="B554" s="560"/>
      <c r="C554" s="560"/>
      <c r="D554" s="560"/>
      <c r="E554" s="561"/>
    </row>
    <row r="555" spans="1:5" x14ac:dyDescent="0.2">
      <c r="A555" s="560"/>
      <c r="B555" s="560"/>
      <c r="C555" s="560"/>
      <c r="D555" s="560"/>
      <c r="E555" s="561"/>
    </row>
    <row r="556" spans="1:5" x14ac:dyDescent="0.2">
      <c r="A556" s="560"/>
      <c r="B556" s="560"/>
      <c r="C556" s="560"/>
      <c r="D556" s="560"/>
      <c r="E556" s="561"/>
    </row>
    <row r="557" spans="1:5" x14ac:dyDescent="0.2">
      <c r="A557" s="560"/>
      <c r="B557" s="560"/>
      <c r="C557" s="560"/>
      <c r="D557" s="560"/>
      <c r="E557" s="561"/>
    </row>
    <row r="558" spans="1:5" x14ac:dyDescent="0.2">
      <c r="A558" s="560"/>
      <c r="B558" s="560"/>
      <c r="C558" s="560"/>
      <c r="D558" s="560"/>
      <c r="E558" s="561"/>
    </row>
    <row r="559" spans="1:5" x14ac:dyDescent="0.2">
      <c r="A559" s="562"/>
      <c r="B559" s="560"/>
      <c r="C559" s="560"/>
      <c r="D559" s="560"/>
      <c r="E559" s="561"/>
    </row>
    <row r="560" spans="1:5" x14ac:dyDescent="0.2">
      <c r="A560" s="560"/>
      <c r="B560" s="560"/>
      <c r="C560" s="560"/>
      <c r="D560" s="560"/>
      <c r="E560" s="561"/>
    </row>
    <row r="561" spans="1:5" x14ac:dyDescent="0.2">
      <c r="A561" s="560"/>
      <c r="B561" s="560"/>
      <c r="C561" s="560"/>
      <c r="D561" s="560"/>
      <c r="E561" s="561"/>
    </row>
    <row r="562" spans="1:5" x14ac:dyDescent="0.2">
      <c r="A562" s="563" t="s">
        <v>1049</v>
      </c>
      <c r="B562" s="563"/>
      <c r="C562" s="563"/>
      <c r="D562" s="563"/>
      <c r="E562" s="565">
        <f>((E536-E537-E538-E539-E540)+(E541+E542+E543+E544+E545+E546+E547+E548+E549))-((E550-E551-E552)+(E553+E554+E555))-((E556-E557-E558)+(E559+E560+E561))</f>
        <v>0</v>
      </c>
    </row>
    <row r="563" spans="1:5" x14ac:dyDescent="0.2">
      <c r="A563" s="566" t="s">
        <v>1050</v>
      </c>
      <c r="B563" s="566"/>
      <c r="C563" s="566"/>
      <c r="D563" s="566"/>
      <c r="E563" s="570">
        <f>E238+E265+E292+E319+E346+E373+E400+E427+E454+E481+E508+E535</f>
        <v>374637</v>
      </c>
    </row>
    <row r="564" spans="1:5" ht="15" x14ac:dyDescent="0.25">
      <c r="A564" s="560" t="s">
        <v>1021</v>
      </c>
      <c r="B564" s="560" t="s">
        <v>1005</v>
      </c>
      <c r="C564" s="560">
        <v>1000</v>
      </c>
      <c r="D564" s="560">
        <v>6300</v>
      </c>
      <c r="E564" s="568">
        <f>SUMIFS('Accounting data'!$G$2:$G$37000,'Accounting data'!$H$2:$H$37000,"11*",'Accounting data'!$J$2:$J$37000,"1*",'Accounting data'!$K$2:$K$37000,"63*")+SUMIFS('Accounting data'!$G$2:$G$37000,'Accounting data'!$H$2:$H$37000,"12*",'Accounting data'!$J$2:$J$37000,"1*",'Accounting data'!$K$2:$K$37000,"63*")+SUMIFS('Accounting data'!$G$2:$G$37000,'Accounting data'!$H$2:$H$37000,"13*",'Accounting data'!$J$2:$J$37000,"1*",'Accounting data'!$K$2:$K$37000,"63*")</f>
        <v>21688</v>
      </c>
    </row>
    <row r="565" spans="1:5" ht="15" x14ac:dyDescent="0.25">
      <c r="A565" s="560" t="s">
        <v>1021</v>
      </c>
      <c r="B565" s="560" t="s">
        <v>1005</v>
      </c>
      <c r="C565" s="560">
        <v>2000</v>
      </c>
      <c r="D565" s="560">
        <v>6300</v>
      </c>
      <c r="E565" s="568">
        <f>SUMIFS('Accounting data'!$G$2:$G$37000,'Accounting data'!$H$2:$H$37000,"11*",'Accounting data'!$J$2:$J$37000,"2*",'Accounting data'!$K$2:$K$37000,"63*")+SUMIFS('Accounting data'!$G$2:$G$37000,'Accounting data'!$H$2:$H$37000,"12*",'Accounting data'!$J$2:$J$37000,"2*",'Accounting data'!$K$2:$K$37000,"63*")+SUMIFS('Accounting data'!$G$2:$G$37000,'Accounting data'!$H$2:$H$37000,"13*",'Accounting data'!$J$2:$J$37000,"2*",'Accounting data'!$K$2:$K$37000,"63*")</f>
        <v>6239</v>
      </c>
    </row>
    <row r="566" spans="1:5" ht="15" x14ac:dyDescent="0.25">
      <c r="A566" s="560" t="s">
        <v>1021</v>
      </c>
      <c r="B566" s="560" t="s">
        <v>1005</v>
      </c>
      <c r="C566" s="560">
        <v>3000</v>
      </c>
      <c r="D566" s="560">
        <v>6300</v>
      </c>
      <c r="E566" s="568">
        <f>SUMIFS('Accounting data'!$G$2:$G$37000,'Accounting data'!$H$2:$H$37000,"11*",'Accounting data'!$J$2:$J$37000,"3*",'Accounting data'!$K$2:$K$37000,"63*")+SUMIFS('Accounting data'!$G$2:$G$37000,'Accounting data'!$H$2:$H$37000,"12*",'Accounting data'!$J$2:$J$37000,"3*",'Accounting data'!$K$2:$K$37000,"63*")+SUMIFS('Accounting data'!$G$2:$G$37000,'Accounting data'!$H$2:$H$37000,"13*",'Accounting data'!$J$2:$J$37000,"3*",'Accounting data'!$K$2:$K$37000,"63*")</f>
        <v>0</v>
      </c>
    </row>
    <row r="567" spans="1:5" ht="15" x14ac:dyDescent="0.25">
      <c r="A567" s="560" t="s">
        <v>1021</v>
      </c>
      <c r="B567" s="562">
        <v>700</v>
      </c>
      <c r="C567" s="560">
        <v>1000</v>
      </c>
      <c r="D567" s="560">
        <v>6300</v>
      </c>
      <c r="E567" s="568">
        <f>SUMIFS('Accounting data'!$G$2:$G$37000,'Accounting data'!$H$2:$H$37000,"11*",'Accounting data'!$I$2:$I$37000,"7*",'Accounting data'!$J$2:$J$37000,"1*",'Accounting data'!$K$2:$K$37000,"63*")+SUMIFS('Accounting data'!$G$2:$G$37000,'Accounting data'!$H$2:$H$37000,"12*",'Accounting data'!$I$2:$I$37000,"7*",'Accounting data'!$J$2:$J$37000,"1*",'Accounting data'!$K$2:$K$37000,"63*")+SUMIFS('Accounting data'!$G$2:$G$37000,'Accounting data'!$H$2:$H$37000,"13*",'Accounting data'!$I$2:$I$37000,"7*",'Accounting data'!$J$2:$J$37000,"1*",'Accounting data'!$K$2:$K$37000,"63*")</f>
        <v>0</v>
      </c>
    </row>
    <row r="568" spans="1:5" ht="15" x14ac:dyDescent="0.25">
      <c r="A568" s="560" t="s">
        <v>1021</v>
      </c>
      <c r="B568" s="562">
        <v>800</v>
      </c>
      <c r="C568" s="560">
        <v>1000</v>
      </c>
      <c r="D568" s="560">
        <v>6300</v>
      </c>
      <c r="E568" s="568">
        <f>SUMIFS('Accounting data'!$G$2:$G$37000,'Accounting data'!$H$2:$H$37000,"11*",'Accounting data'!$I$2:$I$37000,"8*",'Accounting data'!$J$2:$J$37000,"1*",'Accounting data'!$K$2:$K$37000,"63*")+SUMIFS('Accounting data'!$G$2:$G$37000,'Accounting data'!$H$2:$H$37000,"12*",'Accounting data'!$I$2:$I$37000,"8*",'Accounting data'!$J$2:$J$37000,"1*",'Accounting data'!$K$2:$K$37000,"63*")+SUMIFS('Accounting data'!$G$2:$G$37000,'Accounting data'!$H$2:$H$37000,"13*",'Accounting data'!$I$2:$I$37000,"8*",'Accounting data'!$J$2:$J$37000,"1*",'Accounting data'!$K$2:$K$37000,"63*")</f>
        <v>0</v>
      </c>
    </row>
    <row r="569" spans="1:5" ht="15" x14ac:dyDescent="0.25">
      <c r="A569" s="560" t="s">
        <v>1021</v>
      </c>
      <c r="B569" s="562">
        <v>900</v>
      </c>
      <c r="C569" s="560">
        <v>1000</v>
      </c>
      <c r="D569" s="560">
        <v>6300</v>
      </c>
      <c r="E569" s="568">
        <f>SUMIFS('Accounting data'!$G$2:$G$37000,'Accounting data'!$H$2:$H$37000,"11*",'Accounting data'!$I$2:$I$37000,"9*",'Accounting data'!$J$2:$J$37000,"1*",'Accounting data'!$K$2:$K$37000,"63*")+SUMIFS('Accounting data'!$G$2:$G$37000,'Accounting data'!$H$2:$H$37000,"12*",'Accounting data'!$I$2:$I$37000,"9*",'Accounting data'!$J$2:$J$37000,"1*",'Accounting data'!$K$2:$K$37000,"63*")+SUMIFS('Accounting data'!$G$2:$G$37000,'Accounting data'!$H$2:$H$37000,"13*",'Accounting data'!$I$2:$I$37000,"9*",'Accounting data'!$J$2:$J$37000,"1*",'Accounting data'!$K$2:$K$37000,"63*")</f>
        <v>0</v>
      </c>
    </row>
    <row r="570" spans="1:5" x14ac:dyDescent="0.2">
      <c r="A570" s="560" t="s">
        <v>1021</v>
      </c>
      <c r="B570" s="562">
        <v>700</v>
      </c>
      <c r="C570" s="560">
        <v>2000</v>
      </c>
      <c r="D570" s="560">
        <v>6300</v>
      </c>
      <c r="E570" s="561">
        <f>SUMIFS('Accounting data'!$G$2:$G$37000,'Accounting data'!$H$2:$H$37000,"11*",'Accounting data'!$I$2:$I$37000,"7*",'Accounting data'!$J$2:$J$37000,"2*",'Accounting data'!$K$2:$K$37000,"63*")+SUMIFS('Accounting data'!$G$2:$G$37000,'Accounting data'!$H$2:$H$37000,"12*",'Accounting data'!$I$2:$I$37000,"7*",'Accounting data'!$J$2:$J$37000,"2*",'Accounting data'!$K$2:$K$37000,"63*")+SUMIFS('Accounting data'!$G$2:$G$37000,'Accounting data'!$H$2:$H$37000,"13*",'Accounting data'!$I$2:$I$37000,"7*",'Accounting data'!$J$2:$J$37000,"2*",'Accounting data'!$K$2:$K$37000,"63*")</f>
        <v>0</v>
      </c>
    </row>
    <row r="571" spans="1:5" x14ac:dyDescent="0.2">
      <c r="A571" s="560" t="s">
        <v>1021</v>
      </c>
      <c r="B571" s="562">
        <v>800</v>
      </c>
      <c r="C571" s="560">
        <v>2000</v>
      </c>
      <c r="D571" s="560">
        <v>6300</v>
      </c>
      <c r="E571" s="561">
        <f>SUMIFS('Accounting data'!$G$2:$G$37000,'Accounting data'!$H$2:$H$37000,"11*",'Accounting data'!$I$2:$I$37000,"8*",'Accounting data'!$J$2:$J$37000,"2*",'Accounting data'!$K$2:$K$37000,"63*")+SUMIFS('Accounting data'!$G$2:$G$37000,'Accounting data'!$H$2:$H$37000,"12*",'Accounting data'!$I$2:$I$37000,"8*",'Accounting data'!$J$2:$J$37000,"2*",'Accounting data'!$K$2:$K$37000,"63*")+SUMIFS('Accounting data'!$G$2:$G$37000,'Accounting data'!$H$2:$H$37000,"13*",'Accounting data'!$I$2:$I$37000,"8*",'Accounting data'!$J$2:$J$37000,"2*",'Accounting data'!$K$2:$K$37000,"63*")</f>
        <v>0</v>
      </c>
    </row>
    <row r="572" spans="1:5" x14ac:dyDescent="0.2">
      <c r="A572" s="560" t="s">
        <v>1021</v>
      </c>
      <c r="B572" s="562">
        <v>900</v>
      </c>
      <c r="C572" s="560">
        <v>2000</v>
      </c>
      <c r="D572" s="560">
        <v>6300</v>
      </c>
      <c r="E572" s="561">
        <f>SUMIFS('Accounting data'!$G$2:$G$37000,'Accounting data'!$H$2:$H$37000,"11*",'Accounting data'!$I$2:$I$37000,"9*",'Accounting data'!$J$2:$J$37000,"2*",'Accounting data'!$K$2:$K$37000,"63*")+SUMIFS('Accounting data'!$G$2:$G$37000,'Accounting data'!$H$2:$H$37000,"12*",'Accounting data'!$I$2:$I$37000,"9*",'Accounting data'!$J$2:$J$37000,"2*",'Accounting data'!$K$2:$K$37000,"63*")+SUMIFS('Accounting data'!$G$2:$G$37000,'Accounting data'!$H$2:$H$37000,"13*",'Accounting data'!$I$2:$I$37000,"9*",'Accounting data'!$J$2:$J$37000,"2*",'Accounting data'!$K$2:$K$37000,"63*")</f>
        <v>0</v>
      </c>
    </row>
    <row r="573" spans="1:5" x14ac:dyDescent="0.2">
      <c r="A573" s="560" t="s">
        <v>1021</v>
      </c>
      <c r="B573" s="562">
        <v>700</v>
      </c>
      <c r="C573" s="560">
        <v>3000</v>
      </c>
      <c r="D573" s="560">
        <v>6300</v>
      </c>
      <c r="E573" s="561">
        <f>SUMIFS('Accounting data'!$G$2:$G$37000,'Accounting data'!$H$2:$H$37000,"11*",'Accounting data'!$I$2:$I$37000,"7*",'Accounting data'!$J$2:$J$37000,"3*",'Accounting data'!$K$2:$K$37000,"63*")+SUMIFS('Accounting data'!$G$2:$G$37000,'Accounting data'!$H$2:$H$37000,"12*",'Accounting data'!$I$2:$I$37000,"7*",'Accounting data'!$J$2:$J$37000,"3*",'Accounting data'!$K$2:$K$37000,"63*")+SUMIFS('Accounting data'!$G$2:$G$37000,'Accounting data'!$H$2:$H$37000,"13*",'Accounting data'!$I$2:$I$37000,"7*",'Accounting data'!$J$2:$J$37000,"3*",'Accounting data'!$K$2:$K$37000,"63*")</f>
        <v>0</v>
      </c>
    </row>
    <row r="574" spans="1:5" x14ac:dyDescent="0.2">
      <c r="A574" s="560" t="s">
        <v>1021</v>
      </c>
      <c r="B574" s="562">
        <v>800</v>
      </c>
      <c r="C574" s="560">
        <v>3000</v>
      </c>
      <c r="D574" s="560">
        <v>6300</v>
      </c>
      <c r="E574" s="561">
        <f>SUMIFS('Accounting data'!$G$2:$G$37000,'Accounting data'!$H$2:$H$37000,"11*",'Accounting data'!$I$2:$I$37000,"8*",'Accounting data'!$J$2:$J$37000,"3*",'Accounting data'!$K$2:$K$37000,"63*")+SUMIFS('Accounting data'!$G$2:$G$37000,'Accounting data'!$H$2:$H$37000,"12*",'Accounting data'!$I$2:$I$37000,"8*",'Accounting data'!$J$2:$J$37000,"3*",'Accounting data'!$K$2:$K$37000,"63*")+SUMIFS('Accounting data'!$G$2:$G$37000,'Accounting data'!$H$2:$H$37000,"13*",'Accounting data'!$I$2:$I$37000,"8*",'Accounting data'!$J$2:$J$37000,"3*",'Accounting data'!$K$2:$K$37000,"63*")</f>
        <v>0</v>
      </c>
    </row>
    <row r="575" spans="1:5" x14ac:dyDescent="0.2">
      <c r="A575" s="560" t="s">
        <v>1021</v>
      </c>
      <c r="B575" s="562">
        <v>900</v>
      </c>
      <c r="C575" s="560">
        <v>3000</v>
      </c>
      <c r="D575" s="560">
        <v>6300</v>
      </c>
      <c r="E575" s="561">
        <f>SUMIFS('Accounting data'!$G$2:$G$37000,'Accounting data'!$H$2:$H$37000,"11*",'Accounting data'!$I$2:$I$37000,"9*",'Accounting data'!$J$2:$J$37000,"3*",'Accounting data'!$K$2:$K$37000,"63*")+SUMIFS('Accounting data'!$G$2:$G$37000,'Accounting data'!$H$2:$H$37000,"12*",'Accounting data'!$I$2:$I$37000,"9*",'Accounting data'!$J$2:$J$37000,"3*",'Accounting data'!$K$2:$K$37000,"63*")+SUMIFS('Accounting data'!$G$2:$G$37000,'Accounting data'!$H$2:$H$37000,"13*",'Accounting data'!$I$2:$I$37000,"9*",'Accounting data'!$J$2:$J$37000,"3*",'Accounting data'!$K$2:$K$37000,"63*")</f>
        <v>0</v>
      </c>
    </row>
    <row r="576" spans="1:5" x14ac:dyDescent="0.2">
      <c r="A576" s="563" t="s">
        <v>1051</v>
      </c>
      <c r="B576" s="563"/>
      <c r="C576" s="563"/>
      <c r="D576" s="563"/>
      <c r="E576" s="565">
        <f>(E564+E565+E566)-(E567+E568+E569+E570+E571+E572+E573+E574+E575)</f>
        <v>27927</v>
      </c>
    </row>
    <row r="577" spans="1:5" x14ac:dyDescent="0.2">
      <c r="A577" s="560" t="s">
        <v>1021</v>
      </c>
      <c r="B577" s="560" t="s">
        <v>1005</v>
      </c>
      <c r="C577" s="560">
        <v>1000</v>
      </c>
      <c r="D577" s="560">
        <v>6400</v>
      </c>
      <c r="E577" s="561">
        <f>SUMIFS('Accounting data'!$G$2:$G$37000,'Accounting data'!$H$2:$H$37000,"11*",'Accounting data'!$J$2:$J$37000,"1*",'Accounting data'!$K$2:$K$37000,"64*")+SUMIFS('Accounting data'!$G$2:$G$37000,'Accounting data'!$H$2:$H$37000,"12*",'Accounting data'!$J$2:$J$37000,"1*",'Accounting data'!$K$2:$K$37000,"64*")+SUMIFS('Accounting data'!$G$2:$G$37000,'Accounting data'!$H$2:$H$37000,"13*",'Accounting data'!$J$2:$J$37000,"1*",'Accounting data'!$K$2:$K$37000,"64*")</f>
        <v>0</v>
      </c>
    </row>
    <row r="578" spans="1:5" x14ac:dyDescent="0.2">
      <c r="A578" s="560" t="s">
        <v>1021</v>
      </c>
      <c r="B578" s="560" t="s">
        <v>1005</v>
      </c>
      <c r="C578" s="560">
        <v>2000</v>
      </c>
      <c r="D578" s="560">
        <v>6400</v>
      </c>
      <c r="E578" s="561">
        <f>SUMIFS('Accounting data'!$G$2:$G$37000,'Accounting data'!$H$2:$H$37000,"11*",'Accounting data'!$J$2:$J$37000,"2*",'Accounting data'!$K$2:$K$37000,"64*")+SUMIFS('Accounting data'!$G$2:$G$37000,'Accounting data'!$H$2:$H$37000,"12*",'Accounting data'!$J$2:$J$37000,"2*",'Accounting data'!$K$2:$K$37000,"64*")+SUMIFS('Accounting data'!$G$2:$G$37000,'Accounting data'!$H$2:$H$37000,"13*",'Accounting data'!$J$2:$J$37000,"2*",'Accounting data'!$K$2:$K$37000,"64*")</f>
        <v>0</v>
      </c>
    </row>
    <row r="579" spans="1:5" x14ac:dyDescent="0.2">
      <c r="A579" s="560" t="s">
        <v>1021</v>
      </c>
      <c r="B579" s="560" t="s">
        <v>1005</v>
      </c>
      <c r="C579" s="560">
        <v>3000</v>
      </c>
      <c r="D579" s="560">
        <v>6400</v>
      </c>
      <c r="E579" s="561">
        <f>SUMIFS('Accounting data'!$G$2:$G$37000,'Accounting data'!$H$2:$H$37000,"11*",'Accounting data'!$J$2:$J$37000,"3*",'Accounting data'!$K$2:$K$37000,"64*")+SUMIFS('Accounting data'!$G$2:$G$37000,'Accounting data'!$H$2:$H$37000,"12*",'Accounting data'!$J$2:$J$37000,"3*",'Accounting data'!$K$2:$K$37000,"64*")+SUMIFS('Accounting data'!$G$2:$G$37000,'Accounting data'!$H$2:$H$37000,"13*",'Accounting data'!$J$2:$J$37000,"3*",'Accounting data'!$K$2:$K$37000,"64*")</f>
        <v>0</v>
      </c>
    </row>
    <row r="580" spans="1:5" x14ac:dyDescent="0.2">
      <c r="A580" s="560" t="s">
        <v>1021</v>
      </c>
      <c r="B580" s="562">
        <v>700</v>
      </c>
      <c r="C580" s="560">
        <v>1000</v>
      </c>
      <c r="D580" s="560">
        <v>6400</v>
      </c>
      <c r="E580" s="561">
        <f>SUMIFS('Accounting data'!$G$2:$G$37000,'Accounting data'!$H$2:$H$37000,"11*",'Accounting data'!$I$2:$I$37000,"7*",'Accounting data'!$J$2:$J$37000,"1*",'Accounting data'!$K$2:$K$37000,"64*")+SUMIFS('Accounting data'!$G$2:$G$37000,'Accounting data'!$H$2:$H$37000,"12*",'Accounting data'!$I$2:$I$37000,"7*",'Accounting data'!$J$2:$J$37000,"1*",'Accounting data'!$K$2:$K$37000,"64*")+SUMIFS('Accounting data'!$G$2:$G$37000,'Accounting data'!$H$2:$H$37000,"13*",'Accounting data'!$I$2:$I$37000,"7*",'Accounting data'!$J$2:$J$37000,"1*",'Accounting data'!$K$2:$K$37000,"64*")</f>
        <v>0</v>
      </c>
    </row>
    <row r="581" spans="1:5" x14ac:dyDescent="0.2">
      <c r="A581" s="560" t="s">
        <v>1021</v>
      </c>
      <c r="B581" s="562">
        <v>800</v>
      </c>
      <c r="C581" s="560">
        <v>1000</v>
      </c>
      <c r="D581" s="560">
        <v>6400</v>
      </c>
      <c r="E581" s="561">
        <f>SUMIFS('Accounting data'!$G$2:$G$37000,'Accounting data'!$H$2:$H$37000,"11*",'Accounting data'!$I$2:$I$37000,"8*",'Accounting data'!$J$2:$J$37000,"1*",'Accounting data'!$K$2:$K$37000,"64*")+SUMIFS('Accounting data'!$G$2:$G$37000,'Accounting data'!$H$2:$H$37000,"12*",'Accounting data'!$I$2:$I$37000,"8*",'Accounting data'!$J$2:$J$37000,"1*",'Accounting data'!$K$2:$K$37000,"64*")+SUMIFS('Accounting data'!$G$2:$G$37000,'Accounting data'!$H$2:$H$37000,"13*",'Accounting data'!$I$2:$I$37000,"8*",'Accounting data'!$J$2:$J$37000,"1*",'Accounting data'!$K$2:$K$37000,"64*")</f>
        <v>0</v>
      </c>
    </row>
    <row r="582" spans="1:5" x14ac:dyDescent="0.2">
      <c r="A582" s="560" t="s">
        <v>1021</v>
      </c>
      <c r="B582" s="562">
        <v>900</v>
      </c>
      <c r="C582" s="560">
        <v>1000</v>
      </c>
      <c r="D582" s="560">
        <v>6400</v>
      </c>
      <c r="E582" s="561">
        <f>SUMIFS('Accounting data'!$G$2:$G$37000,'Accounting data'!$H$2:$H$37000,"11*",'Accounting data'!$I$2:$I$37000,"9*",'Accounting data'!$J$2:$J$37000,"1*",'Accounting data'!$K$2:$K$37000,"64*")+SUMIFS('Accounting data'!$G$2:$G$37000,'Accounting data'!$H$2:$H$37000,"12*",'Accounting data'!$I$2:$I$37000,"9*",'Accounting data'!$J$2:$J$37000,"1*",'Accounting data'!$K$2:$K$37000,"64*")+SUMIFS('Accounting data'!$G$2:$G$37000,'Accounting data'!$H$2:$H$37000,"13*",'Accounting data'!$I$2:$I$37000,"9*",'Accounting data'!$J$2:$J$37000,"1*",'Accounting data'!$K$2:$K$37000,"64*")</f>
        <v>0</v>
      </c>
    </row>
    <row r="583" spans="1:5" x14ac:dyDescent="0.2">
      <c r="A583" s="560" t="s">
        <v>1021</v>
      </c>
      <c r="B583" s="562">
        <v>700</v>
      </c>
      <c r="C583" s="560">
        <v>2000</v>
      </c>
      <c r="D583" s="560">
        <v>6400</v>
      </c>
      <c r="E583" s="561">
        <f>SUMIFS('Accounting data'!$G$2:$G$37000,'Accounting data'!$H$2:$H$37000,"11*",'Accounting data'!$I$2:$I$37000,"7*",'Accounting data'!$J$2:$J$37000,"2*",'Accounting data'!$K$2:$K$37000,"64*")+SUMIFS('Accounting data'!$G$2:$G$37000,'Accounting data'!$H$2:$H$37000,"12*",'Accounting data'!$I$2:$I$37000,"7*",'Accounting data'!$J$2:$J$37000,"2*",'Accounting data'!$K$2:$K$37000,"64*")+SUMIFS('Accounting data'!$G$2:$G$37000,'Accounting data'!$H$2:$H$37000,"13*",'Accounting data'!$I$2:$I$37000,"7*",'Accounting data'!$J$2:$J$37000,"2*",'Accounting data'!$K$2:$K$37000,"64*")</f>
        <v>0</v>
      </c>
    </row>
    <row r="584" spans="1:5" x14ac:dyDescent="0.2">
      <c r="A584" s="560" t="s">
        <v>1021</v>
      </c>
      <c r="B584" s="562">
        <v>800</v>
      </c>
      <c r="C584" s="560">
        <v>2000</v>
      </c>
      <c r="D584" s="560">
        <v>6400</v>
      </c>
      <c r="E584" s="561">
        <f>SUMIFS('Accounting data'!$G$2:$G$37000,'Accounting data'!$H$2:$H$37000,"11*",'Accounting data'!$I$2:$I$37000,"8*",'Accounting data'!$J$2:$J$37000,"2*",'Accounting data'!$K$2:$K$37000,"64*")+SUMIFS('Accounting data'!$G$2:$G$37000,'Accounting data'!$H$2:$H$37000,"12*",'Accounting data'!$I$2:$I$37000,"8*",'Accounting data'!$J$2:$J$37000,"2*",'Accounting data'!$K$2:$K$37000,"64*")+SUMIFS('Accounting data'!$G$2:$G$37000,'Accounting data'!$H$2:$H$37000,"13*",'Accounting data'!$I$2:$I$37000,"8*",'Accounting data'!$J$2:$J$37000,"2*",'Accounting data'!$K$2:$K$37000,"64*")</f>
        <v>0</v>
      </c>
    </row>
    <row r="585" spans="1:5" x14ac:dyDescent="0.2">
      <c r="A585" s="560" t="s">
        <v>1021</v>
      </c>
      <c r="B585" s="562">
        <v>900</v>
      </c>
      <c r="C585" s="560">
        <v>2000</v>
      </c>
      <c r="D585" s="560">
        <v>6400</v>
      </c>
      <c r="E585" s="561">
        <f>SUMIFS('Accounting data'!$G$2:$G$37000,'Accounting data'!$H$2:$H$37000,"11*",'Accounting data'!$I$2:$I$37000,"9*",'Accounting data'!$J$2:$J$37000,"2*",'Accounting data'!$K$2:$K$37000,"64*")+SUMIFS('Accounting data'!$G$2:$G$37000,'Accounting data'!$H$2:$H$37000,"12*",'Accounting data'!$I$2:$I$37000,"9*",'Accounting data'!$J$2:$J$37000,"2*",'Accounting data'!$K$2:$K$37000,"64*")+SUMIFS('Accounting data'!$G$2:$G$37000,'Accounting data'!$H$2:$H$37000,"13*",'Accounting data'!$I$2:$I$37000,"9*",'Accounting data'!$J$2:$J$37000,"2*",'Accounting data'!$K$2:$K$37000,"64*")</f>
        <v>0</v>
      </c>
    </row>
    <row r="586" spans="1:5" x14ac:dyDescent="0.2">
      <c r="A586" s="560" t="s">
        <v>1021</v>
      </c>
      <c r="B586" s="562">
        <v>700</v>
      </c>
      <c r="C586" s="560">
        <v>3000</v>
      </c>
      <c r="D586" s="560">
        <v>6400</v>
      </c>
      <c r="E586" s="561">
        <f>SUMIFS('Accounting data'!$G$2:$G$37000,'Accounting data'!$H$2:$H$37000,"11*",'Accounting data'!$I$2:$I$37000,"7*",'Accounting data'!$J$2:$J$37000,"3*",'Accounting data'!$K$2:$K$37000,"64*")+SUMIFS('Accounting data'!$G$2:$G$37000,'Accounting data'!$H$2:$H$37000,"12*",'Accounting data'!$I$2:$I$37000,"7*",'Accounting data'!$J$2:$J$37000,"3*",'Accounting data'!$K$2:$K$37000,"64*")+SUMIFS('Accounting data'!$G$2:$G$37000,'Accounting data'!$H$2:$H$37000,"13*",'Accounting data'!$I$2:$I$37000,"7*",'Accounting data'!$J$2:$J$37000,"3*",'Accounting data'!$K$2:$K$37000,"64*")</f>
        <v>0</v>
      </c>
    </row>
    <row r="587" spans="1:5" x14ac:dyDescent="0.2">
      <c r="A587" s="560" t="s">
        <v>1021</v>
      </c>
      <c r="B587" s="562">
        <v>800</v>
      </c>
      <c r="C587" s="560">
        <v>3000</v>
      </c>
      <c r="D587" s="560">
        <v>6400</v>
      </c>
      <c r="E587" s="561">
        <f>SUMIFS('Accounting data'!$G$2:$G$37000,'Accounting data'!$H$2:$H$37000,"11*",'Accounting data'!$I$2:$I$37000,"8*",'Accounting data'!$J$2:$J$37000,"3*",'Accounting data'!$K$2:$K$37000,"64*")+SUMIFS('Accounting data'!$G$2:$G$37000,'Accounting data'!$H$2:$H$37000,"12*",'Accounting data'!$I$2:$I$37000,"8*",'Accounting data'!$J$2:$J$37000,"3*",'Accounting data'!$K$2:$K$37000,"64*")+SUMIFS('Accounting data'!$G$2:$G$37000,'Accounting data'!$H$2:$H$37000,"13*",'Accounting data'!$I$2:$I$37000,"8*",'Accounting data'!$J$2:$J$37000,"3*",'Accounting data'!$K$2:$K$37000,"64*")</f>
        <v>0</v>
      </c>
    </row>
    <row r="588" spans="1:5" x14ac:dyDescent="0.2">
      <c r="A588" s="560" t="s">
        <v>1021</v>
      </c>
      <c r="B588" s="562">
        <v>900</v>
      </c>
      <c r="C588" s="560">
        <v>3000</v>
      </c>
      <c r="D588" s="560">
        <v>6400</v>
      </c>
      <c r="E588" s="561">
        <f>SUMIFS('Accounting data'!$G$2:$G$37000,'Accounting data'!$H$2:$H$37000,"11*",'Accounting data'!$I$2:$I$37000,"9*",'Accounting data'!$J$2:$J$37000,"3*",'Accounting data'!$K$2:$K$37000,"64*")+SUMIFS('Accounting data'!$G$2:$G$37000,'Accounting data'!$H$2:$H$37000,"12*",'Accounting data'!$I$2:$I$37000,"9*",'Accounting data'!$J$2:$J$37000,"3*",'Accounting data'!$K$2:$K$37000,"64*")+SUMIFS('Accounting data'!$G$2:$G$37000,'Accounting data'!$H$2:$H$37000,"13*",'Accounting data'!$I$2:$I$37000,"9*",'Accounting data'!$J$2:$J$37000,"3*",'Accounting data'!$K$2:$K$37000,"64*")</f>
        <v>0</v>
      </c>
    </row>
    <row r="589" spans="1:5" x14ac:dyDescent="0.2">
      <c r="A589" s="563" t="s">
        <v>1052</v>
      </c>
      <c r="B589" s="563"/>
      <c r="C589" s="563"/>
      <c r="D589" s="563"/>
      <c r="E589" s="565">
        <f>(E577+E578+E579)-(E580+E581+E582+E583+E584+E585+E586+E587+E588)</f>
        <v>0</v>
      </c>
    </row>
    <row r="590" spans="1:5" x14ac:dyDescent="0.2">
      <c r="A590" s="560" t="s">
        <v>1021</v>
      </c>
      <c r="B590" s="560" t="s">
        <v>1005</v>
      </c>
      <c r="C590" s="560">
        <v>1000</v>
      </c>
      <c r="D590" s="560">
        <v>6500</v>
      </c>
      <c r="E590" s="561">
        <f>SUMIFS('Accounting data'!$G$2:$G$37000,'Accounting data'!$H$2:$H$37000,"11*",'Accounting data'!$J$2:$J$37000,"1*",'Accounting data'!$K$2:$K$37000,"65*")+SUMIFS('Accounting data'!$G$2:$G$37000,'Accounting data'!$H$2:$H$37000,"12*",'Accounting data'!$J$2:$J$37000,"1*",'Accounting data'!$K$2:$K$37000,"65*")+SUMIFS('Accounting data'!$G$2:$G$37000,'Accounting data'!$H$2:$H$37000,"13*",'Accounting data'!$J$2:$J$37000,"1*",'Accounting data'!$K$2:$K$37000,"65*")</f>
        <v>0</v>
      </c>
    </row>
    <row r="591" spans="1:5" x14ac:dyDescent="0.2">
      <c r="A591" s="560" t="s">
        <v>1021</v>
      </c>
      <c r="B591" s="560" t="s">
        <v>1005</v>
      </c>
      <c r="C591" s="560">
        <v>2000</v>
      </c>
      <c r="D591" s="560">
        <v>6500</v>
      </c>
      <c r="E591" s="561">
        <f>SUMIFS('Accounting data'!$G$2:$G$37000,'Accounting data'!$H$2:$H$37000,"11*",'Accounting data'!$J$2:$J$37000,"2*",'Accounting data'!$K$2:$K$37000,"65*")+SUMIFS('Accounting data'!$G$2:$G$37000,'Accounting data'!$H$2:$H$37000,"12*",'Accounting data'!$J$2:$J$37000,"2*",'Accounting data'!$K$2:$K$37000,"65*")+SUMIFS('Accounting data'!$G$2:$G$37000,'Accounting data'!$H$2:$H$37000,"13*",'Accounting data'!$J$2:$J$37000,"2*",'Accounting data'!$K$2:$K$37000,"65*")</f>
        <v>0</v>
      </c>
    </row>
    <row r="592" spans="1:5" x14ac:dyDescent="0.2">
      <c r="A592" s="560" t="s">
        <v>1021</v>
      </c>
      <c r="B592" s="560" t="s">
        <v>1005</v>
      </c>
      <c r="C592" s="560">
        <v>3000</v>
      </c>
      <c r="D592" s="560">
        <v>6500</v>
      </c>
      <c r="E592" s="561">
        <f>SUMIFS('Accounting data'!$G$2:$G$37000,'Accounting data'!$H$2:$H$37000,"11*",'Accounting data'!$J$2:$J$37000,"3*",'Accounting data'!$K$2:$K$37000,"65*")+SUMIFS('Accounting data'!$G$2:$G$37000,'Accounting data'!$H$2:$H$37000,"12*",'Accounting data'!$J$2:$J$37000,"3*",'Accounting data'!$K$2:$K$37000,"65*")+SUMIFS('Accounting data'!$G$2:$G$37000,'Accounting data'!$H$2:$H$37000,"13*",'Accounting data'!$J$2:$J$37000,"3*",'Accounting data'!$K$2:$K$37000,"65*")</f>
        <v>0</v>
      </c>
    </row>
    <row r="593" spans="1:5" x14ac:dyDescent="0.2">
      <c r="A593" s="560" t="s">
        <v>1021</v>
      </c>
      <c r="B593" s="562">
        <v>700</v>
      </c>
      <c r="C593" s="560">
        <v>1000</v>
      </c>
      <c r="D593" s="560">
        <v>6500</v>
      </c>
      <c r="E593" s="561">
        <f>SUMIFS('Accounting data'!$G$2:$G$37000,'Accounting data'!$H$2:$H$37000,"11*",'Accounting data'!$I$2:$I$37000,"7*",'Accounting data'!$J$2:$J$37000,"1*",'Accounting data'!$K$2:$K$37000,"65*")+SUMIFS('Accounting data'!$G$2:$G$37000,'Accounting data'!$H$2:$H$37000,"12*",'Accounting data'!$I$2:$I$37000,"7*",'Accounting data'!$J$2:$J$37000,"1*",'Accounting data'!$K$2:$K$37000,"65*")+SUMIFS('Accounting data'!$G$2:$G$37000,'Accounting data'!$H$2:$H$37000,"13*",'Accounting data'!$I$2:$I$37000,"7*",'Accounting data'!$J$2:$J$37000,"1*",'Accounting data'!$K$2:$K$37000,"65*")</f>
        <v>0</v>
      </c>
    </row>
    <row r="594" spans="1:5" x14ac:dyDescent="0.2">
      <c r="A594" s="560" t="s">
        <v>1021</v>
      </c>
      <c r="B594" s="562">
        <v>800</v>
      </c>
      <c r="C594" s="560">
        <v>1000</v>
      </c>
      <c r="D594" s="560">
        <v>6500</v>
      </c>
      <c r="E594" s="561">
        <f>SUMIFS('Accounting data'!$G$2:$G$37000,'Accounting data'!$H$2:$H$37000,"11*",'Accounting data'!$I$2:$I$37000,"8*",'Accounting data'!$J$2:$J$37000,"1*",'Accounting data'!$K$2:$K$37000,"65*")+SUMIFS('Accounting data'!$G$2:$G$37000,'Accounting data'!$H$2:$H$37000,"12*",'Accounting data'!$I$2:$I$37000,"8*",'Accounting data'!$J$2:$J$37000,"1*",'Accounting data'!$K$2:$K$37000,"65*")+SUMIFS('Accounting data'!$G$2:$G$37000,'Accounting data'!$H$2:$H$37000,"13*",'Accounting data'!$I$2:$I$37000,"8*",'Accounting data'!$J$2:$J$37000,"1*",'Accounting data'!$K$2:$K$37000,"65*")</f>
        <v>0</v>
      </c>
    </row>
    <row r="595" spans="1:5" x14ac:dyDescent="0.2">
      <c r="A595" s="560" t="s">
        <v>1021</v>
      </c>
      <c r="B595" s="562">
        <v>900</v>
      </c>
      <c r="C595" s="560">
        <v>1000</v>
      </c>
      <c r="D595" s="560">
        <v>6500</v>
      </c>
      <c r="E595" s="561">
        <f>SUMIFS('Accounting data'!$G$2:$G$37000,'Accounting data'!$H$2:$H$37000,"11*",'Accounting data'!$I$2:$I$37000,"9*",'Accounting data'!$J$2:$J$37000,"1*",'Accounting data'!$K$2:$K$37000,"65*")+SUMIFS('Accounting data'!$G$2:$G$37000,'Accounting data'!$H$2:$H$37000,"12*",'Accounting data'!$I$2:$I$37000,"9*",'Accounting data'!$J$2:$J$37000,"1*",'Accounting data'!$K$2:$K$37000,"65*")+SUMIFS('Accounting data'!$G$2:$G$37000,'Accounting data'!$H$2:$H$37000,"13*",'Accounting data'!$I$2:$I$37000,"9*",'Accounting data'!$J$2:$J$37000,"1*",'Accounting data'!$K$2:$K$37000,"65*")</f>
        <v>0</v>
      </c>
    </row>
    <row r="596" spans="1:5" x14ac:dyDescent="0.2">
      <c r="A596" s="560" t="s">
        <v>1021</v>
      </c>
      <c r="B596" s="562">
        <v>700</v>
      </c>
      <c r="C596" s="560">
        <v>2000</v>
      </c>
      <c r="D596" s="560">
        <v>6500</v>
      </c>
      <c r="E596" s="561">
        <f>SUMIFS('Accounting data'!$G$2:$G$37000,'Accounting data'!$H$2:$H$37000,"11*",'Accounting data'!$I$2:$I$37000,"7*",'Accounting data'!$J$2:$J$37000,"2*",'Accounting data'!$K$2:$K$37000,"65*")+SUMIFS('Accounting data'!$G$2:$G$37000,'Accounting data'!$H$2:$H$37000,"12*",'Accounting data'!$I$2:$I$37000,"7*",'Accounting data'!$J$2:$J$37000,"2*",'Accounting data'!$K$2:$K$37000,"65*")+SUMIFS('Accounting data'!$G$2:$G$37000,'Accounting data'!$H$2:$H$37000,"13*",'Accounting data'!$I$2:$I$37000,"7*",'Accounting data'!$J$2:$J$37000,"2*",'Accounting data'!$K$2:$K$37000,"65*")</f>
        <v>0</v>
      </c>
    </row>
    <row r="597" spans="1:5" x14ac:dyDescent="0.2">
      <c r="A597" s="560" t="s">
        <v>1021</v>
      </c>
      <c r="B597" s="562">
        <v>800</v>
      </c>
      <c r="C597" s="560">
        <v>2000</v>
      </c>
      <c r="D597" s="560">
        <v>6500</v>
      </c>
      <c r="E597" s="561">
        <f>SUMIFS('Accounting data'!$G$2:$G$37000,'Accounting data'!$H$2:$H$37000,"11*",'Accounting data'!$I$2:$I$37000,"8*",'Accounting data'!$J$2:$J$37000,"2*",'Accounting data'!$K$2:$K$37000,"65*")+SUMIFS('Accounting data'!$G$2:$G$37000,'Accounting data'!$H$2:$H$37000,"12*",'Accounting data'!$I$2:$I$37000,"8*",'Accounting data'!$J$2:$J$37000,"2*",'Accounting data'!$K$2:$K$37000,"65*")+SUMIFS('Accounting data'!$G$2:$G$37000,'Accounting data'!$H$2:$H$37000,"13*",'Accounting data'!$I$2:$I$37000,"8*",'Accounting data'!$J$2:$J$37000,"2*",'Accounting data'!$K$2:$K$37000,"65*")</f>
        <v>0</v>
      </c>
    </row>
    <row r="598" spans="1:5" x14ac:dyDescent="0.2">
      <c r="A598" s="560" t="s">
        <v>1021</v>
      </c>
      <c r="B598" s="562">
        <v>900</v>
      </c>
      <c r="C598" s="560">
        <v>2000</v>
      </c>
      <c r="D598" s="560">
        <v>6500</v>
      </c>
      <c r="E598" s="561">
        <f>SUMIFS('Accounting data'!$G$2:$G$37000,'Accounting data'!$H$2:$H$37000,"11*",'Accounting data'!$I$2:$I$37000,"9*",'Accounting data'!$J$2:$J$37000,"2*",'Accounting data'!$K$2:$K$37000,"65*")+SUMIFS('Accounting data'!$G$2:$G$37000,'Accounting data'!$H$2:$H$37000,"12*",'Accounting data'!$I$2:$I$37000,"9*",'Accounting data'!$J$2:$J$37000,"2*",'Accounting data'!$K$2:$K$37000,"65*")+SUMIFS('Accounting data'!$G$2:$G$37000,'Accounting data'!$H$2:$H$37000,"13*",'Accounting data'!$I$2:$I$37000,"9*",'Accounting data'!$J$2:$J$37000,"2*",'Accounting data'!$K$2:$K$37000,"65*")</f>
        <v>0</v>
      </c>
    </row>
    <row r="599" spans="1:5" x14ac:dyDescent="0.2">
      <c r="A599" s="560" t="s">
        <v>1021</v>
      </c>
      <c r="B599" s="562">
        <v>700</v>
      </c>
      <c r="C599" s="560">
        <v>3000</v>
      </c>
      <c r="D599" s="560">
        <v>6500</v>
      </c>
      <c r="E599" s="561">
        <f>SUMIFS('Accounting data'!$G$2:$G$37000,'Accounting data'!$H$2:$H$37000,"11*",'Accounting data'!$I$2:$I$37000,"7*",'Accounting data'!$J$2:$J$37000,"3*",'Accounting data'!$K$2:$K$37000,"65*")+SUMIFS('Accounting data'!$G$2:$G$37000,'Accounting data'!$H$2:$H$37000,"12*",'Accounting data'!$I$2:$I$37000,"7*",'Accounting data'!$J$2:$J$37000,"3*",'Accounting data'!$K$2:$K$37000,"65*")+SUMIFS('Accounting data'!$G$2:$G$37000,'Accounting data'!$H$2:$H$37000,"13*",'Accounting data'!$I$2:$I$37000,"7*",'Accounting data'!$J$2:$J$37000,"3*",'Accounting data'!$K$2:$K$37000,"65*")</f>
        <v>0</v>
      </c>
    </row>
    <row r="600" spans="1:5" x14ac:dyDescent="0.2">
      <c r="A600" s="560" t="s">
        <v>1021</v>
      </c>
      <c r="B600" s="562">
        <v>800</v>
      </c>
      <c r="C600" s="560">
        <v>3000</v>
      </c>
      <c r="D600" s="560">
        <v>6500</v>
      </c>
      <c r="E600" s="561">
        <f>SUMIFS('Accounting data'!$G$2:$G$37000,'Accounting data'!$H$2:$H$37000,"11*",'Accounting data'!$I$2:$I$37000,"8*",'Accounting data'!$J$2:$J$37000,"3*",'Accounting data'!$K$2:$K$37000,"65*")+SUMIFS('Accounting data'!$G$2:$G$37000,'Accounting data'!$H$2:$H$37000,"12*",'Accounting data'!$I$2:$I$37000,"8*",'Accounting data'!$J$2:$J$37000,"3*",'Accounting data'!$K$2:$K$37000,"65*")+SUMIFS('Accounting data'!$G$2:$G$37000,'Accounting data'!$H$2:$H$37000,"13*",'Accounting data'!$I$2:$I$37000,"8*",'Accounting data'!$J$2:$J$37000,"3*",'Accounting data'!$K$2:$K$37000,"65*")</f>
        <v>0</v>
      </c>
    </row>
    <row r="601" spans="1:5" x14ac:dyDescent="0.2">
      <c r="A601" s="560" t="s">
        <v>1021</v>
      </c>
      <c r="B601" s="562">
        <v>900</v>
      </c>
      <c r="C601" s="560">
        <v>3000</v>
      </c>
      <c r="D601" s="560">
        <v>6500</v>
      </c>
      <c r="E601" s="561">
        <f>SUMIFS('Accounting data'!$G$2:$G$37000,'Accounting data'!$H$2:$H$37000,"11*",'Accounting data'!$I$2:$I$37000,"9*",'Accounting data'!$J$2:$J$37000,"3*",'Accounting data'!$K$2:$K$37000,"65*")+SUMIFS('Accounting data'!$G$2:$G$37000,'Accounting data'!$H$2:$H$37000,"12*",'Accounting data'!$I$2:$I$37000,"9*",'Accounting data'!$J$2:$J$37000,"3*",'Accounting data'!$K$2:$K$37000,"65*")+SUMIFS('Accounting data'!$G$2:$G$37000,'Accounting data'!$H$2:$H$37000,"13*",'Accounting data'!$I$2:$I$37000,"9*",'Accounting data'!$J$2:$J$37000,"3*",'Accounting data'!$K$2:$K$37000,"65*")</f>
        <v>0</v>
      </c>
    </row>
    <row r="602" spans="1:5" x14ac:dyDescent="0.2">
      <c r="A602" s="563" t="s">
        <v>1053</v>
      </c>
      <c r="B602" s="563"/>
      <c r="C602" s="563"/>
      <c r="D602" s="563"/>
      <c r="E602" s="565">
        <f>(E590+E591+E592)-(E593+E594+E595+E596+E597+E598+E599+E600+E601)</f>
        <v>0</v>
      </c>
    </row>
    <row r="603" spans="1:5" x14ac:dyDescent="0.2">
      <c r="A603" s="560"/>
      <c r="B603" s="560"/>
      <c r="C603" s="560"/>
      <c r="D603" s="560"/>
      <c r="E603" s="561"/>
    </row>
    <row r="604" spans="1:5" x14ac:dyDescent="0.2">
      <c r="A604" s="560"/>
      <c r="B604" s="560"/>
      <c r="C604" s="560"/>
      <c r="D604" s="560"/>
      <c r="E604" s="561"/>
    </row>
    <row r="605" spans="1:5" x14ac:dyDescent="0.2">
      <c r="A605" s="560"/>
      <c r="B605" s="560"/>
      <c r="C605" s="560"/>
      <c r="D605" s="560"/>
      <c r="E605" s="561"/>
    </row>
    <row r="606" spans="1:5" x14ac:dyDescent="0.2">
      <c r="A606" s="560"/>
      <c r="B606" s="562"/>
      <c r="C606" s="560"/>
      <c r="D606" s="560"/>
      <c r="E606" s="561"/>
    </row>
    <row r="607" spans="1:5" x14ac:dyDescent="0.2">
      <c r="A607" s="560"/>
      <c r="B607" s="562"/>
      <c r="C607" s="560"/>
      <c r="D607" s="560"/>
      <c r="E607" s="561"/>
    </row>
    <row r="608" spans="1:5" x14ac:dyDescent="0.2">
      <c r="A608" s="560"/>
      <c r="B608" s="562"/>
      <c r="C608" s="560"/>
      <c r="D608" s="560"/>
      <c r="E608" s="561"/>
    </row>
    <row r="609" spans="1:5" x14ac:dyDescent="0.2">
      <c r="A609" s="560"/>
      <c r="B609" s="562"/>
      <c r="C609" s="560"/>
      <c r="D609" s="560"/>
      <c r="E609" s="561"/>
    </row>
    <row r="610" spans="1:5" x14ac:dyDescent="0.2">
      <c r="A610" s="560"/>
      <c r="B610" s="562"/>
      <c r="C610" s="560"/>
      <c r="D610" s="560"/>
      <c r="E610" s="561"/>
    </row>
    <row r="611" spans="1:5" x14ac:dyDescent="0.2">
      <c r="A611" s="560"/>
      <c r="B611" s="562"/>
      <c r="C611" s="560"/>
      <c r="D611" s="560"/>
      <c r="E611" s="561"/>
    </row>
    <row r="612" spans="1:5" x14ac:dyDescent="0.2">
      <c r="A612" s="560"/>
      <c r="B612" s="562"/>
      <c r="C612" s="560"/>
      <c r="D612" s="560"/>
      <c r="E612" s="561"/>
    </row>
    <row r="613" spans="1:5" x14ac:dyDescent="0.2">
      <c r="A613" s="560"/>
      <c r="B613" s="562"/>
      <c r="C613" s="560"/>
      <c r="D613" s="560"/>
      <c r="E613" s="561"/>
    </row>
    <row r="614" spans="1:5" x14ac:dyDescent="0.2">
      <c r="A614" s="560"/>
      <c r="B614" s="562"/>
      <c r="C614" s="560"/>
      <c r="D614" s="560"/>
      <c r="E614" s="561"/>
    </row>
    <row r="615" spans="1:5" x14ac:dyDescent="0.2">
      <c r="A615" s="563"/>
      <c r="B615" s="563"/>
      <c r="C615" s="563"/>
      <c r="D615" s="563"/>
      <c r="E615" s="565"/>
    </row>
    <row r="616" spans="1:5" x14ac:dyDescent="0.2">
      <c r="A616" s="560"/>
      <c r="B616" s="560"/>
      <c r="C616" s="560"/>
      <c r="D616" s="560"/>
      <c r="E616" s="561"/>
    </row>
    <row r="617" spans="1:5" x14ac:dyDescent="0.2">
      <c r="A617" s="560"/>
      <c r="B617" s="560"/>
      <c r="C617" s="560"/>
      <c r="D617" s="560"/>
      <c r="E617" s="561"/>
    </row>
    <row r="618" spans="1:5" x14ac:dyDescent="0.2">
      <c r="A618" s="560"/>
      <c r="B618" s="560"/>
      <c r="C618" s="560"/>
      <c r="D618" s="560"/>
      <c r="E618" s="561"/>
    </row>
    <row r="619" spans="1:5" x14ac:dyDescent="0.2">
      <c r="A619" s="560"/>
      <c r="B619" s="562"/>
      <c r="C619" s="560"/>
      <c r="D619" s="560"/>
      <c r="E619" s="561"/>
    </row>
    <row r="620" spans="1:5" x14ac:dyDescent="0.2">
      <c r="A620" s="560"/>
      <c r="B620" s="562"/>
      <c r="C620" s="560"/>
      <c r="D620" s="560"/>
      <c r="E620" s="561"/>
    </row>
    <row r="621" spans="1:5" x14ac:dyDescent="0.2">
      <c r="A621" s="560"/>
      <c r="B621" s="562"/>
      <c r="C621" s="560"/>
      <c r="D621" s="560"/>
      <c r="E621" s="561"/>
    </row>
    <row r="622" spans="1:5" x14ac:dyDescent="0.2">
      <c r="A622" s="560"/>
      <c r="B622" s="562"/>
      <c r="C622" s="560"/>
      <c r="D622" s="560"/>
      <c r="E622" s="561"/>
    </row>
    <row r="623" spans="1:5" x14ac:dyDescent="0.2">
      <c r="A623" s="560"/>
      <c r="B623" s="562"/>
      <c r="C623" s="560"/>
      <c r="D623" s="560"/>
      <c r="E623" s="561"/>
    </row>
    <row r="624" spans="1:5" x14ac:dyDescent="0.2">
      <c r="A624" s="560"/>
      <c r="B624" s="562"/>
      <c r="C624" s="560"/>
      <c r="D624" s="560"/>
      <c r="E624" s="561"/>
    </row>
    <row r="625" spans="1:5" x14ac:dyDescent="0.2">
      <c r="A625" s="560"/>
      <c r="B625" s="562"/>
      <c r="C625" s="560"/>
      <c r="D625" s="560"/>
      <c r="E625" s="561"/>
    </row>
    <row r="626" spans="1:5" x14ac:dyDescent="0.2">
      <c r="A626" s="560"/>
      <c r="B626" s="562"/>
      <c r="C626" s="560"/>
      <c r="D626" s="560"/>
      <c r="E626" s="561"/>
    </row>
    <row r="627" spans="1:5" x14ac:dyDescent="0.2">
      <c r="A627" s="560"/>
      <c r="B627" s="562"/>
      <c r="C627" s="560"/>
      <c r="D627" s="560"/>
      <c r="E627" s="561"/>
    </row>
    <row r="628" spans="1:5" x14ac:dyDescent="0.2">
      <c r="A628" s="563"/>
      <c r="B628" s="563"/>
      <c r="C628" s="563"/>
      <c r="D628" s="563"/>
      <c r="E628" s="565"/>
    </row>
    <row r="629" spans="1:5" x14ac:dyDescent="0.2">
      <c r="A629" s="566" t="s">
        <v>1054</v>
      </c>
      <c r="B629" s="566"/>
      <c r="C629" s="566"/>
      <c r="D629" s="566"/>
      <c r="E629" s="570">
        <f>(E576+E589+E602)-(E615+E628)</f>
        <v>27927</v>
      </c>
    </row>
    <row r="630" spans="1:5" x14ac:dyDescent="0.2">
      <c r="A630" s="560" t="s">
        <v>1005</v>
      </c>
      <c r="B630" s="560" t="s">
        <v>1005</v>
      </c>
      <c r="C630" s="560">
        <v>1000</v>
      </c>
      <c r="D630" s="560">
        <v>6600</v>
      </c>
      <c r="E630" s="561">
        <f>SUMIFS('Accounting data'!$G$2:$G$37000,'Accounting data'!$J$2:$J$37000,"1*",'Accounting data'!$K$2:$K$37000,"66*")</f>
        <v>119655</v>
      </c>
    </row>
    <row r="631" spans="1:5" x14ac:dyDescent="0.2">
      <c r="A631" s="560" t="s">
        <v>1006</v>
      </c>
      <c r="B631" s="560" t="s">
        <v>1005</v>
      </c>
      <c r="C631" s="560">
        <v>1000</v>
      </c>
      <c r="D631" s="560">
        <v>6600</v>
      </c>
      <c r="E631" s="561">
        <f>SUMIFS('Accounting data'!$G$2:$G$37000,'Accounting data'!$H$2:$H$37000,"9999*",'Accounting data'!$J$2:$J$37000,"1*",'Accounting data'!$K$2:$K$37000,"66*")</f>
        <v>0</v>
      </c>
    </row>
    <row r="632" spans="1:5" x14ac:dyDescent="0.2">
      <c r="A632" s="560" t="s">
        <v>1005</v>
      </c>
      <c r="B632" s="560" t="s">
        <v>1007</v>
      </c>
      <c r="C632" s="560">
        <v>1000</v>
      </c>
      <c r="D632" s="560">
        <v>6600</v>
      </c>
      <c r="E632" s="561">
        <f>SUMIFS('Accounting data'!$G$2:$G$37000,'Accounting data'!$I$2:$I$37000,"7*",'Accounting data'!$J$2:$J$37000,"1*",'Accounting data'!$K$2:$K$37000,"66*")+SUMIFS('Accounting data'!$G$2:$G$37000,'Accounting data'!$I$2:$I$37000,"8*",'Accounting data'!$J$2:$J$37000,"1*",'Accounting data'!$K$2:$K$37000,"66*")+SUMIFS('Accounting data'!$G$2:$G$37000,'Accounting data'!$I$2:$I$37000,"9*",'Accounting data'!$J$2:$J$37000,"1*",'Accounting data'!$K$2:$K$37000,"66*")</f>
        <v>0</v>
      </c>
    </row>
    <row r="633" spans="1:5" x14ac:dyDescent="0.2">
      <c r="A633" s="562" t="s">
        <v>1006</v>
      </c>
      <c r="B633" s="560" t="s">
        <v>1007</v>
      </c>
      <c r="C633" s="560">
        <v>1000</v>
      </c>
      <c r="D633" s="560">
        <v>6600</v>
      </c>
      <c r="E633" s="561">
        <f>SUMIFS('Accounting data'!$G$2:$G$37000,'Accounting data'!$H$2:$H$37000,"9999*",'Accounting data'!$I$2:$I$37000,"7*",'Accounting data'!$J$2:$J$37000,"1*",'Accounting data'!$K$2:$K$37000,"66*")+SUMIFS('Accounting data'!$G$2:$G$37000,'Accounting data'!$H$2:$H$37000,"9999*",'Accounting data'!$I$2:$I$37000,"8*",'Accounting data'!$J$2:$J$37000,"1*",'Accounting data'!$K$2:$K$37000,"66*")+SUMIFS('Accounting data'!$G$2:$G$37000,'Accounting data'!$H$2:$H$37000,"9999*",'Accounting data'!$I$2:$I$37000,"9*",'Accounting data'!$J$2:$J$37000,"1*",'Accounting data'!$K$2:$K$37000,"66*")</f>
        <v>0</v>
      </c>
    </row>
    <row r="634" spans="1:5" x14ac:dyDescent="0.2">
      <c r="A634" s="560"/>
      <c r="B634" s="560"/>
      <c r="C634" s="560"/>
      <c r="D634" s="560"/>
      <c r="E634" s="561"/>
    </row>
    <row r="635" spans="1:5" x14ac:dyDescent="0.2">
      <c r="A635" s="560"/>
      <c r="B635" s="560"/>
      <c r="C635" s="560"/>
      <c r="D635" s="560"/>
      <c r="E635" s="561"/>
    </row>
    <row r="636" spans="1:5" x14ac:dyDescent="0.2">
      <c r="A636" s="563" t="s">
        <v>1055</v>
      </c>
      <c r="B636" s="563"/>
      <c r="C636" s="563"/>
      <c r="D636" s="563"/>
      <c r="E636" s="565">
        <f>(E630-E631-E632)+(E633+E634+E635)</f>
        <v>119655</v>
      </c>
    </row>
    <row r="637" spans="1:5" x14ac:dyDescent="0.2">
      <c r="A637" s="560" t="s">
        <v>1005</v>
      </c>
      <c r="B637" s="560" t="s">
        <v>1005</v>
      </c>
      <c r="C637" s="560">
        <v>2100</v>
      </c>
      <c r="D637" s="560">
        <v>6600</v>
      </c>
      <c r="E637" s="561">
        <f>SUMIFS('Accounting data'!$G$2:$G$37000,'Accounting data'!$J$2:$J$37000,"21*",'Accounting data'!$K$2:$K$37000,"66*")</f>
        <v>43675</v>
      </c>
    </row>
    <row r="638" spans="1:5" x14ac:dyDescent="0.2">
      <c r="A638" s="560" t="s">
        <v>1006</v>
      </c>
      <c r="B638" s="560" t="s">
        <v>1005</v>
      </c>
      <c r="C638" s="560">
        <v>2100</v>
      </c>
      <c r="D638" s="560">
        <v>6600</v>
      </c>
      <c r="E638" s="561">
        <f>SUMIFS('Accounting data'!$G$2:$G$37000,'Accounting data'!$H$2:$H$37000,"9999*",'Accounting data'!$J$2:$J$37000,"21*",'Accounting data'!$K$2:$K$37000,"66*")</f>
        <v>0</v>
      </c>
    </row>
    <row r="639" spans="1:5" x14ac:dyDescent="0.2">
      <c r="A639" s="560" t="s">
        <v>1005</v>
      </c>
      <c r="B639" s="560" t="s">
        <v>1007</v>
      </c>
      <c r="C639" s="560">
        <v>2100</v>
      </c>
      <c r="D639" s="560">
        <v>6600</v>
      </c>
      <c r="E639" s="561">
        <f>SUMIFS('Accounting data'!$G$2:$G$37000,'Accounting data'!$I$2:$I$37000,"7*",'Accounting data'!$J$2:$J$37000,"21*",'Accounting data'!$K$2:$K$37000,"66*")+SUMIFS('Accounting data'!$G$2:$G$37000,'Accounting data'!$I$2:$I$37000,"8*",'Accounting data'!$J$2:$J$37000,"21*",'Accounting data'!$K$2:$K$37000,"66*")+SUMIFS('Accounting data'!$G$2:$G$37000,'Accounting data'!$I$2:$I$37000,"9*",'Accounting data'!$J$2:$J$37000,"21*",'Accounting data'!$K$2:$K$37000,"66*")</f>
        <v>0</v>
      </c>
    </row>
    <row r="640" spans="1:5" x14ac:dyDescent="0.2">
      <c r="A640" s="562" t="s">
        <v>1006</v>
      </c>
      <c r="B640" s="560" t="s">
        <v>1007</v>
      </c>
      <c r="C640" s="560">
        <v>2100</v>
      </c>
      <c r="D640" s="560">
        <v>6600</v>
      </c>
      <c r="E640" s="561">
        <f>SUMIFS('Accounting data'!$G$2:$G$37000,'Accounting data'!$H$2:$H$37000,"9999*",'Accounting data'!$I$2:$I$37000,"7*",'Accounting data'!$J$2:$J$37000,"21*",'Accounting data'!$K$2:$K$37000,"66*")+SUMIFS('Accounting data'!$G$2:$G$37000,'Accounting data'!$H$2:$H$37000,"9999*",'Accounting data'!$I$2:$I$37000,"8*",'Accounting data'!$J$2:$J$37000,"21*",'Accounting data'!$K$2:$K$37000,"66*")+SUMIFS('Accounting data'!$G$2:$G$37000,'Accounting data'!$H$2:$H$37000,"9999*",'Accounting data'!$I$2:$I$37000,"9*",'Accounting data'!$J$2:$J$37000,"21*",'Accounting data'!$K$2:$K$37000,"66*")</f>
        <v>0</v>
      </c>
    </row>
    <row r="641" spans="1:5" x14ac:dyDescent="0.2">
      <c r="A641" s="560"/>
      <c r="B641" s="560"/>
      <c r="C641" s="560"/>
      <c r="D641" s="560"/>
      <c r="E641" s="561"/>
    </row>
    <row r="642" spans="1:5" x14ac:dyDescent="0.2">
      <c r="A642" s="560"/>
      <c r="B642" s="560"/>
      <c r="C642" s="560"/>
      <c r="D642" s="560"/>
      <c r="E642" s="561"/>
    </row>
    <row r="643" spans="1:5" x14ac:dyDescent="0.2">
      <c r="A643" s="563" t="s">
        <v>1056</v>
      </c>
      <c r="B643" s="563"/>
      <c r="C643" s="563"/>
      <c r="D643" s="563"/>
      <c r="E643" s="565">
        <f>(E637-E638-E639)+(E640+E641+E642)</f>
        <v>43675</v>
      </c>
    </row>
    <row r="644" spans="1:5" x14ac:dyDescent="0.2">
      <c r="A644" s="560" t="s">
        <v>1005</v>
      </c>
      <c r="B644" s="560" t="s">
        <v>1005</v>
      </c>
      <c r="C644" s="560">
        <v>2200</v>
      </c>
      <c r="D644" s="560">
        <v>6600</v>
      </c>
      <c r="E644" s="561">
        <f>SUMIFS('Accounting data'!$G$2:$G$37000,'Accounting data'!$J$2:$J$37000,"22*",'Accounting data'!$K$2:$K$37000,"66*")</f>
        <v>200</v>
      </c>
    </row>
    <row r="645" spans="1:5" x14ac:dyDescent="0.2">
      <c r="A645" s="560" t="s">
        <v>1006</v>
      </c>
      <c r="B645" s="560" t="s">
        <v>1005</v>
      </c>
      <c r="C645" s="560">
        <v>2200</v>
      </c>
      <c r="D645" s="560">
        <v>6600</v>
      </c>
      <c r="E645" s="561">
        <f>SUMIFS('Accounting data'!$G$2:$G$37000,'Accounting data'!$H$2:$H$37000,"9999*",'Accounting data'!$J$2:$J$37000,"22*",'Accounting data'!$K$2:$K$37000,"66*")</f>
        <v>0</v>
      </c>
    </row>
    <row r="646" spans="1:5" x14ac:dyDescent="0.2">
      <c r="A646" s="560" t="s">
        <v>1005</v>
      </c>
      <c r="B646" s="560" t="s">
        <v>1007</v>
      </c>
      <c r="C646" s="560">
        <v>2200</v>
      </c>
      <c r="D646" s="560">
        <v>6600</v>
      </c>
      <c r="E646" s="561">
        <f>SUMIFS('Accounting data'!$G$2:$G$37000,'Accounting data'!$I$2:$I$37000,"7*",'Accounting data'!$J$2:$J$37000,"22*",'Accounting data'!$K$2:$K$37000,"66*")+SUMIFS('Accounting data'!$G$2:$G$37000,'Accounting data'!$I$2:$I$37000,"8*",'Accounting data'!$J$2:$J$37000,"22*",'Accounting data'!$K$2:$K$37000,"66*")+SUMIFS('Accounting data'!$G$2:$G$37000,'Accounting data'!$I$2:$I$37000,"9*",'Accounting data'!$J$2:$J$37000,"22*",'Accounting data'!$K$2:$K$37000,"66*")</f>
        <v>0</v>
      </c>
    </row>
    <row r="647" spans="1:5" x14ac:dyDescent="0.2">
      <c r="A647" s="562" t="s">
        <v>1006</v>
      </c>
      <c r="B647" s="560" t="s">
        <v>1007</v>
      </c>
      <c r="C647" s="560">
        <v>2200</v>
      </c>
      <c r="D647" s="560">
        <v>6600</v>
      </c>
      <c r="E647" s="561">
        <f>SUMIFS('Accounting data'!$G$2:$G$37000,'Accounting data'!$H$2:$H$37000,"9999*",'Accounting data'!$I$2:$I$37000,"7*",'Accounting data'!$J$2:$J$37000,"22*",'Accounting data'!$K$2:$K$37000,"66*")+SUMIFS('Accounting data'!$G$2:$G$37000,'Accounting data'!$H$2:$H$37000,"9999*",'Accounting data'!$I$2:$I$37000,"8*",'Accounting data'!$J$2:$J$37000,"22*",'Accounting data'!$K$2:$K$37000,"66*")+SUMIFS('Accounting data'!$G$2:$G$37000,'Accounting data'!$H$2:$H$37000,"9999*",'Accounting data'!$I$2:$I$37000,"9*",'Accounting data'!$J$2:$J$37000,"22*",'Accounting data'!$K$2:$K$37000,"66*")</f>
        <v>0</v>
      </c>
    </row>
    <row r="648" spans="1:5" x14ac:dyDescent="0.2">
      <c r="A648" s="560"/>
      <c r="B648" s="560"/>
      <c r="C648" s="560"/>
      <c r="D648" s="560"/>
      <c r="E648" s="561"/>
    </row>
    <row r="649" spans="1:5" x14ac:dyDescent="0.2">
      <c r="A649" s="560"/>
      <c r="B649" s="560"/>
      <c r="C649" s="560"/>
      <c r="D649" s="560"/>
      <c r="E649" s="561"/>
    </row>
    <row r="650" spans="1:5" x14ac:dyDescent="0.2">
      <c r="A650" s="563" t="s">
        <v>1057</v>
      </c>
      <c r="B650" s="563"/>
      <c r="C650" s="563"/>
      <c r="D650" s="563"/>
      <c r="E650" s="565">
        <f>(E644-E645-E646)+(E647+E648+E649)</f>
        <v>200</v>
      </c>
    </row>
    <row r="651" spans="1:5" x14ac:dyDescent="0.2">
      <c r="A651" s="560" t="s">
        <v>1005</v>
      </c>
      <c r="B651" s="560" t="s">
        <v>1005</v>
      </c>
      <c r="C651" s="560">
        <v>2300</v>
      </c>
      <c r="D651" s="560">
        <v>6600</v>
      </c>
      <c r="E651" s="561">
        <f>SUMIFS('Accounting data'!$G$2:$G$37000,'Accounting data'!$J$2:$J$37000,"23*",'Accounting data'!$K$2:$K$37000,"66*")</f>
        <v>92</v>
      </c>
    </row>
    <row r="652" spans="1:5" x14ac:dyDescent="0.2">
      <c r="A652" s="560" t="s">
        <v>1006</v>
      </c>
      <c r="B652" s="560" t="s">
        <v>1005</v>
      </c>
      <c r="C652" s="560">
        <v>2300</v>
      </c>
      <c r="D652" s="560">
        <v>6600</v>
      </c>
      <c r="E652" s="561">
        <f>SUMIFS('Accounting data'!$G$2:$G$37000,'Accounting data'!$H$2:$H$37000,"9999*",'Accounting data'!$J$2:$J$37000,"23*",'Accounting data'!$K$2:$K$37000,"66*")</f>
        <v>0</v>
      </c>
    </row>
    <row r="653" spans="1:5" x14ac:dyDescent="0.2">
      <c r="A653" s="560" t="s">
        <v>1005</v>
      </c>
      <c r="B653" s="560" t="s">
        <v>1007</v>
      </c>
      <c r="C653" s="560">
        <v>2300</v>
      </c>
      <c r="D653" s="560">
        <v>6600</v>
      </c>
      <c r="E653" s="561">
        <f>SUMIFS('Accounting data'!$G$2:$G$37000,'Accounting data'!$I$2:$I$37000,"7*",'Accounting data'!$J$2:$J$37000,"23*",'Accounting data'!$K$2:$K$37000,"66*")+SUMIFS('Accounting data'!$G$2:$G$37000,'Accounting data'!$I$2:$I$37000,"8*",'Accounting data'!$J$2:$J$37000,"23*",'Accounting data'!$K$2:$K$37000,"66*")+SUMIFS('Accounting data'!$G$2:$G$37000,'Accounting data'!$I$2:$I$37000,"9*",'Accounting data'!$J$2:$J$37000,"23*",'Accounting data'!$K$2:$K$37000,"66*")</f>
        <v>0</v>
      </c>
    </row>
    <row r="654" spans="1:5" x14ac:dyDescent="0.2">
      <c r="A654" s="562" t="s">
        <v>1006</v>
      </c>
      <c r="B654" s="560" t="s">
        <v>1007</v>
      </c>
      <c r="C654" s="560">
        <v>2300</v>
      </c>
      <c r="D654" s="560">
        <v>6600</v>
      </c>
      <c r="E654" s="561">
        <f>SUMIFS('Accounting data'!$G$2:$G$37000,'Accounting data'!$H$2:$H$37000,"9999*",'Accounting data'!$I$2:$I$37000,"7*",'Accounting data'!$J$2:$J$37000,"23*",'Accounting data'!$K$2:$K$37000,"66*")+SUMIFS('Accounting data'!$G$2:$G$37000,'Accounting data'!$H$2:$H$37000,"9999*",'Accounting data'!$I$2:$I$37000,"8*",'Accounting data'!$J$2:$J$37000,"23*",'Accounting data'!$K$2:$K$37000,"66*")+SUMIFS('Accounting data'!$G$2:$G$37000,'Accounting data'!$H$2:$H$37000,"9999*",'Accounting data'!$I$2:$I$37000,"9*",'Accounting data'!$J$2:$J$37000,"23*",'Accounting data'!$K$2:$K$37000,"66*")</f>
        <v>0</v>
      </c>
    </row>
    <row r="655" spans="1:5" x14ac:dyDescent="0.2">
      <c r="A655" s="560"/>
      <c r="B655" s="560"/>
      <c r="C655" s="560"/>
      <c r="D655" s="560"/>
      <c r="E655" s="561"/>
    </row>
    <row r="656" spans="1:5" x14ac:dyDescent="0.2">
      <c r="A656" s="560"/>
      <c r="B656" s="560"/>
      <c r="C656" s="560"/>
      <c r="D656" s="560"/>
      <c r="E656" s="561"/>
    </row>
    <row r="657" spans="1:5" x14ac:dyDescent="0.2">
      <c r="A657" s="563" t="s">
        <v>1058</v>
      </c>
      <c r="B657" s="563"/>
      <c r="C657" s="563"/>
      <c r="D657" s="563"/>
      <c r="E657" s="565">
        <f>(E651-E652-E653)+(E654+E655+E656)</f>
        <v>92</v>
      </c>
    </row>
    <row r="658" spans="1:5" x14ac:dyDescent="0.2">
      <c r="A658" s="560" t="s">
        <v>1005</v>
      </c>
      <c r="B658" s="560" t="s">
        <v>1005</v>
      </c>
      <c r="C658" s="560">
        <v>2400</v>
      </c>
      <c r="D658" s="560">
        <v>6600</v>
      </c>
      <c r="E658" s="561">
        <f>SUMIFS('Accounting data'!$G$2:$G$37000,'Accounting data'!$J$2:$J$37000,"24*",'Accounting data'!$K$2:$K$37000,"66*")</f>
        <v>951</v>
      </c>
    </row>
    <row r="659" spans="1:5" x14ac:dyDescent="0.2">
      <c r="A659" s="560" t="s">
        <v>1006</v>
      </c>
      <c r="B659" s="560" t="s">
        <v>1005</v>
      </c>
      <c r="C659" s="560">
        <v>2400</v>
      </c>
      <c r="D659" s="560">
        <v>6600</v>
      </c>
      <c r="E659" s="561">
        <f>SUMIFS('Accounting data'!$G$2:$G$37000,'Accounting data'!$H$2:$H$37000,"9999*",'Accounting data'!$J$2:$J$37000,"24*",'Accounting data'!$K$2:$K$37000,"66*")</f>
        <v>0</v>
      </c>
    </row>
    <row r="660" spans="1:5" x14ac:dyDescent="0.2">
      <c r="A660" s="560" t="s">
        <v>1005</v>
      </c>
      <c r="B660" s="560" t="s">
        <v>1007</v>
      </c>
      <c r="C660" s="560">
        <v>2400</v>
      </c>
      <c r="D660" s="560">
        <v>6600</v>
      </c>
      <c r="E660" s="561">
        <f>SUMIFS('Accounting data'!$G$2:$G$37000,'Accounting data'!$I$2:$I$37000,"7*",'Accounting data'!$J$2:$J$37000,"24*",'Accounting data'!$K$2:$K$37000,"66*")+SUMIFS('Accounting data'!$G$2:$G$37000,'Accounting data'!$I$2:$I$37000,"8*",'Accounting data'!$J$2:$J$37000,"24*",'Accounting data'!$K$2:$K$37000,"66*")+SUMIFS('Accounting data'!$G$2:$G$37000,'Accounting data'!$I$2:$I$37000,"9*",'Accounting data'!$J$2:$J$37000,"24*",'Accounting data'!$K$2:$K$37000,"66*")</f>
        <v>0</v>
      </c>
    </row>
    <row r="661" spans="1:5" x14ac:dyDescent="0.2">
      <c r="A661" s="562" t="s">
        <v>1006</v>
      </c>
      <c r="B661" s="560" t="s">
        <v>1007</v>
      </c>
      <c r="C661" s="560">
        <v>2400</v>
      </c>
      <c r="D661" s="560">
        <v>6600</v>
      </c>
      <c r="E661" s="561">
        <f>SUMIFS('Accounting data'!$G$2:$G$37000,'Accounting data'!$H$2:$H$37000,"9999*",'Accounting data'!$I$2:$I$37000,"7*",'Accounting data'!$J$2:$J$37000,"24*",'Accounting data'!$K$2:$K$37000,"66*")+SUMIFS('Accounting data'!$G$2:$G$37000,'Accounting data'!$H$2:$H$37000,"9999*",'Accounting data'!$I$2:$I$37000,"8*",'Accounting data'!$J$2:$J$37000,"24*",'Accounting data'!$K$2:$K$37000,"66*")+SUMIFS('Accounting data'!$G$2:$G$37000,'Accounting data'!$H$2:$H$37000,"9999*",'Accounting data'!$I$2:$I$37000,"9*",'Accounting data'!$J$2:$J$37000,"24*",'Accounting data'!$K$2:$K$37000,"66*")</f>
        <v>0</v>
      </c>
    </row>
    <row r="662" spans="1:5" x14ac:dyDescent="0.2">
      <c r="A662" s="560"/>
      <c r="B662" s="560"/>
      <c r="C662" s="560"/>
      <c r="D662" s="560"/>
      <c r="E662" s="561"/>
    </row>
    <row r="663" spans="1:5" x14ac:dyDescent="0.2">
      <c r="A663" s="560"/>
      <c r="B663" s="560"/>
      <c r="C663" s="560"/>
      <c r="D663" s="560"/>
      <c r="E663" s="561"/>
    </row>
    <row r="664" spans="1:5" x14ac:dyDescent="0.2">
      <c r="A664" s="563" t="s">
        <v>1059</v>
      </c>
      <c r="B664" s="563"/>
      <c r="C664" s="563"/>
      <c r="D664" s="563"/>
      <c r="E664" s="565">
        <f>(E658-E659-E660)+(E661+E662+E663)</f>
        <v>951</v>
      </c>
    </row>
    <row r="665" spans="1:5" x14ac:dyDescent="0.2">
      <c r="A665" s="560" t="s">
        <v>1005</v>
      </c>
      <c r="B665" s="560" t="s">
        <v>1005</v>
      </c>
      <c r="C665" s="560">
        <v>2500</v>
      </c>
      <c r="D665" s="560">
        <v>6600</v>
      </c>
      <c r="E665" s="561">
        <f>SUMIFS('Accounting data'!$G$2:$G$37000,'Accounting data'!$J$2:$J$37000,"25*",'Accounting data'!$K$2:$K$37000,"66*")</f>
        <v>22644</v>
      </c>
    </row>
    <row r="666" spans="1:5" x14ac:dyDescent="0.2">
      <c r="A666" s="560" t="s">
        <v>1006</v>
      </c>
      <c r="B666" s="560" t="s">
        <v>1005</v>
      </c>
      <c r="C666" s="560">
        <v>2500</v>
      </c>
      <c r="D666" s="560">
        <v>6600</v>
      </c>
      <c r="E666" s="561">
        <f>SUMIFS('Accounting data'!$G$2:$G$37000,'Accounting data'!$H$2:$H$37000,"9999*",'Accounting data'!$J$2:$J$37000,"25*",'Accounting data'!$K$2:$K$37000,"66*")</f>
        <v>0</v>
      </c>
    </row>
    <row r="667" spans="1:5" x14ac:dyDescent="0.2">
      <c r="A667" s="560" t="s">
        <v>1005</v>
      </c>
      <c r="B667" s="560" t="s">
        <v>1007</v>
      </c>
      <c r="C667" s="560">
        <v>2500</v>
      </c>
      <c r="D667" s="560">
        <v>6600</v>
      </c>
      <c r="E667" s="561">
        <f>SUMIFS('Accounting data'!$G$2:$G$37000,'Accounting data'!$I$2:$I$37000,"7*",'Accounting data'!$J$2:$J$37000,"25*",'Accounting data'!$K$2:$K$37000,"66*")+SUMIFS('Accounting data'!$G$2:$G$37000,'Accounting data'!$I$2:$I$37000,"8*",'Accounting data'!$J$2:$J$37000,"25*",'Accounting data'!$K$2:$K$37000,"66*")+SUMIFS('Accounting data'!$G$2:$G$37000,'Accounting data'!$I$2:$I$37000,"9*",'Accounting data'!$J$2:$J$37000,"25*",'Accounting data'!$K$2:$K$37000,"66*")</f>
        <v>0</v>
      </c>
    </row>
    <row r="668" spans="1:5" x14ac:dyDescent="0.2">
      <c r="A668" s="562" t="s">
        <v>1006</v>
      </c>
      <c r="B668" s="560" t="s">
        <v>1007</v>
      </c>
      <c r="C668" s="560">
        <v>2500</v>
      </c>
      <c r="D668" s="560">
        <v>6600</v>
      </c>
      <c r="E668" s="561">
        <f>SUMIFS('Accounting data'!$G$2:$G$37000,'Accounting data'!$H$2:$H$37000,"9999*",'Accounting data'!$I$2:$I$37000,"7*",'Accounting data'!$J$2:$J$37000,"25*",'Accounting data'!$K$2:$K$37000,"66*")+SUMIFS('Accounting data'!$G$2:$G$37000,'Accounting data'!$H$2:$H$37000,"9999*",'Accounting data'!$I$2:$I$37000,"8*",'Accounting data'!$J$2:$J$37000,"25*",'Accounting data'!$K$2:$K$37000,"66*")+SUMIFS('Accounting data'!$G$2:$G$37000,'Accounting data'!$H$2:$H$37000,"9999*",'Accounting data'!$I$2:$I$37000,"9*",'Accounting data'!$J$2:$J$37000,"25*",'Accounting data'!$K$2:$K$37000,"66*")</f>
        <v>0</v>
      </c>
    </row>
    <row r="669" spans="1:5" x14ac:dyDescent="0.2">
      <c r="A669" s="560"/>
      <c r="B669" s="560"/>
      <c r="C669" s="560"/>
      <c r="D669" s="560"/>
      <c r="E669" s="561"/>
    </row>
    <row r="670" spans="1:5" x14ac:dyDescent="0.2">
      <c r="A670" s="560"/>
      <c r="B670" s="560"/>
      <c r="C670" s="560"/>
      <c r="D670" s="560"/>
      <c r="E670" s="561"/>
    </row>
    <row r="671" spans="1:5" x14ac:dyDescent="0.2">
      <c r="A671" s="563" t="s">
        <v>1060</v>
      </c>
      <c r="B671" s="563"/>
      <c r="C671" s="563"/>
      <c r="D671" s="563"/>
      <c r="E671" s="565">
        <f>(E665-E666-E667)+(E668+E669+E670)</f>
        <v>22644</v>
      </c>
    </row>
    <row r="672" spans="1:5" x14ac:dyDescent="0.2">
      <c r="A672" s="560" t="s">
        <v>1005</v>
      </c>
      <c r="B672" s="560" t="s">
        <v>1005</v>
      </c>
      <c r="C672" s="560">
        <v>2900</v>
      </c>
      <c r="D672" s="560">
        <v>6600</v>
      </c>
      <c r="E672" s="561">
        <f>SUMIFS('Accounting data'!$G$2:$G$37000,'Accounting data'!$J$2:$J$37000,"29*",'Accounting data'!$K$2:$K$37000,"66*")</f>
        <v>0</v>
      </c>
    </row>
    <row r="673" spans="1:5" x14ac:dyDescent="0.2">
      <c r="A673" s="560" t="s">
        <v>1006</v>
      </c>
      <c r="B673" s="560" t="s">
        <v>1005</v>
      </c>
      <c r="C673" s="560">
        <v>2900</v>
      </c>
      <c r="D673" s="560">
        <v>6600</v>
      </c>
      <c r="E673" s="561">
        <f>SUMIFS('Accounting data'!$G$2:$G$37000,'Accounting data'!$H$2:$H$37000,"9999*",'Accounting data'!$J$2:$J$37000,"29*",'Accounting data'!$K$2:$K$37000,"66*")</f>
        <v>0</v>
      </c>
    </row>
    <row r="674" spans="1:5" x14ac:dyDescent="0.2">
      <c r="A674" s="560" t="s">
        <v>1005</v>
      </c>
      <c r="B674" s="560" t="s">
        <v>1007</v>
      </c>
      <c r="C674" s="560">
        <v>2900</v>
      </c>
      <c r="D674" s="560">
        <v>6600</v>
      </c>
      <c r="E674" s="561">
        <f>SUMIFS('Accounting data'!$G$2:$G$37000,'Accounting data'!$I$2:$I$37000,"7*",'Accounting data'!$J$2:$J$37000,"29*",'Accounting data'!$K$2:$K$37000,"66*")+SUMIFS('Accounting data'!$G$2:$G$37000,'Accounting data'!$I$2:$I$37000,"8*",'Accounting data'!$J$2:$J$37000,"29*",'Accounting data'!$K$2:$K$37000,"66*")+SUMIFS('Accounting data'!$G$2:$G$37000,'Accounting data'!$I$2:$I$37000,"9*",'Accounting data'!$J$2:$J$37000,"29*",'Accounting data'!$K$2:$K$37000,"66*")</f>
        <v>0</v>
      </c>
    </row>
    <row r="675" spans="1:5" x14ac:dyDescent="0.2">
      <c r="A675" s="562" t="s">
        <v>1006</v>
      </c>
      <c r="B675" s="560" t="s">
        <v>1007</v>
      </c>
      <c r="C675" s="560">
        <v>2900</v>
      </c>
      <c r="D675" s="560">
        <v>6600</v>
      </c>
      <c r="E675" s="561">
        <f>SUMIFS('Accounting data'!$G$2:$G$37000,'Accounting data'!$H$2:$H$37000,"9999*",'Accounting data'!$I$2:$I$37000,"7*",'Accounting data'!$J$2:$J$37000,"29*",'Accounting data'!$K$2:$K$37000,"66*")+SUMIFS('Accounting data'!$G$2:$G$37000,'Accounting data'!$H$2:$H$37000,"9999*",'Accounting data'!$I$2:$I$37000,"8*",'Accounting data'!$J$2:$J$37000,"29*",'Accounting data'!$K$2:$K$37000,"66*")+SUMIFS('Accounting data'!$G$2:$G$37000,'Accounting data'!$H$2:$H$37000,"9999*",'Accounting data'!$I$2:$I$37000,"9*",'Accounting data'!$J$2:$J$37000,"29*",'Accounting data'!$K$2:$K$37000,"66*")</f>
        <v>0</v>
      </c>
    </row>
    <row r="676" spans="1:5" x14ac:dyDescent="0.2">
      <c r="A676" s="560"/>
      <c r="B676" s="560"/>
      <c r="C676" s="560"/>
      <c r="D676" s="560"/>
      <c r="E676" s="561"/>
    </row>
    <row r="677" spans="1:5" x14ac:dyDescent="0.2">
      <c r="A677" s="560"/>
      <c r="B677" s="560"/>
      <c r="C677" s="560"/>
      <c r="D677" s="560"/>
      <c r="E677" s="561"/>
    </row>
    <row r="678" spans="1:5" x14ac:dyDescent="0.2">
      <c r="A678" s="563" t="s">
        <v>1061</v>
      </c>
      <c r="B678" s="563"/>
      <c r="C678" s="563"/>
      <c r="D678" s="563"/>
      <c r="E678" s="565">
        <f>(E672-E673-E674)+(E675+E676+E677)</f>
        <v>0</v>
      </c>
    </row>
    <row r="679" spans="1:5" x14ac:dyDescent="0.2">
      <c r="A679" s="560" t="s">
        <v>1005</v>
      </c>
      <c r="B679" s="560" t="s">
        <v>1005</v>
      </c>
      <c r="C679" s="560">
        <v>2600</v>
      </c>
      <c r="D679" s="560">
        <v>6600</v>
      </c>
      <c r="E679" s="561">
        <f>SUMIFS('Accounting data'!$G$2:$G$37000,'Accounting data'!$J$2:$J$37000,"26*",'Accounting data'!$K$2:$K$37000,"66*")</f>
        <v>22488</v>
      </c>
    </row>
    <row r="680" spans="1:5" x14ac:dyDescent="0.2">
      <c r="A680" s="560" t="s">
        <v>1006</v>
      </c>
      <c r="B680" s="560" t="s">
        <v>1005</v>
      </c>
      <c r="C680" s="560">
        <v>2600</v>
      </c>
      <c r="D680" s="560">
        <v>6600</v>
      </c>
      <c r="E680" s="561">
        <f>SUMIFS('Accounting data'!$G$2:$G$37000,'Accounting data'!$H$2:$H$37000,"9999*",'Accounting data'!$J$2:$J$37000,"26*",'Accounting data'!$K$2:$K$37000,"66*")</f>
        <v>0</v>
      </c>
    </row>
    <row r="681" spans="1:5" x14ac:dyDescent="0.2">
      <c r="A681" s="560" t="s">
        <v>1005</v>
      </c>
      <c r="B681" s="560" t="s">
        <v>1007</v>
      </c>
      <c r="C681" s="560">
        <v>2600</v>
      </c>
      <c r="D681" s="560">
        <v>6600</v>
      </c>
      <c r="E681" s="561">
        <f>SUMIFS('Accounting data'!$G$2:$G$37000,'Accounting data'!$I$2:$I$37000,"7*",'Accounting data'!$J$2:$J$37000,"26*",'Accounting data'!$K$2:$K$37000,"66*")+SUMIFS('Accounting data'!$G$2:$G$37000,'Accounting data'!$I$2:$I$37000,"8*",'Accounting data'!$J$2:$J$37000,"26*",'Accounting data'!$K$2:$K$37000,"66*")+SUMIFS('Accounting data'!$G$2:$G$37000,'Accounting data'!$I$2:$I$37000,"9*",'Accounting data'!$J$2:$J$37000,"26*",'Accounting data'!$K$2:$K$37000,"66*")</f>
        <v>0</v>
      </c>
    </row>
    <row r="682" spans="1:5" x14ac:dyDescent="0.2">
      <c r="A682" s="562" t="s">
        <v>1006</v>
      </c>
      <c r="B682" s="560" t="s">
        <v>1007</v>
      </c>
      <c r="C682" s="560">
        <v>2600</v>
      </c>
      <c r="D682" s="560">
        <v>6600</v>
      </c>
      <c r="E682" s="561">
        <f>SUMIFS('Accounting data'!$G$2:$G$37000,'Accounting data'!$H$2:$H$37000,"9999*",'Accounting data'!$I$2:$I$37000,"7*",'Accounting data'!$J$2:$J$37000,"26*",'Accounting data'!$K$2:$K$37000,"66*")+SUMIFS('Accounting data'!$G$2:$G$37000,'Accounting data'!$H$2:$H$37000,"9999*",'Accounting data'!$I$2:$I$37000,"8*",'Accounting data'!$J$2:$J$37000,"26*",'Accounting data'!$K$2:$K$37000,"66*")+SUMIFS('Accounting data'!$G$2:$G$37000,'Accounting data'!$H$2:$H$37000,"9999*",'Accounting data'!$I$2:$I$37000,"9*",'Accounting data'!$J$2:$J$37000,"26*",'Accounting data'!$K$2:$K$37000,"66*")</f>
        <v>0</v>
      </c>
    </row>
    <row r="683" spans="1:5" x14ac:dyDescent="0.2">
      <c r="A683" s="560"/>
      <c r="B683" s="560"/>
      <c r="C683" s="560"/>
      <c r="D683" s="560"/>
      <c r="E683" s="561"/>
    </row>
    <row r="684" spans="1:5" x14ac:dyDescent="0.2">
      <c r="A684" s="560"/>
      <c r="B684" s="560"/>
      <c r="C684" s="560"/>
      <c r="D684" s="560"/>
      <c r="E684" s="561"/>
    </row>
    <row r="685" spans="1:5" x14ac:dyDescent="0.2">
      <c r="A685" s="563" t="s">
        <v>1062</v>
      </c>
      <c r="B685" s="563"/>
      <c r="C685" s="563"/>
      <c r="D685" s="563"/>
      <c r="E685" s="565">
        <f>(E679-E680-E681)+(E682+E683+E684)</f>
        <v>22488</v>
      </c>
    </row>
    <row r="686" spans="1:5" x14ac:dyDescent="0.2">
      <c r="A686" s="560" t="s">
        <v>1005</v>
      </c>
      <c r="B686" s="560" t="s">
        <v>1005</v>
      </c>
      <c r="C686" s="560">
        <v>2700</v>
      </c>
      <c r="D686" s="560">
        <v>6600</v>
      </c>
      <c r="E686" s="561">
        <f>SUMIFS('Accounting data'!$G$2:$G$37000,'Accounting data'!$J$2:$J$37000,"27*",'Accounting data'!$K$2:$K$37000,"66*")</f>
        <v>90</v>
      </c>
    </row>
    <row r="687" spans="1:5" x14ac:dyDescent="0.2">
      <c r="A687" s="560" t="s">
        <v>1006</v>
      </c>
      <c r="B687" s="560" t="s">
        <v>1005</v>
      </c>
      <c r="C687" s="560">
        <v>2700</v>
      </c>
      <c r="D687" s="560">
        <v>6600</v>
      </c>
      <c r="E687" s="561">
        <f>SUMIFS('Accounting data'!$G$2:$G$37000,'Accounting data'!$H$2:$H$37000,"9999*",'Accounting data'!$J$2:$J$37000,"27*",'Accounting data'!$K$2:$K$37000,"66*")</f>
        <v>0</v>
      </c>
    </row>
    <row r="688" spans="1:5" x14ac:dyDescent="0.2">
      <c r="A688" s="560" t="s">
        <v>1005</v>
      </c>
      <c r="B688" s="560" t="s">
        <v>1007</v>
      </c>
      <c r="C688" s="560">
        <v>2700</v>
      </c>
      <c r="D688" s="560">
        <v>6600</v>
      </c>
      <c r="E688" s="561">
        <f>SUMIFS('Accounting data'!$G$2:$G$37000,'Accounting data'!$I$2:$I$37000,"7*",'Accounting data'!$J$2:$J$37000,"27*",'Accounting data'!$K$2:$K$37000,"66*")+SUMIFS('Accounting data'!$G$2:$G$37000,'Accounting data'!$I$2:$I$37000,"8*",'Accounting data'!$J$2:$J$37000,"27*",'Accounting data'!$K$2:$K$37000,"66*")+SUMIFS('Accounting data'!$G$2:$G$37000,'Accounting data'!$I$2:$I$37000,"9*",'Accounting data'!$J$2:$J$37000,"27*",'Accounting data'!$K$2:$K$37000,"66*")</f>
        <v>0</v>
      </c>
    </row>
    <row r="689" spans="1:5" x14ac:dyDescent="0.2">
      <c r="A689" s="562" t="s">
        <v>1006</v>
      </c>
      <c r="B689" s="560" t="s">
        <v>1007</v>
      </c>
      <c r="C689" s="560">
        <v>2700</v>
      </c>
      <c r="D689" s="560">
        <v>6600</v>
      </c>
      <c r="E689" s="561">
        <f>SUMIFS('Accounting data'!$G$2:$G$37000,'Accounting data'!$H$2:$H$37000,"9999*",'Accounting data'!$I$2:$I$37000,"7*",'Accounting data'!$J$2:$J$37000,"27*",'Accounting data'!$K$2:$K$37000,"66*")+SUMIFS('Accounting data'!$G$2:$G$37000,'Accounting data'!$H$2:$H$37000,"9999*",'Accounting data'!$I$2:$I$37000,"8*",'Accounting data'!$J$2:$J$37000,"27*",'Accounting data'!$K$2:$K$37000,"66*")+SUMIFS('Accounting data'!$G$2:$G$37000,'Accounting data'!$H$2:$H$37000,"9999*",'Accounting data'!$I$2:$I$37000,"9*",'Accounting data'!$J$2:$J$37000,"27*",'Accounting data'!$K$2:$K$37000,"66*")</f>
        <v>0</v>
      </c>
    </row>
    <row r="690" spans="1:5" x14ac:dyDescent="0.2">
      <c r="A690" s="560"/>
      <c r="B690" s="560"/>
      <c r="C690" s="560"/>
      <c r="D690" s="560"/>
      <c r="E690" s="561"/>
    </row>
    <row r="691" spans="1:5" x14ac:dyDescent="0.2">
      <c r="A691" s="560"/>
      <c r="B691" s="560"/>
      <c r="C691" s="560"/>
      <c r="D691" s="560"/>
      <c r="E691" s="561"/>
    </row>
    <row r="692" spans="1:5" x14ac:dyDescent="0.2">
      <c r="A692" s="563" t="s">
        <v>1063</v>
      </c>
      <c r="B692" s="563"/>
      <c r="C692" s="563"/>
      <c r="D692" s="563"/>
      <c r="E692" s="565">
        <f>(E686-E687-E688)+(E689+E690+E691)</f>
        <v>90</v>
      </c>
    </row>
    <row r="693" spans="1:5" x14ac:dyDescent="0.2">
      <c r="A693" s="560" t="s">
        <v>1005</v>
      </c>
      <c r="B693" s="560" t="s">
        <v>1005</v>
      </c>
      <c r="C693" s="560">
        <v>3100</v>
      </c>
      <c r="D693" s="560">
        <v>6600</v>
      </c>
      <c r="E693" s="561">
        <f>SUMIFS('Accounting data'!$G$2:$G$37000,'Accounting data'!$J$2:$J$37000,"31*",'Accounting data'!$K$2:$K$37000,"66*")</f>
        <v>66781</v>
      </c>
    </row>
    <row r="694" spans="1:5" x14ac:dyDescent="0.2">
      <c r="A694" s="560" t="s">
        <v>1006</v>
      </c>
      <c r="B694" s="560" t="s">
        <v>1005</v>
      </c>
      <c r="C694" s="560">
        <v>3100</v>
      </c>
      <c r="D694" s="560">
        <v>6600</v>
      </c>
      <c r="E694" s="561">
        <f>SUMIFS('Accounting data'!$G$2:$G$37000,'Accounting data'!$H$2:$H$37000,"9999*",'Accounting data'!$J$2:$J$37000,"31*",'Accounting data'!$K$2:$K$37000,"66*")</f>
        <v>0</v>
      </c>
    </row>
    <row r="695" spans="1:5" x14ac:dyDescent="0.2">
      <c r="A695" s="560" t="s">
        <v>1005</v>
      </c>
      <c r="B695" s="560" t="s">
        <v>1007</v>
      </c>
      <c r="C695" s="560">
        <v>3100</v>
      </c>
      <c r="D695" s="560">
        <v>6600</v>
      </c>
      <c r="E695" s="561">
        <f>SUMIFS('Accounting data'!$G$2:$G$37000,'Accounting data'!$I$2:$I$37000,"7*",'Accounting data'!$J$2:$J$37000,"31*",'Accounting data'!$K$2:$K$37000,"66*")+SUMIFS('Accounting data'!$G$2:$G$37000,'Accounting data'!$I$2:$I$37000,"8*",'Accounting data'!$J$2:$J$37000,"31*",'Accounting data'!$K$2:$K$37000,"66*")+SUMIFS('Accounting data'!$G$2:$G$37000,'Accounting data'!$I$2:$I$37000,"9*",'Accounting data'!$J$2:$J$37000,"31*",'Accounting data'!$K$2:$K$37000,"66*")</f>
        <v>0</v>
      </c>
    </row>
    <row r="696" spans="1:5" x14ac:dyDescent="0.2">
      <c r="A696" s="562" t="s">
        <v>1006</v>
      </c>
      <c r="B696" s="560" t="s">
        <v>1007</v>
      </c>
      <c r="C696" s="560">
        <v>3100</v>
      </c>
      <c r="D696" s="560">
        <v>6600</v>
      </c>
      <c r="E696" s="561">
        <f>SUMIFS('Accounting data'!$G$2:$G$37000,'Accounting data'!$H$2:$H$37000,"9999*",'Accounting data'!$I$2:$I$37000,"7*",'Accounting data'!$J$2:$J$37000,"31*",'Accounting data'!$K$2:$K$37000,"66*")+SUMIFS('Accounting data'!$G$2:$G$37000,'Accounting data'!$H$2:$H$37000,"9999*",'Accounting data'!$I$2:$I$37000,"8*",'Accounting data'!$J$2:$J$37000,"31*",'Accounting data'!$K$2:$K$37000,"66*")+SUMIFS('Accounting data'!$G$2:$G$37000,'Accounting data'!$H$2:$H$37000,"9999*",'Accounting data'!$I$2:$I$37000,"9*",'Accounting data'!$J$2:$J$37000,"31*",'Accounting data'!$K$2:$K$37000,"66*")</f>
        <v>0</v>
      </c>
    </row>
    <row r="697" spans="1:5" x14ac:dyDescent="0.2">
      <c r="A697" s="560"/>
      <c r="B697" s="560"/>
      <c r="C697" s="560"/>
      <c r="D697" s="560"/>
      <c r="E697" s="561"/>
    </row>
    <row r="698" spans="1:5" x14ac:dyDescent="0.2">
      <c r="A698" s="560"/>
      <c r="B698" s="560"/>
      <c r="C698" s="560"/>
      <c r="D698" s="560"/>
      <c r="E698" s="561"/>
    </row>
    <row r="699" spans="1:5" x14ac:dyDescent="0.2">
      <c r="A699" s="563" t="s">
        <v>1064</v>
      </c>
      <c r="B699" s="563"/>
      <c r="C699" s="563"/>
      <c r="D699" s="563"/>
      <c r="E699" s="565">
        <f>(E693-E694-E695)+(E696+E697+E698)</f>
        <v>66781</v>
      </c>
    </row>
    <row r="700" spans="1:5" x14ac:dyDescent="0.2">
      <c r="A700" s="560"/>
      <c r="B700" s="560"/>
      <c r="C700" s="560"/>
      <c r="D700" s="560"/>
      <c r="E700" s="561"/>
    </row>
    <row r="701" spans="1:5" x14ac:dyDescent="0.2">
      <c r="A701" s="560"/>
      <c r="B701" s="560"/>
      <c r="C701" s="560"/>
      <c r="D701" s="560"/>
      <c r="E701" s="561"/>
    </row>
    <row r="702" spans="1:5" x14ac:dyDescent="0.2">
      <c r="A702" s="560"/>
      <c r="B702" s="560"/>
      <c r="C702" s="560"/>
      <c r="D702" s="560"/>
      <c r="E702" s="561"/>
    </row>
    <row r="703" spans="1:5" x14ac:dyDescent="0.2">
      <c r="A703" s="562"/>
      <c r="B703" s="560"/>
      <c r="C703" s="560"/>
      <c r="D703" s="560"/>
      <c r="E703" s="561"/>
    </row>
    <row r="704" spans="1:5" x14ac:dyDescent="0.2">
      <c r="A704" s="560"/>
      <c r="B704" s="560"/>
      <c r="C704" s="560"/>
      <c r="D704" s="560"/>
      <c r="E704" s="561"/>
    </row>
    <row r="705" spans="1:5" x14ac:dyDescent="0.2">
      <c r="A705" s="560"/>
      <c r="B705" s="560"/>
      <c r="C705" s="560"/>
      <c r="D705" s="560"/>
      <c r="E705" s="561"/>
    </row>
    <row r="706" spans="1:5" x14ac:dyDescent="0.2">
      <c r="A706" s="563"/>
      <c r="B706" s="563"/>
      <c r="C706" s="563"/>
      <c r="D706" s="563"/>
      <c r="E706" s="565"/>
    </row>
    <row r="707" spans="1:5" x14ac:dyDescent="0.2">
      <c r="A707" s="560" t="s">
        <v>1005</v>
      </c>
      <c r="B707" s="560" t="s">
        <v>1005</v>
      </c>
      <c r="C707" s="560">
        <v>3400</v>
      </c>
      <c r="D707" s="560">
        <v>6600</v>
      </c>
      <c r="E707" s="561">
        <f>SUMIFS('Accounting data'!$G$2:$G$37000,'Accounting data'!$J$2:$J$37000,"34*",'Accounting data'!$K$2:$K$37000,"66*")</f>
        <v>0</v>
      </c>
    </row>
    <row r="708" spans="1:5" x14ac:dyDescent="0.2">
      <c r="A708" s="560" t="s">
        <v>1006</v>
      </c>
      <c r="B708" s="560" t="s">
        <v>1005</v>
      </c>
      <c r="C708" s="560">
        <v>3400</v>
      </c>
      <c r="D708" s="560">
        <v>6600</v>
      </c>
      <c r="E708" s="561">
        <f>SUMIFS('Accounting data'!$G$2:$G$37000,'Accounting data'!$H$2:$H$37000,"9999*",'Accounting data'!$J$2:$J$37000,"34*",'Accounting data'!$K$2:$K$37000,"66*")</f>
        <v>0</v>
      </c>
    </row>
    <row r="709" spans="1:5" x14ac:dyDescent="0.2">
      <c r="A709" s="560" t="s">
        <v>1005</v>
      </c>
      <c r="B709" s="560" t="s">
        <v>1007</v>
      </c>
      <c r="C709" s="560">
        <v>3400</v>
      </c>
      <c r="D709" s="560">
        <v>6600</v>
      </c>
      <c r="E709" s="561">
        <f>SUMIFS('Accounting data'!$G$2:$G$37000,'Accounting data'!$I$2:$I$37000,"7*",'Accounting data'!$J$2:$J$37000,"34*",'Accounting data'!$K$2:$K$37000,"66*")+SUMIFS('Accounting data'!$G$2:$G$37000,'Accounting data'!$I$2:$I$37000,"8*",'Accounting data'!$J$2:$J$37000,"34*",'Accounting data'!$K$2:$K$37000,"66*")+SUMIFS('Accounting data'!$G$2:$G$37000,'Accounting data'!$I$2:$I$37000,"9*",'Accounting data'!$J$2:$J$37000,"34*",'Accounting data'!$K$2:$K$37000,"66*")</f>
        <v>0</v>
      </c>
    </row>
    <row r="710" spans="1:5" x14ac:dyDescent="0.2">
      <c r="A710" s="562" t="s">
        <v>1006</v>
      </c>
      <c r="B710" s="560" t="s">
        <v>1007</v>
      </c>
      <c r="C710" s="560">
        <v>3400</v>
      </c>
      <c r="D710" s="560">
        <v>6600</v>
      </c>
      <c r="E710" s="561">
        <f>SUMIFS('Accounting data'!$G$2:$G$37000,'Accounting data'!$H$2:$H$37000,"9999*",'Accounting data'!$I$2:$I$37000,"7*",'Accounting data'!$J$2:$J$37000,"34*",'Accounting data'!$K$2:$K$37000,"66*")+SUMIFS('Accounting data'!$G$2:$G$37000,'Accounting data'!$H$2:$H$37000,"9999*",'Accounting data'!$I$2:$I$37000,"8*",'Accounting data'!$J$2:$J$37000,"34*",'Accounting data'!$K$2:$K$37000,"66*")+SUMIFS('Accounting data'!$G$2:$G$37000,'Accounting data'!$H$2:$H$37000,"9999*",'Accounting data'!$I$2:$I$37000,"9*",'Accounting data'!$J$2:$J$37000,"34*",'Accounting data'!$K$2:$K$37000,"66*")</f>
        <v>0</v>
      </c>
    </row>
    <row r="711" spans="1:5" x14ac:dyDescent="0.2">
      <c r="A711" s="560"/>
      <c r="B711" s="560"/>
      <c r="C711" s="560"/>
      <c r="D711" s="560"/>
      <c r="E711" s="561"/>
    </row>
    <row r="712" spans="1:5" x14ac:dyDescent="0.2">
      <c r="A712" s="560"/>
      <c r="B712" s="560"/>
      <c r="C712" s="560"/>
      <c r="D712" s="560"/>
      <c r="E712" s="561"/>
    </row>
    <row r="713" spans="1:5" x14ac:dyDescent="0.2">
      <c r="A713" s="563" t="s">
        <v>1065</v>
      </c>
      <c r="B713" s="563"/>
      <c r="C713" s="563"/>
      <c r="D713" s="563"/>
      <c r="E713" s="565">
        <f>(E707-E708-E709)+(E710+E711+E712)</f>
        <v>0</v>
      </c>
    </row>
    <row r="714" spans="1:5" x14ac:dyDescent="0.2">
      <c r="A714" s="560" t="s">
        <v>1005</v>
      </c>
      <c r="B714" s="560" t="s">
        <v>1005</v>
      </c>
      <c r="C714" s="560">
        <v>4000</v>
      </c>
      <c r="D714" s="560">
        <v>6600</v>
      </c>
      <c r="E714" s="561">
        <f>SUMIFS('Accounting data'!$G$2:$G$37000,'Accounting data'!$J$2:$J$37000,"4*",'Accounting data'!$K$2:$K$37000,"66*")</f>
        <v>0</v>
      </c>
    </row>
    <row r="715" spans="1:5" x14ac:dyDescent="0.2">
      <c r="A715" s="560" t="s">
        <v>1006</v>
      </c>
      <c r="B715" s="560" t="s">
        <v>1005</v>
      </c>
      <c r="C715" s="560">
        <v>4000</v>
      </c>
      <c r="D715" s="560">
        <v>6600</v>
      </c>
      <c r="E715" s="561">
        <f>SUMIFS('Accounting data'!$G$2:$G$37000,'Accounting data'!$H$2:$H$37000,"9999*",'Accounting data'!$J$2:$J$37000,"4*",'Accounting data'!$K$2:$K$37000,"66*")</f>
        <v>0</v>
      </c>
    </row>
    <row r="716" spans="1:5" x14ac:dyDescent="0.2">
      <c r="A716" s="560" t="s">
        <v>1005</v>
      </c>
      <c r="B716" s="560" t="s">
        <v>1007</v>
      </c>
      <c r="C716" s="560">
        <v>4000</v>
      </c>
      <c r="D716" s="560">
        <v>6600</v>
      </c>
      <c r="E716" s="561">
        <f>SUMIFS('Accounting data'!$G$2:$G$37000,'Accounting data'!$I$2:$I$37000,"7*",'Accounting data'!$J$2:$J$37000,"4*",'Accounting data'!$K$2:$K$37000,"66*")+SUMIFS('Accounting data'!$G$2:$G$37000,'Accounting data'!$I$2:$I$37000,"8*",'Accounting data'!$J$2:$J$37000,"4*",'Accounting data'!$K$2:$K$37000,"66*")+SUMIFS('Accounting data'!$G$2:$G$37000,'Accounting data'!$I$2:$I$37000,"9*",'Accounting data'!$J$2:$J$37000,"4*",'Accounting data'!$K$2:$K$37000,"66*")</f>
        <v>0</v>
      </c>
    </row>
    <row r="717" spans="1:5" x14ac:dyDescent="0.2">
      <c r="A717" s="562" t="s">
        <v>1006</v>
      </c>
      <c r="B717" s="560" t="s">
        <v>1007</v>
      </c>
      <c r="C717" s="560">
        <v>4000</v>
      </c>
      <c r="D717" s="560">
        <v>6600</v>
      </c>
      <c r="E717" s="561">
        <f>SUMIFS('Accounting data'!$G$2:$G$37000,'Accounting data'!$H$2:$H$37000,"9999*",'Accounting data'!$I$2:$I$37000,"7*",'Accounting data'!$J$2:$J$37000,"4*",'Accounting data'!$K$2:$K$37000,"66*")+SUMIFS('Accounting data'!$G$2:$G$37000,'Accounting data'!$H$2:$H$37000,"9999*",'Accounting data'!$I$2:$I$37000,"8*",'Accounting data'!$J$2:$J$37000,"4*",'Accounting data'!$K$2:$K$37000,"66*")+SUMIFS('Accounting data'!$G$2:$G$37000,'Accounting data'!$H$2:$H$37000,"9999*",'Accounting data'!$I$2:$I$37000,"9*",'Accounting data'!$J$2:$J$37000,"4*",'Accounting data'!$K$2:$K$37000,"66*")</f>
        <v>0</v>
      </c>
    </row>
    <row r="718" spans="1:5" x14ac:dyDescent="0.2">
      <c r="A718" s="560"/>
      <c r="B718" s="560"/>
      <c r="C718" s="560"/>
      <c r="D718" s="560"/>
      <c r="E718" s="561"/>
    </row>
    <row r="719" spans="1:5" x14ac:dyDescent="0.2">
      <c r="A719" s="560"/>
      <c r="B719" s="560"/>
      <c r="C719" s="560"/>
      <c r="D719" s="560"/>
      <c r="E719" s="561"/>
    </row>
    <row r="720" spans="1:5" x14ac:dyDescent="0.2">
      <c r="A720" s="563" t="s">
        <v>1066</v>
      </c>
      <c r="B720" s="563"/>
      <c r="C720" s="563"/>
      <c r="D720" s="563"/>
      <c r="E720" s="565">
        <f>(E714-E715-E716)+(E717+E718+E719)</f>
        <v>0</v>
      </c>
    </row>
    <row r="721" spans="1:5" x14ac:dyDescent="0.2">
      <c r="A721" s="571" t="s">
        <v>1067</v>
      </c>
      <c r="B721" s="571"/>
      <c r="C721" s="571"/>
      <c r="D721" s="571"/>
      <c r="E721" s="572">
        <f>E636+E643+E650+E657+E664+E671+E678+E685+E692+E699+E706+E713</f>
        <v>276576</v>
      </c>
    </row>
    <row r="722" spans="1:5" x14ac:dyDescent="0.2">
      <c r="A722" s="560" t="s">
        <v>1021</v>
      </c>
      <c r="B722" s="560" t="s">
        <v>1005</v>
      </c>
      <c r="C722" s="560">
        <v>1000</v>
      </c>
      <c r="D722" s="560">
        <v>6600</v>
      </c>
      <c r="E722" s="561">
        <f>SUMIFS('Accounting data'!$G$2:$G$37000,'Accounting data'!$H$2:$H$37000,"11*",'Accounting data'!$J$2:$J$37000,"1*",'Accounting data'!$K$2:$K$37000,"66*")+SUMIFS('Accounting data'!$G$2:$G$37000,'Accounting data'!$H$2:$H$37000,"12*",'Accounting data'!$J$2:$J$37000,"1*",'Accounting data'!$K$2:$K$37000,"66*")+SUMIFS('Accounting data'!$G$2:$G$37000,'Accounting data'!$H$2:$H$37000,"13*",'Accounting data'!$J$2:$J$37000,"1*",'Accounting data'!$K$2:$K$37000,"66*")</f>
        <v>31228</v>
      </c>
    </row>
    <row r="723" spans="1:5" x14ac:dyDescent="0.2">
      <c r="A723" s="560" t="s">
        <v>1021</v>
      </c>
      <c r="B723" s="560" t="s">
        <v>1005</v>
      </c>
      <c r="C723" s="560">
        <v>2000</v>
      </c>
      <c r="D723" s="560">
        <v>6600</v>
      </c>
      <c r="E723" s="561">
        <f>SUMIFS('Accounting data'!$G$2:$G$37000,'Accounting data'!$H$2:$H$37000,"11*",'Accounting data'!$J$2:$J$37000,"2*",'Accounting data'!$K$2:$K$37000,"66*")+SUMIFS('Accounting data'!$G$2:$G$37000,'Accounting data'!$H$2:$H$37000,"12*",'Accounting data'!$J$2:$J$37000,"2*",'Accounting data'!$K$2:$K$37000,"66*")+SUMIFS('Accounting data'!$G$2:$G$37000,'Accounting data'!$H$2:$H$37000,"13*",'Accounting data'!$J$2:$J$37000,"2*",'Accounting data'!$K$2:$K$37000,"66*")</f>
        <v>42845</v>
      </c>
    </row>
    <row r="724" spans="1:5" x14ac:dyDescent="0.2">
      <c r="A724" s="560" t="s">
        <v>1021</v>
      </c>
      <c r="B724" s="560" t="s">
        <v>1005</v>
      </c>
      <c r="C724" s="560">
        <v>3000</v>
      </c>
      <c r="D724" s="560">
        <v>6600</v>
      </c>
      <c r="E724" s="561">
        <f>SUMIFS('Accounting data'!$G$2:$G$37000,'Accounting data'!$H$2:$H$37000,"11*",'Accounting data'!$J$2:$J$37000,"3*",'Accounting data'!$K$2:$K$37000,"66*")+SUMIFS('Accounting data'!$G$2:$G$37000,'Accounting data'!$H$2:$H$37000,"12*",'Accounting data'!$J$2:$J$37000,"3*",'Accounting data'!$K$2:$K$37000,"66*")+SUMIFS('Accounting data'!$G$2:$G$37000,'Accounting data'!$H$2:$H$37000,"13*",'Accounting data'!$J$2:$J$37000,"3*",'Accounting data'!$K$2:$K$37000,"66*")</f>
        <v>0</v>
      </c>
    </row>
    <row r="725" spans="1:5" x14ac:dyDescent="0.2">
      <c r="A725" s="560" t="s">
        <v>1021</v>
      </c>
      <c r="B725" s="562">
        <v>700</v>
      </c>
      <c r="C725" s="560">
        <v>1000</v>
      </c>
      <c r="D725" s="560">
        <v>6600</v>
      </c>
      <c r="E725" s="561">
        <f>SUMIFS('Accounting data'!$G$2:$G$37000,'Accounting data'!$H$2:$H$37000,"11*",'Accounting data'!$I$2:$I$37000,"7*",'Accounting data'!$J$2:$J$37000,"1*",'Accounting data'!$K$2:$K$37000,"66*")+SUMIFS('Accounting data'!$G$2:$G$37000,'Accounting data'!$H$2:$H$37000,"12*",'Accounting data'!$I$2:$I$37000,"7*",'Accounting data'!$J$2:$J$37000,"1*",'Accounting data'!$K$2:$K$37000,"66*")+SUMIFS('Accounting data'!$G$2:$G$37000,'Accounting data'!$H$2:$H$37000,"13*",'Accounting data'!$I$2:$I$37000,"7*",'Accounting data'!$J$2:$J$37000,"1*",'Accounting data'!$K$2:$K$37000,"66*")</f>
        <v>0</v>
      </c>
    </row>
    <row r="726" spans="1:5" x14ac:dyDescent="0.2">
      <c r="A726" s="560" t="s">
        <v>1021</v>
      </c>
      <c r="B726" s="562">
        <v>800</v>
      </c>
      <c r="C726" s="560">
        <v>1000</v>
      </c>
      <c r="D726" s="560">
        <v>6600</v>
      </c>
      <c r="E726" s="561">
        <f>SUMIFS('Accounting data'!$G$2:$G$37000,'Accounting data'!$H$2:$H$37000,"11*",'Accounting data'!$I$2:$I$37000,"8*",'Accounting data'!$J$2:$J$37000,"1*",'Accounting data'!$K$2:$K$37000,"66*")+SUMIFS('Accounting data'!$G$2:$G$37000,'Accounting data'!$H$2:$H$37000,"12*",'Accounting data'!$I$2:$I$37000,"8*",'Accounting data'!$J$2:$J$37000,"1*",'Accounting data'!$K$2:$K$37000,"66*")+SUMIFS('Accounting data'!$G$2:$G$37000,'Accounting data'!$H$2:$H$37000,"13*",'Accounting data'!$I$2:$I$37000,"8*",'Accounting data'!$J$2:$J$37000,"1*",'Accounting data'!$K$2:$K$37000,"66*")</f>
        <v>0</v>
      </c>
    </row>
    <row r="727" spans="1:5" x14ac:dyDescent="0.2">
      <c r="A727" s="560" t="s">
        <v>1021</v>
      </c>
      <c r="B727" s="562">
        <v>900</v>
      </c>
      <c r="C727" s="560">
        <v>1000</v>
      </c>
      <c r="D727" s="560">
        <v>6600</v>
      </c>
      <c r="E727" s="561">
        <f>SUMIFS('Accounting data'!$G$2:$G$37000,'Accounting data'!$H$2:$H$37000,"11*",'Accounting data'!$I$2:$I$37000,"9*",'Accounting data'!$J$2:$J$37000,"1*",'Accounting data'!$K$2:$K$37000,"66*")+SUMIFS('Accounting data'!$G$2:$G$37000,'Accounting data'!$H$2:$H$37000,"12*",'Accounting data'!$I$2:$I$37000,"9*",'Accounting data'!$J$2:$J$37000,"1*",'Accounting data'!$K$2:$K$37000,"66*")+SUMIFS('Accounting data'!$G$2:$G$37000,'Accounting data'!$H$2:$H$37000,"13*",'Accounting data'!$I$2:$I$37000,"9*",'Accounting data'!$J$2:$J$37000,"1*",'Accounting data'!$K$2:$K$37000,"66*")</f>
        <v>0</v>
      </c>
    </row>
    <row r="728" spans="1:5" x14ac:dyDescent="0.2">
      <c r="A728" s="560" t="s">
        <v>1021</v>
      </c>
      <c r="B728" s="562">
        <v>700</v>
      </c>
      <c r="C728" s="560">
        <v>2000</v>
      </c>
      <c r="D728" s="560">
        <v>6600</v>
      </c>
      <c r="E728" s="561">
        <f>SUMIFS('Accounting data'!$G$2:$G$37000,'Accounting data'!$H$2:$H$37000,"11*",'Accounting data'!$I$2:$I$37000,"7*",'Accounting data'!$J$2:$J$37000,"2*",'Accounting data'!$K$2:$K$37000,"66*")+SUMIFS('Accounting data'!$G$2:$G$37000,'Accounting data'!$H$2:$H$37000,"12*",'Accounting data'!$I$2:$I$37000,"7*",'Accounting data'!$J$2:$J$37000,"2*",'Accounting data'!$K$2:$K$37000,"66*")+SUMIFS('Accounting data'!$G$2:$G$37000,'Accounting data'!$H$2:$H$37000,"13*",'Accounting data'!$I$2:$I$37000,"7*",'Accounting data'!$J$2:$J$37000,"2*",'Accounting data'!$K$2:$K$37000,"66*")</f>
        <v>0</v>
      </c>
    </row>
    <row r="729" spans="1:5" x14ac:dyDescent="0.2">
      <c r="A729" s="560" t="s">
        <v>1021</v>
      </c>
      <c r="B729" s="562">
        <v>800</v>
      </c>
      <c r="C729" s="560">
        <v>2000</v>
      </c>
      <c r="D729" s="560">
        <v>6600</v>
      </c>
      <c r="E729" s="561">
        <f>SUMIFS('Accounting data'!$G$2:$G$37000,'Accounting data'!$H$2:$H$37000,"11*",'Accounting data'!$I$2:$I$37000,"8*",'Accounting data'!$J$2:$J$37000,"2*",'Accounting data'!$K$2:$K$37000,"66*")+SUMIFS('Accounting data'!$G$2:$G$37000,'Accounting data'!$H$2:$H$37000,"12*",'Accounting data'!$I$2:$I$37000,"8*",'Accounting data'!$J$2:$J$37000,"2*",'Accounting data'!$K$2:$K$37000,"66*")+SUMIFS('Accounting data'!$G$2:$G$37000,'Accounting data'!$H$2:$H$37000,"13*",'Accounting data'!$I$2:$I$37000,"8*",'Accounting data'!$J$2:$J$37000,"2*",'Accounting data'!$K$2:$K$37000,"66*")</f>
        <v>0</v>
      </c>
    </row>
    <row r="730" spans="1:5" x14ac:dyDescent="0.2">
      <c r="A730" s="560" t="s">
        <v>1021</v>
      </c>
      <c r="B730" s="562">
        <v>900</v>
      </c>
      <c r="C730" s="560">
        <v>2000</v>
      </c>
      <c r="D730" s="560">
        <v>6600</v>
      </c>
      <c r="E730" s="561">
        <f>SUMIFS('Accounting data'!$G$2:$G$37000,'Accounting data'!$H$2:$H$37000,"11*",'Accounting data'!$I$2:$I$37000,"9*",'Accounting data'!$J$2:$J$37000,"2*",'Accounting data'!$K$2:$K$37000,"66*")+SUMIFS('Accounting data'!$G$2:$G$37000,'Accounting data'!$H$2:$H$37000,"12*",'Accounting data'!$I$2:$I$37000,"9*",'Accounting data'!$J$2:$J$37000,"2*",'Accounting data'!$K$2:$K$37000,"66*")+SUMIFS('Accounting data'!$G$2:$G$37000,'Accounting data'!$H$2:$H$37000,"13*",'Accounting data'!$I$2:$I$37000,"9*",'Accounting data'!$J$2:$J$37000,"2*",'Accounting data'!$K$2:$K$37000,"66*")</f>
        <v>0</v>
      </c>
    </row>
    <row r="731" spans="1:5" x14ac:dyDescent="0.2">
      <c r="A731" s="560" t="s">
        <v>1021</v>
      </c>
      <c r="B731" s="562">
        <v>700</v>
      </c>
      <c r="C731" s="560">
        <v>3000</v>
      </c>
      <c r="D731" s="560">
        <v>6600</v>
      </c>
      <c r="E731" s="561">
        <f>SUMIFS('Accounting data'!$G$2:$G$37000,'Accounting data'!$H$2:$H$37000,"11*",'Accounting data'!$I$2:$I$37000,"7*",'Accounting data'!$J$2:$J$37000,"3*",'Accounting data'!$K$2:$K$37000,"66*")+SUMIFS('Accounting data'!$G$2:$G$37000,'Accounting data'!$H$2:$H$37000,"12*",'Accounting data'!$I$2:$I$37000,"7*",'Accounting data'!$J$2:$J$37000,"3*",'Accounting data'!$K$2:$K$37000,"66*")+SUMIFS('Accounting data'!$G$2:$G$37000,'Accounting data'!$H$2:$H$37000,"13*",'Accounting data'!$I$2:$I$37000,"7*",'Accounting data'!$J$2:$J$37000,"3*",'Accounting data'!$K$2:$K$37000,"66*")</f>
        <v>0</v>
      </c>
    </row>
    <row r="732" spans="1:5" x14ac:dyDescent="0.2">
      <c r="A732" s="560" t="s">
        <v>1021</v>
      </c>
      <c r="B732" s="562">
        <v>800</v>
      </c>
      <c r="C732" s="560">
        <v>3000</v>
      </c>
      <c r="D732" s="560">
        <v>6600</v>
      </c>
      <c r="E732" s="561">
        <f>SUMIFS('Accounting data'!$G$2:$G$37000,'Accounting data'!$H$2:$H$37000,"11*",'Accounting data'!$I$2:$I$37000,"8*",'Accounting data'!$J$2:$J$37000,"3*",'Accounting data'!$K$2:$K$37000,"66*")+SUMIFS('Accounting data'!$G$2:$G$37000,'Accounting data'!$H$2:$H$37000,"12*",'Accounting data'!$I$2:$I$37000,"8*",'Accounting data'!$J$2:$J$37000,"3*",'Accounting data'!$K$2:$K$37000,"66*")+SUMIFS('Accounting data'!$G$2:$G$37000,'Accounting data'!$H$2:$H$37000,"13*",'Accounting data'!$I$2:$I$37000,"8*",'Accounting data'!$J$2:$J$37000,"3*",'Accounting data'!$K$2:$K$37000,"66*")</f>
        <v>0</v>
      </c>
    </row>
    <row r="733" spans="1:5" x14ac:dyDescent="0.2">
      <c r="A733" s="560" t="s">
        <v>1021</v>
      </c>
      <c r="B733" s="562">
        <v>900</v>
      </c>
      <c r="C733" s="560">
        <v>3000</v>
      </c>
      <c r="D733" s="560">
        <v>6600</v>
      </c>
      <c r="E733" s="561">
        <f>SUMIFS('Accounting data'!$G$2:$G$37000,'Accounting data'!$H$2:$H$37000,"11*",'Accounting data'!$I$2:$I$37000,"9*",'Accounting data'!$J$2:$J$37000,"3*",'Accounting data'!$K$2:$K$37000,"66*")+SUMIFS('Accounting data'!$G$2:$G$37000,'Accounting data'!$H$2:$H$37000,"12*",'Accounting data'!$I$2:$I$37000,"9*",'Accounting data'!$J$2:$J$37000,"3*",'Accounting data'!$K$2:$K$37000,"66*")+SUMIFS('Accounting data'!$G$2:$G$37000,'Accounting data'!$H$2:$H$37000,"13*",'Accounting data'!$I$2:$I$37000,"9*",'Accounting data'!$J$2:$J$37000,"3*",'Accounting data'!$K$2:$K$37000,"66*")</f>
        <v>0</v>
      </c>
    </row>
    <row r="734" spans="1:5" x14ac:dyDescent="0.2">
      <c r="A734" s="563" t="s">
        <v>1068</v>
      </c>
      <c r="B734" s="563"/>
      <c r="C734" s="563"/>
      <c r="D734" s="563"/>
      <c r="E734" s="565">
        <f>(E722+E723+E724)-(E725+E726+E727+E728+E729+E730+E731+E732+E733)</f>
        <v>74073</v>
      </c>
    </row>
    <row r="735" spans="1:5" x14ac:dyDescent="0.2">
      <c r="A735" s="560"/>
      <c r="B735" s="560"/>
      <c r="C735" s="560"/>
      <c r="D735" s="560"/>
      <c r="E735" s="561"/>
    </row>
    <row r="736" spans="1:5" x14ac:dyDescent="0.2">
      <c r="A736" s="560"/>
      <c r="B736" s="560"/>
      <c r="C736" s="560"/>
      <c r="D736" s="560"/>
      <c r="E736" s="561"/>
    </row>
    <row r="737" spans="1:5" x14ac:dyDescent="0.2">
      <c r="A737" s="560"/>
      <c r="B737" s="560"/>
      <c r="C737" s="560"/>
      <c r="D737" s="560"/>
      <c r="E737" s="561"/>
    </row>
    <row r="738" spans="1:5" x14ac:dyDescent="0.2">
      <c r="A738" s="562"/>
      <c r="B738" s="560"/>
      <c r="C738" s="560"/>
      <c r="D738" s="560"/>
      <c r="E738" s="561"/>
    </row>
    <row r="739" spans="1:5" x14ac:dyDescent="0.2">
      <c r="A739" s="560"/>
      <c r="B739" s="560"/>
      <c r="C739" s="560"/>
      <c r="D739" s="560"/>
      <c r="E739" s="561"/>
    </row>
    <row r="740" spans="1:5" x14ac:dyDescent="0.2">
      <c r="A740" s="560"/>
      <c r="B740" s="560"/>
      <c r="C740" s="560"/>
      <c r="D740" s="560"/>
      <c r="E740" s="561"/>
    </row>
    <row r="741" spans="1:5" x14ac:dyDescent="0.2">
      <c r="A741" s="560"/>
      <c r="B741" s="560"/>
      <c r="C741" s="560"/>
      <c r="D741" s="569"/>
      <c r="E741" s="561"/>
    </row>
    <row r="742" spans="1:5" x14ac:dyDescent="0.2">
      <c r="A742" s="560"/>
      <c r="B742" s="560"/>
      <c r="C742" s="560"/>
      <c r="D742" s="569"/>
      <c r="E742" s="561"/>
    </row>
    <row r="743" spans="1:5" x14ac:dyDescent="0.2">
      <c r="A743" s="560"/>
      <c r="B743" s="560"/>
      <c r="C743" s="560"/>
      <c r="D743" s="569"/>
      <c r="E743" s="561"/>
    </row>
    <row r="744" spans="1:5" x14ac:dyDescent="0.2">
      <c r="A744" s="562"/>
      <c r="B744" s="560"/>
      <c r="C744" s="560"/>
      <c r="D744" s="569"/>
      <c r="E744" s="561"/>
    </row>
    <row r="745" spans="1:5" x14ac:dyDescent="0.2">
      <c r="A745" s="560"/>
      <c r="B745" s="560"/>
      <c r="C745" s="560"/>
      <c r="D745" s="569"/>
      <c r="E745" s="561"/>
    </row>
    <row r="746" spans="1:5" x14ac:dyDescent="0.2">
      <c r="A746" s="560"/>
      <c r="B746" s="560"/>
      <c r="C746" s="560"/>
      <c r="D746" s="569"/>
      <c r="E746" s="561"/>
    </row>
    <row r="747" spans="1:5" x14ac:dyDescent="0.2">
      <c r="A747" s="563"/>
      <c r="B747" s="563"/>
      <c r="C747" s="563"/>
      <c r="D747" s="563"/>
      <c r="E747" s="565"/>
    </row>
    <row r="748" spans="1:5" x14ac:dyDescent="0.2">
      <c r="A748" s="560"/>
      <c r="B748" s="560"/>
      <c r="C748" s="560"/>
      <c r="D748" s="560"/>
      <c r="E748" s="561"/>
    </row>
    <row r="749" spans="1:5" x14ac:dyDescent="0.2">
      <c r="A749" s="560"/>
      <c r="B749" s="560"/>
      <c r="C749" s="560"/>
      <c r="D749" s="560"/>
      <c r="E749" s="561"/>
    </row>
    <row r="750" spans="1:5" x14ac:dyDescent="0.2">
      <c r="A750" s="560"/>
      <c r="B750" s="560"/>
      <c r="C750" s="560"/>
      <c r="D750" s="560"/>
      <c r="E750" s="561"/>
    </row>
    <row r="751" spans="1:5" x14ac:dyDescent="0.2">
      <c r="A751" s="562"/>
      <c r="B751" s="560"/>
      <c r="C751" s="560"/>
      <c r="D751" s="560"/>
      <c r="E751" s="561"/>
    </row>
    <row r="752" spans="1:5" x14ac:dyDescent="0.2">
      <c r="A752" s="560"/>
      <c r="B752" s="560"/>
      <c r="C752" s="560"/>
      <c r="D752" s="560"/>
      <c r="E752" s="561"/>
    </row>
    <row r="753" spans="1:5" x14ac:dyDescent="0.2">
      <c r="A753" s="560"/>
      <c r="B753" s="560"/>
      <c r="C753" s="560"/>
      <c r="D753" s="560"/>
      <c r="E753" s="561"/>
    </row>
    <row r="754" spans="1:5" x14ac:dyDescent="0.2">
      <c r="A754" s="560"/>
      <c r="B754" s="560"/>
      <c r="C754" s="560"/>
      <c r="D754" s="569"/>
      <c r="E754" s="561"/>
    </row>
    <row r="755" spans="1:5" x14ac:dyDescent="0.2">
      <c r="A755" s="560"/>
      <c r="B755" s="560"/>
      <c r="C755" s="560"/>
      <c r="D755" s="569"/>
      <c r="E755" s="561"/>
    </row>
    <row r="756" spans="1:5" x14ac:dyDescent="0.2">
      <c r="A756" s="560"/>
      <c r="B756" s="560"/>
      <c r="C756" s="560"/>
      <c r="D756" s="569"/>
      <c r="E756" s="561"/>
    </row>
    <row r="757" spans="1:5" x14ac:dyDescent="0.2">
      <c r="A757" s="562"/>
      <c r="B757" s="560"/>
      <c r="C757" s="560"/>
      <c r="D757" s="569"/>
      <c r="E757" s="561"/>
    </row>
    <row r="758" spans="1:5" x14ac:dyDescent="0.2">
      <c r="A758" s="560"/>
      <c r="B758" s="560"/>
      <c r="C758" s="560"/>
      <c r="D758" s="569"/>
      <c r="E758" s="561"/>
    </row>
    <row r="759" spans="1:5" x14ac:dyDescent="0.2">
      <c r="A759" s="560"/>
      <c r="B759" s="560"/>
      <c r="C759" s="560"/>
      <c r="D759" s="569"/>
      <c r="E759" s="561"/>
    </row>
    <row r="760" spans="1:5" x14ac:dyDescent="0.2">
      <c r="A760" s="563"/>
      <c r="B760" s="563"/>
      <c r="C760" s="563"/>
      <c r="D760" s="563"/>
      <c r="E760" s="565"/>
    </row>
    <row r="761" spans="1:5" x14ac:dyDescent="0.2">
      <c r="A761" s="560"/>
      <c r="B761" s="560"/>
      <c r="C761" s="560"/>
      <c r="D761" s="560"/>
      <c r="E761" s="561"/>
    </row>
    <row r="762" spans="1:5" x14ac:dyDescent="0.2">
      <c r="A762" s="560"/>
      <c r="B762" s="560"/>
      <c r="C762" s="560"/>
      <c r="D762" s="560"/>
      <c r="E762" s="561"/>
    </row>
    <row r="763" spans="1:5" x14ac:dyDescent="0.2">
      <c r="A763" s="560"/>
      <c r="B763" s="560"/>
      <c r="C763" s="560"/>
      <c r="D763" s="560"/>
      <c r="E763" s="561"/>
    </row>
    <row r="764" spans="1:5" x14ac:dyDescent="0.2">
      <c r="A764" s="562"/>
      <c r="B764" s="560"/>
      <c r="C764" s="560"/>
      <c r="D764" s="560"/>
      <c r="E764" s="561"/>
    </row>
    <row r="765" spans="1:5" x14ac:dyDescent="0.2">
      <c r="A765" s="560"/>
      <c r="B765" s="560"/>
      <c r="C765" s="560"/>
      <c r="D765" s="560"/>
      <c r="E765" s="561"/>
    </row>
    <row r="766" spans="1:5" x14ac:dyDescent="0.2">
      <c r="A766" s="560"/>
      <c r="B766" s="560"/>
      <c r="C766" s="560"/>
      <c r="D766" s="560"/>
      <c r="E766" s="561"/>
    </row>
    <row r="767" spans="1:5" x14ac:dyDescent="0.2">
      <c r="A767" s="560"/>
      <c r="B767" s="560"/>
      <c r="C767" s="560"/>
      <c r="D767" s="569"/>
      <c r="E767" s="561"/>
    </row>
    <row r="768" spans="1:5" x14ac:dyDescent="0.2">
      <c r="A768" s="560"/>
      <c r="B768" s="560"/>
      <c r="C768" s="560"/>
      <c r="D768" s="569"/>
      <c r="E768" s="561"/>
    </row>
    <row r="769" spans="1:5" x14ac:dyDescent="0.2">
      <c r="A769" s="560"/>
      <c r="B769" s="560"/>
      <c r="C769" s="560"/>
      <c r="D769" s="569"/>
      <c r="E769" s="561"/>
    </row>
    <row r="770" spans="1:5" x14ac:dyDescent="0.2">
      <c r="A770" s="562"/>
      <c r="B770" s="560"/>
      <c r="C770" s="560"/>
      <c r="D770" s="569"/>
      <c r="E770" s="561"/>
    </row>
    <row r="771" spans="1:5" x14ac:dyDescent="0.2">
      <c r="A771" s="560"/>
      <c r="B771" s="560"/>
      <c r="C771" s="560"/>
      <c r="D771" s="569"/>
      <c r="E771" s="561"/>
    </row>
    <row r="772" spans="1:5" x14ac:dyDescent="0.2">
      <c r="A772" s="560"/>
      <c r="B772" s="560"/>
      <c r="C772" s="560"/>
      <c r="D772" s="569"/>
      <c r="E772" s="561"/>
    </row>
    <row r="773" spans="1:5" x14ac:dyDescent="0.2">
      <c r="A773" s="563"/>
      <c r="B773" s="563"/>
      <c r="C773" s="563"/>
      <c r="D773" s="563"/>
      <c r="E773" s="565"/>
    </row>
    <row r="774" spans="1:5" x14ac:dyDescent="0.2">
      <c r="A774" s="560"/>
      <c r="B774" s="560"/>
      <c r="C774" s="560"/>
      <c r="D774" s="560"/>
      <c r="E774" s="561"/>
    </row>
    <row r="775" spans="1:5" x14ac:dyDescent="0.2">
      <c r="A775" s="560"/>
      <c r="B775" s="560"/>
      <c r="C775" s="560"/>
      <c r="D775" s="560"/>
      <c r="E775" s="561"/>
    </row>
    <row r="776" spans="1:5" x14ac:dyDescent="0.2">
      <c r="A776" s="560"/>
      <c r="B776" s="560"/>
      <c r="C776" s="560"/>
      <c r="D776" s="560"/>
      <c r="E776" s="561"/>
    </row>
    <row r="777" spans="1:5" x14ac:dyDescent="0.2">
      <c r="A777" s="562"/>
      <c r="B777" s="560"/>
      <c r="C777" s="560"/>
      <c r="D777" s="560"/>
      <c r="E777" s="561"/>
    </row>
    <row r="778" spans="1:5" x14ac:dyDescent="0.2">
      <c r="A778" s="560"/>
      <c r="B778" s="560"/>
      <c r="C778" s="560"/>
      <c r="D778" s="560"/>
      <c r="E778" s="561"/>
    </row>
    <row r="779" spans="1:5" x14ac:dyDescent="0.2">
      <c r="A779" s="560"/>
      <c r="B779" s="560"/>
      <c r="C779" s="560"/>
      <c r="D779" s="560"/>
      <c r="E779" s="561"/>
    </row>
    <row r="780" spans="1:5" x14ac:dyDescent="0.2">
      <c r="A780" s="560"/>
      <c r="B780" s="560"/>
      <c r="C780" s="560"/>
      <c r="D780" s="569"/>
      <c r="E780" s="561"/>
    </row>
    <row r="781" spans="1:5" x14ac:dyDescent="0.2">
      <c r="A781" s="560"/>
      <c r="B781" s="560"/>
      <c r="C781" s="560"/>
      <c r="D781" s="569"/>
      <c r="E781" s="561"/>
    </row>
    <row r="782" spans="1:5" x14ac:dyDescent="0.2">
      <c r="A782" s="560"/>
      <c r="B782" s="560"/>
      <c r="C782" s="560"/>
      <c r="D782" s="569"/>
      <c r="E782" s="561"/>
    </row>
    <row r="783" spans="1:5" x14ac:dyDescent="0.2">
      <c r="A783" s="562"/>
      <c r="B783" s="560"/>
      <c r="C783" s="560"/>
      <c r="D783" s="569"/>
      <c r="E783" s="561"/>
    </row>
    <row r="784" spans="1:5" x14ac:dyDescent="0.2">
      <c r="A784" s="560"/>
      <c r="B784" s="560"/>
      <c r="C784" s="560"/>
      <c r="D784" s="569"/>
      <c r="E784" s="561"/>
    </row>
    <row r="785" spans="1:5" x14ac:dyDescent="0.2">
      <c r="A785" s="560"/>
      <c r="B785" s="560"/>
      <c r="C785" s="560"/>
      <c r="D785" s="569"/>
      <c r="E785" s="561"/>
    </row>
    <row r="786" spans="1:5" x14ac:dyDescent="0.2">
      <c r="A786" s="563"/>
      <c r="B786" s="563"/>
      <c r="C786" s="563"/>
      <c r="D786" s="563"/>
      <c r="E786" s="565"/>
    </row>
    <row r="787" spans="1:5" x14ac:dyDescent="0.2">
      <c r="A787" s="560"/>
      <c r="B787" s="560"/>
      <c r="C787" s="560"/>
      <c r="D787" s="560"/>
      <c r="E787" s="561"/>
    </row>
    <row r="788" spans="1:5" x14ac:dyDescent="0.2">
      <c r="A788" s="560"/>
      <c r="B788" s="560"/>
      <c r="C788" s="560"/>
      <c r="D788" s="560"/>
      <c r="E788" s="561"/>
    </row>
    <row r="789" spans="1:5" x14ac:dyDescent="0.2">
      <c r="A789" s="560"/>
      <c r="B789" s="560"/>
      <c r="C789" s="560"/>
      <c r="D789" s="560"/>
      <c r="E789" s="561"/>
    </row>
    <row r="790" spans="1:5" x14ac:dyDescent="0.2">
      <c r="A790" s="562"/>
      <c r="B790" s="560"/>
      <c r="C790" s="560"/>
      <c r="D790" s="560"/>
      <c r="E790" s="561"/>
    </row>
    <row r="791" spans="1:5" x14ac:dyDescent="0.2">
      <c r="A791" s="560"/>
      <c r="B791" s="560"/>
      <c r="C791" s="560"/>
      <c r="D791" s="560"/>
      <c r="E791" s="561"/>
    </row>
    <row r="792" spans="1:5" x14ac:dyDescent="0.2">
      <c r="A792" s="560"/>
      <c r="B792" s="560"/>
      <c r="C792" s="560"/>
      <c r="D792" s="560"/>
      <c r="E792" s="561"/>
    </row>
    <row r="793" spans="1:5" x14ac:dyDescent="0.2">
      <c r="A793" s="560"/>
      <c r="B793" s="560"/>
      <c r="C793" s="560"/>
      <c r="D793" s="569"/>
      <c r="E793" s="561"/>
    </row>
    <row r="794" spans="1:5" x14ac:dyDescent="0.2">
      <c r="A794" s="560"/>
      <c r="B794" s="560"/>
      <c r="C794" s="560"/>
      <c r="D794" s="569"/>
      <c r="E794" s="561"/>
    </row>
    <row r="795" spans="1:5" x14ac:dyDescent="0.2">
      <c r="A795" s="560"/>
      <c r="B795" s="560"/>
      <c r="C795" s="560"/>
      <c r="D795" s="569"/>
      <c r="E795" s="561"/>
    </row>
    <row r="796" spans="1:5" x14ac:dyDescent="0.2">
      <c r="A796" s="562"/>
      <c r="B796" s="560"/>
      <c r="C796" s="560"/>
      <c r="D796" s="569"/>
      <c r="E796" s="561"/>
    </row>
    <row r="797" spans="1:5" x14ac:dyDescent="0.2">
      <c r="A797" s="560"/>
      <c r="B797" s="560"/>
      <c r="C797" s="560"/>
      <c r="D797" s="569"/>
      <c r="E797" s="561"/>
    </row>
    <row r="798" spans="1:5" x14ac:dyDescent="0.2">
      <c r="A798" s="560"/>
      <c r="B798" s="560"/>
      <c r="C798" s="560"/>
      <c r="D798" s="569"/>
      <c r="E798" s="561"/>
    </row>
    <row r="799" spans="1:5" x14ac:dyDescent="0.2">
      <c r="A799" s="563"/>
      <c r="B799" s="563"/>
      <c r="C799" s="563"/>
      <c r="D799" s="563"/>
      <c r="E799" s="565"/>
    </row>
    <row r="800" spans="1:5" x14ac:dyDescent="0.2">
      <c r="A800" s="560"/>
      <c r="B800" s="560"/>
      <c r="C800" s="560"/>
      <c r="D800" s="560"/>
      <c r="E800" s="561"/>
    </row>
    <row r="801" spans="1:5" x14ac:dyDescent="0.2">
      <c r="A801" s="560"/>
      <c r="B801" s="560"/>
      <c r="C801" s="560"/>
      <c r="D801" s="560"/>
      <c r="E801" s="561"/>
    </row>
    <row r="802" spans="1:5" x14ac:dyDescent="0.2">
      <c r="A802" s="560"/>
      <c r="B802" s="560"/>
      <c r="C802" s="560"/>
      <c r="D802" s="560"/>
      <c r="E802" s="561"/>
    </row>
    <row r="803" spans="1:5" x14ac:dyDescent="0.2">
      <c r="A803" s="562"/>
      <c r="B803" s="560"/>
      <c r="C803" s="560"/>
      <c r="D803" s="560"/>
      <c r="E803" s="561"/>
    </row>
    <row r="804" spans="1:5" x14ac:dyDescent="0.2">
      <c r="A804" s="560"/>
      <c r="B804" s="560"/>
      <c r="C804" s="560"/>
      <c r="D804" s="560"/>
      <c r="E804" s="561"/>
    </row>
    <row r="805" spans="1:5" x14ac:dyDescent="0.2">
      <c r="A805" s="560"/>
      <c r="B805" s="560"/>
      <c r="C805" s="560"/>
      <c r="D805" s="560"/>
      <c r="E805" s="561"/>
    </row>
    <row r="806" spans="1:5" x14ac:dyDescent="0.2">
      <c r="A806" s="560"/>
      <c r="B806" s="560"/>
      <c r="C806" s="560"/>
      <c r="D806" s="569"/>
      <c r="E806" s="561"/>
    </row>
    <row r="807" spans="1:5" x14ac:dyDescent="0.2">
      <c r="A807" s="560"/>
      <c r="B807" s="560"/>
      <c r="C807" s="560"/>
      <c r="D807" s="569"/>
      <c r="E807" s="561"/>
    </row>
    <row r="808" spans="1:5" x14ac:dyDescent="0.2">
      <c r="A808" s="560"/>
      <c r="B808" s="560"/>
      <c r="C808" s="560"/>
      <c r="D808" s="569"/>
      <c r="E808" s="561"/>
    </row>
    <row r="809" spans="1:5" x14ac:dyDescent="0.2">
      <c r="A809" s="562"/>
      <c r="B809" s="560"/>
      <c r="C809" s="560"/>
      <c r="D809" s="569"/>
      <c r="E809" s="561"/>
    </row>
    <row r="810" spans="1:5" x14ac:dyDescent="0.2">
      <c r="A810" s="560"/>
      <c r="B810" s="560"/>
      <c r="C810" s="560"/>
      <c r="D810" s="569"/>
      <c r="E810" s="561"/>
    </row>
    <row r="811" spans="1:5" x14ac:dyDescent="0.2">
      <c r="A811" s="560"/>
      <c r="B811" s="560"/>
      <c r="C811" s="560"/>
      <c r="D811" s="569"/>
      <c r="E811" s="561"/>
    </row>
    <row r="812" spans="1:5" x14ac:dyDescent="0.2">
      <c r="A812" s="563"/>
      <c r="B812" s="563"/>
      <c r="C812" s="563"/>
      <c r="D812" s="563"/>
      <c r="E812" s="565"/>
    </row>
    <row r="813" spans="1:5" x14ac:dyDescent="0.2">
      <c r="A813" s="560"/>
      <c r="B813" s="560"/>
      <c r="C813" s="560"/>
      <c r="D813" s="560"/>
      <c r="E813" s="561"/>
    </row>
    <row r="814" spans="1:5" x14ac:dyDescent="0.2">
      <c r="A814" s="560"/>
      <c r="B814" s="560"/>
      <c r="C814" s="560"/>
      <c r="D814" s="560"/>
      <c r="E814" s="561"/>
    </row>
    <row r="815" spans="1:5" x14ac:dyDescent="0.2">
      <c r="A815" s="560"/>
      <c r="B815" s="560"/>
      <c r="C815" s="560"/>
      <c r="D815" s="560"/>
      <c r="E815" s="561"/>
    </row>
    <row r="816" spans="1:5" x14ac:dyDescent="0.2">
      <c r="A816" s="562"/>
      <c r="B816" s="560"/>
      <c r="C816" s="560"/>
      <c r="D816" s="560"/>
      <c r="E816" s="561"/>
    </row>
    <row r="817" spans="1:5" x14ac:dyDescent="0.2">
      <c r="A817" s="560"/>
      <c r="B817" s="560"/>
      <c r="C817" s="560"/>
      <c r="D817" s="560"/>
      <c r="E817" s="561"/>
    </row>
    <row r="818" spans="1:5" x14ac:dyDescent="0.2">
      <c r="A818" s="560"/>
      <c r="B818" s="560"/>
      <c r="C818" s="560"/>
      <c r="D818" s="560"/>
      <c r="E818" s="561"/>
    </row>
    <row r="819" spans="1:5" x14ac:dyDescent="0.2">
      <c r="A819" s="560"/>
      <c r="B819" s="560"/>
      <c r="C819" s="560"/>
      <c r="D819" s="569"/>
      <c r="E819" s="561"/>
    </row>
    <row r="820" spans="1:5" x14ac:dyDescent="0.2">
      <c r="A820" s="560"/>
      <c r="B820" s="560"/>
      <c r="C820" s="560"/>
      <c r="D820" s="569"/>
      <c r="E820" s="561"/>
    </row>
    <row r="821" spans="1:5" x14ac:dyDescent="0.2">
      <c r="A821" s="560"/>
      <c r="B821" s="560"/>
      <c r="C821" s="560"/>
      <c r="D821" s="569"/>
      <c r="E821" s="561"/>
    </row>
    <row r="822" spans="1:5" x14ac:dyDescent="0.2">
      <c r="A822" s="562"/>
      <c r="B822" s="560"/>
      <c r="C822" s="560"/>
      <c r="D822" s="569"/>
      <c r="E822" s="561"/>
    </row>
    <row r="823" spans="1:5" x14ac:dyDescent="0.2">
      <c r="A823" s="560"/>
      <c r="B823" s="560"/>
      <c r="C823" s="560"/>
      <c r="D823" s="569"/>
      <c r="E823" s="561"/>
    </row>
    <row r="824" spans="1:5" x14ac:dyDescent="0.2">
      <c r="A824" s="560"/>
      <c r="B824" s="560"/>
      <c r="C824" s="560"/>
      <c r="D824" s="569"/>
      <c r="E824" s="561"/>
    </row>
    <row r="825" spans="1:5" x14ac:dyDescent="0.2">
      <c r="A825" s="563"/>
      <c r="B825" s="563"/>
      <c r="C825" s="563"/>
      <c r="D825" s="563"/>
      <c r="E825" s="565"/>
    </row>
    <row r="826" spans="1:5" x14ac:dyDescent="0.2">
      <c r="A826" s="560"/>
      <c r="B826" s="560"/>
      <c r="C826" s="560"/>
      <c r="D826" s="560"/>
      <c r="E826" s="561"/>
    </row>
    <row r="827" spans="1:5" x14ac:dyDescent="0.2">
      <c r="A827" s="560"/>
      <c r="B827" s="560"/>
      <c r="C827" s="560"/>
      <c r="D827" s="560"/>
      <c r="E827" s="561"/>
    </row>
    <row r="828" spans="1:5" x14ac:dyDescent="0.2">
      <c r="A828" s="560"/>
      <c r="B828" s="560"/>
      <c r="C828" s="560"/>
      <c r="D828" s="560"/>
      <c r="E828" s="561"/>
    </row>
    <row r="829" spans="1:5" x14ac:dyDescent="0.2">
      <c r="A829" s="562"/>
      <c r="B829" s="560"/>
      <c r="C829" s="560"/>
      <c r="D829" s="560"/>
      <c r="E829" s="561"/>
    </row>
    <row r="830" spans="1:5" x14ac:dyDescent="0.2">
      <c r="A830" s="560"/>
      <c r="B830" s="560"/>
      <c r="C830" s="560"/>
      <c r="D830" s="560"/>
      <c r="E830" s="561"/>
    </row>
    <row r="831" spans="1:5" x14ac:dyDescent="0.2">
      <c r="A831" s="560"/>
      <c r="B831" s="560"/>
      <c r="C831" s="560"/>
      <c r="D831" s="560"/>
      <c r="E831" s="561"/>
    </row>
    <row r="832" spans="1:5" x14ac:dyDescent="0.2">
      <c r="A832" s="560"/>
      <c r="B832" s="560"/>
      <c r="C832" s="560"/>
      <c r="D832" s="569"/>
      <c r="E832" s="561"/>
    </row>
    <row r="833" spans="1:5" x14ac:dyDescent="0.2">
      <c r="A833" s="560"/>
      <c r="B833" s="560"/>
      <c r="C833" s="560"/>
      <c r="D833" s="569"/>
      <c r="E833" s="561"/>
    </row>
    <row r="834" spans="1:5" x14ac:dyDescent="0.2">
      <c r="A834" s="560"/>
      <c r="B834" s="560"/>
      <c r="C834" s="560"/>
      <c r="D834" s="569"/>
      <c r="E834" s="561"/>
    </row>
    <row r="835" spans="1:5" x14ac:dyDescent="0.2">
      <c r="A835" s="562"/>
      <c r="B835" s="560"/>
      <c r="C835" s="560"/>
      <c r="D835" s="569"/>
      <c r="E835" s="561"/>
    </row>
    <row r="836" spans="1:5" x14ac:dyDescent="0.2">
      <c r="A836" s="560"/>
      <c r="B836" s="560"/>
      <c r="C836" s="560"/>
      <c r="D836" s="569"/>
      <c r="E836" s="561"/>
    </row>
    <row r="837" spans="1:5" x14ac:dyDescent="0.2">
      <c r="A837" s="560"/>
      <c r="B837" s="560"/>
      <c r="C837" s="560"/>
      <c r="D837" s="569"/>
      <c r="E837" s="561"/>
    </row>
    <row r="838" spans="1:5" x14ac:dyDescent="0.2">
      <c r="A838" s="563"/>
      <c r="B838" s="563"/>
      <c r="C838" s="563"/>
      <c r="D838" s="563"/>
      <c r="E838" s="565"/>
    </row>
    <row r="839" spans="1:5" x14ac:dyDescent="0.2">
      <c r="A839" s="560"/>
      <c r="B839" s="560"/>
      <c r="C839" s="560"/>
      <c r="D839" s="560"/>
      <c r="E839" s="561"/>
    </row>
    <row r="840" spans="1:5" x14ac:dyDescent="0.2">
      <c r="A840" s="560"/>
      <c r="B840" s="560"/>
      <c r="C840" s="560"/>
      <c r="D840" s="560"/>
      <c r="E840" s="561"/>
    </row>
    <row r="841" spans="1:5" x14ac:dyDescent="0.2">
      <c r="A841" s="560"/>
      <c r="B841" s="560"/>
      <c r="C841" s="560"/>
      <c r="D841" s="560"/>
      <c r="E841" s="561"/>
    </row>
    <row r="842" spans="1:5" x14ac:dyDescent="0.2">
      <c r="A842" s="562"/>
      <c r="B842" s="560"/>
      <c r="C842" s="560"/>
      <c r="D842" s="560"/>
      <c r="E842" s="561"/>
    </row>
    <row r="843" spans="1:5" x14ac:dyDescent="0.2">
      <c r="A843" s="560"/>
      <c r="B843" s="560"/>
      <c r="C843" s="560"/>
      <c r="D843" s="560"/>
      <c r="E843" s="561"/>
    </row>
    <row r="844" spans="1:5" x14ac:dyDescent="0.2">
      <c r="A844" s="560"/>
      <c r="B844" s="560"/>
      <c r="C844" s="560"/>
      <c r="D844" s="560"/>
      <c r="E844" s="561"/>
    </row>
    <row r="845" spans="1:5" x14ac:dyDescent="0.2">
      <c r="A845" s="560"/>
      <c r="B845" s="560"/>
      <c r="C845" s="560"/>
      <c r="D845" s="569"/>
      <c r="E845" s="561"/>
    </row>
    <row r="846" spans="1:5" x14ac:dyDescent="0.2">
      <c r="A846" s="560"/>
      <c r="B846" s="560"/>
      <c r="C846" s="560"/>
      <c r="D846" s="569"/>
      <c r="E846" s="561"/>
    </row>
    <row r="847" spans="1:5" x14ac:dyDescent="0.2">
      <c r="A847" s="560"/>
      <c r="B847" s="560"/>
      <c r="C847" s="560"/>
      <c r="D847" s="569"/>
      <c r="E847" s="561"/>
    </row>
    <row r="848" spans="1:5" x14ac:dyDescent="0.2">
      <c r="A848" s="562"/>
      <c r="B848" s="560"/>
      <c r="C848" s="560"/>
      <c r="D848" s="569"/>
      <c r="E848" s="561"/>
    </row>
    <row r="849" spans="1:5" x14ac:dyDescent="0.2">
      <c r="A849" s="560"/>
      <c r="B849" s="560"/>
      <c r="C849" s="560"/>
      <c r="D849" s="569"/>
      <c r="E849" s="561"/>
    </row>
    <row r="850" spans="1:5" x14ac:dyDescent="0.2">
      <c r="A850" s="560"/>
      <c r="B850" s="560"/>
      <c r="C850" s="560"/>
      <c r="D850" s="569"/>
      <c r="E850" s="561"/>
    </row>
    <row r="851" spans="1:5" x14ac:dyDescent="0.2">
      <c r="A851" s="563"/>
      <c r="B851" s="563"/>
      <c r="C851" s="563"/>
      <c r="D851" s="563"/>
      <c r="E851" s="565"/>
    </row>
    <row r="852" spans="1:5" x14ac:dyDescent="0.2">
      <c r="A852" s="560"/>
      <c r="B852" s="560"/>
      <c r="C852" s="560"/>
      <c r="D852" s="560"/>
      <c r="E852" s="561"/>
    </row>
    <row r="853" spans="1:5" x14ac:dyDescent="0.2">
      <c r="A853" s="560"/>
      <c r="B853" s="560"/>
      <c r="C853" s="560"/>
      <c r="D853" s="560"/>
      <c r="E853" s="561"/>
    </row>
    <row r="854" spans="1:5" x14ac:dyDescent="0.2">
      <c r="A854" s="560"/>
      <c r="B854" s="560"/>
      <c r="C854" s="560"/>
      <c r="D854" s="560"/>
      <c r="E854" s="561"/>
    </row>
    <row r="855" spans="1:5" x14ac:dyDescent="0.2">
      <c r="A855" s="562"/>
      <c r="B855" s="560"/>
      <c r="C855" s="560"/>
      <c r="D855" s="560"/>
      <c r="E855" s="561"/>
    </row>
    <row r="856" spans="1:5" x14ac:dyDescent="0.2">
      <c r="A856" s="560"/>
      <c r="B856" s="560"/>
      <c r="C856" s="560"/>
      <c r="D856" s="560"/>
      <c r="E856" s="561"/>
    </row>
    <row r="857" spans="1:5" x14ac:dyDescent="0.2">
      <c r="A857" s="560"/>
      <c r="B857" s="560"/>
      <c r="C857" s="560"/>
      <c r="D857" s="560"/>
      <c r="E857" s="561"/>
    </row>
    <row r="858" spans="1:5" x14ac:dyDescent="0.2">
      <c r="A858" s="560"/>
      <c r="B858" s="560"/>
      <c r="C858" s="560"/>
      <c r="D858" s="569"/>
      <c r="E858" s="561"/>
    </row>
    <row r="859" spans="1:5" x14ac:dyDescent="0.2">
      <c r="A859" s="560"/>
      <c r="B859" s="560"/>
      <c r="C859" s="560"/>
      <c r="D859" s="569"/>
      <c r="E859" s="561"/>
    </row>
    <row r="860" spans="1:5" x14ac:dyDescent="0.2">
      <c r="A860" s="560"/>
      <c r="B860" s="560"/>
      <c r="C860" s="560"/>
      <c r="D860" s="569"/>
      <c r="E860" s="561"/>
    </row>
    <row r="861" spans="1:5" x14ac:dyDescent="0.2">
      <c r="A861" s="562"/>
      <c r="B861" s="560"/>
      <c r="C861" s="560"/>
      <c r="D861" s="569"/>
      <c r="E861" s="561"/>
    </row>
    <row r="862" spans="1:5" x14ac:dyDescent="0.2">
      <c r="A862" s="560"/>
      <c r="B862" s="560"/>
      <c r="C862" s="560"/>
      <c r="D862" s="569"/>
      <c r="E862" s="561"/>
    </row>
    <row r="863" spans="1:5" x14ac:dyDescent="0.2">
      <c r="A863" s="560"/>
      <c r="B863" s="560"/>
      <c r="C863" s="560"/>
      <c r="D863" s="569"/>
      <c r="E863" s="561"/>
    </row>
    <row r="864" spans="1:5" x14ac:dyDescent="0.2">
      <c r="A864" s="563"/>
      <c r="B864" s="563"/>
      <c r="C864" s="563"/>
      <c r="D864" s="563"/>
      <c r="E864" s="565"/>
    </row>
    <row r="865" spans="1:5" x14ac:dyDescent="0.2">
      <c r="A865" s="560"/>
      <c r="B865" s="560"/>
      <c r="C865" s="560"/>
      <c r="D865" s="560"/>
      <c r="E865" s="561"/>
    </row>
    <row r="866" spans="1:5" x14ac:dyDescent="0.2">
      <c r="A866" s="560"/>
      <c r="B866" s="560"/>
      <c r="C866" s="560"/>
      <c r="D866" s="560"/>
      <c r="E866" s="561"/>
    </row>
    <row r="867" spans="1:5" x14ac:dyDescent="0.2">
      <c r="A867" s="560"/>
      <c r="B867" s="560"/>
      <c r="C867" s="560"/>
      <c r="D867" s="560"/>
      <c r="E867" s="561"/>
    </row>
    <row r="868" spans="1:5" x14ac:dyDescent="0.2">
      <c r="A868" s="562"/>
      <c r="B868" s="560"/>
      <c r="C868" s="560"/>
      <c r="D868" s="560"/>
      <c r="E868" s="561"/>
    </row>
    <row r="869" spans="1:5" x14ac:dyDescent="0.2">
      <c r="A869" s="560"/>
      <c r="B869" s="560"/>
      <c r="C869" s="560"/>
      <c r="D869" s="560"/>
      <c r="E869" s="561"/>
    </row>
    <row r="870" spans="1:5" x14ac:dyDescent="0.2">
      <c r="A870" s="560"/>
      <c r="B870" s="560"/>
      <c r="C870" s="560"/>
      <c r="D870" s="560"/>
      <c r="E870" s="561"/>
    </row>
    <row r="871" spans="1:5" x14ac:dyDescent="0.2">
      <c r="A871" s="560"/>
      <c r="B871" s="560"/>
      <c r="C871" s="560"/>
      <c r="D871" s="569"/>
      <c r="E871" s="561"/>
    </row>
    <row r="872" spans="1:5" x14ac:dyDescent="0.2">
      <c r="A872" s="560"/>
      <c r="B872" s="560"/>
      <c r="C872" s="560"/>
      <c r="D872" s="569"/>
      <c r="E872" s="561"/>
    </row>
    <row r="873" spans="1:5" x14ac:dyDescent="0.2">
      <c r="A873" s="560"/>
      <c r="B873" s="560"/>
      <c r="C873" s="560"/>
      <c r="D873" s="569"/>
      <c r="E873" s="561"/>
    </row>
    <row r="874" spans="1:5" x14ac:dyDescent="0.2">
      <c r="A874" s="562"/>
      <c r="B874" s="560"/>
      <c r="C874" s="560"/>
      <c r="D874" s="569"/>
      <c r="E874" s="561"/>
    </row>
    <row r="875" spans="1:5" x14ac:dyDescent="0.2">
      <c r="A875" s="560"/>
      <c r="B875" s="560"/>
      <c r="C875" s="560"/>
      <c r="D875" s="569"/>
      <c r="E875" s="561"/>
    </row>
    <row r="876" spans="1:5" x14ac:dyDescent="0.2">
      <c r="A876" s="560"/>
      <c r="B876" s="560"/>
      <c r="C876" s="560"/>
      <c r="D876" s="569"/>
      <c r="E876" s="561"/>
    </row>
    <row r="877" spans="1:5" x14ac:dyDescent="0.2">
      <c r="A877" s="563"/>
      <c r="B877" s="563"/>
      <c r="C877" s="563"/>
      <c r="D877" s="563"/>
      <c r="E877" s="565"/>
    </row>
    <row r="878" spans="1:5" x14ac:dyDescent="0.2">
      <c r="A878" s="560"/>
      <c r="B878" s="560"/>
      <c r="C878" s="560"/>
      <c r="D878" s="560"/>
      <c r="E878" s="561"/>
    </row>
    <row r="879" spans="1:5" x14ac:dyDescent="0.2">
      <c r="A879" s="560"/>
      <c r="B879" s="560"/>
      <c r="C879" s="560"/>
      <c r="D879" s="560"/>
      <c r="E879" s="561"/>
    </row>
    <row r="880" spans="1:5" x14ac:dyDescent="0.2">
      <c r="A880" s="560"/>
      <c r="B880" s="560"/>
      <c r="C880" s="560"/>
      <c r="D880" s="560"/>
      <c r="E880" s="561"/>
    </row>
    <row r="881" spans="1:5" x14ac:dyDescent="0.2">
      <c r="A881" s="562"/>
      <c r="B881" s="560"/>
      <c r="C881" s="560"/>
      <c r="D881" s="560"/>
      <c r="E881" s="561"/>
    </row>
    <row r="882" spans="1:5" x14ac:dyDescent="0.2">
      <c r="A882" s="560"/>
      <c r="B882" s="560"/>
      <c r="C882" s="560"/>
      <c r="D882" s="560"/>
      <c r="E882" s="561"/>
    </row>
    <row r="883" spans="1:5" x14ac:dyDescent="0.2">
      <c r="A883" s="560"/>
      <c r="B883" s="560"/>
      <c r="C883" s="560"/>
      <c r="D883" s="560"/>
      <c r="E883" s="561"/>
    </row>
    <row r="884" spans="1:5" x14ac:dyDescent="0.2">
      <c r="A884" s="560"/>
      <c r="B884" s="560"/>
      <c r="C884" s="560"/>
      <c r="D884" s="569"/>
      <c r="E884" s="561"/>
    </row>
    <row r="885" spans="1:5" x14ac:dyDescent="0.2">
      <c r="A885" s="560"/>
      <c r="B885" s="560"/>
      <c r="C885" s="560"/>
      <c r="D885" s="569"/>
      <c r="E885" s="561"/>
    </row>
    <row r="886" spans="1:5" x14ac:dyDescent="0.2">
      <c r="A886" s="560"/>
      <c r="B886" s="560"/>
      <c r="C886" s="560"/>
      <c r="D886" s="569"/>
      <c r="E886" s="561"/>
    </row>
    <row r="887" spans="1:5" x14ac:dyDescent="0.2">
      <c r="A887" s="562"/>
      <c r="B887" s="560"/>
      <c r="C887" s="560"/>
      <c r="D887" s="569"/>
      <c r="E887" s="561"/>
    </row>
    <row r="888" spans="1:5" x14ac:dyDescent="0.2">
      <c r="A888" s="560"/>
      <c r="B888" s="560"/>
      <c r="C888" s="560"/>
      <c r="D888" s="569"/>
      <c r="E888" s="561"/>
    </row>
    <row r="889" spans="1:5" x14ac:dyDescent="0.2">
      <c r="A889" s="560"/>
      <c r="B889" s="560"/>
      <c r="C889" s="560"/>
      <c r="D889" s="569"/>
      <c r="E889" s="561"/>
    </row>
    <row r="890" spans="1:5" x14ac:dyDescent="0.2">
      <c r="A890" s="563"/>
      <c r="B890" s="563"/>
      <c r="C890" s="563"/>
      <c r="D890" s="563"/>
      <c r="E890" s="565"/>
    </row>
    <row r="891" spans="1:5" x14ac:dyDescent="0.2">
      <c r="A891" s="560"/>
      <c r="B891" s="560"/>
      <c r="C891" s="560"/>
      <c r="D891" s="560"/>
      <c r="E891" s="561"/>
    </row>
    <row r="892" spans="1:5" x14ac:dyDescent="0.2">
      <c r="A892" s="560"/>
      <c r="B892" s="560"/>
      <c r="C892" s="560"/>
      <c r="D892" s="560"/>
      <c r="E892" s="561"/>
    </row>
    <row r="893" spans="1:5" x14ac:dyDescent="0.2">
      <c r="A893" s="560"/>
      <c r="B893" s="560"/>
      <c r="C893" s="560"/>
      <c r="D893" s="560"/>
      <c r="E893" s="561"/>
    </row>
    <row r="894" spans="1:5" x14ac:dyDescent="0.2">
      <c r="A894" s="562"/>
      <c r="B894" s="560"/>
      <c r="C894" s="560"/>
      <c r="D894" s="560"/>
      <c r="E894" s="561"/>
    </row>
    <row r="895" spans="1:5" x14ac:dyDescent="0.2">
      <c r="A895" s="560"/>
      <c r="B895" s="560"/>
      <c r="C895" s="560"/>
      <c r="D895" s="560"/>
      <c r="E895" s="561"/>
    </row>
    <row r="896" spans="1:5" x14ac:dyDescent="0.2">
      <c r="A896" s="560"/>
      <c r="B896" s="560"/>
      <c r="C896" s="560"/>
      <c r="D896" s="560"/>
      <c r="E896" s="561"/>
    </row>
    <row r="897" spans="1:5" x14ac:dyDescent="0.2">
      <c r="A897" s="560"/>
      <c r="B897" s="560"/>
      <c r="C897" s="560"/>
      <c r="D897" s="569"/>
      <c r="E897" s="561"/>
    </row>
    <row r="898" spans="1:5" x14ac:dyDescent="0.2">
      <c r="A898" s="560"/>
      <c r="B898" s="560"/>
      <c r="C898" s="560"/>
      <c r="D898" s="569"/>
      <c r="E898" s="561"/>
    </row>
    <row r="899" spans="1:5" x14ac:dyDescent="0.2">
      <c r="A899" s="560"/>
      <c r="B899" s="560"/>
      <c r="C899" s="560"/>
      <c r="D899" s="569"/>
      <c r="E899" s="561"/>
    </row>
    <row r="900" spans="1:5" x14ac:dyDescent="0.2">
      <c r="A900" s="562"/>
      <c r="B900" s="560"/>
      <c r="C900" s="560"/>
      <c r="D900" s="569"/>
      <c r="E900" s="561"/>
    </row>
    <row r="901" spans="1:5" x14ac:dyDescent="0.2">
      <c r="A901" s="560"/>
      <c r="B901" s="560"/>
      <c r="C901" s="560"/>
      <c r="D901" s="569"/>
      <c r="E901" s="561"/>
    </row>
    <row r="902" spans="1:5" x14ac:dyDescent="0.2">
      <c r="A902" s="560"/>
      <c r="B902" s="560"/>
      <c r="C902" s="560"/>
      <c r="D902" s="569"/>
      <c r="E902" s="561"/>
    </row>
    <row r="903" spans="1:5" x14ac:dyDescent="0.2">
      <c r="A903" s="563"/>
      <c r="B903" s="563"/>
      <c r="C903" s="563"/>
      <c r="D903" s="563"/>
      <c r="E903" s="565"/>
    </row>
    <row r="904" spans="1:5" x14ac:dyDescent="0.2">
      <c r="A904" s="571"/>
      <c r="B904" s="571"/>
      <c r="C904" s="571"/>
      <c r="D904" s="571"/>
      <c r="E904" s="572"/>
    </row>
    <row r="905" spans="1:5" x14ac:dyDescent="0.2">
      <c r="A905" s="560"/>
      <c r="B905" s="560"/>
      <c r="C905" s="560"/>
      <c r="D905" s="560"/>
      <c r="E905" s="561"/>
    </row>
    <row r="906" spans="1:5" x14ac:dyDescent="0.2">
      <c r="A906" s="560"/>
      <c r="B906" s="560"/>
      <c r="C906" s="560"/>
      <c r="D906" s="560"/>
      <c r="E906" s="561"/>
    </row>
    <row r="907" spans="1:5" x14ac:dyDescent="0.2">
      <c r="A907" s="560"/>
      <c r="B907" s="560"/>
      <c r="C907" s="560"/>
      <c r="D907" s="560"/>
      <c r="E907" s="561"/>
    </row>
    <row r="908" spans="1:5" x14ac:dyDescent="0.2">
      <c r="A908" s="560"/>
      <c r="B908" s="562"/>
      <c r="C908" s="560"/>
      <c r="D908" s="560"/>
      <c r="E908" s="561"/>
    </row>
    <row r="909" spans="1:5" x14ac:dyDescent="0.2">
      <c r="A909" s="560"/>
      <c r="B909" s="562"/>
      <c r="C909" s="560"/>
      <c r="D909" s="560"/>
      <c r="E909" s="561"/>
    </row>
    <row r="910" spans="1:5" x14ac:dyDescent="0.2">
      <c r="A910" s="560"/>
      <c r="B910" s="562"/>
      <c r="C910" s="560"/>
      <c r="D910" s="560"/>
      <c r="E910" s="561"/>
    </row>
    <row r="911" spans="1:5" x14ac:dyDescent="0.2">
      <c r="A911" s="560"/>
      <c r="B911" s="562"/>
      <c r="C911" s="560"/>
      <c r="D911" s="560"/>
      <c r="E911" s="561"/>
    </row>
    <row r="912" spans="1:5" x14ac:dyDescent="0.2">
      <c r="A912" s="560"/>
      <c r="B912" s="562"/>
      <c r="C912" s="560"/>
      <c r="D912" s="560"/>
      <c r="E912" s="561"/>
    </row>
    <row r="913" spans="1:5" x14ac:dyDescent="0.2">
      <c r="A913" s="560"/>
      <c r="B913" s="562"/>
      <c r="C913" s="560"/>
      <c r="D913" s="560"/>
      <c r="E913" s="561"/>
    </row>
    <row r="914" spans="1:5" x14ac:dyDescent="0.2">
      <c r="A914" s="560"/>
      <c r="B914" s="562"/>
      <c r="C914" s="560"/>
      <c r="D914" s="560"/>
      <c r="E914" s="561"/>
    </row>
    <row r="915" spans="1:5" x14ac:dyDescent="0.2">
      <c r="A915" s="560"/>
      <c r="B915" s="562"/>
      <c r="C915" s="560"/>
      <c r="D915" s="560"/>
      <c r="E915" s="561"/>
    </row>
    <row r="916" spans="1:5" x14ac:dyDescent="0.2">
      <c r="A916" s="560"/>
      <c r="B916" s="562"/>
      <c r="C916" s="560"/>
      <c r="D916" s="560"/>
      <c r="E916" s="561"/>
    </row>
    <row r="917" spans="1:5" x14ac:dyDescent="0.2">
      <c r="A917" s="563"/>
      <c r="B917" s="563"/>
      <c r="C917" s="563"/>
      <c r="D917" s="563"/>
      <c r="E917" s="565"/>
    </row>
    <row r="918" spans="1:5" x14ac:dyDescent="0.2">
      <c r="A918" s="560"/>
      <c r="B918" s="560"/>
      <c r="C918" s="560"/>
      <c r="D918" s="560"/>
      <c r="E918" s="561"/>
    </row>
    <row r="919" spans="1:5" x14ac:dyDescent="0.2">
      <c r="A919" s="560"/>
      <c r="B919" s="560"/>
      <c r="C919" s="560"/>
      <c r="D919" s="560"/>
      <c r="E919" s="561"/>
    </row>
    <row r="920" spans="1:5" x14ac:dyDescent="0.2">
      <c r="A920" s="560"/>
      <c r="B920" s="560"/>
      <c r="C920" s="560"/>
      <c r="D920" s="560"/>
      <c r="E920" s="561"/>
    </row>
    <row r="921" spans="1:5" x14ac:dyDescent="0.2">
      <c r="A921" s="560"/>
      <c r="B921" s="562"/>
      <c r="C921" s="560"/>
      <c r="D921" s="560"/>
      <c r="E921" s="561"/>
    </row>
    <row r="922" spans="1:5" x14ac:dyDescent="0.2">
      <c r="A922" s="560"/>
      <c r="B922" s="562"/>
      <c r="C922" s="560"/>
      <c r="D922" s="560"/>
      <c r="E922" s="561"/>
    </row>
    <row r="923" spans="1:5" x14ac:dyDescent="0.2">
      <c r="A923" s="560"/>
      <c r="B923" s="562"/>
      <c r="C923" s="560"/>
      <c r="D923" s="560"/>
      <c r="E923" s="561"/>
    </row>
    <row r="924" spans="1:5" x14ac:dyDescent="0.2">
      <c r="A924" s="560"/>
      <c r="B924" s="562"/>
      <c r="C924" s="560"/>
      <c r="D924" s="560"/>
      <c r="E924" s="561"/>
    </row>
    <row r="925" spans="1:5" x14ac:dyDescent="0.2">
      <c r="A925" s="560"/>
      <c r="B925" s="562"/>
      <c r="C925" s="560"/>
      <c r="D925" s="560"/>
      <c r="E925" s="561"/>
    </row>
    <row r="926" spans="1:5" x14ac:dyDescent="0.2">
      <c r="A926" s="560"/>
      <c r="B926" s="562"/>
      <c r="C926" s="560"/>
      <c r="D926" s="560"/>
      <c r="E926" s="561"/>
    </row>
    <row r="927" spans="1:5" x14ac:dyDescent="0.2">
      <c r="A927" s="560"/>
      <c r="B927" s="562"/>
      <c r="C927" s="560"/>
      <c r="D927" s="560"/>
      <c r="E927" s="561"/>
    </row>
    <row r="928" spans="1:5" x14ac:dyDescent="0.2">
      <c r="A928" s="560"/>
      <c r="B928" s="562"/>
      <c r="C928" s="560"/>
      <c r="D928" s="560"/>
      <c r="E928" s="561"/>
    </row>
    <row r="929" spans="1:5" x14ac:dyDescent="0.2">
      <c r="A929" s="560"/>
      <c r="B929" s="562"/>
      <c r="C929" s="560"/>
      <c r="D929" s="560"/>
      <c r="E929" s="561"/>
    </row>
    <row r="930" spans="1:5" x14ac:dyDescent="0.2">
      <c r="A930" s="563"/>
      <c r="B930" s="563"/>
      <c r="C930" s="563"/>
      <c r="D930" s="563"/>
      <c r="E930" s="565"/>
    </row>
    <row r="931" spans="1:5" x14ac:dyDescent="0.2">
      <c r="A931" s="560"/>
      <c r="B931" s="560"/>
      <c r="C931" s="560"/>
      <c r="D931" s="560"/>
      <c r="E931" s="561"/>
    </row>
    <row r="932" spans="1:5" x14ac:dyDescent="0.2">
      <c r="A932" s="560"/>
      <c r="B932" s="560"/>
      <c r="C932" s="560"/>
      <c r="D932" s="560"/>
      <c r="E932" s="561"/>
    </row>
    <row r="933" spans="1:5" x14ac:dyDescent="0.2">
      <c r="A933" s="560"/>
      <c r="B933" s="560"/>
      <c r="C933" s="560"/>
      <c r="D933" s="560"/>
      <c r="E933" s="561"/>
    </row>
    <row r="934" spans="1:5" x14ac:dyDescent="0.2">
      <c r="A934" s="560"/>
      <c r="B934" s="562"/>
      <c r="C934" s="560"/>
      <c r="D934" s="560"/>
      <c r="E934" s="561"/>
    </row>
    <row r="935" spans="1:5" x14ac:dyDescent="0.2">
      <c r="A935" s="560"/>
      <c r="B935" s="562"/>
      <c r="C935" s="560"/>
      <c r="D935" s="560"/>
      <c r="E935" s="561"/>
    </row>
    <row r="936" spans="1:5" x14ac:dyDescent="0.2">
      <c r="A936" s="560"/>
      <c r="B936" s="562"/>
      <c r="C936" s="560"/>
      <c r="D936" s="560"/>
      <c r="E936" s="561"/>
    </row>
    <row r="937" spans="1:5" x14ac:dyDescent="0.2">
      <c r="A937" s="560"/>
      <c r="B937" s="562"/>
      <c r="C937" s="560"/>
      <c r="D937" s="560"/>
      <c r="E937" s="561"/>
    </row>
    <row r="938" spans="1:5" x14ac:dyDescent="0.2">
      <c r="A938" s="560"/>
      <c r="B938" s="562"/>
      <c r="C938" s="560"/>
      <c r="D938" s="560"/>
      <c r="E938" s="561"/>
    </row>
    <row r="939" spans="1:5" x14ac:dyDescent="0.2">
      <c r="A939" s="560"/>
      <c r="B939" s="562"/>
      <c r="C939" s="560"/>
      <c r="D939" s="560"/>
      <c r="E939" s="561"/>
    </row>
    <row r="940" spans="1:5" x14ac:dyDescent="0.2">
      <c r="A940" s="560"/>
      <c r="B940" s="562"/>
      <c r="C940" s="560"/>
      <c r="D940" s="560"/>
      <c r="E940" s="561"/>
    </row>
    <row r="941" spans="1:5" x14ac:dyDescent="0.2">
      <c r="A941" s="560"/>
      <c r="B941" s="562"/>
      <c r="C941" s="560"/>
      <c r="D941" s="560"/>
      <c r="E941" s="561"/>
    </row>
    <row r="942" spans="1:5" x14ac:dyDescent="0.2">
      <c r="A942" s="560"/>
      <c r="B942" s="562"/>
      <c r="C942" s="560"/>
      <c r="D942" s="560"/>
      <c r="E942" s="561"/>
    </row>
    <row r="943" spans="1:5" x14ac:dyDescent="0.2">
      <c r="A943" s="563"/>
      <c r="B943" s="563"/>
      <c r="C943" s="563"/>
      <c r="D943" s="563"/>
      <c r="E943" s="565"/>
    </row>
    <row r="944" spans="1:5" x14ac:dyDescent="0.2">
      <c r="A944" s="571"/>
      <c r="B944" s="571"/>
      <c r="C944" s="571"/>
      <c r="D944" s="571"/>
      <c r="E944" s="572"/>
    </row>
    <row r="945" spans="1:5" x14ac:dyDescent="0.2">
      <c r="A945" s="560" t="s">
        <v>1005</v>
      </c>
      <c r="B945" s="560" t="s">
        <v>1005</v>
      </c>
      <c r="C945" s="560">
        <v>1000</v>
      </c>
      <c r="D945" s="569">
        <v>6810</v>
      </c>
      <c r="E945" s="561">
        <f>SUMIFS('Accounting data'!$G$2:$G$37000,'Accounting data'!$J$2:$J$37000,"1*",'Accounting data'!$K$2:$K$37000,"681*")</f>
        <v>6605</v>
      </c>
    </row>
    <row r="946" spans="1:5" x14ac:dyDescent="0.2">
      <c r="A946" s="560" t="s">
        <v>1006</v>
      </c>
      <c r="B946" s="560" t="s">
        <v>1005</v>
      </c>
      <c r="C946" s="560">
        <v>1000</v>
      </c>
      <c r="D946" s="569">
        <v>6810</v>
      </c>
      <c r="E946" s="561">
        <f>SUMIFS('Accounting data'!$G$2:$G$37000,'Accounting data'!$H$2:$H$37000,"9999*",'Accounting data'!$J$2:$J$37000,"1*",'Accounting data'!$K$2:$K$37000,"681*")</f>
        <v>0</v>
      </c>
    </row>
    <row r="947" spans="1:5" x14ac:dyDescent="0.2">
      <c r="A947" s="560" t="s">
        <v>1005</v>
      </c>
      <c r="B947" s="560" t="s">
        <v>1007</v>
      </c>
      <c r="C947" s="560">
        <v>1000</v>
      </c>
      <c r="D947" s="569">
        <v>6810</v>
      </c>
      <c r="E947" s="561">
        <f>SUMIFS('Accounting data'!$G$2:$G$37000,'Accounting data'!$I$2:$I$37000,"7*",'Accounting data'!$J$2:$J$37000,"1*",'Accounting data'!$K$2:$K$37000,"681*")+SUMIFS('Accounting data'!$G$2:$G$37000,'Accounting data'!$I$2:$I$37000,"8*",'Accounting data'!$J$2:$J$37000,"1*",'Accounting data'!$K$2:$K$37000,"681*")+SUMIFS('Accounting data'!$G$2:$G$37000,'Accounting data'!$I$2:$I$37000,"9*",'Accounting data'!$J$2:$J$37000,"1*",'Accounting data'!$K$2:$K$37000,"681*")</f>
        <v>0</v>
      </c>
    </row>
    <row r="948" spans="1:5" x14ac:dyDescent="0.2">
      <c r="A948" s="562" t="s">
        <v>1006</v>
      </c>
      <c r="B948" s="560" t="s">
        <v>1007</v>
      </c>
      <c r="C948" s="560">
        <v>1000</v>
      </c>
      <c r="D948" s="569">
        <v>6810</v>
      </c>
      <c r="E948" s="561">
        <f>SUMIFS('Accounting data'!$G$2:$G$37000,'Accounting data'!$H$2:$H$37000,"9999*",'Accounting data'!$I$2:$I$37000,"7*",'Accounting data'!$J$2:$J$37000,"1*",'Accounting data'!$K$2:$K$37000,"681*")+SUMIFS('Accounting data'!$G$2:$G$37000,'Accounting data'!$H$2:$H$37000,"9999*",'Accounting data'!$I$2:$I$37000,"8*",'Accounting data'!$J$2:$J$37000,"1*",'Accounting data'!$K$2:$K$37000,"681*")+SUMIFS('Accounting data'!$G$2:$G$37000,'Accounting data'!$H$2:$H$37000,"9999*",'Accounting data'!$I$2:$I$37000,"9*",'Accounting data'!$J$2:$J$37000,"1*",'Accounting data'!$K$2:$K$37000,"681*")</f>
        <v>0</v>
      </c>
    </row>
    <row r="949" spans="1:5" x14ac:dyDescent="0.2">
      <c r="A949" s="560"/>
      <c r="B949" s="560"/>
      <c r="C949" s="560"/>
      <c r="D949" s="569"/>
      <c r="E949" s="561"/>
    </row>
    <row r="950" spans="1:5" x14ac:dyDescent="0.2">
      <c r="A950" s="560"/>
      <c r="B950" s="560"/>
      <c r="C950" s="560"/>
      <c r="D950" s="569"/>
      <c r="E950" s="561"/>
    </row>
    <row r="951" spans="1:5" x14ac:dyDescent="0.2">
      <c r="A951" s="563" t="s">
        <v>1069</v>
      </c>
      <c r="B951" s="563"/>
      <c r="C951" s="563"/>
      <c r="D951" s="563"/>
      <c r="E951" s="565">
        <f>((E945-E946-E947)+(E948+E949+E950))</f>
        <v>6605</v>
      </c>
    </row>
    <row r="952" spans="1:5" x14ac:dyDescent="0.2">
      <c r="A952" s="560" t="s">
        <v>1005</v>
      </c>
      <c r="B952" s="560" t="s">
        <v>1005</v>
      </c>
      <c r="C952" s="560">
        <v>2100</v>
      </c>
      <c r="D952" s="569">
        <v>6810</v>
      </c>
      <c r="E952" s="561">
        <f>SUMIFS('Accounting data'!$G$2:$G$37000,'Accounting data'!$J$2:$J$37000,"21*",'Accounting data'!$K$2:$K$37000,"681*")</f>
        <v>77</v>
      </c>
    </row>
    <row r="953" spans="1:5" x14ac:dyDescent="0.2">
      <c r="A953" s="560" t="s">
        <v>1006</v>
      </c>
      <c r="B953" s="560" t="s">
        <v>1005</v>
      </c>
      <c r="C953" s="560">
        <v>2100</v>
      </c>
      <c r="D953" s="569">
        <v>6810</v>
      </c>
      <c r="E953" s="561">
        <f>SUMIFS('Accounting data'!$G$2:$G$37000,'Accounting data'!$H$2:$H$37000,"9999*",'Accounting data'!$J$2:$J$37000,"21*",'Accounting data'!$K$2:$K$37000,"681*")</f>
        <v>0</v>
      </c>
    </row>
    <row r="954" spans="1:5" x14ac:dyDescent="0.2">
      <c r="A954" s="560" t="s">
        <v>1005</v>
      </c>
      <c r="B954" s="560" t="s">
        <v>1007</v>
      </c>
      <c r="C954" s="560">
        <v>2100</v>
      </c>
      <c r="D954" s="569">
        <v>6810</v>
      </c>
      <c r="E954" s="561">
        <f>SUMIFS('Accounting data'!$G$2:$G$37000,'Accounting data'!$I$2:$I$37000,"7*",'Accounting data'!$J$2:$J$37000,"21*",'Accounting data'!$K$2:$K$37000,"681*")+SUMIFS('Accounting data'!$G$2:$G$37000,'Accounting data'!$I$2:$I$37000,"8*",'Accounting data'!$J$2:$J$37000,"21*",'Accounting data'!$K$2:$K$37000,"681*")+SUMIFS('Accounting data'!$G$2:$G$37000,'Accounting data'!$I$2:$I$37000,"9*",'Accounting data'!$J$2:$J$37000,"21*",'Accounting data'!$K$2:$K$37000,"681*")</f>
        <v>0</v>
      </c>
    </row>
    <row r="955" spans="1:5" x14ac:dyDescent="0.2">
      <c r="A955" s="562" t="s">
        <v>1006</v>
      </c>
      <c r="B955" s="560" t="s">
        <v>1007</v>
      </c>
      <c r="C955" s="560">
        <v>2100</v>
      </c>
      <c r="D955" s="569">
        <v>6810</v>
      </c>
      <c r="E955" s="561">
        <f>SUMIFS('Accounting data'!$G$2:$G$37000,'Accounting data'!$H$2:$H$37000,"9999*",'Accounting data'!$I$2:$I$37000,"7*",'Accounting data'!$J$2:$J$37000,"21*",'Accounting data'!$K$2:$K$37000,"681*")+SUMIFS('Accounting data'!$G$2:$G$37000,'Accounting data'!$H$2:$H$37000,"9999*",'Accounting data'!$I$2:$I$37000,"8*",'Accounting data'!$J$2:$J$37000,"21*",'Accounting data'!$K$2:$K$37000,"681*")+SUMIFS('Accounting data'!$G$2:$G$37000,'Accounting data'!$H$2:$H$37000,"9999*",'Accounting data'!$I$2:$I$37000,"9*",'Accounting data'!$J$2:$J$37000,"21*",'Accounting data'!$K$2:$K$37000,"681*")</f>
        <v>0</v>
      </c>
    </row>
    <row r="956" spans="1:5" x14ac:dyDescent="0.2">
      <c r="A956" s="560"/>
      <c r="B956" s="560"/>
      <c r="C956" s="560"/>
      <c r="D956" s="569"/>
      <c r="E956" s="561"/>
    </row>
    <row r="957" spans="1:5" x14ac:dyDescent="0.2">
      <c r="A957" s="560"/>
      <c r="B957" s="560"/>
      <c r="C957" s="560"/>
      <c r="D957" s="569"/>
      <c r="E957" s="561"/>
    </row>
    <row r="958" spans="1:5" x14ac:dyDescent="0.2">
      <c r="A958" s="563" t="s">
        <v>1070</v>
      </c>
      <c r="B958" s="563"/>
      <c r="C958" s="563"/>
      <c r="D958" s="563"/>
      <c r="E958" s="565">
        <f>(E952-E953-E954)+(E955+E956+E957)</f>
        <v>77</v>
      </c>
    </row>
    <row r="959" spans="1:5" x14ac:dyDescent="0.2">
      <c r="A959" s="560" t="s">
        <v>1005</v>
      </c>
      <c r="B959" s="560" t="s">
        <v>1005</v>
      </c>
      <c r="C959" s="560">
        <v>2200</v>
      </c>
      <c r="D959" s="569">
        <v>6810</v>
      </c>
      <c r="E959" s="561">
        <f>SUMIFS('Accounting data'!$G$2:$G$37000,'Accounting data'!$J$2:$J$37000,"22*",'Accounting data'!$K$2:$K$37000,"681*")</f>
        <v>37</v>
      </c>
    </row>
    <row r="960" spans="1:5" x14ac:dyDescent="0.2">
      <c r="A960" s="560" t="s">
        <v>1006</v>
      </c>
      <c r="B960" s="560" t="s">
        <v>1005</v>
      </c>
      <c r="C960" s="560">
        <v>2200</v>
      </c>
      <c r="D960" s="569">
        <v>6810</v>
      </c>
      <c r="E960" s="561">
        <f>SUMIFS('Accounting data'!$G$2:$G$37000,'Accounting data'!$H$2:$H$37000,"9999*",'Accounting data'!$J$2:$J$37000,"22*",'Accounting data'!$K$2:$K$37000,"681*")</f>
        <v>0</v>
      </c>
    </row>
    <row r="961" spans="1:5" x14ac:dyDescent="0.2">
      <c r="A961" s="560" t="s">
        <v>1005</v>
      </c>
      <c r="B961" s="560" t="s">
        <v>1007</v>
      </c>
      <c r="C961" s="560">
        <v>2200</v>
      </c>
      <c r="D961" s="569">
        <v>6810</v>
      </c>
      <c r="E961" s="561">
        <f>SUMIFS('Accounting data'!$G$2:$G$37000,'Accounting data'!$I$2:$I$37000,"7*",'Accounting data'!$J$2:$J$37000,"22*",'Accounting data'!$K$2:$K$37000,"681*")+SUMIFS('Accounting data'!$G$2:$G$37000,'Accounting data'!$I$2:$I$37000,"8*",'Accounting data'!$J$2:$J$37000,"22*",'Accounting data'!$K$2:$K$37000,"681*")+SUMIFS('Accounting data'!$G$2:$G$37000,'Accounting data'!$I$2:$I$37000,"9*",'Accounting data'!$J$2:$J$37000,"22*",'Accounting data'!$K$2:$K$37000,"681*")</f>
        <v>0</v>
      </c>
    </row>
    <row r="962" spans="1:5" x14ac:dyDescent="0.2">
      <c r="A962" s="562" t="s">
        <v>1006</v>
      </c>
      <c r="B962" s="560" t="s">
        <v>1007</v>
      </c>
      <c r="C962" s="560">
        <v>2200</v>
      </c>
      <c r="D962" s="569">
        <v>6810</v>
      </c>
      <c r="E962" s="561">
        <f>SUMIFS('Accounting data'!$G$2:$G$37000,'Accounting data'!$H$2:$H$37000,"9999*",'Accounting data'!$I$2:$I$37000,"7*",'Accounting data'!$J$2:$J$37000,"22*",'Accounting data'!$K$2:$K$37000,"681*")+SUMIFS('Accounting data'!$G$2:$G$37000,'Accounting data'!$H$2:$H$37000,"9999*",'Accounting data'!$I$2:$I$37000,"8*",'Accounting data'!$J$2:$J$37000,"22*",'Accounting data'!$K$2:$K$37000,"681*")+SUMIFS('Accounting data'!$G$2:$G$37000,'Accounting data'!$H$2:$H$37000,"9999*",'Accounting data'!$I$2:$I$37000,"9*",'Accounting data'!$J$2:$J$37000,"22*",'Accounting data'!$K$2:$K$37000,"681*")</f>
        <v>0</v>
      </c>
    </row>
    <row r="963" spans="1:5" x14ac:dyDescent="0.2">
      <c r="A963" s="560"/>
      <c r="B963" s="560"/>
      <c r="C963" s="560"/>
      <c r="D963" s="569"/>
      <c r="E963" s="561"/>
    </row>
    <row r="964" spans="1:5" x14ac:dyDescent="0.2">
      <c r="A964" s="560"/>
      <c r="B964" s="560"/>
      <c r="C964" s="560"/>
      <c r="D964" s="569"/>
      <c r="E964" s="561"/>
    </row>
    <row r="965" spans="1:5" x14ac:dyDescent="0.2">
      <c r="A965" s="563" t="s">
        <v>1071</v>
      </c>
      <c r="B965" s="563"/>
      <c r="C965" s="563"/>
      <c r="D965" s="563"/>
      <c r="E965" s="565">
        <f>(E959-E960-E961)+(E962+E963+E964)</f>
        <v>37</v>
      </c>
    </row>
    <row r="966" spans="1:5" x14ac:dyDescent="0.2">
      <c r="A966" s="560" t="s">
        <v>1005</v>
      </c>
      <c r="B966" s="560" t="s">
        <v>1005</v>
      </c>
      <c r="C966" s="560">
        <v>2300</v>
      </c>
      <c r="D966" s="569">
        <v>6810</v>
      </c>
      <c r="E966" s="561">
        <f>SUMIFS('Accounting data'!$G$2:$G$37000,'Accounting data'!$J$2:$J$37000,"23*",'Accounting data'!$K$2:$K$37000,"681*")</f>
        <v>1230</v>
      </c>
    </row>
    <row r="967" spans="1:5" x14ac:dyDescent="0.2">
      <c r="A967" s="560" t="s">
        <v>1006</v>
      </c>
      <c r="B967" s="560" t="s">
        <v>1005</v>
      </c>
      <c r="C967" s="560">
        <v>2300</v>
      </c>
      <c r="D967" s="569">
        <v>6810</v>
      </c>
      <c r="E967" s="561">
        <f>SUMIFS('Accounting data'!$G$2:$G$37000,'Accounting data'!$H$2:$H$37000,"9999*",'Accounting data'!$J$2:$J$37000,"23*",'Accounting data'!$K$2:$K$37000,"681*")</f>
        <v>0</v>
      </c>
    </row>
    <row r="968" spans="1:5" x14ac:dyDescent="0.2">
      <c r="A968" s="560" t="s">
        <v>1005</v>
      </c>
      <c r="B968" s="560" t="s">
        <v>1007</v>
      </c>
      <c r="C968" s="560">
        <v>2300</v>
      </c>
      <c r="D968" s="569">
        <v>6810</v>
      </c>
      <c r="E968" s="561">
        <f>SUMIFS('Accounting data'!$G$2:$G$37000,'Accounting data'!$I$2:$I$37000,"7*",'Accounting data'!$J$2:$J$37000,"23*",'Accounting data'!$K$2:$K$37000,"681*")+SUMIFS('Accounting data'!$G$2:$G$37000,'Accounting data'!$I$2:$I$37000,"8*",'Accounting data'!$J$2:$J$37000,"23*",'Accounting data'!$K$2:$K$37000,"681*")+SUMIFS('Accounting data'!$G$2:$G$37000,'Accounting data'!$I$2:$I$37000,"9*",'Accounting data'!$J$2:$J$37000,"23*",'Accounting data'!$K$2:$K$37000,"681*")</f>
        <v>0</v>
      </c>
    </row>
    <row r="969" spans="1:5" x14ac:dyDescent="0.2">
      <c r="A969" s="562" t="s">
        <v>1006</v>
      </c>
      <c r="B969" s="560" t="s">
        <v>1007</v>
      </c>
      <c r="C969" s="560">
        <v>2300</v>
      </c>
      <c r="D969" s="569">
        <v>6810</v>
      </c>
      <c r="E969" s="561">
        <f>SUMIFS('Accounting data'!$G$2:$G$37000,'Accounting data'!$H$2:$H$37000,"9999*",'Accounting data'!$I$2:$I$37000,"7*",'Accounting data'!$J$2:$J$37000,"23*",'Accounting data'!$K$2:$K$37000,"681*")+SUMIFS('Accounting data'!$G$2:$G$37000,'Accounting data'!$H$2:$H$37000,"9999*",'Accounting data'!$I$2:$I$37000,"8*",'Accounting data'!$J$2:$J$37000,"23*",'Accounting data'!$K$2:$K$37000,"681*")+SUMIFS('Accounting data'!$G$2:$G$37000,'Accounting data'!$H$2:$H$37000,"9999*",'Accounting data'!$I$2:$I$37000,"9*",'Accounting data'!$J$2:$J$37000,"23*",'Accounting data'!$K$2:$K$37000,"681*")</f>
        <v>0</v>
      </c>
    </row>
    <row r="970" spans="1:5" x14ac:dyDescent="0.2">
      <c r="A970" s="560"/>
      <c r="B970" s="560"/>
      <c r="C970" s="560"/>
      <c r="D970" s="569"/>
      <c r="E970" s="561"/>
    </row>
    <row r="971" spans="1:5" x14ac:dyDescent="0.2">
      <c r="A971" s="560"/>
      <c r="B971" s="560"/>
      <c r="C971" s="560"/>
      <c r="D971" s="569"/>
      <c r="E971" s="561"/>
    </row>
    <row r="972" spans="1:5" x14ac:dyDescent="0.2">
      <c r="A972" s="563" t="s">
        <v>1072</v>
      </c>
      <c r="B972" s="563"/>
      <c r="C972" s="563"/>
      <c r="D972" s="563"/>
      <c r="E972" s="565">
        <f>(E966-E967-E968)+(E969+E970+E971)</f>
        <v>1230</v>
      </c>
    </row>
    <row r="973" spans="1:5" x14ac:dyDescent="0.2">
      <c r="A973" s="560" t="s">
        <v>1005</v>
      </c>
      <c r="B973" s="560" t="s">
        <v>1005</v>
      </c>
      <c r="C973" s="560">
        <v>2400</v>
      </c>
      <c r="D973" s="569">
        <v>6810</v>
      </c>
      <c r="E973" s="561">
        <f>SUMIFS('Accounting data'!$G$2:$G$37000,'Accounting data'!$J$2:$J$37000,"24*",'Accounting data'!$K$2:$K$37000,"681*")</f>
        <v>347</v>
      </c>
    </row>
    <row r="974" spans="1:5" x14ac:dyDescent="0.2">
      <c r="A974" s="560" t="s">
        <v>1006</v>
      </c>
      <c r="B974" s="560" t="s">
        <v>1005</v>
      </c>
      <c r="C974" s="560">
        <v>2400</v>
      </c>
      <c r="D974" s="569">
        <v>6810</v>
      </c>
      <c r="E974" s="561">
        <f>SUMIFS('Accounting data'!$G$2:$G$37000,'Accounting data'!$H$2:$H$37000,"9999*",'Accounting data'!$J$2:$J$37000,"24*",'Accounting data'!$K$2:$K$37000,"681*")</f>
        <v>0</v>
      </c>
    </row>
    <row r="975" spans="1:5" x14ac:dyDescent="0.2">
      <c r="A975" s="560" t="s">
        <v>1005</v>
      </c>
      <c r="B975" s="560" t="s">
        <v>1007</v>
      </c>
      <c r="C975" s="560">
        <v>2400</v>
      </c>
      <c r="D975" s="569">
        <v>6810</v>
      </c>
      <c r="E975" s="561">
        <f>SUMIFS('Accounting data'!$G$2:$G$37000,'Accounting data'!$I$2:$I$37000,"7*",'Accounting data'!$J$2:$J$37000,"24*",'Accounting data'!$K$2:$K$37000,"681*")+SUMIFS('Accounting data'!$G$2:$G$37000,'Accounting data'!$I$2:$I$37000,"8*",'Accounting data'!$J$2:$J$37000,"24*",'Accounting data'!$K$2:$K$37000,"681*")+SUMIFS('Accounting data'!$G$2:$G$37000,'Accounting data'!$I$2:$I$37000,"9*",'Accounting data'!$J$2:$J$37000,"24*",'Accounting data'!$K$2:$K$37000,"681*")</f>
        <v>0</v>
      </c>
    </row>
    <row r="976" spans="1:5" x14ac:dyDescent="0.2">
      <c r="A976" s="562" t="s">
        <v>1006</v>
      </c>
      <c r="B976" s="560" t="s">
        <v>1007</v>
      </c>
      <c r="C976" s="560">
        <v>2400</v>
      </c>
      <c r="D976" s="569">
        <v>6810</v>
      </c>
      <c r="E976" s="561">
        <f>SUMIFS('Accounting data'!$G$2:$G$37000,'Accounting data'!$H$2:$H$37000,"9999*",'Accounting data'!$I$2:$I$37000,"7*",'Accounting data'!$J$2:$J$37000,"24*",'Accounting data'!$K$2:$K$37000,"681*")+SUMIFS('Accounting data'!$G$2:$G$37000,'Accounting data'!$H$2:$H$37000,"9999*",'Accounting data'!$I$2:$I$37000,"8*",'Accounting data'!$J$2:$J$37000,"24*",'Accounting data'!$K$2:$K$37000,"681*")+SUMIFS('Accounting data'!$G$2:$G$37000,'Accounting data'!$H$2:$H$37000,"9999*",'Accounting data'!$I$2:$I$37000,"9*",'Accounting data'!$J$2:$J$37000,"24*",'Accounting data'!$K$2:$K$37000,"681*")</f>
        <v>0</v>
      </c>
    </row>
    <row r="977" spans="1:5" x14ac:dyDescent="0.2">
      <c r="A977" s="560"/>
      <c r="B977" s="560"/>
      <c r="C977" s="560"/>
      <c r="D977" s="569"/>
      <c r="E977" s="561"/>
    </row>
    <row r="978" spans="1:5" x14ac:dyDescent="0.2">
      <c r="A978" s="560"/>
      <c r="B978" s="560"/>
      <c r="C978" s="560"/>
      <c r="D978" s="569"/>
      <c r="E978" s="561"/>
    </row>
    <row r="979" spans="1:5" x14ac:dyDescent="0.2">
      <c r="A979" s="563" t="s">
        <v>1073</v>
      </c>
      <c r="B979" s="563"/>
      <c r="C979" s="563"/>
      <c r="D979" s="563"/>
      <c r="E979" s="565">
        <f>(E973-E974-E975)+(E976+E977+E978)</f>
        <v>347</v>
      </c>
    </row>
    <row r="980" spans="1:5" x14ac:dyDescent="0.2">
      <c r="A980" s="560" t="s">
        <v>1005</v>
      </c>
      <c r="B980" s="560" t="s">
        <v>1005</v>
      </c>
      <c r="C980" s="560">
        <v>2500</v>
      </c>
      <c r="D980" s="569">
        <v>6810</v>
      </c>
      <c r="E980" s="561">
        <f>SUMIFS('Accounting data'!$G$2:$G$37000,'Accounting data'!$J$2:$J$37000,"25*",'Accounting data'!$K$2:$K$37000,"681*")</f>
        <v>16489</v>
      </c>
    </row>
    <row r="981" spans="1:5" x14ac:dyDescent="0.2">
      <c r="A981" s="560" t="s">
        <v>1006</v>
      </c>
      <c r="B981" s="560" t="s">
        <v>1005</v>
      </c>
      <c r="C981" s="560">
        <v>2500</v>
      </c>
      <c r="D981" s="569">
        <v>6810</v>
      </c>
      <c r="E981" s="561">
        <f>SUMIFS('Accounting data'!$G$2:$G$37000,'Accounting data'!$H$2:$H$37000,"9999*",'Accounting data'!$J$2:$J$37000,"25*",'Accounting data'!$K$2:$K$37000,"681*")</f>
        <v>0</v>
      </c>
    </row>
    <row r="982" spans="1:5" x14ac:dyDescent="0.2">
      <c r="A982" s="560" t="s">
        <v>1005</v>
      </c>
      <c r="B982" s="560" t="s">
        <v>1007</v>
      </c>
      <c r="C982" s="560">
        <v>2500</v>
      </c>
      <c r="D982" s="569">
        <v>6810</v>
      </c>
      <c r="E982" s="561">
        <f>SUMIFS('Accounting data'!$G$2:$G$37000,'Accounting data'!$I$2:$I$37000,"7*",'Accounting data'!$J$2:$J$37000,"25*",'Accounting data'!$K$2:$K$37000,"681*")+SUMIFS('Accounting data'!$G$2:$G$37000,'Accounting data'!$I$2:$I$37000,"8*",'Accounting data'!$J$2:$J$37000,"25*",'Accounting data'!$K$2:$K$37000,"681*")+SUMIFS('Accounting data'!$G$2:$G$37000,'Accounting data'!$I$2:$I$37000,"9*",'Accounting data'!$J$2:$J$37000,"25*",'Accounting data'!$K$2:$K$37000,"681*")</f>
        <v>0</v>
      </c>
    </row>
    <row r="983" spans="1:5" x14ac:dyDescent="0.2">
      <c r="A983" s="562" t="s">
        <v>1006</v>
      </c>
      <c r="B983" s="560" t="s">
        <v>1007</v>
      </c>
      <c r="C983" s="560">
        <v>2500</v>
      </c>
      <c r="D983" s="569">
        <v>6810</v>
      </c>
      <c r="E983" s="561">
        <f>SUMIFS('Accounting data'!$G$2:$G$37000,'Accounting data'!$H$2:$H$37000,"9999*",'Accounting data'!$I$2:$I$37000,"7*",'Accounting data'!$J$2:$J$37000,"25*",'Accounting data'!$K$2:$K$37000,"681*")+SUMIFS('Accounting data'!$G$2:$G$37000,'Accounting data'!$H$2:$H$37000,"9999*",'Accounting data'!$I$2:$I$37000,"8*",'Accounting data'!$J$2:$J$37000,"25*",'Accounting data'!$K$2:$K$37000,"681*")+SUMIFS('Accounting data'!$G$2:$G$37000,'Accounting data'!$H$2:$H$37000,"9999*",'Accounting data'!$I$2:$I$37000,"9*",'Accounting data'!$J$2:$J$37000,"25*",'Accounting data'!$K$2:$K$37000,"681*")</f>
        <v>0</v>
      </c>
    </row>
    <row r="984" spans="1:5" x14ac:dyDescent="0.2">
      <c r="A984" s="560"/>
      <c r="B984" s="560"/>
      <c r="C984" s="560"/>
      <c r="D984" s="569"/>
      <c r="E984" s="561"/>
    </row>
    <row r="985" spans="1:5" x14ac:dyDescent="0.2">
      <c r="A985" s="560"/>
      <c r="B985" s="560"/>
      <c r="C985" s="560"/>
      <c r="D985" s="569"/>
      <c r="E985" s="561"/>
    </row>
    <row r="986" spans="1:5" x14ac:dyDescent="0.2">
      <c r="A986" s="563" t="s">
        <v>1074</v>
      </c>
      <c r="B986" s="563"/>
      <c r="C986" s="563"/>
      <c r="D986" s="563"/>
      <c r="E986" s="565">
        <f>(E980-E981-E982)+(E983+E984+E985)</f>
        <v>16489</v>
      </c>
    </row>
    <row r="987" spans="1:5" x14ac:dyDescent="0.2">
      <c r="A987" s="560" t="s">
        <v>1005</v>
      </c>
      <c r="B987" s="560" t="s">
        <v>1005</v>
      </c>
      <c r="C987" s="560">
        <v>2900</v>
      </c>
      <c r="D987" s="569">
        <v>6810</v>
      </c>
      <c r="E987" s="561">
        <f>SUMIFS('Accounting data'!$G$2:$G$37000,'Accounting data'!$J$2:$J$37000,"29*",'Accounting data'!$K$2:$K$37000,"681*")</f>
        <v>0</v>
      </c>
    </row>
    <row r="988" spans="1:5" x14ac:dyDescent="0.2">
      <c r="A988" s="560" t="s">
        <v>1006</v>
      </c>
      <c r="B988" s="560" t="s">
        <v>1005</v>
      </c>
      <c r="C988" s="560">
        <v>2900</v>
      </c>
      <c r="D988" s="569">
        <v>6810</v>
      </c>
      <c r="E988" s="561">
        <f>SUMIFS('Accounting data'!$G$2:$G$37000,'Accounting data'!$H$2:$H$37000,"9999*",'Accounting data'!$J$2:$J$37000,"29*",'Accounting data'!$K$2:$K$37000,"681*")</f>
        <v>0</v>
      </c>
    </row>
    <row r="989" spans="1:5" x14ac:dyDescent="0.2">
      <c r="A989" s="560" t="s">
        <v>1005</v>
      </c>
      <c r="B989" s="560" t="s">
        <v>1007</v>
      </c>
      <c r="C989" s="560">
        <v>2900</v>
      </c>
      <c r="D989" s="569">
        <v>6810</v>
      </c>
      <c r="E989" s="561">
        <f>SUMIFS('Accounting data'!$G$2:$G$37000,'Accounting data'!$I$2:$I$37000,"7*",'Accounting data'!$J$2:$J$37000,"29*",'Accounting data'!$K$2:$K$37000,"681*")+SUMIFS('Accounting data'!$G$2:$G$37000,'Accounting data'!$I$2:$I$37000,"8*",'Accounting data'!$J$2:$J$37000,"29*",'Accounting data'!$K$2:$K$37000,"681*")+SUMIFS('Accounting data'!$G$2:$G$37000,'Accounting data'!$I$2:$I$37000,"9*",'Accounting data'!$J$2:$J$37000,"29*",'Accounting data'!$K$2:$K$37000,"681*")</f>
        <v>0</v>
      </c>
    </row>
    <row r="990" spans="1:5" x14ac:dyDescent="0.2">
      <c r="A990" s="562" t="s">
        <v>1006</v>
      </c>
      <c r="B990" s="560" t="s">
        <v>1007</v>
      </c>
      <c r="C990" s="560">
        <v>2900</v>
      </c>
      <c r="D990" s="569">
        <v>6810</v>
      </c>
      <c r="E990" s="561">
        <f>SUMIFS('Accounting data'!$G$2:$G$37000,'Accounting data'!$H$2:$H$37000,"9999*",'Accounting data'!$I$2:$I$37000,"7*",'Accounting data'!$J$2:$J$37000,"29*",'Accounting data'!$K$2:$K$37000,"681*")+SUMIFS('Accounting data'!$G$2:$G$37000,'Accounting data'!$H$2:$H$37000,"9999*",'Accounting data'!$I$2:$I$37000,"8*",'Accounting data'!$J$2:$J$37000,"29*",'Accounting data'!$K$2:$K$37000,"681*")+SUMIFS('Accounting data'!$G$2:$G$37000,'Accounting data'!$H$2:$H$37000,"9999*",'Accounting data'!$I$2:$I$37000,"9*",'Accounting data'!$J$2:$J$37000,"29*",'Accounting data'!$K$2:$K$37000,"681*")</f>
        <v>0</v>
      </c>
    </row>
    <row r="991" spans="1:5" x14ac:dyDescent="0.2">
      <c r="A991" s="560"/>
      <c r="B991" s="560"/>
      <c r="C991" s="560"/>
      <c r="D991" s="569"/>
      <c r="E991" s="561"/>
    </row>
    <row r="992" spans="1:5" x14ac:dyDescent="0.2">
      <c r="A992" s="560"/>
      <c r="B992" s="560"/>
      <c r="C992" s="560"/>
      <c r="D992" s="569"/>
      <c r="E992" s="561"/>
    </row>
    <row r="993" spans="1:5" x14ac:dyDescent="0.2">
      <c r="A993" s="563" t="s">
        <v>1075</v>
      </c>
      <c r="B993" s="563"/>
      <c r="C993" s="563"/>
      <c r="D993" s="563"/>
      <c r="E993" s="565">
        <f>(E987-E988-E989)+(E990+E991+E992)</f>
        <v>0</v>
      </c>
    </row>
    <row r="994" spans="1:5" x14ac:dyDescent="0.2">
      <c r="A994" s="560" t="s">
        <v>1005</v>
      </c>
      <c r="B994" s="560" t="s">
        <v>1005</v>
      </c>
      <c r="C994" s="560">
        <v>2600</v>
      </c>
      <c r="D994" s="569">
        <v>6810</v>
      </c>
      <c r="E994" s="561">
        <f>SUMIFS('Accounting data'!$G$2:$G$37000,'Accounting data'!$J$2:$J$37000,"26*",'Accounting data'!$K$2:$K$37000,"681*")</f>
        <v>1992</v>
      </c>
    </row>
    <row r="995" spans="1:5" x14ac:dyDescent="0.2">
      <c r="A995" s="560" t="s">
        <v>1006</v>
      </c>
      <c r="B995" s="560" t="s">
        <v>1005</v>
      </c>
      <c r="C995" s="560">
        <v>2600</v>
      </c>
      <c r="D995" s="569">
        <v>6810</v>
      </c>
      <c r="E995" s="561">
        <f>SUMIFS('Accounting data'!$G$2:$G$37000,'Accounting data'!$H$2:$H$37000,"9999*",'Accounting data'!$J$2:$J$37000,"26*",'Accounting data'!$K$2:$K$37000,"681*")</f>
        <v>0</v>
      </c>
    </row>
    <row r="996" spans="1:5" x14ac:dyDescent="0.2">
      <c r="A996" s="560" t="s">
        <v>1005</v>
      </c>
      <c r="B996" s="560" t="s">
        <v>1007</v>
      </c>
      <c r="C996" s="560">
        <v>2600</v>
      </c>
      <c r="D996" s="569">
        <v>6810</v>
      </c>
      <c r="E996" s="561">
        <f>SUMIFS('Accounting data'!$G$2:$G$37000,'Accounting data'!$I$2:$I$37000,"7*",'Accounting data'!$J$2:$J$37000,"26*",'Accounting data'!$K$2:$K$37000,"681*")+SUMIFS('Accounting data'!$G$2:$G$37000,'Accounting data'!$I$2:$I$37000,"8*",'Accounting data'!$J$2:$J$37000,"26*",'Accounting data'!$K$2:$K$37000,"681*")+SUMIFS('Accounting data'!$G$2:$G$37000,'Accounting data'!$I$2:$I$37000,"9*",'Accounting data'!$J$2:$J$37000,"26*",'Accounting data'!$K$2:$K$37000,"681*")</f>
        <v>0</v>
      </c>
    </row>
    <row r="997" spans="1:5" x14ac:dyDescent="0.2">
      <c r="A997" s="562" t="s">
        <v>1006</v>
      </c>
      <c r="B997" s="560" t="s">
        <v>1007</v>
      </c>
      <c r="C997" s="560">
        <v>2600</v>
      </c>
      <c r="D997" s="569">
        <v>6810</v>
      </c>
      <c r="E997" s="561">
        <f>SUMIFS('Accounting data'!$G$2:$G$37000,'Accounting data'!$H$2:$H$37000,"9999*",'Accounting data'!$I$2:$I$37000,"7*",'Accounting data'!$J$2:$J$37000,"26*",'Accounting data'!$K$2:$K$37000,"681*")+SUMIFS('Accounting data'!$G$2:$G$37000,'Accounting data'!$H$2:$H$37000,"9999*",'Accounting data'!$I$2:$I$37000,"8*",'Accounting data'!$J$2:$J$37000,"26*",'Accounting data'!$K$2:$K$37000,"681*")+SUMIFS('Accounting data'!$G$2:$G$37000,'Accounting data'!$H$2:$H$37000,"9999*",'Accounting data'!$I$2:$I$37000,"9*",'Accounting data'!$J$2:$J$37000,"26*",'Accounting data'!$K$2:$K$37000,"681*")</f>
        <v>0</v>
      </c>
    </row>
    <row r="998" spans="1:5" x14ac:dyDescent="0.2">
      <c r="A998" s="560"/>
      <c r="B998" s="560"/>
      <c r="C998" s="560"/>
      <c r="D998" s="569"/>
      <c r="E998" s="561"/>
    </row>
    <row r="999" spans="1:5" x14ac:dyDescent="0.2">
      <c r="A999" s="560"/>
      <c r="B999" s="560"/>
      <c r="C999" s="560"/>
      <c r="D999" s="569"/>
      <c r="E999" s="561"/>
    </row>
    <row r="1000" spans="1:5" x14ac:dyDescent="0.2">
      <c r="A1000" s="563" t="s">
        <v>1076</v>
      </c>
      <c r="B1000" s="563"/>
      <c r="C1000" s="563"/>
      <c r="D1000" s="563"/>
      <c r="E1000" s="565">
        <f>(E994-E995-E996)+(E997+E998+E999)</f>
        <v>1992</v>
      </c>
    </row>
    <row r="1001" spans="1:5" x14ac:dyDescent="0.2">
      <c r="A1001" s="560" t="s">
        <v>1005</v>
      </c>
      <c r="B1001" s="560" t="s">
        <v>1005</v>
      </c>
      <c r="C1001" s="560">
        <v>2700</v>
      </c>
      <c r="D1001" s="569">
        <v>6810</v>
      </c>
      <c r="E1001" s="561">
        <f>SUMIFS('Accounting data'!$G$2:$G$37000,'Accounting data'!$J$2:$J$37000,"27*",'Accounting data'!$K$2:$K$37000,"681*")</f>
        <v>0</v>
      </c>
    </row>
    <row r="1002" spans="1:5" x14ac:dyDescent="0.2">
      <c r="A1002" s="560" t="s">
        <v>1006</v>
      </c>
      <c r="B1002" s="560" t="s">
        <v>1005</v>
      </c>
      <c r="C1002" s="560">
        <v>2700</v>
      </c>
      <c r="D1002" s="569">
        <v>6810</v>
      </c>
      <c r="E1002" s="561">
        <f>SUMIFS('Accounting data'!$G$2:$G$37000,'Accounting data'!$H$2:$H$37000,"9999*",'Accounting data'!$J$2:$J$37000,"27*",'Accounting data'!$K$2:$K$37000,"681*")</f>
        <v>0</v>
      </c>
    </row>
    <row r="1003" spans="1:5" x14ac:dyDescent="0.2">
      <c r="A1003" s="560" t="s">
        <v>1005</v>
      </c>
      <c r="B1003" s="560" t="s">
        <v>1007</v>
      </c>
      <c r="C1003" s="560">
        <v>2700</v>
      </c>
      <c r="D1003" s="569">
        <v>6810</v>
      </c>
      <c r="E1003" s="561">
        <f>SUMIFS('Accounting data'!$G$2:$G$37000,'Accounting data'!$I$2:$I$37000,"7*",'Accounting data'!$J$2:$J$37000,"27*",'Accounting data'!$K$2:$K$37000,"681*")+SUMIFS('Accounting data'!$G$2:$G$37000,'Accounting data'!$I$2:$I$37000,"8*",'Accounting data'!$J$2:$J$37000,"27*",'Accounting data'!$K$2:$K$37000,"681*")+SUMIFS('Accounting data'!$G$2:$G$37000,'Accounting data'!$I$2:$I$37000,"9*",'Accounting data'!$J$2:$J$37000,"27*",'Accounting data'!$K$2:$K$37000,"681*")</f>
        <v>0</v>
      </c>
    </row>
    <row r="1004" spans="1:5" x14ac:dyDescent="0.2">
      <c r="A1004" s="562" t="s">
        <v>1006</v>
      </c>
      <c r="B1004" s="560" t="s">
        <v>1007</v>
      </c>
      <c r="C1004" s="560">
        <v>2700</v>
      </c>
      <c r="D1004" s="569">
        <v>6810</v>
      </c>
      <c r="E1004" s="561">
        <f>SUMIFS('Accounting data'!$G$2:$G$37000,'Accounting data'!$H$2:$H$37000,"9999*",'Accounting data'!$I$2:$I$37000,"7*",'Accounting data'!$J$2:$J$37000,"27*",'Accounting data'!$K$2:$K$37000,"681*")+SUMIFS('Accounting data'!$G$2:$G$37000,'Accounting data'!$H$2:$H$37000,"9999*",'Accounting data'!$I$2:$I$37000,"8*",'Accounting data'!$J$2:$J$37000,"27*",'Accounting data'!$K$2:$K$37000,"681*")+SUMIFS('Accounting data'!$G$2:$G$37000,'Accounting data'!$H$2:$H$37000,"9999*",'Accounting data'!$I$2:$I$37000,"9*",'Accounting data'!$J$2:$J$37000,"27*",'Accounting data'!$K$2:$K$37000,"681*")</f>
        <v>0</v>
      </c>
    </row>
    <row r="1005" spans="1:5" x14ac:dyDescent="0.2">
      <c r="A1005" s="560"/>
      <c r="B1005" s="560"/>
      <c r="C1005" s="560"/>
      <c r="D1005" s="569"/>
      <c r="E1005" s="561"/>
    </row>
    <row r="1006" spans="1:5" x14ac:dyDescent="0.2">
      <c r="A1006" s="560"/>
      <c r="B1006" s="560"/>
      <c r="C1006" s="560"/>
      <c r="D1006" s="569"/>
      <c r="E1006" s="561"/>
    </row>
    <row r="1007" spans="1:5" x14ac:dyDescent="0.2">
      <c r="A1007" s="563" t="s">
        <v>1077</v>
      </c>
      <c r="B1007" s="563"/>
      <c r="C1007" s="563"/>
      <c r="D1007" s="563"/>
      <c r="E1007" s="565">
        <f>(E1001-E1002-E1003)+(E1004+E1005+E1006)</f>
        <v>0</v>
      </c>
    </row>
    <row r="1008" spans="1:5" x14ac:dyDescent="0.2">
      <c r="A1008" s="560" t="s">
        <v>1005</v>
      </c>
      <c r="B1008" s="560" t="s">
        <v>1005</v>
      </c>
      <c r="C1008" s="560">
        <v>3100</v>
      </c>
      <c r="D1008" s="569">
        <v>6810</v>
      </c>
      <c r="E1008" s="561">
        <f>SUMIFS('Accounting data'!$G$2:$G$37000,'Accounting data'!$J$2:$J$37000,"31*",'Accounting data'!$K$2:$K$37000,"681*")</f>
        <v>297</v>
      </c>
    </row>
    <row r="1009" spans="1:5" x14ac:dyDescent="0.2">
      <c r="A1009" s="560" t="s">
        <v>1006</v>
      </c>
      <c r="B1009" s="560" t="s">
        <v>1005</v>
      </c>
      <c r="C1009" s="560">
        <v>3100</v>
      </c>
      <c r="D1009" s="569">
        <v>6810</v>
      </c>
      <c r="E1009" s="561">
        <f>SUMIFS('Accounting data'!$G$2:$G$37000,'Accounting data'!$H$2:$H$37000,"9999*",'Accounting data'!$J$2:$J$37000,"31*",'Accounting data'!$K$2:$K$37000,"681*")</f>
        <v>0</v>
      </c>
    </row>
    <row r="1010" spans="1:5" x14ac:dyDescent="0.2">
      <c r="A1010" s="560" t="s">
        <v>1005</v>
      </c>
      <c r="B1010" s="560" t="s">
        <v>1007</v>
      </c>
      <c r="C1010" s="560">
        <v>3100</v>
      </c>
      <c r="D1010" s="569">
        <v>6810</v>
      </c>
      <c r="E1010" s="561">
        <f>SUMIFS('Accounting data'!$G$2:$G$37000,'Accounting data'!$I$2:$I$37000,"7*",'Accounting data'!$J$2:$J$37000,"31*",'Accounting data'!$K$2:$K$37000,"681*")+SUMIFS('Accounting data'!$G$2:$G$37000,'Accounting data'!$I$2:$I$37000,"8*",'Accounting data'!$J$2:$J$37000,"31*",'Accounting data'!$K$2:$K$37000,"681*")+SUMIFS('Accounting data'!$G$2:$G$37000,'Accounting data'!$I$2:$I$37000,"9*",'Accounting data'!$J$2:$J$37000,"31*",'Accounting data'!$K$2:$K$37000,"681*")</f>
        <v>0</v>
      </c>
    </row>
    <row r="1011" spans="1:5" x14ac:dyDescent="0.2">
      <c r="A1011" s="562" t="s">
        <v>1006</v>
      </c>
      <c r="B1011" s="560" t="s">
        <v>1007</v>
      </c>
      <c r="C1011" s="560">
        <v>3100</v>
      </c>
      <c r="D1011" s="569">
        <v>6810</v>
      </c>
      <c r="E1011" s="561">
        <f>SUMIFS('Accounting data'!$G$2:$G$37000,'Accounting data'!$H$2:$H$37000,"9999*",'Accounting data'!$I$2:$I$37000,"7*",'Accounting data'!$J$2:$J$37000,"31*",'Accounting data'!$K$2:$K$37000,"681*")+SUMIFS('Accounting data'!$G$2:$G$37000,'Accounting data'!$H$2:$H$37000,"9999*",'Accounting data'!$I$2:$I$37000,"8*",'Accounting data'!$J$2:$J$37000,"31*",'Accounting data'!$K$2:$K$37000,"681*")+SUMIFS('Accounting data'!$G$2:$G$37000,'Accounting data'!$H$2:$H$37000,"9999*",'Accounting data'!$I$2:$I$37000,"9*",'Accounting data'!$J$2:$J$37000,"31*",'Accounting data'!$K$2:$K$37000,"681*")</f>
        <v>0</v>
      </c>
    </row>
    <row r="1012" spans="1:5" x14ac:dyDescent="0.2">
      <c r="A1012" s="560"/>
      <c r="B1012" s="560"/>
      <c r="C1012" s="560"/>
      <c r="D1012" s="569"/>
      <c r="E1012" s="561"/>
    </row>
    <row r="1013" spans="1:5" x14ac:dyDescent="0.2">
      <c r="A1013" s="560"/>
      <c r="B1013" s="560"/>
      <c r="C1013" s="560"/>
      <c r="D1013" s="569"/>
      <c r="E1013" s="561"/>
    </row>
    <row r="1014" spans="1:5" x14ac:dyDescent="0.2">
      <c r="A1014" s="563" t="s">
        <v>1078</v>
      </c>
      <c r="B1014" s="563"/>
      <c r="C1014" s="563"/>
      <c r="D1014" s="563"/>
      <c r="E1014" s="565">
        <f>(E1008-E1009-E1010)+(E1011+E1012+E1013)</f>
        <v>297</v>
      </c>
    </row>
    <row r="1015" spans="1:5" x14ac:dyDescent="0.2">
      <c r="A1015" s="560"/>
      <c r="B1015" s="560"/>
      <c r="C1015" s="560"/>
      <c r="D1015" s="569"/>
      <c r="E1015" s="561"/>
    </row>
    <row r="1016" spans="1:5" x14ac:dyDescent="0.2">
      <c r="A1016" s="560"/>
      <c r="B1016" s="560"/>
      <c r="C1016" s="560"/>
      <c r="D1016" s="569"/>
      <c r="E1016" s="561"/>
    </row>
    <row r="1017" spans="1:5" x14ac:dyDescent="0.2">
      <c r="A1017" s="560"/>
      <c r="B1017" s="560"/>
      <c r="C1017" s="560"/>
      <c r="D1017" s="569"/>
      <c r="E1017" s="561"/>
    </row>
    <row r="1018" spans="1:5" x14ac:dyDescent="0.2">
      <c r="A1018" s="562"/>
      <c r="B1018" s="560"/>
      <c r="C1018" s="560"/>
      <c r="D1018" s="569"/>
      <c r="E1018" s="561"/>
    </row>
    <row r="1019" spans="1:5" x14ac:dyDescent="0.2">
      <c r="A1019" s="560"/>
      <c r="B1019" s="560"/>
      <c r="C1019" s="560"/>
      <c r="D1019" s="569"/>
      <c r="E1019" s="561"/>
    </row>
    <row r="1020" spans="1:5" x14ac:dyDescent="0.2">
      <c r="A1020" s="560"/>
      <c r="B1020" s="560"/>
      <c r="C1020" s="560"/>
      <c r="D1020" s="569"/>
      <c r="E1020" s="561"/>
    </row>
    <row r="1021" spans="1:5" x14ac:dyDescent="0.2">
      <c r="A1021" s="563"/>
      <c r="B1021" s="563"/>
      <c r="C1021" s="563"/>
      <c r="D1021" s="563"/>
      <c r="E1021" s="565"/>
    </row>
    <row r="1022" spans="1:5" x14ac:dyDescent="0.2">
      <c r="A1022" s="560" t="s">
        <v>1005</v>
      </c>
      <c r="B1022" s="560" t="s">
        <v>1005</v>
      </c>
      <c r="C1022" s="560">
        <v>3400</v>
      </c>
      <c r="D1022" s="569">
        <v>6810</v>
      </c>
      <c r="E1022" s="561">
        <f>SUMIFS('Accounting data'!$G$2:$G$37000,'Accounting data'!$J$2:$J$37000,"34*",'Accounting data'!$K$2:$K$37000,"681*")</f>
        <v>0</v>
      </c>
    </row>
    <row r="1023" spans="1:5" x14ac:dyDescent="0.2">
      <c r="A1023" s="560" t="s">
        <v>1006</v>
      </c>
      <c r="B1023" s="560" t="s">
        <v>1005</v>
      </c>
      <c r="C1023" s="560">
        <v>3400</v>
      </c>
      <c r="D1023" s="569">
        <v>6810</v>
      </c>
      <c r="E1023" s="561">
        <f>SUMIFS('Accounting data'!$G$2:$G$37000,'Accounting data'!$H$2:$H$37000,"9999*",'Accounting data'!$J$2:$J$37000,"34*",'Accounting data'!$K$2:$K$37000,"681*")</f>
        <v>0</v>
      </c>
    </row>
    <row r="1024" spans="1:5" x14ac:dyDescent="0.2">
      <c r="A1024" s="560" t="s">
        <v>1005</v>
      </c>
      <c r="B1024" s="560" t="s">
        <v>1007</v>
      </c>
      <c r="C1024" s="560">
        <v>3400</v>
      </c>
      <c r="D1024" s="569">
        <v>6810</v>
      </c>
      <c r="E1024" s="561">
        <f>SUMIFS('Accounting data'!$G$2:$G$37000,'Accounting data'!$I$2:$I$37000,"7*",'Accounting data'!$J$2:$J$37000,"34*",'Accounting data'!$K$2:$K$37000,"681*")+SUMIFS('Accounting data'!$G$2:$G$37000,'Accounting data'!$I$2:$I$37000,"8*",'Accounting data'!$J$2:$J$37000,"34*",'Accounting data'!$K$2:$K$37000,"681*")+SUMIFS('Accounting data'!$G$2:$G$37000,'Accounting data'!$I$2:$I$37000,"9*",'Accounting data'!$J$2:$J$37000,"34*",'Accounting data'!$K$2:$K$37000,"681*")</f>
        <v>0</v>
      </c>
    </row>
    <row r="1025" spans="1:5" x14ac:dyDescent="0.2">
      <c r="A1025" s="562" t="s">
        <v>1006</v>
      </c>
      <c r="B1025" s="560" t="s">
        <v>1007</v>
      </c>
      <c r="C1025" s="560">
        <v>3400</v>
      </c>
      <c r="D1025" s="569">
        <v>6810</v>
      </c>
      <c r="E1025" s="561">
        <f>SUMIFS('Accounting data'!$G$2:$G$37000,'Accounting data'!$H$2:$H$37000,"9999*",'Accounting data'!$I$2:$I$37000,"7*",'Accounting data'!$J$2:$J$37000,"34*",'Accounting data'!$K$2:$K$37000,"681*")+SUMIFS('Accounting data'!$G$2:$G$37000,'Accounting data'!$H$2:$H$37000,"9999*",'Accounting data'!$I$2:$I$37000,"8*",'Accounting data'!$J$2:$J$37000,"34*",'Accounting data'!$K$2:$K$37000,"681*")+SUMIFS('Accounting data'!$G$2:$G$37000,'Accounting data'!$H$2:$H$37000,"9999*",'Accounting data'!$I$2:$I$37000,"9*",'Accounting data'!$J$2:$J$37000,"34*",'Accounting data'!$K$2:$K$37000,"681*")</f>
        <v>0</v>
      </c>
    </row>
    <row r="1026" spans="1:5" x14ac:dyDescent="0.2">
      <c r="A1026" s="560"/>
      <c r="B1026" s="560"/>
      <c r="C1026" s="560"/>
      <c r="D1026" s="569"/>
      <c r="E1026" s="561"/>
    </row>
    <row r="1027" spans="1:5" x14ac:dyDescent="0.2">
      <c r="A1027" s="560"/>
      <c r="B1027" s="560"/>
      <c r="C1027" s="560"/>
      <c r="D1027" s="569"/>
      <c r="E1027" s="561"/>
    </row>
    <row r="1028" spans="1:5" x14ac:dyDescent="0.2">
      <c r="A1028" s="563" t="s">
        <v>1079</v>
      </c>
      <c r="B1028" s="563"/>
      <c r="C1028" s="563"/>
      <c r="D1028" s="563"/>
      <c r="E1028" s="565">
        <f>(E1022-E1023-E1024)+(E1025+E1026+E1027)</f>
        <v>0</v>
      </c>
    </row>
    <row r="1029" spans="1:5" x14ac:dyDescent="0.2">
      <c r="A1029" s="560" t="s">
        <v>1005</v>
      </c>
      <c r="B1029" s="560" t="s">
        <v>1005</v>
      </c>
      <c r="C1029" s="560">
        <v>4000</v>
      </c>
      <c r="D1029" s="569">
        <v>6810</v>
      </c>
      <c r="E1029" s="561">
        <f>SUMIFS('Accounting data'!$G$2:$G$37000,'Accounting data'!$J$2:$J$37000,"4*",'Accounting data'!$K$2:$K$37000,"681*")</f>
        <v>0</v>
      </c>
    </row>
    <row r="1030" spans="1:5" x14ac:dyDescent="0.2">
      <c r="A1030" s="560" t="s">
        <v>1006</v>
      </c>
      <c r="B1030" s="560" t="s">
        <v>1005</v>
      </c>
      <c r="C1030" s="560">
        <v>4000</v>
      </c>
      <c r="D1030" s="569">
        <v>6810</v>
      </c>
      <c r="E1030" s="561">
        <f>SUMIFS('Accounting data'!$G$2:$G$37000,'Accounting data'!$H$2:$H$37000,"9999*",'Accounting data'!$J$2:$J$37000,"4*",'Accounting data'!$K$2:$K$37000,"681*")</f>
        <v>0</v>
      </c>
    </row>
    <row r="1031" spans="1:5" x14ac:dyDescent="0.2">
      <c r="A1031" s="560" t="s">
        <v>1005</v>
      </c>
      <c r="B1031" s="560" t="s">
        <v>1007</v>
      </c>
      <c r="C1031" s="560">
        <v>4000</v>
      </c>
      <c r="D1031" s="569">
        <v>6810</v>
      </c>
      <c r="E1031" s="561">
        <f>SUMIFS('Accounting data'!$G$2:$G$37000,'Accounting data'!$I$2:$I$37000,"7*",'Accounting data'!$J$2:$J$37000,"4*",'Accounting data'!$K$2:$K$37000,"681*")+SUMIFS('Accounting data'!$G$2:$G$37000,'Accounting data'!$I$2:$I$37000,"8*",'Accounting data'!$J$2:$J$37000,"4*",'Accounting data'!$K$2:$K$37000,"681*")+SUMIFS('Accounting data'!$G$2:$G$37000,'Accounting data'!$I$2:$I$37000,"9*",'Accounting data'!$J$2:$J$37000,"4*",'Accounting data'!$K$2:$K$37000,"681*")</f>
        <v>0</v>
      </c>
    </row>
    <row r="1032" spans="1:5" x14ac:dyDescent="0.2">
      <c r="A1032" s="562" t="s">
        <v>1006</v>
      </c>
      <c r="B1032" s="560" t="s">
        <v>1007</v>
      </c>
      <c r="C1032" s="560">
        <v>4000</v>
      </c>
      <c r="D1032" s="569">
        <v>6810</v>
      </c>
      <c r="E1032" s="561">
        <f>SUMIFS('Accounting data'!$G$2:$G$37000,'Accounting data'!$H$2:$H$37000,"9999*",'Accounting data'!$I$2:$I$37000,"7*",'Accounting data'!$J$2:$J$37000,"4*",'Accounting data'!$K$2:$K$37000,"681*")+SUMIFS('Accounting data'!$G$2:$G$37000,'Accounting data'!$H$2:$H$37000,"9999*",'Accounting data'!$I$2:$I$37000,"8*",'Accounting data'!$J$2:$J$37000,"4*",'Accounting data'!$K$2:$K$37000,"681*")+SUMIFS('Accounting data'!$G$2:$G$37000,'Accounting data'!$H$2:$H$37000,"9999*",'Accounting data'!$I$2:$I$37000,"9*",'Accounting data'!$J$2:$J$37000,"4*",'Accounting data'!$K$2:$K$37000,"681*")</f>
        <v>0</v>
      </c>
    </row>
    <row r="1033" spans="1:5" x14ac:dyDescent="0.2">
      <c r="A1033" s="560"/>
      <c r="B1033" s="560"/>
      <c r="C1033" s="560"/>
      <c r="D1033" s="569"/>
      <c r="E1033" s="561"/>
    </row>
    <row r="1034" spans="1:5" x14ac:dyDescent="0.2">
      <c r="A1034" s="560"/>
      <c r="B1034" s="560"/>
      <c r="C1034" s="560"/>
      <c r="D1034" s="569"/>
      <c r="E1034" s="561"/>
    </row>
    <row r="1035" spans="1:5" x14ac:dyDescent="0.2">
      <c r="A1035" s="563" t="s">
        <v>1080</v>
      </c>
      <c r="B1035" s="563"/>
      <c r="C1035" s="563"/>
      <c r="D1035" s="563"/>
      <c r="E1035" s="565">
        <f>(E1029-E1030-E1031)+(E1032+E1033+E1034)</f>
        <v>0</v>
      </c>
    </row>
    <row r="1036" spans="1:5" x14ac:dyDescent="0.2">
      <c r="A1036" s="566" t="s">
        <v>1081</v>
      </c>
      <c r="B1036" s="566"/>
      <c r="C1036" s="566"/>
      <c r="D1036" s="566"/>
      <c r="E1036" s="570">
        <f>E951+E958+E965+E972+E979+E986+E993+E1000+E1007+E1014+E1021+E1028</f>
        <v>27074</v>
      </c>
    </row>
    <row r="1037" spans="1:5" x14ac:dyDescent="0.2">
      <c r="A1037" s="560" t="s">
        <v>1021</v>
      </c>
      <c r="B1037" s="560" t="s">
        <v>1005</v>
      </c>
      <c r="C1037" s="560">
        <v>1000</v>
      </c>
      <c r="D1037" s="560">
        <v>6810</v>
      </c>
      <c r="E1037" s="561">
        <f>SUMIFS('Accounting data'!$G$2:$G$37000,'Accounting data'!$H$2:$H$37000,"11*",'Accounting data'!$J$2:$J$37000,"1*",'Accounting data'!$K$2:$K$37000,"681*")+SUMIFS('Accounting data'!$G$2:$G$37000,'Accounting data'!$H$2:$H$37000,"12*",'Accounting data'!$J$2:$J$37000,"1*",'Accounting data'!$K$2:$K$37000,"681*")+SUMIFS('Accounting data'!$G$2:$G$37000,'Accounting data'!$H$2:$H$37000,"13*",'Accounting data'!$J$2:$J$37000,"1*",'Accounting data'!$K$2:$K$37000,"681*")</f>
        <v>0</v>
      </c>
    </row>
    <row r="1038" spans="1:5" x14ac:dyDescent="0.2">
      <c r="A1038" s="560" t="s">
        <v>1021</v>
      </c>
      <c r="B1038" s="560" t="s">
        <v>1005</v>
      </c>
      <c r="C1038" s="560">
        <v>2000</v>
      </c>
      <c r="D1038" s="560">
        <v>6810</v>
      </c>
      <c r="E1038" s="561">
        <f>SUMIFS('Accounting data'!$G$2:$G$37000,'Accounting data'!$H$2:$H$37000,"11*",'Accounting data'!$J$2:$J$37000,"2*",'Accounting data'!$K$2:$K$37000,"681*")+SUMIFS('Accounting data'!$G$2:$G$37000,'Accounting data'!$H$2:$H$37000,"12*",'Accounting data'!$J$2:$J$37000,"2*",'Accounting data'!$K$2:$K$37000,"681*")+SUMIFS('Accounting data'!$G$2:$G$37000,'Accounting data'!$H$2:$H$37000,"13*",'Accounting data'!$J$2:$J$37000,"2*",'Accounting data'!$K$2:$K$37000,"681*")</f>
        <v>0</v>
      </c>
    </row>
    <row r="1039" spans="1:5" x14ac:dyDescent="0.2">
      <c r="A1039" s="560" t="s">
        <v>1021</v>
      </c>
      <c r="B1039" s="560" t="s">
        <v>1005</v>
      </c>
      <c r="C1039" s="560">
        <v>3000</v>
      </c>
      <c r="D1039" s="560">
        <v>6810</v>
      </c>
      <c r="E1039" s="561">
        <f>SUMIFS('Accounting data'!$G$2:$G$37000,'Accounting data'!$H$2:$H$37000,"11*",'Accounting data'!$J$2:$J$37000,"3*",'Accounting data'!$K$2:$K$37000,"681*")+SUMIFS('Accounting data'!$G$2:$G$37000,'Accounting data'!$H$2:$H$37000,"12*",'Accounting data'!$J$2:$J$37000,"3*",'Accounting data'!$K$2:$K$37000,"681*")+SUMIFS('Accounting data'!$G$2:$G$37000,'Accounting data'!$H$2:$H$37000,"13*",'Accounting data'!$J$2:$J$37000,"3*",'Accounting data'!$K$2:$K$37000,"681*")</f>
        <v>0</v>
      </c>
    </row>
    <row r="1040" spans="1:5" x14ac:dyDescent="0.2">
      <c r="A1040" s="560" t="s">
        <v>1021</v>
      </c>
      <c r="B1040" s="562">
        <v>700</v>
      </c>
      <c r="C1040" s="560">
        <v>1000</v>
      </c>
      <c r="D1040" s="560">
        <v>6810</v>
      </c>
      <c r="E1040" s="561">
        <f>SUMIFS('Accounting data'!$G$2:$G$37000,'Accounting data'!$H$2:$H$37000,"11*",'Accounting data'!$I$2:$I$37000,"7*",'Accounting data'!$J$2:$J$37000,"1*",'Accounting data'!$K$2:$K$37000,"681*")+SUMIFS('Accounting data'!$G$2:$G$37000,'Accounting data'!$H$2:$H$37000,"12*",'Accounting data'!$I$2:$I$37000,"7*",'Accounting data'!$J$2:$J$37000,"1*",'Accounting data'!$K$2:$K$37000,"681*")+SUMIFS('Accounting data'!$G$2:$G$37000,'Accounting data'!$H$2:$H$37000,"13*",'Accounting data'!$I$2:$I$37000,"7*",'Accounting data'!$J$2:$J$37000,"1*",'Accounting data'!$K$2:$K$37000,"681*")</f>
        <v>0</v>
      </c>
    </row>
    <row r="1041" spans="1:5" x14ac:dyDescent="0.2">
      <c r="A1041" s="560" t="s">
        <v>1021</v>
      </c>
      <c r="B1041" s="562">
        <v>800</v>
      </c>
      <c r="C1041" s="560">
        <v>1000</v>
      </c>
      <c r="D1041" s="560">
        <v>6810</v>
      </c>
      <c r="E1041" s="561">
        <f>SUMIFS('Accounting data'!$G$2:$G$37000,'Accounting data'!$H$2:$H$37000,"11*",'Accounting data'!$I$2:$I$37000,"8*",'Accounting data'!$J$2:$J$37000,"1*",'Accounting data'!$K$2:$K$37000,"681*")+SUMIFS('Accounting data'!$G$2:$G$37000,'Accounting data'!$H$2:$H$37000,"12*",'Accounting data'!$I$2:$I$37000,"8*",'Accounting data'!$J$2:$J$37000,"1*",'Accounting data'!$K$2:$K$37000,"681*")+SUMIFS('Accounting data'!$G$2:$G$37000,'Accounting data'!$H$2:$H$37000,"13*",'Accounting data'!$I$2:$I$37000,"8*",'Accounting data'!$J$2:$J$37000,"1*",'Accounting data'!$K$2:$K$37000,"681*")</f>
        <v>0</v>
      </c>
    </row>
    <row r="1042" spans="1:5" x14ac:dyDescent="0.2">
      <c r="A1042" s="560" t="s">
        <v>1021</v>
      </c>
      <c r="B1042" s="562">
        <v>900</v>
      </c>
      <c r="C1042" s="560">
        <v>1000</v>
      </c>
      <c r="D1042" s="560">
        <v>6810</v>
      </c>
      <c r="E1042" s="561">
        <f>SUMIFS('Accounting data'!$G$2:$G$37000,'Accounting data'!$H$2:$H$37000,"11*",'Accounting data'!$I$2:$I$37000,"9*",'Accounting data'!$J$2:$J$37000,"1*",'Accounting data'!$K$2:$K$37000,"681*")+SUMIFS('Accounting data'!$G$2:$G$37000,'Accounting data'!$H$2:$H$37000,"12*",'Accounting data'!$I$2:$I$37000,"9*",'Accounting data'!$J$2:$J$37000,"1*",'Accounting data'!$K$2:$K$37000,"681*")+SUMIFS('Accounting data'!$G$2:$G$37000,'Accounting data'!$H$2:$H$37000,"13*",'Accounting data'!$I$2:$I$37000,"9*",'Accounting data'!$J$2:$J$37000,"1*",'Accounting data'!$K$2:$K$37000,"681*")</f>
        <v>0</v>
      </c>
    </row>
    <row r="1043" spans="1:5" x14ac:dyDescent="0.2">
      <c r="A1043" s="560" t="s">
        <v>1021</v>
      </c>
      <c r="B1043" s="562">
        <v>700</v>
      </c>
      <c r="C1043" s="560">
        <v>2000</v>
      </c>
      <c r="D1043" s="560">
        <v>6810</v>
      </c>
      <c r="E1043" s="561">
        <f>SUMIFS('Accounting data'!$G$2:$G$37000,'Accounting data'!$H$2:$H$37000,"11*",'Accounting data'!$I$2:$I$37000,"7*",'Accounting data'!$J$2:$J$37000,"2*",'Accounting data'!$K$2:$K$37000,"681*")+SUMIFS('Accounting data'!$G$2:$G$37000,'Accounting data'!$H$2:$H$37000,"12*",'Accounting data'!$I$2:$I$37000,"7*",'Accounting data'!$J$2:$J$37000,"2*",'Accounting data'!$K$2:$K$37000,"681*")+SUMIFS('Accounting data'!$G$2:$G$37000,'Accounting data'!$H$2:$H$37000,"13*",'Accounting data'!$I$2:$I$37000,"7*",'Accounting data'!$J$2:$J$37000,"2*",'Accounting data'!$K$2:$K$37000,"681*")</f>
        <v>0</v>
      </c>
    </row>
    <row r="1044" spans="1:5" x14ac:dyDescent="0.2">
      <c r="A1044" s="560" t="s">
        <v>1021</v>
      </c>
      <c r="B1044" s="562">
        <v>800</v>
      </c>
      <c r="C1044" s="560">
        <v>2000</v>
      </c>
      <c r="D1044" s="560">
        <v>6810</v>
      </c>
      <c r="E1044" s="561">
        <f>SUMIFS('Accounting data'!$G$2:$G$37000,'Accounting data'!$H$2:$H$37000,"11*",'Accounting data'!$I$2:$I$37000,"8*",'Accounting data'!$J$2:$J$37000,"2*",'Accounting data'!$K$2:$K$37000,"681*")+SUMIFS('Accounting data'!$G$2:$G$37000,'Accounting data'!$H$2:$H$37000,"12*",'Accounting data'!$I$2:$I$37000,"8*",'Accounting data'!$J$2:$J$37000,"2*",'Accounting data'!$K$2:$K$37000,"681*")+SUMIFS('Accounting data'!$G$2:$G$37000,'Accounting data'!$H$2:$H$37000,"13*",'Accounting data'!$I$2:$I$37000,"8*",'Accounting data'!$J$2:$J$37000,"2*",'Accounting data'!$K$2:$K$37000,"681*")</f>
        <v>0</v>
      </c>
    </row>
    <row r="1045" spans="1:5" x14ac:dyDescent="0.2">
      <c r="A1045" s="560" t="s">
        <v>1021</v>
      </c>
      <c r="B1045" s="562">
        <v>900</v>
      </c>
      <c r="C1045" s="560">
        <v>2000</v>
      </c>
      <c r="D1045" s="560">
        <v>6810</v>
      </c>
      <c r="E1045" s="561">
        <f>SUMIFS('Accounting data'!$G$2:$G$37000,'Accounting data'!$H$2:$H$37000,"11*",'Accounting data'!$I$2:$I$37000,"9*",'Accounting data'!$J$2:$J$37000,"2*",'Accounting data'!$K$2:$K$37000,"681*")+SUMIFS('Accounting data'!$G$2:$G$37000,'Accounting data'!$H$2:$H$37000,"12*",'Accounting data'!$I$2:$I$37000,"9*",'Accounting data'!$J$2:$J$37000,"2*",'Accounting data'!$K$2:$K$37000,"681*")+SUMIFS('Accounting data'!$G$2:$G$37000,'Accounting data'!$H$2:$H$37000,"13*",'Accounting data'!$I$2:$I$37000,"9*",'Accounting data'!$J$2:$J$37000,"2*",'Accounting data'!$K$2:$K$37000,"681*")</f>
        <v>0</v>
      </c>
    </row>
    <row r="1046" spans="1:5" x14ac:dyDescent="0.2">
      <c r="A1046" s="560" t="s">
        <v>1021</v>
      </c>
      <c r="B1046" s="562">
        <v>700</v>
      </c>
      <c r="C1046" s="560">
        <v>3000</v>
      </c>
      <c r="D1046" s="560">
        <v>6810</v>
      </c>
      <c r="E1046" s="561">
        <f>SUMIFS('Accounting data'!$G$2:$G$37000,'Accounting data'!$H$2:$H$37000,"11*",'Accounting data'!$I$2:$I$37000,"7*",'Accounting data'!$J$2:$J$37000,"3*",'Accounting data'!$K$2:$K$37000,"681*")+SUMIFS('Accounting data'!$G$2:$G$37000,'Accounting data'!$H$2:$H$37000,"12*",'Accounting data'!$I$2:$I$37000,"7*",'Accounting data'!$J$2:$J$37000,"3*",'Accounting data'!$K$2:$K$37000,"681*")+SUMIFS('Accounting data'!$G$2:$G$37000,'Accounting data'!$H$2:$H$37000,"13*",'Accounting data'!$I$2:$I$37000,"7*",'Accounting data'!$J$2:$J$37000,"3*",'Accounting data'!$K$2:$K$37000,"681*")</f>
        <v>0</v>
      </c>
    </row>
    <row r="1047" spans="1:5" x14ac:dyDescent="0.2">
      <c r="A1047" s="560" t="s">
        <v>1021</v>
      </c>
      <c r="B1047" s="562">
        <v>800</v>
      </c>
      <c r="C1047" s="560">
        <v>3000</v>
      </c>
      <c r="D1047" s="560">
        <v>6810</v>
      </c>
      <c r="E1047" s="561">
        <f>SUMIFS('Accounting data'!$G$2:$G$37000,'Accounting data'!$H$2:$H$37000,"11*",'Accounting data'!$I$2:$I$37000,"8*",'Accounting data'!$J$2:$J$37000,"3*",'Accounting data'!$K$2:$K$37000,"681*")+SUMIFS('Accounting data'!$G$2:$G$37000,'Accounting data'!$H$2:$H$37000,"12*",'Accounting data'!$I$2:$I$37000,"8*",'Accounting data'!$J$2:$J$37000,"3*",'Accounting data'!$K$2:$K$37000,"681*")+SUMIFS('Accounting data'!$G$2:$G$37000,'Accounting data'!$H$2:$H$37000,"13*",'Accounting data'!$I$2:$I$37000,"8*",'Accounting data'!$J$2:$J$37000,"3*",'Accounting data'!$K$2:$K$37000,"681*")</f>
        <v>0</v>
      </c>
    </row>
    <row r="1048" spans="1:5" x14ac:dyDescent="0.2">
      <c r="A1048" s="560" t="s">
        <v>1021</v>
      </c>
      <c r="B1048" s="562">
        <v>900</v>
      </c>
      <c r="C1048" s="560">
        <v>3000</v>
      </c>
      <c r="D1048" s="560">
        <v>6810</v>
      </c>
      <c r="E1048" s="561">
        <f>SUMIFS('Accounting data'!$G$2:$G$37000,'Accounting data'!$H$2:$H$37000,"11*",'Accounting data'!$I$2:$I$37000,"9*",'Accounting data'!$J$2:$J$37000,"3*",'Accounting data'!$K$2:$K$37000,"681*")+SUMIFS('Accounting data'!$G$2:$G$37000,'Accounting data'!$H$2:$H$37000,"12*",'Accounting data'!$I$2:$I$37000,"9*",'Accounting data'!$J$2:$J$37000,"3*",'Accounting data'!$K$2:$K$37000,"681*")+SUMIFS('Accounting data'!$G$2:$G$37000,'Accounting data'!$H$2:$H$37000,"13*",'Accounting data'!$I$2:$I$37000,"9*",'Accounting data'!$J$2:$J$37000,"3*",'Accounting data'!$K$2:$K$37000,"681*")</f>
        <v>0</v>
      </c>
    </row>
    <row r="1049" spans="1:5" x14ac:dyDescent="0.2">
      <c r="A1049" s="563" t="s">
        <v>1082</v>
      </c>
      <c r="B1049" s="563"/>
      <c r="C1049" s="563"/>
      <c r="D1049" s="563"/>
      <c r="E1049" s="565">
        <f>(E1037+E1038+E1039)-(E1040+E1041+E1042+E1043+E1044+E1045+E1046+E1047+E1048)</f>
        <v>0</v>
      </c>
    </row>
    <row r="1050" spans="1:5" x14ac:dyDescent="0.2">
      <c r="A1050" s="560" t="s">
        <v>1005</v>
      </c>
      <c r="B1050" s="560" t="s">
        <v>1005</v>
      </c>
      <c r="C1050" s="560">
        <v>2300</v>
      </c>
      <c r="D1050" s="569">
        <v>6820</v>
      </c>
      <c r="E1050" s="561">
        <f>SUMIFS('Accounting data'!$G$2:$G$37000,'Accounting data'!$J$2:$J$37000,"23*",'Accounting data'!$K$2:$K$37000,"682*")</f>
        <v>100</v>
      </c>
    </row>
    <row r="1051" spans="1:5" x14ac:dyDescent="0.2">
      <c r="A1051" s="560" t="s">
        <v>1006</v>
      </c>
      <c r="B1051" s="560" t="s">
        <v>1005</v>
      </c>
      <c r="C1051" s="560">
        <v>2300</v>
      </c>
      <c r="D1051" s="569">
        <v>6820</v>
      </c>
      <c r="E1051" s="561">
        <f>SUMIFS('Accounting data'!$G$2:$G$37000,'Accounting data'!$H$2:$H$37000,"9999*",'Accounting data'!$J$2:$J$37000,"23*",'Accounting data'!$K$2:$K$37000,"682*")</f>
        <v>0</v>
      </c>
    </row>
    <row r="1052" spans="1:5" x14ac:dyDescent="0.2">
      <c r="A1052" s="560" t="s">
        <v>1005</v>
      </c>
      <c r="B1052" s="560" t="s">
        <v>1007</v>
      </c>
      <c r="C1052" s="560">
        <v>2300</v>
      </c>
      <c r="D1052" s="569">
        <v>6820</v>
      </c>
      <c r="E1052" s="561">
        <f>SUMIFS('Accounting data'!$G$2:$G$37000,'Accounting data'!$I$2:$I$37000,"7*",'Accounting data'!$J$2:$J$37000,"23*",'Accounting data'!$K$2:$K$37000,"682*")+SUMIFS('Accounting data'!$G$2:$G$37000,'Accounting data'!$I$2:$I$37000,"8*",'Accounting data'!$J$2:$J$37000,"23*",'Accounting data'!$K$2:$K$37000,"682*")+SUMIFS('Accounting data'!$G$2:$G$37000,'Accounting data'!$I$2:$I$37000,"9*",'Accounting data'!$J$2:$J$37000,"23*",'Accounting data'!$K$2:$K$37000,"682*")</f>
        <v>0</v>
      </c>
    </row>
    <row r="1053" spans="1:5" x14ac:dyDescent="0.2">
      <c r="A1053" s="562" t="s">
        <v>1006</v>
      </c>
      <c r="B1053" s="560" t="s">
        <v>1007</v>
      </c>
      <c r="C1053" s="560">
        <v>2300</v>
      </c>
      <c r="D1053" s="569">
        <v>6820</v>
      </c>
      <c r="E1053" s="561">
        <f>SUMIFS('Accounting data'!$G$2:$G$37000,'Accounting data'!$H$2:$H$37000,"9999*",'Accounting data'!$I$2:$I$37000,"7*",'Accounting data'!$J$2:$J$37000,"23*",'Accounting data'!$K$2:$K$37000,"682*")+SUMIFS('Accounting data'!$G$2:$G$37000,'Accounting data'!$H$2:$H$37000,"9999*",'Accounting data'!$I$2:$I$37000,"8*",'Accounting data'!$J$2:$J$37000,"23*",'Accounting data'!$K$2:$K$37000,"682*")+SUMIFS('Accounting data'!$G$2:$G$37000,'Accounting data'!$H$2:$H$37000,"9999*",'Accounting data'!$I$2:$I$37000,"9*",'Accounting data'!$J$2:$J$37000,"23*",'Accounting data'!$K$2:$K$37000,"682*")</f>
        <v>0</v>
      </c>
    </row>
    <row r="1054" spans="1:5" x14ac:dyDescent="0.2">
      <c r="A1054" s="560"/>
      <c r="B1054" s="560"/>
      <c r="C1054" s="560"/>
      <c r="D1054" s="569"/>
      <c r="E1054" s="561"/>
    </row>
    <row r="1055" spans="1:5" x14ac:dyDescent="0.2">
      <c r="A1055" s="560"/>
      <c r="B1055" s="560"/>
      <c r="C1055" s="560"/>
      <c r="D1055" s="569"/>
      <c r="E1055" s="561"/>
    </row>
    <row r="1056" spans="1:5" x14ac:dyDescent="0.2">
      <c r="A1056" s="563" t="s">
        <v>1083</v>
      </c>
      <c r="B1056" s="563"/>
      <c r="C1056" s="569"/>
      <c r="D1056" s="563"/>
      <c r="E1056" s="565">
        <f>(E1050-E1051-E1052)+(E1053+E1054+E1055)</f>
        <v>100</v>
      </c>
    </row>
    <row r="1057" spans="1:5" x14ac:dyDescent="0.2">
      <c r="A1057" s="560" t="s">
        <v>1021</v>
      </c>
      <c r="B1057" s="560" t="s">
        <v>1005</v>
      </c>
      <c r="C1057" s="560">
        <v>2300</v>
      </c>
      <c r="D1057" s="560">
        <v>6820</v>
      </c>
      <c r="E1057" s="561">
        <f>SUMIFS('Accounting data'!$G$2:$G$37000,'Accounting data'!$H$2:$H$37000,"11*",'Accounting data'!$J$2:$J$37000,"23*",'Accounting data'!$K$2:$K$37000,"682*")+SUMIFS('Accounting data'!$G$2:$G$37000,'Accounting data'!$H$2:$H$37000,"12*",'Accounting data'!$J$2:$J$37000,"23*",'Accounting data'!$K$2:$K$37000,"682*")+SUMIFS('Accounting data'!$G$2:$G$37000,'Accounting data'!$H$2:$H$37000,"13*",'Accounting data'!$J$2:$J$37000,"23*",'Accounting data'!$K$2:$K$37000,"682*")+SUMIFS('Accounting data'!$G$2:$G$37000,'Accounting data'!$H$2:$H$37000,"639",'Accounting data'!$J$2:$J$37000,"23*",'Accounting data'!$K$2:$K$37000,"682*")+SUMIFS('Accounting data'!$G$2:$G$37000,'Accounting data'!$H$2:$H$37000,"699",'Accounting data'!$J$2:$J$37000,"23*",'Accounting data'!$K$2:$K$37000,"682*")+SUMIFS('Accounting data'!$G$2:$G$37000,'Accounting data'!$H$2:$H$37000,"72?",'Accounting data'!$J$2:$J$37000,"23*",'Accounting data'!$K$2:$K$37000,"682*")</f>
        <v>0</v>
      </c>
    </row>
    <row r="1058" spans="1:5" x14ac:dyDescent="0.2">
      <c r="A1058" s="560" t="s">
        <v>1021</v>
      </c>
      <c r="B1058" s="562">
        <v>700</v>
      </c>
      <c r="C1058" s="560">
        <v>2300</v>
      </c>
      <c r="D1058" s="560">
        <v>6820</v>
      </c>
      <c r="E1058" s="561">
        <f>SUMIFS('Accounting data'!$G$2:$G$37000,'Accounting data'!$H$2:$H$37000,"11*",'Accounting data'!$I$2:$I$37000,"7*",'Accounting data'!$J$2:$J$37000,"23*",'Accounting data'!$K$2:$K$37000,"682*")+SUMIFS('Accounting data'!$G$2:$G$37000,'Accounting data'!$H$2:$H$37000,"12*",'Accounting data'!$I$2:$I$37000,"7*",'Accounting data'!$J$2:$J$37000,"23*",'Accounting data'!$K$2:$K$37000,"682*")+SUMIFS('Accounting data'!$G$2:$G$37000,'Accounting data'!$H$2:$H$37000,"13*",'Accounting data'!$I$2:$I$37000,"7*",'Accounting data'!$J$2:$J$37000,"23*",'Accounting data'!$K$2:$K$37000,"682*")+SUMIFS('Accounting data'!$G$2:$G$37000,'Accounting data'!$H$2:$H$37000,"639",'Accounting data'!$I$2:$I$37000,"7*",'Accounting data'!$J$2:$J$37000,"23*",'Accounting data'!$K$2:$K$37000,"682*")+SUMIFS('Accounting data'!$G$2:$G$37000,'Accounting data'!$H$2:$H$37000,"699",'Accounting data'!$I$2:$I$37000,"7*",'Accounting data'!$J$2:$J$37000,"23*",'Accounting data'!$K$2:$K$37000,"682*")+SUMIFS('Accounting data'!$G$2:$G$37000,'Accounting data'!$H$2:$H$37000,"72?",'Accounting data'!$I$2:$I$37000,"7*",'Accounting data'!$J$2:$J$37000,"23*",'Accounting data'!$K$2:$K$37000,"682*")</f>
        <v>0</v>
      </c>
    </row>
    <row r="1059" spans="1:5" x14ac:dyDescent="0.2">
      <c r="A1059" s="560" t="s">
        <v>1021</v>
      </c>
      <c r="B1059" s="562">
        <v>800</v>
      </c>
      <c r="C1059" s="560">
        <v>2300</v>
      </c>
      <c r="D1059" s="560">
        <v>6820</v>
      </c>
      <c r="E1059" s="561">
        <f>SUMIFS('Accounting data'!$G$2:$G$37000,'Accounting data'!$H$2:$H$37000,"11*",'Accounting data'!$I$2:$I$37000,"8*",'Accounting data'!$J$2:$J$37000,"23*",'Accounting data'!$K$2:$K$37000,"682*")+SUMIFS('Accounting data'!$G$2:$G$37000,'Accounting data'!$H$2:$H$37000,"12*",'Accounting data'!$I$2:$I$37000,"8*",'Accounting data'!$J$2:$J$37000,"23*",'Accounting data'!$K$2:$K$37000,"682*")+SUMIFS('Accounting data'!$G$2:$G$37000,'Accounting data'!$H$2:$H$37000,"13*",'Accounting data'!$I$2:$I$37000,"8*",'Accounting data'!$J$2:$J$37000,"23*",'Accounting data'!$K$2:$K$37000,"682*")+SUMIFS('Accounting data'!$G$2:$G$37000,'Accounting data'!$H$2:$H$37000,"639",'Accounting data'!$I$2:$I$37000,"8*",'Accounting data'!$J$2:$J$37000,"23*",'Accounting data'!$K$2:$K$37000,"682*")+SUMIFS('Accounting data'!$G$2:$G$37000,'Accounting data'!$H$2:$H$37000,"699",'Accounting data'!$I$2:$I$37000,"8*",'Accounting data'!$J$2:$J$37000,"23*",'Accounting data'!$K$2:$K$37000,"682*")+SUMIFS('Accounting data'!$G$2:$G$37000,'Accounting data'!$H$2:$H$37000,"72?",'Accounting data'!$I$2:$I$37000,"8*",'Accounting data'!$J$2:$J$37000,"23*",'Accounting data'!$K$2:$K$37000,"682*")</f>
        <v>0</v>
      </c>
    </row>
    <row r="1060" spans="1:5" x14ac:dyDescent="0.2">
      <c r="A1060" s="560" t="s">
        <v>1021</v>
      </c>
      <c r="B1060" s="562">
        <v>900</v>
      </c>
      <c r="C1060" s="560">
        <v>2300</v>
      </c>
      <c r="D1060" s="560">
        <v>6820</v>
      </c>
      <c r="E1060" s="561">
        <f>SUMIFS('Accounting data'!$G$2:$G$37000,'Accounting data'!$H$2:$H$37000,"11*",'Accounting data'!$I$2:$I$37000,"9*",'Accounting data'!$J$2:$J$37000,"23*",'Accounting data'!$K$2:$K$37000,"682*")+SUMIFS('Accounting data'!$G$2:$G$37000,'Accounting data'!$H$2:$H$37000,"12*",'Accounting data'!$I$2:$I$37000,"9*",'Accounting data'!$J$2:$J$37000,"23*",'Accounting data'!$K$2:$K$37000,"682*")+SUMIFS('Accounting data'!$G$2:$G$37000,'Accounting data'!$H$2:$H$37000,"13*",'Accounting data'!$I$2:$I$37000,"9*",'Accounting data'!$J$2:$J$37000,"23*",'Accounting data'!$K$2:$K$37000,"682*")+SUMIFS('Accounting data'!$G$2:$G$37000,'Accounting data'!$H$2:$H$37000,"639",'Accounting data'!$I$2:$I$37000,"9*",'Accounting data'!$J$2:$J$37000,"23*",'Accounting data'!$K$2:$K$37000,"682*")+SUMIFS('Accounting data'!$G$2:$G$37000,'Accounting data'!$H$2:$H$37000,"699",'Accounting data'!$I$2:$I$37000,"9*",'Accounting data'!$J$2:$J$37000,"23*",'Accounting data'!$K$2:$K$37000,"682*")+SUMIFS('Accounting data'!$G$2:$G$37000,'Accounting data'!$H$2:$H$37000,"72?",'Accounting data'!$I$2:$I$37000,"9*",'Accounting data'!$J$2:$J$37000,"23*",'Accounting data'!$K$2:$K$37000,"682*")</f>
        <v>0</v>
      </c>
    </row>
    <row r="1061" spans="1:5" x14ac:dyDescent="0.2">
      <c r="A1061" s="563" t="s">
        <v>1084</v>
      </c>
      <c r="B1061" s="563"/>
      <c r="C1061" s="563"/>
      <c r="D1061" s="563"/>
      <c r="E1061" s="565">
        <f>E1057-E1058-E1059-E1060</f>
        <v>0</v>
      </c>
    </row>
    <row r="1062" spans="1:5" x14ac:dyDescent="0.2">
      <c r="A1062" s="560"/>
      <c r="B1062" s="560"/>
      <c r="C1062" s="560"/>
      <c r="D1062" s="560"/>
      <c r="E1062" s="561"/>
    </row>
    <row r="1063" spans="1:5" x14ac:dyDescent="0.2">
      <c r="A1063" s="560"/>
      <c r="B1063" s="560"/>
      <c r="C1063" s="560"/>
      <c r="D1063" s="560"/>
      <c r="E1063" s="561"/>
    </row>
    <row r="1064" spans="1:5" x14ac:dyDescent="0.2">
      <c r="A1064" s="560"/>
      <c r="B1064" s="560"/>
      <c r="C1064" s="560"/>
      <c r="D1064" s="560"/>
      <c r="E1064" s="561"/>
    </row>
    <row r="1065" spans="1:5" x14ac:dyDescent="0.2">
      <c r="A1065" s="562"/>
      <c r="B1065" s="560"/>
      <c r="C1065" s="560"/>
      <c r="D1065" s="560"/>
      <c r="E1065" s="561"/>
    </row>
    <row r="1066" spans="1:5" x14ac:dyDescent="0.2">
      <c r="A1066" s="560"/>
      <c r="B1066" s="560"/>
      <c r="C1066" s="560"/>
      <c r="D1066" s="560"/>
      <c r="E1066" s="561"/>
    </row>
    <row r="1067" spans="1:5" x14ac:dyDescent="0.2">
      <c r="A1067" s="560"/>
      <c r="B1067" s="560"/>
      <c r="C1067" s="560"/>
      <c r="D1067" s="560"/>
      <c r="E1067" s="561"/>
    </row>
    <row r="1068" spans="1:5" x14ac:dyDescent="0.2">
      <c r="A1068" s="563"/>
      <c r="B1068" s="563"/>
      <c r="C1068" s="563"/>
      <c r="D1068" s="563"/>
      <c r="E1068" s="565"/>
    </row>
    <row r="1069" spans="1:5" x14ac:dyDescent="0.2">
      <c r="A1069" s="560"/>
      <c r="B1069" s="560"/>
      <c r="C1069" s="560"/>
      <c r="D1069" s="560"/>
      <c r="E1069" s="561"/>
    </row>
    <row r="1070" spans="1:5" x14ac:dyDescent="0.2">
      <c r="A1070" s="560"/>
      <c r="B1070" s="560"/>
      <c r="C1070" s="560"/>
      <c r="D1070" s="560"/>
      <c r="E1070" s="561"/>
    </row>
    <row r="1071" spans="1:5" x14ac:dyDescent="0.2">
      <c r="A1071" s="560"/>
      <c r="B1071" s="560"/>
      <c r="C1071" s="560"/>
      <c r="D1071" s="560"/>
      <c r="E1071" s="561"/>
    </row>
    <row r="1072" spans="1:5" x14ac:dyDescent="0.2">
      <c r="A1072" s="562"/>
      <c r="B1072" s="560"/>
      <c r="C1072" s="560"/>
      <c r="D1072" s="560"/>
      <c r="E1072" s="561"/>
    </row>
    <row r="1073" spans="1:5" x14ac:dyDescent="0.2">
      <c r="A1073" s="560"/>
      <c r="B1073" s="560"/>
      <c r="C1073" s="560"/>
      <c r="D1073" s="560"/>
      <c r="E1073" s="561"/>
    </row>
    <row r="1074" spans="1:5" x14ac:dyDescent="0.2">
      <c r="A1074" s="560"/>
      <c r="B1074" s="560"/>
      <c r="C1074" s="560"/>
      <c r="D1074" s="560"/>
      <c r="E1074" s="561"/>
    </row>
    <row r="1075" spans="1:5" x14ac:dyDescent="0.2">
      <c r="A1075" s="563"/>
      <c r="B1075" s="563"/>
      <c r="C1075" s="563"/>
      <c r="D1075" s="563"/>
      <c r="E1075" s="565"/>
    </row>
    <row r="1076" spans="1:5" x14ac:dyDescent="0.2">
      <c r="A1076" s="560" t="s">
        <v>1005</v>
      </c>
      <c r="B1076" s="560" t="s">
        <v>1005</v>
      </c>
      <c r="C1076" s="560">
        <v>2500</v>
      </c>
      <c r="D1076" s="569">
        <v>6850</v>
      </c>
      <c r="E1076" s="561">
        <f>SUMIFS('Accounting data'!$G$2:$G$37000,'Accounting data'!$J$2:$J$37000,"25*",'Accounting data'!$K$2:$K$37000,"685*")</f>
        <v>0</v>
      </c>
    </row>
    <row r="1077" spans="1:5" x14ac:dyDescent="0.2">
      <c r="A1077" s="560" t="s">
        <v>1006</v>
      </c>
      <c r="B1077" s="560" t="s">
        <v>1005</v>
      </c>
      <c r="C1077" s="560">
        <v>2500</v>
      </c>
      <c r="D1077" s="569">
        <v>6850</v>
      </c>
      <c r="E1077" s="561">
        <f>SUMIFS('Accounting data'!$G$2:$G$37000,'Accounting data'!$H$2:$H$37000,"9999*",'Accounting data'!$J$2:$J$37000,"25*",'Accounting data'!$K$2:$K$37000,"685*")</f>
        <v>0</v>
      </c>
    </row>
    <row r="1078" spans="1:5" x14ac:dyDescent="0.2">
      <c r="A1078" s="560" t="s">
        <v>1005</v>
      </c>
      <c r="B1078" s="560" t="s">
        <v>1007</v>
      </c>
      <c r="C1078" s="560">
        <v>2500</v>
      </c>
      <c r="D1078" s="569">
        <v>6850</v>
      </c>
      <c r="E1078" s="561">
        <f>SUMIFS('Accounting data'!$G$2:$G$37000,'Accounting data'!$I$2:$I$37000,"7*",'Accounting data'!$J$2:$J$37000,"25*",'Accounting data'!$K$2:$K$37000,"685*")+SUMIFS('Accounting data'!$G$2:$G$37000,'Accounting data'!$I$2:$I$37000,"8*",'Accounting data'!$J$2:$J$37000,"25*",'Accounting data'!$K$2:$K$37000,"685*")+SUMIFS('Accounting data'!$G$2:$G$37000,'Accounting data'!$I$2:$I$37000,"9*",'Accounting data'!$J$2:$J$37000,"25*",'Accounting data'!$K$2:$K$37000,"685*")</f>
        <v>0</v>
      </c>
    </row>
    <row r="1079" spans="1:5" x14ac:dyDescent="0.2">
      <c r="A1079" s="562" t="s">
        <v>1006</v>
      </c>
      <c r="B1079" s="560" t="s">
        <v>1007</v>
      </c>
      <c r="C1079" s="560">
        <v>2500</v>
      </c>
      <c r="D1079" s="569">
        <v>6850</v>
      </c>
      <c r="E1079" s="561">
        <f>SUMIFS('Accounting data'!$G$2:$G$37000,'Accounting data'!$H$2:$H$37000,"9999*",'Accounting data'!$I$2:$I$37000,"7*",'Accounting data'!$J$2:$J$37000,"25*",'Accounting data'!$K$2:$K$37000,"685*")+SUMIFS('Accounting data'!$G$2:$G$37000,'Accounting data'!$H$2:$H$37000,"9999*",'Accounting data'!$I$2:$I$37000,"8*",'Accounting data'!$J$2:$J$37000,"25*",'Accounting data'!$K$2:$K$37000,"685*")+SUMIFS('Accounting data'!$G$2:$G$37000,'Accounting data'!$H$2:$H$37000,"9999*",'Accounting data'!$I$2:$I$37000,"9*",'Accounting data'!$J$2:$J$37000,"25*",'Accounting data'!$K$2:$K$37000,"685*")</f>
        <v>0</v>
      </c>
    </row>
    <row r="1080" spans="1:5" x14ac:dyDescent="0.2">
      <c r="A1080" s="560"/>
      <c r="B1080" s="560"/>
      <c r="C1080" s="560"/>
      <c r="D1080" s="569"/>
      <c r="E1080" s="561"/>
    </row>
    <row r="1081" spans="1:5" x14ac:dyDescent="0.2">
      <c r="A1081" s="560"/>
      <c r="B1081" s="560"/>
      <c r="C1081" s="560"/>
      <c r="D1081" s="569"/>
      <c r="E1081" s="561"/>
    </row>
    <row r="1082" spans="1:5" x14ac:dyDescent="0.2">
      <c r="A1082" s="563" t="s">
        <v>1085</v>
      </c>
      <c r="B1082" s="563"/>
      <c r="C1082" s="563"/>
      <c r="D1082" s="563"/>
      <c r="E1082" s="565">
        <f>(E1076-E1077-E1078)+(E1079+E1080+E1081)</f>
        <v>0</v>
      </c>
    </row>
    <row r="1083" spans="1:5" x14ac:dyDescent="0.2">
      <c r="A1083" s="560"/>
      <c r="B1083" s="560"/>
      <c r="C1083" s="560"/>
      <c r="D1083" s="569"/>
      <c r="E1083" s="561"/>
    </row>
    <row r="1084" spans="1:5" x14ac:dyDescent="0.2">
      <c r="A1084" s="560"/>
      <c r="B1084" s="560"/>
      <c r="C1084" s="560"/>
      <c r="D1084" s="569"/>
      <c r="E1084" s="561"/>
    </row>
    <row r="1085" spans="1:5" x14ac:dyDescent="0.2">
      <c r="A1085" s="560"/>
      <c r="B1085" s="560"/>
      <c r="C1085" s="560"/>
      <c r="D1085" s="569"/>
      <c r="E1085" s="561"/>
    </row>
    <row r="1086" spans="1:5" x14ac:dyDescent="0.2">
      <c r="A1086" s="562"/>
      <c r="B1086" s="560"/>
      <c r="C1086" s="560"/>
      <c r="D1086" s="569"/>
      <c r="E1086" s="561"/>
    </row>
    <row r="1087" spans="1:5" x14ac:dyDescent="0.2">
      <c r="A1087" s="560"/>
      <c r="B1087" s="560"/>
      <c r="C1087" s="560"/>
      <c r="D1087" s="569"/>
      <c r="E1087" s="561"/>
    </row>
    <row r="1088" spans="1:5" x14ac:dyDescent="0.2">
      <c r="A1088" s="560"/>
      <c r="B1088" s="560"/>
      <c r="C1088" s="560"/>
      <c r="D1088" s="569"/>
      <c r="E1088" s="561"/>
    </row>
    <row r="1089" spans="1:5" x14ac:dyDescent="0.2">
      <c r="A1089" s="563"/>
      <c r="B1089" s="563"/>
      <c r="C1089" s="563"/>
      <c r="D1089" s="563"/>
      <c r="E1089" s="565"/>
    </row>
    <row r="1090" spans="1:5" x14ac:dyDescent="0.2">
      <c r="A1090" s="560"/>
      <c r="B1090" s="560"/>
      <c r="C1090" s="560"/>
      <c r="D1090" s="569"/>
      <c r="E1090" s="561"/>
    </row>
    <row r="1091" spans="1:5" x14ac:dyDescent="0.2">
      <c r="A1091" s="560"/>
      <c r="B1091" s="560"/>
      <c r="C1091" s="560"/>
      <c r="D1091" s="569"/>
      <c r="E1091" s="561"/>
    </row>
    <row r="1092" spans="1:5" x14ac:dyDescent="0.2">
      <c r="A1092" s="560"/>
      <c r="B1092" s="560"/>
      <c r="C1092" s="560"/>
      <c r="D1092" s="569"/>
      <c r="E1092" s="561"/>
    </row>
    <row r="1093" spans="1:5" x14ac:dyDescent="0.2">
      <c r="A1093" s="562"/>
      <c r="B1093" s="560"/>
      <c r="C1093" s="560"/>
      <c r="D1093" s="569"/>
      <c r="E1093" s="561"/>
    </row>
    <row r="1094" spans="1:5" x14ac:dyDescent="0.2">
      <c r="A1094" s="560"/>
      <c r="B1094" s="560"/>
      <c r="C1094" s="560"/>
      <c r="D1094" s="569"/>
      <c r="E1094" s="561"/>
    </row>
    <row r="1095" spans="1:5" x14ac:dyDescent="0.2">
      <c r="A1095" s="560"/>
      <c r="B1095" s="560"/>
      <c r="C1095" s="560"/>
      <c r="D1095" s="569"/>
      <c r="E1095" s="561"/>
    </row>
    <row r="1096" spans="1:5" x14ac:dyDescent="0.2">
      <c r="A1096" s="563"/>
      <c r="B1096" s="563"/>
      <c r="C1096" s="563"/>
      <c r="D1096" s="563"/>
      <c r="E1096" s="565"/>
    </row>
    <row r="1097" spans="1:5" x14ac:dyDescent="0.2">
      <c r="A1097" s="560"/>
      <c r="B1097" s="560"/>
      <c r="C1097" s="560"/>
      <c r="D1097" s="569"/>
      <c r="E1097" s="561"/>
    </row>
    <row r="1098" spans="1:5" x14ac:dyDescent="0.2">
      <c r="A1098" s="560"/>
      <c r="B1098" s="560"/>
      <c r="C1098" s="560"/>
      <c r="D1098" s="569"/>
      <c r="E1098" s="561"/>
    </row>
    <row r="1099" spans="1:5" x14ac:dyDescent="0.2">
      <c r="A1099" s="560"/>
      <c r="B1099" s="560"/>
      <c r="C1099" s="560"/>
      <c r="D1099" s="569"/>
      <c r="E1099" s="561"/>
    </row>
    <row r="1100" spans="1:5" x14ac:dyDescent="0.2">
      <c r="A1100" s="562"/>
      <c r="B1100" s="560"/>
      <c r="C1100" s="560"/>
      <c r="D1100" s="569"/>
      <c r="E1100" s="561"/>
    </row>
    <row r="1101" spans="1:5" x14ac:dyDescent="0.2">
      <c r="A1101" s="560"/>
      <c r="B1101" s="560"/>
      <c r="C1101" s="560"/>
      <c r="D1101" s="569"/>
      <c r="E1101" s="561"/>
    </row>
    <row r="1102" spans="1:5" x14ac:dyDescent="0.2">
      <c r="A1102" s="560"/>
      <c r="B1102" s="560"/>
      <c r="C1102" s="560"/>
      <c r="D1102" s="569"/>
      <c r="E1102" s="561"/>
    </row>
    <row r="1103" spans="1:5" x14ac:dyDescent="0.2">
      <c r="A1103" s="563"/>
      <c r="B1103" s="563"/>
      <c r="C1103" s="563"/>
      <c r="D1103" s="563"/>
      <c r="E1103" s="565"/>
    </row>
    <row r="1104" spans="1:5" x14ac:dyDescent="0.2">
      <c r="A1104" s="563"/>
      <c r="B1104" s="563"/>
      <c r="C1104" s="563"/>
      <c r="D1104" s="563"/>
      <c r="E1104" s="565"/>
    </row>
    <row r="1105" spans="1:5" x14ac:dyDescent="0.2">
      <c r="A1105" s="560" t="s">
        <v>1021</v>
      </c>
      <c r="B1105" s="560" t="s">
        <v>1005</v>
      </c>
      <c r="C1105" s="569">
        <v>2500</v>
      </c>
      <c r="D1105" s="560">
        <v>6850</v>
      </c>
      <c r="E1105" s="561">
        <f>SUMIFS('Accounting data'!$G$2:$G$37000,'Accounting data'!$H$2:$H$37000,"11*",'Accounting data'!$J$2:$J$37000,"25*",'Accounting data'!$K$2:$K$37000,"685*")+SUMIFS('Accounting data'!$G$2:$G$37000,'Accounting data'!$H$2:$H$37000,"12*",'Accounting data'!$J$2:$J$37000,"25*",'Accounting data'!$K$2:$K$37000,"685*")+SUMIFS('Accounting data'!$G$2:$G$37000,'Accounting data'!$H$2:$H$37000,"13*",'Accounting data'!$J$2:$J$37000,"25*",'Accounting data'!$K$2:$K$37000,"685*")</f>
        <v>0</v>
      </c>
    </row>
    <row r="1106" spans="1:5" x14ac:dyDescent="0.2">
      <c r="A1106" s="560" t="s">
        <v>1021</v>
      </c>
      <c r="B1106" s="562">
        <v>700</v>
      </c>
      <c r="C1106" s="560">
        <v>2500</v>
      </c>
      <c r="D1106" s="560">
        <v>6850</v>
      </c>
      <c r="E1106" s="561">
        <f>SUMIFS('Accounting data'!$G$2:$G$37000,'Accounting data'!$H$2:$H$37000,"11*",'Accounting data'!$I$2:$I$37000,"7*",'Accounting data'!$J$2:$J$37000,"25*",'Accounting data'!$K$2:$K$37000,"685*")+SUMIFS('Accounting data'!$G$2:$G$37000,'Accounting data'!$H$2:$H$37000,"12*",'Accounting data'!$I$2:$I$37000,"7*",'Accounting data'!$J$2:$J$37000,"25*",'Accounting data'!$K$2:$K$37000,"685*")+SUMIFS('Accounting data'!$G$2:$G$37000,'Accounting data'!$H$2:$H$37000,"13*",'Accounting data'!$I$2:$I$37000,"7*",'Accounting data'!$J$2:$J$37000,"25*",'Accounting data'!$K$2:$K$37000,"685*")</f>
        <v>0</v>
      </c>
    </row>
    <row r="1107" spans="1:5" x14ac:dyDescent="0.2">
      <c r="A1107" s="560" t="s">
        <v>1021</v>
      </c>
      <c r="B1107" s="562">
        <v>800</v>
      </c>
      <c r="C1107" s="560">
        <v>2500</v>
      </c>
      <c r="D1107" s="560">
        <v>6850</v>
      </c>
      <c r="E1107" s="561">
        <f>SUMIFS('Accounting data'!$G$2:$G$37000,'Accounting data'!$H$2:$H$37000,"11*",'Accounting data'!$I$2:$I$37000,"8*",'Accounting data'!$J$2:$J$37000,"25*",'Accounting data'!$K$2:$K$37000,"685*")+SUMIFS('Accounting data'!$G$2:$G$37000,'Accounting data'!$H$2:$H$37000,"12*",'Accounting data'!$I$2:$I$37000,"8*",'Accounting data'!$J$2:$J$37000,"25*",'Accounting data'!$K$2:$K$37000,"685*")+SUMIFS('Accounting data'!$G$2:$G$37000,'Accounting data'!$H$2:$H$37000,"13*",'Accounting data'!$I$2:$I$37000,"8*",'Accounting data'!$J$2:$J$37000,"25*",'Accounting data'!$K$2:$K$37000,"685*")</f>
        <v>0</v>
      </c>
    </row>
    <row r="1108" spans="1:5" x14ac:dyDescent="0.2">
      <c r="A1108" s="560" t="s">
        <v>1021</v>
      </c>
      <c r="B1108" s="562">
        <v>900</v>
      </c>
      <c r="C1108" s="560">
        <v>2500</v>
      </c>
      <c r="D1108" s="560">
        <v>6850</v>
      </c>
      <c r="E1108" s="561">
        <f>SUMIFS('Accounting data'!$G$2:$G$37000,'Accounting data'!$H$2:$H$37000,"11*",'Accounting data'!$I$2:$I$37000,"9*",'Accounting data'!$J$2:$J$37000,"25*",'Accounting data'!$K$2:$K$37000,"685*")+SUMIFS('Accounting data'!$G$2:$G$37000,'Accounting data'!$H$2:$H$37000,"12*",'Accounting data'!$I$2:$I$37000,"9*",'Accounting data'!$J$2:$J$37000,"25*",'Accounting data'!$K$2:$K$37000,"685*")+SUMIFS('Accounting data'!$G$2:$G$37000,'Accounting data'!$H$2:$H$37000,"13*",'Accounting data'!$I$2:$I$37000,"9*",'Accounting data'!$J$2:$J$37000,"25*",'Accounting data'!$K$2:$K$37000,"685*")</f>
        <v>0</v>
      </c>
    </row>
    <row r="1109" spans="1:5" x14ac:dyDescent="0.2">
      <c r="A1109" s="563" t="s">
        <v>1086</v>
      </c>
      <c r="B1109" s="563"/>
      <c r="C1109" s="563"/>
      <c r="D1109" s="563"/>
      <c r="E1109" s="565">
        <f>E1105-(E1106+E1107+E1108)</f>
        <v>0</v>
      </c>
    </row>
    <row r="1110" spans="1:5" x14ac:dyDescent="0.2">
      <c r="A1110" s="560" t="s">
        <v>1005</v>
      </c>
      <c r="B1110" s="560" t="s">
        <v>1005</v>
      </c>
      <c r="C1110" s="560">
        <v>1000</v>
      </c>
      <c r="D1110" s="569">
        <v>6890</v>
      </c>
      <c r="E1110" s="561">
        <f>SUMIFS('Accounting data'!$G$2:$G$37000,'Accounting data'!$J$2:$J$37000,"1*",'Accounting data'!$K$2:$K$37000,"689*")</f>
        <v>95</v>
      </c>
    </row>
    <row r="1111" spans="1:5" x14ac:dyDescent="0.2">
      <c r="A1111" s="560" t="s">
        <v>1006</v>
      </c>
      <c r="B1111" s="560" t="s">
        <v>1005</v>
      </c>
      <c r="C1111" s="560">
        <v>1000</v>
      </c>
      <c r="D1111" s="569">
        <v>6890</v>
      </c>
      <c r="E1111" s="561">
        <f>SUMIFS('Accounting data'!$G$2:$G$37000,'Accounting data'!$H$2:$H$37000,"9999*",'Accounting data'!$J$2:$J$37000,"1*",'Accounting data'!$K$2:$K$37000,"689*")</f>
        <v>0</v>
      </c>
    </row>
    <row r="1112" spans="1:5" x14ac:dyDescent="0.2">
      <c r="A1112" s="560" t="s">
        <v>1005</v>
      </c>
      <c r="B1112" s="560" t="s">
        <v>1007</v>
      </c>
      <c r="C1112" s="560">
        <v>1000</v>
      </c>
      <c r="D1112" s="569">
        <v>6890</v>
      </c>
      <c r="E1112" s="561">
        <f>SUMIFS('Accounting data'!$G$2:$G$37000,'Accounting data'!$I$2:$I$37000,"7*",'Accounting data'!$J$2:$J$37000,"1*",'Accounting data'!$K$2:$K$37000,"689*")+SUMIFS('Accounting data'!$G$2:$G$37000,'Accounting data'!$I$2:$I$37000,"8*",'Accounting data'!$J$2:$J$37000,"1*",'Accounting data'!$K$2:$K$37000,"689*")+SUMIFS('Accounting data'!$G$2:$G$37000,'Accounting data'!$I$2:$I$37000,"9*",'Accounting data'!$J$2:$J$37000,"1*",'Accounting data'!$K$2:$K$37000,"689*")</f>
        <v>0</v>
      </c>
    </row>
    <row r="1113" spans="1:5" x14ac:dyDescent="0.2">
      <c r="A1113" s="562" t="s">
        <v>1006</v>
      </c>
      <c r="B1113" s="560" t="s">
        <v>1007</v>
      </c>
      <c r="C1113" s="560">
        <v>1000</v>
      </c>
      <c r="D1113" s="569">
        <v>6890</v>
      </c>
      <c r="E1113" s="561">
        <f>SUMIFS('Accounting data'!$G$2:$G$37000,'Accounting data'!$H$2:$H$37000,"9999*",'Accounting data'!$I$2:$I$37000,"7*",'Accounting data'!$J$2:$J$37000,"1*",'Accounting data'!$K$2:$K$37000,"689*")+SUMIFS('Accounting data'!$G$2:$G$37000,'Accounting data'!$H$2:$H$37000,"9999*",'Accounting data'!$I$2:$I$37000,"8*",'Accounting data'!$J$2:$J$37000,"1*",'Accounting data'!$K$2:$K$37000,"689*")+SUMIFS('Accounting data'!$G$2:$G$37000,'Accounting data'!$H$2:$H$37000,"9999*",'Accounting data'!$I$2:$I$37000,"9*",'Accounting data'!$J$2:$J$37000,"1*",'Accounting data'!$K$2:$K$37000,"689*")</f>
        <v>0</v>
      </c>
    </row>
    <row r="1114" spans="1:5" x14ac:dyDescent="0.2">
      <c r="A1114" s="560"/>
      <c r="B1114" s="560"/>
      <c r="C1114" s="560"/>
      <c r="D1114" s="569"/>
      <c r="E1114" s="561"/>
    </row>
    <row r="1115" spans="1:5" x14ac:dyDescent="0.2">
      <c r="A1115" s="560"/>
      <c r="B1115" s="560"/>
      <c r="C1115" s="560"/>
      <c r="D1115" s="569"/>
      <c r="E1115" s="561"/>
    </row>
    <row r="1116" spans="1:5" x14ac:dyDescent="0.2">
      <c r="A1116" s="563" t="s">
        <v>1087</v>
      </c>
      <c r="B1116" s="563"/>
      <c r="C1116" s="563"/>
      <c r="D1116" s="563"/>
      <c r="E1116" s="565">
        <f>(E1110-E1111-E1112)+(E1113+E1114+E1115)</f>
        <v>95</v>
      </c>
    </row>
    <row r="1117" spans="1:5" x14ac:dyDescent="0.2">
      <c r="A1117" s="560" t="s">
        <v>1005</v>
      </c>
      <c r="B1117" s="560" t="s">
        <v>1005</v>
      </c>
      <c r="C1117" s="560">
        <v>2100</v>
      </c>
      <c r="D1117" s="569">
        <v>6890</v>
      </c>
      <c r="E1117" s="561">
        <f>SUMIFS('Accounting data'!$G$2:$G$37000,'Accounting data'!$J$2:$J$37000,"21*",'Accounting data'!$K$2:$K$37000,"689*")</f>
        <v>0</v>
      </c>
    </row>
    <row r="1118" spans="1:5" x14ac:dyDescent="0.2">
      <c r="A1118" s="560" t="s">
        <v>1006</v>
      </c>
      <c r="B1118" s="560" t="s">
        <v>1005</v>
      </c>
      <c r="C1118" s="560">
        <v>2100</v>
      </c>
      <c r="D1118" s="569">
        <v>6890</v>
      </c>
      <c r="E1118" s="561">
        <f>SUMIFS('Accounting data'!$G$2:$G$37000,'Accounting data'!$H$2:$H$37000,"9999*",'Accounting data'!$J$2:$J$37000,"21*",'Accounting data'!$K$2:$K$37000,"689*")</f>
        <v>0</v>
      </c>
    </row>
    <row r="1119" spans="1:5" x14ac:dyDescent="0.2">
      <c r="A1119" s="560" t="s">
        <v>1005</v>
      </c>
      <c r="B1119" s="560" t="s">
        <v>1007</v>
      </c>
      <c r="C1119" s="560">
        <v>2100</v>
      </c>
      <c r="D1119" s="569">
        <v>6890</v>
      </c>
      <c r="E1119" s="561">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0" spans="1:5" x14ac:dyDescent="0.2">
      <c r="A1120" s="562" t="s">
        <v>1006</v>
      </c>
      <c r="B1120" s="560" t="s">
        <v>1007</v>
      </c>
      <c r="C1120" s="560">
        <v>2100</v>
      </c>
      <c r="D1120" s="569">
        <v>6890</v>
      </c>
      <c r="E1120" s="561">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1" spans="1:5" x14ac:dyDescent="0.2">
      <c r="A1121" s="560"/>
      <c r="B1121" s="560"/>
      <c r="C1121" s="560"/>
      <c r="D1121" s="569"/>
      <c r="E1121" s="561"/>
    </row>
    <row r="1122" spans="1:5" x14ac:dyDescent="0.2">
      <c r="A1122" s="560"/>
      <c r="B1122" s="560"/>
      <c r="C1122" s="560"/>
      <c r="D1122" s="569"/>
      <c r="E1122" s="561"/>
    </row>
    <row r="1123" spans="1:5" x14ac:dyDescent="0.2">
      <c r="A1123" s="563" t="s">
        <v>1088</v>
      </c>
      <c r="B1123" s="563"/>
      <c r="C1123" s="563"/>
      <c r="D1123" s="563"/>
      <c r="E1123" s="565">
        <f>(E1117-E1118-E1119)+(E1120+E1121+E1122)</f>
        <v>0</v>
      </c>
    </row>
    <row r="1124" spans="1:5" x14ac:dyDescent="0.2">
      <c r="A1124" s="560" t="s">
        <v>1005</v>
      </c>
      <c r="B1124" s="560" t="s">
        <v>1005</v>
      </c>
      <c r="C1124" s="560">
        <v>2200</v>
      </c>
      <c r="D1124" s="569">
        <v>6890</v>
      </c>
      <c r="E1124" s="561">
        <f>SUMIFS('Accounting data'!$G$2:$G$37000,'Accounting data'!$J$2:$J$37000,"22*",'Accounting data'!$K$2:$K$37000,"689*")</f>
        <v>0</v>
      </c>
    </row>
    <row r="1125" spans="1:5" x14ac:dyDescent="0.2">
      <c r="A1125" s="560" t="s">
        <v>1006</v>
      </c>
      <c r="B1125" s="560" t="s">
        <v>1005</v>
      </c>
      <c r="C1125" s="560">
        <v>2200</v>
      </c>
      <c r="D1125" s="569">
        <v>6890</v>
      </c>
      <c r="E1125" s="561">
        <f>SUMIFS('Accounting data'!$G$2:$G$37000,'Accounting data'!$H$2:$H$37000,"9999*",'Accounting data'!$J$2:$J$37000,"22*",'Accounting data'!$K$2:$K$37000,"689*")</f>
        <v>0</v>
      </c>
    </row>
    <row r="1126" spans="1:5" x14ac:dyDescent="0.2">
      <c r="A1126" s="560" t="s">
        <v>1005</v>
      </c>
      <c r="B1126" s="560" t="s">
        <v>1007</v>
      </c>
      <c r="C1126" s="560">
        <v>2200</v>
      </c>
      <c r="D1126" s="569">
        <v>6890</v>
      </c>
      <c r="E1126" s="561">
        <f>SUMIFS('Accounting data'!$G$2:$G$37000,'Accounting data'!$I$2:$I$37000,"7*",'Accounting data'!$J$2:$J$37000,"22*",'Accounting data'!$K$2:$K$37000,"689*")+SUMIFS('Accounting data'!$G$2:$G$37000,'Accounting data'!$I$2:$I$37000,"8*",'Accounting data'!$J$2:$J$37000,"22*",'Accounting data'!$K$2:$K$37000,"689*")+SUMIFS('Accounting data'!$G$2:$G$37000,'Accounting data'!$I$2:$I$37000,"9*",'Accounting data'!$J$2:$J$37000,"22*",'Accounting data'!$K$2:$K$37000,"689*")</f>
        <v>0</v>
      </c>
    </row>
    <row r="1127" spans="1:5" x14ac:dyDescent="0.2">
      <c r="A1127" s="562" t="s">
        <v>1006</v>
      </c>
      <c r="B1127" s="560" t="s">
        <v>1007</v>
      </c>
      <c r="C1127" s="560">
        <v>2200</v>
      </c>
      <c r="D1127" s="569">
        <v>6890</v>
      </c>
      <c r="E1127" s="561">
        <f>SUMIFS('Accounting data'!$G$2:$G$37000,'Accounting data'!$H$2:$H$37000,"9999*",'Accounting data'!$I$2:$I$37000,"7*",'Accounting data'!$J$2:$J$37000,"22*",'Accounting data'!$K$2:$K$37000,"689*")+SUMIFS('Accounting data'!$G$2:$G$37000,'Accounting data'!$H$2:$H$37000,"9999*",'Accounting data'!$I$2:$I$37000,"8*",'Accounting data'!$J$2:$J$37000,"22*",'Accounting data'!$K$2:$K$37000,"689*")+SUMIFS('Accounting data'!$G$2:$G$37000,'Accounting data'!$H$2:$H$37000,"9999*",'Accounting data'!$I$2:$I$37000,"9*",'Accounting data'!$J$2:$J$37000,"22*",'Accounting data'!$K$2:$K$37000,"689*")</f>
        <v>0</v>
      </c>
    </row>
    <row r="1128" spans="1:5" x14ac:dyDescent="0.2">
      <c r="A1128" s="560"/>
      <c r="B1128" s="560"/>
      <c r="C1128" s="560"/>
      <c r="D1128" s="569"/>
      <c r="E1128" s="561"/>
    </row>
    <row r="1129" spans="1:5" x14ac:dyDescent="0.2">
      <c r="A1129" s="560"/>
      <c r="B1129" s="560"/>
      <c r="C1129" s="560"/>
      <c r="D1129" s="569"/>
      <c r="E1129" s="561"/>
    </row>
    <row r="1130" spans="1:5" x14ac:dyDescent="0.2">
      <c r="A1130" s="563" t="s">
        <v>1089</v>
      </c>
      <c r="B1130" s="563"/>
      <c r="C1130" s="563"/>
      <c r="D1130" s="563"/>
      <c r="E1130" s="565">
        <f>(E1124-E1125-E1126)+(E1127+E1128+E1129)</f>
        <v>0</v>
      </c>
    </row>
    <row r="1131" spans="1:5" x14ac:dyDescent="0.2">
      <c r="A1131" s="560" t="s">
        <v>1005</v>
      </c>
      <c r="B1131" s="560" t="s">
        <v>1005</v>
      </c>
      <c r="C1131" s="560">
        <v>2300</v>
      </c>
      <c r="D1131" s="569">
        <v>6890</v>
      </c>
      <c r="E1131" s="561">
        <f>SUMIFS('Accounting data'!$G$2:$G$37000,'Accounting data'!$J$2:$J$37000,"23*",'Accounting data'!$K$2:$K$37000,"689*")</f>
        <v>0</v>
      </c>
    </row>
    <row r="1132" spans="1:5" x14ac:dyDescent="0.2">
      <c r="A1132" s="560" t="s">
        <v>1006</v>
      </c>
      <c r="B1132" s="560" t="s">
        <v>1005</v>
      </c>
      <c r="C1132" s="560">
        <v>2300</v>
      </c>
      <c r="D1132" s="569">
        <v>6890</v>
      </c>
      <c r="E1132" s="561">
        <f>SUMIFS('Accounting data'!$G$2:$G$37000,'Accounting data'!$H$2:$H$37000,"9999*",'Accounting data'!$J$2:$J$37000,"23*",'Accounting data'!$K$2:$K$37000,"689*")</f>
        <v>0</v>
      </c>
    </row>
    <row r="1133" spans="1:5" x14ac:dyDescent="0.2">
      <c r="A1133" s="560" t="s">
        <v>1005</v>
      </c>
      <c r="B1133" s="560" t="s">
        <v>1007</v>
      </c>
      <c r="C1133" s="560">
        <v>2300</v>
      </c>
      <c r="D1133" s="569">
        <v>6890</v>
      </c>
      <c r="E1133" s="561">
        <f>SUMIFS('Accounting data'!$G$2:$G$37000,'Accounting data'!$I$2:$I$37000,"7*",'Accounting data'!$J$2:$J$37000,"23*",'Accounting data'!$K$2:$K$37000,"689*")+SUMIFS('Accounting data'!$G$2:$G$37000,'Accounting data'!$I$2:$I$37000,"8*",'Accounting data'!$J$2:$J$37000,"23*",'Accounting data'!$K$2:$K$37000,"689*")+SUMIFS('Accounting data'!$G$2:$G$37000,'Accounting data'!$I$2:$I$37000,"9*",'Accounting data'!$J$2:$J$37000,"23*",'Accounting data'!$K$2:$K$37000,"689*")</f>
        <v>0</v>
      </c>
    </row>
    <row r="1134" spans="1:5" x14ac:dyDescent="0.2">
      <c r="A1134" s="562" t="s">
        <v>1006</v>
      </c>
      <c r="B1134" s="560" t="s">
        <v>1007</v>
      </c>
      <c r="C1134" s="560">
        <v>2300</v>
      </c>
      <c r="D1134" s="569">
        <v>6890</v>
      </c>
      <c r="E1134" s="561">
        <f>SUMIFS('Accounting data'!$G$2:$G$37000,'Accounting data'!$H$2:$H$37000,"9999*",'Accounting data'!$I$2:$I$37000,"7*",'Accounting data'!$J$2:$J$37000,"23*",'Accounting data'!$K$2:$K$37000,"689*")+SUMIFS('Accounting data'!$G$2:$G$37000,'Accounting data'!$H$2:$H$37000,"9999*",'Accounting data'!$I$2:$I$37000,"8*",'Accounting data'!$J$2:$J$37000,"23*",'Accounting data'!$K$2:$K$37000,"689*")+SUMIFS('Accounting data'!$G$2:$G$37000,'Accounting data'!$H$2:$H$37000,"9999*",'Accounting data'!$I$2:$I$37000,"9*",'Accounting data'!$J$2:$J$37000,"23*",'Accounting data'!$K$2:$K$37000,"689*")</f>
        <v>0</v>
      </c>
    </row>
    <row r="1135" spans="1:5" x14ac:dyDescent="0.2">
      <c r="A1135" s="560"/>
      <c r="B1135" s="560"/>
      <c r="C1135" s="560"/>
      <c r="D1135" s="569"/>
      <c r="E1135" s="561"/>
    </row>
    <row r="1136" spans="1:5" x14ac:dyDescent="0.2">
      <c r="A1136" s="560"/>
      <c r="B1136" s="560"/>
      <c r="C1136" s="560"/>
      <c r="D1136" s="569"/>
      <c r="E1136" s="561"/>
    </row>
    <row r="1137" spans="1:5" x14ac:dyDescent="0.2">
      <c r="A1137" s="563" t="s">
        <v>1090</v>
      </c>
      <c r="B1137" s="563"/>
      <c r="C1137" s="563"/>
      <c r="D1137" s="563"/>
      <c r="E1137" s="565">
        <f>(E1131-E1132-E1133)+(E1134+E1135+E1136)</f>
        <v>0</v>
      </c>
    </row>
    <row r="1138" spans="1:5" x14ac:dyDescent="0.2">
      <c r="A1138" s="560" t="s">
        <v>1005</v>
      </c>
      <c r="B1138" s="560" t="s">
        <v>1005</v>
      </c>
      <c r="C1138" s="560">
        <v>2400</v>
      </c>
      <c r="D1138" s="569">
        <v>6890</v>
      </c>
      <c r="E1138" s="561">
        <f>SUMIFS('Accounting data'!$G$2:$G$37000,'Accounting data'!$J$2:$J$37000,"24*",'Accounting data'!$K$2:$K$37000,"689*")</f>
        <v>0</v>
      </c>
    </row>
    <row r="1139" spans="1:5" x14ac:dyDescent="0.2">
      <c r="A1139" s="560" t="s">
        <v>1006</v>
      </c>
      <c r="B1139" s="560" t="s">
        <v>1005</v>
      </c>
      <c r="C1139" s="560">
        <v>2400</v>
      </c>
      <c r="D1139" s="569">
        <v>6890</v>
      </c>
      <c r="E1139" s="561">
        <f>SUMIFS('Accounting data'!$G$2:$G$37000,'Accounting data'!$H$2:$H$37000,"9999*",'Accounting data'!$J$2:$J$37000,"24*",'Accounting data'!$K$2:$K$37000,"689*")</f>
        <v>0</v>
      </c>
    </row>
    <row r="1140" spans="1:5" x14ac:dyDescent="0.2">
      <c r="A1140" s="560" t="s">
        <v>1005</v>
      </c>
      <c r="B1140" s="560" t="s">
        <v>1007</v>
      </c>
      <c r="C1140" s="560">
        <v>2400</v>
      </c>
      <c r="D1140" s="569">
        <v>6890</v>
      </c>
      <c r="E1140" s="561">
        <f>SUMIFS('Accounting data'!$G$2:$G$37000,'Accounting data'!$I$2:$I$37000,"7*",'Accounting data'!$J$2:$J$37000,"24*",'Accounting data'!$K$2:$K$37000,"689*")+SUMIFS('Accounting data'!$G$2:$G$37000,'Accounting data'!$I$2:$I$37000,"8*",'Accounting data'!$J$2:$J$37000,"24*",'Accounting data'!$K$2:$K$37000,"689*")+SUMIFS('Accounting data'!$G$2:$G$37000,'Accounting data'!$I$2:$I$37000,"9*",'Accounting data'!$J$2:$J$37000,"24*",'Accounting data'!$K$2:$K$37000,"689*")</f>
        <v>0</v>
      </c>
    </row>
    <row r="1141" spans="1:5" x14ac:dyDescent="0.2">
      <c r="A1141" s="562" t="s">
        <v>1006</v>
      </c>
      <c r="B1141" s="560" t="s">
        <v>1007</v>
      </c>
      <c r="C1141" s="560">
        <v>2400</v>
      </c>
      <c r="D1141" s="569">
        <v>6890</v>
      </c>
      <c r="E1141" s="561">
        <f>SUMIFS('Accounting data'!$G$2:$G$37000,'Accounting data'!$H$2:$H$37000,"9999*",'Accounting data'!$I$2:$I$37000,"7*",'Accounting data'!$J$2:$J$37000,"24*",'Accounting data'!$K$2:$K$37000,"689*")+SUMIFS('Accounting data'!$G$2:$G$37000,'Accounting data'!$H$2:$H$37000,"9999*",'Accounting data'!$I$2:$I$37000,"8*",'Accounting data'!$J$2:$J$37000,"24*",'Accounting data'!$K$2:$K$37000,"689*")+SUMIFS('Accounting data'!$G$2:$G$37000,'Accounting data'!$H$2:$H$37000,"9999*",'Accounting data'!$I$2:$I$37000,"9*",'Accounting data'!$J$2:$J$37000,"24*",'Accounting data'!$K$2:$K$37000,"689*")</f>
        <v>0</v>
      </c>
    </row>
    <row r="1142" spans="1:5" x14ac:dyDescent="0.2">
      <c r="A1142" s="560"/>
      <c r="B1142" s="560"/>
      <c r="C1142" s="560"/>
      <c r="D1142" s="569"/>
      <c r="E1142" s="561"/>
    </row>
    <row r="1143" spans="1:5" x14ac:dyDescent="0.2">
      <c r="A1143" s="560"/>
      <c r="B1143" s="560"/>
      <c r="C1143" s="560"/>
      <c r="D1143" s="569"/>
      <c r="E1143" s="561"/>
    </row>
    <row r="1144" spans="1:5" x14ac:dyDescent="0.2">
      <c r="A1144" s="563" t="s">
        <v>1091</v>
      </c>
      <c r="B1144" s="563"/>
      <c r="C1144" s="563"/>
      <c r="D1144" s="563"/>
      <c r="E1144" s="565">
        <f>(E1138-E1139-E1140)+(E1141+E1142+E1143)</f>
        <v>0</v>
      </c>
    </row>
    <row r="1145" spans="1:5" x14ac:dyDescent="0.2">
      <c r="A1145" s="560" t="s">
        <v>1005</v>
      </c>
      <c r="B1145" s="560" t="s">
        <v>1005</v>
      </c>
      <c r="C1145" s="560">
        <v>2500</v>
      </c>
      <c r="D1145" s="569">
        <v>6890</v>
      </c>
      <c r="E1145" s="561">
        <f>SUMIFS('Accounting data'!$G$2:$G$37000,'Accounting data'!$J$2:$J$37000,"25*",'Accounting data'!$K$2:$K$37000,"689*")</f>
        <v>1431</v>
      </c>
    </row>
    <row r="1146" spans="1:5" x14ac:dyDescent="0.2">
      <c r="A1146" s="560" t="s">
        <v>1006</v>
      </c>
      <c r="B1146" s="560" t="s">
        <v>1005</v>
      </c>
      <c r="C1146" s="560">
        <v>2500</v>
      </c>
      <c r="D1146" s="569">
        <v>6890</v>
      </c>
      <c r="E1146" s="561">
        <f>SUMIFS('Accounting data'!$G$2:$G$37000,'Accounting data'!$H$2:$H$37000,"9999*",'Accounting data'!$J$2:$J$37000,"25*",'Accounting data'!$K$2:$K$37000,"689*")</f>
        <v>0</v>
      </c>
    </row>
    <row r="1147" spans="1:5" x14ac:dyDescent="0.2">
      <c r="A1147" s="560" t="s">
        <v>1005</v>
      </c>
      <c r="B1147" s="560" t="s">
        <v>1007</v>
      </c>
      <c r="C1147" s="560">
        <v>2500</v>
      </c>
      <c r="D1147" s="569">
        <v>6890</v>
      </c>
      <c r="E1147" s="561">
        <f>SUMIFS('Accounting data'!$G$2:$G$37000,'Accounting data'!$I$2:$I$37000,"7*",'Accounting data'!$J$2:$J$37000,"25*",'Accounting data'!$K$2:$K$37000,"689*")+SUMIFS('Accounting data'!$G$2:$G$37000,'Accounting data'!$I$2:$I$37000,"8*",'Accounting data'!$J$2:$J$37000,"25*",'Accounting data'!$K$2:$K$37000,"689*")+SUMIFS('Accounting data'!$G$2:$G$37000,'Accounting data'!$I$2:$I$37000,"9*",'Accounting data'!$J$2:$J$37000,"25*",'Accounting data'!$K$2:$K$37000,"689*")</f>
        <v>0</v>
      </c>
    </row>
    <row r="1148" spans="1:5" x14ac:dyDescent="0.2">
      <c r="A1148" s="562" t="s">
        <v>1006</v>
      </c>
      <c r="B1148" s="560" t="s">
        <v>1007</v>
      </c>
      <c r="C1148" s="560">
        <v>2500</v>
      </c>
      <c r="D1148" s="569">
        <v>6890</v>
      </c>
      <c r="E1148" s="561">
        <f>SUMIFS('Accounting data'!$G$2:$G$37000,'Accounting data'!$H$2:$H$37000,"9999*",'Accounting data'!$I$2:$I$37000,"7*",'Accounting data'!$J$2:$J$37000,"25*",'Accounting data'!$K$2:$K$37000,"689*")+SUMIFS('Accounting data'!$G$2:$G$37000,'Accounting data'!$H$2:$H$37000,"9999*",'Accounting data'!$I$2:$I$37000,"8*",'Accounting data'!$J$2:$J$37000,"25*",'Accounting data'!$K$2:$K$37000,"689*")+SUMIFS('Accounting data'!$G$2:$G$37000,'Accounting data'!$H$2:$H$37000,"9999*",'Accounting data'!$I$2:$I$37000,"9*",'Accounting data'!$J$2:$J$37000,"25*",'Accounting data'!$K$2:$K$37000,"689*")</f>
        <v>0</v>
      </c>
    </row>
    <row r="1149" spans="1:5" x14ac:dyDescent="0.2">
      <c r="A1149" s="560"/>
      <c r="B1149" s="560"/>
      <c r="C1149" s="560"/>
      <c r="D1149" s="569"/>
      <c r="E1149" s="561"/>
    </row>
    <row r="1150" spans="1:5" x14ac:dyDescent="0.2">
      <c r="A1150" s="560"/>
      <c r="B1150" s="560"/>
      <c r="C1150" s="560"/>
      <c r="D1150" s="569"/>
      <c r="E1150" s="561"/>
    </row>
    <row r="1151" spans="1:5" x14ac:dyDescent="0.2">
      <c r="A1151" s="563" t="s">
        <v>1092</v>
      </c>
      <c r="B1151" s="563"/>
      <c r="C1151" s="563"/>
      <c r="D1151" s="563"/>
      <c r="E1151" s="565">
        <f>(E1145-E1146-E1147)+(E1148+E1149+E1150)</f>
        <v>1431</v>
      </c>
    </row>
    <row r="1152" spans="1:5" x14ac:dyDescent="0.2">
      <c r="A1152" s="560" t="s">
        <v>1005</v>
      </c>
      <c r="B1152" s="560" t="s">
        <v>1005</v>
      </c>
      <c r="C1152" s="560">
        <v>2900</v>
      </c>
      <c r="D1152" s="569">
        <v>6890</v>
      </c>
      <c r="E1152" s="561">
        <f>SUMIFS('Accounting data'!$G$2:$G$37000,'Accounting data'!$J$2:$J$37000,"29*",'Accounting data'!$K$2:$K$37000,"689*")</f>
        <v>0</v>
      </c>
    </row>
    <row r="1153" spans="1:5" x14ac:dyDescent="0.2">
      <c r="A1153" s="560" t="s">
        <v>1006</v>
      </c>
      <c r="B1153" s="560" t="s">
        <v>1005</v>
      </c>
      <c r="C1153" s="560">
        <v>2900</v>
      </c>
      <c r="D1153" s="569">
        <v>6890</v>
      </c>
      <c r="E1153" s="561">
        <f>SUMIFS('Accounting data'!$G$2:$G$37000,'Accounting data'!$H$2:$H$37000,"9999*",'Accounting data'!$J$2:$J$37000,"29*",'Accounting data'!$K$2:$K$37000,"689*")</f>
        <v>0</v>
      </c>
    </row>
    <row r="1154" spans="1:5" x14ac:dyDescent="0.2">
      <c r="A1154" s="560" t="s">
        <v>1005</v>
      </c>
      <c r="B1154" s="560" t="s">
        <v>1007</v>
      </c>
      <c r="C1154" s="560">
        <v>2900</v>
      </c>
      <c r="D1154" s="569">
        <v>6890</v>
      </c>
      <c r="E1154" s="561">
        <f>SUMIFS('Accounting data'!$G$2:$G$37000,'Accounting data'!$I$2:$I$37000,"7*",'Accounting data'!$J$2:$J$37000,"29*",'Accounting data'!$K$2:$K$37000,"689*")+SUMIFS('Accounting data'!$G$2:$G$37000,'Accounting data'!$I$2:$I$37000,"8*",'Accounting data'!$J$2:$J$37000,"29*",'Accounting data'!$K$2:$K$37000,"689*")+SUMIFS('Accounting data'!$G$2:$G$37000,'Accounting data'!$I$2:$I$37000,"9*",'Accounting data'!$J$2:$J$37000,"29*",'Accounting data'!$K$2:$K$37000,"689*")</f>
        <v>0</v>
      </c>
    </row>
    <row r="1155" spans="1:5" x14ac:dyDescent="0.2">
      <c r="A1155" s="562" t="s">
        <v>1006</v>
      </c>
      <c r="B1155" s="560" t="s">
        <v>1007</v>
      </c>
      <c r="C1155" s="560">
        <v>2900</v>
      </c>
      <c r="D1155" s="569">
        <v>6890</v>
      </c>
      <c r="E1155" s="561">
        <f>SUMIFS('Accounting data'!$G$2:$G$37000,'Accounting data'!$H$2:$H$37000,"9999*",'Accounting data'!$I$2:$I$37000,"7*",'Accounting data'!$J$2:$J$37000,"29*",'Accounting data'!$K$2:$K$37000,"689*")+SUMIFS('Accounting data'!$G$2:$G$37000,'Accounting data'!$H$2:$H$37000,"9999*",'Accounting data'!$I$2:$I$37000,"8*",'Accounting data'!$J$2:$J$37000,"29*",'Accounting data'!$K$2:$K$37000,"689*")+SUMIFS('Accounting data'!$G$2:$G$37000,'Accounting data'!$H$2:$H$37000,"9999*",'Accounting data'!$I$2:$I$37000,"9*",'Accounting data'!$J$2:$J$37000,"29*",'Accounting data'!$K$2:$K$37000,"689*")</f>
        <v>0</v>
      </c>
    </row>
    <row r="1156" spans="1:5" x14ac:dyDescent="0.2">
      <c r="A1156" s="560"/>
      <c r="B1156" s="560"/>
      <c r="C1156" s="560"/>
      <c r="D1156" s="569"/>
      <c r="E1156" s="561"/>
    </row>
    <row r="1157" spans="1:5" x14ac:dyDescent="0.2">
      <c r="A1157" s="560"/>
      <c r="B1157" s="560"/>
      <c r="C1157" s="560"/>
      <c r="D1157" s="569"/>
      <c r="E1157" s="561"/>
    </row>
    <row r="1158" spans="1:5" x14ac:dyDescent="0.2">
      <c r="A1158" s="563" t="s">
        <v>1093</v>
      </c>
      <c r="B1158" s="563"/>
      <c r="C1158" s="563"/>
      <c r="D1158" s="563"/>
      <c r="E1158" s="565">
        <f>(E1152-E1153-E1154)+(E1155+E1156+E1157)</f>
        <v>0</v>
      </c>
    </row>
    <row r="1159" spans="1:5" x14ac:dyDescent="0.2">
      <c r="A1159" s="560" t="s">
        <v>1005</v>
      </c>
      <c r="B1159" s="560" t="s">
        <v>1005</v>
      </c>
      <c r="C1159" s="560">
        <v>2600</v>
      </c>
      <c r="D1159" s="569">
        <v>6890</v>
      </c>
      <c r="E1159" s="561">
        <f>SUMIFS('Accounting data'!$G$2:$G$37000,'Accounting data'!$J$2:$J$37000,"26*",'Accounting data'!$K$2:$K$37000,"689*")</f>
        <v>0</v>
      </c>
    </row>
    <row r="1160" spans="1:5" x14ac:dyDescent="0.2">
      <c r="A1160" s="560" t="s">
        <v>1006</v>
      </c>
      <c r="B1160" s="560" t="s">
        <v>1005</v>
      </c>
      <c r="C1160" s="560">
        <v>2600</v>
      </c>
      <c r="D1160" s="569">
        <v>6890</v>
      </c>
      <c r="E1160" s="561">
        <f>SUMIFS('Accounting data'!$G$2:$G$37000,'Accounting data'!$H$2:$H$37000,"9999*",'Accounting data'!$J$2:$J$37000,"26*",'Accounting data'!$K$2:$K$37000,"689*")</f>
        <v>0</v>
      </c>
    </row>
    <row r="1161" spans="1:5" x14ac:dyDescent="0.2">
      <c r="A1161" s="560" t="s">
        <v>1005</v>
      </c>
      <c r="B1161" s="560" t="s">
        <v>1007</v>
      </c>
      <c r="C1161" s="560">
        <v>2600</v>
      </c>
      <c r="D1161" s="569">
        <v>6890</v>
      </c>
      <c r="E1161" s="561">
        <f>SUMIFS('Accounting data'!$G$2:$G$37000,'Accounting data'!$I$2:$I$37000,"7*",'Accounting data'!$J$2:$J$37000,"26*",'Accounting data'!$K$2:$K$37000,"689*")+SUMIFS('Accounting data'!$G$2:$G$37000,'Accounting data'!$I$2:$I$37000,"8*",'Accounting data'!$J$2:$J$37000,"26*",'Accounting data'!$K$2:$K$37000,"689*")+SUMIFS('Accounting data'!$G$2:$G$37000,'Accounting data'!$I$2:$I$37000,"9*",'Accounting data'!$J$2:$J$37000,"26*",'Accounting data'!$K$2:$K$37000,"689*")</f>
        <v>0</v>
      </c>
    </row>
    <row r="1162" spans="1:5" x14ac:dyDescent="0.2">
      <c r="A1162" s="562" t="s">
        <v>1006</v>
      </c>
      <c r="B1162" s="560" t="s">
        <v>1007</v>
      </c>
      <c r="C1162" s="560">
        <v>2600</v>
      </c>
      <c r="D1162" s="569">
        <v>6890</v>
      </c>
      <c r="E1162" s="561">
        <f>SUMIFS('Accounting data'!$G$2:$G$37000,'Accounting data'!$H$2:$H$37000,"9999*",'Accounting data'!$I$2:$I$37000,"7*",'Accounting data'!$J$2:$J$37000,"26*",'Accounting data'!$K$2:$K$37000,"689*")+SUMIFS('Accounting data'!$G$2:$G$37000,'Accounting data'!$H$2:$H$37000,"9999*",'Accounting data'!$I$2:$I$37000,"8*",'Accounting data'!$J$2:$J$37000,"26*",'Accounting data'!$K$2:$K$37000,"689*")+SUMIFS('Accounting data'!$G$2:$G$37000,'Accounting data'!$H$2:$H$37000,"9999*",'Accounting data'!$I$2:$I$37000,"9*",'Accounting data'!$J$2:$J$37000,"26*",'Accounting data'!$K$2:$K$37000,"689*")</f>
        <v>0</v>
      </c>
    </row>
    <row r="1163" spans="1:5" x14ac:dyDescent="0.2">
      <c r="A1163" s="560"/>
      <c r="B1163" s="560"/>
      <c r="C1163" s="560"/>
      <c r="D1163" s="569"/>
      <c r="E1163" s="561"/>
    </row>
    <row r="1164" spans="1:5" x14ac:dyDescent="0.2">
      <c r="A1164" s="560"/>
      <c r="B1164" s="560"/>
      <c r="C1164" s="560"/>
      <c r="D1164" s="569"/>
      <c r="E1164" s="561"/>
    </row>
    <row r="1165" spans="1:5" x14ac:dyDescent="0.2">
      <c r="A1165" s="563" t="s">
        <v>1094</v>
      </c>
      <c r="B1165" s="563"/>
      <c r="C1165" s="563"/>
      <c r="D1165" s="563"/>
      <c r="E1165" s="565">
        <f>(E1159-E1160-E1161)+(E1162+E1163+E1164)</f>
        <v>0</v>
      </c>
    </row>
    <row r="1166" spans="1:5" x14ac:dyDescent="0.2">
      <c r="A1166" s="560" t="s">
        <v>1005</v>
      </c>
      <c r="B1166" s="560" t="s">
        <v>1005</v>
      </c>
      <c r="C1166" s="560">
        <v>2700</v>
      </c>
      <c r="D1166" s="569">
        <v>6890</v>
      </c>
      <c r="E1166" s="561">
        <f>SUMIFS('Accounting data'!$G$2:$G$37000,'Accounting data'!$J$2:$J$37000,"27*",'Accounting data'!$K$2:$K$37000,"689*")</f>
        <v>0</v>
      </c>
    </row>
    <row r="1167" spans="1:5" x14ac:dyDescent="0.2">
      <c r="A1167" s="560" t="s">
        <v>1006</v>
      </c>
      <c r="B1167" s="560" t="s">
        <v>1005</v>
      </c>
      <c r="C1167" s="560">
        <v>2700</v>
      </c>
      <c r="D1167" s="569">
        <v>6890</v>
      </c>
      <c r="E1167" s="561">
        <f>SUMIFS('Accounting data'!$G$2:$G$37000,'Accounting data'!$H$2:$H$37000,"9999*",'Accounting data'!$J$2:$J$37000,"27*",'Accounting data'!$K$2:$K$37000,"689*")</f>
        <v>0</v>
      </c>
    </row>
    <row r="1168" spans="1:5" x14ac:dyDescent="0.2">
      <c r="A1168" s="560" t="s">
        <v>1005</v>
      </c>
      <c r="B1168" s="560" t="s">
        <v>1007</v>
      </c>
      <c r="C1168" s="560">
        <v>2700</v>
      </c>
      <c r="D1168" s="569">
        <v>6890</v>
      </c>
      <c r="E1168" s="561">
        <f>SUMIFS('Accounting data'!$G$2:$G$37000,'Accounting data'!$I$2:$I$37000,"7*",'Accounting data'!$J$2:$J$37000,"27*",'Accounting data'!$K$2:$K$37000,"689*")+SUMIFS('Accounting data'!$G$2:$G$37000,'Accounting data'!$I$2:$I$37000,"8*",'Accounting data'!$J$2:$J$37000,"27*",'Accounting data'!$K$2:$K$37000,"689*")+SUMIFS('Accounting data'!$G$2:$G$37000,'Accounting data'!$I$2:$I$37000,"9*",'Accounting data'!$J$2:$J$37000,"27*",'Accounting data'!$K$2:$K$37000,"689*")</f>
        <v>0</v>
      </c>
    </row>
    <row r="1169" spans="1:5" x14ac:dyDescent="0.2">
      <c r="A1169" s="562" t="s">
        <v>1006</v>
      </c>
      <c r="B1169" s="560" t="s">
        <v>1007</v>
      </c>
      <c r="C1169" s="560">
        <v>2700</v>
      </c>
      <c r="D1169" s="569">
        <v>6890</v>
      </c>
      <c r="E1169" s="561">
        <f>SUMIFS('Accounting data'!$G$2:$G$37000,'Accounting data'!$H$2:$H$37000,"9999*",'Accounting data'!$I$2:$I$37000,"7*",'Accounting data'!$J$2:$J$37000,"27*",'Accounting data'!$K$2:$K$37000,"689*")+SUMIFS('Accounting data'!$G$2:$G$37000,'Accounting data'!$H$2:$H$37000,"9999*",'Accounting data'!$I$2:$I$37000,"8*",'Accounting data'!$J$2:$J$37000,"27*",'Accounting data'!$K$2:$K$37000,"689*")+SUMIFS('Accounting data'!$G$2:$G$37000,'Accounting data'!$H$2:$H$37000,"9999*",'Accounting data'!$I$2:$I$37000,"9*",'Accounting data'!$J$2:$J$37000,"27*",'Accounting data'!$K$2:$K$37000,"689*")</f>
        <v>0</v>
      </c>
    </row>
    <row r="1170" spans="1:5" x14ac:dyDescent="0.2">
      <c r="A1170" s="560"/>
      <c r="B1170" s="560"/>
      <c r="C1170" s="560"/>
      <c r="D1170" s="569"/>
      <c r="E1170" s="561"/>
    </row>
    <row r="1171" spans="1:5" x14ac:dyDescent="0.2">
      <c r="A1171" s="560"/>
      <c r="B1171" s="560"/>
      <c r="C1171" s="560"/>
      <c r="D1171" s="569"/>
      <c r="E1171" s="561"/>
    </row>
    <row r="1172" spans="1:5" x14ac:dyDescent="0.2">
      <c r="A1172" s="563" t="s">
        <v>1095</v>
      </c>
      <c r="B1172" s="563"/>
      <c r="C1172" s="563"/>
      <c r="D1172" s="563"/>
      <c r="E1172" s="565">
        <f>(E1166-E1167-E1168)+(E1169+E1170+E1171)</f>
        <v>0</v>
      </c>
    </row>
    <row r="1173" spans="1:5" x14ac:dyDescent="0.2">
      <c r="A1173" s="560" t="s">
        <v>1005</v>
      </c>
      <c r="B1173" s="560" t="s">
        <v>1005</v>
      </c>
      <c r="C1173" s="560">
        <v>3100</v>
      </c>
      <c r="D1173" s="569">
        <v>6890</v>
      </c>
      <c r="E1173" s="561">
        <f>SUMIFS('Accounting data'!$G$2:$G$37000,'Accounting data'!$J$2:$J$37000,"31*",'Accounting data'!$K$2:$K$37000,"689*")</f>
        <v>0</v>
      </c>
    </row>
    <row r="1174" spans="1:5" x14ac:dyDescent="0.2">
      <c r="A1174" s="560" t="s">
        <v>1006</v>
      </c>
      <c r="B1174" s="560" t="s">
        <v>1005</v>
      </c>
      <c r="C1174" s="560">
        <v>3100</v>
      </c>
      <c r="D1174" s="569">
        <v>6890</v>
      </c>
      <c r="E1174" s="561">
        <f>SUMIFS('Accounting data'!$G$2:$G$37000,'Accounting data'!$H$2:$H$37000,"9999*",'Accounting data'!$J$2:$J$37000,"31*",'Accounting data'!$K$2:$K$37000,"689*")</f>
        <v>0</v>
      </c>
    </row>
    <row r="1175" spans="1:5" x14ac:dyDescent="0.2">
      <c r="A1175" s="560" t="s">
        <v>1005</v>
      </c>
      <c r="B1175" s="560" t="s">
        <v>1007</v>
      </c>
      <c r="C1175" s="560">
        <v>3100</v>
      </c>
      <c r="D1175" s="569">
        <v>6890</v>
      </c>
      <c r="E1175" s="561">
        <f>SUMIFS('Accounting data'!$G$2:$G$37000,'Accounting data'!$I$2:$I$37000,"7*",'Accounting data'!$J$2:$J$37000,"31*",'Accounting data'!$K$2:$K$37000,"689*")+SUMIFS('Accounting data'!$G$2:$G$37000,'Accounting data'!$I$2:$I$37000,"8*",'Accounting data'!$J$2:$J$37000,"31*",'Accounting data'!$K$2:$K$37000,"689*")+SUMIFS('Accounting data'!$G$2:$G$37000,'Accounting data'!$I$2:$I$37000,"9*",'Accounting data'!$J$2:$J$37000,"31*",'Accounting data'!$K$2:$K$37000,"689*")</f>
        <v>0</v>
      </c>
    </row>
    <row r="1176" spans="1:5" x14ac:dyDescent="0.2">
      <c r="A1176" s="562" t="s">
        <v>1006</v>
      </c>
      <c r="B1176" s="560" t="s">
        <v>1007</v>
      </c>
      <c r="C1176" s="560">
        <v>3100</v>
      </c>
      <c r="D1176" s="569">
        <v>6890</v>
      </c>
      <c r="E1176" s="561">
        <f>SUMIFS('Accounting data'!$G$2:$G$37000,'Accounting data'!$H$2:$H$37000,"9999*",'Accounting data'!$I$2:$I$37000,"7*",'Accounting data'!$J$2:$J$37000,"31*",'Accounting data'!$K$2:$K$37000,"689*")+SUMIFS('Accounting data'!$G$2:$G$37000,'Accounting data'!$H$2:$H$37000,"9999*",'Accounting data'!$I$2:$I$37000,"8*",'Accounting data'!$J$2:$J$37000,"31*",'Accounting data'!$K$2:$K$37000,"689*")+SUMIFS('Accounting data'!$G$2:$G$37000,'Accounting data'!$H$2:$H$37000,"9999*",'Accounting data'!$I$2:$I$37000,"9*",'Accounting data'!$J$2:$J$37000,"31*",'Accounting data'!$K$2:$K$37000,"689*")</f>
        <v>0</v>
      </c>
    </row>
    <row r="1177" spans="1:5" x14ac:dyDescent="0.2">
      <c r="A1177" s="560"/>
      <c r="B1177" s="560"/>
      <c r="C1177" s="560"/>
      <c r="D1177" s="569"/>
      <c r="E1177" s="561"/>
    </row>
    <row r="1178" spans="1:5" x14ac:dyDescent="0.2">
      <c r="A1178" s="560"/>
      <c r="B1178" s="560"/>
      <c r="C1178" s="560"/>
      <c r="D1178" s="569"/>
      <c r="E1178" s="561"/>
    </row>
    <row r="1179" spans="1:5" x14ac:dyDescent="0.2">
      <c r="A1179" s="563" t="s">
        <v>1096</v>
      </c>
      <c r="B1179" s="563"/>
      <c r="C1179" s="563"/>
      <c r="D1179" s="563"/>
      <c r="E1179" s="565">
        <f>(E1173-E1174-E1175)+(E1176+E1177+E1178)</f>
        <v>0</v>
      </c>
    </row>
    <row r="1180" spans="1:5" x14ac:dyDescent="0.2">
      <c r="A1180" s="560"/>
      <c r="B1180" s="560"/>
      <c r="C1180" s="560"/>
      <c r="D1180" s="569"/>
      <c r="E1180" s="561"/>
    </row>
    <row r="1181" spans="1:5" x14ac:dyDescent="0.2">
      <c r="A1181" s="560"/>
      <c r="B1181" s="560"/>
      <c r="C1181" s="560"/>
      <c r="D1181" s="569"/>
      <c r="E1181" s="561"/>
    </row>
    <row r="1182" spans="1:5" x14ac:dyDescent="0.2">
      <c r="A1182" s="560"/>
      <c r="B1182" s="560"/>
      <c r="C1182" s="560"/>
      <c r="D1182" s="569"/>
      <c r="E1182" s="561"/>
    </row>
    <row r="1183" spans="1:5" x14ac:dyDescent="0.2">
      <c r="A1183" s="562"/>
      <c r="B1183" s="560"/>
      <c r="C1183" s="560"/>
      <c r="D1183" s="569"/>
      <c r="E1183" s="561"/>
    </row>
    <row r="1184" spans="1:5" x14ac:dyDescent="0.2">
      <c r="A1184" s="560"/>
      <c r="B1184" s="560"/>
      <c r="C1184" s="560"/>
      <c r="D1184" s="569"/>
      <c r="E1184" s="561"/>
    </row>
    <row r="1185" spans="1:5" x14ac:dyDescent="0.2">
      <c r="A1185" s="560"/>
      <c r="B1185" s="560"/>
      <c r="C1185" s="560"/>
      <c r="D1185" s="569"/>
      <c r="E1185" s="561"/>
    </row>
    <row r="1186" spans="1:5" x14ac:dyDescent="0.2">
      <c r="A1186" s="563" t="s">
        <v>1097</v>
      </c>
      <c r="B1186" s="563"/>
      <c r="C1186" s="563"/>
      <c r="D1186" s="563"/>
      <c r="E1186" s="565">
        <f>(E1180-E1181-E1182)+(E1183+E1184+E1185)</f>
        <v>0</v>
      </c>
    </row>
    <row r="1187" spans="1:5" x14ac:dyDescent="0.2">
      <c r="A1187" s="560" t="s">
        <v>1005</v>
      </c>
      <c r="B1187" s="560" t="s">
        <v>1005</v>
      </c>
      <c r="C1187" s="560">
        <v>3400</v>
      </c>
      <c r="D1187" s="569">
        <v>6890</v>
      </c>
      <c r="E1187" s="561">
        <f>SUMIFS('Accounting data'!$G$2:$G$37000,'Accounting data'!$J$2:$J$37000,"34*",'Accounting data'!$K$2:$K$37000,"689*")</f>
        <v>0</v>
      </c>
    </row>
    <row r="1188" spans="1:5" x14ac:dyDescent="0.2">
      <c r="A1188" s="560" t="s">
        <v>1006</v>
      </c>
      <c r="B1188" s="560" t="s">
        <v>1005</v>
      </c>
      <c r="C1188" s="560">
        <v>3400</v>
      </c>
      <c r="D1188" s="569">
        <v>6890</v>
      </c>
      <c r="E1188" s="561">
        <f>SUMIFS('Accounting data'!$G$2:$G$37000,'Accounting data'!$H$2:$H$37000,"9999*",'Accounting data'!$J$2:$J$37000,"34*",'Accounting data'!$K$2:$K$37000,"689*")</f>
        <v>0</v>
      </c>
    </row>
    <row r="1189" spans="1:5" x14ac:dyDescent="0.2">
      <c r="A1189" s="560" t="s">
        <v>1005</v>
      </c>
      <c r="B1189" s="560" t="s">
        <v>1007</v>
      </c>
      <c r="C1189" s="560">
        <v>3400</v>
      </c>
      <c r="D1189" s="569">
        <v>6890</v>
      </c>
      <c r="E1189" s="561">
        <f>SUMIFS('Accounting data'!$G$2:$G$37000,'Accounting data'!$I$2:$I$37000,"7*",'Accounting data'!$J$2:$J$37000,"34*",'Accounting data'!$K$2:$K$37000,"689*")+SUMIFS('Accounting data'!$G$2:$G$37000,'Accounting data'!$I$2:$I$37000,"8*",'Accounting data'!$J$2:$J$37000,"34*",'Accounting data'!$K$2:$K$37000,"689*")+SUMIFS('Accounting data'!$G$2:$G$37000,'Accounting data'!$I$2:$I$37000,"9*",'Accounting data'!$J$2:$J$37000,"34*",'Accounting data'!$K$2:$K$37000,"689*")</f>
        <v>0</v>
      </c>
    </row>
    <row r="1190" spans="1:5" x14ac:dyDescent="0.2">
      <c r="A1190" s="562" t="s">
        <v>1006</v>
      </c>
      <c r="B1190" s="560" t="s">
        <v>1007</v>
      </c>
      <c r="C1190" s="560">
        <v>3400</v>
      </c>
      <c r="D1190" s="569">
        <v>6890</v>
      </c>
      <c r="E1190" s="561">
        <f>SUMIFS('Accounting data'!$G$2:$G$37000,'Accounting data'!$H$2:$H$37000,"9999*",'Accounting data'!$I$2:$I$37000,"7*",'Accounting data'!$J$2:$J$37000,"34*",'Accounting data'!$K$2:$K$37000,"689*")+SUMIFS('Accounting data'!$G$2:$G$37000,'Accounting data'!$H$2:$H$37000,"9999*",'Accounting data'!$I$2:$I$37000,"8*",'Accounting data'!$J$2:$J$37000,"34*",'Accounting data'!$K$2:$K$37000,"689*")+SUMIFS('Accounting data'!$G$2:$G$37000,'Accounting data'!$H$2:$H$37000,"9999*",'Accounting data'!$I$2:$I$37000,"9*",'Accounting data'!$J$2:$J$37000,"34*",'Accounting data'!$K$2:$K$37000,"689*")</f>
        <v>0</v>
      </c>
    </row>
    <row r="1191" spans="1:5" x14ac:dyDescent="0.2">
      <c r="A1191" s="560"/>
      <c r="B1191" s="560"/>
      <c r="C1191" s="560"/>
      <c r="D1191" s="569"/>
      <c r="E1191" s="561"/>
    </row>
    <row r="1192" spans="1:5" x14ac:dyDescent="0.2">
      <c r="A1192" s="560"/>
      <c r="B1192" s="560"/>
      <c r="C1192" s="560"/>
      <c r="D1192" s="569"/>
      <c r="E1192" s="561"/>
    </row>
    <row r="1193" spans="1:5" x14ac:dyDescent="0.2">
      <c r="A1193" s="563" t="s">
        <v>1098</v>
      </c>
      <c r="B1193" s="563"/>
      <c r="C1193" s="563"/>
      <c r="D1193" s="563"/>
      <c r="E1193" s="565">
        <f>(E1187-E1188-E1189)+(E1190+E1191+E1192)</f>
        <v>0</v>
      </c>
    </row>
    <row r="1194" spans="1:5" x14ac:dyDescent="0.2">
      <c r="A1194" s="560" t="s">
        <v>1005</v>
      </c>
      <c r="B1194" s="560" t="s">
        <v>1005</v>
      </c>
      <c r="C1194" s="560">
        <v>4000</v>
      </c>
      <c r="D1194" s="569">
        <v>6890</v>
      </c>
      <c r="E1194" s="561">
        <f>SUMIFS('Accounting data'!$G$2:$G$37000,'Accounting data'!$J$2:$J$37000,"4*",'Accounting data'!$K$2:$K$37000,"689*")</f>
        <v>0</v>
      </c>
    </row>
    <row r="1195" spans="1:5" x14ac:dyDescent="0.2">
      <c r="A1195" s="560" t="s">
        <v>1006</v>
      </c>
      <c r="B1195" s="560" t="s">
        <v>1005</v>
      </c>
      <c r="C1195" s="560">
        <v>4000</v>
      </c>
      <c r="D1195" s="569">
        <v>6890</v>
      </c>
      <c r="E1195" s="561">
        <f>SUMIFS('Accounting data'!$G$2:$G$37000,'Accounting data'!$H$2:$H$37000,"9999*",'Accounting data'!$J$2:$J$37000,"4*",'Accounting data'!$K$2:$K$37000,"689*")</f>
        <v>0</v>
      </c>
    </row>
    <row r="1196" spans="1:5" x14ac:dyDescent="0.2">
      <c r="A1196" s="560" t="s">
        <v>1005</v>
      </c>
      <c r="B1196" s="560" t="s">
        <v>1007</v>
      </c>
      <c r="C1196" s="560">
        <v>4000</v>
      </c>
      <c r="D1196" s="569">
        <v>6890</v>
      </c>
      <c r="E1196" s="561">
        <f>SUMIFS('Accounting data'!$G$2:$G$37000,'Accounting data'!$I$2:$I$37000,"7*",'Accounting data'!$J$2:$J$37000,"4*",'Accounting data'!$K$2:$K$37000,"689*")+SUMIFS('Accounting data'!$G$2:$G$37000,'Accounting data'!$I$2:$I$37000,"8*",'Accounting data'!$J$2:$J$37000,"4*",'Accounting data'!$K$2:$K$37000,"689*")+SUMIFS('Accounting data'!$G$2:$G$37000,'Accounting data'!$I$2:$I$37000,"9*",'Accounting data'!$J$2:$J$37000,"4*",'Accounting data'!$K$2:$K$37000,"689*")</f>
        <v>0</v>
      </c>
    </row>
    <row r="1197" spans="1:5" x14ac:dyDescent="0.2">
      <c r="A1197" s="562" t="s">
        <v>1006</v>
      </c>
      <c r="B1197" s="560" t="s">
        <v>1007</v>
      </c>
      <c r="C1197" s="560">
        <v>4000</v>
      </c>
      <c r="D1197" s="569">
        <v>6890</v>
      </c>
      <c r="E1197" s="561">
        <f>SUMIFS('Accounting data'!$G$2:$G$37000,'Accounting data'!$H$2:$H$37000,"9999*",'Accounting data'!$I$2:$I$37000,"7*",'Accounting data'!$J$2:$J$37000,"4*",'Accounting data'!$K$2:$K$37000,"689*")+SUMIFS('Accounting data'!$G$2:$G$37000,'Accounting data'!$H$2:$H$37000,"9999*",'Accounting data'!$I$2:$I$37000,"8*",'Accounting data'!$J$2:$J$37000,"4*",'Accounting data'!$K$2:$K$37000,"689*")+SUMIFS('Accounting data'!$G$2:$G$37000,'Accounting data'!$H$2:$H$37000,"9999*",'Accounting data'!$I$2:$I$37000,"9*",'Accounting data'!$J$2:$J$37000,"4*",'Accounting data'!$K$2:$K$37000,"689*")</f>
        <v>0</v>
      </c>
    </row>
    <row r="1198" spans="1:5" x14ac:dyDescent="0.2">
      <c r="A1198" s="560"/>
      <c r="B1198" s="560"/>
      <c r="C1198" s="560"/>
      <c r="D1198" s="569"/>
      <c r="E1198" s="561"/>
    </row>
    <row r="1199" spans="1:5" x14ac:dyDescent="0.2">
      <c r="A1199" s="560"/>
      <c r="B1199" s="560"/>
      <c r="C1199" s="560"/>
      <c r="D1199" s="569"/>
      <c r="E1199" s="561"/>
    </row>
    <row r="1200" spans="1:5" x14ac:dyDescent="0.2">
      <c r="A1200" s="563" t="s">
        <v>1099</v>
      </c>
      <c r="B1200" s="563"/>
      <c r="C1200" s="563"/>
      <c r="D1200" s="563"/>
      <c r="E1200" s="565">
        <f>(E1194-E1195-E1196)+(E1197+E1198+E1199)</f>
        <v>0</v>
      </c>
    </row>
    <row r="1201" spans="1:5" x14ac:dyDescent="0.2">
      <c r="A1201" s="566" t="s">
        <v>1100</v>
      </c>
      <c r="B1201" s="566"/>
      <c r="C1201" s="566"/>
      <c r="D1201" s="566"/>
      <c r="E1201" s="570">
        <f>E1116+E1123+E1130+E1137+E1144+E1151+E1158+E1165+E1172+E1179+E1186+E1193</f>
        <v>1526</v>
      </c>
    </row>
    <row r="1202" spans="1:5" x14ac:dyDescent="0.2">
      <c r="A1202" s="560" t="s">
        <v>1021</v>
      </c>
      <c r="B1202" s="560" t="s">
        <v>1005</v>
      </c>
      <c r="C1202" s="560">
        <v>1000</v>
      </c>
      <c r="D1202" s="560">
        <v>6890</v>
      </c>
      <c r="E1202" s="561">
        <f>SUMIFS('Accounting data'!$G$2:$G$37000,'Accounting data'!$H$2:$H$37000,"11*",'Accounting data'!$J$2:$J$37000,"1*",'Accounting data'!$K$2:$K$37000,"689*")+SUMIFS('Accounting data'!$G$2:$G$37000,'Accounting data'!$H$2:$H$37000,"12*",'Accounting data'!$J$2:$J$37000,"1*",'Accounting data'!$K$2:$K$37000,"689*")+SUMIFS('Accounting data'!$G$2:$G$37000,'Accounting data'!$H$2:$H$37000,"13*",'Accounting data'!$J$2:$J$37000,"1*",'Accounting data'!$K$2:$K$37000,"689*")</f>
        <v>0</v>
      </c>
    </row>
    <row r="1203" spans="1:5" x14ac:dyDescent="0.2">
      <c r="A1203" s="560" t="s">
        <v>1021</v>
      </c>
      <c r="B1203" s="560" t="s">
        <v>1005</v>
      </c>
      <c r="C1203" s="560">
        <v>2000</v>
      </c>
      <c r="D1203" s="560">
        <v>6890</v>
      </c>
      <c r="E1203" s="561">
        <f>SUMIFS('Accounting data'!$G$2:$G$37000,'Accounting data'!$H$2:$H$37000,"11*",'Accounting data'!$J$2:$J$37000,"2*",'Accounting data'!$K$2:$K$37000,"689*")+SUMIFS('Accounting data'!$G$2:$G$37000,'Accounting data'!$H$2:$H$37000,"12*",'Accounting data'!$J$2:$J$37000,"2*",'Accounting data'!$K$2:$K$37000,"689*")+SUMIFS('Accounting data'!$G$2:$G$37000,'Accounting data'!$H$2:$H$37000,"13*",'Accounting data'!$J$2:$J$37000,"2*",'Accounting data'!$K$2:$K$37000,"689*")</f>
        <v>0</v>
      </c>
    </row>
    <row r="1204" spans="1:5" x14ac:dyDescent="0.2">
      <c r="A1204" s="560" t="s">
        <v>1021</v>
      </c>
      <c r="B1204" s="560" t="s">
        <v>1005</v>
      </c>
      <c r="C1204" s="560">
        <v>3000</v>
      </c>
      <c r="D1204" s="560">
        <v>6890</v>
      </c>
      <c r="E1204" s="561">
        <f>SUMIFS('Accounting data'!$G$2:$G$37000,'Accounting data'!$H$2:$H$37000,"11*",'Accounting data'!$J$2:$J$37000,"3*",'Accounting data'!$K$2:$K$37000,"689*")+SUMIFS('Accounting data'!$G$2:$G$37000,'Accounting data'!$H$2:$H$37000,"12*",'Accounting data'!$J$2:$J$37000,"3*",'Accounting data'!$K$2:$K$37000,"689*")+SUMIFS('Accounting data'!$G$2:$G$37000,'Accounting data'!$H$2:$H$37000,"13*",'Accounting data'!$J$2:$J$37000,"3*",'Accounting data'!$K$2:$K$37000,"689*")</f>
        <v>0</v>
      </c>
    </row>
    <row r="1205" spans="1:5" x14ac:dyDescent="0.2">
      <c r="A1205" s="560" t="s">
        <v>1021</v>
      </c>
      <c r="B1205" s="562">
        <v>700</v>
      </c>
      <c r="C1205" s="560">
        <v>1000</v>
      </c>
      <c r="D1205" s="560">
        <v>6890</v>
      </c>
      <c r="E1205" s="561">
        <f>SUMIFS('Accounting data'!$G$2:$G$37000,'Accounting data'!$H$2:$H$37000,"11*",'Accounting data'!$I$2:$I$37000,"7*",'Accounting data'!$J$2:$J$37000,"1*",'Accounting data'!$K$2:$K$37000,"689*")+SUMIFS('Accounting data'!$G$2:$G$37000,'Accounting data'!$H$2:$H$37000,"12*",'Accounting data'!$I$2:$I$37000,"7*",'Accounting data'!$J$2:$J$37000,"1*",'Accounting data'!$K$2:$K$37000,"689*")+SUMIFS('Accounting data'!$G$2:$G$37000,'Accounting data'!$H$2:$H$37000,"13*",'Accounting data'!$I$2:$I$37000,"7*",'Accounting data'!$J$2:$J$37000,"1*",'Accounting data'!$K$2:$K$37000,"689*")</f>
        <v>0</v>
      </c>
    </row>
    <row r="1206" spans="1:5" x14ac:dyDescent="0.2">
      <c r="A1206" s="560" t="s">
        <v>1021</v>
      </c>
      <c r="B1206" s="562">
        <v>800</v>
      </c>
      <c r="C1206" s="560">
        <v>1000</v>
      </c>
      <c r="D1206" s="560">
        <v>6890</v>
      </c>
      <c r="E1206" s="561">
        <f>SUMIFS('Accounting data'!$G$2:$G$37000,'Accounting data'!$H$2:$H$37000,"11*",'Accounting data'!$I$2:$I$37000,"8*",'Accounting data'!$J$2:$J$37000,"1*",'Accounting data'!$K$2:$K$37000,"689*")+SUMIFS('Accounting data'!$G$2:$G$37000,'Accounting data'!$H$2:$H$37000,"12*",'Accounting data'!$I$2:$I$37000,"8*",'Accounting data'!$J$2:$J$37000,"1*",'Accounting data'!$K$2:$K$37000,"689*")+SUMIFS('Accounting data'!$G$2:$G$37000,'Accounting data'!$H$2:$H$37000,"13*",'Accounting data'!$I$2:$I$37000,"8*",'Accounting data'!$J$2:$J$37000,"1*",'Accounting data'!$K$2:$K$37000,"689*")</f>
        <v>0</v>
      </c>
    </row>
    <row r="1207" spans="1:5" x14ac:dyDescent="0.2">
      <c r="A1207" s="560" t="s">
        <v>1021</v>
      </c>
      <c r="B1207" s="562">
        <v>900</v>
      </c>
      <c r="C1207" s="560">
        <v>1000</v>
      </c>
      <c r="D1207" s="560">
        <v>6890</v>
      </c>
      <c r="E1207" s="561">
        <f>SUMIFS('Accounting data'!$G$2:$G$37000,'Accounting data'!$H$2:$H$37000,"11*",'Accounting data'!$I$2:$I$37000,"9*",'Accounting data'!$J$2:$J$37000,"1*",'Accounting data'!$K$2:$K$37000,"689*")+SUMIFS('Accounting data'!$G$2:$G$37000,'Accounting data'!$H$2:$H$37000,"12*",'Accounting data'!$I$2:$I$37000,"9*",'Accounting data'!$J$2:$J$37000,"1*",'Accounting data'!$K$2:$K$37000,"689*")+SUMIFS('Accounting data'!$G$2:$G$37000,'Accounting data'!$H$2:$H$37000,"13*",'Accounting data'!$I$2:$I$37000,"9*",'Accounting data'!$J$2:$J$37000,"1*",'Accounting data'!$K$2:$K$37000,"689*")</f>
        <v>0</v>
      </c>
    </row>
    <row r="1208" spans="1:5" x14ac:dyDescent="0.2">
      <c r="A1208" s="560" t="s">
        <v>1021</v>
      </c>
      <c r="B1208" s="562">
        <v>700</v>
      </c>
      <c r="C1208" s="560">
        <v>2000</v>
      </c>
      <c r="D1208" s="560">
        <v>6890</v>
      </c>
      <c r="E1208" s="561">
        <f>SUMIFS('Accounting data'!$G$2:$G$37000,'Accounting data'!$H$2:$H$37000,"11*",'Accounting data'!$I$2:$I$37000,"7*",'Accounting data'!$J$2:$J$37000,"2*",'Accounting data'!$K$2:$K$37000,"689*")+SUMIFS('Accounting data'!$G$2:$G$37000,'Accounting data'!$H$2:$H$37000,"12*",'Accounting data'!$I$2:$I$37000,"7*",'Accounting data'!$J$2:$J$37000,"2*",'Accounting data'!$K$2:$K$37000,"689*")+SUMIFS('Accounting data'!$G$2:$G$37000,'Accounting data'!$H$2:$H$37000,"13*",'Accounting data'!$I$2:$I$37000,"7*",'Accounting data'!$J$2:$J$37000,"2*",'Accounting data'!$K$2:$K$37000,"689*")</f>
        <v>0</v>
      </c>
    </row>
    <row r="1209" spans="1:5" x14ac:dyDescent="0.2">
      <c r="A1209" s="560" t="s">
        <v>1021</v>
      </c>
      <c r="B1209" s="562">
        <v>800</v>
      </c>
      <c r="C1209" s="560">
        <v>2000</v>
      </c>
      <c r="D1209" s="560">
        <v>6890</v>
      </c>
      <c r="E1209" s="561">
        <f>SUMIFS('Accounting data'!$G$2:$G$37000,'Accounting data'!$H$2:$H$37000,"11*",'Accounting data'!$I$2:$I$37000,"8*",'Accounting data'!$J$2:$J$37000,"2*",'Accounting data'!$K$2:$K$37000,"689*")+SUMIFS('Accounting data'!$G$2:$G$37000,'Accounting data'!$H$2:$H$37000,"12*",'Accounting data'!$I$2:$I$37000,"8*",'Accounting data'!$J$2:$J$37000,"2*",'Accounting data'!$K$2:$K$37000,"689*")+SUMIFS('Accounting data'!$G$2:$G$37000,'Accounting data'!$H$2:$H$37000,"13*",'Accounting data'!$I$2:$I$37000,"8*",'Accounting data'!$J$2:$J$37000,"2*",'Accounting data'!$K$2:$K$37000,"689*")</f>
        <v>0</v>
      </c>
    </row>
    <row r="1210" spans="1:5" x14ac:dyDescent="0.2">
      <c r="A1210" s="560" t="s">
        <v>1021</v>
      </c>
      <c r="B1210" s="562">
        <v>900</v>
      </c>
      <c r="C1210" s="560">
        <v>2000</v>
      </c>
      <c r="D1210" s="560">
        <v>6890</v>
      </c>
      <c r="E1210" s="561">
        <f>SUMIFS('Accounting data'!$G$2:$G$37000,'Accounting data'!$H$2:$H$37000,"11*",'Accounting data'!$I$2:$I$37000,"9*",'Accounting data'!$J$2:$J$37000,"2*",'Accounting data'!$K$2:$K$37000,"689*")+SUMIFS('Accounting data'!$G$2:$G$37000,'Accounting data'!$H$2:$H$37000,"12*",'Accounting data'!$I$2:$I$37000,"9*",'Accounting data'!$J$2:$J$37000,"2*",'Accounting data'!$K$2:$K$37000,"689*")+SUMIFS('Accounting data'!$G$2:$G$37000,'Accounting data'!$H$2:$H$37000,"13*",'Accounting data'!$I$2:$I$37000,"9*",'Accounting data'!$J$2:$J$37000,"2*",'Accounting data'!$K$2:$K$37000,"689*")</f>
        <v>0</v>
      </c>
    </row>
    <row r="1211" spans="1:5" x14ac:dyDescent="0.2">
      <c r="A1211" s="560" t="s">
        <v>1021</v>
      </c>
      <c r="B1211" s="562">
        <v>700</v>
      </c>
      <c r="C1211" s="560">
        <v>3000</v>
      </c>
      <c r="D1211" s="560">
        <v>6890</v>
      </c>
      <c r="E1211" s="561">
        <f>SUMIFS('Accounting data'!$G$2:$G$37000,'Accounting data'!$H$2:$H$37000,"11*",'Accounting data'!$I$2:$I$37000,"7*",'Accounting data'!$J$2:$J$37000,"3*",'Accounting data'!$K$2:$K$37000,"689*")+SUMIFS('Accounting data'!$G$2:$G$37000,'Accounting data'!$H$2:$H$37000,"12*",'Accounting data'!$I$2:$I$37000,"7*",'Accounting data'!$J$2:$J$37000,"3*",'Accounting data'!$K$2:$K$37000,"689*")+SUMIFS('Accounting data'!$G$2:$G$37000,'Accounting data'!$H$2:$H$37000,"13*",'Accounting data'!$I$2:$I$37000,"7*",'Accounting data'!$J$2:$J$37000,"3*",'Accounting data'!$K$2:$K$37000,"689*")</f>
        <v>0</v>
      </c>
    </row>
    <row r="1212" spans="1:5" x14ac:dyDescent="0.2">
      <c r="A1212" s="560" t="s">
        <v>1021</v>
      </c>
      <c r="B1212" s="562">
        <v>800</v>
      </c>
      <c r="C1212" s="560">
        <v>3000</v>
      </c>
      <c r="D1212" s="560">
        <v>6890</v>
      </c>
      <c r="E1212" s="561">
        <f>SUMIFS('Accounting data'!$G$2:$G$37000,'Accounting data'!$H$2:$H$37000,"11*",'Accounting data'!$I$2:$I$37000,"8*",'Accounting data'!$J$2:$J$37000,"3*",'Accounting data'!$K$2:$K$37000,"689*")+SUMIFS('Accounting data'!$G$2:$G$37000,'Accounting data'!$H$2:$H$37000,"12*",'Accounting data'!$I$2:$I$37000,"8*",'Accounting data'!$J$2:$J$37000,"3*",'Accounting data'!$K$2:$K$37000,"689*")+SUMIFS('Accounting data'!$G$2:$G$37000,'Accounting data'!$H$2:$H$37000,"13*",'Accounting data'!$I$2:$I$37000,"8*",'Accounting data'!$J$2:$J$37000,"3*",'Accounting data'!$K$2:$K$37000,"689*")</f>
        <v>0</v>
      </c>
    </row>
    <row r="1213" spans="1:5" x14ac:dyDescent="0.2">
      <c r="A1213" s="560" t="s">
        <v>1021</v>
      </c>
      <c r="B1213" s="562">
        <v>900</v>
      </c>
      <c r="C1213" s="560">
        <v>3000</v>
      </c>
      <c r="D1213" s="560">
        <v>6890</v>
      </c>
      <c r="E1213" s="561">
        <f>SUMIFS('Accounting data'!$G$2:$G$37000,'Accounting data'!$H$2:$H$37000,"11*",'Accounting data'!$I$2:$I$37000,"9*",'Accounting data'!$J$2:$J$37000,"3*",'Accounting data'!$K$2:$K$37000,"689*")+SUMIFS('Accounting data'!$G$2:$G$37000,'Accounting data'!$H$2:$H$37000,"12*",'Accounting data'!$I$2:$I$37000,"9*",'Accounting data'!$J$2:$J$37000,"3*",'Accounting data'!$K$2:$K$37000,"689*")+SUMIFS('Accounting data'!$G$2:$G$37000,'Accounting data'!$H$2:$H$37000,"13*",'Accounting data'!$I$2:$I$37000,"9*",'Accounting data'!$J$2:$J$37000,"3*",'Accounting data'!$K$2:$K$37000,"689*")</f>
        <v>0</v>
      </c>
    </row>
    <row r="1214" spans="1:5" x14ac:dyDescent="0.2">
      <c r="A1214" s="563" t="s">
        <v>1101</v>
      </c>
      <c r="B1214" s="563"/>
      <c r="C1214" s="563"/>
      <c r="D1214" s="563"/>
      <c r="E1214" s="565">
        <f>(E1202+E1203+E1204)-(E1205+E1206+E1207+E1208+E1209+E1210+E1211+E1212+E1213)</f>
        <v>0</v>
      </c>
    </row>
    <row r="1215" spans="1:5" x14ac:dyDescent="0.2">
      <c r="A1215" s="560" t="s">
        <v>1005</v>
      </c>
      <c r="B1215" s="560" t="s">
        <v>1007</v>
      </c>
      <c r="C1215" s="560">
        <v>1000</v>
      </c>
      <c r="D1215" s="560">
        <v>6000</v>
      </c>
      <c r="E1215" s="561">
        <f>SUMIFS('Accounting data'!$G$2:$G$37000,'Accounting data'!$I$2:$I$37000,"7*",'Accounting data'!$J$2:$J$37000,"1*",'Accounting data'!$K$2:$K$37000,"6*")+SUMIFS('Accounting data'!$G$2:$G$37000,'Accounting data'!$I$2:$I$37000,"8*",'Accounting data'!$J$2:$J$37000,"1*",'Accounting data'!$K$2:$K$37000,"6*")+SUMIFS('Accounting data'!$G$2:$G$37000,'Accounting data'!$I$2:$I$37000,"9*",'Accounting data'!$J$2:$J$37000,"1*",'Accounting data'!$K$2:$K$37000,"6*")</f>
        <v>0</v>
      </c>
    </row>
    <row r="1216" spans="1:5" x14ac:dyDescent="0.2">
      <c r="A1216" s="560" t="s">
        <v>1005</v>
      </c>
      <c r="B1216" s="560" t="s">
        <v>1007</v>
      </c>
      <c r="C1216" s="560">
        <v>1000</v>
      </c>
      <c r="D1216" s="560">
        <v>6900</v>
      </c>
      <c r="E1216" s="561">
        <f>SUMIFS('Accounting data'!$G$2:$G$37000,'Accounting data'!$I$2:$I$37000,"7*",'Accounting data'!$J$2:$J$37000,"1*",'Accounting data'!$K$2:$K$37000,"69*")+SUMIFS('Accounting data'!$G$2:$G$37000,'Accounting data'!$I$2:$I$37000,"8*",'Accounting data'!$J$2:$J$37000,"1*",'Accounting data'!$K$2:$K$37000,"69*")+SUMIFS('Accounting data'!$G$2:$G$37000,'Accounting data'!$I$2:$I$37000,"9*",'Accounting data'!$J$2:$J$37000,"1*",'Accounting data'!$K$2:$K$37000,"69*")</f>
        <v>0</v>
      </c>
    </row>
    <row r="1217" spans="1:5" x14ac:dyDescent="0.2">
      <c r="A1217" s="560" t="s">
        <v>1005</v>
      </c>
      <c r="B1217" s="560" t="s">
        <v>1007</v>
      </c>
      <c r="C1217" s="560">
        <v>1000</v>
      </c>
      <c r="D1217" s="569">
        <v>6700</v>
      </c>
      <c r="E1217" s="561">
        <f>SUMIFS('Accounting data'!$G$2:$G$37000,'Accounting data'!$I$2:$I$37000,"7*",'Accounting data'!$J$2:$J$37000,"1*",'Accounting data'!$K$2:$K$37000,"67*")+SUMIFS('Accounting data'!$G$2:$G$37000,'Accounting data'!$I$2:$I$37000,"8*",'Accounting data'!$J$2:$J$37000,"1*",'Accounting data'!$K$2:$K$37000,"67*")+SUMIFS('Accounting data'!$G$2:$G$37000,'Accounting data'!$I$2:$I$37000,"9*",'Accounting data'!$J$2:$J$37000,"1*",'Accounting data'!$K$2:$K$37000,"67*")</f>
        <v>0</v>
      </c>
    </row>
    <row r="1218" spans="1:5" x14ac:dyDescent="0.2">
      <c r="A1218" s="562" t="s">
        <v>1006</v>
      </c>
      <c r="B1218" s="560" t="s">
        <v>1007</v>
      </c>
      <c r="C1218" s="560">
        <v>1000</v>
      </c>
      <c r="D1218" s="560">
        <v>6000</v>
      </c>
      <c r="E1218" s="561">
        <f>SUMIFS('Accounting data'!$G$2:$G$37000,'Accounting data'!$H$2:$H$37000,"9999*",'Accounting data'!$I$2:$I$37000,"7*",'Accounting data'!$J$2:$J$37000,"1*",'Accounting data'!$K$2:$K$37000,"6*")+SUMIFS('Accounting data'!$G$2:$G$37000,'Accounting data'!$H$2:$H$37000,"9999*",'Accounting data'!$I$2:$I$37000,"8*",'Accounting data'!$J$2:$J$37000,"1*",'Accounting data'!$K$2:$K$37000,"6*")+SUMIFS('Accounting data'!$G$2:$G$37000,'Accounting data'!$H$2:$H$37000,"9999*",'Accounting data'!$I$2:$I$37000,"9*",'Accounting data'!$J$2:$J$37000,"1*",'Accounting data'!$K$2:$K$37000,"6*")</f>
        <v>0</v>
      </c>
    </row>
    <row r="1219" spans="1:5" x14ac:dyDescent="0.2">
      <c r="A1219" s="560"/>
      <c r="B1219" s="560"/>
      <c r="C1219" s="560"/>
      <c r="D1219" s="560"/>
      <c r="E1219" s="561"/>
    </row>
    <row r="1220" spans="1:5" x14ac:dyDescent="0.2">
      <c r="A1220" s="562" t="s">
        <v>1006</v>
      </c>
      <c r="B1220" s="560" t="s">
        <v>1007</v>
      </c>
      <c r="C1220" s="560">
        <v>1000</v>
      </c>
      <c r="D1220" s="560">
        <v>6900</v>
      </c>
      <c r="E1220" s="561">
        <f>SUMIFS('Accounting data'!$G$2:$G$37000,'Accounting data'!$H$2:$H$37000,"9999*",'Accounting data'!$I$2:$I$37000,"7*",'Accounting data'!$J$2:$J$37000,"1*",'Accounting data'!$K$2:$K$37000,"69*")+SUMIFS('Accounting data'!$G$2:$G$37000,'Accounting data'!$H$2:$H$37000,"9999*",'Accounting data'!$I$2:$I$37000,"8*",'Accounting data'!$J$2:$J$37000,"1*",'Accounting data'!$K$2:$K$37000,"69*")+SUMIFS('Accounting data'!$G$2:$G$37000,'Accounting data'!$H$2:$H$37000,"9999*",'Accounting data'!$I$2:$I$37000,"9*",'Accounting data'!$J$2:$J$37000,"1*",'Accounting data'!$K$2:$K$37000,"69*")</f>
        <v>0</v>
      </c>
    </row>
    <row r="1221" spans="1:5" x14ac:dyDescent="0.2">
      <c r="A1221" s="560"/>
      <c r="B1221" s="560"/>
      <c r="C1221" s="560"/>
      <c r="D1221" s="560"/>
      <c r="E1221" s="561"/>
    </row>
    <row r="1222" spans="1:5" x14ac:dyDescent="0.2">
      <c r="A1222" s="562" t="s">
        <v>1006</v>
      </c>
      <c r="B1222" s="560" t="s">
        <v>1007</v>
      </c>
      <c r="C1222" s="560">
        <v>1000</v>
      </c>
      <c r="D1222" s="569">
        <v>6700</v>
      </c>
      <c r="E1222" s="561">
        <f>SUMIFS('Accounting data'!$G$2:$G$37000,'Accounting data'!$H$2:$H$37000,"9999*",'Accounting data'!$I$2:$I$37000,"7*",'Accounting data'!$J$2:$J$37000,"1*",'Accounting data'!$K$2:$K$37000,"67*")+SUMIFS('Accounting data'!$G$2:$G$37000,'Accounting data'!$H$2:$H$37000,"9999*",'Accounting data'!$I$2:$I$37000,"8*",'Accounting data'!$J$2:$J$37000,"1*",'Accounting data'!$K$2:$K$37000,"67*")+SUMIFS('Accounting data'!$G$2:$G$37000,'Accounting data'!$H$2:$H$37000,"9999*",'Accounting data'!$I$2:$I$37000,"9*",'Accounting data'!$J$2:$J$37000,"1*",'Accounting data'!$K$2:$K$37000,"67*")</f>
        <v>0</v>
      </c>
    </row>
    <row r="1223" spans="1:5" x14ac:dyDescent="0.2">
      <c r="A1223" s="562"/>
      <c r="B1223" s="560"/>
      <c r="C1223" s="560"/>
      <c r="D1223" s="569"/>
      <c r="E1223" s="561"/>
    </row>
    <row r="1224" spans="1:5" x14ac:dyDescent="0.2">
      <c r="A1224" s="562"/>
      <c r="B1224" s="560"/>
      <c r="C1224" s="560"/>
      <c r="D1224" s="569"/>
      <c r="E1224" s="561"/>
    </row>
    <row r="1225" spans="1:5" x14ac:dyDescent="0.2">
      <c r="A1225" s="563" t="s">
        <v>1102</v>
      </c>
      <c r="B1225" s="563"/>
      <c r="C1225" s="563"/>
      <c r="D1225" s="563"/>
      <c r="E1225" s="565">
        <f>(E1215-E1216-E1217)-((E1218+E1219)-(E1220+E1221))-(E1222+E1223+E1224)</f>
        <v>0</v>
      </c>
    </row>
    <row r="1226" spans="1:5" x14ac:dyDescent="0.2">
      <c r="A1226" s="560" t="s">
        <v>1005</v>
      </c>
      <c r="B1226" s="560" t="s">
        <v>1007</v>
      </c>
      <c r="C1226" s="560">
        <v>2100</v>
      </c>
      <c r="D1226" s="560">
        <v>6000</v>
      </c>
      <c r="E1226" s="561">
        <f>SUMIFS('Accounting data'!$G$2:$G$37000,'Accounting data'!$I$2:$I$37000,"7*",'Accounting data'!$J$2:$J$37000,"21*",'Accounting data'!$K$2:$K$37000,"6*")+SUMIFS('Accounting data'!$G$2:$G$37000,'Accounting data'!$I$2:$I$37000,"8*",'Accounting data'!$J$2:$J$37000,"21*",'Accounting data'!$K$2:$K$37000,"6*")+SUMIFS('Accounting data'!$G$2:$G$37000,'Accounting data'!$I$2:$I$37000,"9*",'Accounting data'!$J$2:$J$37000,"21*",'Accounting data'!$K$2:$K$37000,"6*")</f>
        <v>0</v>
      </c>
    </row>
    <row r="1227" spans="1:5" x14ac:dyDescent="0.2">
      <c r="A1227" s="560" t="s">
        <v>1005</v>
      </c>
      <c r="B1227" s="560" t="s">
        <v>1007</v>
      </c>
      <c r="C1227" s="560">
        <v>2100</v>
      </c>
      <c r="D1227" s="560">
        <v>6900</v>
      </c>
      <c r="E1227" s="561">
        <f>SUMIFS('Accounting data'!$G$2:$G$37000,'Accounting data'!$I$2:$I$37000,"7*",'Accounting data'!$J$2:$J$37000,"21*",'Accounting data'!$K$2:$K$37000,"69*")+SUMIFS('Accounting data'!$G$2:$G$37000,'Accounting data'!$I$2:$I$37000,"8*",'Accounting data'!$J$2:$J$37000,"21*",'Accounting data'!$K$2:$K$37000,"69*")+SUMIFS('Accounting data'!$G$2:$G$37000,'Accounting data'!$I$2:$I$37000,"9*",'Accounting data'!$J$2:$J$37000,"21*",'Accounting data'!$K$2:$K$37000,"69*")</f>
        <v>0</v>
      </c>
    </row>
    <row r="1228" spans="1:5" x14ac:dyDescent="0.2">
      <c r="A1228" s="560" t="s">
        <v>1005</v>
      </c>
      <c r="B1228" s="560" t="s">
        <v>1007</v>
      </c>
      <c r="C1228" s="560">
        <v>2100</v>
      </c>
      <c r="D1228" s="569">
        <v>6700</v>
      </c>
      <c r="E1228" s="561">
        <f>SUMIFS('Accounting data'!$G$2:$G$37000,'Accounting data'!$I$2:$I$37000,"7*",'Accounting data'!$J$2:$J$37000,"21*",'Accounting data'!$K$2:$K$37000,"67*")+SUMIFS('Accounting data'!$G$2:$G$37000,'Accounting data'!$I$2:$I$37000,"8*",'Accounting data'!$J$2:$J$37000,"21*",'Accounting data'!$K$2:$K$37000,"67*")+SUMIFS('Accounting data'!$G$2:$G$37000,'Accounting data'!$I$2:$I$37000,"9*",'Accounting data'!$J$2:$J$37000,"21*",'Accounting data'!$K$2:$K$37000,"67*")</f>
        <v>0</v>
      </c>
    </row>
    <row r="1229" spans="1:5" x14ac:dyDescent="0.2">
      <c r="A1229" s="562" t="s">
        <v>1006</v>
      </c>
      <c r="B1229" s="560" t="s">
        <v>1007</v>
      </c>
      <c r="C1229" s="560">
        <v>2100</v>
      </c>
      <c r="D1229" s="560">
        <v>6000</v>
      </c>
      <c r="E1229" s="561">
        <f>SUMIFS('Accounting data'!$G$2:$G$37000,'Accounting data'!$H$2:$H$37000,"9999*",'Accounting data'!$I$2:$I$37000,"7*",'Accounting data'!$J$2:$J$37000,"21*",'Accounting data'!$K$2:$K$37000,"6*")+SUMIFS('Accounting data'!$G$2:$G$37000,'Accounting data'!$H$2:$H$37000,"9999*",'Accounting data'!$I$2:$I$37000,"8*",'Accounting data'!$J$2:$J$37000,"21*",'Accounting data'!$K$2:$K$37000,"6*")+SUMIFS('Accounting data'!$G$2:$G$37000,'Accounting data'!$H$2:$H$37000,"9999*",'Accounting data'!$I$2:$I$37000,"9*",'Accounting data'!$J$2:$J$37000,"21*",'Accounting data'!$K$2:$K$37000,"6*")</f>
        <v>0</v>
      </c>
    </row>
    <row r="1230" spans="1:5" x14ac:dyDescent="0.2">
      <c r="A1230" s="560"/>
      <c r="B1230" s="560"/>
      <c r="C1230" s="560"/>
      <c r="D1230" s="560"/>
      <c r="E1230" s="561"/>
    </row>
    <row r="1231" spans="1:5" x14ac:dyDescent="0.2">
      <c r="A1231" s="562" t="s">
        <v>1006</v>
      </c>
      <c r="B1231" s="560" t="s">
        <v>1007</v>
      </c>
      <c r="C1231" s="560">
        <v>2100</v>
      </c>
      <c r="D1231" s="560">
        <v>6900</v>
      </c>
      <c r="E1231" s="561">
        <f>SUMIFS('Accounting data'!$G$2:$G$37000,'Accounting data'!$H$2:$H$37000,"9999*",'Accounting data'!$I$2:$I$37000,"7*",'Accounting data'!$J$2:$J$37000,"21*",'Accounting data'!$K$2:$K$37000,"69*")+SUMIFS('Accounting data'!$G$2:$G$37000,'Accounting data'!$H$2:$H$37000,"9999*",'Accounting data'!$I$2:$I$37000,"8*",'Accounting data'!$J$2:$J$37000,"21*",'Accounting data'!$K$2:$K$37000,"69*")+SUMIFS('Accounting data'!$G$2:$G$37000,'Accounting data'!$H$2:$H$37000,"9999*",'Accounting data'!$I$2:$I$37000,"9*",'Accounting data'!$J$2:$J$37000,"21*",'Accounting data'!$K$2:$K$37000,"69*")</f>
        <v>0</v>
      </c>
    </row>
    <row r="1232" spans="1:5" x14ac:dyDescent="0.2">
      <c r="A1232" s="560"/>
      <c r="B1232" s="560"/>
      <c r="C1232" s="560"/>
      <c r="D1232" s="560"/>
      <c r="E1232" s="561"/>
    </row>
    <row r="1233" spans="1:5" x14ac:dyDescent="0.2">
      <c r="A1233" s="562" t="s">
        <v>1006</v>
      </c>
      <c r="B1233" s="560" t="s">
        <v>1007</v>
      </c>
      <c r="C1233" s="560">
        <v>2100</v>
      </c>
      <c r="D1233" s="569">
        <v>6700</v>
      </c>
      <c r="E1233" s="561">
        <f>SUMIFS('Accounting data'!$G$2:$G$37000,'Accounting data'!$H$2:$H$37000,"9999*",'Accounting data'!$I$2:$I$37000,"7*",'Accounting data'!$J$2:$J$37000,"21*",'Accounting data'!$K$2:$K$37000,"67*")+SUMIFS('Accounting data'!$G$2:$G$37000,'Accounting data'!$H$2:$H$37000,"9999*",'Accounting data'!$I$2:$I$37000,"8*",'Accounting data'!$J$2:$J$37000,"21*",'Accounting data'!$K$2:$K$37000,"67*")+SUMIFS('Accounting data'!$G$2:$G$37000,'Accounting data'!$H$2:$H$37000,"9999*",'Accounting data'!$I$2:$I$37000,"9*",'Accounting data'!$J$2:$J$37000,"21*",'Accounting data'!$K$2:$K$37000,"67*")</f>
        <v>0</v>
      </c>
    </row>
    <row r="1234" spans="1:5" x14ac:dyDescent="0.2">
      <c r="A1234" s="562"/>
      <c r="B1234" s="560"/>
      <c r="C1234" s="560"/>
      <c r="D1234" s="569"/>
      <c r="E1234" s="561"/>
    </row>
    <row r="1235" spans="1:5" x14ac:dyDescent="0.2">
      <c r="A1235" s="562"/>
      <c r="B1235" s="560"/>
      <c r="C1235" s="560"/>
      <c r="D1235" s="569"/>
      <c r="E1235" s="561"/>
    </row>
    <row r="1236" spans="1:5" x14ac:dyDescent="0.2">
      <c r="A1236" s="563" t="s">
        <v>1103</v>
      </c>
      <c r="B1236" s="563"/>
      <c r="C1236" s="563"/>
      <c r="D1236" s="563"/>
      <c r="E1236" s="565">
        <f>(E1226-E1227-E1228)-((E1229+E1230)-(E1231+E1232))-(E1233+E1234+E1235)</f>
        <v>0</v>
      </c>
    </row>
    <row r="1237" spans="1:5" x14ac:dyDescent="0.2">
      <c r="A1237" s="560" t="s">
        <v>1005</v>
      </c>
      <c r="B1237" s="560" t="s">
        <v>1007</v>
      </c>
      <c r="C1237" s="560">
        <v>2200</v>
      </c>
      <c r="D1237" s="560">
        <v>6000</v>
      </c>
      <c r="E1237" s="561">
        <f>SUMIFS('Accounting data'!$G$2:$G$37000,'Accounting data'!$I$2:$I$37000,"7*",'Accounting data'!$J$2:$J$37000,"22*",'Accounting data'!$K$2:$K$37000,"6*")+SUMIFS('Accounting data'!$G$2:$G$37000,'Accounting data'!$I$2:$I$37000,"8*",'Accounting data'!$J$2:$J$37000,"22*",'Accounting data'!$K$2:$K$37000,"6*")+SUMIFS('Accounting data'!$G$2:$G$37000,'Accounting data'!$I$2:$I$37000,"9*",'Accounting data'!$J$2:$J$37000,"22*",'Accounting data'!$K$2:$K$37000,"6*")</f>
        <v>0</v>
      </c>
    </row>
    <row r="1238" spans="1:5" x14ac:dyDescent="0.2">
      <c r="A1238" s="560" t="s">
        <v>1005</v>
      </c>
      <c r="B1238" s="560" t="s">
        <v>1007</v>
      </c>
      <c r="C1238" s="560">
        <v>2200</v>
      </c>
      <c r="D1238" s="560">
        <v>6900</v>
      </c>
      <c r="E1238" s="561">
        <f>SUMIFS('Accounting data'!$G$2:$G$37000,'Accounting data'!$I$2:$I$37000,"7*",'Accounting data'!$J$2:$J$37000,"22*",'Accounting data'!$K$2:$K$37000,"69*")+SUMIFS('Accounting data'!$G$2:$G$37000,'Accounting data'!$I$2:$I$37000,"8*",'Accounting data'!$J$2:$J$37000,"22*",'Accounting data'!$K$2:$K$37000,"69*")+SUMIFS('Accounting data'!$G$2:$G$37000,'Accounting data'!$I$2:$I$37000,"9*",'Accounting data'!$J$2:$J$37000,"22*",'Accounting data'!$K$2:$K$37000,"69*")</f>
        <v>0</v>
      </c>
    </row>
    <row r="1239" spans="1:5" x14ac:dyDescent="0.2">
      <c r="A1239" s="560" t="s">
        <v>1005</v>
      </c>
      <c r="B1239" s="560" t="s">
        <v>1007</v>
      </c>
      <c r="C1239" s="560">
        <v>2200</v>
      </c>
      <c r="D1239" s="569">
        <v>6700</v>
      </c>
      <c r="E1239" s="561">
        <f>SUMIFS('Accounting data'!$G$2:$G$37000,'Accounting data'!$I$2:$I$37000,"7*",'Accounting data'!$J$2:$J$37000,"22*",'Accounting data'!$K$2:$K$37000,"67*")+SUMIFS('Accounting data'!$G$2:$G$37000,'Accounting data'!$I$2:$I$37000,"8*",'Accounting data'!$J$2:$J$37000,"22*",'Accounting data'!$K$2:$K$37000,"67*")+SUMIFS('Accounting data'!$G$2:$G$37000,'Accounting data'!$I$2:$I$37000,"9*",'Accounting data'!$J$2:$J$37000,"22*",'Accounting data'!$K$2:$K$37000,"67*")</f>
        <v>0</v>
      </c>
    </row>
    <row r="1240" spans="1:5" x14ac:dyDescent="0.2">
      <c r="A1240" s="562" t="s">
        <v>1006</v>
      </c>
      <c r="B1240" s="560" t="s">
        <v>1007</v>
      </c>
      <c r="C1240" s="560">
        <v>2200</v>
      </c>
      <c r="D1240" s="560">
        <v>6000</v>
      </c>
      <c r="E1240" s="561">
        <f>SUMIFS('Accounting data'!$G$2:$G$37000,'Accounting data'!$H$2:$H$37000,"9999*",'Accounting data'!$I$2:$I$37000,"7*",'Accounting data'!$J$2:$J$37000,"22*",'Accounting data'!$K$2:$K$37000,"6*")+SUMIFS('Accounting data'!$G$2:$G$37000,'Accounting data'!$H$2:$H$37000,"9999*",'Accounting data'!$I$2:$I$37000,"8*",'Accounting data'!$J$2:$J$37000,"22*",'Accounting data'!$K$2:$K$37000,"6*")+SUMIFS('Accounting data'!$G$2:$G$37000,'Accounting data'!$H$2:$H$37000,"9999*",'Accounting data'!$I$2:$I$37000,"9*",'Accounting data'!$J$2:$J$37000,"22*",'Accounting data'!$K$2:$K$37000,"6*")</f>
        <v>0</v>
      </c>
    </row>
    <row r="1241" spans="1:5" x14ac:dyDescent="0.2">
      <c r="A1241" s="560"/>
      <c r="B1241" s="560"/>
      <c r="C1241" s="560"/>
      <c r="D1241" s="560"/>
      <c r="E1241" s="561"/>
    </row>
    <row r="1242" spans="1:5" x14ac:dyDescent="0.2">
      <c r="A1242" s="562" t="s">
        <v>1006</v>
      </c>
      <c r="B1242" s="560" t="s">
        <v>1007</v>
      </c>
      <c r="C1242" s="560">
        <v>2200</v>
      </c>
      <c r="D1242" s="560">
        <v>6900</v>
      </c>
      <c r="E1242" s="561">
        <f>SUMIFS('Accounting data'!$G$2:$G$37000,'Accounting data'!$H$2:$H$37000,"9999*",'Accounting data'!$I$2:$I$37000,"7*",'Accounting data'!$J$2:$J$37000,"22*",'Accounting data'!$K$2:$K$37000,"69*")+SUMIFS('Accounting data'!$G$2:$G$37000,'Accounting data'!$H$2:$H$37000,"9999*",'Accounting data'!$I$2:$I$37000,"8*",'Accounting data'!$J$2:$J$37000,"22*",'Accounting data'!$K$2:$K$37000,"69*")+SUMIFS('Accounting data'!$G$2:$G$37000,'Accounting data'!$H$2:$H$37000,"9999*",'Accounting data'!$I$2:$I$37000,"9*",'Accounting data'!$J$2:$J$37000,"22*",'Accounting data'!$K$2:$K$37000,"69*")</f>
        <v>0</v>
      </c>
    </row>
    <row r="1243" spans="1:5" x14ac:dyDescent="0.2">
      <c r="A1243" s="560"/>
      <c r="B1243" s="560"/>
      <c r="C1243" s="560"/>
      <c r="D1243" s="560"/>
      <c r="E1243" s="561"/>
    </row>
    <row r="1244" spans="1:5" x14ac:dyDescent="0.2">
      <c r="A1244" s="562" t="s">
        <v>1006</v>
      </c>
      <c r="B1244" s="560" t="s">
        <v>1007</v>
      </c>
      <c r="C1244" s="560">
        <v>2200</v>
      </c>
      <c r="D1244" s="569">
        <v>6700</v>
      </c>
      <c r="E1244" s="561">
        <f>SUMIFS('Accounting data'!$G$2:$G$37000,'Accounting data'!$H$2:$H$37000,"9999*",'Accounting data'!$I$2:$I$37000,"7*",'Accounting data'!$J$2:$J$37000,"22*",'Accounting data'!$K$2:$K$37000,"67*")+SUMIFS('Accounting data'!$G$2:$G$37000,'Accounting data'!$H$2:$H$37000,"9999*",'Accounting data'!$I$2:$I$37000,"8*",'Accounting data'!$J$2:$J$37000,"22*",'Accounting data'!$K$2:$K$37000,"67*")+SUMIFS('Accounting data'!$G$2:$G$37000,'Accounting data'!$H$2:$H$37000,"9999*",'Accounting data'!$I$2:$I$37000,"9*",'Accounting data'!$J$2:$J$37000,"22*",'Accounting data'!$K$2:$K$37000,"67*")</f>
        <v>0</v>
      </c>
    </row>
    <row r="1245" spans="1:5" x14ac:dyDescent="0.2">
      <c r="A1245" s="562"/>
      <c r="B1245" s="560"/>
      <c r="C1245" s="560"/>
      <c r="D1245" s="569"/>
      <c r="E1245" s="561"/>
    </row>
    <row r="1246" spans="1:5" x14ac:dyDescent="0.2">
      <c r="A1246" s="562"/>
      <c r="B1246" s="560"/>
      <c r="C1246" s="560"/>
      <c r="D1246" s="569"/>
      <c r="E1246" s="561"/>
    </row>
    <row r="1247" spans="1:5" x14ac:dyDescent="0.2">
      <c r="A1247" s="563" t="s">
        <v>1104</v>
      </c>
      <c r="B1247" s="563"/>
      <c r="C1247" s="563"/>
      <c r="D1247" s="563"/>
      <c r="E1247" s="565">
        <f>(E1237-E1238-E1239)-((E1240+E1241)-(E1242+E1243))-(E1244+E1245+E1246)</f>
        <v>0</v>
      </c>
    </row>
    <row r="1248" spans="1:5" x14ac:dyDescent="0.2">
      <c r="A1248" s="560" t="s">
        <v>1005</v>
      </c>
      <c r="B1248" s="560" t="s">
        <v>1007</v>
      </c>
      <c r="C1248" s="560">
        <v>2300</v>
      </c>
      <c r="D1248" s="560">
        <v>6000</v>
      </c>
      <c r="E1248" s="561">
        <f>SUMIFS('Accounting data'!$G$2:$G$37000,'Accounting data'!$I$2:$I$37000,"7*",'Accounting data'!$J$2:$J$37000,"23*",'Accounting data'!$K$2:$K$37000,"6*")+SUMIFS('Accounting data'!$G$2:$G$37000,'Accounting data'!$I$2:$I$37000,"8*",'Accounting data'!$J$2:$J$37000,"23*",'Accounting data'!$K$2:$K$37000,"6*")+SUMIFS('Accounting data'!$G$2:$G$37000,'Accounting data'!$I$2:$I$37000,"9*",'Accounting data'!$J$2:$J$37000,"23*",'Accounting data'!$K$2:$K$37000,"6*")</f>
        <v>0</v>
      </c>
    </row>
    <row r="1249" spans="1:5" x14ac:dyDescent="0.2">
      <c r="A1249" s="560" t="s">
        <v>1005</v>
      </c>
      <c r="B1249" s="560" t="s">
        <v>1007</v>
      </c>
      <c r="C1249" s="560">
        <v>2300</v>
      </c>
      <c r="D1249" s="560">
        <v>6900</v>
      </c>
      <c r="E1249" s="561">
        <f>SUMIFS('Accounting data'!$G$2:$G$37000,'Accounting data'!$I$2:$I$37000,"7*",'Accounting data'!$J$2:$J$37000,"23*",'Accounting data'!$K$2:$K$37000,"69*")+SUMIFS('Accounting data'!$G$2:$G$37000,'Accounting data'!$I$2:$I$37000,"8*",'Accounting data'!$J$2:$J$37000,"23*",'Accounting data'!$K$2:$K$37000,"69*")+SUMIFS('Accounting data'!$G$2:$G$37000,'Accounting data'!$I$2:$I$37000,"9*",'Accounting data'!$J$2:$J$37000,"23*",'Accounting data'!$K$2:$K$37000,"69*")</f>
        <v>0</v>
      </c>
    </row>
    <row r="1250" spans="1:5" x14ac:dyDescent="0.2">
      <c r="A1250" s="560" t="s">
        <v>1005</v>
      </c>
      <c r="B1250" s="560" t="s">
        <v>1007</v>
      </c>
      <c r="C1250" s="560">
        <v>2300</v>
      </c>
      <c r="D1250" s="569">
        <v>6700</v>
      </c>
      <c r="E1250" s="561">
        <f>SUMIFS('Accounting data'!$G$2:$G$37000,'Accounting data'!$I$2:$I$37000,"7*",'Accounting data'!$J$2:$J$37000,"23*",'Accounting data'!$K$2:$K$37000,"67*")+SUMIFS('Accounting data'!$G$2:$G$37000,'Accounting data'!$I$2:$I$37000,"8*",'Accounting data'!$J$2:$J$37000,"23*",'Accounting data'!$K$2:$K$37000,"67*")+SUMIFS('Accounting data'!$G$2:$G$37000,'Accounting data'!$I$2:$I$37000,"9*",'Accounting data'!$J$2:$J$37000,"23*",'Accounting data'!$K$2:$K$37000,"67*")</f>
        <v>0</v>
      </c>
    </row>
    <row r="1251" spans="1:5" x14ac:dyDescent="0.2">
      <c r="A1251" s="562" t="s">
        <v>1006</v>
      </c>
      <c r="B1251" s="560" t="s">
        <v>1007</v>
      </c>
      <c r="C1251" s="560">
        <v>2300</v>
      </c>
      <c r="D1251" s="560">
        <v>6000</v>
      </c>
      <c r="E1251" s="561">
        <f>SUMIFS('Accounting data'!$G$2:$G$37000,'Accounting data'!$H$2:$H$37000,"9999*",'Accounting data'!$I$2:$I$37000,"7*",'Accounting data'!$J$2:$J$37000,"23*",'Accounting data'!$K$2:$K$37000,"6*")+SUMIFS('Accounting data'!$G$2:$G$37000,'Accounting data'!$H$2:$H$37000,"9999*",'Accounting data'!$I$2:$I$37000,"8*",'Accounting data'!$J$2:$J$37000,"23*",'Accounting data'!$K$2:$K$37000,"6*")+SUMIFS('Accounting data'!$G$2:$G$37000,'Accounting data'!$H$2:$H$37000,"9999*",'Accounting data'!$I$2:$I$37000,"9*",'Accounting data'!$J$2:$J$37000,"23*",'Accounting data'!$K$2:$K$37000,"6*")</f>
        <v>0</v>
      </c>
    </row>
    <row r="1252" spans="1:5" x14ac:dyDescent="0.2">
      <c r="A1252" s="560"/>
      <c r="B1252" s="560"/>
      <c r="C1252" s="560"/>
      <c r="D1252" s="560"/>
      <c r="E1252" s="561"/>
    </row>
    <row r="1253" spans="1:5" x14ac:dyDescent="0.2">
      <c r="A1253" s="562" t="s">
        <v>1006</v>
      </c>
      <c r="B1253" s="560" t="s">
        <v>1007</v>
      </c>
      <c r="C1253" s="560">
        <v>2300</v>
      </c>
      <c r="D1253" s="560">
        <v>6900</v>
      </c>
      <c r="E1253" s="561">
        <f>SUMIFS('Accounting data'!$G$2:$G$37000,'Accounting data'!$H$2:$H$37000,"9999*",'Accounting data'!$I$2:$I$37000,"7*",'Accounting data'!$J$2:$J$37000,"23*",'Accounting data'!$K$2:$K$37000,"69*")+SUMIFS('Accounting data'!$G$2:$G$37000,'Accounting data'!$H$2:$H$37000,"9999*",'Accounting data'!$I$2:$I$37000,"8*",'Accounting data'!$J$2:$J$37000,"23*",'Accounting data'!$K$2:$K$37000,"69*")+SUMIFS('Accounting data'!$G$2:$G$37000,'Accounting data'!$H$2:$H$37000,"9999*",'Accounting data'!$I$2:$I$37000,"9*",'Accounting data'!$J$2:$J$37000,"23*",'Accounting data'!$K$2:$K$37000,"69*")</f>
        <v>0</v>
      </c>
    </row>
    <row r="1254" spans="1:5" x14ac:dyDescent="0.2">
      <c r="A1254" s="560"/>
      <c r="B1254" s="560"/>
      <c r="C1254" s="560"/>
      <c r="D1254" s="560"/>
      <c r="E1254" s="561"/>
    </row>
    <row r="1255" spans="1:5" x14ac:dyDescent="0.2">
      <c r="A1255" s="562" t="s">
        <v>1006</v>
      </c>
      <c r="B1255" s="560" t="s">
        <v>1007</v>
      </c>
      <c r="C1255" s="560">
        <v>2300</v>
      </c>
      <c r="D1255" s="569">
        <v>6700</v>
      </c>
      <c r="E1255" s="561">
        <f>SUMIFS('Accounting data'!$G$2:$G$37000,'Accounting data'!$H$2:$H$37000,"9999*",'Accounting data'!$I$2:$I$37000,"7*",'Accounting data'!$J$2:$J$37000,"23*",'Accounting data'!$K$2:$K$37000,"67*")+SUMIFS('Accounting data'!$G$2:$G$37000,'Accounting data'!$H$2:$H$37000,"9999*",'Accounting data'!$I$2:$I$37000,"8*",'Accounting data'!$J$2:$J$37000,"23*",'Accounting data'!$K$2:$K$37000,"67*")+SUMIFS('Accounting data'!$G$2:$G$37000,'Accounting data'!$H$2:$H$37000,"9999*",'Accounting data'!$I$2:$I$37000,"9*",'Accounting data'!$J$2:$J$37000,"23*",'Accounting data'!$K$2:$K$37000,"67*")</f>
        <v>0</v>
      </c>
    </row>
    <row r="1256" spans="1:5" x14ac:dyDescent="0.2">
      <c r="A1256" s="562"/>
      <c r="B1256" s="560"/>
      <c r="C1256" s="560"/>
      <c r="D1256" s="569"/>
      <c r="E1256" s="561"/>
    </row>
    <row r="1257" spans="1:5" x14ac:dyDescent="0.2">
      <c r="A1257" s="562"/>
      <c r="B1257" s="560"/>
      <c r="C1257" s="560"/>
      <c r="D1257" s="569"/>
      <c r="E1257" s="561"/>
    </row>
    <row r="1258" spans="1:5" x14ac:dyDescent="0.2">
      <c r="A1258" s="563" t="s">
        <v>1105</v>
      </c>
      <c r="B1258" s="563"/>
      <c r="C1258" s="563"/>
      <c r="D1258" s="563"/>
      <c r="E1258" s="565">
        <f>(E1248-E1249-E1250)-((E1251+E1252)-(E1253+E1254))-(E1255+E1256+E1257)</f>
        <v>0</v>
      </c>
    </row>
    <row r="1259" spans="1:5" x14ac:dyDescent="0.2">
      <c r="A1259" s="560" t="s">
        <v>1005</v>
      </c>
      <c r="B1259" s="560" t="s">
        <v>1007</v>
      </c>
      <c r="C1259" s="560">
        <v>2400</v>
      </c>
      <c r="D1259" s="560">
        <v>6000</v>
      </c>
      <c r="E1259" s="561">
        <f>SUMIFS('Accounting data'!$G$2:$G$37000,'Accounting data'!$I$2:$I$37000,"7*",'Accounting data'!$J$2:$J$37000,"24*",'Accounting data'!$K$2:$K$37000,"6*")+SUMIFS('Accounting data'!$G$2:$G$37000,'Accounting data'!$I$2:$I$37000,"8*",'Accounting data'!$J$2:$J$37000,"24*",'Accounting data'!$K$2:$K$37000,"6*")+SUMIFS('Accounting data'!$G$2:$G$37000,'Accounting data'!$I$2:$I$37000,"9*",'Accounting data'!$J$2:$J$37000,"24*",'Accounting data'!$K$2:$K$37000,"6*")</f>
        <v>0</v>
      </c>
    </row>
    <row r="1260" spans="1:5" x14ac:dyDescent="0.2">
      <c r="A1260" s="560" t="s">
        <v>1005</v>
      </c>
      <c r="B1260" s="560" t="s">
        <v>1007</v>
      </c>
      <c r="C1260" s="560">
        <v>2400</v>
      </c>
      <c r="D1260" s="560">
        <v>6900</v>
      </c>
      <c r="E1260" s="561">
        <f>SUMIFS('Accounting data'!$G$2:$G$37000,'Accounting data'!$I$2:$I$37000,"7*",'Accounting data'!$J$2:$J$37000,"24*",'Accounting data'!$K$2:$K$37000,"69*")+SUMIFS('Accounting data'!$G$2:$G$37000,'Accounting data'!$I$2:$I$37000,"8*",'Accounting data'!$J$2:$J$37000,"24*",'Accounting data'!$K$2:$K$37000,"69*")+SUMIFS('Accounting data'!$G$2:$G$37000,'Accounting data'!$I$2:$I$37000,"9*",'Accounting data'!$J$2:$J$37000,"24*",'Accounting data'!$K$2:$K$37000,"69*")</f>
        <v>0</v>
      </c>
    </row>
    <row r="1261" spans="1:5" x14ac:dyDescent="0.2">
      <c r="A1261" s="560" t="s">
        <v>1005</v>
      </c>
      <c r="B1261" s="560" t="s">
        <v>1007</v>
      </c>
      <c r="C1261" s="560">
        <v>2400</v>
      </c>
      <c r="D1261" s="569">
        <v>6700</v>
      </c>
      <c r="E1261" s="561">
        <f>SUMIFS('Accounting data'!$G$2:$G$37000,'Accounting data'!$I$2:$I$37000,"7*",'Accounting data'!$J$2:$J$37000,"24*",'Accounting data'!$K$2:$K$37000,"67*")+SUMIFS('Accounting data'!$G$2:$G$37000,'Accounting data'!$I$2:$I$37000,"8*",'Accounting data'!$J$2:$J$37000,"24*",'Accounting data'!$K$2:$K$37000,"67*")+SUMIFS('Accounting data'!$G$2:$G$37000,'Accounting data'!$I$2:$I$37000,"9*",'Accounting data'!$J$2:$J$37000,"24*",'Accounting data'!$K$2:$K$37000,"67*")</f>
        <v>0</v>
      </c>
    </row>
    <row r="1262" spans="1:5" x14ac:dyDescent="0.2">
      <c r="A1262" s="562" t="s">
        <v>1006</v>
      </c>
      <c r="B1262" s="560" t="s">
        <v>1007</v>
      </c>
      <c r="C1262" s="560">
        <v>2400</v>
      </c>
      <c r="D1262" s="560">
        <v>6000</v>
      </c>
      <c r="E1262" s="561">
        <f>SUMIFS('Accounting data'!$G$2:$G$37000,'Accounting data'!$H$2:$H$37000,"9999*",'Accounting data'!$I$2:$I$37000,"7*",'Accounting data'!$J$2:$J$37000,"24*",'Accounting data'!$K$2:$K$37000,"6*")+SUMIFS('Accounting data'!$G$2:$G$37000,'Accounting data'!$H$2:$H$37000,"9999*",'Accounting data'!$I$2:$I$37000,"8*",'Accounting data'!$J$2:$J$37000,"24*",'Accounting data'!$K$2:$K$37000,"6*")+SUMIFS('Accounting data'!$G$2:$G$37000,'Accounting data'!$H$2:$H$37000,"9999*",'Accounting data'!$I$2:$I$37000,"9*",'Accounting data'!$J$2:$J$37000,"24*",'Accounting data'!$K$2:$K$37000,"6*")</f>
        <v>0</v>
      </c>
    </row>
    <row r="1263" spans="1:5" x14ac:dyDescent="0.2">
      <c r="A1263" s="560"/>
      <c r="B1263" s="560"/>
      <c r="C1263" s="560"/>
      <c r="D1263" s="560"/>
      <c r="E1263" s="561"/>
    </row>
    <row r="1264" spans="1:5" x14ac:dyDescent="0.2">
      <c r="A1264" s="562" t="s">
        <v>1006</v>
      </c>
      <c r="B1264" s="560" t="s">
        <v>1007</v>
      </c>
      <c r="C1264" s="560">
        <v>2400</v>
      </c>
      <c r="D1264" s="560">
        <v>6900</v>
      </c>
      <c r="E1264" s="561">
        <f>SUMIFS('Accounting data'!$G$2:$G$37000,'Accounting data'!$H$2:$H$37000,"9999*",'Accounting data'!$I$2:$I$37000,"7*",'Accounting data'!$J$2:$J$37000,"24*",'Accounting data'!$K$2:$K$37000,"69*")+SUMIFS('Accounting data'!$G$2:$G$37000,'Accounting data'!$H$2:$H$37000,"9999*",'Accounting data'!$I$2:$I$37000,"8*",'Accounting data'!$J$2:$J$37000,"24*",'Accounting data'!$K$2:$K$37000,"69*")+SUMIFS('Accounting data'!$G$2:$G$37000,'Accounting data'!$H$2:$H$37000,"9999*",'Accounting data'!$I$2:$I$37000,"9*",'Accounting data'!$J$2:$J$37000,"24*",'Accounting data'!$K$2:$K$37000,"69*")</f>
        <v>0</v>
      </c>
    </row>
    <row r="1265" spans="1:5" x14ac:dyDescent="0.2">
      <c r="A1265" s="560"/>
      <c r="B1265" s="560"/>
      <c r="C1265" s="560"/>
      <c r="D1265" s="560"/>
      <c r="E1265" s="561"/>
    </row>
    <row r="1266" spans="1:5" x14ac:dyDescent="0.2">
      <c r="A1266" s="562" t="s">
        <v>1006</v>
      </c>
      <c r="B1266" s="560" t="s">
        <v>1007</v>
      </c>
      <c r="C1266" s="560">
        <v>2400</v>
      </c>
      <c r="D1266" s="569">
        <v>6700</v>
      </c>
      <c r="E1266" s="561">
        <f>SUMIFS('Accounting data'!$G$2:$G$37000,'Accounting data'!$H$2:$H$37000,"9999*",'Accounting data'!$I$2:$I$37000,"7*",'Accounting data'!$J$2:$J$37000,"24*",'Accounting data'!$K$2:$K$37000,"67*")+SUMIFS('Accounting data'!$G$2:$G$37000,'Accounting data'!$H$2:$H$37000,"9999*",'Accounting data'!$I$2:$I$37000,"8*",'Accounting data'!$J$2:$J$37000,"24*",'Accounting data'!$K$2:$K$37000,"67*")+SUMIFS('Accounting data'!$G$2:$G$37000,'Accounting data'!$H$2:$H$37000,"9999*",'Accounting data'!$I$2:$I$37000,"9*",'Accounting data'!$J$2:$J$37000,"24*",'Accounting data'!$K$2:$K$37000,"67*")</f>
        <v>0</v>
      </c>
    </row>
    <row r="1267" spans="1:5" x14ac:dyDescent="0.2">
      <c r="A1267" s="562"/>
      <c r="B1267" s="560"/>
      <c r="C1267" s="560"/>
      <c r="D1267" s="569"/>
      <c r="E1267" s="561"/>
    </row>
    <row r="1268" spans="1:5" x14ac:dyDescent="0.2">
      <c r="A1268" s="562"/>
      <c r="B1268" s="560"/>
      <c r="C1268" s="560"/>
      <c r="D1268" s="569"/>
      <c r="E1268" s="561"/>
    </row>
    <row r="1269" spans="1:5" x14ac:dyDescent="0.2">
      <c r="A1269" s="563" t="s">
        <v>1106</v>
      </c>
      <c r="B1269" s="563"/>
      <c r="C1269" s="563"/>
      <c r="D1269" s="563"/>
      <c r="E1269" s="565">
        <f>(E1259-E1260-E1261)-((E1262+E1263)-(E1264+E1265))-(E1266+E1267+E1268)</f>
        <v>0</v>
      </c>
    </row>
    <row r="1270" spans="1:5" x14ac:dyDescent="0.2">
      <c r="A1270" s="560" t="s">
        <v>1005</v>
      </c>
      <c r="B1270" s="560" t="s">
        <v>1007</v>
      </c>
      <c r="C1270" s="560">
        <v>2500</v>
      </c>
      <c r="D1270" s="560">
        <v>6000</v>
      </c>
      <c r="E1270" s="561">
        <f>SUMIFS('Accounting data'!$G$2:$G$37000,'Accounting data'!$I$2:$I$37000,"7*",'Accounting data'!$J$2:$J$37000,"25*",'Accounting data'!$K$2:$K$37000,"6*")+SUMIFS('Accounting data'!$G$2:$G$37000,'Accounting data'!$I$2:$I$37000,"8*",'Accounting data'!$J$2:$J$37000,"25*",'Accounting data'!$K$2:$K$37000,"6*")+SUMIFS('Accounting data'!$G$2:$G$37000,'Accounting data'!$I$2:$I$37000,"9*",'Accounting data'!$J$2:$J$37000,"25*",'Accounting data'!$K$2:$K$37000,"6*")</f>
        <v>0</v>
      </c>
    </row>
    <row r="1271" spans="1:5" x14ac:dyDescent="0.2">
      <c r="A1271" s="560" t="s">
        <v>1005</v>
      </c>
      <c r="B1271" s="560" t="s">
        <v>1007</v>
      </c>
      <c r="C1271" s="560">
        <v>2500</v>
      </c>
      <c r="D1271" s="560">
        <v>6900</v>
      </c>
      <c r="E1271" s="561">
        <f>SUMIFS('Accounting data'!$G$2:$G$37000,'Accounting data'!$I$2:$I$37000,"7*",'Accounting data'!$J$2:$J$37000,"25*",'Accounting data'!$K$2:$K$37000,"69*")+SUMIFS('Accounting data'!$G$2:$G$37000,'Accounting data'!$I$2:$I$37000,"8*",'Accounting data'!$J$2:$J$37000,"25*",'Accounting data'!$K$2:$K$37000,"69*")+SUMIFS('Accounting data'!$G$2:$G$37000,'Accounting data'!$I$2:$I$37000,"9*",'Accounting data'!$J$2:$J$37000,"25*",'Accounting data'!$K$2:$K$37000,"69*")</f>
        <v>0</v>
      </c>
    </row>
    <row r="1272" spans="1:5" x14ac:dyDescent="0.2">
      <c r="A1272" s="560" t="s">
        <v>1005</v>
      </c>
      <c r="B1272" s="560" t="s">
        <v>1007</v>
      </c>
      <c r="C1272" s="560">
        <v>2500</v>
      </c>
      <c r="D1272" s="569">
        <v>6700</v>
      </c>
      <c r="E1272" s="561">
        <f>SUMIFS('Accounting data'!$G$2:$G$37000,'Accounting data'!$I$2:$I$37000,"7*",'Accounting data'!$J$2:$J$37000,"25*",'Accounting data'!$K$2:$K$37000,"67*")+SUMIFS('Accounting data'!$G$2:$G$37000,'Accounting data'!$I$2:$I$37000,"8*",'Accounting data'!$J$2:$J$37000,"25*",'Accounting data'!$K$2:$K$37000,"67*")+SUMIFS('Accounting data'!$G$2:$G$37000,'Accounting data'!$I$2:$I$37000,"9*",'Accounting data'!$J$2:$J$37000,"25*",'Accounting data'!$K$2:$K$37000,"67*")</f>
        <v>0</v>
      </c>
    </row>
    <row r="1273" spans="1:5" x14ac:dyDescent="0.2">
      <c r="A1273" s="562" t="s">
        <v>1006</v>
      </c>
      <c r="B1273" s="560" t="s">
        <v>1007</v>
      </c>
      <c r="C1273" s="560">
        <v>2500</v>
      </c>
      <c r="D1273" s="560">
        <v>6000</v>
      </c>
      <c r="E1273" s="561">
        <f>SUMIFS('Accounting data'!$G$2:$G$37000,'Accounting data'!$H$2:$H$37000,"9999*",'Accounting data'!$I$2:$I$37000,"7*",'Accounting data'!$J$2:$J$37000,"25*",'Accounting data'!$K$2:$K$37000,"6*")+SUMIFS('Accounting data'!$G$2:$G$37000,'Accounting data'!$H$2:$H$37000,"9999*",'Accounting data'!$I$2:$I$37000,"8*",'Accounting data'!$J$2:$J$37000,"25*",'Accounting data'!$K$2:$K$37000,"6*")+SUMIFS('Accounting data'!$G$2:$G$37000,'Accounting data'!$H$2:$H$37000,"9999*",'Accounting data'!$I$2:$I$37000,"9*",'Accounting data'!$J$2:$J$37000,"25*",'Accounting data'!$K$2:$K$37000,"6*")</f>
        <v>0</v>
      </c>
    </row>
    <row r="1274" spans="1:5" x14ac:dyDescent="0.2">
      <c r="A1274" s="560"/>
      <c r="B1274" s="560"/>
      <c r="C1274" s="560"/>
      <c r="D1274" s="560"/>
      <c r="E1274" s="561"/>
    </row>
    <row r="1275" spans="1:5" x14ac:dyDescent="0.2">
      <c r="A1275" s="562" t="s">
        <v>1006</v>
      </c>
      <c r="B1275" s="560" t="s">
        <v>1007</v>
      </c>
      <c r="C1275" s="560">
        <v>2500</v>
      </c>
      <c r="D1275" s="560">
        <v>6900</v>
      </c>
      <c r="E1275" s="561">
        <f>SUMIFS('Accounting data'!$G$2:$G$37000,'Accounting data'!$H$2:$H$37000,"9999*",'Accounting data'!$I$2:$I$37000,"7*",'Accounting data'!$J$2:$J$37000,"25*",'Accounting data'!$K$2:$K$37000,"69*")+SUMIFS('Accounting data'!$G$2:$G$37000,'Accounting data'!$H$2:$H$37000,"9999*",'Accounting data'!$I$2:$I$37000,"8*",'Accounting data'!$J$2:$J$37000,"25*",'Accounting data'!$K$2:$K$37000,"69*")+SUMIFS('Accounting data'!$G$2:$G$37000,'Accounting data'!$H$2:$H$37000,"9999*",'Accounting data'!$I$2:$I$37000,"9*",'Accounting data'!$J$2:$J$37000,"25*",'Accounting data'!$K$2:$K$37000,"69*")</f>
        <v>0</v>
      </c>
    </row>
    <row r="1276" spans="1:5" x14ac:dyDescent="0.2">
      <c r="A1276" s="560"/>
      <c r="B1276" s="560"/>
      <c r="C1276" s="560"/>
      <c r="D1276" s="560"/>
      <c r="E1276" s="561"/>
    </row>
    <row r="1277" spans="1:5" x14ac:dyDescent="0.2">
      <c r="A1277" s="562" t="s">
        <v>1006</v>
      </c>
      <c r="B1277" s="560" t="s">
        <v>1007</v>
      </c>
      <c r="C1277" s="560">
        <v>2500</v>
      </c>
      <c r="D1277" s="569">
        <v>6700</v>
      </c>
      <c r="E1277" s="561">
        <f>SUMIFS('Accounting data'!$G$2:$G$37000,'Accounting data'!$H$2:$H$37000,"9999*",'Accounting data'!$I$2:$I$37000,"7*",'Accounting data'!$J$2:$J$37000,"25*",'Accounting data'!$K$2:$K$37000,"67*")+SUMIFS('Accounting data'!$G$2:$G$37000,'Accounting data'!$H$2:$H$37000,"9999*",'Accounting data'!$I$2:$I$37000,"8*",'Accounting data'!$J$2:$J$37000,"25*",'Accounting data'!$K$2:$K$37000,"67*")+SUMIFS('Accounting data'!$G$2:$G$37000,'Accounting data'!$H$2:$H$37000,"9999*",'Accounting data'!$I$2:$I$37000,"9*",'Accounting data'!$J$2:$J$37000,"25*",'Accounting data'!$K$2:$K$37000,"67*")</f>
        <v>0</v>
      </c>
    </row>
    <row r="1278" spans="1:5" x14ac:dyDescent="0.2">
      <c r="A1278" s="562"/>
      <c r="B1278" s="560"/>
      <c r="C1278" s="560"/>
      <c r="D1278" s="569"/>
      <c r="E1278" s="561"/>
    </row>
    <row r="1279" spans="1:5" x14ac:dyDescent="0.2">
      <c r="A1279" s="562"/>
      <c r="B1279" s="560"/>
      <c r="C1279" s="560"/>
      <c r="D1279" s="569"/>
      <c r="E1279" s="561"/>
    </row>
    <row r="1280" spans="1:5" x14ac:dyDescent="0.2">
      <c r="A1280" s="563" t="s">
        <v>1107</v>
      </c>
      <c r="B1280" s="563"/>
      <c r="C1280" s="563"/>
      <c r="D1280" s="563"/>
      <c r="E1280" s="565">
        <f>(E1270-E1271-E1272)-((E1273+E1274)-(E1275+E1276))-(E1277+E1278+E1279)</f>
        <v>0</v>
      </c>
    </row>
    <row r="1281" spans="1:5" x14ac:dyDescent="0.2">
      <c r="A1281" s="560" t="s">
        <v>1005</v>
      </c>
      <c r="B1281" s="560" t="s">
        <v>1007</v>
      </c>
      <c r="C1281" s="560">
        <v>2900</v>
      </c>
      <c r="D1281" s="560">
        <v>6000</v>
      </c>
      <c r="E1281" s="561">
        <f>SUMIFS('Accounting data'!$G$2:$G$37000,'Accounting data'!$I$2:$I$37000,"7*",'Accounting data'!$J$2:$J$37000,"29*",'Accounting data'!$K$2:$K$37000,"6*")+SUMIFS('Accounting data'!$G$2:$G$37000,'Accounting data'!$I$2:$I$37000,"8*",'Accounting data'!$J$2:$J$37000,"29*",'Accounting data'!$K$2:$K$37000,"6*")+SUMIFS('Accounting data'!$G$2:$G$37000,'Accounting data'!$I$2:$I$37000,"9*",'Accounting data'!$J$2:$J$37000,"29*",'Accounting data'!$K$2:$K$37000,"6*")</f>
        <v>0</v>
      </c>
    </row>
    <row r="1282" spans="1:5" x14ac:dyDescent="0.2">
      <c r="A1282" s="560" t="s">
        <v>1005</v>
      </c>
      <c r="B1282" s="560" t="s">
        <v>1007</v>
      </c>
      <c r="C1282" s="560">
        <v>2900</v>
      </c>
      <c r="D1282" s="560">
        <v>6900</v>
      </c>
      <c r="E1282" s="561">
        <f>SUMIFS('Accounting data'!$G$2:$G$37000,'Accounting data'!$I$2:$I$37000,"7*",'Accounting data'!$J$2:$J$37000,"29*",'Accounting data'!$K$2:$K$37000,"69*")+SUMIFS('Accounting data'!$G$2:$G$37000,'Accounting data'!$I$2:$I$37000,"8*",'Accounting data'!$J$2:$J$37000,"29*",'Accounting data'!$K$2:$K$37000,"69*")+SUMIFS('Accounting data'!$G$2:$G$37000,'Accounting data'!$I$2:$I$37000,"9*",'Accounting data'!$J$2:$J$37000,"29*",'Accounting data'!$K$2:$K$37000,"69*")</f>
        <v>0</v>
      </c>
    </row>
    <row r="1283" spans="1:5" x14ac:dyDescent="0.2">
      <c r="A1283" s="560" t="s">
        <v>1005</v>
      </c>
      <c r="B1283" s="560" t="s">
        <v>1007</v>
      </c>
      <c r="C1283" s="560">
        <v>2900</v>
      </c>
      <c r="D1283" s="569">
        <v>6700</v>
      </c>
      <c r="E1283" s="561">
        <f>SUMIFS('Accounting data'!$G$2:$G$37000,'Accounting data'!$I$2:$I$37000,"7*",'Accounting data'!$J$2:$J$37000,"29*",'Accounting data'!$K$2:$K$37000,"67*")+SUMIFS('Accounting data'!$G$2:$G$37000,'Accounting data'!$I$2:$I$37000,"8*",'Accounting data'!$J$2:$J$37000,"29*",'Accounting data'!$K$2:$K$37000,"67*")+SUMIFS('Accounting data'!$G$2:$G$37000,'Accounting data'!$I$2:$I$37000,"9*",'Accounting data'!$J$2:$J$37000,"29*",'Accounting data'!$K$2:$K$37000,"67*")</f>
        <v>0</v>
      </c>
    </row>
    <row r="1284" spans="1:5" x14ac:dyDescent="0.2">
      <c r="A1284" s="562" t="s">
        <v>1006</v>
      </c>
      <c r="B1284" s="560" t="s">
        <v>1007</v>
      </c>
      <c r="C1284" s="560">
        <v>2900</v>
      </c>
      <c r="D1284" s="560">
        <v>6000</v>
      </c>
      <c r="E1284" s="561">
        <f>SUMIFS('Accounting data'!$G$2:$G$37000,'Accounting data'!$H$2:$H$37000,"9999*",'Accounting data'!$I$2:$I$37000,"7*",'Accounting data'!$J$2:$J$37000,"29*",'Accounting data'!$K$2:$K$37000,"6*")+SUMIFS('Accounting data'!$G$2:$G$37000,'Accounting data'!$H$2:$H$37000,"9999*",'Accounting data'!$I$2:$I$37000,"8*",'Accounting data'!$J$2:$J$37000,"29*",'Accounting data'!$K$2:$K$37000,"6*")+SUMIFS('Accounting data'!$G$2:$G$37000,'Accounting data'!$H$2:$H$37000,"9999*",'Accounting data'!$I$2:$I$37000,"9*",'Accounting data'!$J$2:$J$37000,"29*",'Accounting data'!$K$2:$K$37000,"6*")</f>
        <v>0</v>
      </c>
    </row>
    <row r="1285" spans="1:5" x14ac:dyDescent="0.2">
      <c r="A1285" s="560"/>
      <c r="B1285" s="560"/>
      <c r="C1285" s="560"/>
      <c r="D1285" s="560"/>
      <c r="E1285" s="561"/>
    </row>
    <row r="1286" spans="1:5" x14ac:dyDescent="0.2">
      <c r="A1286" s="562" t="s">
        <v>1006</v>
      </c>
      <c r="B1286" s="560" t="s">
        <v>1007</v>
      </c>
      <c r="C1286" s="560">
        <v>2900</v>
      </c>
      <c r="D1286" s="560">
        <v>6900</v>
      </c>
      <c r="E1286" s="561">
        <f>SUMIFS('Accounting data'!$G$2:$G$37000,'Accounting data'!$H$2:$H$37000,"9999*",'Accounting data'!$I$2:$I$37000,"7*",'Accounting data'!$J$2:$J$37000,"29*",'Accounting data'!$K$2:$K$37000,"69*")+SUMIFS('Accounting data'!$G$2:$G$37000,'Accounting data'!$H$2:$H$37000,"9999*",'Accounting data'!$I$2:$I$37000,"8*",'Accounting data'!$J$2:$J$37000,"29*",'Accounting data'!$K$2:$K$37000,"69*")+SUMIFS('Accounting data'!$G$2:$G$37000,'Accounting data'!$H$2:$H$37000,"9999*",'Accounting data'!$I$2:$I$37000,"9*",'Accounting data'!$J$2:$J$37000,"29*",'Accounting data'!$K$2:$K$37000,"69*")</f>
        <v>0</v>
      </c>
    </row>
    <row r="1287" spans="1:5" x14ac:dyDescent="0.2">
      <c r="A1287" s="560"/>
      <c r="B1287" s="560"/>
      <c r="C1287" s="560"/>
      <c r="D1287" s="560"/>
      <c r="E1287" s="561"/>
    </row>
    <row r="1288" spans="1:5" x14ac:dyDescent="0.2">
      <c r="A1288" s="562" t="s">
        <v>1006</v>
      </c>
      <c r="B1288" s="560" t="s">
        <v>1007</v>
      </c>
      <c r="C1288" s="560">
        <v>2900</v>
      </c>
      <c r="D1288" s="569">
        <v>6700</v>
      </c>
      <c r="E1288" s="561">
        <f>SUMIFS('Accounting data'!$G$2:$G$37000,'Accounting data'!$H$2:$H$37000,"9999*",'Accounting data'!$I$2:$I$37000,"7*",'Accounting data'!$J$2:$J$37000,"29*",'Accounting data'!$K$2:$K$37000,"67*")+SUMIFS('Accounting data'!$G$2:$G$37000,'Accounting data'!$H$2:$H$37000,"9999*",'Accounting data'!$I$2:$I$37000,"8*",'Accounting data'!$J$2:$J$37000,"29*",'Accounting data'!$K$2:$K$37000,"67*")+SUMIFS('Accounting data'!$G$2:$G$37000,'Accounting data'!$H$2:$H$37000,"9999*",'Accounting data'!$I$2:$I$37000,"9*",'Accounting data'!$J$2:$J$37000,"29*",'Accounting data'!$K$2:$K$37000,"67*")</f>
        <v>0</v>
      </c>
    </row>
    <row r="1289" spans="1:5" x14ac:dyDescent="0.2">
      <c r="A1289" s="562"/>
      <c r="B1289" s="560"/>
      <c r="C1289" s="560"/>
      <c r="D1289" s="569"/>
      <c r="E1289" s="561"/>
    </row>
    <row r="1290" spans="1:5" x14ac:dyDescent="0.2">
      <c r="A1290" s="562"/>
      <c r="B1290" s="560"/>
      <c r="C1290" s="560"/>
      <c r="D1290" s="569"/>
      <c r="E1290" s="561"/>
    </row>
    <row r="1291" spans="1:5" x14ac:dyDescent="0.2">
      <c r="A1291" s="563" t="s">
        <v>1108</v>
      </c>
      <c r="B1291" s="563"/>
      <c r="C1291" s="563"/>
      <c r="D1291" s="563"/>
      <c r="E1291" s="565">
        <f>(E1281-E1282-E1283)-((E1284+E1285)-(E1286+E1287))-(E1288+E1289+E1290)</f>
        <v>0</v>
      </c>
    </row>
    <row r="1292" spans="1:5" x14ac:dyDescent="0.2">
      <c r="A1292" s="560" t="s">
        <v>1005</v>
      </c>
      <c r="B1292" s="560" t="s">
        <v>1007</v>
      </c>
      <c r="C1292" s="560">
        <v>2600</v>
      </c>
      <c r="D1292" s="560">
        <v>6000</v>
      </c>
      <c r="E1292" s="561">
        <f>SUMIFS('Accounting data'!$G$2:$G$37000,'Accounting data'!$I$2:$I$37000,"7*",'Accounting data'!$J$2:$J$37000,"26*",'Accounting data'!$K$2:$K$37000,"6*")+SUMIFS('Accounting data'!$G$2:$G$37000,'Accounting data'!$I$2:$I$37000,"8*",'Accounting data'!$J$2:$J$37000,"26*",'Accounting data'!$K$2:$K$37000,"6*")+SUMIFS('Accounting data'!$G$2:$G$37000,'Accounting data'!$I$2:$I$37000,"9*",'Accounting data'!$J$2:$J$37000,"26*",'Accounting data'!$K$2:$K$37000,"6*")</f>
        <v>0</v>
      </c>
    </row>
    <row r="1293" spans="1:5" x14ac:dyDescent="0.2">
      <c r="A1293" s="560" t="s">
        <v>1005</v>
      </c>
      <c r="B1293" s="560" t="s">
        <v>1007</v>
      </c>
      <c r="C1293" s="560">
        <v>2600</v>
      </c>
      <c r="D1293" s="560">
        <v>6900</v>
      </c>
      <c r="E1293" s="561">
        <f>SUMIFS('Accounting data'!$G$2:$G$37000,'Accounting data'!$I$2:$I$37000,"7*",'Accounting data'!$J$2:$J$37000,"26*",'Accounting data'!$K$2:$K$37000,"69*")+SUMIFS('Accounting data'!$G$2:$G$37000,'Accounting data'!$I$2:$I$37000,"8*",'Accounting data'!$J$2:$J$37000,"26*",'Accounting data'!$K$2:$K$37000,"69*")+SUMIFS('Accounting data'!$G$2:$G$37000,'Accounting data'!$I$2:$I$37000,"9*",'Accounting data'!$J$2:$J$37000,"26*",'Accounting data'!$K$2:$K$37000,"69*")</f>
        <v>0</v>
      </c>
    </row>
    <row r="1294" spans="1:5" x14ac:dyDescent="0.2">
      <c r="A1294" s="560" t="s">
        <v>1005</v>
      </c>
      <c r="B1294" s="560" t="s">
        <v>1007</v>
      </c>
      <c r="C1294" s="560">
        <v>2600</v>
      </c>
      <c r="D1294" s="569">
        <v>6700</v>
      </c>
      <c r="E1294" s="561">
        <f>SUMIFS('Accounting data'!$G$2:$G$37000,'Accounting data'!$I$2:$I$37000,"7*",'Accounting data'!$J$2:$J$37000,"26*",'Accounting data'!$K$2:$K$37000,"67*")+SUMIFS('Accounting data'!$G$2:$G$37000,'Accounting data'!$I$2:$I$37000,"8*",'Accounting data'!$J$2:$J$37000,"26*",'Accounting data'!$K$2:$K$37000,"67*")+SUMIFS('Accounting data'!$G$2:$G$37000,'Accounting data'!$I$2:$I$37000,"9*",'Accounting data'!$J$2:$J$37000,"26*",'Accounting data'!$K$2:$K$37000,"67*")</f>
        <v>0</v>
      </c>
    </row>
    <row r="1295" spans="1:5" x14ac:dyDescent="0.2">
      <c r="A1295" s="562" t="s">
        <v>1006</v>
      </c>
      <c r="B1295" s="560" t="s">
        <v>1007</v>
      </c>
      <c r="C1295" s="560">
        <v>2600</v>
      </c>
      <c r="D1295" s="560">
        <v>6000</v>
      </c>
      <c r="E1295" s="561">
        <f>SUMIFS('Accounting data'!$G$2:$G$37000,'Accounting data'!$H$2:$H$37000,"9999*",'Accounting data'!$I$2:$I$37000,"7*",'Accounting data'!$J$2:$J$37000,"26*",'Accounting data'!$K$2:$K$37000,"6*")+SUMIFS('Accounting data'!$G$2:$G$37000,'Accounting data'!$H$2:$H$37000,"9999*",'Accounting data'!$I$2:$I$37000,"8*",'Accounting data'!$J$2:$J$37000,"26*",'Accounting data'!$K$2:$K$37000,"6*")+SUMIFS('Accounting data'!$G$2:$G$37000,'Accounting data'!$H$2:$H$37000,"9999*",'Accounting data'!$I$2:$I$37000,"9*",'Accounting data'!$J$2:$J$37000,"26*",'Accounting data'!$K$2:$K$37000,"6*")</f>
        <v>0</v>
      </c>
    </row>
    <row r="1296" spans="1:5" x14ac:dyDescent="0.2">
      <c r="A1296" s="560"/>
      <c r="B1296" s="560"/>
      <c r="C1296" s="560"/>
      <c r="D1296" s="560"/>
      <c r="E1296" s="561"/>
    </row>
    <row r="1297" spans="1:5" x14ac:dyDescent="0.2">
      <c r="A1297" s="562" t="s">
        <v>1006</v>
      </c>
      <c r="B1297" s="560" t="s">
        <v>1007</v>
      </c>
      <c r="C1297" s="560">
        <v>2600</v>
      </c>
      <c r="D1297" s="560">
        <v>6900</v>
      </c>
      <c r="E1297" s="561">
        <f>SUMIFS('Accounting data'!$G$2:$G$37000,'Accounting data'!$H$2:$H$37000,"9999*",'Accounting data'!$I$2:$I$37000,"7*",'Accounting data'!$J$2:$J$37000,"26*",'Accounting data'!$K$2:$K$37000,"69*")+SUMIFS('Accounting data'!$G$2:$G$37000,'Accounting data'!$H$2:$H$37000,"9999*",'Accounting data'!$I$2:$I$37000,"8*",'Accounting data'!$J$2:$J$37000,"26*",'Accounting data'!$K$2:$K$37000,"69*")+SUMIFS('Accounting data'!$G$2:$G$37000,'Accounting data'!$H$2:$H$37000,"9999*",'Accounting data'!$I$2:$I$37000,"9*",'Accounting data'!$J$2:$J$37000,"26*",'Accounting data'!$K$2:$K$37000,"69*")</f>
        <v>0</v>
      </c>
    </row>
    <row r="1298" spans="1:5" x14ac:dyDescent="0.2">
      <c r="A1298" s="560"/>
      <c r="B1298" s="560"/>
      <c r="C1298" s="560"/>
      <c r="D1298" s="560"/>
      <c r="E1298" s="561"/>
    </row>
    <row r="1299" spans="1:5" x14ac:dyDescent="0.2">
      <c r="A1299" s="562" t="s">
        <v>1006</v>
      </c>
      <c r="B1299" s="560" t="s">
        <v>1007</v>
      </c>
      <c r="C1299" s="560">
        <v>2600</v>
      </c>
      <c r="D1299" s="569">
        <v>6700</v>
      </c>
      <c r="E1299" s="561">
        <f>SUMIFS('Accounting data'!$G$2:$G$37000,'Accounting data'!$H$2:$H$37000,"9999*",'Accounting data'!$I$2:$I$37000,"7*",'Accounting data'!$J$2:$J$37000,"26*",'Accounting data'!$K$2:$K$37000,"67*")+SUMIFS('Accounting data'!$G$2:$G$37000,'Accounting data'!$H$2:$H$37000,"9999*",'Accounting data'!$I$2:$I$37000,"8*",'Accounting data'!$J$2:$J$37000,"26*",'Accounting data'!$K$2:$K$37000,"67*")+SUMIFS('Accounting data'!$G$2:$G$37000,'Accounting data'!$H$2:$H$37000,"9999*",'Accounting data'!$I$2:$I$37000,"9*",'Accounting data'!$J$2:$J$37000,"26*",'Accounting data'!$K$2:$K$37000,"67*")</f>
        <v>0</v>
      </c>
    </row>
    <row r="1300" spans="1:5" x14ac:dyDescent="0.2">
      <c r="A1300" s="562"/>
      <c r="B1300" s="560"/>
      <c r="C1300" s="560"/>
      <c r="D1300" s="569"/>
      <c r="E1300" s="561"/>
    </row>
    <row r="1301" spans="1:5" x14ac:dyDescent="0.2">
      <c r="A1301" s="562"/>
      <c r="B1301" s="560"/>
      <c r="C1301" s="560"/>
      <c r="D1301" s="569"/>
      <c r="E1301" s="561"/>
    </row>
    <row r="1302" spans="1:5" x14ac:dyDescent="0.2">
      <c r="A1302" s="563" t="s">
        <v>1109</v>
      </c>
      <c r="B1302" s="563"/>
      <c r="C1302" s="563"/>
      <c r="D1302" s="563"/>
      <c r="E1302" s="565">
        <f>(E1292-E1293-E1294)-((E1295+E1296)-(E1297+E1298))-(E1299+E1300+E1301)</f>
        <v>0</v>
      </c>
    </row>
    <row r="1303" spans="1:5" x14ac:dyDescent="0.2">
      <c r="A1303" s="560" t="s">
        <v>1005</v>
      </c>
      <c r="B1303" s="560" t="s">
        <v>1007</v>
      </c>
      <c r="C1303" s="560">
        <v>3100</v>
      </c>
      <c r="D1303" s="560">
        <v>6000</v>
      </c>
      <c r="E1303" s="561">
        <f>SUMIFS('Accounting data'!$G$2:$G$37000,'Accounting data'!$I$2:$I$37000,"7*",'Accounting data'!$J$2:$J$37000,"31*",'Accounting data'!$K$2:$K$37000,"6*")+SUMIFS('Accounting data'!$G$2:$G$37000,'Accounting data'!$I$2:$I$37000,"8*",'Accounting data'!$J$2:$J$37000,"31*",'Accounting data'!$K$2:$K$37000,"6*")+SUMIFS('Accounting data'!$G$2:$G$37000,'Accounting data'!$I$2:$I$37000,"9*",'Accounting data'!$J$2:$J$37000,"31*",'Accounting data'!$K$2:$K$37000,"6*")</f>
        <v>0</v>
      </c>
    </row>
    <row r="1304" spans="1:5" x14ac:dyDescent="0.2">
      <c r="A1304" s="560" t="s">
        <v>1005</v>
      </c>
      <c r="B1304" s="560" t="s">
        <v>1007</v>
      </c>
      <c r="C1304" s="560">
        <v>3100</v>
      </c>
      <c r="D1304" s="560">
        <v>6900</v>
      </c>
      <c r="E1304" s="561">
        <f>SUMIFS('Accounting data'!$G$2:$G$37000,'Accounting data'!$I$2:$I$37000,"7*",'Accounting data'!$J$2:$J$37000,"31*",'Accounting data'!$K$2:$K$37000,"69*")+SUMIFS('Accounting data'!$G$2:$G$37000,'Accounting data'!$I$2:$I$37000,"8*",'Accounting data'!$J$2:$J$37000,"31*",'Accounting data'!$K$2:$K$37000,"69*")+SUMIFS('Accounting data'!$G$2:$G$37000,'Accounting data'!$I$2:$I$37000,"9*",'Accounting data'!$J$2:$J$37000,"31*",'Accounting data'!$K$2:$K$37000,"69*")</f>
        <v>0</v>
      </c>
    </row>
    <row r="1305" spans="1:5" x14ac:dyDescent="0.2">
      <c r="A1305" s="560" t="s">
        <v>1005</v>
      </c>
      <c r="B1305" s="560" t="s">
        <v>1007</v>
      </c>
      <c r="C1305" s="560">
        <v>3100</v>
      </c>
      <c r="D1305" s="569">
        <v>6700</v>
      </c>
      <c r="E1305" s="561">
        <f>SUMIFS('Accounting data'!$G$2:$G$37000,'Accounting data'!$I$2:$I$37000,"7*",'Accounting data'!$J$2:$J$37000,"31*",'Accounting data'!$K$2:$K$37000,"67*")+SUMIFS('Accounting data'!$G$2:$G$37000,'Accounting data'!$I$2:$I$37000,"8*",'Accounting data'!$J$2:$J$37000,"31*",'Accounting data'!$K$2:$K$37000,"67*")+SUMIFS('Accounting data'!$G$2:$G$37000,'Accounting data'!$I$2:$I$37000,"9*",'Accounting data'!$J$2:$J$37000,"31*",'Accounting data'!$K$2:$K$37000,"67*")</f>
        <v>0</v>
      </c>
    </row>
    <row r="1306" spans="1:5" x14ac:dyDescent="0.2">
      <c r="A1306" s="562" t="s">
        <v>1006</v>
      </c>
      <c r="B1306" s="560" t="s">
        <v>1007</v>
      </c>
      <c r="C1306" s="560">
        <v>3100</v>
      </c>
      <c r="D1306" s="560">
        <v>6000</v>
      </c>
      <c r="E1306" s="561">
        <f>SUMIFS('Accounting data'!$G$2:$G$37000,'Accounting data'!$H$2:$H$37000,"9999*",'Accounting data'!$I$2:$I$37000,"7*",'Accounting data'!$J$2:$J$37000,"31*",'Accounting data'!$K$2:$K$37000,"6*")+SUMIFS('Accounting data'!$G$2:$G$37000,'Accounting data'!$H$2:$H$37000,"9999*",'Accounting data'!$I$2:$I$37000,"8*",'Accounting data'!$J$2:$J$37000,"31*",'Accounting data'!$K$2:$K$37000,"6*")+SUMIFS('Accounting data'!$G$2:$G$37000,'Accounting data'!$H$2:$H$37000,"9999*",'Accounting data'!$I$2:$I$37000,"9*",'Accounting data'!$J$2:$J$37000,"31*",'Accounting data'!$K$2:$K$37000,"6*")</f>
        <v>0</v>
      </c>
    </row>
    <row r="1307" spans="1:5" x14ac:dyDescent="0.2">
      <c r="A1307" s="560"/>
      <c r="B1307" s="560"/>
      <c r="C1307" s="560"/>
      <c r="D1307" s="560"/>
      <c r="E1307" s="561"/>
    </row>
    <row r="1308" spans="1:5" x14ac:dyDescent="0.2">
      <c r="A1308" s="562" t="s">
        <v>1006</v>
      </c>
      <c r="B1308" s="560" t="s">
        <v>1007</v>
      </c>
      <c r="C1308" s="560">
        <v>3100</v>
      </c>
      <c r="D1308" s="560">
        <v>6900</v>
      </c>
      <c r="E1308" s="561">
        <f>SUMIFS('Accounting data'!$G$2:$G$37000,'Accounting data'!$H$2:$H$37000,"9999*",'Accounting data'!$I$2:$I$37000,"7*",'Accounting data'!$J$2:$J$37000,"31*",'Accounting data'!$K$2:$K$37000,"69*")+SUMIFS('Accounting data'!$G$2:$G$37000,'Accounting data'!$H$2:$H$37000,"9999*",'Accounting data'!$I$2:$I$37000,"8*",'Accounting data'!$J$2:$J$37000,"31*",'Accounting data'!$K$2:$K$37000,"69*")+SUMIFS('Accounting data'!$G$2:$G$37000,'Accounting data'!$H$2:$H$37000,"9999*",'Accounting data'!$I$2:$I$37000,"9*",'Accounting data'!$J$2:$J$37000,"31*",'Accounting data'!$K$2:$K$37000,"69*")</f>
        <v>0</v>
      </c>
    </row>
    <row r="1309" spans="1:5" x14ac:dyDescent="0.2">
      <c r="A1309" s="560"/>
      <c r="B1309" s="560"/>
      <c r="C1309" s="560"/>
      <c r="D1309" s="560"/>
      <c r="E1309" s="561"/>
    </row>
    <row r="1310" spans="1:5" x14ac:dyDescent="0.2">
      <c r="A1310" s="562" t="s">
        <v>1006</v>
      </c>
      <c r="B1310" s="560" t="s">
        <v>1007</v>
      </c>
      <c r="C1310" s="560">
        <v>3100</v>
      </c>
      <c r="D1310" s="569">
        <v>6700</v>
      </c>
      <c r="E1310" s="561">
        <f>SUMIFS('Accounting data'!$G$2:$G$37000,'Accounting data'!$H$2:$H$37000,"9999*",'Accounting data'!$I$2:$I$37000,"7*",'Accounting data'!$J$2:$J$37000,"31*",'Accounting data'!$K$2:$K$37000,"67*")+SUMIFS('Accounting data'!$G$2:$G$37000,'Accounting data'!$H$2:$H$37000,"9999*",'Accounting data'!$I$2:$I$37000,"8*",'Accounting data'!$J$2:$J$37000,"31*",'Accounting data'!$K$2:$K$37000,"67*")+SUMIFS('Accounting data'!$G$2:$G$37000,'Accounting data'!$H$2:$H$37000,"9999*",'Accounting data'!$I$2:$I$37000,"9*",'Accounting data'!$J$2:$J$37000,"31*",'Accounting data'!$K$2:$K$37000,"67*")</f>
        <v>0</v>
      </c>
    </row>
    <row r="1311" spans="1:5" x14ac:dyDescent="0.2">
      <c r="A1311" s="562"/>
      <c r="B1311" s="560"/>
      <c r="C1311" s="560"/>
      <c r="D1311" s="569"/>
      <c r="E1311" s="561"/>
    </row>
    <row r="1312" spans="1:5" x14ac:dyDescent="0.2">
      <c r="A1312" s="562"/>
      <c r="B1312" s="560"/>
      <c r="C1312" s="560"/>
      <c r="D1312" s="569"/>
      <c r="E1312" s="561"/>
    </row>
    <row r="1313" spans="1:5" x14ac:dyDescent="0.2">
      <c r="A1313" s="563" t="s">
        <v>1110</v>
      </c>
      <c r="B1313" s="563"/>
      <c r="C1313" s="563"/>
      <c r="D1313" s="563"/>
      <c r="E1313" s="565">
        <f>(E1303-E1304-E1305)-((E1306+E1307)-(E1308+E1309))-(E1310+E1311+E1312)</f>
        <v>0</v>
      </c>
    </row>
    <row r="1314" spans="1:5" x14ac:dyDescent="0.2">
      <c r="A1314" s="560"/>
      <c r="B1314" s="560"/>
      <c r="C1314" s="560"/>
      <c r="D1314" s="560"/>
      <c r="E1314" s="561"/>
    </row>
    <row r="1315" spans="1:5" x14ac:dyDescent="0.2">
      <c r="A1315" s="560"/>
      <c r="B1315" s="560"/>
      <c r="C1315" s="560"/>
      <c r="D1315" s="560"/>
      <c r="E1315" s="561"/>
    </row>
    <row r="1316" spans="1:5" x14ac:dyDescent="0.2">
      <c r="A1316" s="560"/>
      <c r="B1316" s="560"/>
      <c r="C1316" s="560"/>
      <c r="D1316" s="569"/>
      <c r="E1316" s="561"/>
    </row>
    <row r="1317" spans="1:5" x14ac:dyDescent="0.2">
      <c r="A1317" s="562"/>
      <c r="B1317" s="560"/>
      <c r="C1317" s="560"/>
      <c r="D1317" s="560"/>
      <c r="E1317" s="561"/>
    </row>
    <row r="1318" spans="1:5" x14ac:dyDescent="0.2">
      <c r="A1318" s="560"/>
      <c r="B1318" s="560"/>
      <c r="C1318" s="560"/>
      <c r="D1318" s="560"/>
      <c r="E1318" s="561"/>
    </row>
    <row r="1319" spans="1:5" x14ac:dyDescent="0.2">
      <c r="A1319" s="562"/>
      <c r="B1319" s="560"/>
      <c r="C1319" s="560"/>
      <c r="D1319" s="560"/>
      <c r="E1319" s="561"/>
    </row>
    <row r="1320" spans="1:5" x14ac:dyDescent="0.2">
      <c r="A1320" s="560"/>
      <c r="B1320" s="560"/>
      <c r="C1320" s="560"/>
      <c r="D1320" s="560"/>
      <c r="E1320" s="561"/>
    </row>
    <row r="1321" spans="1:5" x14ac:dyDescent="0.2">
      <c r="A1321" s="562"/>
      <c r="B1321" s="560"/>
      <c r="C1321" s="560"/>
      <c r="D1321" s="569"/>
      <c r="E1321" s="561"/>
    </row>
    <row r="1322" spans="1:5" x14ac:dyDescent="0.2">
      <c r="A1322" s="562"/>
      <c r="B1322" s="560"/>
      <c r="C1322" s="560"/>
      <c r="D1322" s="569"/>
      <c r="E1322" s="561"/>
    </row>
    <row r="1323" spans="1:5" x14ac:dyDescent="0.2">
      <c r="A1323" s="562"/>
      <c r="B1323" s="560"/>
      <c r="C1323" s="560"/>
      <c r="D1323" s="569"/>
      <c r="E1323" s="561"/>
    </row>
    <row r="1324" spans="1:5" x14ac:dyDescent="0.2">
      <c r="A1324" s="563"/>
      <c r="B1324" s="563"/>
      <c r="C1324" s="563"/>
      <c r="D1324" s="563"/>
      <c r="E1324" s="565"/>
    </row>
    <row r="1325" spans="1:5" x14ac:dyDescent="0.2">
      <c r="A1325" s="560" t="s">
        <v>1005</v>
      </c>
      <c r="B1325" s="560" t="s">
        <v>1007</v>
      </c>
      <c r="C1325" s="560">
        <v>3300</v>
      </c>
      <c r="D1325" s="560">
        <v>6000</v>
      </c>
      <c r="E1325" s="561">
        <f>SUMIFS('Accounting data'!$G$2:$G$37000,'Accounting data'!$I$2:$I$37000,"7*",'Accounting data'!$J$2:$J$37000,"33*",'Accounting data'!$K$2:$K$37000,"6*")+SUMIFS('Accounting data'!$G$2:$G$37000,'Accounting data'!$I$2:$I$37000,"8*",'Accounting data'!$J$2:$J$37000,"33*",'Accounting data'!$K$2:$K$37000,"6*")+SUMIFS('Accounting data'!$G$2:$G$37000,'Accounting data'!$I$2:$I$37000,"9*",'Accounting data'!$J$2:$J$37000,"33*",'Accounting data'!$K$2:$K$37000,"6*")</f>
        <v>0</v>
      </c>
    </row>
    <row r="1326" spans="1:5" x14ac:dyDescent="0.2">
      <c r="A1326" s="560" t="s">
        <v>1005</v>
      </c>
      <c r="B1326" s="560" t="s">
        <v>1007</v>
      </c>
      <c r="C1326" s="560">
        <v>3300</v>
      </c>
      <c r="D1326" s="560">
        <v>6900</v>
      </c>
      <c r="E1326" s="561">
        <f>SUMIFS('Accounting data'!$G$2:$G$37000,'Accounting data'!$I$2:$I$37000,"7*",'Accounting data'!$J$2:$J$37000,"33*",'Accounting data'!$K$2:$K$37000,"69*")+SUMIFS('Accounting data'!$G$2:$G$37000,'Accounting data'!$I$2:$I$37000,"8*",'Accounting data'!$J$2:$J$37000,"33*",'Accounting data'!$K$2:$K$37000,"69*")+SUMIFS('Accounting data'!$G$2:$G$37000,'Accounting data'!$I$2:$I$37000,"9*",'Accounting data'!$J$2:$J$37000,"33*",'Accounting data'!$K$2:$K$37000,"69*")</f>
        <v>0</v>
      </c>
    </row>
    <row r="1327" spans="1:5" x14ac:dyDescent="0.2">
      <c r="A1327" s="560" t="s">
        <v>1005</v>
      </c>
      <c r="B1327" s="560" t="s">
        <v>1007</v>
      </c>
      <c r="C1327" s="560">
        <v>3300</v>
      </c>
      <c r="D1327" s="569">
        <v>6700</v>
      </c>
      <c r="E1327" s="561">
        <f>SUMIFS('Accounting data'!$G$2:$G$37000,'Accounting data'!$I$2:$I$37000,"7*",'Accounting data'!$J$2:$J$37000,"33*",'Accounting data'!$K$2:$K$37000,"67*")+SUMIFS('Accounting data'!$G$2:$G$37000,'Accounting data'!$I$2:$I$37000,"8*",'Accounting data'!$J$2:$J$37000,"33*",'Accounting data'!$K$2:$K$37000,"67*")+SUMIFS('Accounting data'!$G$2:$G$37000,'Accounting data'!$I$2:$I$37000,"9*",'Accounting data'!$J$2:$J$37000,"33*",'Accounting data'!$K$2:$K$37000,"67*")</f>
        <v>0</v>
      </c>
    </row>
    <row r="1328" spans="1:5" x14ac:dyDescent="0.2">
      <c r="A1328" s="562" t="s">
        <v>1006</v>
      </c>
      <c r="B1328" s="560" t="s">
        <v>1007</v>
      </c>
      <c r="C1328" s="560">
        <v>3300</v>
      </c>
      <c r="D1328" s="560">
        <v>6000</v>
      </c>
      <c r="E1328" s="561">
        <f>SUMIFS('Accounting data'!$G$2:$G$37000,'Accounting data'!$H$2:$H$37000,"9999*",'Accounting data'!$I$2:$I$37000,"7*",'Accounting data'!$J$2:$J$37000,"33*",'Accounting data'!$K$2:$K$37000,"6*")+SUMIFS('Accounting data'!$G$2:$G$37000,'Accounting data'!$H$2:$H$37000,"9999*",'Accounting data'!$I$2:$I$37000,"8*",'Accounting data'!$J$2:$J$37000,"33*",'Accounting data'!$K$2:$K$37000,"6*")+SUMIFS('Accounting data'!$G$2:$G$37000,'Accounting data'!$H$2:$H$37000,"9999*",'Accounting data'!$I$2:$I$37000,"9*",'Accounting data'!$J$2:$J$37000,"33*",'Accounting data'!$K$2:$K$37000,"6*")</f>
        <v>0</v>
      </c>
    </row>
    <row r="1329" spans="1:5" x14ac:dyDescent="0.2">
      <c r="A1329" s="560"/>
      <c r="B1329" s="560"/>
      <c r="C1329" s="560"/>
      <c r="D1329" s="560"/>
      <c r="E1329" s="561"/>
    </row>
    <row r="1330" spans="1:5" x14ac:dyDescent="0.2">
      <c r="A1330" s="562" t="s">
        <v>1006</v>
      </c>
      <c r="B1330" s="560" t="s">
        <v>1007</v>
      </c>
      <c r="C1330" s="560">
        <v>3300</v>
      </c>
      <c r="D1330" s="560">
        <v>6900</v>
      </c>
      <c r="E1330" s="561">
        <f>SUMIFS('Accounting data'!$G$2:$G$37000,'Accounting data'!$H$2:$H$37000,"9999*",'Accounting data'!$I$2:$I$37000,"7*",'Accounting data'!$J$2:$J$37000,"33*",'Accounting data'!$K$2:$K$37000,"69*")+SUMIFS('Accounting data'!$G$2:$G$37000,'Accounting data'!$H$2:$H$37000,"9999*",'Accounting data'!$I$2:$I$37000,"8*",'Accounting data'!$J$2:$J$37000,"33*",'Accounting data'!$K$2:$K$37000,"69*")+SUMIFS('Accounting data'!$G$2:$G$37000,'Accounting data'!$H$2:$H$37000,"9999*",'Accounting data'!$I$2:$I$37000,"9*",'Accounting data'!$J$2:$J$37000,"33*",'Accounting data'!$K$2:$K$37000,"69*")</f>
        <v>0</v>
      </c>
    </row>
    <row r="1331" spans="1:5" x14ac:dyDescent="0.2">
      <c r="A1331" s="560"/>
      <c r="B1331" s="560"/>
      <c r="C1331" s="560"/>
      <c r="D1331" s="560"/>
      <c r="E1331" s="561"/>
    </row>
    <row r="1332" spans="1:5" x14ac:dyDescent="0.2">
      <c r="A1332" s="562" t="s">
        <v>1006</v>
      </c>
      <c r="B1332" s="560" t="s">
        <v>1007</v>
      </c>
      <c r="C1332" s="560">
        <v>3300</v>
      </c>
      <c r="D1332" s="569">
        <v>6700</v>
      </c>
      <c r="E1332" s="561">
        <f>SUMIFS('Accounting data'!$G$2:$G$37000,'Accounting data'!$H$2:$H$37000,"9999*",'Accounting data'!$I$2:$I$37000,"7*",'Accounting data'!$J$2:$J$37000,"33*",'Accounting data'!$K$2:$K$37000,"67*")+SUMIFS('Accounting data'!$G$2:$G$37000,'Accounting data'!$H$2:$H$37000,"9999*",'Accounting data'!$I$2:$I$37000,"8*",'Accounting data'!$J$2:$J$37000,"33*",'Accounting data'!$K$2:$K$37000,"67*")+SUMIFS('Accounting data'!$G$2:$G$37000,'Accounting data'!$H$2:$H$37000,"9999*",'Accounting data'!$I$2:$I$37000,"9*",'Accounting data'!$J$2:$J$37000,"33*",'Accounting data'!$K$2:$K$37000,"67*")</f>
        <v>0</v>
      </c>
    </row>
    <row r="1333" spans="1:5" x14ac:dyDescent="0.2">
      <c r="A1333" s="562"/>
      <c r="B1333" s="560"/>
      <c r="C1333" s="560"/>
      <c r="D1333" s="569"/>
      <c r="E1333" s="561"/>
    </row>
    <row r="1334" spans="1:5" x14ac:dyDescent="0.2">
      <c r="A1334" s="562"/>
      <c r="B1334" s="560"/>
      <c r="C1334" s="560"/>
      <c r="D1334" s="569"/>
      <c r="E1334" s="561"/>
    </row>
    <row r="1335" spans="1:5" x14ac:dyDescent="0.2">
      <c r="A1335" s="563" t="s">
        <v>1111</v>
      </c>
      <c r="B1335" s="563"/>
      <c r="C1335" s="563"/>
      <c r="D1335" s="563"/>
      <c r="E1335" s="565">
        <f>(E1325-E1326-E1327)-((E1328+E1329)-(E1330+E1331))-(E1332+E1333+E1334)</f>
        <v>0</v>
      </c>
    </row>
    <row r="1336" spans="1:5" x14ac:dyDescent="0.2">
      <c r="A1336" s="560" t="s">
        <v>1005</v>
      </c>
      <c r="B1336" s="560" t="s">
        <v>1007</v>
      </c>
      <c r="C1336" s="560">
        <v>3400</v>
      </c>
      <c r="D1336" s="560">
        <v>6000</v>
      </c>
      <c r="E1336" s="561">
        <f>SUMIFS('Accounting data'!$G$2:$G$37000,'Accounting data'!$I$2:$I$37000,"7*",'Accounting data'!$J$2:$J$37000,"34*",'Accounting data'!$K$2:$K$37000,"6*")+SUMIFS('Accounting data'!$G$2:$G$37000,'Accounting data'!$I$2:$I$37000,"8*",'Accounting data'!$J$2:$J$37000,"34*",'Accounting data'!$K$2:$K$37000,"6*")+SUMIFS('Accounting data'!$G$2:$G$37000,'Accounting data'!$I$2:$I$37000,"9*",'Accounting data'!$J$2:$J$37000,"34*",'Accounting data'!$K$2:$K$37000,"6*")</f>
        <v>0</v>
      </c>
    </row>
    <row r="1337" spans="1:5" x14ac:dyDescent="0.2">
      <c r="A1337" s="560" t="s">
        <v>1005</v>
      </c>
      <c r="B1337" s="560" t="s">
        <v>1007</v>
      </c>
      <c r="C1337" s="560">
        <v>3400</v>
      </c>
      <c r="D1337" s="560">
        <v>6900</v>
      </c>
      <c r="E1337" s="561">
        <f>SUMIFS('Accounting data'!$G$2:$G$37000,'Accounting data'!$I$2:$I$37000,"7*",'Accounting data'!$J$2:$J$37000,"34*",'Accounting data'!$K$2:$K$37000,"69*")+SUMIFS('Accounting data'!$G$2:$G$37000,'Accounting data'!$I$2:$I$37000,"8*",'Accounting data'!$J$2:$J$37000,"34*",'Accounting data'!$K$2:$K$37000,"69*")+SUMIFS('Accounting data'!$G$2:$G$37000,'Accounting data'!$I$2:$I$37000,"9*",'Accounting data'!$J$2:$J$37000,"34*",'Accounting data'!$K$2:$K$37000,"69*")</f>
        <v>0</v>
      </c>
    </row>
    <row r="1338" spans="1:5" x14ac:dyDescent="0.2">
      <c r="A1338" s="560" t="s">
        <v>1005</v>
      </c>
      <c r="B1338" s="560" t="s">
        <v>1007</v>
      </c>
      <c r="C1338" s="560">
        <v>3400</v>
      </c>
      <c r="D1338" s="569">
        <v>6700</v>
      </c>
      <c r="E1338" s="561">
        <f>SUMIFS('Accounting data'!$G$2:$G$37000,'Accounting data'!$I$2:$I$37000,"7*",'Accounting data'!$J$2:$J$37000,"34*",'Accounting data'!$K$2:$K$37000,"67*")+SUMIFS('Accounting data'!$G$2:$G$37000,'Accounting data'!$I$2:$I$37000,"8*",'Accounting data'!$J$2:$J$37000,"34*",'Accounting data'!$K$2:$K$37000,"67*")+SUMIFS('Accounting data'!$G$2:$G$37000,'Accounting data'!$I$2:$I$37000,"9*",'Accounting data'!$J$2:$J$37000,"34*",'Accounting data'!$K$2:$K$37000,"67*")</f>
        <v>0</v>
      </c>
    </row>
    <row r="1339" spans="1:5" x14ac:dyDescent="0.2">
      <c r="A1339" s="562" t="s">
        <v>1006</v>
      </c>
      <c r="B1339" s="560" t="s">
        <v>1007</v>
      </c>
      <c r="C1339" s="560">
        <v>3400</v>
      </c>
      <c r="D1339" s="560">
        <v>6000</v>
      </c>
      <c r="E1339" s="561">
        <f>SUMIFS('Accounting data'!$G$2:$G$37000,'Accounting data'!$H$2:$H$37000,"9999*",'Accounting data'!$I$2:$I$37000,"7*",'Accounting data'!$J$2:$J$37000,"34*",'Accounting data'!$K$2:$K$37000,"6*")+SUMIFS('Accounting data'!$G$2:$G$37000,'Accounting data'!$H$2:$H$37000,"9999*",'Accounting data'!$I$2:$I$37000,"8*",'Accounting data'!$J$2:$J$37000,"34*",'Accounting data'!$K$2:$K$37000,"6*")+SUMIFS('Accounting data'!$G$2:$G$37000,'Accounting data'!$H$2:$H$37000,"9999*",'Accounting data'!$I$2:$I$37000,"9*",'Accounting data'!$J$2:$J$37000,"34*",'Accounting data'!$K$2:$K$37000,"6*")</f>
        <v>0</v>
      </c>
    </row>
    <row r="1340" spans="1:5" x14ac:dyDescent="0.2">
      <c r="A1340" s="560"/>
      <c r="B1340" s="560"/>
      <c r="C1340" s="560"/>
      <c r="D1340" s="560"/>
      <c r="E1340" s="561"/>
    </row>
    <row r="1341" spans="1:5" x14ac:dyDescent="0.2">
      <c r="A1341" s="562" t="s">
        <v>1006</v>
      </c>
      <c r="B1341" s="560" t="s">
        <v>1007</v>
      </c>
      <c r="C1341" s="560">
        <v>3400</v>
      </c>
      <c r="D1341" s="560">
        <v>6900</v>
      </c>
      <c r="E1341" s="561">
        <f>SUMIFS('Accounting data'!$G$2:$G$37000,'Accounting data'!$H$2:$H$37000,"9999*",'Accounting data'!$I$2:$I$37000,"7*",'Accounting data'!$J$2:$J$37000,"34*",'Accounting data'!$K$2:$K$37000,"69*")+SUMIFS('Accounting data'!$G$2:$G$37000,'Accounting data'!$H$2:$H$37000,"9999*",'Accounting data'!$I$2:$I$37000,"8*",'Accounting data'!$J$2:$J$37000,"34*",'Accounting data'!$K$2:$K$37000,"69*")+SUMIFS('Accounting data'!$G$2:$G$37000,'Accounting data'!$H$2:$H$37000,"9999*",'Accounting data'!$I$2:$I$37000,"9*",'Accounting data'!$J$2:$J$37000,"34*",'Accounting data'!$K$2:$K$37000,"69*")</f>
        <v>0</v>
      </c>
    </row>
    <row r="1342" spans="1:5" x14ac:dyDescent="0.2">
      <c r="A1342" s="560"/>
      <c r="B1342" s="560"/>
      <c r="C1342" s="560"/>
      <c r="D1342" s="560"/>
      <c r="E1342" s="561"/>
    </row>
    <row r="1343" spans="1:5" x14ac:dyDescent="0.2">
      <c r="A1343" s="562" t="s">
        <v>1006</v>
      </c>
      <c r="B1343" s="560" t="s">
        <v>1007</v>
      </c>
      <c r="C1343" s="560">
        <v>3400</v>
      </c>
      <c r="D1343" s="569">
        <v>6700</v>
      </c>
      <c r="E1343" s="561">
        <f>SUMIFS('Accounting data'!$G$2:$G$37000,'Accounting data'!$H$2:$H$37000,"9999*",'Accounting data'!$I$2:$I$37000,"7*",'Accounting data'!$J$2:$J$37000,"34*",'Accounting data'!$K$2:$K$37000,"67*")+SUMIFS('Accounting data'!$G$2:$G$37000,'Accounting data'!$H$2:$H$37000,"9999*",'Accounting data'!$I$2:$I$37000,"8*",'Accounting data'!$J$2:$J$37000,"34*",'Accounting data'!$K$2:$K$37000,"67*")+SUMIFS('Accounting data'!$G$2:$G$37000,'Accounting data'!$H$2:$H$37000,"9999*",'Accounting data'!$I$2:$I$37000,"9*",'Accounting data'!$J$2:$J$37000,"34*",'Accounting data'!$K$2:$K$37000,"67*")</f>
        <v>0</v>
      </c>
    </row>
    <row r="1344" spans="1:5" x14ac:dyDescent="0.2">
      <c r="A1344" s="562"/>
      <c r="B1344" s="560"/>
      <c r="C1344" s="560"/>
      <c r="D1344" s="569"/>
      <c r="E1344" s="561"/>
    </row>
    <row r="1345" spans="1:5" x14ac:dyDescent="0.2">
      <c r="A1345" s="562"/>
      <c r="B1345" s="560"/>
      <c r="C1345" s="560"/>
      <c r="D1345" s="569"/>
      <c r="E1345" s="561"/>
    </row>
    <row r="1346" spans="1:5" x14ac:dyDescent="0.2">
      <c r="A1346" s="563" t="s">
        <v>1112</v>
      </c>
      <c r="B1346" s="563"/>
      <c r="C1346" s="563"/>
      <c r="D1346" s="563"/>
      <c r="E1346" s="565">
        <f>(E1336-E1337-E1338)-((E1339+E1340)-(E1341+E1342))-(E1343+E1344+E1345)</f>
        <v>0</v>
      </c>
    </row>
    <row r="1347" spans="1:5" x14ac:dyDescent="0.2">
      <c r="A1347" s="560" t="s">
        <v>1005</v>
      </c>
      <c r="B1347" s="560" t="s">
        <v>1007</v>
      </c>
      <c r="C1347" s="560">
        <v>4000</v>
      </c>
      <c r="D1347" s="560">
        <v>6000</v>
      </c>
      <c r="E1347" s="561">
        <f>SUMIFS('Accounting data'!$G$2:$G$37000,'Accounting data'!$I$2:$I$37000,"7*",'Accounting data'!$J$2:$J$37000,"4*",'Accounting data'!$K$2:$K$37000,"6*")+SUMIFS('Accounting data'!$G$2:$G$37000,'Accounting data'!$I$2:$I$37000,"8*",'Accounting data'!$J$2:$J$37000,"4*",'Accounting data'!$K$2:$K$37000,"6*")+SUMIFS('Accounting data'!$G$2:$G$37000,'Accounting data'!$I$2:$I$37000,"9*",'Accounting data'!$J$2:$J$37000,"4*",'Accounting data'!$K$2:$K$37000,"6*")</f>
        <v>0</v>
      </c>
    </row>
    <row r="1348" spans="1:5" x14ac:dyDescent="0.2">
      <c r="A1348" s="560" t="s">
        <v>1005</v>
      </c>
      <c r="B1348" s="560" t="s">
        <v>1007</v>
      </c>
      <c r="C1348" s="560">
        <v>4000</v>
      </c>
      <c r="D1348" s="560">
        <v>6900</v>
      </c>
      <c r="E1348" s="561">
        <f>SUMIFS('Accounting data'!$G$2:$G$37000,'Accounting data'!$I$2:$I$37000,"7*",'Accounting data'!$J$2:$J$37000,"4*",'Accounting data'!$K$2:$K$37000,"69*")+SUMIFS('Accounting data'!$G$2:$G$37000,'Accounting data'!$I$2:$I$37000,"8*",'Accounting data'!$J$2:$J$37000,"4*",'Accounting data'!$K$2:$K$37000,"69*")+SUMIFS('Accounting data'!$G$2:$G$37000,'Accounting data'!$I$2:$I$37000,"9*",'Accounting data'!$J$2:$J$37000,"4*",'Accounting data'!$K$2:$K$37000,"69*")</f>
        <v>0</v>
      </c>
    </row>
    <row r="1349" spans="1:5" x14ac:dyDescent="0.2">
      <c r="A1349" s="560" t="s">
        <v>1005</v>
      </c>
      <c r="B1349" s="560" t="s">
        <v>1007</v>
      </c>
      <c r="C1349" s="560">
        <v>4000</v>
      </c>
      <c r="D1349" s="569">
        <v>6700</v>
      </c>
      <c r="E1349" s="561">
        <f>SUMIFS('Accounting data'!$G$2:$G$37000,'Accounting data'!$I$2:$I$37000,"7*",'Accounting data'!$J$2:$J$37000,"4*",'Accounting data'!$K$2:$K$37000,"67*")+SUMIFS('Accounting data'!$G$2:$G$37000,'Accounting data'!$I$2:$I$37000,"8*",'Accounting data'!$J$2:$J$37000,"4*",'Accounting data'!$K$2:$K$37000,"67*")+SUMIFS('Accounting data'!$G$2:$G$37000,'Accounting data'!$I$2:$I$37000,"9*",'Accounting data'!$J$2:$J$37000,"4*",'Accounting data'!$K$2:$K$37000,"67*")</f>
        <v>0</v>
      </c>
    </row>
    <row r="1350" spans="1:5" x14ac:dyDescent="0.2">
      <c r="A1350" s="562" t="s">
        <v>1006</v>
      </c>
      <c r="B1350" s="560" t="s">
        <v>1007</v>
      </c>
      <c r="C1350" s="560">
        <v>4000</v>
      </c>
      <c r="D1350" s="560">
        <v>6000</v>
      </c>
      <c r="E1350" s="561">
        <f>SUMIFS('Accounting data'!$G$2:$G$37000,'Accounting data'!$H$2:$H$37000,"9999*",'Accounting data'!$I$2:$I$37000,"7*",'Accounting data'!$J$2:$J$37000,"4*",'Accounting data'!$K$2:$K$37000,"6*")+SUMIFS('Accounting data'!$G$2:$G$37000,'Accounting data'!$H$2:$H$37000,"9999*",'Accounting data'!$I$2:$I$37000,"8*",'Accounting data'!$J$2:$J$37000,"4*",'Accounting data'!$K$2:$K$37000,"6*")+SUMIFS('Accounting data'!$G$2:$G$37000,'Accounting data'!$H$2:$H$37000,"9999*",'Accounting data'!$I$2:$I$37000,"9*",'Accounting data'!$J$2:$J$37000,"4*",'Accounting data'!$K$2:$K$37000,"6*")</f>
        <v>0</v>
      </c>
    </row>
    <row r="1351" spans="1:5" x14ac:dyDescent="0.2">
      <c r="A1351" s="560"/>
      <c r="B1351" s="560"/>
      <c r="C1351" s="560"/>
      <c r="D1351" s="560"/>
      <c r="E1351" s="561"/>
    </row>
    <row r="1352" spans="1:5" x14ac:dyDescent="0.2">
      <c r="A1352" s="562" t="s">
        <v>1006</v>
      </c>
      <c r="B1352" s="560" t="s">
        <v>1007</v>
      </c>
      <c r="C1352" s="560">
        <v>4000</v>
      </c>
      <c r="D1352" s="560">
        <v>6900</v>
      </c>
      <c r="E1352" s="561">
        <f>SUMIFS('Accounting data'!$G$2:$G$37000,'Accounting data'!$H$2:$H$37000,"9999*",'Accounting data'!$I$2:$I$37000,"7*",'Accounting data'!$J$2:$J$37000,"4*",'Accounting data'!$K$2:$K$37000,"69*")+SUMIFS('Accounting data'!$G$2:$G$37000,'Accounting data'!$H$2:$H$37000,"9999*",'Accounting data'!$I$2:$I$37000,"8*",'Accounting data'!$J$2:$J$37000,"4*",'Accounting data'!$K$2:$K$37000,"69*")+SUMIFS('Accounting data'!$G$2:$G$37000,'Accounting data'!$H$2:$H$37000,"9999*",'Accounting data'!$I$2:$I$37000,"9*",'Accounting data'!$J$2:$J$37000,"4*",'Accounting data'!$K$2:$K$37000,"69*")</f>
        <v>0</v>
      </c>
    </row>
    <row r="1353" spans="1:5" x14ac:dyDescent="0.2">
      <c r="A1353" s="560"/>
      <c r="B1353" s="560"/>
      <c r="C1353" s="560"/>
      <c r="D1353" s="560"/>
      <c r="E1353" s="561"/>
    </row>
    <row r="1354" spans="1:5" x14ac:dyDescent="0.2">
      <c r="A1354" s="562" t="s">
        <v>1006</v>
      </c>
      <c r="B1354" s="560" t="s">
        <v>1007</v>
      </c>
      <c r="C1354" s="560">
        <v>4000</v>
      </c>
      <c r="D1354" s="569">
        <v>6700</v>
      </c>
      <c r="E1354" s="561">
        <f>SUMIFS('Accounting data'!$G$2:$G$37000,'Accounting data'!$H$2:$H$37000,"9999*",'Accounting data'!$I$2:$I$37000,"7*",'Accounting data'!$J$2:$J$37000,"4*",'Accounting data'!$K$2:$K$37000,"67*")+SUMIFS('Accounting data'!$G$2:$G$37000,'Accounting data'!$H$2:$H$37000,"9999*",'Accounting data'!$I$2:$I$37000,"8*",'Accounting data'!$J$2:$J$37000,"4*",'Accounting data'!$K$2:$K$37000,"67*")+SUMIFS('Accounting data'!$G$2:$G$37000,'Accounting data'!$H$2:$H$37000,"9999*",'Accounting data'!$I$2:$I$37000,"9*",'Accounting data'!$J$2:$J$37000,"4*",'Accounting data'!$K$2:$K$37000,"67*")</f>
        <v>0</v>
      </c>
    </row>
    <row r="1355" spans="1:5" x14ac:dyDescent="0.2">
      <c r="A1355" s="562"/>
      <c r="B1355" s="560"/>
      <c r="C1355" s="560"/>
      <c r="D1355" s="569"/>
      <c r="E1355" s="561"/>
    </row>
    <row r="1356" spans="1:5" x14ac:dyDescent="0.2">
      <c r="A1356" s="562"/>
      <c r="B1356" s="560"/>
      <c r="C1356" s="560"/>
      <c r="D1356" s="569"/>
      <c r="E1356" s="561"/>
    </row>
    <row r="1357" spans="1:5" x14ac:dyDescent="0.2">
      <c r="A1357" s="563" t="s">
        <v>1113</v>
      </c>
      <c r="B1357" s="563"/>
      <c r="C1357" s="563"/>
      <c r="D1357" s="563"/>
      <c r="E1357" s="565">
        <f>(E1347-E1348-E1349)-((E1350+E1351)-(E1352+E1353))-(E1354+E1355+E1356)</f>
        <v>0</v>
      </c>
    </row>
    <row r="1358" spans="1:5" x14ac:dyDescent="0.2">
      <c r="A1358" s="560" t="s">
        <v>1005</v>
      </c>
      <c r="B1358" s="560" t="s">
        <v>1007</v>
      </c>
      <c r="C1358" s="560">
        <v>5000</v>
      </c>
      <c r="D1358" s="560">
        <v>6000</v>
      </c>
      <c r="E1358" s="561">
        <f>SUMIFS('Accounting data'!$G$2:$G$37000,'Accounting data'!$I$2:$I$37000,"7*",'Accounting data'!$J$2:$J$37000,"5*",'Accounting data'!$K$2:$K$37000,"6*")+SUMIFS('Accounting data'!$G$2:$G$37000,'Accounting data'!$I$2:$I$37000,"8*",'Accounting data'!$J$2:$J$37000,"5*",'Accounting data'!$K$2:$K$37000,"6*")+SUMIFS('Accounting data'!$G$2:$G$37000,'Accounting data'!$I$2:$I$37000,"9*",'Accounting data'!$J$2:$J$37000,"5*",'Accounting data'!$K$2:$K$37000,"6*")</f>
        <v>0</v>
      </c>
    </row>
    <row r="1359" spans="1:5" x14ac:dyDescent="0.2">
      <c r="A1359" s="560" t="s">
        <v>1005</v>
      </c>
      <c r="B1359" s="560" t="s">
        <v>1007</v>
      </c>
      <c r="C1359" s="560">
        <v>5000</v>
      </c>
      <c r="D1359" s="560">
        <v>6900</v>
      </c>
      <c r="E1359" s="561">
        <f>SUMIFS('Accounting data'!$G$2:$G$37000,'Accounting data'!$I$2:$I$37000,"7*",'Accounting data'!$J$2:$J$37000,"5*",'Accounting data'!$K$2:$K$37000,"69*")+SUMIFS('Accounting data'!$G$2:$G$37000,'Accounting data'!$I$2:$I$37000,"8*",'Accounting data'!$J$2:$J$37000,"5*",'Accounting data'!$K$2:$K$37000,"69*")+SUMIFS('Accounting data'!$G$2:$G$37000,'Accounting data'!$I$2:$I$37000,"9*",'Accounting data'!$J$2:$J$37000,"5*",'Accounting data'!$K$2:$K$37000,"69*")</f>
        <v>0</v>
      </c>
    </row>
    <row r="1360" spans="1:5" x14ac:dyDescent="0.2">
      <c r="A1360" s="560" t="s">
        <v>1005</v>
      </c>
      <c r="B1360" s="560" t="s">
        <v>1007</v>
      </c>
      <c r="C1360" s="560">
        <v>5000</v>
      </c>
      <c r="D1360" s="569">
        <v>6700</v>
      </c>
      <c r="E1360" s="561">
        <f>SUMIFS('Accounting data'!$G$2:$G$37000,'Accounting data'!$I$2:$I$37000,"7*",'Accounting data'!$J$2:$J$37000,"5*",'Accounting data'!$K$2:$K$37000,"67*")+SUMIFS('Accounting data'!$G$2:$G$37000,'Accounting data'!$I$2:$I$37000,"8*",'Accounting data'!$J$2:$J$37000,"5*",'Accounting data'!$K$2:$K$37000,"67*")+SUMIFS('Accounting data'!$G$2:$G$37000,'Accounting data'!$I$2:$I$37000,"9*",'Accounting data'!$J$2:$J$37000,"5*",'Accounting data'!$K$2:$K$37000,"67*")</f>
        <v>0</v>
      </c>
    </row>
    <row r="1361" spans="1:5" x14ac:dyDescent="0.2">
      <c r="A1361" s="562" t="s">
        <v>1006</v>
      </c>
      <c r="B1361" s="560" t="s">
        <v>1007</v>
      </c>
      <c r="C1361" s="560">
        <v>5000</v>
      </c>
      <c r="D1361" s="560">
        <v>6000</v>
      </c>
      <c r="E1361" s="561">
        <f>SUMIFS('Accounting data'!$G$2:$G$37000,'Accounting data'!$H$2:$H$37000,"9999*",'Accounting data'!$I$2:$I$37000,"7*",'Accounting data'!$J$2:$J$37000,"5*",'Accounting data'!$K$2:$K$37000,"6*")+SUMIFS('Accounting data'!$G$2:$G$37000,'Accounting data'!$H$2:$H$37000,"9999*",'Accounting data'!$I$2:$I$37000,"8*",'Accounting data'!$J$2:$J$37000,"5*",'Accounting data'!$K$2:$K$37000,"6*")+SUMIFS('Accounting data'!$G$2:$G$37000,'Accounting data'!$H$2:$H$37000,"9999*",'Accounting data'!$I$2:$I$37000,"9*",'Accounting data'!$J$2:$J$37000,"5*",'Accounting data'!$K$2:$K$37000,"6*")</f>
        <v>0</v>
      </c>
    </row>
    <row r="1362" spans="1:5" x14ac:dyDescent="0.2">
      <c r="A1362" s="560"/>
      <c r="B1362" s="560"/>
      <c r="C1362" s="560"/>
      <c r="D1362" s="560"/>
      <c r="E1362" s="561"/>
    </row>
    <row r="1363" spans="1:5" x14ac:dyDescent="0.2">
      <c r="A1363" s="562" t="s">
        <v>1006</v>
      </c>
      <c r="B1363" s="560" t="s">
        <v>1007</v>
      </c>
      <c r="C1363" s="560">
        <v>5000</v>
      </c>
      <c r="D1363" s="560">
        <v>6900</v>
      </c>
      <c r="E1363" s="561">
        <f>SUMIFS('Accounting data'!$G$2:$G$37000,'Accounting data'!$H$2:$H$37000,"9999*",'Accounting data'!$I$2:$I$37000,"7*",'Accounting data'!$J$2:$J$37000,"5*",'Accounting data'!$K$2:$K$37000,"69*")+SUMIFS('Accounting data'!$G$2:$G$37000,'Accounting data'!$H$2:$H$37000,"9999*",'Accounting data'!$I$2:$I$37000,"8*",'Accounting data'!$J$2:$J$37000,"5*",'Accounting data'!$K$2:$K$37000,"69*")+SUMIFS('Accounting data'!$G$2:$G$37000,'Accounting data'!$H$2:$H$37000,"9999*",'Accounting data'!$I$2:$I$37000,"9*",'Accounting data'!$J$2:$J$37000,"5*",'Accounting data'!$K$2:$K$37000,"69*")</f>
        <v>0</v>
      </c>
    </row>
    <row r="1364" spans="1:5" x14ac:dyDescent="0.2">
      <c r="A1364" s="560"/>
      <c r="B1364" s="560"/>
      <c r="C1364" s="560"/>
      <c r="D1364" s="560"/>
      <c r="E1364" s="561"/>
    </row>
    <row r="1365" spans="1:5" x14ac:dyDescent="0.2">
      <c r="A1365" s="562" t="s">
        <v>1006</v>
      </c>
      <c r="B1365" s="560" t="s">
        <v>1007</v>
      </c>
      <c r="C1365" s="560">
        <v>5000</v>
      </c>
      <c r="D1365" s="569">
        <v>6700</v>
      </c>
      <c r="E1365" s="561">
        <f>SUMIFS('Accounting data'!$G$2:$G$37000,'Accounting data'!$H$2:$H$37000,"9999*",'Accounting data'!$I$2:$I$37000,"7*",'Accounting data'!$J$2:$J$37000,"5*",'Accounting data'!$K$2:$K$37000,"67*")+SUMIFS('Accounting data'!$G$2:$G$37000,'Accounting data'!$H$2:$H$37000,"9999*",'Accounting data'!$I$2:$I$37000,"8*",'Accounting data'!$J$2:$J$37000,"5*",'Accounting data'!$K$2:$K$37000,"67*")+SUMIFS('Accounting data'!$G$2:$G$37000,'Accounting data'!$H$2:$H$37000,"9999*",'Accounting data'!$I$2:$I$37000,"9*",'Accounting data'!$J$2:$J$37000,"5*",'Accounting data'!$K$2:$K$37000,"67*")</f>
        <v>0</v>
      </c>
    </row>
    <row r="1366" spans="1:5" x14ac:dyDescent="0.2">
      <c r="A1366" s="562"/>
      <c r="B1366" s="560"/>
      <c r="C1366" s="560"/>
      <c r="D1366" s="569"/>
      <c r="E1366" s="561"/>
    </row>
    <row r="1367" spans="1:5" x14ac:dyDescent="0.2">
      <c r="A1367" s="562"/>
      <c r="B1367" s="560"/>
      <c r="C1367" s="560"/>
      <c r="D1367" s="569"/>
      <c r="E1367" s="561"/>
    </row>
    <row r="1368" spans="1:5" x14ac:dyDescent="0.2">
      <c r="A1368" s="563" t="s">
        <v>1114</v>
      </c>
      <c r="B1368" s="563"/>
      <c r="C1368" s="563"/>
      <c r="D1368" s="563"/>
      <c r="E1368" s="565">
        <f>(E1358-E1359-E1360)-((E1361+E1362)-(E1363+E1364))-(E1365+E1366+E1367)</f>
        <v>0</v>
      </c>
    </row>
    <row r="1369" spans="1:5" x14ac:dyDescent="0.2">
      <c r="A1369" s="566" t="s">
        <v>1115</v>
      </c>
      <c r="B1369" s="566"/>
      <c r="C1369" s="566"/>
      <c r="D1369" s="566"/>
      <c r="E1369" s="570">
        <f>E1225+E1236+E1247+E1258+E1269+E1280+E1291+E1302+E1313+E1324+E1335+E1346</f>
        <v>0</v>
      </c>
    </row>
    <row r="1370" spans="1:5" x14ac:dyDescent="0.2">
      <c r="A1370" s="562" t="s">
        <v>1021</v>
      </c>
      <c r="B1370" s="562">
        <v>700</v>
      </c>
      <c r="C1370" s="569">
        <v>1000</v>
      </c>
      <c r="D1370" s="560">
        <v>6000</v>
      </c>
      <c r="E1370" s="561">
        <f>SUMIFS('Accounting data'!$G$2:$G$37000,'Accounting data'!$H$2:$H$37000,"11*",'Accounting data'!$I$2:$I$37000,"7*",'Accounting data'!$J$2:$J$37000,"1*",'Accounting data'!$K$2:$K$37000,"6*")+SUMIFS('Accounting data'!$G$2:$G$37000,'Accounting data'!$H$2:$H$37000,"12*",'Accounting data'!$I$2:$I$37000,"7*",'Accounting data'!$J$2:$J$37000,"1*",'Accounting data'!$K$2:$K$37000,"6*")+SUMIFS('Accounting data'!$G$2:$G$37000,'Accounting data'!$H$2:$H$37000,"13*",'Accounting data'!$I$2:$I$37000,"7*",'Accounting data'!$J$2:$J$37000,"1*",'Accounting data'!$K$2:$K$37000,"6*")</f>
        <v>0</v>
      </c>
    </row>
    <row r="1371" spans="1:5" x14ac:dyDescent="0.2">
      <c r="A1371" s="562" t="s">
        <v>1021</v>
      </c>
      <c r="B1371" s="562">
        <v>800</v>
      </c>
      <c r="C1371" s="569">
        <v>1000</v>
      </c>
      <c r="D1371" s="560">
        <v>6000</v>
      </c>
      <c r="E1371" s="561">
        <f>SUMIFS('Accounting data'!$G$2:$G$37000,'Accounting data'!$H$2:$H$37000,"11*",'Accounting data'!$I$2:$I$37000,"8*",'Accounting data'!$J$2:$J$37000,"1*",'Accounting data'!$K$2:$K$37000,"6*")+SUMIFS('Accounting data'!$G$2:$G$37000,'Accounting data'!$H$2:$H$37000,"12*",'Accounting data'!$I$2:$I$37000,"8*",'Accounting data'!$J$2:$J$37000,"1*",'Accounting data'!$K$2:$K$37000,"6*")+SUMIFS('Accounting data'!$G$2:$G$37000,'Accounting data'!$H$2:$H$37000,"13*",'Accounting data'!$I$2:$I$37000,"8*",'Accounting data'!$J$2:$J$37000,"1*",'Accounting data'!$K$2:$K$37000,"6*")</f>
        <v>0</v>
      </c>
    </row>
    <row r="1372" spans="1:5" x14ac:dyDescent="0.2">
      <c r="A1372" s="562" t="s">
        <v>1021</v>
      </c>
      <c r="B1372" s="562">
        <v>900</v>
      </c>
      <c r="C1372" s="569">
        <v>1000</v>
      </c>
      <c r="D1372" s="560">
        <v>6000</v>
      </c>
      <c r="E1372" s="561">
        <f>SUMIFS('Accounting data'!$G$2:$G$37000,'Accounting data'!$H$2:$H$37000,"11*",'Accounting data'!$I$2:$I$37000,"9*",'Accounting data'!$J$2:$J$37000,"1*",'Accounting data'!$K$2:$K$37000,"6*")+SUMIFS('Accounting data'!$G$2:$G$37000,'Accounting data'!$H$2:$H$37000,"12*",'Accounting data'!$I$2:$I$37000,"9*",'Accounting data'!$J$2:$J$37000,"1*",'Accounting data'!$K$2:$K$37000,"6*")+SUMIFS('Accounting data'!$G$2:$G$37000,'Accounting data'!$H$2:$H$37000,"13*",'Accounting data'!$I$2:$I$37000,"9*",'Accounting data'!$J$2:$J$37000,"1*",'Accounting data'!$K$2:$K$37000,"6*")</f>
        <v>0</v>
      </c>
    </row>
    <row r="1373" spans="1:5" x14ac:dyDescent="0.2">
      <c r="A1373" s="562" t="s">
        <v>1021</v>
      </c>
      <c r="B1373" s="562">
        <v>700</v>
      </c>
      <c r="C1373" s="569">
        <v>2000</v>
      </c>
      <c r="D1373" s="560">
        <v>6000</v>
      </c>
      <c r="E1373" s="561">
        <f>SUMIFS('Accounting data'!$G$2:$G$37000,'Accounting data'!$H$2:$H$37000,"11*",'Accounting data'!$I$2:$I$37000,"7*",'Accounting data'!$J$2:$J$37000,"2*",'Accounting data'!$K$2:$K$37000,"6*")+SUMIFS('Accounting data'!$G$2:$G$37000,'Accounting data'!$H$2:$H$37000,"12*",'Accounting data'!$I$2:$I$37000,"7*",'Accounting data'!$J$2:$J$37000,"2*",'Accounting data'!$K$2:$K$37000,"6*")+SUMIFS('Accounting data'!$G$2:$G$37000,'Accounting data'!$H$2:$H$37000,"13*",'Accounting data'!$I$2:$I$37000,"7*",'Accounting data'!$J$2:$J$37000,"2*",'Accounting data'!$K$2:$K$37000,"6*")</f>
        <v>0</v>
      </c>
    </row>
    <row r="1374" spans="1:5" x14ac:dyDescent="0.2">
      <c r="A1374" s="562" t="s">
        <v>1021</v>
      </c>
      <c r="B1374" s="562">
        <v>800</v>
      </c>
      <c r="C1374" s="569">
        <v>2000</v>
      </c>
      <c r="D1374" s="560">
        <v>6000</v>
      </c>
      <c r="E1374" s="561">
        <f>SUMIFS('Accounting data'!$G$2:$G$37000,'Accounting data'!$H$2:$H$37000,"11*",'Accounting data'!$I$2:$I$37000,"8*",'Accounting data'!$J$2:$J$37000,"2*",'Accounting data'!$K$2:$K$37000,"6*")+SUMIFS('Accounting data'!$G$2:$G$37000,'Accounting data'!$H$2:$H$37000,"12*",'Accounting data'!$I$2:$I$37000,"8*",'Accounting data'!$J$2:$J$37000,"2*",'Accounting data'!$K$2:$K$37000,"6*")+SUMIFS('Accounting data'!$G$2:$G$37000,'Accounting data'!$H$2:$H$37000,"13*",'Accounting data'!$I$2:$I$37000,"8*",'Accounting data'!$J$2:$J$37000,"2*",'Accounting data'!$K$2:$K$37000,"6*")</f>
        <v>0</v>
      </c>
    </row>
    <row r="1375" spans="1:5" x14ac:dyDescent="0.2">
      <c r="A1375" s="562" t="s">
        <v>1021</v>
      </c>
      <c r="B1375" s="562">
        <v>900</v>
      </c>
      <c r="C1375" s="569">
        <v>2000</v>
      </c>
      <c r="D1375" s="560">
        <v>6000</v>
      </c>
      <c r="E1375" s="561">
        <f>SUMIFS('Accounting data'!$G$2:$G$37000,'Accounting data'!$H$2:$H$37000,"11*",'Accounting data'!$I$2:$I$37000,"9*",'Accounting data'!$J$2:$J$37000,"2*",'Accounting data'!$K$2:$K$37000,"6*")+SUMIFS('Accounting data'!$G$2:$G$37000,'Accounting data'!$H$2:$H$37000,"12*",'Accounting data'!$I$2:$I$37000,"9*",'Accounting data'!$J$2:$J$37000,"2*",'Accounting data'!$K$2:$K$37000,"6*")+SUMIFS('Accounting data'!$G$2:$G$37000,'Accounting data'!$H$2:$H$37000,"13*",'Accounting data'!$I$2:$I$37000,"9*",'Accounting data'!$J$2:$J$37000,"2*",'Accounting data'!$K$2:$K$37000,"6*")</f>
        <v>0</v>
      </c>
    </row>
    <row r="1376" spans="1:5" x14ac:dyDescent="0.2">
      <c r="A1376" s="562" t="s">
        <v>1021</v>
      </c>
      <c r="B1376" s="562">
        <v>700</v>
      </c>
      <c r="C1376" s="569">
        <v>3000</v>
      </c>
      <c r="D1376" s="560">
        <v>6000</v>
      </c>
      <c r="E1376" s="561">
        <f>SUMIFS('Accounting data'!$G$2:$G$37000,'Accounting data'!$H$2:$H$37000,"11*",'Accounting data'!$I$2:$I$37000,"7*",'Accounting data'!$J$2:$J$37000,"3*",'Accounting data'!$K$2:$K$37000,"6*")+SUMIFS('Accounting data'!$G$2:$G$37000,'Accounting data'!$H$2:$H$37000,"12*",'Accounting data'!$I$2:$I$37000,"7*",'Accounting data'!$J$2:$J$37000,"3*",'Accounting data'!$K$2:$K$37000,"6*")+SUMIFS('Accounting data'!$G$2:$G$37000,'Accounting data'!$H$2:$H$37000,"13*",'Accounting data'!$I$2:$I$37000,"7*",'Accounting data'!$J$2:$J$37000,"3*",'Accounting data'!$K$2:$K$37000,"6*")</f>
        <v>0</v>
      </c>
    </row>
    <row r="1377" spans="1:5" x14ac:dyDescent="0.2">
      <c r="A1377" s="562" t="s">
        <v>1021</v>
      </c>
      <c r="B1377" s="562">
        <v>800</v>
      </c>
      <c r="C1377" s="569">
        <v>3000</v>
      </c>
      <c r="D1377" s="560">
        <v>6000</v>
      </c>
      <c r="E1377" s="561">
        <f>SUMIFS('Accounting data'!$G$2:$G$37000,'Accounting data'!$H$2:$H$37000,"11*",'Accounting data'!$I$2:$I$37000,"8*",'Accounting data'!$J$2:$J$37000,"3*",'Accounting data'!$K$2:$K$37000,"6*")+SUMIFS('Accounting data'!$G$2:$G$37000,'Accounting data'!$H$2:$H$37000,"12*",'Accounting data'!$I$2:$I$37000,"8*",'Accounting data'!$J$2:$J$37000,"3*",'Accounting data'!$K$2:$K$37000,"6*")+SUMIFS('Accounting data'!$G$2:$G$37000,'Accounting data'!$H$2:$H$37000,"13*",'Accounting data'!$I$2:$I$37000,"8*",'Accounting data'!$J$2:$J$37000,"3*",'Accounting data'!$K$2:$K$37000,"6*")</f>
        <v>0</v>
      </c>
    </row>
    <row r="1378" spans="1:5" x14ac:dyDescent="0.2">
      <c r="A1378" s="562" t="s">
        <v>1021</v>
      </c>
      <c r="B1378" s="562">
        <v>900</v>
      </c>
      <c r="C1378" s="569">
        <v>3000</v>
      </c>
      <c r="D1378" s="560">
        <v>6000</v>
      </c>
      <c r="E1378" s="561">
        <f>SUMIFS('Accounting data'!$G$2:$G$37000,'Accounting data'!$H$2:$H$37000,"11*",'Accounting data'!$I$2:$I$37000,"9*",'Accounting data'!$J$2:$J$37000,"3*",'Accounting data'!$K$2:$K$37000,"6*")+SUMIFS('Accounting data'!$G$2:$G$37000,'Accounting data'!$H$2:$H$37000,"12*",'Accounting data'!$I$2:$I$37000,"9*",'Accounting data'!$J$2:$J$37000,"3*",'Accounting data'!$K$2:$K$37000,"6*")+SUMIFS('Accounting data'!$G$2:$G$37000,'Accounting data'!$H$2:$H$37000,"13*",'Accounting data'!$I$2:$I$37000,"9*",'Accounting data'!$J$2:$J$37000,"3*",'Accounting data'!$K$2:$K$37000,"6*")</f>
        <v>0</v>
      </c>
    </row>
    <row r="1379" spans="1:5" x14ac:dyDescent="0.2">
      <c r="A1379" s="562" t="s">
        <v>1021</v>
      </c>
      <c r="B1379" s="562">
        <v>700</v>
      </c>
      <c r="C1379" s="569">
        <v>1000</v>
      </c>
      <c r="D1379" s="560">
        <v>6900</v>
      </c>
      <c r="E1379" s="561">
        <f>SUMIFS('Accounting data'!$G$2:$G$37000,'Accounting data'!$H$2:$H$37000,"11*",'Accounting data'!$I$2:$I$37000,"7*",'Accounting data'!$J$2:$J$37000,"1*",'Accounting data'!$K$2:$K$37000,"69*")+SUMIFS('Accounting data'!$G$2:$G$37000,'Accounting data'!$H$2:$H$37000,"12*",'Accounting data'!$I$2:$I$37000,"7*",'Accounting data'!$J$2:$J$37000,"1*",'Accounting data'!$K$2:$K$37000,"69*")+SUMIFS('Accounting data'!$G$2:$G$37000,'Accounting data'!$H$2:$H$37000,"13*",'Accounting data'!$I$2:$I$37000,"7*",'Accounting data'!$J$2:$J$37000,"1*",'Accounting data'!$K$2:$K$37000,"69*")</f>
        <v>0</v>
      </c>
    </row>
    <row r="1380" spans="1:5" x14ac:dyDescent="0.2">
      <c r="A1380" s="562" t="s">
        <v>1021</v>
      </c>
      <c r="B1380" s="562">
        <v>800</v>
      </c>
      <c r="C1380" s="569">
        <v>1000</v>
      </c>
      <c r="D1380" s="560">
        <v>6900</v>
      </c>
      <c r="E1380" s="561">
        <f>SUMIFS('Accounting data'!$G$2:$G$37000,'Accounting data'!$H$2:$H$37000,"11*",'Accounting data'!$I$2:$I$37000,"8*",'Accounting data'!$J$2:$J$37000,"1*",'Accounting data'!$K$2:$K$37000,"69*")+SUMIFS('Accounting data'!$G$2:$G$37000,'Accounting data'!$H$2:$H$37000,"12*",'Accounting data'!$I$2:$I$37000,"8*",'Accounting data'!$J$2:$J$37000,"1*",'Accounting data'!$K$2:$K$37000,"69*")+SUMIFS('Accounting data'!$G$2:$G$37000,'Accounting data'!$H$2:$H$37000,"13*",'Accounting data'!$I$2:$I$37000,"8*",'Accounting data'!$J$2:$J$37000,"1*",'Accounting data'!$K$2:$K$37000,"69*")</f>
        <v>0</v>
      </c>
    </row>
    <row r="1381" spans="1:5" x14ac:dyDescent="0.2">
      <c r="A1381" s="562" t="s">
        <v>1021</v>
      </c>
      <c r="B1381" s="562">
        <v>900</v>
      </c>
      <c r="C1381" s="569">
        <v>1000</v>
      </c>
      <c r="D1381" s="560">
        <v>6900</v>
      </c>
      <c r="E1381" s="561">
        <f>SUMIFS('Accounting data'!$G$2:$G$37000,'Accounting data'!$H$2:$H$37000,"11*",'Accounting data'!$I$2:$I$37000,"9*",'Accounting data'!$J$2:$J$37000,"1*",'Accounting data'!$K$2:$K$37000,"69*")+SUMIFS('Accounting data'!$G$2:$G$37000,'Accounting data'!$H$2:$H$37000,"12*",'Accounting data'!$I$2:$I$37000,"9*",'Accounting data'!$J$2:$J$37000,"1*",'Accounting data'!$K$2:$K$37000,"69*")+SUMIFS('Accounting data'!$G$2:$G$37000,'Accounting data'!$H$2:$H$37000,"13*",'Accounting data'!$I$2:$I$37000,"9*",'Accounting data'!$J$2:$J$37000,"1*",'Accounting data'!$K$2:$K$37000,"69*")</f>
        <v>0</v>
      </c>
    </row>
    <row r="1382" spans="1:5" x14ac:dyDescent="0.2">
      <c r="A1382" s="562" t="s">
        <v>1021</v>
      </c>
      <c r="B1382" s="562">
        <v>700</v>
      </c>
      <c r="C1382" s="569">
        <v>2000</v>
      </c>
      <c r="D1382" s="560">
        <v>6900</v>
      </c>
      <c r="E1382" s="561">
        <f>SUMIFS('Accounting data'!$G$2:$G$37000,'Accounting data'!$H$2:$H$37000,"11*",'Accounting data'!$I$2:$I$37000,"7*",'Accounting data'!$J$2:$J$37000,"2*",'Accounting data'!$K$2:$K$37000,"69*")+SUMIFS('Accounting data'!$G$2:$G$37000,'Accounting data'!$H$2:$H$37000,"12*",'Accounting data'!$I$2:$I$37000,"7*",'Accounting data'!$J$2:$J$37000,"2*",'Accounting data'!$K$2:$K$37000,"69*")+SUMIFS('Accounting data'!$G$2:$G$37000,'Accounting data'!$H$2:$H$37000,"13*",'Accounting data'!$I$2:$I$37000,"7*",'Accounting data'!$J$2:$J$37000,"2*",'Accounting data'!$K$2:$K$37000,"69*")</f>
        <v>0</v>
      </c>
    </row>
    <row r="1383" spans="1:5" x14ac:dyDescent="0.2">
      <c r="A1383" s="562" t="s">
        <v>1021</v>
      </c>
      <c r="B1383" s="562">
        <v>800</v>
      </c>
      <c r="C1383" s="569">
        <v>2000</v>
      </c>
      <c r="D1383" s="560">
        <v>6900</v>
      </c>
      <c r="E1383" s="561">
        <f>SUMIFS('Accounting data'!$G$2:$G$37000,'Accounting data'!$H$2:$H$37000,"11*",'Accounting data'!$I$2:$I$37000,"8*",'Accounting data'!$J$2:$J$37000,"2*",'Accounting data'!$K$2:$K$37000,"69*")+SUMIFS('Accounting data'!$G$2:$G$37000,'Accounting data'!$H$2:$H$37000,"12*",'Accounting data'!$I$2:$I$37000,"8*",'Accounting data'!$J$2:$J$37000,"2*",'Accounting data'!$K$2:$K$37000,"69*")+SUMIFS('Accounting data'!$G$2:$G$37000,'Accounting data'!$H$2:$H$37000,"13*",'Accounting data'!$I$2:$I$37000,"8*",'Accounting data'!$J$2:$J$37000,"2*",'Accounting data'!$K$2:$K$37000,"69*")</f>
        <v>0</v>
      </c>
    </row>
    <row r="1384" spans="1:5" x14ac:dyDescent="0.2">
      <c r="A1384" s="562" t="s">
        <v>1021</v>
      </c>
      <c r="B1384" s="562">
        <v>900</v>
      </c>
      <c r="C1384" s="569">
        <v>2000</v>
      </c>
      <c r="D1384" s="560">
        <v>6900</v>
      </c>
      <c r="E1384" s="561">
        <f>SUMIFS('Accounting data'!$G$2:$G$37000,'Accounting data'!$H$2:$H$37000,"11*",'Accounting data'!$I$2:$I$37000,"9*",'Accounting data'!$J$2:$J$37000,"2*",'Accounting data'!$K$2:$K$37000,"69*")+SUMIFS('Accounting data'!$G$2:$G$37000,'Accounting data'!$H$2:$H$37000,"12*",'Accounting data'!$I$2:$I$37000,"9*",'Accounting data'!$J$2:$J$37000,"2*",'Accounting data'!$K$2:$K$37000,"69*")+SUMIFS('Accounting data'!$G$2:$G$37000,'Accounting data'!$H$2:$H$37000,"13*",'Accounting data'!$I$2:$I$37000,"9*",'Accounting data'!$J$2:$J$37000,"2*",'Accounting data'!$K$2:$K$37000,"69*")</f>
        <v>0</v>
      </c>
    </row>
    <row r="1385" spans="1:5" x14ac:dyDescent="0.2">
      <c r="A1385" s="562" t="s">
        <v>1021</v>
      </c>
      <c r="B1385" s="562">
        <v>700</v>
      </c>
      <c r="C1385" s="569">
        <v>3000</v>
      </c>
      <c r="D1385" s="560">
        <v>6900</v>
      </c>
      <c r="E1385" s="561">
        <f>SUMIFS('Accounting data'!$G$2:$G$37000,'Accounting data'!$H$2:$H$37000,"11*",'Accounting data'!$I$2:$I$37000,"7*",'Accounting data'!$J$2:$J$37000,"3*",'Accounting data'!$K$2:$K$37000,"69*")+SUMIFS('Accounting data'!$G$2:$G$37000,'Accounting data'!$H$2:$H$37000,"12*",'Accounting data'!$I$2:$I$37000,"7*",'Accounting data'!$J$2:$J$37000,"3*",'Accounting data'!$K$2:$K$37000,"69*")+SUMIFS('Accounting data'!$G$2:$G$37000,'Accounting data'!$H$2:$H$37000,"13*",'Accounting data'!$I$2:$I$37000,"7*",'Accounting data'!$J$2:$J$37000,"3*",'Accounting data'!$K$2:$K$37000,"69*")</f>
        <v>0</v>
      </c>
    </row>
    <row r="1386" spans="1:5" x14ac:dyDescent="0.2">
      <c r="A1386" s="562" t="s">
        <v>1021</v>
      </c>
      <c r="B1386" s="562">
        <v>800</v>
      </c>
      <c r="C1386" s="569">
        <v>3000</v>
      </c>
      <c r="D1386" s="560">
        <v>6900</v>
      </c>
      <c r="E1386" s="561">
        <f>SUMIFS('Accounting data'!$G$2:$G$37000,'Accounting data'!$H$2:$H$37000,"11*",'Accounting data'!$I$2:$I$37000,"8*",'Accounting data'!$J$2:$J$37000,"3*",'Accounting data'!$K$2:$K$37000,"69*")+SUMIFS('Accounting data'!$G$2:$G$37000,'Accounting data'!$H$2:$H$37000,"12*",'Accounting data'!$I$2:$I$37000,"8*",'Accounting data'!$J$2:$J$37000,"3*",'Accounting data'!$K$2:$K$37000,"69*")+SUMIFS('Accounting data'!$G$2:$G$37000,'Accounting data'!$H$2:$H$37000,"13*",'Accounting data'!$I$2:$I$37000,"8*",'Accounting data'!$J$2:$J$37000,"3*",'Accounting data'!$K$2:$K$37000,"69*")</f>
        <v>0</v>
      </c>
    </row>
    <row r="1387" spans="1:5" x14ac:dyDescent="0.2">
      <c r="A1387" s="562" t="s">
        <v>1021</v>
      </c>
      <c r="B1387" s="562">
        <v>900</v>
      </c>
      <c r="C1387" s="569">
        <v>3000</v>
      </c>
      <c r="D1387" s="560">
        <v>6900</v>
      </c>
      <c r="E1387" s="561">
        <f>SUMIFS('Accounting data'!$G$2:$G$37000,'Accounting data'!$H$2:$H$37000,"11*",'Accounting data'!$I$2:$I$37000,"9*",'Accounting data'!$J$2:$J$37000,"3*",'Accounting data'!$K$2:$K$37000,"69*")+SUMIFS('Accounting data'!$G$2:$G$37000,'Accounting data'!$H$2:$H$37000,"12*",'Accounting data'!$I$2:$I$37000,"9*",'Accounting data'!$J$2:$J$37000,"3*",'Accounting data'!$K$2:$K$37000,"69*")+SUMIFS('Accounting data'!$G$2:$G$37000,'Accounting data'!$H$2:$H$37000,"13*",'Accounting data'!$I$2:$I$37000,"9*",'Accounting data'!$J$2:$J$37000,"3*",'Accounting data'!$K$2:$K$37000,"69*")</f>
        <v>0</v>
      </c>
    </row>
    <row r="1388" spans="1:5" x14ac:dyDescent="0.2">
      <c r="A1388" s="563" t="s">
        <v>1116</v>
      </c>
      <c r="B1388" s="563"/>
      <c r="C1388" s="563"/>
      <c r="D1388" s="563"/>
      <c r="E1388" s="565">
        <f>(E1370+E1371+E1372+E1373+E1374+E1375+E1376+E1377+E1378)-(E1379+E1380+E1381+E1382+E1383+E1384+E1385+E1386+E1387)</f>
        <v>0</v>
      </c>
    </row>
    <row r="1389" spans="1:5" x14ac:dyDescent="0.2">
      <c r="A1389" s="573"/>
      <c r="B1389" s="573"/>
      <c r="C1389" s="573"/>
      <c r="D1389" s="573"/>
      <c r="E1389" s="574"/>
    </row>
    <row r="1390" spans="1:5" x14ac:dyDescent="0.2">
      <c r="A1390" s="573"/>
      <c r="B1390" s="573"/>
      <c r="C1390" s="573"/>
      <c r="D1390" s="573"/>
      <c r="E1390" s="574"/>
    </row>
    <row r="1391" spans="1:5" x14ac:dyDescent="0.2">
      <c r="A1391" s="573"/>
      <c r="B1391" s="573"/>
      <c r="C1391" s="573"/>
      <c r="D1391" s="573"/>
      <c r="E1391" s="574"/>
    </row>
    <row r="1392" spans="1:5" x14ac:dyDescent="0.2">
      <c r="A1392" s="573"/>
      <c r="B1392" s="573"/>
      <c r="C1392" s="573"/>
      <c r="D1392" s="573"/>
      <c r="E1392" s="574"/>
    </row>
    <row r="1393" spans="1:5" x14ac:dyDescent="0.2">
      <c r="A1393" s="573"/>
      <c r="B1393" s="573"/>
      <c r="C1393" s="573"/>
      <c r="D1393" s="575"/>
      <c r="E1393" s="574"/>
    </row>
    <row r="1394" spans="1:5" x14ac:dyDescent="0.2">
      <c r="A1394" s="573"/>
      <c r="B1394" s="573"/>
      <c r="C1394" s="573"/>
      <c r="D1394" s="573"/>
      <c r="E1394" s="574"/>
    </row>
    <row r="1395" spans="1:5" x14ac:dyDescent="0.2">
      <c r="A1395" s="573"/>
      <c r="B1395" s="573"/>
      <c r="C1395" s="573"/>
      <c r="D1395" s="573"/>
      <c r="E1395" s="574"/>
    </row>
    <row r="1396" spans="1:5" x14ac:dyDescent="0.2">
      <c r="A1396" s="573"/>
      <c r="B1396" s="573"/>
      <c r="C1396" s="573"/>
      <c r="D1396" s="573"/>
      <c r="E1396" s="574"/>
    </row>
    <row r="1397" spans="1:5" x14ac:dyDescent="0.2">
      <c r="A1397" s="573"/>
      <c r="B1397" s="573"/>
      <c r="C1397" s="573"/>
      <c r="D1397" s="573"/>
      <c r="E1397" s="574"/>
    </row>
    <row r="1398" spans="1:5" x14ac:dyDescent="0.2">
      <c r="A1398" s="573"/>
      <c r="B1398" s="573"/>
      <c r="C1398" s="573"/>
      <c r="D1398" s="573"/>
      <c r="E1398" s="574"/>
    </row>
    <row r="1399" spans="1:5" x14ac:dyDescent="0.2">
      <c r="A1399" s="573"/>
      <c r="B1399" s="573"/>
      <c r="C1399" s="573"/>
      <c r="D1399" s="576"/>
      <c r="E1399" s="574"/>
    </row>
    <row r="1400" spans="1:5" x14ac:dyDescent="0.2">
      <c r="A1400" s="573"/>
      <c r="B1400" s="573"/>
      <c r="C1400" s="573"/>
      <c r="D1400" s="573"/>
      <c r="E1400" s="574"/>
    </row>
    <row r="1401" spans="1:5" x14ac:dyDescent="0.2">
      <c r="A1401" s="573"/>
      <c r="B1401" s="573"/>
      <c r="C1401" s="573"/>
      <c r="D1401" s="573"/>
      <c r="E1401" s="574"/>
    </row>
    <row r="1402" spans="1:5" x14ac:dyDescent="0.2">
      <c r="A1402" s="573"/>
      <c r="B1402" s="573"/>
      <c r="C1402" s="573"/>
      <c r="D1402" s="573"/>
      <c r="E1402" s="574"/>
    </row>
    <row r="1403" spans="1:5" x14ac:dyDescent="0.2">
      <c r="A1403" s="573"/>
      <c r="B1403" s="573"/>
      <c r="C1403" s="573"/>
      <c r="D1403" s="573"/>
      <c r="E1403" s="574"/>
    </row>
    <row r="1404" spans="1:5" x14ac:dyDescent="0.2">
      <c r="A1404" s="573"/>
      <c r="B1404" s="573"/>
      <c r="C1404" s="573"/>
      <c r="D1404" s="573"/>
      <c r="E1404" s="574"/>
    </row>
    <row r="1405" spans="1:5" x14ac:dyDescent="0.2">
      <c r="A1405" s="573"/>
      <c r="B1405" s="573"/>
      <c r="C1405" s="573"/>
      <c r="D1405" s="576"/>
      <c r="E1405" s="574"/>
    </row>
    <row r="1406" spans="1:5" x14ac:dyDescent="0.2">
      <c r="A1406" s="573"/>
      <c r="B1406" s="573"/>
      <c r="C1406" s="573"/>
      <c r="D1406" s="573"/>
      <c r="E1406" s="574"/>
    </row>
    <row r="1407" spans="1:5" x14ac:dyDescent="0.2">
      <c r="A1407" s="573"/>
      <c r="B1407" s="573"/>
      <c r="C1407" s="573"/>
      <c r="D1407" s="573"/>
      <c r="E1407" s="574"/>
    </row>
    <row r="1408" spans="1:5" x14ac:dyDescent="0.2">
      <c r="A1408" s="573"/>
      <c r="B1408" s="573"/>
      <c r="C1408" s="573"/>
      <c r="D1408" s="573"/>
      <c r="E1408" s="574"/>
    </row>
    <row r="1409" spans="1:5" x14ac:dyDescent="0.2">
      <c r="A1409" s="573"/>
      <c r="B1409" s="573"/>
      <c r="C1409" s="573"/>
      <c r="D1409" s="573"/>
      <c r="E1409" s="574"/>
    </row>
    <row r="1410" spans="1:5" x14ac:dyDescent="0.2">
      <c r="A1410" s="573"/>
      <c r="B1410" s="573"/>
      <c r="C1410" s="573"/>
      <c r="D1410" s="573"/>
      <c r="E1410" s="574"/>
    </row>
    <row r="1411" spans="1:5" x14ac:dyDescent="0.2">
      <c r="A1411" s="573"/>
      <c r="B1411" s="573"/>
      <c r="C1411" s="573"/>
      <c r="D1411" s="576"/>
      <c r="E1411" s="574"/>
    </row>
    <row r="1412" spans="1:5" x14ac:dyDescent="0.2">
      <c r="A1412" s="573"/>
      <c r="B1412" s="573"/>
      <c r="C1412" s="573"/>
      <c r="D1412" s="573"/>
      <c r="E1412" s="574"/>
    </row>
    <row r="1413" spans="1:5" x14ac:dyDescent="0.2">
      <c r="A1413" s="573"/>
      <c r="B1413" s="573"/>
      <c r="C1413" s="573"/>
      <c r="D1413" s="573"/>
      <c r="E1413" s="574"/>
    </row>
    <row r="1414" spans="1:5" x14ac:dyDescent="0.2">
      <c r="A1414" s="573"/>
      <c r="B1414" s="573"/>
      <c r="C1414" s="573"/>
      <c r="D1414" s="573"/>
      <c r="E1414" s="574"/>
    </row>
    <row r="1415" spans="1:5" x14ac:dyDescent="0.2">
      <c r="A1415" s="573"/>
      <c r="B1415" s="573"/>
      <c r="C1415" s="573"/>
      <c r="D1415" s="573"/>
      <c r="E1415" s="574"/>
    </row>
    <row r="1416" spans="1:5" x14ac:dyDescent="0.2">
      <c r="A1416" s="573"/>
      <c r="B1416" s="573"/>
      <c r="C1416" s="573"/>
      <c r="D1416" s="573"/>
      <c r="E1416" s="574"/>
    </row>
    <row r="1417" spans="1:5" x14ac:dyDescent="0.2">
      <c r="A1417" s="573"/>
      <c r="B1417" s="573"/>
      <c r="C1417" s="573"/>
      <c r="D1417" s="576"/>
      <c r="E1417" s="574"/>
    </row>
    <row r="1418" spans="1:5" x14ac:dyDescent="0.2">
      <c r="A1418" s="573"/>
      <c r="B1418" s="573"/>
      <c r="C1418" s="573"/>
      <c r="D1418" s="576"/>
      <c r="E1418" s="574"/>
    </row>
    <row r="1419" spans="1:5" x14ac:dyDescent="0.2">
      <c r="A1419" s="573"/>
      <c r="B1419" s="573"/>
      <c r="C1419" s="573"/>
      <c r="D1419" s="576"/>
      <c r="E1419" s="574"/>
    </row>
    <row r="1420" spans="1:5" x14ac:dyDescent="0.2">
      <c r="A1420" s="573"/>
      <c r="B1420" s="573"/>
      <c r="C1420" s="573"/>
      <c r="D1420" s="573"/>
      <c r="E1420" s="574"/>
    </row>
    <row r="1421" spans="1:5" x14ac:dyDescent="0.2">
      <c r="A1421" s="573"/>
      <c r="B1421" s="573"/>
      <c r="C1421" s="573"/>
      <c r="D1421" s="573"/>
      <c r="E1421" s="574"/>
    </row>
    <row r="1422" spans="1:5" x14ac:dyDescent="0.2">
      <c r="A1422" s="573"/>
      <c r="B1422" s="573"/>
      <c r="C1422" s="573"/>
      <c r="D1422" s="573"/>
      <c r="E1422" s="574"/>
    </row>
    <row r="1423" spans="1:5" x14ac:dyDescent="0.2">
      <c r="A1423" s="573"/>
      <c r="B1423" s="573"/>
      <c r="C1423" s="573"/>
      <c r="D1423" s="576"/>
      <c r="E1423" s="574"/>
    </row>
    <row r="1424" spans="1:5" x14ac:dyDescent="0.2">
      <c r="A1424" s="573"/>
      <c r="B1424" s="573"/>
      <c r="C1424" s="573"/>
      <c r="D1424" s="573"/>
      <c r="E1424" s="574"/>
    </row>
    <row r="1425" spans="1:5" x14ac:dyDescent="0.2">
      <c r="A1425" s="573"/>
      <c r="B1425" s="573"/>
      <c r="C1425" s="576"/>
      <c r="D1425" s="576"/>
      <c r="E1425" s="574"/>
    </row>
    <row r="1426" spans="1:5" x14ac:dyDescent="0.2">
      <c r="A1426" s="573"/>
      <c r="B1426" s="573"/>
      <c r="C1426" s="573"/>
      <c r="D1426" s="576"/>
      <c r="E1426" s="574"/>
    </row>
    <row r="1427" spans="1:5" x14ac:dyDescent="0.2">
      <c r="A1427" s="573"/>
      <c r="B1427" s="573"/>
      <c r="C1427" s="576"/>
      <c r="D1427" s="576"/>
      <c r="E1427" s="574"/>
    </row>
    <row r="1428" spans="1:5" x14ac:dyDescent="0.2">
      <c r="A1428" s="573"/>
      <c r="B1428" s="573"/>
      <c r="C1428" s="573"/>
      <c r="D1428" s="576"/>
      <c r="E1428" s="574"/>
    </row>
    <row r="1429" spans="1:5" x14ac:dyDescent="0.2">
      <c r="A1429" s="573"/>
      <c r="B1429" s="573"/>
      <c r="C1429" s="576"/>
      <c r="D1429" s="576"/>
      <c r="E1429" s="574"/>
    </row>
    <row r="1430" spans="1:5" x14ac:dyDescent="0.2">
      <c r="A1430" s="573"/>
      <c r="B1430" s="573"/>
      <c r="C1430" s="576"/>
      <c r="D1430" s="573"/>
      <c r="E1430" s="574"/>
    </row>
    <row r="1431" spans="1:5" x14ac:dyDescent="0.2">
      <c r="A1431" s="573"/>
      <c r="B1431" s="573"/>
      <c r="C1431" s="576"/>
      <c r="D1431" s="573"/>
      <c r="E1431" s="574"/>
    </row>
    <row r="1432" spans="1:5" x14ac:dyDescent="0.2">
      <c r="A1432" s="573"/>
      <c r="B1432" s="573"/>
      <c r="C1432" s="573"/>
      <c r="D1432" s="576"/>
      <c r="E1432" s="574"/>
    </row>
    <row r="1433" spans="1:5" x14ac:dyDescent="0.2">
      <c r="A1433" s="573"/>
      <c r="B1433" s="573"/>
      <c r="C1433" s="573"/>
      <c r="D1433" s="576"/>
      <c r="E1433" s="574"/>
    </row>
    <row r="1434" spans="1:5" x14ac:dyDescent="0.2">
      <c r="A1434" s="573"/>
      <c r="B1434" s="573"/>
      <c r="C1434" s="573"/>
      <c r="D1434" s="576"/>
      <c r="E1434" s="574"/>
    </row>
    <row r="1435" spans="1:5" x14ac:dyDescent="0.2">
      <c r="A1435" s="573"/>
      <c r="B1435" s="573"/>
      <c r="C1435" s="573"/>
      <c r="D1435" s="576"/>
      <c r="E1435" s="574"/>
    </row>
    <row r="1436" spans="1:5" x14ac:dyDescent="0.2">
      <c r="A1436" s="563"/>
      <c r="B1436" s="563"/>
      <c r="C1436" s="563"/>
      <c r="D1436" s="577"/>
      <c r="E1436" s="565"/>
    </row>
    <row r="1437" spans="1:5" x14ac:dyDescent="0.2">
      <c r="A1437" s="560" t="s">
        <v>1117</v>
      </c>
      <c r="B1437" s="560" t="s">
        <v>1005</v>
      </c>
      <c r="C1437" s="560" t="s">
        <v>1005</v>
      </c>
      <c r="D1437" s="560">
        <v>6000</v>
      </c>
      <c r="E1437" s="561">
        <f>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f>
        <v>0</v>
      </c>
    </row>
    <row r="1438" spans="1:5" x14ac:dyDescent="0.2">
      <c r="A1438" s="563" t="s">
        <v>1118</v>
      </c>
      <c r="B1438" s="563"/>
      <c r="C1438" s="563"/>
      <c r="D1438" s="563"/>
      <c r="E1438" s="565">
        <f>E1437</f>
        <v>0</v>
      </c>
    </row>
    <row r="1439" spans="1:5" x14ac:dyDescent="0.2">
      <c r="A1439" s="560"/>
      <c r="B1439" s="560"/>
      <c r="C1439" s="560"/>
      <c r="D1439" s="569"/>
      <c r="E1439" s="561"/>
    </row>
    <row r="1440" spans="1:5" x14ac:dyDescent="0.2">
      <c r="A1440" s="560"/>
      <c r="B1440" s="560"/>
      <c r="C1440" s="560"/>
      <c r="D1440" s="569"/>
      <c r="E1440" s="561"/>
    </row>
    <row r="1441" spans="1:5" x14ac:dyDescent="0.2">
      <c r="A1441" s="578"/>
      <c r="B1441" s="578"/>
      <c r="C1441" s="578"/>
      <c r="D1441" s="578"/>
      <c r="E1441" s="579"/>
    </row>
    <row r="1442" spans="1:5" x14ac:dyDescent="0.2">
      <c r="A1442" s="560"/>
      <c r="B1442" s="560"/>
      <c r="C1442" s="560"/>
      <c r="D1442" s="569"/>
      <c r="E1442" s="560"/>
    </row>
    <row r="1443" spans="1:5" x14ac:dyDescent="0.2">
      <c r="A1443" s="560"/>
      <c r="B1443" s="560"/>
      <c r="C1443" s="560"/>
      <c r="D1443" s="569"/>
      <c r="E1443" s="560"/>
    </row>
    <row r="1444" spans="1:5" x14ac:dyDescent="0.2">
      <c r="A1444" s="578"/>
      <c r="B1444" s="578"/>
      <c r="C1444" s="578"/>
      <c r="D1444" s="578"/>
      <c r="E1444" s="578"/>
    </row>
    <row r="1445" spans="1:5" x14ac:dyDescent="0.2">
      <c r="A1445" s="560" t="s">
        <v>1005</v>
      </c>
      <c r="B1445" s="560" t="s">
        <v>1005</v>
      </c>
      <c r="C1445" s="560">
        <v>5000</v>
      </c>
      <c r="D1445" s="560">
        <v>6850</v>
      </c>
      <c r="E1445" s="561">
        <f>SUMIFS('Accounting data'!$G$2:$G$37000,'Accounting data'!$J$2:$J$37000,"5*",'Accounting data'!$K$2:$K$37000,"685*")</f>
        <v>0</v>
      </c>
    </row>
    <row r="1446" spans="1:5" x14ac:dyDescent="0.2">
      <c r="A1446" s="560" t="s">
        <v>1006</v>
      </c>
      <c r="B1446" s="560" t="s">
        <v>1005</v>
      </c>
      <c r="C1446" s="560">
        <v>5000</v>
      </c>
      <c r="D1446" s="560">
        <v>6850</v>
      </c>
      <c r="E1446" s="561">
        <f>SUMIFS('Accounting data'!$G$2:$G$37000,'Accounting data'!$H$2:$H$37000,"9999*",'Accounting data'!$J$2:$J$37000,"5*",'Accounting data'!$K$2:$K$37000,"685*")</f>
        <v>0</v>
      </c>
    </row>
    <row r="1447" spans="1:5" x14ac:dyDescent="0.2">
      <c r="A1447" s="560" t="s">
        <v>1005</v>
      </c>
      <c r="B1447" s="560" t="s">
        <v>1007</v>
      </c>
      <c r="C1447" s="560">
        <v>5000</v>
      </c>
      <c r="D1447" s="560">
        <v>6850</v>
      </c>
      <c r="E1447" s="561">
        <f>SUMIFS('Accounting data'!$G$2:$G$37000,'Accounting data'!$I$2:$I$37000,"7*",'Accounting data'!$J$2:$J$37000,"5*",'Accounting data'!$K$2:$K$37000,"685*")+SUMIFS('Accounting data'!$G$2:$G$37000,'Accounting data'!$I$2:$I$37000,"8*",'Accounting data'!$J$2:$J$37000,"5*",'Accounting data'!$K$2:$K$37000,"685*")+SUMIFS('Accounting data'!$G$2:$G$37000,'Accounting data'!$I$2:$I$37000,"9*",'Accounting data'!$J$2:$J$37000,"5*",'Accounting data'!$K$2:$K$37000,"685*")</f>
        <v>0</v>
      </c>
    </row>
    <row r="1448" spans="1:5" x14ac:dyDescent="0.2">
      <c r="A1448" s="562" t="s">
        <v>1006</v>
      </c>
      <c r="B1448" s="560" t="s">
        <v>1007</v>
      </c>
      <c r="C1448" s="560">
        <v>5000</v>
      </c>
      <c r="D1448" s="560">
        <v>6850</v>
      </c>
      <c r="E1448" s="561">
        <f>SUMIFS('Accounting data'!$G$2:$G$37000,'Accounting data'!$H$2:$H$37000,"9999*",'Accounting data'!$I$2:$I$37000,"7*",'Accounting data'!$J$2:$J$37000,"5*",'Accounting data'!$K$2:$K$37000,"685*")+SUMIFS('Accounting data'!$G$2:$G$37000,'Accounting data'!$H$2:$H$37000,"9999*",'Accounting data'!$I$2:$I$37000,"8*",'Accounting data'!$J$2:$J$37000,"5*",'Accounting data'!$K$2:$K$37000,"685*")+SUMIFS('Accounting data'!$G$2:$G$37000,'Accounting data'!$H$2:$H$37000,"9999*",'Accounting data'!$I$2:$I$37000,"9*",'Accounting data'!$J$2:$J$37000,"5*",'Accounting data'!$K$2:$K$37000,"685*")</f>
        <v>0</v>
      </c>
    </row>
    <row r="1449" spans="1:5" ht="15" x14ac:dyDescent="0.25">
      <c r="A1449" s="563" t="s">
        <v>1119</v>
      </c>
      <c r="B1449" s="563"/>
      <c r="C1449" s="563"/>
      <c r="D1449" s="563"/>
      <c r="E1449" s="564">
        <f>(E1445-E1446-E1447)+E1448</f>
        <v>0</v>
      </c>
    </row>
    <row r="1450" spans="1:5" x14ac:dyDescent="0.2">
      <c r="A1450" s="560" t="s">
        <v>1005</v>
      </c>
      <c r="B1450" s="560" t="s">
        <v>1005</v>
      </c>
      <c r="C1450" s="560">
        <v>1000</v>
      </c>
      <c r="D1450" s="560">
        <v>6800</v>
      </c>
      <c r="E1450" s="561">
        <f t="array" ref="E1450">SUMIFS('Accounting data'!$G$2:$G$37000,'Accounting data'!$J$2:$J$37000,"1*",'Accounting data'!$K$2:$K$37000,"68*")</f>
        <v>182745</v>
      </c>
    </row>
    <row r="1451" spans="1:5" x14ac:dyDescent="0.2">
      <c r="A1451" s="560" t="s">
        <v>1006</v>
      </c>
      <c r="B1451" s="560" t="s">
        <v>1005</v>
      </c>
      <c r="C1451" s="560">
        <v>1000</v>
      </c>
      <c r="D1451" s="560">
        <v>6800</v>
      </c>
      <c r="E1451" s="561">
        <f t="array" ref="E1451">SUMIFS('Accounting data'!$G$2:$G$37000,'Accounting data'!$H$2:$H$37000,"9999*",'Accounting data'!$J$2:$J$37000,"1*",'Accounting data'!$K$2:$K$37000,"68*")</f>
        <v>0</v>
      </c>
    </row>
    <row r="1452" spans="1:5" x14ac:dyDescent="0.2">
      <c r="A1452" s="560" t="s">
        <v>1005</v>
      </c>
      <c r="B1452" s="560" t="s">
        <v>1007</v>
      </c>
      <c r="C1452" s="560">
        <v>1000</v>
      </c>
      <c r="D1452" s="560">
        <v>6800</v>
      </c>
      <c r="E1452" s="561">
        <f t="array" ref="E1452">SUMIFS('Accounting data'!$G$2:$G$37000,'Accounting data'!$I$2:$I$37000,"7*",'Accounting data'!$J$2:$J$37000,"1*",'Accounting data'!$K$2:$K$37000,"68*")+SUMIFS('Accounting data'!$G$2:$G$37000,'Accounting data'!$I$2:$I$37000,"8*",'Accounting data'!$J$2:$J$37000,"1*",'Accounting data'!$K$2:$K$37000,"68*")+SUMIFS('Accounting data'!$G$2:$G$37000,'Accounting data'!$I$2:$I$37000,"9*",'Accounting data'!$J$2:$J$37000,"1*",'Accounting data'!$K$2:$K$37000,"68*")</f>
        <v>0</v>
      </c>
    </row>
    <row r="1453" spans="1:5" x14ac:dyDescent="0.2">
      <c r="A1453" s="562" t="s">
        <v>1006</v>
      </c>
      <c r="B1453" s="560" t="s">
        <v>1007</v>
      </c>
      <c r="C1453" s="560">
        <v>1000</v>
      </c>
      <c r="D1453" s="560">
        <v>6800</v>
      </c>
      <c r="E1453" s="561">
        <f t="array" ref="E1453">SUMIFS('Accounting data'!$G$2:$G$37000,'Accounting data'!$H$2:$H$37000,"9999*",'Accounting data'!$I$2:$I$37000,"7*",'Accounting data'!$J$2:$J$37000,"1*",'Accounting data'!$K$2:$K$37000,"68*")+SUMIFS('Accounting data'!$G$2:$G$37000,'Accounting data'!$H$2:$H$37000,"9999*",'Accounting data'!$I$2:$I$37000,"8*",'Accounting data'!$J$2:$J$37000,"1*",'Accounting data'!$K$2:$K$37000,"68*")+SUMIFS('Accounting data'!$G$2:$G$37000,'Accounting data'!$H$2:$H$37000,"9999*",'Accounting data'!$I$2:$I$37000,"9*",'Accounting data'!$J$2:$J$37000,"1*",'Accounting data'!$K$2:$K$37000,"68*")</f>
        <v>0</v>
      </c>
    </row>
    <row r="1454" spans="1:5" ht="15" x14ac:dyDescent="0.25">
      <c r="A1454" s="563" t="s">
        <v>1120</v>
      </c>
      <c r="B1454" s="563"/>
      <c r="C1454" s="563"/>
      <c r="D1454" s="563"/>
      <c r="E1454" s="564">
        <f>(E1450-E1451-E1452)+E1453</f>
        <v>182745</v>
      </c>
    </row>
    <row r="1455" spans="1:5" x14ac:dyDescent="0.2">
      <c r="A1455" s="560" t="s">
        <v>1005</v>
      </c>
      <c r="B1455" s="560" t="s">
        <v>1005</v>
      </c>
      <c r="C1455" s="560">
        <v>2100</v>
      </c>
      <c r="D1455" s="560">
        <v>6800</v>
      </c>
      <c r="E1455" s="561">
        <f t="array" ref="E1455">SUMIFS('Accounting data'!$G$2:$G$37000,'Accounting data'!$J$2:$J$37000,"21*",'Accounting data'!$K$2:$K$37000,"68*")</f>
        <v>77</v>
      </c>
    </row>
    <row r="1456" spans="1:5" x14ac:dyDescent="0.2">
      <c r="A1456" s="560" t="s">
        <v>1006</v>
      </c>
      <c r="B1456" s="560" t="s">
        <v>1005</v>
      </c>
      <c r="C1456" s="560">
        <v>2100</v>
      </c>
      <c r="D1456" s="560">
        <v>6800</v>
      </c>
      <c r="E1456" s="561">
        <f t="array" ref="E1456">SUMIFS('Accounting data'!$G$2:$G$37000,'Accounting data'!$H$2:$H$37000,"9999*",'Accounting data'!$J$2:$J$37000,"21*",'Accounting data'!$K$2:$K$37000,"68*")</f>
        <v>0</v>
      </c>
    </row>
    <row r="1457" spans="1:5" x14ac:dyDescent="0.2">
      <c r="A1457" s="560" t="s">
        <v>1005</v>
      </c>
      <c r="B1457" s="560" t="s">
        <v>1007</v>
      </c>
      <c r="C1457" s="560">
        <v>2100</v>
      </c>
      <c r="D1457" s="560">
        <v>6800</v>
      </c>
      <c r="E1457" s="561">
        <f t="array" ref="E1457">SUMIFS('Accounting data'!$G$2:$G$37000,'Accounting data'!$I$2:$I$37000,"7*",'Accounting data'!$J$2:$J$37000,"21*",'Accounting data'!$K$2:$K$37000,"68*")+SUMIFS('Accounting data'!$G$2:$G$37000,'Accounting data'!$I$2:$I$37000,"8*",'Accounting data'!$J$2:$J$37000,"21*",'Accounting data'!$K$2:$K$37000,"68*")+SUMIFS('Accounting data'!$G$2:$G$37000,'Accounting data'!$I$2:$I$37000,"9*",'Accounting data'!$J$2:$J$37000,"21*",'Accounting data'!$K$2:$K$37000,"68*")</f>
        <v>0</v>
      </c>
    </row>
    <row r="1458" spans="1:5" x14ac:dyDescent="0.2">
      <c r="A1458" s="562" t="s">
        <v>1006</v>
      </c>
      <c r="B1458" s="560" t="s">
        <v>1007</v>
      </c>
      <c r="C1458" s="560">
        <v>2100</v>
      </c>
      <c r="D1458" s="560">
        <v>6800</v>
      </c>
      <c r="E1458" s="561">
        <f t="array" ref="E1458">SUMIFS('Accounting data'!$G$2:$G$37000,'Accounting data'!$H$2:$H$37000,"9999*",'Accounting data'!$I$2:$I$37000,"7*",'Accounting data'!$J$2:$J$37000,"21*",'Accounting data'!$K$2:$K$37000,"68*")+SUMIFS('Accounting data'!$G$2:$G$37000,'Accounting data'!$H$2:$H$37000,"9999*",'Accounting data'!$I$2:$I$37000,"8*",'Accounting data'!$J$2:$J$37000,"21*",'Accounting data'!$K$2:$K$37000,"68*")+SUMIFS('Accounting data'!$G$2:$G$37000,'Accounting data'!$H$2:$H$37000,"9999*",'Accounting data'!$I$2:$I$37000,"9*",'Accounting data'!$J$2:$J$37000,"21*",'Accounting data'!$K$2:$K$37000,"68*")</f>
        <v>0</v>
      </c>
    </row>
    <row r="1459" spans="1:5" ht="15" x14ac:dyDescent="0.25">
      <c r="A1459" s="563" t="s">
        <v>1121</v>
      </c>
      <c r="B1459" s="563"/>
      <c r="C1459" s="563"/>
      <c r="D1459" s="563"/>
      <c r="E1459" s="564">
        <f>(E1455-E1456-E1457)+E1458</f>
        <v>77</v>
      </c>
    </row>
    <row r="1460" spans="1:5" x14ac:dyDescent="0.2">
      <c r="A1460" s="560" t="s">
        <v>1005</v>
      </c>
      <c r="B1460" s="560" t="s">
        <v>1005</v>
      </c>
      <c r="C1460" s="560">
        <v>2200</v>
      </c>
      <c r="D1460" s="560">
        <v>6800</v>
      </c>
      <c r="E1460" s="561">
        <f t="array" ref="E1460">SUMIFS('Accounting data'!$G$2:$G$37000,'Accounting data'!$J$2:$J$37000,"22*",'Accounting data'!$K$2:$K$37000,"68*")</f>
        <v>37</v>
      </c>
    </row>
    <row r="1461" spans="1:5" x14ac:dyDescent="0.2">
      <c r="A1461" s="560" t="s">
        <v>1006</v>
      </c>
      <c r="B1461" s="560" t="s">
        <v>1005</v>
      </c>
      <c r="C1461" s="560">
        <v>2200</v>
      </c>
      <c r="D1461" s="560">
        <v>6800</v>
      </c>
      <c r="E1461" s="561">
        <f t="array" ref="E1461">SUMIFS('Accounting data'!$G$2:$G$37000,'Accounting data'!$H$2:$H$37000,"9999*",'Accounting data'!$J$2:$J$37000,"22*",'Accounting data'!$K$2:$K$37000,"68*")</f>
        <v>0</v>
      </c>
    </row>
    <row r="1462" spans="1:5" x14ac:dyDescent="0.2">
      <c r="A1462" s="560" t="s">
        <v>1005</v>
      </c>
      <c r="B1462" s="560" t="s">
        <v>1007</v>
      </c>
      <c r="C1462" s="560">
        <v>2200</v>
      </c>
      <c r="D1462" s="560">
        <v>6800</v>
      </c>
      <c r="E1462" s="561">
        <f t="array" ref="E1462">SUMIFS('Accounting data'!$G$2:$G$37000,'Accounting data'!$I$2:$I$37000,"7*",'Accounting data'!$J$2:$J$37000,"22*",'Accounting data'!$K$2:$K$37000,"68*")+SUMIFS('Accounting data'!$G$2:$G$37000,'Accounting data'!$I$2:$I$37000,"8*",'Accounting data'!$J$2:$J$37000,"22*",'Accounting data'!$K$2:$K$37000,"68*")+SUMIFS('Accounting data'!$G$2:$G$37000,'Accounting data'!$I$2:$I$37000,"9*",'Accounting data'!$J$2:$J$37000,"22*",'Accounting data'!$K$2:$K$37000,"68*")</f>
        <v>0</v>
      </c>
    </row>
    <row r="1463" spans="1:5" x14ac:dyDescent="0.2">
      <c r="A1463" s="562" t="s">
        <v>1006</v>
      </c>
      <c r="B1463" s="560" t="s">
        <v>1007</v>
      </c>
      <c r="C1463" s="560">
        <v>2200</v>
      </c>
      <c r="D1463" s="560">
        <v>6800</v>
      </c>
      <c r="E1463" s="561">
        <f t="array" ref="E1463">SUMIFS('Accounting data'!$G$2:$G$37000,'Accounting data'!$H$2:$H$37000,"9999*",'Accounting data'!$I$2:$I$37000,"7*",'Accounting data'!$J$2:$J$37000,"22*",'Accounting data'!$K$2:$K$37000,"68*")+SUMIFS('Accounting data'!$G$2:$G$37000,'Accounting data'!$H$2:$H$37000,"9999*",'Accounting data'!$I$2:$I$37000,"8*",'Accounting data'!$J$2:$J$37000,"22*",'Accounting data'!$K$2:$K$37000,"68*")+SUMIFS('Accounting data'!$G$2:$G$37000,'Accounting data'!$H$2:$H$37000,"9999*",'Accounting data'!$I$2:$I$37000,"9*",'Accounting data'!$J$2:$J$37000,"22*",'Accounting data'!$K$2:$K$37000,"68*")</f>
        <v>0</v>
      </c>
    </row>
    <row r="1464" spans="1:5" ht="15" x14ac:dyDescent="0.25">
      <c r="A1464" s="563" t="s">
        <v>1122</v>
      </c>
      <c r="B1464" s="563"/>
      <c r="C1464" s="563"/>
      <c r="D1464" s="563"/>
      <c r="E1464" s="564">
        <f>(E1460-E1461-E1462)+E1463</f>
        <v>37</v>
      </c>
    </row>
    <row r="1465" spans="1:5" x14ac:dyDescent="0.2">
      <c r="A1465" s="560" t="s">
        <v>1005</v>
      </c>
      <c r="B1465" s="560" t="s">
        <v>1005</v>
      </c>
      <c r="C1465" s="560">
        <v>2300</v>
      </c>
      <c r="D1465" s="560">
        <v>6800</v>
      </c>
      <c r="E1465" s="561">
        <f t="array" ref="E1465">SUMIFS('Accounting data'!$G$2:$G$37000,'Accounting data'!$J$2:$J$37000,"23*",'Accounting data'!$K$2:$K$37000,"68*")</f>
        <v>1330</v>
      </c>
    </row>
    <row r="1466" spans="1:5" x14ac:dyDescent="0.2">
      <c r="A1466" s="560" t="s">
        <v>1006</v>
      </c>
      <c r="B1466" s="560" t="s">
        <v>1005</v>
      </c>
      <c r="C1466" s="560">
        <v>2300</v>
      </c>
      <c r="D1466" s="560">
        <v>6800</v>
      </c>
      <c r="E1466" s="561">
        <f t="array" ref="E1466">SUMIFS('Accounting data'!$G$2:$G$37000,'Accounting data'!$H$2:$H$37000,"9999*",'Accounting data'!$J$2:$J$37000,"23*",'Accounting data'!$K$2:$K$37000,"68*")</f>
        <v>0</v>
      </c>
    </row>
    <row r="1467" spans="1:5" x14ac:dyDescent="0.2">
      <c r="A1467" s="560" t="s">
        <v>1005</v>
      </c>
      <c r="B1467" s="560" t="s">
        <v>1007</v>
      </c>
      <c r="C1467" s="560">
        <v>2300</v>
      </c>
      <c r="D1467" s="560">
        <v>6800</v>
      </c>
      <c r="E1467" s="561">
        <f t="array" ref="E1467">SUMIFS('Accounting data'!$G$2:$G$37000,'Accounting data'!$I$2:$I$37000,"7*",'Accounting data'!$J$2:$J$37000,"23*",'Accounting data'!$K$2:$K$37000,"68*")+SUMIFS('Accounting data'!$G$2:$G$37000,'Accounting data'!$I$2:$I$37000,"8*",'Accounting data'!$J$2:$J$37000,"23*",'Accounting data'!$K$2:$K$37000,"68*")+SUMIFS('Accounting data'!$G$2:$G$37000,'Accounting data'!$I$2:$I$37000,"9*",'Accounting data'!$J$2:$J$37000,"23*",'Accounting data'!$K$2:$K$37000,"68*")</f>
        <v>0</v>
      </c>
    </row>
    <row r="1468" spans="1:5" x14ac:dyDescent="0.2">
      <c r="A1468" s="562" t="s">
        <v>1006</v>
      </c>
      <c r="B1468" s="560" t="s">
        <v>1007</v>
      </c>
      <c r="C1468" s="560">
        <v>2300</v>
      </c>
      <c r="D1468" s="560">
        <v>6800</v>
      </c>
      <c r="E1468" s="561">
        <f t="array" ref="E1468">SUMIFS('Accounting data'!$G$2:$G$37000,'Accounting data'!$H$2:$H$37000,"9999*",'Accounting data'!$I$2:$I$37000,"7*",'Accounting data'!$J$2:$J$37000,"23*",'Accounting data'!$K$2:$K$37000,"68*")+SUMIFS('Accounting data'!$G$2:$G$37000,'Accounting data'!$H$2:$H$37000,"9999*",'Accounting data'!$I$2:$I$37000,"8*",'Accounting data'!$J$2:$J$37000,"23*",'Accounting data'!$K$2:$K$37000,"68*")+SUMIFS('Accounting data'!$G$2:$G$37000,'Accounting data'!$H$2:$H$37000,"9999*",'Accounting data'!$I$2:$I$37000,"9*",'Accounting data'!$J$2:$J$37000,"23*",'Accounting data'!$K$2:$K$37000,"68*")</f>
        <v>0</v>
      </c>
    </row>
    <row r="1469" spans="1:5" ht="15" x14ac:dyDescent="0.25">
      <c r="A1469" s="563" t="s">
        <v>1123</v>
      </c>
      <c r="B1469" s="563"/>
      <c r="C1469" s="563"/>
      <c r="D1469" s="563"/>
      <c r="E1469" s="564">
        <f>(E1465-E1466-E1467)+E1468</f>
        <v>1330</v>
      </c>
    </row>
    <row r="1470" spans="1:5" x14ac:dyDescent="0.2">
      <c r="A1470" s="560" t="s">
        <v>1005</v>
      </c>
      <c r="B1470" s="560" t="s">
        <v>1005</v>
      </c>
      <c r="C1470" s="560">
        <v>2400</v>
      </c>
      <c r="D1470" s="560">
        <v>6800</v>
      </c>
      <c r="E1470" s="561">
        <f t="array" ref="E1470">SUMIFS('Accounting data'!$G$2:$G$37000,'Accounting data'!$J$2:$J$37000,"24*",'Accounting data'!$K$2:$K$37000,"68*")</f>
        <v>347</v>
      </c>
    </row>
    <row r="1471" spans="1:5" x14ac:dyDescent="0.2">
      <c r="A1471" s="560" t="s">
        <v>1006</v>
      </c>
      <c r="B1471" s="560" t="s">
        <v>1005</v>
      </c>
      <c r="C1471" s="560">
        <v>2400</v>
      </c>
      <c r="D1471" s="560">
        <v>6800</v>
      </c>
      <c r="E1471" s="561">
        <f t="array" ref="E1471">SUMIFS('Accounting data'!$G$2:$G$37000,'Accounting data'!$H$2:$H$37000,"9999*",'Accounting data'!$J$2:$J$37000,"24*",'Accounting data'!$K$2:$K$37000,"68*")</f>
        <v>0</v>
      </c>
    </row>
    <row r="1472" spans="1:5" x14ac:dyDescent="0.2">
      <c r="A1472" s="560" t="s">
        <v>1005</v>
      </c>
      <c r="B1472" s="560" t="s">
        <v>1007</v>
      </c>
      <c r="C1472" s="560">
        <v>2400</v>
      </c>
      <c r="D1472" s="560">
        <v>6800</v>
      </c>
      <c r="E1472" s="561">
        <f t="array" ref="E1472">SUMIFS('Accounting data'!$G$2:$G$37000,'Accounting data'!$I$2:$I$37000,"7*",'Accounting data'!$J$2:$J$37000,"24*",'Accounting data'!$K$2:$K$37000,"68*")+SUMIFS('Accounting data'!$G$2:$G$37000,'Accounting data'!$I$2:$I$37000,"8*",'Accounting data'!$J$2:$J$37000,"24*",'Accounting data'!$K$2:$K$37000,"68*")+SUMIFS('Accounting data'!$G$2:$G$37000,'Accounting data'!$I$2:$I$37000,"9*",'Accounting data'!$J$2:$J$37000,"24*",'Accounting data'!$K$2:$K$37000,"68*")</f>
        <v>0</v>
      </c>
    </row>
    <row r="1473" spans="1:5" x14ac:dyDescent="0.2">
      <c r="A1473" s="562" t="s">
        <v>1006</v>
      </c>
      <c r="B1473" s="560" t="s">
        <v>1007</v>
      </c>
      <c r="C1473" s="560">
        <v>2400</v>
      </c>
      <c r="D1473" s="560">
        <v>6800</v>
      </c>
      <c r="E1473" s="561">
        <f t="array" ref="E1473">SUMIFS('Accounting data'!$G$2:$G$37000,'Accounting data'!$H$2:$H$37000,"9999*",'Accounting data'!$I$2:$I$37000,"7*",'Accounting data'!$J$2:$J$37000,"24*",'Accounting data'!$K$2:$K$37000,"68*")+SUMIFS('Accounting data'!$G$2:$G$37000,'Accounting data'!$H$2:$H$37000,"9999*",'Accounting data'!$I$2:$I$37000,"8*",'Accounting data'!$J$2:$J$37000,"24*",'Accounting data'!$K$2:$K$37000,"68*")+SUMIFS('Accounting data'!$G$2:$G$37000,'Accounting data'!$H$2:$H$37000,"9999*",'Accounting data'!$I$2:$I$37000,"9*",'Accounting data'!$J$2:$J$37000,"24*",'Accounting data'!$K$2:$K$37000,"68*")</f>
        <v>0</v>
      </c>
    </row>
    <row r="1474" spans="1:5" ht="15" x14ac:dyDescent="0.25">
      <c r="A1474" s="563" t="s">
        <v>1124</v>
      </c>
      <c r="B1474" s="563"/>
      <c r="C1474" s="563"/>
      <c r="D1474" s="563"/>
      <c r="E1474" s="564">
        <f>(E1470-E1471-E1472)+E1473</f>
        <v>347</v>
      </c>
    </row>
    <row r="1475" spans="1:5" x14ac:dyDescent="0.2">
      <c r="A1475" s="560" t="s">
        <v>1005</v>
      </c>
      <c r="B1475" s="560" t="s">
        <v>1005</v>
      </c>
      <c r="C1475" s="560">
        <v>2500</v>
      </c>
      <c r="D1475" s="560">
        <v>6800</v>
      </c>
      <c r="E1475" s="561">
        <f t="array" ref="E1475">SUMIFS('Accounting data'!$G$2:$G$37000,'Accounting data'!$J$2:$J$37000,"25*",'Accounting data'!$K$2:$K$37000,"68*")</f>
        <v>20966</v>
      </c>
    </row>
    <row r="1476" spans="1:5" x14ac:dyDescent="0.2">
      <c r="A1476" s="560" t="s">
        <v>1006</v>
      </c>
      <c r="B1476" s="560" t="s">
        <v>1005</v>
      </c>
      <c r="C1476" s="560">
        <v>2500</v>
      </c>
      <c r="D1476" s="560">
        <v>6800</v>
      </c>
      <c r="E1476" s="561">
        <f t="array" ref="E1476">SUMIFS('Accounting data'!$G$2:$G$37000,'Accounting data'!$H$2:$H$37000,"9999*",'Accounting data'!$J$2:$J$37000,"25*",'Accounting data'!$K$2:$K$37000,"68*")</f>
        <v>0</v>
      </c>
    </row>
    <row r="1477" spans="1:5" x14ac:dyDescent="0.2">
      <c r="A1477" s="560" t="s">
        <v>1005</v>
      </c>
      <c r="B1477" s="560" t="s">
        <v>1007</v>
      </c>
      <c r="C1477" s="560">
        <v>2500</v>
      </c>
      <c r="D1477" s="560">
        <v>6800</v>
      </c>
      <c r="E1477" s="561">
        <f t="array" ref="E1477">SUMIFS('Accounting data'!$G$2:$G$37000,'Accounting data'!$I$2:$I$37000,"7*",'Accounting data'!$J$2:$J$37000,"25*",'Accounting data'!$K$2:$K$37000,"68*")+SUMIFS('Accounting data'!$G$2:$G$37000,'Accounting data'!$I$2:$I$37000,"8*",'Accounting data'!$J$2:$J$37000,"25*",'Accounting data'!$K$2:$K$37000,"68*")+SUMIFS('Accounting data'!$G$2:$G$37000,'Accounting data'!$I$2:$I$37000,"9*",'Accounting data'!$J$2:$J$37000,"25*",'Accounting data'!$K$2:$K$37000,"68*")</f>
        <v>0</v>
      </c>
    </row>
    <row r="1478" spans="1:5" x14ac:dyDescent="0.2">
      <c r="A1478" s="562" t="s">
        <v>1006</v>
      </c>
      <c r="B1478" s="560" t="s">
        <v>1007</v>
      </c>
      <c r="C1478" s="560">
        <v>2500</v>
      </c>
      <c r="D1478" s="560">
        <v>6800</v>
      </c>
      <c r="E1478" s="561">
        <f t="array" ref="E1478">SUMIFS('Accounting data'!$G$2:$G$37000,'Accounting data'!$H$2:$H$37000,"9999*",'Accounting data'!$I$2:$I$37000,"7*",'Accounting data'!$J$2:$J$37000,"25*",'Accounting data'!$K$2:$K$37000,"68*")+SUMIFS('Accounting data'!$G$2:$G$37000,'Accounting data'!$H$2:$H$37000,"9999*",'Accounting data'!$I$2:$I$37000,"8*",'Accounting data'!$J$2:$J$37000,"25*",'Accounting data'!$K$2:$K$37000,"68*")+SUMIFS('Accounting data'!$G$2:$G$37000,'Accounting data'!$H$2:$H$37000,"9999*",'Accounting data'!$I$2:$I$37000,"9*",'Accounting data'!$J$2:$J$37000,"25*",'Accounting data'!$K$2:$K$37000,"68*")</f>
        <v>0</v>
      </c>
    </row>
    <row r="1479" spans="1:5" ht="15" x14ac:dyDescent="0.25">
      <c r="A1479" s="563" t="s">
        <v>1125</v>
      </c>
      <c r="B1479" s="563"/>
      <c r="C1479" s="563"/>
      <c r="D1479" s="563"/>
      <c r="E1479" s="564">
        <f>(E1475-E1476-E1477)+E1478</f>
        <v>20966</v>
      </c>
    </row>
    <row r="1480" spans="1:5" x14ac:dyDescent="0.2">
      <c r="A1480" s="560" t="s">
        <v>1005</v>
      </c>
      <c r="B1480" s="560" t="s">
        <v>1005</v>
      </c>
      <c r="C1480" s="560">
        <v>2900</v>
      </c>
      <c r="D1480" s="560">
        <v>6800</v>
      </c>
      <c r="E1480" s="561">
        <f t="array" ref="E1480">SUMIFS('Accounting data'!$G$2:$G$37000,'Accounting data'!$J$2:$J$37000,"29*",'Accounting data'!$K$2:$K$37000,"68*")</f>
        <v>0</v>
      </c>
    </row>
    <row r="1481" spans="1:5" x14ac:dyDescent="0.2">
      <c r="A1481" s="560" t="s">
        <v>1006</v>
      </c>
      <c r="B1481" s="560" t="s">
        <v>1005</v>
      </c>
      <c r="C1481" s="560">
        <v>2900</v>
      </c>
      <c r="D1481" s="560">
        <v>6800</v>
      </c>
      <c r="E1481" s="561">
        <f t="array" ref="E1481">SUMIFS('Accounting data'!$G$2:$G$37000,'Accounting data'!$H$2:$H$37000,"9999*",'Accounting data'!$J$2:$J$37000,"29*",'Accounting data'!$K$2:$K$37000,"68*")</f>
        <v>0</v>
      </c>
    </row>
    <row r="1482" spans="1:5" x14ac:dyDescent="0.2">
      <c r="A1482" s="560" t="s">
        <v>1005</v>
      </c>
      <c r="B1482" s="560" t="s">
        <v>1007</v>
      </c>
      <c r="C1482" s="560">
        <v>2900</v>
      </c>
      <c r="D1482" s="560">
        <v>6800</v>
      </c>
      <c r="E1482" s="561">
        <f t="array" ref="E1482">SUMIFS('Accounting data'!$G$2:$G$37000,'Accounting data'!$I$2:$I$37000,"7*",'Accounting data'!$J$2:$J$37000,"29*",'Accounting data'!$K$2:$K$37000,"68*")+SUMIFS('Accounting data'!$G$2:$G$37000,'Accounting data'!$I$2:$I$37000,"8*",'Accounting data'!$J$2:$J$37000,"29*",'Accounting data'!$K$2:$K$37000,"68*")+SUMIFS('Accounting data'!$G$2:$G$37000,'Accounting data'!$I$2:$I$37000,"9*",'Accounting data'!$J$2:$J$37000,"29*",'Accounting data'!$K$2:$K$37000,"68*")</f>
        <v>0</v>
      </c>
    </row>
    <row r="1483" spans="1:5" x14ac:dyDescent="0.2">
      <c r="A1483" s="562" t="s">
        <v>1006</v>
      </c>
      <c r="B1483" s="560" t="s">
        <v>1007</v>
      </c>
      <c r="C1483" s="560">
        <v>2900</v>
      </c>
      <c r="D1483" s="560">
        <v>6800</v>
      </c>
      <c r="E1483" s="561">
        <f t="array" ref="E1483">SUMIFS('Accounting data'!$G$2:$G$37000,'Accounting data'!$H$2:$H$37000,"9999*",'Accounting data'!$I$2:$I$37000,"7*",'Accounting data'!$J$2:$J$37000,"29*",'Accounting data'!$K$2:$K$37000,"68*")+SUMIFS('Accounting data'!$G$2:$G$37000,'Accounting data'!$H$2:$H$37000,"9999*",'Accounting data'!$I$2:$I$37000,"8*",'Accounting data'!$J$2:$J$37000,"29*",'Accounting data'!$K$2:$K$37000,"68*")+SUMIFS('Accounting data'!$G$2:$G$37000,'Accounting data'!$H$2:$H$37000,"9999*",'Accounting data'!$I$2:$I$37000,"9*",'Accounting data'!$J$2:$J$37000,"29*",'Accounting data'!$K$2:$K$37000,"68*")</f>
        <v>0</v>
      </c>
    </row>
    <row r="1484" spans="1:5" ht="15" x14ac:dyDescent="0.25">
      <c r="A1484" s="563" t="s">
        <v>1126</v>
      </c>
      <c r="B1484" s="563"/>
      <c r="C1484" s="563"/>
      <c r="D1484" s="563"/>
      <c r="E1484" s="564">
        <f>(E1480-E1481-E1482)+E1483</f>
        <v>0</v>
      </c>
    </row>
    <row r="1485" spans="1:5" x14ac:dyDescent="0.2">
      <c r="A1485" s="560" t="s">
        <v>1005</v>
      </c>
      <c r="B1485" s="560" t="s">
        <v>1005</v>
      </c>
      <c r="C1485" s="560">
        <v>2600</v>
      </c>
      <c r="D1485" s="560">
        <v>6800</v>
      </c>
      <c r="E1485" s="561">
        <f t="array" ref="E1485">SUMIFS('Accounting data'!$G$2:$G$37000,'Accounting data'!$J$2:$J$37000,"26*",'Accounting data'!$K$2:$K$37000,"68*")</f>
        <v>1992</v>
      </c>
    </row>
    <row r="1486" spans="1:5" x14ac:dyDescent="0.2">
      <c r="A1486" s="560" t="s">
        <v>1006</v>
      </c>
      <c r="B1486" s="560" t="s">
        <v>1005</v>
      </c>
      <c r="C1486" s="560">
        <v>2600</v>
      </c>
      <c r="D1486" s="560">
        <v>6800</v>
      </c>
      <c r="E1486" s="561">
        <f t="array" ref="E1486">SUMIFS('Accounting data'!$G$2:$G$37000,'Accounting data'!$H$2:$H$37000,"9999*",'Accounting data'!$J$2:$J$37000,"26*",'Accounting data'!$K$2:$K$37000,"68*")</f>
        <v>0</v>
      </c>
    </row>
    <row r="1487" spans="1:5" x14ac:dyDescent="0.2">
      <c r="A1487" s="560" t="s">
        <v>1005</v>
      </c>
      <c r="B1487" s="560" t="s">
        <v>1007</v>
      </c>
      <c r="C1487" s="560">
        <v>2600</v>
      </c>
      <c r="D1487" s="560">
        <v>6800</v>
      </c>
      <c r="E1487" s="561">
        <f t="array" ref="E1487">SUMIFS('Accounting data'!$G$2:$G$37000,'Accounting data'!$I$2:$I$37000,"7*",'Accounting data'!$J$2:$J$37000,"26*",'Accounting data'!$K$2:$K$37000,"68*")+SUMIFS('Accounting data'!$G$2:$G$37000,'Accounting data'!$I$2:$I$37000,"8*",'Accounting data'!$J$2:$J$37000,"26*",'Accounting data'!$K$2:$K$37000,"68*")+SUMIFS('Accounting data'!$G$2:$G$37000,'Accounting data'!$I$2:$I$37000,"9*",'Accounting data'!$J$2:$J$37000,"26*",'Accounting data'!$K$2:$K$37000,"68*")</f>
        <v>0</v>
      </c>
    </row>
    <row r="1488" spans="1:5" x14ac:dyDescent="0.2">
      <c r="A1488" s="562" t="s">
        <v>1006</v>
      </c>
      <c r="B1488" s="560" t="s">
        <v>1007</v>
      </c>
      <c r="C1488" s="560">
        <v>2600</v>
      </c>
      <c r="D1488" s="560">
        <v>6800</v>
      </c>
      <c r="E1488" s="561">
        <f t="array" ref="E1488">SUMIFS('Accounting data'!$G$2:$G$37000,'Accounting data'!$H$2:$H$37000,"9999*",'Accounting data'!$I$2:$I$37000,"7*",'Accounting data'!$J$2:$J$37000,"26*",'Accounting data'!$K$2:$K$37000,"68*")+SUMIFS('Accounting data'!$G$2:$G$37000,'Accounting data'!$H$2:$H$37000,"9999*",'Accounting data'!$I$2:$I$37000,"8*",'Accounting data'!$J$2:$J$37000,"26*",'Accounting data'!$K$2:$K$37000,"68*")+SUMIFS('Accounting data'!$G$2:$G$37000,'Accounting data'!$H$2:$H$37000,"9999*",'Accounting data'!$I$2:$I$37000,"9*",'Accounting data'!$J$2:$J$37000,"26*",'Accounting data'!$K$2:$K$37000,"68*")</f>
        <v>0</v>
      </c>
    </row>
    <row r="1489" spans="1:5" ht="15" x14ac:dyDescent="0.25">
      <c r="A1489" s="563" t="s">
        <v>1127</v>
      </c>
      <c r="B1489" s="563"/>
      <c r="C1489" s="563"/>
      <c r="D1489" s="563"/>
      <c r="E1489" s="564">
        <f>(E1485-E1486-E1487)+E1488</f>
        <v>1992</v>
      </c>
    </row>
    <row r="1490" spans="1:5" x14ac:dyDescent="0.2">
      <c r="A1490" s="560" t="s">
        <v>1005</v>
      </c>
      <c r="B1490" s="560" t="s">
        <v>1005</v>
      </c>
      <c r="C1490" s="560">
        <v>2700</v>
      </c>
      <c r="D1490" s="560">
        <v>6800</v>
      </c>
      <c r="E1490" s="561">
        <f t="array" ref="E1490">SUMIFS('Accounting data'!$G$2:$G$37000,'Accounting data'!$J$2:$J$37000,"27*",'Accounting data'!$K$2:$K$37000,"68*")</f>
        <v>0</v>
      </c>
    </row>
    <row r="1491" spans="1:5" x14ac:dyDescent="0.2">
      <c r="A1491" s="560" t="s">
        <v>1006</v>
      </c>
      <c r="B1491" s="560" t="s">
        <v>1005</v>
      </c>
      <c r="C1491" s="560">
        <v>2700</v>
      </c>
      <c r="D1491" s="560">
        <v>6800</v>
      </c>
      <c r="E1491" s="561">
        <f t="array" ref="E1491">SUMIFS('Accounting data'!$G$2:$G$37000,'Accounting data'!$H$2:$H$37000,"9999*",'Accounting data'!$J$2:$J$37000,"27*",'Accounting data'!$K$2:$K$37000,"68*")</f>
        <v>0</v>
      </c>
    </row>
    <row r="1492" spans="1:5" x14ac:dyDescent="0.2">
      <c r="A1492" s="560" t="s">
        <v>1005</v>
      </c>
      <c r="B1492" s="560" t="s">
        <v>1007</v>
      </c>
      <c r="C1492" s="560">
        <v>2700</v>
      </c>
      <c r="D1492" s="560">
        <v>6800</v>
      </c>
      <c r="E1492" s="561">
        <f t="array" ref="E1492">SUMIFS('Accounting data'!$G$2:$G$37000,'Accounting data'!$I$2:$I$37000,"7*",'Accounting data'!$J$2:$J$37000,"27*",'Accounting data'!$K$2:$K$37000,"68*")+SUMIFS('Accounting data'!$G$2:$G$37000,'Accounting data'!$I$2:$I$37000,"8*",'Accounting data'!$J$2:$J$37000,"27*",'Accounting data'!$K$2:$K$37000,"68*")+SUMIFS('Accounting data'!$G$2:$G$37000,'Accounting data'!$I$2:$I$37000,"9*",'Accounting data'!$J$2:$J$37000,"27*",'Accounting data'!$K$2:$K$37000,"68*")</f>
        <v>0</v>
      </c>
    </row>
    <row r="1493" spans="1:5" x14ac:dyDescent="0.2">
      <c r="A1493" s="562" t="s">
        <v>1006</v>
      </c>
      <c r="B1493" s="560" t="s">
        <v>1007</v>
      </c>
      <c r="C1493" s="560">
        <v>2700</v>
      </c>
      <c r="D1493" s="560">
        <v>6800</v>
      </c>
      <c r="E1493" s="561">
        <f t="array" ref="E1493">SUMIFS('Accounting data'!$G$2:$G$37000,'Accounting data'!$H$2:$H$37000,"9999*",'Accounting data'!$I$2:$I$37000,"7*",'Accounting data'!$J$2:$J$37000,"27*",'Accounting data'!$K$2:$K$37000,"68*")+SUMIFS('Accounting data'!$G$2:$G$37000,'Accounting data'!$H$2:$H$37000,"9999*",'Accounting data'!$I$2:$I$37000,"8*",'Accounting data'!$J$2:$J$37000,"27*",'Accounting data'!$K$2:$K$37000,"68*")+SUMIFS('Accounting data'!$G$2:$G$37000,'Accounting data'!$H$2:$H$37000,"9999*",'Accounting data'!$I$2:$I$37000,"9*",'Accounting data'!$J$2:$J$37000,"27*",'Accounting data'!$K$2:$K$37000,"68*")</f>
        <v>0</v>
      </c>
    </row>
    <row r="1494" spans="1:5" ht="15" x14ac:dyDescent="0.25">
      <c r="A1494" s="563" t="s">
        <v>1128</v>
      </c>
      <c r="B1494" s="563"/>
      <c r="C1494" s="563"/>
      <c r="D1494" s="563"/>
      <c r="E1494" s="564">
        <f>(E1490-E1491-E1492)+E1493</f>
        <v>0</v>
      </c>
    </row>
    <row r="1495" spans="1:5" x14ac:dyDescent="0.2">
      <c r="A1495" s="560" t="s">
        <v>1005</v>
      </c>
      <c r="B1495" s="560" t="s">
        <v>1005</v>
      </c>
      <c r="C1495" s="560">
        <v>3100</v>
      </c>
      <c r="D1495" s="560">
        <v>6800</v>
      </c>
      <c r="E1495" s="561">
        <f t="array" ref="E1495">SUMIFS('Accounting data'!$G$2:$G$37000,'Accounting data'!$J$2:$J$37000,"31*",'Accounting data'!$K$2:$K$37000,"68*")</f>
        <v>297</v>
      </c>
    </row>
    <row r="1496" spans="1:5" x14ac:dyDescent="0.2">
      <c r="A1496" s="560" t="s">
        <v>1006</v>
      </c>
      <c r="B1496" s="560" t="s">
        <v>1005</v>
      </c>
      <c r="C1496" s="560">
        <v>3100</v>
      </c>
      <c r="D1496" s="560">
        <v>6800</v>
      </c>
      <c r="E1496" s="561">
        <f t="array" ref="E1496">SUMIFS('Accounting data'!$G$2:$G$37000,'Accounting data'!$H$2:$H$37000,"9999*",'Accounting data'!$J$2:$J$37000,"31*",'Accounting data'!$K$2:$K$37000,"68*")</f>
        <v>0</v>
      </c>
    </row>
    <row r="1497" spans="1:5" x14ac:dyDescent="0.2">
      <c r="A1497" s="560" t="s">
        <v>1005</v>
      </c>
      <c r="B1497" s="560" t="s">
        <v>1007</v>
      </c>
      <c r="C1497" s="560">
        <v>3100</v>
      </c>
      <c r="D1497" s="560">
        <v>6800</v>
      </c>
      <c r="E1497" s="561">
        <f t="array" ref="E1497">SUMIFS('Accounting data'!$G$2:$G$37000,'Accounting data'!$I$2:$I$37000,"7*",'Accounting data'!$J$2:$J$37000,"31*",'Accounting data'!$K$2:$K$37000,"68*")+SUMIFS('Accounting data'!$G$2:$G$37000,'Accounting data'!$I$2:$I$37000,"8*",'Accounting data'!$J$2:$J$37000,"31*",'Accounting data'!$K$2:$K$37000,"68*")+SUMIFS('Accounting data'!$G$2:$G$37000,'Accounting data'!$I$2:$I$37000,"9*",'Accounting data'!$J$2:$J$37000,"31*",'Accounting data'!$K$2:$K$37000,"68*")</f>
        <v>0</v>
      </c>
    </row>
    <row r="1498" spans="1:5" x14ac:dyDescent="0.2">
      <c r="A1498" s="562" t="s">
        <v>1006</v>
      </c>
      <c r="B1498" s="560" t="s">
        <v>1007</v>
      </c>
      <c r="C1498" s="560">
        <v>3100</v>
      </c>
      <c r="D1498" s="560">
        <v>6800</v>
      </c>
      <c r="E1498" s="561">
        <f t="array" ref="E1498">SUMIFS('Accounting data'!$G$2:$G$37000,'Accounting data'!$H$2:$H$37000,"9999*",'Accounting data'!$I$2:$I$37000,"7*",'Accounting data'!$J$2:$J$37000,"31*",'Accounting data'!$K$2:$K$37000,"68*")+SUMIFS('Accounting data'!$G$2:$G$37000,'Accounting data'!$H$2:$H$37000,"9999*",'Accounting data'!$I$2:$I$37000,"8*",'Accounting data'!$J$2:$J$37000,"31*",'Accounting data'!$K$2:$K$37000,"68*")+SUMIFS('Accounting data'!$G$2:$G$37000,'Accounting data'!$H$2:$H$37000,"9999*",'Accounting data'!$I$2:$I$37000,"9*",'Accounting data'!$J$2:$J$37000,"31*",'Accounting data'!$K$2:$K$37000,"68*")</f>
        <v>0</v>
      </c>
    </row>
    <row r="1499" spans="1:5" ht="15" x14ac:dyDescent="0.25">
      <c r="A1499" s="563" t="s">
        <v>1129</v>
      </c>
      <c r="B1499" s="563"/>
      <c r="C1499" s="563"/>
      <c r="D1499" s="563"/>
      <c r="E1499" s="564">
        <f>(E1495-E1496-E1497)+E1498</f>
        <v>297</v>
      </c>
    </row>
    <row r="1500" spans="1:5" x14ac:dyDescent="0.2">
      <c r="A1500" s="560" t="s">
        <v>1005</v>
      </c>
      <c r="B1500" s="560" t="s">
        <v>1005</v>
      </c>
      <c r="C1500" s="560">
        <v>3400</v>
      </c>
      <c r="D1500" s="560">
        <v>6800</v>
      </c>
      <c r="E1500" s="561">
        <f t="array" ref="E1500">SUMIFS('Accounting data'!$G$2:$G$37000,'Accounting data'!$J$2:$J$37000,"34*",'Accounting data'!$K$2:$K$37000,"68*")</f>
        <v>0</v>
      </c>
    </row>
    <row r="1501" spans="1:5" x14ac:dyDescent="0.2">
      <c r="A1501" s="560" t="s">
        <v>1006</v>
      </c>
      <c r="B1501" s="560" t="s">
        <v>1005</v>
      </c>
      <c r="C1501" s="560">
        <v>3400</v>
      </c>
      <c r="D1501" s="560">
        <v>6800</v>
      </c>
      <c r="E1501" s="561">
        <f t="array" ref="E1501">SUMIFS('Accounting data'!$G$2:$G$37000,'Accounting data'!$H$2:$H$37000,"9999*",'Accounting data'!$J$2:$J$37000,"34*",'Accounting data'!$K$2:$K$37000,"68*")</f>
        <v>0</v>
      </c>
    </row>
    <row r="1502" spans="1:5" x14ac:dyDescent="0.2">
      <c r="A1502" s="560" t="s">
        <v>1005</v>
      </c>
      <c r="B1502" s="560" t="s">
        <v>1007</v>
      </c>
      <c r="C1502" s="560">
        <v>3400</v>
      </c>
      <c r="D1502" s="560">
        <v>6800</v>
      </c>
      <c r="E1502" s="561">
        <f t="array" ref="E1502">SUMIFS('Accounting data'!$G$2:$G$37000,'Accounting data'!$I$2:$I$37000,"7*",'Accounting data'!$J$2:$J$37000,"34*",'Accounting data'!$K$2:$K$37000,"68*")+SUMIFS('Accounting data'!$G$2:$G$37000,'Accounting data'!$I$2:$I$37000,"8*",'Accounting data'!$J$2:$J$37000,"34*",'Accounting data'!$K$2:$K$37000,"68*")+SUMIFS('Accounting data'!$G$2:$G$37000,'Accounting data'!$I$2:$I$37000,"9*",'Accounting data'!$J$2:$J$37000,"34*",'Accounting data'!$K$2:$K$37000,"68*")</f>
        <v>0</v>
      </c>
    </row>
    <row r="1503" spans="1:5" x14ac:dyDescent="0.2">
      <c r="A1503" s="562" t="s">
        <v>1006</v>
      </c>
      <c r="B1503" s="560" t="s">
        <v>1007</v>
      </c>
      <c r="C1503" s="560">
        <v>3400</v>
      </c>
      <c r="D1503" s="560">
        <v>6800</v>
      </c>
      <c r="E1503" s="561">
        <f t="array" ref="E1503">SUMIFS('Accounting data'!$G$2:$G$37000,'Accounting data'!$H$2:$H$37000,"9999*",'Accounting data'!$I$2:$I$37000,"7*",'Accounting data'!$J$2:$J$37000,"34*",'Accounting data'!$K$2:$K$37000,"68*")+SUMIFS('Accounting data'!$G$2:$G$37000,'Accounting data'!$H$2:$H$37000,"9999*",'Accounting data'!$I$2:$I$37000,"8*",'Accounting data'!$J$2:$J$37000,"34*",'Accounting data'!$K$2:$K$37000,"68*")+SUMIFS('Accounting data'!$G$2:$G$37000,'Accounting data'!$H$2:$H$37000,"9999*",'Accounting data'!$I$2:$I$37000,"9*",'Accounting data'!$J$2:$J$37000,"34*",'Accounting data'!$K$2:$K$37000,"68*")</f>
        <v>0</v>
      </c>
    </row>
    <row r="1504" spans="1:5" ht="15" x14ac:dyDescent="0.25">
      <c r="A1504" s="563" t="s">
        <v>1130</v>
      </c>
      <c r="B1504" s="563"/>
      <c r="C1504" s="563"/>
      <c r="D1504" s="563"/>
      <c r="E1504" s="564">
        <f>(E1500-E1501-E1502)+E1503</f>
        <v>0</v>
      </c>
    </row>
    <row r="1505" spans="1:5" ht="15" x14ac:dyDescent="0.25">
      <c r="A1505" s="566" t="s">
        <v>1131</v>
      </c>
      <c r="B1505" s="566"/>
      <c r="C1505" s="566"/>
      <c r="D1505" s="566"/>
      <c r="E1505" s="567">
        <f>E1454+E1459+E1464+E1469+E1474+E1479+E1484+E1489+E1494+E1499+E1504</f>
        <v>207791</v>
      </c>
    </row>
    <row r="1506" spans="1:5" x14ac:dyDescent="0.2">
      <c r="A1506" s="560" t="s">
        <v>1021</v>
      </c>
      <c r="B1506" s="560" t="s">
        <v>1005</v>
      </c>
      <c r="C1506" s="560">
        <v>1000</v>
      </c>
      <c r="D1506" s="560">
        <v>6800</v>
      </c>
      <c r="E1506" s="561">
        <f>SUMIFS('Accounting data'!$G$2:$G$37000,'Accounting data'!$H$2:$H$37000,"11*",'Accounting data'!$J$2:$J$37000,"1*",'Accounting data'!$K$2:$K$37000,"68*")+SUMIFS('Accounting data'!$G$2:$G$37000,'Accounting data'!$H$2:$H$37000,"12*",'Accounting data'!$J$2:$J$37000,"1*",'Accounting data'!$K$2:$K$37000,"68*")+SUMIFS('Accounting data'!$G$2:$G$37000,'Accounting data'!$H$2:$H$37000,"13*",'Accounting data'!$J$2:$J$37000,"1*",'Accounting data'!$K$2:$K$37000,"68*")</f>
        <v>0</v>
      </c>
    </row>
    <row r="1507" spans="1:5" x14ac:dyDescent="0.2">
      <c r="A1507" s="560" t="s">
        <v>1021</v>
      </c>
      <c r="B1507" s="560" t="s">
        <v>1005</v>
      </c>
      <c r="C1507" s="560">
        <v>2000</v>
      </c>
      <c r="D1507" s="560">
        <v>6800</v>
      </c>
      <c r="E1507" s="561">
        <f>SUMIFS('Accounting data'!$G$2:$G$37000,'Accounting data'!$H$2:$H$37000,"11*",'Accounting data'!$J$2:$J$37000,"2*",'Accounting data'!$K$2:$K$37000,"68*")+SUMIFS('Accounting data'!$G$2:$G$37000,'Accounting data'!$H$2:$H$37000,"12*",'Accounting data'!$J$2:$J$37000,"2*",'Accounting data'!$K$2:$K$37000,"68*")+SUMIFS('Accounting data'!$G$2:$G$37000,'Accounting data'!$H$2:$H$37000,"13*",'Accounting data'!$J$2:$J$37000,"2*",'Accounting data'!$K$2:$K$37000,"68*")</f>
        <v>0</v>
      </c>
    </row>
    <row r="1508" spans="1:5" x14ac:dyDescent="0.2">
      <c r="A1508" s="560" t="s">
        <v>1021</v>
      </c>
      <c r="B1508" s="560" t="s">
        <v>1005</v>
      </c>
      <c r="C1508" s="560">
        <v>3000</v>
      </c>
      <c r="D1508" s="560">
        <v>6800</v>
      </c>
      <c r="E1508" s="561">
        <f>SUMIFS('Accounting data'!$G$2:$G$37000,'Accounting data'!$H$2:$H$37000,"11*",'Accounting data'!$J$2:$J$37000,"3*",'Accounting data'!$K$2:$K$37000,"68*")+SUMIFS('Accounting data'!$G$2:$G$37000,'Accounting data'!$H$2:$H$37000,"12*",'Accounting data'!$J$2:$J$37000,"3*",'Accounting data'!$K$2:$K$37000,"68*")+SUMIFS('Accounting data'!$G$2:$G$37000,'Accounting data'!$H$2:$H$37000,"13*",'Accounting data'!$J$2:$J$37000,"3*",'Accounting data'!$K$2:$K$37000,"68*")</f>
        <v>0</v>
      </c>
    </row>
    <row r="1509" spans="1:5" x14ac:dyDescent="0.2">
      <c r="A1509" s="560" t="s">
        <v>1021</v>
      </c>
      <c r="B1509" s="562">
        <v>700</v>
      </c>
      <c r="C1509" s="560">
        <v>1000</v>
      </c>
      <c r="D1509" s="560">
        <v>6800</v>
      </c>
      <c r="E1509" s="561">
        <f>SUMIFS('Accounting data'!$G$2:$G$37000,'Accounting data'!$H$2:$H$37000,"11*",'Accounting data'!$I$2:$I$37000,"7*",'Accounting data'!$J$2:$J$37000,"1*",'Accounting data'!$K$2:$K$37000,"68*")+SUMIFS('Accounting data'!$G$2:$G$37000,'Accounting data'!$H$2:$H$37000,"12*",'Accounting data'!$I$2:$I$37000,"7*",'Accounting data'!$J$2:$J$37000,"1*",'Accounting data'!$K$2:$K$37000,"68*")+SUMIFS('Accounting data'!$G$2:$G$37000,'Accounting data'!$H$2:$H$37000,"13*",'Accounting data'!$I$2:$I$37000,"7*",'Accounting data'!$J$2:$J$37000,"1*",'Accounting data'!$K$2:$K$37000,"68*")</f>
        <v>0</v>
      </c>
    </row>
    <row r="1510" spans="1:5" x14ac:dyDescent="0.2">
      <c r="A1510" s="560" t="s">
        <v>1021</v>
      </c>
      <c r="B1510" s="562">
        <v>800</v>
      </c>
      <c r="C1510" s="560">
        <v>1000</v>
      </c>
      <c r="D1510" s="560">
        <v>6800</v>
      </c>
      <c r="E1510" s="561">
        <f>SUMIFS('Accounting data'!$G$2:$G$37000,'Accounting data'!$H$2:$H$37000,"11*",'Accounting data'!$I$2:$I$37000,"8*",'Accounting data'!$J$2:$J$37000,"1*",'Accounting data'!$K$2:$K$37000,"68*")+SUMIFS('Accounting data'!$G$2:$G$37000,'Accounting data'!$H$2:$H$37000,"12*",'Accounting data'!$I$2:$I$37000,"8*",'Accounting data'!$J$2:$J$37000,"1*",'Accounting data'!$K$2:$K$37000,"68*")+SUMIFS('Accounting data'!$G$2:$G$37000,'Accounting data'!$H$2:$H$37000,"13*",'Accounting data'!$I$2:$I$37000,"8*",'Accounting data'!$J$2:$J$37000,"1*",'Accounting data'!$K$2:$K$37000,"68*")</f>
        <v>0</v>
      </c>
    </row>
    <row r="1511" spans="1:5" x14ac:dyDescent="0.2">
      <c r="A1511" s="560" t="s">
        <v>1021</v>
      </c>
      <c r="B1511" s="562">
        <v>900</v>
      </c>
      <c r="C1511" s="560">
        <v>1000</v>
      </c>
      <c r="D1511" s="560">
        <v>6800</v>
      </c>
      <c r="E1511" s="561">
        <f>SUMIFS('Accounting data'!$G$2:$G$37000,'Accounting data'!$H$2:$H$37000,"11*",'Accounting data'!$I$2:$I$37000,"9*",'Accounting data'!$J$2:$J$37000,"1*",'Accounting data'!$K$2:$K$37000,"68*")+SUMIFS('Accounting data'!$G$2:$G$37000,'Accounting data'!$H$2:$H$37000,"12*",'Accounting data'!$I$2:$I$37000,"9*",'Accounting data'!$J$2:$J$37000,"1*",'Accounting data'!$K$2:$K$37000,"68*")+SUMIFS('Accounting data'!$G$2:$G$37000,'Accounting data'!$H$2:$H$37000,"13*",'Accounting data'!$I$2:$I$37000,"9*",'Accounting data'!$J$2:$J$37000,"1*",'Accounting data'!$K$2:$K$37000,"68*")</f>
        <v>0</v>
      </c>
    </row>
    <row r="1512" spans="1:5" x14ac:dyDescent="0.2">
      <c r="A1512" s="560" t="s">
        <v>1021</v>
      </c>
      <c r="B1512" s="562">
        <v>700</v>
      </c>
      <c r="C1512" s="560">
        <v>2000</v>
      </c>
      <c r="D1512" s="560">
        <v>6800</v>
      </c>
      <c r="E1512" s="561">
        <f>SUMIFS('Accounting data'!$G$2:$G$37000,'Accounting data'!$H$2:$H$37000,"11*",'Accounting data'!$I$2:$I$37000,"7*",'Accounting data'!$J$2:$J$37000,"2*",'Accounting data'!$K$2:$K$37000,"68*")+SUMIFS('Accounting data'!$G$2:$G$37000,'Accounting data'!$H$2:$H$37000,"12*",'Accounting data'!$I$2:$I$37000,"7*",'Accounting data'!$J$2:$J$37000,"2*",'Accounting data'!$K$2:$K$37000,"68*")+SUMIFS('Accounting data'!$G$2:$G$37000,'Accounting data'!$H$2:$H$37000,"13*",'Accounting data'!$I$2:$I$37000,"7*",'Accounting data'!$J$2:$J$37000,"2*",'Accounting data'!$K$2:$K$37000,"68*")</f>
        <v>0</v>
      </c>
    </row>
    <row r="1513" spans="1:5" x14ac:dyDescent="0.2">
      <c r="A1513" s="560" t="s">
        <v>1021</v>
      </c>
      <c r="B1513" s="562">
        <v>800</v>
      </c>
      <c r="C1513" s="560">
        <v>2000</v>
      </c>
      <c r="D1513" s="560">
        <v>6800</v>
      </c>
      <c r="E1513" s="561">
        <f>SUMIFS('Accounting data'!$G$2:$G$37000,'Accounting data'!$H$2:$H$37000,"11*",'Accounting data'!$I$2:$I$37000,"8*",'Accounting data'!$J$2:$J$37000,"2*",'Accounting data'!$K$2:$K$37000,"68*")+SUMIFS('Accounting data'!$G$2:$G$37000,'Accounting data'!$H$2:$H$37000,"12*",'Accounting data'!$I$2:$I$37000,"8*",'Accounting data'!$J$2:$J$37000,"2*",'Accounting data'!$K$2:$K$37000,"68*")+SUMIFS('Accounting data'!$G$2:$G$37000,'Accounting data'!$H$2:$H$37000,"13*",'Accounting data'!$I$2:$I$37000,"8*",'Accounting data'!$J$2:$J$37000,"2*",'Accounting data'!$K$2:$K$37000,"68*")</f>
        <v>0</v>
      </c>
    </row>
    <row r="1514" spans="1:5" x14ac:dyDescent="0.2">
      <c r="A1514" s="560" t="s">
        <v>1021</v>
      </c>
      <c r="B1514" s="562">
        <v>900</v>
      </c>
      <c r="C1514" s="560">
        <v>2000</v>
      </c>
      <c r="D1514" s="560">
        <v>6800</v>
      </c>
      <c r="E1514" s="561">
        <f>SUMIFS('Accounting data'!$G$2:$G$37000,'Accounting data'!$H$2:$H$37000,"11*",'Accounting data'!$I$2:$I$37000,"9*",'Accounting data'!$J$2:$J$37000,"2*",'Accounting data'!$K$2:$K$37000,"68*")+SUMIFS('Accounting data'!$G$2:$G$37000,'Accounting data'!$H$2:$H$37000,"12*",'Accounting data'!$I$2:$I$37000,"9*",'Accounting data'!$J$2:$J$37000,"2*",'Accounting data'!$K$2:$K$37000,"68*")+SUMIFS('Accounting data'!$G$2:$G$37000,'Accounting data'!$H$2:$H$37000,"13*",'Accounting data'!$I$2:$I$37000,"9*",'Accounting data'!$J$2:$J$37000,"2*",'Accounting data'!$K$2:$K$37000,"68*")</f>
        <v>0</v>
      </c>
    </row>
    <row r="1515" spans="1:5" x14ac:dyDescent="0.2">
      <c r="A1515" s="560" t="s">
        <v>1021</v>
      </c>
      <c r="B1515" s="562">
        <v>700</v>
      </c>
      <c r="C1515" s="560">
        <v>3000</v>
      </c>
      <c r="D1515" s="560">
        <v>6800</v>
      </c>
      <c r="E1515" s="561">
        <f>SUMIFS('Accounting data'!$G$2:$G$37000,'Accounting data'!$H$2:$H$37000,"11*",'Accounting data'!$I$2:$I$37000,"7*",'Accounting data'!$J$2:$J$37000,"3*",'Accounting data'!$K$2:$K$37000,"68*")+SUMIFS('Accounting data'!$G$2:$G$37000,'Accounting data'!$H$2:$H$37000,"12*",'Accounting data'!$I$2:$I$37000,"7*",'Accounting data'!$J$2:$J$37000,"3*",'Accounting data'!$K$2:$K$37000,"68*")+SUMIFS('Accounting data'!$G$2:$G$37000,'Accounting data'!$H$2:$H$37000,"13*",'Accounting data'!$I$2:$I$37000,"7*",'Accounting data'!$J$2:$J$37000,"3*",'Accounting data'!$K$2:$K$37000,"68*")</f>
        <v>0</v>
      </c>
    </row>
    <row r="1516" spans="1:5" x14ac:dyDescent="0.2">
      <c r="A1516" s="560" t="s">
        <v>1021</v>
      </c>
      <c r="B1516" s="562">
        <v>800</v>
      </c>
      <c r="C1516" s="560">
        <v>3000</v>
      </c>
      <c r="D1516" s="560">
        <v>6800</v>
      </c>
      <c r="E1516" s="561">
        <f>SUMIFS('Accounting data'!$G$2:$G$37000,'Accounting data'!$H$2:$H$37000,"11*",'Accounting data'!$I$2:$I$37000,"8*",'Accounting data'!$J$2:$J$37000,"3*",'Accounting data'!$K$2:$K$37000,"68*")+SUMIFS('Accounting data'!$G$2:$G$37000,'Accounting data'!$H$2:$H$37000,"12*",'Accounting data'!$I$2:$I$37000,"8*",'Accounting data'!$J$2:$J$37000,"3*",'Accounting data'!$K$2:$K$37000,"68*")+SUMIFS('Accounting data'!$G$2:$G$37000,'Accounting data'!$H$2:$H$37000,"13*",'Accounting data'!$I$2:$I$37000,"8*",'Accounting data'!$J$2:$J$37000,"3*",'Accounting data'!$K$2:$K$37000,"68*")</f>
        <v>0</v>
      </c>
    </row>
    <row r="1517" spans="1:5" x14ac:dyDescent="0.2">
      <c r="A1517" s="560" t="s">
        <v>1021</v>
      </c>
      <c r="B1517" s="562">
        <v>900</v>
      </c>
      <c r="C1517" s="560">
        <v>3000</v>
      </c>
      <c r="D1517" s="560">
        <v>6800</v>
      </c>
      <c r="E1517" s="561">
        <f>SUMIFS('Accounting data'!$G$2:$G$37000,'Accounting data'!$H$2:$H$37000,"11*",'Accounting data'!$I$2:$I$37000,"9*",'Accounting data'!$J$2:$J$37000,"3*",'Accounting data'!$K$2:$K$37000,"68*")+SUMIFS('Accounting data'!$G$2:$G$37000,'Accounting data'!$H$2:$H$37000,"12*",'Accounting data'!$I$2:$I$37000,"9*",'Accounting data'!$J$2:$J$37000,"3*",'Accounting data'!$K$2:$K$37000,"68*")+SUMIFS('Accounting data'!$G$2:$G$37000,'Accounting data'!$H$2:$H$37000,"13*",'Accounting data'!$I$2:$I$37000,"9*",'Accounting data'!$J$2:$J$37000,"3*",'Accounting data'!$K$2:$K$37000,"68*")</f>
        <v>0</v>
      </c>
    </row>
    <row r="1518" spans="1:5" x14ac:dyDescent="0.2">
      <c r="A1518" s="563" t="s">
        <v>1132</v>
      </c>
      <c r="B1518" s="563"/>
      <c r="C1518" s="563"/>
      <c r="D1518" s="563"/>
      <c r="E1518" s="580">
        <f>(E1506+E1507+E1508)-(E1509+E1510+E1511+E1512+E1513+E1514+E1515+E1516+E1517)</f>
        <v>0</v>
      </c>
    </row>
    <row r="1519" spans="1:5" x14ac:dyDescent="0.2">
      <c r="A1519" s="560" t="s">
        <v>1005</v>
      </c>
      <c r="B1519" s="560" t="s">
        <v>1005</v>
      </c>
      <c r="C1519" s="560">
        <v>4000</v>
      </c>
      <c r="D1519" s="560">
        <v>6800</v>
      </c>
      <c r="E1519" s="561">
        <f>SUMIFS('Accounting data'!G$2:G$37000,'Accounting data'!J$2:J$37000,"4*",'Accounting data'!K$2:K$37000,"68*")</f>
        <v>0</v>
      </c>
    </row>
    <row r="1520" spans="1:5" x14ac:dyDescent="0.2">
      <c r="A1520" s="560" t="s">
        <v>1006</v>
      </c>
      <c r="B1520" s="560" t="s">
        <v>1005</v>
      </c>
      <c r="C1520" s="560">
        <v>4000</v>
      </c>
      <c r="D1520" s="560">
        <v>6800</v>
      </c>
      <c r="E1520" s="561">
        <f t="array" ref="E1520">SUMIFS('Accounting data'!$G$2:$G$37000,'Accounting data'!$H$2:$H$37000,"9999*",'Accounting data'!$J$2:$J$37000,"4*",'Accounting data'!$K$2:$K$37000,"68*")</f>
        <v>0</v>
      </c>
    </row>
    <row r="1521" spans="1:5" x14ac:dyDescent="0.2">
      <c r="A1521" s="560" t="s">
        <v>1005</v>
      </c>
      <c r="B1521" s="560" t="s">
        <v>1007</v>
      </c>
      <c r="C1521" s="560">
        <v>4000</v>
      </c>
      <c r="D1521" s="560">
        <v>6800</v>
      </c>
      <c r="E1521" s="561">
        <f t="array" ref="E1521">SUMIFS('Accounting data'!$G$2:$G$37000,'Accounting data'!$I$2:$I$37000,"7*",'Accounting data'!$J$2:$J$37000,"4*",'Accounting data'!$K$2:$K$37000,"68*")+SUMIFS('Accounting data'!$G$2:$G$37000,'Accounting data'!$I$2:$I$37000,"8*",'Accounting data'!$J$2:$J$37000,"4*",'Accounting data'!$K$2:$K$37000,"68*")+SUMIFS('Accounting data'!$G$2:$G$37000,'Accounting data'!$I$2:$I$37000,"9*",'Accounting data'!$J$2:$J$37000,"4*",'Accounting data'!$K$2:$K$37000,"68*")</f>
        <v>0</v>
      </c>
    </row>
    <row r="1522" spans="1:5" x14ac:dyDescent="0.2">
      <c r="A1522" s="562" t="s">
        <v>1006</v>
      </c>
      <c r="B1522" s="560" t="s">
        <v>1007</v>
      </c>
      <c r="C1522" s="560">
        <v>4000</v>
      </c>
      <c r="D1522" s="560">
        <v>6800</v>
      </c>
      <c r="E1522" s="561">
        <f t="array" ref="E1522">SUMIFS('Accounting data'!$G$2:$G$37000,'Accounting data'!$H$2:$H$37000,"9999*",'Accounting data'!$I$2:$I$37000,"7*",'Accounting data'!$J$2:$J$37000,"4*",'Accounting data'!$K$2:$K$37000,"68*")+SUMIFS('Accounting data'!$G$2:$G$37000,'Accounting data'!$H$2:$H$37000,"9999*",'Accounting data'!$I$2:$I$37000,"8*",'Accounting data'!$J$2:$J$37000,"4*",'Accounting data'!$K$2:$K$37000,"68*")+SUMIFS('Accounting data'!$G$2:$G$37000,'Accounting data'!$H$2:$H$37000,"9999*",'Accounting data'!$I$2:$I$37000,"9*",'Accounting data'!$J$2:$J$37000,"4*",'Accounting data'!$K$2:$K$37000,"68*")</f>
        <v>0</v>
      </c>
    </row>
    <row r="1523" spans="1:5" ht="15" x14ac:dyDescent="0.25">
      <c r="A1523" s="563" t="s">
        <v>1133</v>
      </c>
      <c r="B1523" s="563"/>
      <c r="C1523" s="563"/>
      <c r="D1523" s="563"/>
      <c r="E1523" s="564">
        <f>(E1519-E1520-E1521)+E1522</f>
        <v>0</v>
      </c>
    </row>
    <row r="1524" spans="1:5" x14ac:dyDescent="0.2">
      <c r="A1524" s="560" t="s">
        <v>1005</v>
      </c>
      <c r="B1524" s="560" t="s">
        <v>1005</v>
      </c>
      <c r="C1524" s="560">
        <v>1900</v>
      </c>
      <c r="D1524" s="560">
        <v>6100</v>
      </c>
      <c r="E1524" s="561">
        <f>SUMIFS('Accounting data'!$G$2:$G$37000,'Accounting data'!$J$2:$J$37000,"19*",'Accounting data'!$K$2:$K$37000,"61*")</f>
        <v>0</v>
      </c>
    </row>
    <row r="1525" spans="1:5" x14ac:dyDescent="0.2">
      <c r="A1525" s="560" t="s">
        <v>1006</v>
      </c>
      <c r="B1525" s="560" t="s">
        <v>1005</v>
      </c>
      <c r="C1525" s="560">
        <v>1900</v>
      </c>
      <c r="D1525" s="560">
        <v>6100</v>
      </c>
      <c r="E1525" s="561">
        <f>SUMIFS('Accounting data'!$G$2:$G$37000,'Accounting data'!$H$2:$H$37000,"9999*",'Accounting data'!$J$2:$J$37000,"19*",'Accounting data'!$K$2:$K$37000,"61*")</f>
        <v>0</v>
      </c>
    </row>
    <row r="1526" spans="1:5" x14ac:dyDescent="0.2">
      <c r="A1526" s="560" t="s">
        <v>1005</v>
      </c>
      <c r="B1526" s="560" t="s">
        <v>1007</v>
      </c>
      <c r="C1526" s="560">
        <v>1900</v>
      </c>
      <c r="D1526" s="560">
        <v>6100</v>
      </c>
      <c r="E1526" s="561">
        <f>SUMIFS('Accounting data'!$G$2:$G$37000,'Accounting data'!$I$2:$I$37000,"7*",'Accounting data'!$J$2:$J$37000,"19*",'Accounting data'!$K$2:$K$37000,"61*")+SUMIFS('Accounting data'!$G$2:$G$37000,'Accounting data'!$I$2:$I$37000,"8*",'Accounting data'!$J$2:$J$37000,"19*",'Accounting data'!$K$2:$K$37000,"61*")+SUMIFS('Accounting data'!$G$2:$G$37000,'Accounting data'!$I$2:$I$37000,"9*",'Accounting data'!$J$2:$J$37000,"19*",'Accounting data'!$K$2:$K$37000,"61*")</f>
        <v>0</v>
      </c>
    </row>
    <row r="1527" spans="1:5" x14ac:dyDescent="0.2">
      <c r="A1527" s="562" t="s">
        <v>1006</v>
      </c>
      <c r="B1527" s="560" t="s">
        <v>1007</v>
      </c>
      <c r="C1527" s="560">
        <v>1900</v>
      </c>
      <c r="D1527" s="560">
        <v>6100</v>
      </c>
      <c r="E1527" s="561">
        <f>SUMIFS('Accounting data'!$G$2:$G$37000,'Accounting data'!$H$2:$H$37000,"9999*",'Accounting data'!$I$2:$I$37000,"7*",'Accounting data'!$J$2:$J$37000,"19*",'Accounting data'!$K$2:$K$37000,"61*")+SUMIFS('Accounting data'!$G$2:$G$37000,'Accounting data'!$H$2:$H$37000,"9999*",'Accounting data'!$I$2:$I$37000,"8*",'Accounting data'!$J$2:$J$37000,"19*",'Accounting data'!$K$2:$K$37000,"61*")+SUMIFS('Accounting data'!$G$2:$G$37000,'Accounting data'!$H$2:$H$37000,"9999*",'Accounting data'!$I$2:$I$37000,"9*",'Accounting data'!$J$2:$J$37000,"19*",'Accounting data'!$K$2:$K$37000,"61*")</f>
        <v>0</v>
      </c>
    </row>
    <row r="1528" spans="1:5" x14ac:dyDescent="0.2">
      <c r="A1528" s="563" t="s">
        <v>1134</v>
      </c>
      <c r="B1528" s="563"/>
      <c r="C1528" s="563"/>
      <c r="D1528" s="563"/>
      <c r="E1528" s="580">
        <f>(E1524-E1525-E1526)+E1527</f>
        <v>0</v>
      </c>
    </row>
    <row r="1529" spans="1:5" x14ac:dyDescent="0.2">
      <c r="A1529" s="560" t="s">
        <v>1021</v>
      </c>
      <c r="B1529" s="560" t="s">
        <v>1005</v>
      </c>
      <c r="C1529" s="560">
        <v>1900</v>
      </c>
      <c r="D1529" s="560">
        <v>6100</v>
      </c>
      <c r="E1529" s="561">
        <f t="array" ref="E1529">SUMIFS('Accounting data'!$G$2:$G$37000,'Accounting data'!$H$2:$H$37000,"11*",'Accounting data'!$J$2:$J$37000,"19*",'Accounting data'!$K$2:$K$37000,"61*")+SUMIFS('Accounting data'!$G$2:$G$37000,'Accounting data'!$H$2:$H$37000,"12*",'Accounting data'!$J$2:$J$37000,"19*",'Accounting data'!$K$2:$K$37000,"61*")+SUMIFS('Accounting data'!$G$2:$G$37000,'Accounting data'!$H$2:$H$37000,"13*",'Accounting data'!$J$2:$J$37000,"19*",'Accounting data'!$K$2:$K$37000,"61*")</f>
        <v>0</v>
      </c>
    </row>
    <row r="1530" spans="1:5" x14ac:dyDescent="0.2">
      <c r="A1530" s="560" t="s">
        <v>1021</v>
      </c>
      <c r="B1530" s="562">
        <v>700</v>
      </c>
      <c r="C1530" s="560">
        <v>1900</v>
      </c>
      <c r="D1530" s="560">
        <v>6100</v>
      </c>
      <c r="E1530" s="561">
        <f t="array" ref="E1530">SUMIFS('Accounting data'!$G$2:$G$37000,'Accounting data'!$H$2:$H$37000,"11*",'Accounting data'!$I$2:$I$37000,"7*",'Accounting data'!$J$2:$J$37000,"19*",'Accounting data'!$K$2:$K$37000,"61*")+SUMIFS('Accounting data'!$G$2:$G$37000,'Accounting data'!$H$2:$H$37000,"12*",'Accounting data'!$I$2:$I$37000,"7*",'Accounting data'!$J$2:$J$37000,"19*",'Accounting data'!$K$2:$K$37000,"61*")+SUMIFS('Accounting data'!$G$2:$G$37000,'Accounting data'!$H$2:$H$37000,"13*",'Accounting data'!$I$2:$I$37000,"7*",'Accounting data'!$J$2:$J$37000,"19*",'Accounting data'!$K$2:$K$37000,"61*")</f>
        <v>0</v>
      </c>
    </row>
    <row r="1531" spans="1:5" x14ac:dyDescent="0.2">
      <c r="A1531" s="560" t="s">
        <v>1021</v>
      </c>
      <c r="B1531" s="562">
        <v>800</v>
      </c>
      <c r="C1531" s="560">
        <v>1900</v>
      </c>
      <c r="D1531" s="560">
        <v>6100</v>
      </c>
      <c r="E1531" s="561">
        <f t="array" ref="E1531">SUMIFS('Accounting data'!$G$2:$G$37000,'Accounting data'!$H$2:$H$37000,"11*",'Accounting data'!$I$2:$I$37000,"8*",'Accounting data'!$J$2:$J$37000,"19*",'Accounting data'!$K$2:$K$37000,"61*")+SUMIFS('Accounting data'!$G$2:$G$37000,'Accounting data'!$H$2:$H$37000,"12*",'Accounting data'!$I$2:$I$37000,"8*",'Accounting data'!$J$2:$J$37000,"19*",'Accounting data'!$K$2:$K$37000,"61*")+SUMIFS('Accounting data'!$G$2:$G$37000,'Accounting data'!$H$2:$H$37000,"13*",'Accounting data'!$I$2:$I$37000,"8*",'Accounting data'!$J$2:$J$37000,"19*",'Accounting data'!$K$2:$K$37000,"61*")</f>
        <v>0</v>
      </c>
    </row>
    <row r="1532" spans="1:5" x14ac:dyDescent="0.2">
      <c r="A1532" s="560" t="s">
        <v>1021</v>
      </c>
      <c r="B1532" s="562">
        <v>900</v>
      </c>
      <c r="C1532" s="560">
        <v>1900</v>
      </c>
      <c r="D1532" s="560">
        <v>6100</v>
      </c>
      <c r="E1532" s="561">
        <f t="array" ref="E1532">SUMIFS('Accounting data'!$G$2:$G$37000,'Accounting data'!$H$2:$H$37000,"11*",'Accounting data'!$I$2:$I$37000,"9*",'Accounting data'!$J$2:$J$37000,"19*",'Accounting data'!$K$2:$K$37000,"61*")+SUMIFS('Accounting data'!$G$2:$G$37000,'Accounting data'!$H$2:$H$37000,"12*",'Accounting data'!$I$2:$I$37000,"9*",'Accounting data'!$J$2:$J$37000,"19*",'Accounting data'!$K$2:$K$37000,"61*")+SUMIFS('Accounting data'!$G$2:$G$37000,'Accounting data'!$H$2:$H$37000,"13*",'Accounting data'!$I$2:$I$37000,"9*",'Accounting data'!$J$2:$J$37000,"19*",'Accounting data'!$K$2:$K$37000,"61*")</f>
        <v>0</v>
      </c>
    </row>
    <row r="1533" spans="1:5" x14ac:dyDescent="0.2">
      <c r="A1533" s="563" t="s">
        <v>1135</v>
      </c>
      <c r="B1533" s="563"/>
      <c r="C1533" s="563"/>
      <c r="D1533" s="563"/>
      <c r="E1533" s="580">
        <f>E1529-(E1530+E1531+E1532)</f>
        <v>0</v>
      </c>
    </row>
    <row r="1534" spans="1:5" x14ac:dyDescent="0.2">
      <c r="A1534" s="566" t="s">
        <v>1136</v>
      </c>
      <c r="B1534" s="566"/>
      <c r="C1534" s="566"/>
      <c r="D1534" s="566"/>
      <c r="E1534" s="570">
        <f>E1528-E1533</f>
        <v>0</v>
      </c>
    </row>
    <row r="1535" spans="1:5" x14ac:dyDescent="0.2">
      <c r="A1535" s="581" t="s">
        <v>1005</v>
      </c>
      <c r="B1535" s="581" t="s">
        <v>1005</v>
      </c>
      <c r="C1535" s="581">
        <v>5000</v>
      </c>
      <c r="D1535" s="581">
        <v>6800</v>
      </c>
      <c r="E1535" s="582">
        <f>SUMIFS('Accounting data'!G$2:G$37000,'Accounting data'!J$2:J$37000,"5*",'Accounting data'!K$2:K$37000,"68*")</f>
        <v>0</v>
      </c>
    </row>
    <row r="1536" spans="1:5" x14ac:dyDescent="0.2">
      <c r="A1536" s="581" t="s">
        <v>1006</v>
      </c>
      <c r="B1536" s="581" t="s">
        <v>1005</v>
      </c>
      <c r="C1536" s="581">
        <v>5000</v>
      </c>
      <c r="D1536" s="581">
        <v>6800</v>
      </c>
      <c r="E1536" s="582">
        <f>SUMIFS('Accounting data'!$G$2:$G$37000,'Accounting data'!$H$2:$H$37000,"9999*",'Accounting data'!$J$2:$J$37000,"5*",'Accounting data'!$K$2:$K$37000,"68*")</f>
        <v>0</v>
      </c>
    </row>
    <row r="1537" spans="1:5" x14ac:dyDescent="0.2">
      <c r="A1537" s="581" t="s">
        <v>1005</v>
      </c>
      <c r="B1537" s="581" t="s">
        <v>1007</v>
      </c>
      <c r="C1537" s="581">
        <v>5000</v>
      </c>
      <c r="D1537" s="581">
        <v>6800</v>
      </c>
      <c r="E1537" s="582">
        <f>SUMIFS('Accounting data'!$G$2:$G$37000,'Accounting data'!$I$2:$I$37000,"7*",'Accounting data'!$J$2:$J$37000,"5*",'Accounting data'!$K$2:$K$37000,"68*")+SUMIFS('Accounting data'!$G$2:$G$37000,'Accounting data'!$I$2:$I$37000,"8*",'Accounting data'!$J$2:$J$37000,"5*",'Accounting data'!$K$2:$K$37000,"68*")+SUMIFS('Accounting data'!$G$2:$G$37000,'Accounting data'!$I$2:$I$37000,"9*",'Accounting data'!$J$2:$J$37000,"5*",'Accounting data'!$K$2:$K$37000,"68*")</f>
        <v>0</v>
      </c>
    </row>
    <row r="1538" spans="1:5" x14ac:dyDescent="0.2">
      <c r="A1538" s="583" t="s">
        <v>1006</v>
      </c>
      <c r="B1538" s="581" t="s">
        <v>1007</v>
      </c>
      <c r="C1538" s="581">
        <v>5000</v>
      </c>
      <c r="D1538" s="581">
        <v>6800</v>
      </c>
      <c r="E1538" s="582">
        <f>SUMIFS('Accounting data'!$G$2:$G$37000,'Accounting data'!$H$2:$H$37000,"9999*",'Accounting data'!$I$2:$I$37000,"7*",'Accounting data'!$J$2:$J$37000,"5*",'Accounting data'!$K$2:$K$37000,"68*")+SUMIFS('Accounting data'!$G$2:$G$37000,'Accounting data'!$H$2:$H$37000,"9999*",'Accounting data'!$I$2:$I$37000,"8*",'Accounting data'!$J$2:$J$37000,"5*",'Accounting data'!$K$2:$K$37000,"68*")+SUMIFS('Accounting data'!$G$2:$G$37000,'Accounting data'!$H$2:$H$37000,"9999*",'Accounting data'!$I$2:$I$37000,"9*",'Accounting data'!$J$2:$J$37000,"5*",'Accounting data'!$K$2:$K$37000,"68*")</f>
        <v>0</v>
      </c>
    </row>
    <row r="1539" spans="1:5" ht="15" x14ac:dyDescent="0.25">
      <c r="A1539" s="584" t="s">
        <v>1137</v>
      </c>
      <c r="B1539" s="584"/>
      <c r="C1539" s="584"/>
      <c r="D1539" s="584"/>
      <c r="E1539" s="564">
        <f>(E1535-E1536-E1537)+E1538</f>
        <v>0</v>
      </c>
    </row>
  </sheetData>
  <autoFilter ref="A1:E1534" xr:uid="{00000000-0009-0000-0000-000011000000}"/>
  <pageMargins left="0.75" right="0.25" top="0.25" bottom="0.25" header="0.5" footer="0.15"/>
  <pageSetup paperSize="5" scale="10" orientation="landscape" r:id="rId1"/>
  <headerFooter>
    <oddFooter>&amp;LRev. 8/24 Arizona Department of Education and Auditor General&amp;CFY 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4C66D-3F01-418F-9848-776D9E4BD0C0}">
  <sheetPr>
    <pageSetUpPr fitToPage="1"/>
  </sheetPr>
  <dimension ref="A1:AA50"/>
  <sheetViews>
    <sheetView showGridLines="0" zoomScaleNormal="100" workbookViewId="0">
      <selection activeCell="J13" sqref="J13"/>
    </sheetView>
  </sheetViews>
  <sheetFormatPr defaultColWidth="9.33203125" defaultRowHeight="12.75" x14ac:dyDescent="0.2"/>
  <cols>
    <col min="1" max="1" width="3.33203125" customWidth="1"/>
    <col min="2" max="2" width="17.83203125" customWidth="1"/>
    <col min="3" max="3" width="33.33203125" customWidth="1"/>
    <col min="4" max="4" width="13.83203125" customWidth="1"/>
    <col min="5" max="5" width="5" customWidth="1"/>
    <col min="6" max="6" width="14" customWidth="1"/>
    <col min="7" max="7" width="7.33203125" customWidth="1"/>
    <col min="8" max="8" width="13.83203125" customWidth="1"/>
    <col min="9" max="11" width="9.33203125" customWidth="1"/>
    <col min="12" max="12" width="10.33203125" customWidth="1"/>
    <col min="13" max="13" width="11.33203125" customWidth="1"/>
    <col min="14" max="17" width="9.33203125" customWidth="1"/>
    <col min="18" max="26" width="9.33203125" hidden="1" customWidth="1"/>
    <col min="27" max="27" width="9.33203125" customWidth="1"/>
  </cols>
  <sheetData>
    <row r="1" spans="1:14" x14ac:dyDescent="0.2">
      <c r="A1" s="716" t="s">
        <v>0</v>
      </c>
      <c r="B1" s="716"/>
      <c r="C1" s="616" t="str">
        <f>'Cover Page'!D1</f>
        <v>ASU Preparatory Academy - South Phoenix Primary</v>
      </c>
      <c r="G1" s="57" t="s">
        <v>1</v>
      </c>
      <c r="H1" s="722" t="str">
        <f>'Cover Page'!M1</f>
        <v>Maricopa</v>
      </c>
      <c r="I1" s="722"/>
      <c r="L1" s="57" t="s">
        <v>2</v>
      </c>
      <c r="M1" s="721" t="str">
        <f>'Cover Page'!R1</f>
        <v>078267000</v>
      </c>
      <c r="N1" s="722"/>
    </row>
    <row r="2" spans="1:14" x14ac:dyDescent="0.2">
      <c r="F2" s="613"/>
      <c r="G2" s="613"/>
      <c r="H2" t="s">
        <v>20</v>
      </c>
    </row>
    <row r="3" spans="1:14" x14ac:dyDescent="0.2">
      <c r="A3" s="595" t="s">
        <v>21</v>
      </c>
      <c r="B3" s="595"/>
    </row>
    <row r="4" spans="1:14" x14ac:dyDescent="0.2">
      <c r="A4" s="595" t="s">
        <v>22</v>
      </c>
      <c r="H4" s="58" t="s">
        <v>23</v>
      </c>
      <c r="J4" s="59"/>
      <c r="K4" s="59"/>
      <c r="L4" s="59"/>
    </row>
    <row r="5" spans="1:14" x14ac:dyDescent="0.2">
      <c r="A5" s="3" t="s">
        <v>24</v>
      </c>
      <c r="B5" s="727" t="s">
        <v>25</v>
      </c>
      <c r="C5" s="727"/>
      <c r="D5" s="727"/>
      <c r="H5" s="598">
        <f>-(SUMIFS('Accounting data'!$G$2:$G$37000,'Accounting data'!$K$2:$K$37000,"1310*"))+SUMIFS('Accounting data'!$G$2:$G$37000,'Accounting data'!$H$2:$H$37000,"9999*",'Accounting data'!$K$2:$K$37000,"1310*")</f>
        <v>0</v>
      </c>
      <c r="I5" s="617" t="s">
        <v>24</v>
      </c>
      <c r="J5" s="59"/>
      <c r="K5" s="59"/>
      <c r="L5" s="59"/>
    </row>
    <row r="6" spans="1:14" x14ac:dyDescent="0.2">
      <c r="A6" s="3" t="s">
        <v>26</v>
      </c>
      <c r="B6" s="727" t="s">
        <v>27</v>
      </c>
      <c r="C6" s="727"/>
      <c r="D6" s="727"/>
      <c r="H6" s="598">
        <f>-(SUMIFS('Accounting data'!$G$2:$G$37000,'Accounting data'!$K$2:$K$37000,"1320*"))+SUMIFS('Accounting data'!$G$2:$G$37000,'Accounting data'!$H$2:$H$37000,"9999*",'Accounting data'!$K$2:$K$37000,"1320*")</f>
        <v>0</v>
      </c>
      <c r="I6" s="617" t="s">
        <v>26</v>
      </c>
      <c r="J6" s="59"/>
      <c r="K6" s="59"/>
      <c r="L6" s="59"/>
    </row>
    <row r="7" spans="1:14" ht="12.75" customHeight="1" x14ac:dyDescent="0.2">
      <c r="A7" s="3" t="s">
        <v>28</v>
      </c>
      <c r="B7" s="708" t="s">
        <v>29</v>
      </c>
      <c r="C7" s="708"/>
      <c r="D7" s="708"/>
      <c r="H7" s="598">
        <f>-(SUMIFS('Accounting data'!$G$2:$G$37000,'Accounting data'!$K$2:$K$37000,"1410*"))+SUMIFS('Accounting data'!$G$2:$G$37000,'Accounting data'!$H$2:$H$37000,"9999*",'Accounting data'!$K$2:$K$37000,"1410*")</f>
        <v>0</v>
      </c>
      <c r="I7" s="617" t="s">
        <v>28</v>
      </c>
      <c r="J7" s="725" t="s">
        <v>30</v>
      </c>
      <c r="K7" s="725"/>
      <c r="L7" s="59"/>
    </row>
    <row r="8" spans="1:14" x14ac:dyDescent="0.2">
      <c r="A8" s="3" t="s">
        <v>31</v>
      </c>
      <c r="B8" s="708" t="s">
        <v>32</v>
      </c>
      <c r="C8" s="708"/>
      <c r="D8" s="708"/>
      <c r="H8" s="598">
        <f>-(SUMIFS('Accounting data'!$G$2:$G$37000,'Accounting data'!$K$2:$K$37000,"1420*"))+SUMIFS('Accounting data'!$G$2:$G$37000,'Accounting data'!$H$2:$H$37000,"9999*",'Accounting data'!$K$2:$K$37000,"1420*")</f>
        <v>0</v>
      </c>
      <c r="I8" s="617" t="s">
        <v>31</v>
      </c>
      <c r="J8" s="725"/>
      <c r="K8" s="725"/>
      <c r="L8" s="59"/>
    </row>
    <row r="9" spans="1:14" x14ac:dyDescent="0.2">
      <c r="A9" s="3" t="s">
        <v>33</v>
      </c>
      <c r="B9" s="708" t="s">
        <v>34</v>
      </c>
      <c r="C9" s="708"/>
      <c r="H9" s="598">
        <f>-(SUMIFS('Accounting data'!$G$2:$G$37000,'Accounting data'!$K$2:$K$37000,"1500*"))+SUMIFS('Accounting data'!$G$2:$G$37000,'Accounting data'!$H$2:$H$37000,"9999*",'Accounting data'!$K$2:$K$37000,"1500*")</f>
        <v>1871</v>
      </c>
      <c r="I9" s="617" t="s">
        <v>33</v>
      </c>
      <c r="J9" s="725"/>
      <c r="K9" s="725"/>
      <c r="L9" s="59"/>
    </row>
    <row r="10" spans="1:14" x14ac:dyDescent="0.2">
      <c r="A10" s="60" t="s">
        <v>35</v>
      </c>
      <c r="B10" s="708" t="s">
        <v>36</v>
      </c>
      <c r="C10" s="708"/>
      <c r="H10" s="598">
        <f>'[2]Food Service AFR'!$E$7</f>
        <v>2681</v>
      </c>
      <c r="I10" s="617" t="s">
        <v>35</v>
      </c>
      <c r="J10" s="726">
        <f>-(SUMIFS('Accounting data'!$G$2:$G$37000,'Accounting data'!$K$2:$K$37000,"1600*"))+SUMIFS('Accounting data'!$G$2:$G$37000,'Accounting data'!$H$2:$H$37000,"9999*",'Accounting data'!$K$2:$K$37000,"1600*")</f>
        <v>2681</v>
      </c>
      <c r="K10" s="726"/>
      <c r="L10" s="59" t="str">
        <f>IF(H10&lt;&gt;J10,"The amount reported for 1600 food service revenue from the Food Service AFR does not agree to the amount in the Accounting Data Tab. Please verify the amounts and ensure they agree.","")</f>
        <v/>
      </c>
    </row>
    <row r="11" spans="1:14" x14ac:dyDescent="0.2">
      <c r="A11" s="3" t="s">
        <v>37</v>
      </c>
      <c r="B11" s="708" t="s">
        <v>38</v>
      </c>
      <c r="C11" s="708"/>
      <c r="H11" s="598">
        <f>-(SUMIFS('Accounting data'!$G$2:$G$37000,'Accounting data'!$K$2:$K$37000,"1700*"))+SUMIFS('Accounting data'!$G$2:$G$37000,'Accounting data'!$H$2:$H$37000,"9999*",'Accounting data'!$K$2:$K$37000,"1700*")</f>
        <v>42</v>
      </c>
      <c r="I11" s="617" t="s">
        <v>37</v>
      </c>
      <c r="J11" s="59"/>
      <c r="K11" s="59"/>
      <c r="L11" s="59"/>
    </row>
    <row r="12" spans="1:14" x14ac:dyDescent="0.2">
      <c r="A12" s="61" t="s">
        <v>39</v>
      </c>
      <c r="B12" s="708" t="s">
        <v>40</v>
      </c>
      <c r="C12" s="708"/>
      <c r="D12" s="708"/>
      <c r="E12" s="708"/>
      <c r="F12" s="708"/>
      <c r="H12" s="598">
        <f>-(SUMIFS('Accounting data'!$G$2:$G$37000,'Accounting data'!$K$2:$K$37000,"1750*"))+SUMIFS('Accounting data'!$G$2:$G$37000,'Accounting data'!$H$2:$H$37000,"9999*",'Accounting data'!$K$2:$K$37000,"1750*")</f>
        <v>0</v>
      </c>
      <c r="I12" s="629" t="s">
        <v>39</v>
      </c>
      <c r="J12" s="59"/>
      <c r="K12" s="59"/>
      <c r="L12" s="59"/>
    </row>
    <row r="13" spans="1:14" x14ac:dyDescent="0.2">
      <c r="A13" s="62" t="s">
        <v>41</v>
      </c>
      <c r="B13" s="708" t="s">
        <v>42</v>
      </c>
      <c r="C13" s="708"/>
      <c r="H13" s="598">
        <f>-(SUMIFS('Accounting data'!$G$2:$G$37000,'Accounting data'!$K$2:$K$37000,"1790*"))+SUMIFS('Accounting data'!$G$2:$G$37000,'Accounting data'!$H$2:$H$37000,"9999*",'Accounting data'!$K$2:$K$37000,"1790*")</f>
        <v>846</v>
      </c>
      <c r="I13" s="629" t="s">
        <v>41</v>
      </c>
      <c r="J13" s="63"/>
      <c r="K13" s="59"/>
      <c r="L13" s="59"/>
    </row>
    <row r="14" spans="1:14" x14ac:dyDescent="0.2">
      <c r="A14" s="62" t="s">
        <v>43</v>
      </c>
      <c r="B14" s="708" t="s">
        <v>44</v>
      </c>
      <c r="C14" s="708"/>
      <c r="H14" s="598">
        <f>-(SUMIFS('Accounting data'!$G$2:$G$37000,'Accounting data'!$K$2:$K$37000,"1800*"))+SUMIFS('Accounting data'!$G$2:$G$37000,'Accounting data'!$H$2:$H$37000,"9999*",'Accounting data'!$K$2:$K$37000,"1800*")</f>
        <v>0</v>
      </c>
      <c r="I14" s="629" t="s">
        <v>43</v>
      </c>
      <c r="J14" s="59"/>
      <c r="K14" s="59"/>
      <c r="L14" s="59"/>
    </row>
    <row r="15" spans="1:14" x14ac:dyDescent="0.2">
      <c r="A15" s="62" t="s">
        <v>45</v>
      </c>
      <c r="B15" t="s">
        <v>46</v>
      </c>
      <c r="H15" s="598">
        <f>-(SUMIFS('Accounting data'!$G$2:$G$37000,'Accounting data'!$K$2:$K$37000,"1900*"))+SUMIFS('Accounting data'!$G$2:$G$37000,'Accounting data'!$H$2:$H$37000,"9999*",'Accounting data'!$K$2:$K$37000,"1900*")</f>
        <v>0</v>
      </c>
      <c r="I15" s="629" t="s">
        <v>45</v>
      </c>
      <c r="J15" s="59"/>
      <c r="K15" s="59"/>
      <c r="L15" s="59"/>
    </row>
    <row r="16" spans="1:14" x14ac:dyDescent="0.2">
      <c r="A16" s="62" t="s">
        <v>47</v>
      </c>
      <c r="B16" s="708" t="s">
        <v>48</v>
      </c>
      <c r="C16" s="708"/>
      <c r="H16" s="598">
        <f>-(SUMIFS('Accounting data'!$G$2:$G$37000,'Accounting data'!$K$2:$K$37000,"1920*"))+SUMIFS('Accounting data'!$G$2:$G$37000,'Accounting data'!$H$2:$H$37000,"9999*",'Accounting data'!$K$2:$K$37000,"1920*")</f>
        <v>30067</v>
      </c>
      <c r="I16" s="629" t="s">
        <v>47</v>
      </c>
      <c r="J16" s="59"/>
      <c r="K16" s="59"/>
      <c r="L16" s="59"/>
    </row>
    <row r="17" spans="1:27" ht="15" x14ac:dyDescent="0.25">
      <c r="A17" s="62" t="s">
        <v>49</v>
      </c>
      <c r="B17" s="708" t="s">
        <v>50</v>
      </c>
      <c r="C17" s="708"/>
      <c r="D17" s="723"/>
      <c r="E17" s="724"/>
      <c r="F17" s="724"/>
      <c r="H17" s="598">
        <f>-(SUMIFS('Accounting data'!$G$2:$G$37000,'Accounting data'!$K$2:$K$37000,"Other Revenue from Local Sources"))+SUMIFS('Accounting data'!$G$2:$G$37000,'Accounting data'!$H$2:$H$37000,"9999*",'Accounting data'!$K$2:$K$37000,"Other Revenue from Local Sources")</f>
        <v>0</v>
      </c>
      <c r="I17" s="629" t="s">
        <v>49</v>
      </c>
      <c r="J17" s="59"/>
      <c r="K17" s="59"/>
      <c r="L17" s="59"/>
      <c r="AA17" s="47" t="str">
        <f>IF(OR(AND(D17="",H17&lt;&gt;0),AND(D22="",H22&lt;&gt;0),AND(D29="",H29&lt;&gt;0),AND(D37="",H37&lt;&gt;0)),"yes","")</f>
        <v/>
      </c>
    </row>
    <row r="18" spans="1:27" x14ac:dyDescent="0.2">
      <c r="A18" s="62" t="s">
        <v>51</v>
      </c>
      <c r="B18" s="708" t="s">
        <v>1159</v>
      </c>
      <c r="C18" s="708"/>
      <c r="H18" s="597">
        <f>SUM(H5:H17)</f>
        <v>35507</v>
      </c>
      <c r="I18" s="629" t="s">
        <v>51</v>
      </c>
      <c r="J18" s="59"/>
      <c r="K18" s="59"/>
      <c r="L18" s="59"/>
    </row>
    <row r="19" spans="1:27" x14ac:dyDescent="0.2">
      <c r="A19" s="595" t="s">
        <v>52</v>
      </c>
      <c r="B19" s="595"/>
      <c r="H19" s="25"/>
      <c r="I19" s="617" t="s">
        <v>20</v>
      </c>
      <c r="J19" s="59"/>
      <c r="K19" s="59"/>
      <c r="L19" s="59"/>
    </row>
    <row r="20" spans="1:27" x14ac:dyDescent="0.2">
      <c r="A20" s="62" t="s">
        <v>53</v>
      </c>
      <c r="B20" s="708" t="s">
        <v>54</v>
      </c>
      <c r="C20" s="708"/>
      <c r="H20" s="598">
        <f>-(SUMIFS('Accounting data'!$G$2:$G$37000,'Accounting data'!$K$2:$K$37000,"2100*"))+SUMIFS('Accounting data'!$G$2:$G$37000,'Accounting data'!$H$2:$H$37000,"9999*",'Accounting data'!$K$2:$K$37000,"2100*")</f>
        <v>0</v>
      </c>
      <c r="I20" s="629" t="s">
        <v>53</v>
      </c>
      <c r="J20" s="59"/>
      <c r="K20" s="59"/>
      <c r="L20" s="59"/>
    </row>
    <row r="21" spans="1:27" x14ac:dyDescent="0.2">
      <c r="A21" s="62" t="s">
        <v>55</v>
      </c>
      <c r="B21" s="708" t="s">
        <v>56</v>
      </c>
      <c r="C21" s="708"/>
      <c r="H21" s="598">
        <f>-(SUMIFS('Accounting data'!$G$2:$G$37000,'Accounting data'!$K$2:$K$37000,"2200*"))+SUMIFS('Accounting data'!$G$2:$G$37000,'Accounting data'!$H$2:$H$37000,"9999*",'Accounting data'!$K$2:$K$37000,"2200*")</f>
        <v>0</v>
      </c>
      <c r="I21" s="629" t="s">
        <v>55</v>
      </c>
      <c r="J21" s="59"/>
      <c r="K21" s="59"/>
      <c r="L21" s="59"/>
    </row>
    <row r="22" spans="1:27" ht="15" x14ac:dyDescent="0.25">
      <c r="A22" s="62" t="s">
        <v>57</v>
      </c>
      <c r="B22" s="708" t="s">
        <v>58</v>
      </c>
      <c r="C22" s="708"/>
      <c r="D22" s="723"/>
      <c r="E22" s="724"/>
      <c r="F22" s="724"/>
      <c r="H22" s="598">
        <f>-(SUMIFS('Accounting data'!$G$2:$G$37000,'Accounting data'!$K$2:$K$37000,"Other Revenue from Intermediate Sources"))+SUMIFS('Accounting data'!$G$2:$G$37000,'Accounting data'!$H$2:$H$37000,"9999*",'Accounting data'!$K$2:$K$37000,"Other Revenue from Intermediate Sources")</f>
        <v>0</v>
      </c>
      <c r="I22" s="629" t="s">
        <v>57</v>
      </c>
      <c r="J22" s="64"/>
      <c r="K22" s="64"/>
      <c r="L22" s="64"/>
      <c r="M22" s="65"/>
    </row>
    <row r="23" spans="1:27" x14ac:dyDescent="0.2">
      <c r="A23" s="62" t="s">
        <v>59</v>
      </c>
      <c r="B23" s="708" t="s">
        <v>1176</v>
      </c>
      <c r="C23" s="708"/>
      <c r="H23" s="597">
        <f>SUM(H20:H22)</f>
        <v>0</v>
      </c>
      <c r="I23" s="629" t="s">
        <v>59</v>
      </c>
      <c r="J23" s="59"/>
      <c r="K23" s="59"/>
      <c r="L23" s="59"/>
    </row>
    <row r="24" spans="1:27" x14ac:dyDescent="0.2">
      <c r="A24" s="595" t="s">
        <v>60</v>
      </c>
      <c r="B24" s="595"/>
      <c r="H24" s="25"/>
      <c r="I24" s="617"/>
      <c r="J24" s="59"/>
      <c r="K24" s="59"/>
      <c r="L24" s="59"/>
    </row>
    <row r="25" spans="1:27" x14ac:dyDescent="0.2">
      <c r="A25" s="62" t="s">
        <v>61</v>
      </c>
      <c r="B25" s="708" t="s">
        <v>62</v>
      </c>
      <c r="C25" s="708"/>
      <c r="H25" s="598">
        <f>-(SUMIFS('Accounting data'!$G$2:$G$37000,'Accounting data'!$K$2:$K$37000,"3110*"))+SUMIFS('Accounting data'!$G$2:$G$37000,'Accounting data'!$H$2:$H$37000,"9999*",'Accounting data'!$K$2:$K$37000,"3110*")</f>
        <v>529715</v>
      </c>
      <c r="I25" s="629" t="s">
        <v>61</v>
      </c>
      <c r="J25" s="59"/>
      <c r="K25" s="59"/>
      <c r="L25" s="59"/>
    </row>
    <row r="26" spans="1:27" x14ac:dyDescent="0.2">
      <c r="A26" s="61" t="s">
        <v>63</v>
      </c>
      <c r="B26" s="708" t="s">
        <v>64</v>
      </c>
      <c r="C26" s="708"/>
      <c r="H26" s="598">
        <f>-(SUMIFS('Accounting data'!$G$2:$G$37000,'Accounting data'!$K$2:$K$37000,"3130*"))+SUMIFS('Accounting data'!$G$2:$G$37000,'Accounting data'!$H$2:$H$37000,"9999*",'Accounting data'!$K$2:$K$37000,"3130*")</f>
        <v>0</v>
      </c>
      <c r="I26" s="629" t="s">
        <v>63</v>
      </c>
      <c r="J26" s="59"/>
      <c r="K26" s="59"/>
      <c r="L26" s="59"/>
    </row>
    <row r="27" spans="1:27" x14ac:dyDescent="0.2">
      <c r="A27" s="60" t="s">
        <v>65</v>
      </c>
      <c r="B27" s="708" t="s">
        <v>66</v>
      </c>
      <c r="C27" s="708"/>
      <c r="H27" s="598">
        <f>-(SUMIFS('Accounting data'!$G$2:$G$37000,'Accounting data'!$K$2:$K$37000,"3200*"))+SUMIFS('Accounting data'!$G$2:$G$37000,'Accounting data'!$H$2:$H$37000,"9999*",'Accounting data'!$K$2:$K$37000,"3200*")</f>
        <v>125383</v>
      </c>
      <c r="I27" s="629" t="s">
        <v>65</v>
      </c>
      <c r="J27" s="64"/>
      <c r="K27" s="64"/>
      <c r="L27" s="64"/>
      <c r="M27" s="65"/>
    </row>
    <row r="28" spans="1:27" x14ac:dyDescent="0.2">
      <c r="A28" s="62" t="s">
        <v>67</v>
      </c>
      <c r="B28" s="708" t="s">
        <v>68</v>
      </c>
      <c r="C28" s="708"/>
      <c r="H28" s="598">
        <f>-(SUMIFS('Accounting data'!$G$2:$G$37000,'Accounting data'!$K$2:$K$37000,"3900*"))+SUMIFS('Accounting data'!$G$2:$G$37000,'Accounting data'!$H$2:$H$37000,"9999*",'Accounting data'!$K$2:$K$37000,"3900*")</f>
        <v>0</v>
      </c>
      <c r="I28" s="629" t="s">
        <v>67</v>
      </c>
      <c r="J28" s="59"/>
      <c r="K28" s="59"/>
      <c r="L28" s="59"/>
    </row>
    <row r="29" spans="1:27" ht="15" x14ac:dyDescent="0.25">
      <c r="A29" s="62" t="s">
        <v>69</v>
      </c>
      <c r="B29" s="708" t="s">
        <v>70</v>
      </c>
      <c r="C29" s="708"/>
      <c r="D29" s="723"/>
      <c r="E29" s="724"/>
      <c r="F29" s="724"/>
      <c r="H29" s="598">
        <f>-(SUMIFS('Accounting data'!$G$2:$G$37000,'Accounting data'!$K$2:$K$37000,"Other Revenue from State Sources"))+SUMIFS('Accounting data'!$G$2:$G$37000,'Accounting data'!$H$2:$H$37000,"9999*",'Accounting data'!$K$2:$K$37000,"Other Revenue from State Sources")</f>
        <v>0</v>
      </c>
      <c r="I29" s="629" t="s">
        <v>69</v>
      </c>
      <c r="J29" s="59"/>
      <c r="K29" s="59"/>
      <c r="L29" s="59"/>
    </row>
    <row r="30" spans="1:27" x14ac:dyDescent="0.2">
      <c r="A30" s="62" t="s">
        <v>71</v>
      </c>
      <c r="B30" s="708" t="s">
        <v>1177</v>
      </c>
      <c r="C30" s="708"/>
      <c r="H30" s="597">
        <f>SUM(H25:H29)</f>
        <v>655098</v>
      </c>
      <c r="I30" s="629" t="s">
        <v>71</v>
      </c>
      <c r="J30" s="59"/>
      <c r="K30" s="59"/>
      <c r="L30" s="59"/>
    </row>
    <row r="31" spans="1:27" x14ac:dyDescent="0.2">
      <c r="A31" s="614" t="s">
        <v>72</v>
      </c>
      <c r="B31" s="595"/>
      <c r="H31" s="25"/>
      <c r="I31" s="617"/>
      <c r="J31" s="59"/>
      <c r="K31" s="59"/>
      <c r="L31" s="59"/>
    </row>
    <row r="32" spans="1:27" x14ac:dyDescent="0.2">
      <c r="A32" s="60" t="s">
        <v>73</v>
      </c>
      <c r="B32" s="708" t="s">
        <v>74</v>
      </c>
      <c r="C32" s="708"/>
      <c r="D32" s="708"/>
      <c r="E32" s="708"/>
      <c r="F32" s="708"/>
      <c r="H32" s="598">
        <f>-(SUMIFS('Accounting data'!$G$2:$G$37000,'Accounting data'!$K$2:$K$37000,"4100*"))+SUMIFS('Accounting data'!$G$2:$G$37000,'Accounting data'!$H$2:$H$37000,"9999*",'Accounting data'!$K$2:$K$37000,"4100*")</f>
        <v>0</v>
      </c>
      <c r="I32" s="629" t="s">
        <v>73</v>
      </c>
      <c r="J32" s="59"/>
      <c r="K32" s="59"/>
      <c r="L32" s="59"/>
      <c r="M32" s="594"/>
    </row>
    <row r="33" spans="1:12" x14ac:dyDescent="0.2">
      <c r="A33" s="60" t="s">
        <v>75</v>
      </c>
      <c r="B33" s="708" t="s">
        <v>76</v>
      </c>
      <c r="C33" s="708"/>
      <c r="D33" s="708"/>
      <c r="E33" s="708"/>
      <c r="F33" s="708"/>
      <c r="H33" s="598">
        <f>-(SUMIFS('Accounting data'!$G$2:$G$37000,'Accounting data'!$K$2:$K$37000,"4200*"))+SUMIFS('Accounting data'!$G$2:$G$37000,'Accounting data'!$H$2:$H$37000,"9999*",'Accounting data'!$K$2:$K$37000,"4200*")</f>
        <v>822718</v>
      </c>
      <c r="I33" s="629" t="s">
        <v>75</v>
      </c>
      <c r="J33" s="64"/>
      <c r="K33" s="64"/>
      <c r="L33" s="59"/>
    </row>
    <row r="34" spans="1:12" x14ac:dyDescent="0.2">
      <c r="A34" s="62" t="s">
        <v>77</v>
      </c>
      <c r="B34" s="708" t="s">
        <v>78</v>
      </c>
      <c r="C34" s="708"/>
      <c r="D34" s="708"/>
      <c r="E34" s="708"/>
      <c r="F34" s="708"/>
      <c r="G34" s="708"/>
      <c r="H34" s="598">
        <f>-(SUMIFS('Accounting data'!$G$2:$G$37000,'Accounting data'!$K$2:$K$37000,"4700*"))+SUMIFS('Accounting data'!$G$2:$G$37000,'Accounting data'!$H$2:$H$37000,"9999*",'Accounting data'!$K$2:$K$37000,"4700*")</f>
        <v>0</v>
      </c>
      <c r="I34" s="629" t="s">
        <v>77</v>
      </c>
      <c r="J34" s="64"/>
      <c r="K34" s="64"/>
      <c r="L34" s="59"/>
    </row>
    <row r="35" spans="1:12" x14ac:dyDescent="0.2">
      <c r="A35" s="62" t="s">
        <v>79</v>
      </c>
      <c r="B35" s="617" t="s">
        <v>80</v>
      </c>
      <c r="H35" s="598">
        <f>-(SUMIFS('Accounting data'!$G$2:$G$37000,'Accounting data'!$K$2:$K$37000,"4800*"))+SUMIFS('Accounting data'!$G$2:$G$37000,'Accounting data'!$H$2:$H$37000,"9999*",'Accounting data'!$K$2:$K$37000,"4800*")</f>
        <v>0</v>
      </c>
      <c r="I35" s="629" t="s">
        <v>79</v>
      </c>
      <c r="J35" s="59"/>
      <c r="K35" s="59"/>
      <c r="L35" s="59"/>
    </row>
    <row r="36" spans="1:12" x14ac:dyDescent="0.2">
      <c r="A36" s="62" t="s">
        <v>81</v>
      </c>
      <c r="B36" s="708" t="s">
        <v>82</v>
      </c>
      <c r="C36" s="708"/>
      <c r="D36" s="708"/>
      <c r="E36" s="708"/>
      <c r="F36" s="708"/>
      <c r="G36" s="708"/>
      <c r="H36" s="598">
        <f>-(SUMIFS('Accounting data'!$G$2:$G$37000,'Accounting data'!$K$2:$K$37000,"4900*"))+SUMIFS('Accounting data'!$G$2:$G$37000,'Accounting data'!$H$2:$H$37000,"9999*",'Accounting data'!$K$2:$K$37000,"4900*")</f>
        <v>4982</v>
      </c>
      <c r="I36" s="629" t="s">
        <v>81</v>
      </c>
      <c r="J36" s="59"/>
      <c r="K36" s="59"/>
      <c r="L36" s="59"/>
    </row>
    <row r="37" spans="1:12" ht="15" x14ac:dyDescent="0.25">
      <c r="A37" s="62" t="s">
        <v>83</v>
      </c>
      <c r="B37" s="708" t="s">
        <v>84</v>
      </c>
      <c r="C37" s="708"/>
      <c r="D37" s="723"/>
      <c r="E37" s="724"/>
      <c r="F37" s="724"/>
      <c r="H37" s="598">
        <f>-(SUMIFS('Accounting data'!$G$2:$G$37000,'Accounting data'!$K$2:$K$37000,"Other Revenue from Federal Sources"))+SUMIFS('Accounting data'!$G$2:$G$37000,'Accounting data'!$H$2:$H$37000,"9999*",'Accounting data'!$K$2:$K$37000,"Other Revenue from Federal Sources")</f>
        <v>0</v>
      </c>
      <c r="I37" s="629" t="s">
        <v>83</v>
      </c>
      <c r="J37" s="59"/>
      <c r="K37" s="59"/>
      <c r="L37" s="59"/>
    </row>
    <row r="38" spans="1:12" x14ac:dyDescent="0.2">
      <c r="A38" s="62" t="s">
        <v>85</v>
      </c>
      <c r="B38" s="708" t="s">
        <v>1178</v>
      </c>
      <c r="C38" s="708"/>
      <c r="H38" s="678">
        <f>SUM(H32:H37)</f>
        <v>827700</v>
      </c>
      <c r="I38" s="629" t="s">
        <v>85</v>
      </c>
      <c r="J38" s="59"/>
      <c r="K38" s="59"/>
      <c r="L38" s="59"/>
    </row>
    <row r="39" spans="1:12" x14ac:dyDescent="0.2">
      <c r="A39" s="3"/>
      <c r="B39" s="595"/>
      <c r="H39" s="25"/>
      <c r="I39" s="617"/>
      <c r="J39" s="59"/>
      <c r="K39" s="59"/>
      <c r="L39" s="59"/>
    </row>
    <row r="40" spans="1:12" x14ac:dyDescent="0.2">
      <c r="A40" s="66" t="s">
        <v>86</v>
      </c>
      <c r="B40" s="728" t="s">
        <v>87</v>
      </c>
      <c r="C40" s="728"/>
      <c r="D40" s="728"/>
      <c r="H40" s="598">
        <f>SUM(H18,H23,H30,H38)</f>
        <v>1518305</v>
      </c>
      <c r="I40" s="629" t="s">
        <v>86</v>
      </c>
      <c r="J40" s="59"/>
      <c r="K40" s="59"/>
      <c r="L40" s="59"/>
    </row>
    <row r="41" spans="1:12" x14ac:dyDescent="0.2">
      <c r="I41" s="67"/>
      <c r="J41" s="59"/>
      <c r="K41" s="59"/>
      <c r="L41" s="59"/>
    </row>
    <row r="42" spans="1:12" x14ac:dyDescent="0.2">
      <c r="I42" s="67"/>
      <c r="J42" s="59"/>
      <c r="K42" s="59"/>
      <c r="L42" s="59"/>
    </row>
    <row r="43" spans="1:12" x14ac:dyDescent="0.2">
      <c r="I43" s="67"/>
      <c r="J43" s="59"/>
      <c r="K43" s="59"/>
      <c r="L43" s="59"/>
    </row>
    <row r="44" spans="1:12" x14ac:dyDescent="0.2">
      <c r="I44" s="67"/>
      <c r="J44" s="59"/>
      <c r="K44" s="59"/>
      <c r="L44" s="59"/>
    </row>
    <row r="45" spans="1:12" x14ac:dyDescent="0.2">
      <c r="I45" s="67"/>
      <c r="J45" s="59"/>
      <c r="K45" s="59"/>
      <c r="L45" s="59"/>
    </row>
    <row r="46" spans="1:12" x14ac:dyDescent="0.2">
      <c r="I46" s="67"/>
      <c r="J46" s="59"/>
      <c r="K46" s="59"/>
      <c r="L46" s="59"/>
    </row>
    <row r="47" spans="1:12" x14ac:dyDescent="0.2">
      <c r="I47" s="67"/>
      <c r="J47" s="59"/>
      <c r="K47" s="59"/>
      <c r="L47" s="59"/>
    </row>
    <row r="48" spans="1:12" x14ac:dyDescent="0.2">
      <c r="I48" s="67"/>
      <c r="J48" s="59"/>
      <c r="K48" s="59"/>
      <c r="L48" s="59"/>
    </row>
    <row r="49" spans="9:12" x14ac:dyDescent="0.2">
      <c r="I49" s="67"/>
      <c r="J49" s="59"/>
      <c r="K49" s="59"/>
      <c r="L49" s="59"/>
    </row>
    <row r="50" spans="9:12" x14ac:dyDescent="0.2">
      <c r="I50" s="67"/>
      <c r="J50" s="59"/>
      <c r="K50" s="59"/>
      <c r="L50" s="59"/>
    </row>
  </sheetData>
  <sheetProtection formatCells="0" formatColumns="0" formatRows="0"/>
  <mergeCells count="40">
    <mergeCell ref="B33:F33"/>
    <mergeCell ref="B5:D5"/>
    <mergeCell ref="B40:D40"/>
    <mergeCell ref="B34:G34"/>
    <mergeCell ref="B36:G36"/>
    <mergeCell ref="B37:C37"/>
    <mergeCell ref="B38:C38"/>
    <mergeCell ref="D37:F37"/>
    <mergeCell ref="B6:D6"/>
    <mergeCell ref="B11:C11"/>
    <mergeCell ref="B30:C30"/>
    <mergeCell ref="B28:C28"/>
    <mergeCell ref="B32:F32"/>
    <mergeCell ref="D29:F29"/>
    <mergeCell ref="B27:C27"/>
    <mergeCell ref="B20:C20"/>
    <mergeCell ref="M1:N1"/>
    <mergeCell ref="D12:F12"/>
    <mergeCell ref="B7:D7"/>
    <mergeCell ref="D22:F22"/>
    <mergeCell ref="B21:C21"/>
    <mergeCell ref="J7:K9"/>
    <mergeCell ref="J10:K10"/>
    <mergeCell ref="H1:I1"/>
    <mergeCell ref="B8:D8"/>
    <mergeCell ref="B9:C9"/>
    <mergeCell ref="B10:C10"/>
    <mergeCell ref="D17:F17"/>
    <mergeCell ref="A1:B1"/>
    <mergeCell ref="B22:C22"/>
    <mergeCell ref="B12:C12"/>
    <mergeCell ref="B18:C18"/>
    <mergeCell ref="B29:C29"/>
    <mergeCell ref="B13:C13"/>
    <mergeCell ref="B14:C14"/>
    <mergeCell ref="B17:C17"/>
    <mergeCell ref="B26:C26"/>
    <mergeCell ref="B16:C16"/>
    <mergeCell ref="B23:C23"/>
    <mergeCell ref="B25:C25"/>
  </mergeCells>
  <conditionalFormatting sqref="D17 D22 D29 D37">
    <cfRule type="expression" dxfId="73" priority="1" stopIfTrue="1">
      <formula>AND($D17="",$H17&lt;&gt;0)</formula>
    </cfRule>
  </conditionalFormatting>
  <hyperlinks>
    <hyperlink ref="A27" location="Restricted3200" display="16." xr:uid="{00000000-0004-0000-0100-000000000000}"/>
    <hyperlink ref="A32" location="Unrestricted_Restricted_4100_4300" display="20." xr:uid="{00000000-0004-0000-0100-000001000000}"/>
    <hyperlink ref="A10" location="Food_Service_1600" display="6." xr:uid="{00000000-0004-0000-0100-000002000000}"/>
    <hyperlink ref="A33" location="Unrestricted_Restricted_4200_4500" display="26." xr:uid="{00000000-0004-0000-0100-000003000000}"/>
  </hyperlinks>
  <pageMargins left="0.75" right="0.25" top="0.25" bottom="0.25" header="0.5" footer="0.15"/>
  <pageSetup paperSize="5" orientation="landscape" r:id="rId1"/>
  <headerFooter>
    <oddFooter>&amp;LRev. 8/24 Arizona Department of Education and Auditor General&amp;CFY 2024</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F6C69-F4DB-4029-9EA2-B293F2D70C6A}">
  <sheetPr>
    <pageSetUpPr fitToPage="1"/>
  </sheetPr>
  <dimension ref="A1:AF59"/>
  <sheetViews>
    <sheetView showGridLines="0" zoomScaleNormal="100" workbookViewId="0">
      <selection activeCell="J37" sqref="J37"/>
    </sheetView>
  </sheetViews>
  <sheetFormatPr defaultColWidth="9.33203125" defaultRowHeight="12.75" customHeight="1" x14ac:dyDescent="0.2"/>
  <cols>
    <col min="1" max="1" width="20.83203125" customWidth="1"/>
    <col min="2" max="2" width="34.1640625" customWidth="1"/>
    <col min="3" max="3" width="3.83203125" customWidth="1"/>
    <col min="4" max="5" width="12.83203125" customWidth="1"/>
    <col min="6" max="6" width="14.83203125" customWidth="1"/>
    <col min="7" max="12" width="12.83203125" customWidth="1"/>
    <col min="13" max="13" width="3" customWidth="1"/>
    <col min="14" max="14" width="9.33203125" customWidth="1"/>
  </cols>
  <sheetData>
    <row r="1" spans="1:32" ht="12" customHeight="1" x14ac:dyDescent="0.2">
      <c r="A1" s="595" t="s">
        <v>0</v>
      </c>
      <c r="B1" s="722" t="str">
        <f>'Cover Page'!D1</f>
        <v>ASU Preparatory Academy - South Phoenix Primary</v>
      </c>
      <c r="C1" s="722"/>
      <c r="F1" s="57" t="s">
        <v>1</v>
      </c>
      <c r="G1" s="616" t="str">
        <f>'Cover Page'!M1</f>
        <v>Maricopa</v>
      </c>
      <c r="J1" s="57"/>
      <c r="K1" s="57" t="s">
        <v>2</v>
      </c>
      <c r="L1" s="615" t="str">
        <f>'Cover Page'!R1</f>
        <v>078267000</v>
      </c>
    </row>
    <row r="2" spans="1:32" ht="3.75" customHeight="1" x14ac:dyDescent="0.2">
      <c r="L2" s="613"/>
    </row>
    <row r="3" spans="1:32" ht="15.75" customHeight="1" x14ac:dyDescent="0.2">
      <c r="A3" s="68"/>
      <c r="B3" s="69"/>
      <c r="C3" s="70"/>
      <c r="D3" s="68"/>
      <c r="E3" s="71" t="s">
        <v>88</v>
      </c>
      <c r="F3" s="620" t="s">
        <v>89</v>
      </c>
      <c r="G3" s="72"/>
      <c r="H3" s="73"/>
      <c r="I3" s="735" t="s">
        <v>90</v>
      </c>
      <c r="J3" s="735"/>
      <c r="K3" s="735"/>
      <c r="L3" s="732" t="s">
        <v>91</v>
      </c>
    </row>
    <row r="4" spans="1:32" ht="12" customHeight="1" x14ac:dyDescent="0.2">
      <c r="A4" s="74" t="s">
        <v>92</v>
      </c>
      <c r="C4" s="75"/>
      <c r="D4" s="76" t="s">
        <v>93</v>
      </c>
      <c r="E4" s="77" t="s">
        <v>94</v>
      </c>
      <c r="F4" s="78" t="s">
        <v>95</v>
      </c>
      <c r="G4" s="79" t="s">
        <v>96</v>
      </c>
      <c r="H4" s="76" t="s">
        <v>97</v>
      </c>
      <c r="I4" s="80"/>
      <c r="J4" s="80"/>
      <c r="K4" s="620" t="s">
        <v>98</v>
      </c>
      <c r="L4" s="733"/>
    </row>
    <row r="5" spans="1:32" ht="11.25" customHeight="1" x14ac:dyDescent="0.2">
      <c r="A5" s="81" t="s">
        <v>99</v>
      </c>
      <c r="B5" s="2"/>
      <c r="C5" s="82"/>
      <c r="D5" s="625">
        <v>6100</v>
      </c>
      <c r="E5" s="83">
        <v>6200</v>
      </c>
      <c r="F5" s="83" t="s">
        <v>100</v>
      </c>
      <c r="G5" s="626">
        <v>6600</v>
      </c>
      <c r="H5" s="625">
        <v>6800</v>
      </c>
      <c r="I5" s="619" t="s">
        <v>101</v>
      </c>
      <c r="J5" s="83" t="s">
        <v>23</v>
      </c>
      <c r="K5" s="83" t="s">
        <v>102</v>
      </c>
      <c r="L5" s="734"/>
    </row>
    <row r="6" spans="1:32" ht="12" customHeight="1" x14ac:dyDescent="0.2">
      <c r="A6" s="84" t="s">
        <v>103</v>
      </c>
      <c r="B6" s="69"/>
      <c r="C6" s="70"/>
      <c r="D6" s="85"/>
      <c r="E6" s="85"/>
      <c r="F6" s="85"/>
      <c r="G6" s="85"/>
      <c r="H6" s="85"/>
      <c r="I6" s="85"/>
      <c r="J6" s="85"/>
      <c r="K6" s="85"/>
      <c r="L6" s="739">
        <f>IF(J7=K7,0,IF(K7&gt;0,(J7-K7)/K7,"--"))</f>
        <v>0.48820000000000002</v>
      </c>
      <c r="S6" s="594"/>
    </row>
    <row r="7" spans="1:32" ht="12" customHeight="1" x14ac:dyDescent="0.2">
      <c r="A7" s="86" t="s">
        <v>104</v>
      </c>
      <c r="C7" s="87" t="s">
        <v>24</v>
      </c>
      <c r="D7" s="601">
        <f>SUMIFS('Accounting data'!$G$2:$G$37000,'Accounting data'!$H$2:$H$37000,"1000*",'Accounting data'!$I$2:$I$37000,"1*",'Accounting data'!$J$2:$J$37000,"1*",'Accounting data'!$K$2:$K$37000,"61*")+SUMIFS('Accounting data'!$G$2:$G$37000,'Accounting data'!$H$2:$H$37000,"1500*",'Accounting data'!$I$2:$I$37000,"1*",'Accounting data'!$J$2:$J$37000,"1*",'Accounting data'!$K$2:$K$37000,"61*")</f>
        <v>32067</v>
      </c>
      <c r="E7" s="601">
        <f>SUMIFS('Accounting data'!$G$2:$G$37000,'Accounting data'!$H$2:$H$37000,"1000*",'Accounting data'!$I$2:$I$37000,"1*",'Accounting data'!$J$2:$J$37000,"1*",'Accounting data'!$K$2:$K$37000,"62*")+SUMIFS('Accounting data'!$G$2:$G$37000,'Accounting data'!$H$2:$H$37000,"1500*",'Accounting data'!$I$2:$I$37000,"1*",'Accounting data'!$J$2:$J$37000,"1*",'Accounting data'!$K$2:$K$37000,"62*")</f>
        <v>752</v>
      </c>
      <c r="F7" s="601">
        <f>SUMIFS('Accounting data'!$G$2:$G$37000,'Accounting data'!$H$2:$H$37000,"1000*",'Accounting data'!$I$2:$I$37000,"1*",'Accounting data'!$J$2:$J$37000,"1*",'Accounting data'!$K$2:$K$37000,"63*")+SUMIFS('Accounting data'!$G$2:$G$37000,'Accounting data'!$H$2:$H$37000,"1500*",'Accounting data'!$I$2:$I$37000,"1*",'Accounting data'!$J$2:$J$37000,"1*",'Accounting data'!$K$2:$K$37000,"63*")+SUMIFS('Accounting data'!$G$2:$G$37000,'Accounting data'!$H$2:$H$37000,"1500*",'Accounting data'!$I$2:$I$37000,"1*",'Accounting data'!$J$2:$J$37000,"1*",'Accounting data'!$K$2:$K$37000,"6432*")+SUMIFS('Accounting data'!$G$2:$G$37000,'Accounting data'!$H$2:$H$37000,"1500*",'Accounting data'!$I$2:$I$37000,"1*",'Accounting data'!$J$2:$J$37000,"1*",'Accounting data'!$K$2:$K$37000,"6432*")+SUMIFS('Accounting data'!$G$2:$G$37000,'Accounting data'!$H$2:$H$37000,"1500*",'Accounting data'!$I$2:$I$37000,"1*",'Accounting data'!$J$2:$J$37000,"1*",'Accounting data'!$K$2:$K$37000,"6441*")+SUMIFS('Accounting data'!$G$2:$G$37000,'Accounting data'!$H$2:$H$37000,"1500*",'Accounting data'!$I$2:$I$37000,"1*",'Accounting data'!$J$2:$J$37000,"1*",'Accounting data'!$K$2:$K$37000,"6441*")+SUMIFS('Accounting data'!$G$2:$G$37000,'Accounting data'!$H$2:$H$37000,"1500*",'Accounting data'!$I$2:$I$37000,"1*",'Accounting data'!$J$2:$J$37000,"1*",'Accounting data'!$K$2:$K$37000,"6531*")+SUMIFS('Accounting data'!$G$2:$G$37000,'Accounting data'!$H$2:$H$37000,"1500*",'Accounting data'!$I$2:$I$37000,"1*",'Accounting data'!$J$2:$J$37000,"1*",'Accounting data'!$K$2:$K$37000,"6531*")</f>
        <v>26380</v>
      </c>
      <c r="G7" s="601">
        <f>SUMIFS('Accounting data'!$G$2:$G$37000,'Accounting data'!$H$2:$H$37000,"1000*",'Accounting data'!$I$2:$I$37000,"1*",'Accounting data'!$J$2:$J$37000,"1*",'Accounting data'!$K$2:$K$37000,"66*")+SUMIFS('Accounting data'!$G$2:$G$37000,'Accounting data'!$H$2:$H$37000,"1500*",'Accounting data'!$I$2:$I$37000,"1*",'Accounting data'!$J$2:$J$37000,"1*",'Accounting data'!$K$2:$K$37000,"66*")</f>
        <v>81158</v>
      </c>
      <c r="H7" s="601">
        <f>SUMIFS('Accounting data'!$G$2:$G$37000,'Accounting data'!$H$2:$H$37000,"1000*",'Accounting data'!$I$2:$I$37000,"1*",'Accounting data'!$J$2:$J$37000,"1*",'Accounting data'!$K$2:$K$37000,"68*")+SUMIFS('Accounting data'!$G$2:$G$37000,'Accounting data'!$H$2:$H$37000,"1500*",'Accounting data'!$I$2:$I$37000,"1*",'Accounting data'!$J$2:$J$37000,"1*",'Accounting data'!$K$2:$K$37000,"68*")</f>
        <v>182745</v>
      </c>
      <c r="I7" s="601">
        <f>[3]!SP1000P100F1000</f>
        <v>341258</v>
      </c>
      <c r="J7" s="601">
        <f>SUM(D7:H7)</f>
        <v>323102</v>
      </c>
      <c r="K7" s="601">
        <f>[4]!SP1000P100F1000</f>
        <v>217104</v>
      </c>
      <c r="L7" s="740"/>
      <c r="M7" s="88" t="s">
        <v>24</v>
      </c>
      <c r="S7" s="594"/>
    </row>
    <row r="8" spans="1:32" ht="12" customHeight="1" x14ac:dyDescent="0.2">
      <c r="A8" s="86" t="s">
        <v>105</v>
      </c>
      <c r="C8" s="75"/>
      <c r="D8" s="85"/>
      <c r="E8" s="85"/>
      <c r="F8" s="85"/>
      <c r="G8" s="89"/>
      <c r="H8" s="85"/>
      <c r="I8" s="85"/>
      <c r="J8" s="85"/>
      <c r="K8" s="85"/>
      <c r="L8" s="729">
        <f>IF(J9=K9,0,IF(K9&gt;0,(J9-K9)/K9,"--"))</f>
        <v>-0.57699999999999996</v>
      </c>
      <c r="M8" s="617"/>
      <c r="S8" s="594"/>
    </row>
    <row r="9" spans="1:32" ht="12" customHeight="1" x14ac:dyDescent="0.2">
      <c r="A9" s="86" t="s">
        <v>106</v>
      </c>
      <c r="C9" s="87" t="s">
        <v>26</v>
      </c>
      <c r="D9" s="601">
        <f>SUMIFS('Accounting data'!$G$2:$G$37000,'Accounting data'!$H$2:$H$37000,"1000*",'Accounting data'!$I$2:$I$37000,"1*",'Accounting data'!$J$2:$J$37000,"21*",'Accounting data'!$K$2:$K$37000,"61*")+SUMIFS('Accounting data'!$G$2:$G$37000,'Accounting data'!$H$2:$H$37000,"1500*",'Accounting data'!$I$2:$I$37000,"1*",'Accounting data'!$J$2:$J$37000,"21*",'Accounting data'!$K$2:$K$37000,"61*")</f>
        <v>11992</v>
      </c>
      <c r="E9" s="601">
        <f>SUMIFS('Accounting data'!$G$2:$G$37000,'Accounting data'!$H$2:$H$37000,"1000*",'Accounting data'!$I$2:$I$37000,"1*",'Accounting data'!$J$2:$J$37000,"21*",'Accounting data'!$K$2:$K$37000,"62*")+SUMIFS('Accounting data'!$G$2:$G$37000,'Accounting data'!$H$2:$H$37000,"1500*",'Accounting data'!$I$2:$I$37000,"1*",'Accounting data'!$J$2:$J$37000,"21*",'Accounting data'!$K$2:$K$37000,"62*")</f>
        <v>2497</v>
      </c>
      <c r="F9" s="601">
        <f>SUMIFS('Accounting data'!$G$2:$G$37000,'Accounting data'!$H$2:$H$37000,"1000*",'Accounting data'!$I$2:$I$37000,"1*",'Accounting data'!$J$2:$J$37000,"21*",'Accounting data'!$K$2:$K$37000,"63*")+SUMIFS('Accounting data'!$G$2:$G$37000,'Accounting data'!$H$2:$H$37000,"1500*",'Accounting data'!$I$2:$I$37000,"1*",'Accounting data'!$J$2:$J$37000,"21*",'Accounting data'!$K$2:$K$37000,"63*")</f>
        <v>4913</v>
      </c>
      <c r="G9" s="601">
        <f>SUMIFS('Accounting data'!$G$2:$G$37000,'Accounting data'!$H$2:$H$37000,"1000*",'Accounting data'!$I$2:$I$37000,"1*",'Accounting data'!$J$2:$J$37000,"21*",'Accounting data'!$K$2:$K$37000,"66*")+SUMIFS('Accounting data'!$G$2:$G$37000,'Accounting data'!$H$2:$H$37000,"1500*",'Accounting data'!$I$2:$I$37000,"1*",'Accounting data'!$J$2:$J$37000,"21*",'Accounting data'!$K$2:$K$37000,"66*")</f>
        <v>375</v>
      </c>
      <c r="H9" s="601">
        <f>SUMIFS('Accounting data'!$G$2:$G$37000,'Accounting data'!$H$2:$H$37000,"1000*",'Accounting data'!$I$2:$I$37000,"1*",'Accounting data'!$J$2:$J$37000,"21*",'Accounting data'!$K$2:$K$37000,"68*")+SUMIFS('Accounting data'!$G$2:$G$37000,'Accounting data'!$H$2:$H$37000,"1500*",'Accounting data'!$I$2:$I$37000,"1*",'Accounting data'!$J$2:$J$37000,"21*",'Accounting data'!$K$2:$K$37000,"68*")</f>
        <v>45</v>
      </c>
      <c r="I9" s="601">
        <f>[3]!SP1000P100F2100</f>
        <v>40393</v>
      </c>
      <c r="J9" s="601">
        <f>SUM(D9:H9)</f>
        <v>19822</v>
      </c>
      <c r="K9" s="601">
        <f>[4]!SP1000P100F2100</f>
        <v>46862</v>
      </c>
      <c r="L9" s="730"/>
      <c r="M9" s="88" t="s">
        <v>26</v>
      </c>
      <c r="N9" s="738" t="str">
        <f>IF('Page 2'!J48=0,"",IF(OR('Page 2'!J9&lt;=0),"The Charter did not report any expenses for student support services on line 2. If the Charter did not have any expense, verify by checking the box in A10 on the Cover Page.",""))</f>
        <v/>
      </c>
      <c r="O9" s="738"/>
      <c r="P9" s="738"/>
      <c r="Q9" s="738"/>
      <c r="R9" s="738"/>
      <c r="S9" s="738"/>
      <c r="T9" s="738"/>
      <c r="U9" s="738"/>
      <c r="V9" s="738"/>
      <c r="W9" s="738"/>
      <c r="X9" s="738"/>
      <c r="Y9" s="738"/>
      <c r="Z9" s="738"/>
      <c r="AA9" s="738"/>
      <c r="AB9" s="738"/>
      <c r="AC9" s="738"/>
      <c r="AD9" s="738"/>
      <c r="AE9" s="738"/>
      <c r="AF9" s="738"/>
    </row>
    <row r="10" spans="1:32" ht="12" customHeight="1" x14ac:dyDescent="0.2">
      <c r="A10" s="86" t="s">
        <v>107</v>
      </c>
      <c r="C10" s="87" t="s">
        <v>28</v>
      </c>
      <c r="D10" s="597">
        <f>SUMIFS('Accounting data'!$G$2:$G$37000,'Accounting data'!$H$2:$H$37000,"1000*",'Accounting data'!$I$2:$I$37000,"1*",'Accounting data'!$J$2:$J$37000,"22*",'Accounting data'!$K$2:$K$37000,"61*")+SUMIFS('Accounting data'!$G$2:$G$37000,'Accounting data'!$H$2:$H$37000,"1500*",'Accounting data'!$I$2:$I$37000,"1*",'Accounting data'!$J$2:$J$37000,"22*",'Accounting data'!$K$2:$K$37000,"61*")</f>
        <v>4018</v>
      </c>
      <c r="E10" s="597">
        <f>SUMIFS('Accounting data'!$G$2:$G$37000,'Accounting data'!$H$2:$H$37000,"1000*",'Accounting data'!$I$2:$I$37000,"1*",'Accounting data'!$J$2:$J$37000,"22*",'Accounting data'!$K$2:$K$37000,"62*")+SUMIFS('Accounting data'!$G$2:$G$37000,'Accounting data'!$H$2:$H$37000,"1500*",'Accounting data'!$I$2:$I$37000,"1*",'Accounting data'!$J$2:$J$37000,"22*",'Accounting data'!$K$2:$K$37000,"62*")</f>
        <v>1015</v>
      </c>
      <c r="F10" s="597">
        <f>SUMIFS('Accounting data'!$G$2:$G$37000,'Accounting data'!$H$2:$H$37000,"1000*",'Accounting data'!$I$2:$I$37000,"1*",'Accounting data'!$J$2:$J$37000,"22*",'Accounting data'!$K$2:$K$37000,"63*")+SUMIFS('Accounting data'!$G$2:$G$37000,'Accounting data'!$H$2:$H$37000,"1500*",'Accounting data'!$I$2:$I$37000,"1*",'Accounting data'!$J$2:$J$37000,"22*",'Accounting data'!$K$2:$K$37000,"63*")</f>
        <v>2322</v>
      </c>
      <c r="G10" s="597">
        <f>SUMIFS('Accounting data'!$G$2:$G$37000,'Accounting data'!$H$2:$H$37000,"1000*",'Accounting data'!$I$2:$I$37000,"1*",'Accounting data'!$J$2:$J$37000,"22*",'Accounting data'!$K$2:$K$37000,"66*")+SUMIFS('Accounting data'!$G$2:$G$37000,'Accounting data'!$H$2:$H$37000,"1500*",'Accounting data'!$I$2:$I$37000,"1*",'Accounting data'!$J$2:$J$37000,"22*",'Accounting data'!$K$2:$K$37000,"66*")</f>
        <v>200</v>
      </c>
      <c r="H10" s="597">
        <f>SUMIFS('Accounting data'!$G$2:$G$37000,'Accounting data'!$H$2:$H$37000,"1000*",'Accounting data'!$I$2:$I$37000,"1*",'Accounting data'!$J$2:$J$37000,"22*",'Accounting data'!$K$2:$K$37000,"68*")+SUMIFS('Accounting data'!$G$2:$G$37000,'Accounting data'!$H$2:$H$37000,"1500*",'Accounting data'!$I$2:$I$37000,"1*",'Accounting data'!$J$2:$J$37000,"22*",'Accounting data'!$K$2:$K$37000,"68*")</f>
        <v>37</v>
      </c>
      <c r="I10" s="596">
        <f>[3]!SP1000P100F2200</f>
        <v>7391</v>
      </c>
      <c r="J10" s="598">
        <f t="shared" ref="J10:J22" si="0">SUM(D10:H10)</f>
        <v>7592</v>
      </c>
      <c r="K10" s="596">
        <f>[4]!SP1000P100F2200</f>
        <v>6788</v>
      </c>
      <c r="L10" s="599">
        <f t="shared" ref="L10:L20" si="1">IF(J10=K10,0,IF(K10&gt;0,(J10-K10)/K10,"--"))</f>
        <v>0.11840000000000001</v>
      </c>
      <c r="M10" s="88" t="s">
        <v>28</v>
      </c>
      <c r="N10" s="738" t="str">
        <f>IF('Page 2'!J48=0,"",IF(OR('Page 2'!J10&lt;=0),"The Charter did not report any expenses for instructional support services on line 3. If the Charter did not have any expense, verify by checking the box in A12 on the Cover Page.",""))</f>
        <v/>
      </c>
      <c r="O10" s="738"/>
      <c r="P10" s="738"/>
      <c r="Q10" s="738"/>
      <c r="R10" s="738"/>
      <c r="S10" s="738"/>
      <c r="T10" s="738"/>
      <c r="U10" s="738"/>
      <c r="V10" s="738"/>
      <c r="W10" s="738"/>
      <c r="X10" s="738"/>
      <c r="Y10" s="738"/>
      <c r="Z10" s="738"/>
      <c r="AA10" s="738"/>
      <c r="AB10" s="738"/>
      <c r="AC10" s="738"/>
      <c r="AD10" s="738"/>
      <c r="AE10" s="738"/>
      <c r="AF10" s="738"/>
    </row>
    <row r="11" spans="1:32" ht="12" customHeight="1" x14ac:dyDescent="0.2">
      <c r="A11" s="86" t="s">
        <v>108</v>
      </c>
      <c r="C11" s="87" t="s">
        <v>31</v>
      </c>
      <c r="D11" s="597">
        <f>SUMIFS('Accounting data'!$G$2:$G$37000,'Accounting data'!$H$2:$H$37000,"1000*",'Accounting data'!$I$2:$I$37000,"1*",'Accounting data'!$J$2:$J$37000,"23*",'Accounting data'!$K$2:$K$37000,"61*")+SUMIFS('Accounting data'!$G$2:$G$37000,'Accounting data'!$H$2:$H$37000,"1500*",'Accounting data'!$I$2:$I$37000,"1*",'Accounting data'!$J$2:$J$37000,"23*",'Accounting data'!$K$2:$K$37000,"61*")</f>
        <v>3497</v>
      </c>
      <c r="E11" s="597">
        <f>SUMIFS('Accounting data'!$G$2:$G$37000,'Accounting data'!$H$2:$H$37000,"1000*",'Accounting data'!$I$2:$I$37000,"1*",'Accounting data'!$J$2:$J$37000,"23*",'Accounting data'!$K$2:$K$37000,"62*")+SUMIFS('Accounting data'!$G$2:$G$37000,'Accounting data'!$H$2:$H$37000,"1500*",'Accounting data'!$I$2:$I$37000,"1*",'Accounting data'!$J$2:$J$37000,"23*",'Accounting data'!$K$2:$K$37000,"62*")</f>
        <v>731</v>
      </c>
      <c r="F11" s="597">
        <f>SUMIFS('Accounting data'!$G$2:$G$37000,'Accounting data'!$H$2:$H$37000,"1000*",'Accounting data'!$I$2:$I$37000,"1*",'Accounting data'!$J$2:$J$37000,"23*",'Accounting data'!$K$2:$K$37000,"63*")+SUMIFS('Accounting data'!$G$2:$G$37000,'Accounting data'!$H$2:$H$37000,"1500*",'Accounting data'!$I$2:$I$37000,"1*",'Accounting data'!$J$2:$J$37000,"23*",'Accounting data'!$K$2:$K$37000,"63*")</f>
        <v>562</v>
      </c>
      <c r="G11" s="597">
        <f>SUMIFS('Accounting data'!$G$2:$G$37000,'Accounting data'!$H$2:$H$37000,"1000*",'Accounting data'!$I$2:$I$37000,"1*",'Accounting data'!$J$2:$J$37000,"23*",'Accounting data'!$K$2:$K$37000,"66*")+SUMIFS('Accounting data'!$G$2:$G$37000,'Accounting data'!$H$2:$H$37000,"1500*",'Accounting data'!$I$2:$I$37000,"1*",'Accounting data'!$J$2:$J$37000,"23*",'Accounting data'!$K$2:$K$37000,"66*")</f>
        <v>92</v>
      </c>
      <c r="H11" s="597">
        <f>SUMIFS('Accounting data'!$G$2:$G$37000,'Accounting data'!$H$2:$H$37000,"1000*",'Accounting data'!$I$2:$I$37000,"1*",'Accounting data'!$J$2:$J$37000,"23*",'Accounting data'!$K$2:$K$37000,"68*")+SUMIFS('Accounting data'!$G$2:$G$37000,'Accounting data'!$H$2:$H$37000,"1500*",'Accounting data'!$I$2:$I$37000,"1*",'Accounting data'!$J$2:$J$37000,"23*",'Accounting data'!$K$2:$K$37000,"68*")</f>
        <v>1330</v>
      </c>
      <c r="I11" s="596">
        <f>[3]!SP1000P100F2300</f>
        <v>6289</v>
      </c>
      <c r="J11" s="598">
        <f t="shared" si="0"/>
        <v>6212</v>
      </c>
      <c r="K11" s="596">
        <f>[4]!SP1000P100F2300</f>
        <v>5885</v>
      </c>
      <c r="L11" s="599">
        <f t="shared" si="1"/>
        <v>5.5599999999999997E-2</v>
      </c>
      <c r="M11" s="88" t="s">
        <v>31</v>
      </c>
      <c r="N11" s="4"/>
      <c r="O11" s="4"/>
      <c r="P11" s="4"/>
      <c r="Q11" s="4"/>
      <c r="R11" s="4"/>
      <c r="S11" s="4"/>
      <c r="T11" s="4"/>
      <c r="U11" s="4"/>
    </row>
    <row r="12" spans="1:32" ht="12" customHeight="1" x14ac:dyDescent="0.2">
      <c r="A12" s="86" t="s">
        <v>109</v>
      </c>
      <c r="C12" s="87" t="s">
        <v>33</v>
      </c>
      <c r="D12" s="597">
        <f>SUMIFS('Accounting data'!$G$2:$G$37000,'Accounting data'!$H$2:$H$37000,"1000*",'Accounting data'!$I$2:$I$37000,"1*",'Accounting data'!$J$2:$J$37000,"24*",'Accounting data'!$K$2:$K$37000,"61*")+SUMIFS('Accounting data'!$G$2:$G$37000,'Accounting data'!$H$2:$H$37000,"1500*",'Accounting data'!$I$2:$I$37000,"1*",'Accounting data'!$J$2:$J$37000,"24*",'Accounting data'!$K$2:$K$37000,"61*")</f>
        <v>81391</v>
      </c>
      <c r="E12" s="597">
        <f>SUMIFS('Accounting data'!$G$2:$G$37000,'Accounting data'!$H$2:$H$37000,"1000*",'Accounting data'!$I$2:$I$37000,"1*",'Accounting data'!$J$2:$J$37000,"24*",'Accounting data'!$K$2:$K$37000,"62*")+SUMIFS('Accounting data'!$G$2:$G$37000,'Accounting data'!$H$2:$H$37000,"1500*",'Accounting data'!$I$2:$I$37000,"1*",'Accounting data'!$J$2:$J$37000,"24*",'Accounting data'!$K$2:$K$37000,"62*")</f>
        <v>20461</v>
      </c>
      <c r="F12" s="597">
        <f>SUMIFS('Accounting data'!$G$2:$G$37000,'Accounting data'!$H$2:$H$37000,"1000*",'Accounting data'!$I$2:$I$37000,"1*",'Accounting data'!$J$2:$J$37000,"24*",'Accounting data'!$K$2:$K$37000,"63*")+SUMIFS('Accounting data'!$G$2:$G$37000,'Accounting data'!$H$2:$H$37000,"1500*",'Accounting data'!$I$2:$I$37000,"1*",'Accounting data'!$J$2:$J$37000,"24*",'Accounting data'!$K$2:$K$37000,"63*")</f>
        <v>-28</v>
      </c>
      <c r="G12" s="597">
        <f>SUMIFS('Accounting data'!$G$2:$G$37000,'Accounting data'!$H$2:$H$37000,"1000*",'Accounting data'!$I$2:$I$37000,"1*",'Accounting data'!$J$2:$J$37000,"24*",'Accounting data'!$K$2:$K$37000,"66*")+SUMIFS('Accounting data'!$G$2:$G$37000,'Accounting data'!$H$2:$H$37000,"1500*",'Accounting data'!$I$2:$I$37000,"1*",'Accounting data'!$J$2:$J$37000,"24*",'Accounting data'!$K$2:$K$37000,"66*")</f>
        <v>951</v>
      </c>
      <c r="H12" s="597">
        <f>SUMIFS('Accounting data'!$G$2:$G$37000,'Accounting data'!$H$2:$H$37000,"1000*",'Accounting data'!$I$2:$I$37000,"1*",'Accounting data'!$J$2:$J$37000,"24*",'Accounting data'!$K$2:$K$37000,"68*")+SUMIFS('Accounting data'!$G$2:$G$37000,'Accounting data'!$H$2:$H$37000,"1500*",'Accounting data'!$I$2:$I$37000,"1*",'Accounting data'!$J$2:$J$37000,"24*",'Accounting data'!$K$2:$K$37000,"68*")</f>
        <v>347</v>
      </c>
      <c r="I12" s="596">
        <f>[3]!SP1000P100F2400</f>
        <v>147214</v>
      </c>
      <c r="J12" s="598">
        <f t="shared" si="0"/>
        <v>103122</v>
      </c>
      <c r="K12" s="596">
        <f>[4]!SP1000P100F2400</f>
        <v>137673</v>
      </c>
      <c r="L12" s="599">
        <f t="shared" si="1"/>
        <v>-0.251</v>
      </c>
      <c r="M12" s="88" t="s">
        <v>33</v>
      </c>
    </row>
    <row r="13" spans="1:32" ht="12" customHeight="1" x14ac:dyDescent="0.2">
      <c r="A13" s="86" t="s">
        <v>110</v>
      </c>
      <c r="C13" s="87" t="s">
        <v>35</v>
      </c>
      <c r="D13" s="597">
        <f>SUMIFS('Accounting data'!$G$2:$G$37000,'Accounting data'!$H$2:$H$37000,"1000*",'Accounting data'!$I$2:$I$37000,"1*",'Accounting data'!$J$2:$J$37000,"25*",'Accounting data'!$K$2:$K$37000,"61*")+SUMIFS('Accounting data'!$G$2:$G$37000,'Accounting data'!$H$2:$H$37000,"1500*",'Accounting data'!$I$2:$I$37000,"1*",'Accounting data'!$J$2:$J$37000,"25*",'Accounting data'!$K$2:$K$37000,"61*")</f>
        <v>49713</v>
      </c>
      <c r="E13" s="597">
        <f>SUMIFS('Accounting data'!$G$2:$G$37000,'Accounting data'!$H$2:$H$37000,"1000*",'Accounting data'!$I$2:$I$37000,"1*",'Accounting data'!$J$2:$J$37000,"25*",'Accounting data'!$K$2:$K$37000,"62*")+SUMIFS('Accounting data'!$G$2:$G$37000,'Accounting data'!$H$2:$H$37000,"1500*",'Accounting data'!$I$2:$I$37000,"1*",'Accounting data'!$J$2:$J$37000,"25*",'Accounting data'!$K$2:$K$37000,"62*")</f>
        <v>64896</v>
      </c>
      <c r="F13" s="597">
        <f>SUMIFS('Accounting data'!$G$2:$G$37000,'Accounting data'!$H$2:$H$37000,"1000*",'Accounting data'!$I$2:$I$37000,"1*",'Accounting data'!$J$2:$J$37000,"25*",'Accounting data'!$K$2:$K$37000,"63*")+SUMIFS('Accounting data'!$G$2:$G$37000,'Accounting data'!$H$2:$H$37000,"1500*",'Accounting data'!$I$2:$I$37000,"1*",'Accounting data'!$J$2:$J$37000,"25*",'Accounting data'!$K$2:$K$37000,"63*")</f>
        <v>95725</v>
      </c>
      <c r="G13" s="597">
        <f>SUMIFS('Accounting data'!$G$2:$G$37000,'Accounting data'!$H$2:$H$37000,"1000*",'Accounting data'!$I$2:$I$37000,"1*",'Accounting data'!$J$2:$J$37000,"25*",'Accounting data'!$K$2:$K$37000,"66*")+SUMIFS('Accounting data'!$G$2:$G$37000,'Accounting data'!$H$2:$H$37000,"1500*",'Accounting data'!$I$2:$I$37000,"1*",'Accounting data'!$J$2:$J$37000,"25*",'Accounting data'!$K$2:$K$37000,"66*")</f>
        <v>22644</v>
      </c>
      <c r="H13" s="597">
        <f>SUMIFS('Accounting data'!$G$2:$G$37000,'Accounting data'!$H$2:$H$37000,"1000*",'Accounting data'!$I$2:$I$37000,"1*",'Accounting data'!$J$2:$J$37000,"25*",'Accounting data'!$K$2:$K$37000,"68*")+SUMIFS('Accounting data'!$G$2:$G$37000,'Accounting data'!$H$2:$H$37000,"1500*",'Accounting data'!$I$2:$I$37000,"1*",'Accounting data'!$J$2:$J$37000,"25*",'Accounting data'!$K$2:$K$37000,"68*")</f>
        <v>20966</v>
      </c>
      <c r="I13" s="596">
        <f>[3]!SP1000P100F2500</f>
        <v>159193</v>
      </c>
      <c r="J13" s="598">
        <f t="shared" si="0"/>
        <v>253944</v>
      </c>
      <c r="K13" s="596">
        <f>[4]!SP1000P100F2500</f>
        <v>152242</v>
      </c>
      <c r="L13" s="599">
        <f t="shared" si="1"/>
        <v>0.66800000000000004</v>
      </c>
      <c r="M13" s="88" t="s">
        <v>35</v>
      </c>
    </row>
    <row r="14" spans="1:32" ht="12" customHeight="1" x14ac:dyDescent="0.2">
      <c r="A14" s="86" t="s">
        <v>111</v>
      </c>
      <c r="C14" s="87" t="s">
        <v>37</v>
      </c>
      <c r="D14" s="597">
        <f>SUMIFS('Accounting data'!$G$2:$G$37000,'Accounting data'!$H$2:$H$37000,"1000*",'Accounting data'!$I$2:$I$37000,"1*",'Accounting data'!$J$2:$J$37000,"26*",'Accounting data'!$K$2:$K$37000,"61*")+SUMIFS('Accounting data'!$G$2:$G$37000,'Accounting data'!$H$2:$H$37000,"1500*",'Accounting data'!$I$2:$I$37000,"1*",'Accounting data'!$J$2:$J$37000,"26*",'Accounting data'!$K$2:$K$37000,"61*")</f>
        <v>41128</v>
      </c>
      <c r="E14" s="597">
        <f>SUMIFS('Accounting data'!$G$2:$G$37000,'Accounting data'!$H$2:$H$37000,"1000*",'Accounting data'!$I$2:$I$37000,"1*",'Accounting data'!$J$2:$J$37000,"26*",'Accounting data'!$K$2:$K$37000,"62*")+SUMIFS('Accounting data'!$G$2:$G$37000,'Accounting data'!$H$2:$H$37000,"1500*",'Accounting data'!$I$2:$I$37000,"1*",'Accounting data'!$J$2:$J$37000,"26*",'Accounting data'!$K$2:$K$37000,"62*")</f>
        <v>11576</v>
      </c>
      <c r="F14" s="597">
        <f>SUMIFS('Accounting data'!$G$2:$G$37000,'Accounting data'!$H$2:$H$37000,"1000*",'Accounting data'!$I$2:$I$37000,"1*",'Accounting data'!$J$2:$J$37000,"26*",'Accounting data'!$K$2:$K$37000,"63*")+SUMIFS('Accounting data'!$G$2:$G$37000,'Accounting data'!$H$2:$H$37000,"1500*",'Accounting data'!$I$2:$I$37000,"1*",'Accounting data'!$J$2:$J$37000,"26*",'Accounting data'!$K$2:$K$37000,"63*")</f>
        <v>186489</v>
      </c>
      <c r="G14" s="597">
        <f>SUMIFS('Accounting data'!$G$2:$G$37000,'Accounting data'!$H$2:$H$37000,"1000*",'Accounting data'!$I$2:$I$37000,"1*",'Accounting data'!$J$2:$J$37000,"26*",'Accounting data'!$K$2:$K$37000,"66*")+SUMIFS('Accounting data'!$G$2:$G$37000,'Accounting data'!$H$2:$H$37000,"1500*",'Accounting data'!$I$2:$I$37000,"1*",'Accounting data'!$J$2:$J$37000,"26*",'Accounting data'!$K$2:$K$37000,"66*")</f>
        <v>22488</v>
      </c>
      <c r="H14" s="597">
        <f>SUMIFS('Accounting data'!$G$2:$G$37000,'Accounting data'!$H$2:$H$37000,"1000*",'Accounting data'!$I$2:$I$37000,"1*",'Accounting data'!$J$2:$J$37000,"26*",'Accounting data'!$K$2:$K$37000,"68*")+SUMIFS('Accounting data'!$G$2:$G$37000,'Accounting data'!$H$2:$H$37000,"1500*",'Accounting data'!$I$2:$I$37000,"1*",'Accounting data'!$J$2:$J$37000,"26*",'Accounting data'!$K$2:$K$37000,"68*")</f>
        <v>1992</v>
      </c>
      <c r="I14" s="596">
        <f>[3]!SP1000P100F2600</f>
        <v>229423</v>
      </c>
      <c r="J14" s="598">
        <f t="shared" si="0"/>
        <v>263673</v>
      </c>
      <c r="K14" s="596">
        <f>[4]!SP1000P100F2600</f>
        <v>243605</v>
      </c>
      <c r="L14" s="599">
        <f t="shared" si="1"/>
        <v>8.2400000000000001E-2</v>
      </c>
      <c r="M14" s="88" t="s">
        <v>37</v>
      </c>
    </row>
    <row r="15" spans="1:32" ht="12" customHeight="1" x14ac:dyDescent="0.2">
      <c r="A15" s="86" t="s">
        <v>112</v>
      </c>
      <c r="C15" s="87" t="s">
        <v>39</v>
      </c>
      <c r="D15" s="597">
        <f>SUMIFS('Accounting data'!$G$2:$G$37000,'Accounting data'!$H$2:$H$37000,"1000*",'Accounting data'!$I$2:$I$37000,"1*",'Accounting data'!$J$2:$J$37000,"29*",'Accounting data'!$K$2:$K$37000,"61*")+SUMIFS('Accounting data'!$G$2:$G$37000,'Accounting data'!$H$2:$H$37000,"1500*",'Accounting data'!$I$2:$I$37000,"1*",'Accounting data'!$J$2:$J$37000,"29*",'Accounting data'!$K$2:$K$37000,"61*")</f>
        <v>0</v>
      </c>
      <c r="E15" s="597">
        <f>SUMIFS('Accounting data'!$G$2:$G$37000,'Accounting data'!$H$2:$H$37000,"1000*",'Accounting data'!$I$2:$I$37000,"1*",'Accounting data'!$J$2:$J$37000,"29*",'Accounting data'!$K$2:$K$37000,"62*")+SUMIFS('Accounting data'!$G$2:$G$37000,'Accounting data'!$H$2:$H$37000,"1500*",'Accounting data'!$I$2:$I$37000,"1*",'Accounting data'!$J$2:$J$37000,"29*",'Accounting data'!$K$2:$K$37000,"62*")</f>
        <v>0</v>
      </c>
      <c r="F15" s="597">
        <f>SUMIFS('Accounting data'!$G$2:$G$37000,'Accounting data'!$H$2:$H$37000,"1000*",'Accounting data'!$I$2:$I$37000,"1*",'Accounting data'!$J$2:$J$37000,"29*",'Accounting data'!$K$2:$K$37000,"63*")+SUMIFS('Accounting data'!$G$2:$G$37000,'Accounting data'!$H$2:$H$37000,"1500*",'Accounting data'!$I$2:$I$37000,"1*",'Accounting data'!$J$2:$J$37000,"29*",'Accounting data'!$K$2:$K$37000,"63*")</f>
        <v>0</v>
      </c>
      <c r="G15" s="597">
        <f>SUMIFS('Accounting data'!$G$2:$G$37000,'Accounting data'!$H$2:$H$37000,"1000*",'Accounting data'!$I$2:$I$37000,"1*",'Accounting data'!$J$2:$J$37000,"29*",'Accounting data'!$K$2:$K$37000,"66*")+SUMIFS('Accounting data'!$G$2:$G$37000,'Accounting data'!$H$2:$H$37000,"1500*",'Accounting data'!$I$2:$I$37000,"1*",'Accounting data'!$J$2:$J$37000,"29*",'Accounting data'!$K$2:$K$37000,"66*")</f>
        <v>0</v>
      </c>
      <c r="H15" s="597">
        <f>SUMIFS('Accounting data'!$G$2:$G$37000,'Accounting data'!$H$2:$H$37000,"1000*",'Accounting data'!$I$2:$I$37000,"1*",'Accounting data'!$J$2:$J$37000,"29*",'Accounting data'!$K$2:$K$37000,"68*")+SUMIFS('Accounting data'!$G$2:$G$37000,'Accounting data'!$H$2:$H$37000,"1500*",'Accounting data'!$I$2:$I$37000,"1*",'Accounting data'!$J$2:$J$37000,"29*",'Accounting data'!$K$2:$K$37000,"68*")</f>
        <v>0</v>
      </c>
      <c r="I15" s="596">
        <f>[3]!SP1000P100F2900</f>
        <v>12482</v>
      </c>
      <c r="J15" s="598">
        <f t="shared" si="0"/>
        <v>0</v>
      </c>
      <c r="K15" s="596">
        <f>[4]!SP1000P100F2900</f>
        <v>0</v>
      </c>
      <c r="L15" s="599">
        <f t="shared" si="1"/>
        <v>0</v>
      </c>
      <c r="M15" s="88" t="s">
        <v>39</v>
      </c>
    </row>
    <row r="16" spans="1:32" ht="12" customHeight="1" x14ac:dyDescent="0.2">
      <c r="A16" s="86" t="s">
        <v>113</v>
      </c>
      <c r="C16" s="87" t="s">
        <v>41</v>
      </c>
      <c r="D16" s="597">
        <f>SUMIFS('Accounting data'!$G$2:$G$37000,'Accounting data'!$H$2:$H$37000,"1000*",'Accounting data'!$I$2:$I$37000,"1*",'Accounting data'!$J$2:$J$37000,"3*",'Accounting data'!$K$2:$K$37000,"61*")+SUMIFS('Accounting data'!$G$2:$G$37000,'Accounting data'!$H$2:$H$37000,"1500*",'Accounting data'!$I$2:$I$37000,"1*",'Accounting data'!$J$2:$J$37000,"3*",'Accounting data'!$K$2:$K$37000,"61*")</f>
        <v>5631</v>
      </c>
      <c r="E16" s="597">
        <f>SUMIFS('Accounting data'!$G$2:$G$37000,'Accounting data'!$H$2:$H$37000,"1000*",'Accounting data'!$I$2:$I$37000,"1*",'Accounting data'!$J$2:$J$37000,"3*",'Accounting data'!$K$2:$K$37000,"62*")+SUMIFS('Accounting data'!$G$2:$G$37000,'Accounting data'!$H$2:$H$37000,"1500*",'Accounting data'!$I$2:$I$37000,"1*",'Accounting data'!$J$2:$J$37000,"3*",'Accounting data'!$K$2:$K$37000,"62*")</f>
        <v>1151</v>
      </c>
      <c r="F16" s="597">
        <f>SUMIFS('Accounting data'!$G$2:$G$37000,'Accounting data'!$H$2:$H$37000,"1000*",'Accounting data'!$I$2:$I$37000,"1*",'Accounting data'!$J$2:$J$37000,"3*",'Accounting data'!$K$2:$K$37000,"63*")+SUMIFS('Accounting data'!$G$2:$G$37000,'Accounting data'!$H$2:$H$37000,"1500*",'Accounting data'!$I$2:$I$37000,"1*",'Accounting data'!$J$2:$J$37000,"3*",'Accounting data'!$K$2:$K$37000,"63*")</f>
        <v>6</v>
      </c>
      <c r="G16" s="597">
        <f>SUMIFS('Accounting data'!$G$2:$G$37000,'Accounting data'!$H$2:$H$37000,"1000*",'Accounting data'!$I$2:$I$37000,"1*",'Accounting data'!$J$2:$J$37000,"3*",'Accounting data'!$K$2:$K$37000,"66*")+SUMIFS('Accounting data'!$G$2:$G$37000,'Accounting data'!$H$2:$H$37000,"1500*",'Accounting data'!$I$2:$I$37000,"1*",'Accounting data'!$J$2:$J$37000,"3*",'Accounting data'!$K$2:$K$37000,"66*")</f>
        <v>66781</v>
      </c>
      <c r="H16" s="597">
        <f>SUMIFS('Accounting data'!$G$2:$G$37000,'Accounting data'!$H$2:$H$37000,"1000*",'Accounting data'!$I$2:$I$37000,"1*",'Accounting data'!$J$2:$J$37000,"3*",'Accounting data'!$K$2:$K$37000,"68*")+SUMIFS('Accounting data'!$G$2:$G$37000,'Accounting data'!$H$2:$H$37000,"1500*",'Accounting data'!$I$2:$I$37000,"1*",'Accounting data'!$J$2:$J$37000,"3*",'Accounting data'!$K$2:$K$37000,"68*")</f>
        <v>297</v>
      </c>
      <c r="I16" s="596">
        <f>[3]!SP1000P100F3000</f>
        <v>59901</v>
      </c>
      <c r="J16" s="598">
        <f t="shared" si="0"/>
        <v>73866</v>
      </c>
      <c r="K16" s="596">
        <f>[4]!SP1000P100F3000</f>
        <v>57443</v>
      </c>
      <c r="L16" s="599">
        <f t="shared" si="1"/>
        <v>0.28589999999999999</v>
      </c>
      <c r="M16" s="88" t="s">
        <v>41</v>
      </c>
    </row>
    <row r="17" spans="1:25" ht="12" customHeight="1" x14ac:dyDescent="0.2">
      <c r="A17" s="86" t="s">
        <v>114</v>
      </c>
      <c r="C17" s="87" t="s">
        <v>43</v>
      </c>
      <c r="D17" s="597">
        <f>SUMIFS('Accounting data'!$G$2:$G$37000,'Accounting data'!$H$2:$H$37000,"1000*",'Accounting data'!$I$2:$I$37000,"1*",'Accounting data'!$J$2:$J$37000,"4*",'Accounting data'!$K$2:$K$37000,"61*")+SUMIFS('Accounting data'!$G$2:$G$37000,'Accounting data'!$H$2:$H$37000,"1500*",'Accounting data'!$I$2:$I$37000,"1*",'Accounting data'!$J$2:$J$37000,"4*",'Accounting data'!$K$2:$K$37000,"61*")</f>
        <v>0</v>
      </c>
      <c r="E17" s="597">
        <f>SUMIFS('Accounting data'!$G$2:$G$37000,'Accounting data'!$H$2:$H$37000,"1000*",'Accounting data'!$I$2:$I$37000,"1*",'Accounting data'!$J$2:$J$37000,"4*",'Accounting data'!$K$2:$K$37000,"62*")+SUMIFS('Accounting data'!$G$2:$G$37000,'Accounting data'!$H$2:$H$37000,"1500*",'Accounting data'!$I$2:$I$37000,"1*",'Accounting data'!$J$2:$J$37000,"4*",'Accounting data'!$K$2:$K$37000,"62*")</f>
        <v>0</v>
      </c>
      <c r="F17" s="597">
        <f>SUMIFS('Accounting data'!$G$2:$G$37000,'Accounting data'!$H$2:$H$37000,"1000*",'Accounting data'!$I$2:$I$37000,"1*",'Accounting data'!$J$2:$J$37000,"4*",'Accounting data'!$K$2:$K$37000,"63*")+SUMIFS('Accounting data'!$G$2:$G$37000,'Accounting data'!$H$2:$H$37000,"1500*",'Accounting data'!$I$2:$I$37000,"1*",'Accounting data'!$J$2:$J$37000,"4*",'Accounting data'!$K$2:$K$37000,"63*")</f>
        <v>0</v>
      </c>
      <c r="G17" s="597">
        <f>SUMIFS('Accounting data'!$G$2:$G$37000,'Accounting data'!$H$2:$H$37000,"1000*",'Accounting data'!$I$2:$I$37000,"1*",'Accounting data'!$J$2:$J$37000,"4*",'Accounting data'!$K$2:$K$37000,"66*")+SUMIFS('Accounting data'!$G$2:$G$37000,'Accounting data'!$H$2:$H$37000,"1500*",'Accounting data'!$I$2:$I$37000,"1*",'Accounting data'!$J$2:$J$37000,"4*",'Accounting data'!$K$2:$K$37000,"66*")</f>
        <v>0</v>
      </c>
      <c r="H17" s="597">
        <f>SUMIFS('Accounting data'!$G$2:$G$37000,'Accounting data'!$H$2:$H$37000,"1000*",'Accounting data'!$I$2:$I$37000,"1*",'Accounting data'!$J$2:$J$37000,"4*",'Accounting data'!$K$2:$K$37000,"68*")+SUMIFS('Accounting data'!$G$2:$G$37000,'Accounting data'!$H$2:$H$37000,"1500*",'Accounting data'!$I$2:$I$37000,"1*",'Accounting data'!$J$2:$J$37000,"4*",'Accounting data'!$K$2:$K$37000,"68*")</f>
        <v>0</v>
      </c>
      <c r="I17" s="596">
        <f>[3]!SP1000P100F4000</f>
        <v>0</v>
      </c>
      <c r="J17" s="598">
        <f t="shared" si="0"/>
        <v>0</v>
      </c>
      <c r="K17" s="596">
        <f>[4]!SP1000P100F4000</f>
        <v>0</v>
      </c>
      <c r="L17" s="599">
        <f t="shared" si="1"/>
        <v>0</v>
      </c>
      <c r="M17" s="88" t="s">
        <v>43</v>
      </c>
    </row>
    <row r="18" spans="1:25" ht="12" customHeight="1" x14ac:dyDescent="0.2">
      <c r="A18" s="86" t="s">
        <v>115</v>
      </c>
      <c r="C18" s="87" t="s">
        <v>45</v>
      </c>
      <c r="D18" s="597">
        <f>SUMIFS('Accounting data'!$G$2:$G$37000,'Accounting data'!$H$2:$H$37000,"1000*",'Accounting data'!$I$2:$I$37000,"1*",'Accounting data'!$J$2:$J$37000,"5*",'Accounting data'!$K$2:$K$37000,"61*")+SUMIFS('Accounting data'!$G$2:$G$37000,'Accounting data'!$H$2:$H$37000,"1500*",'Accounting data'!$I$2:$I$37000,"1*",'Accounting data'!$J$2:$J$37000,"5*",'Accounting data'!$K$2:$K$37000,"61*")</f>
        <v>0</v>
      </c>
      <c r="E18" s="597">
        <f>SUMIFS('Accounting data'!$G$2:$G$37000,'Accounting data'!$H$2:$H$37000,"1000*",'Accounting data'!$I$2:$I$37000,"1*",'Accounting data'!$J$2:$J$37000,"5*",'Accounting data'!$K$2:$K$37000,"62*")+SUMIFS('Accounting data'!$G$2:$G$37000,'Accounting data'!$H$2:$H$37000,"1500*",'Accounting data'!$I$2:$I$37000,"1*",'Accounting data'!$J$2:$J$37000,"5*",'Accounting data'!$K$2:$K$37000,"62*")</f>
        <v>0</v>
      </c>
      <c r="F18" s="597">
        <f>SUMIFS('Accounting data'!$G$2:$G$37000,'Accounting data'!$H$2:$H$37000,"1000*",'Accounting data'!$I$2:$I$37000,"1*",'Accounting data'!$J$2:$J$37000,"5*",'Accounting data'!$K$2:$K$37000,"63*")+SUMIFS('Accounting data'!$G$2:$G$37000,'Accounting data'!$H$2:$H$37000,"1500*",'Accounting data'!$I$2:$I$37000,"1*",'Accounting data'!$J$2:$J$37000,"5*",'Accounting data'!$K$2:$K$37000,"63*")</f>
        <v>0</v>
      </c>
      <c r="G18" s="597">
        <f>SUMIFS('Accounting data'!$G$2:$G$37000,'Accounting data'!$H$2:$H$37000,"1000*",'Accounting data'!$I$2:$I$37000,"1*",'Accounting data'!$J$2:$J$37000,"5*",'Accounting data'!$K$2:$K$37000,"66*")+SUMIFS('Accounting data'!$G$2:$G$37000,'Accounting data'!$H$2:$H$37000,"1500*",'Accounting data'!$I$2:$I$37000,"1*",'Accounting data'!$J$2:$J$37000,"5*",'Accounting data'!$K$2:$K$37000,"66*")</f>
        <v>0</v>
      </c>
      <c r="H18" s="597">
        <f>SUMIFS('Accounting data'!$G$2:$G$37000,'Accounting data'!$H$2:$H$37000,"1000*",'Accounting data'!$I$2:$I$37000,"1*",'Accounting data'!$J$2:$J$37000,"5*",'Accounting data'!$K$2:$K$37000,"68*")+SUMIFS('Accounting data'!$G$2:$G$37000,'Accounting data'!$H$2:$H$37000,"1500*",'Accounting data'!$I$2:$I$37000,"1*",'Accounting data'!$J$2:$J$37000,"5*",'Accounting data'!$K$2:$K$37000,"68*")</f>
        <v>0</v>
      </c>
      <c r="I18" s="596">
        <f>[3]!SP1000P100F5000</f>
        <v>0</v>
      </c>
      <c r="J18" s="598">
        <f t="shared" si="0"/>
        <v>0</v>
      </c>
      <c r="K18" s="596">
        <f>[4]!SP1000P100F5000</f>
        <v>0</v>
      </c>
      <c r="L18" s="599">
        <f t="shared" si="1"/>
        <v>0</v>
      </c>
      <c r="M18" s="88" t="s">
        <v>45</v>
      </c>
    </row>
    <row r="19" spans="1:25" ht="12" customHeight="1" x14ac:dyDescent="0.2">
      <c r="A19" s="86" t="s">
        <v>116</v>
      </c>
      <c r="C19" s="87" t="s">
        <v>47</v>
      </c>
      <c r="D19" s="597">
        <f>SUMIFS('Accounting data'!$G$2:$G$37000,'Accounting data'!$H$2:$H$37000,"1000*",'Accounting data'!$I$2:$I$37000,"61*",'Accounting data'!$K$2:$K$37000,"61*")+SUMIFS('Accounting data'!$G$2:$G$37000,'Accounting data'!$H$2:$H$37000,"1500*",'Accounting data'!$I$2:$I$37000,"61*",'Accounting data'!$K$2:$K$37000,"61*")</f>
        <v>34</v>
      </c>
      <c r="E19" s="597">
        <f>SUMIFS('Accounting data'!$G$2:$G$37000,'Accounting data'!$H$2:$H$37000,"1000*",'Accounting data'!$I$2:$I$37000,"61*",'Accounting data'!$K$2:$K$37000,"62*")+SUMIFS('Accounting data'!$G$2:$G$37000,'Accounting data'!$H$2:$H$37000,"1500*",'Accounting data'!$I$2:$I$37000,"61*",'Accounting data'!$K$2:$K$37000,"62*")</f>
        <v>7</v>
      </c>
      <c r="F19" s="597">
        <f>SUMIFS('Accounting data'!$G$2:$G$37000,'Accounting data'!$H$2:$H$37000,"1000*",'Accounting data'!$I$2:$I$37000,"61*",'Accounting data'!$K$2:$K$37000,"63*")+SUMIFS('Accounting data'!$G$2:$G$37000,'Accounting data'!$H$2:$H$37000,"1500*",'Accounting data'!$I$2:$I$37000,"61*",'Accounting data'!$K$2:$K$37000,"63*")</f>
        <v>0</v>
      </c>
      <c r="G19" s="597">
        <f>SUMIFS('Accounting data'!$G$2:$G$37000,'Accounting data'!$H$2:$H$37000,"1000*",'Accounting data'!$I$2:$I$37000,"61*",'Accounting data'!$K$2:$K$37000,"66*")+SUMIFS('Accounting data'!$G$2:$G$37000,'Accounting data'!$H$2:$H$37000,"1500*",'Accounting data'!$I$2:$I$37000,"61*",'Accounting data'!$K$2:$K$37000,"66*")</f>
        <v>0</v>
      </c>
      <c r="H19" s="597">
        <f>SUMIFS('Accounting data'!$G$2:$G$37000,'Accounting data'!$H$2:$H$37000,"1000*",'Accounting data'!$I$2:$I$37000,"61*",'Accounting data'!$K$2:$K$37000,"68*")+SUMIFS('Accounting data'!$G$2:$G$37000,'Accounting data'!$H$2:$H$37000,"1500*",'Accounting data'!$I$2:$I$37000,"61*",'Accounting data'!$K$2:$K$37000,"68*")</f>
        <v>0</v>
      </c>
      <c r="I19" s="596">
        <f>[3]!SP1000P610</f>
        <v>0</v>
      </c>
      <c r="J19" s="598">
        <f t="shared" si="0"/>
        <v>41</v>
      </c>
      <c r="K19" s="596">
        <f>[4]!SP1000P610</f>
        <v>20</v>
      </c>
      <c r="L19" s="599">
        <f t="shared" si="1"/>
        <v>1.05</v>
      </c>
      <c r="M19" s="88" t="s">
        <v>47</v>
      </c>
    </row>
    <row r="20" spans="1:25" ht="12" customHeight="1" x14ac:dyDescent="0.2">
      <c r="A20" s="86" t="s">
        <v>117</v>
      </c>
      <c r="C20" s="87" t="s">
        <v>49</v>
      </c>
      <c r="D20" s="597">
        <f>SUMIFS('Accounting data'!$G$2:$G$37000,'Accounting data'!$H$2:$H$37000,"1000*",'Accounting data'!$I$2:$I$37000,"62*",'Accounting data'!$K$2:$K$37000,"61*")+SUMIFS('Accounting data'!$G$2:$G$37000,'Accounting data'!$H$2:$H$37000,"1500*",'Accounting data'!$I$2:$I$37000,"62*",'Accounting data'!$K$2:$K$37000,"61*")</f>
        <v>0</v>
      </c>
      <c r="E20" s="597">
        <f>SUMIFS('Accounting data'!$G$2:$G$37000,'Accounting data'!$H$2:$H$37000,"1000*",'Accounting data'!$I$2:$I$37000,"62*",'Accounting data'!$K$2:$K$37000,"62*")+SUMIFS('Accounting data'!$G$2:$G$37000,'Accounting data'!$H$2:$H$37000,"1500*",'Accounting data'!$I$2:$I$37000,"62*",'Accounting data'!$K$2:$K$37000,"62*")</f>
        <v>0</v>
      </c>
      <c r="F20" s="597">
        <f>SUMIFS('Accounting data'!$G$2:$G$37000,'Accounting data'!$H$2:$H$37000,"1000*",'Accounting data'!$I$2:$I$37000,"62*",'Accounting data'!$K$2:$K$37000,"63*")+SUMIFS('Accounting data'!$G$2:$G$37000,'Accounting data'!$H$2:$H$37000,"1500*",'Accounting data'!$I$2:$I$37000,"62*",'Accounting data'!$K$2:$K$37000,"63*")</f>
        <v>0</v>
      </c>
      <c r="G20" s="597">
        <f>SUMIFS('Accounting data'!$G$2:$G$37000,'Accounting data'!$H$2:$H$37000,"1000*",'Accounting data'!$I$2:$I$37000,"62*",'Accounting data'!$K$2:$K$37000,"66*")+SUMIFS('Accounting data'!$G$2:$G$37000,'Accounting data'!$H$2:$H$37000,"1500*",'Accounting data'!$I$2:$I$37000,"62*",'Accounting data'!$K$2:$K$37000,"66*")</f>
        <v>0</v>
      </c>
      <c r="H20" s="597">
        <f>SUMIFS('Accounting data'!$G$2:$G$37000,'Accounting data'!$H$2:$H$37000,"1000*",'Accounting data'!$I$2:$I$37000,"62*",'Accounting data'!$K$2:$K$37000,"68*")+SUMIFS('Accounting data'!$G$2:$G$37000,'Accounting data'!$H$2:$H$37000,"1500*",'Accounting data'!$I$2:$I$37000,"62*",'Accounting data'!$K$2:$K$37000,"68*")</f>
        <v>0</v>
      </c>
      <c r="I20" s="596">
        <f>[3]!SP1000P620</f>
        <v>0</v>
      </c>
      <c r="J20" s="598">
        <f t="shared" si="0"/>
        <v>0</v>
      </c>
      <c r="K20" s="596">
        <f>[4]!SP1000P620</f>
        <v>0</v>
      </c>
      <c r="L20" s="599">
        <f t="shared" si="1"/>
        <v>0</v>
      </c>
      <c r="M20" s="88" t="s">
        <v>49</v>
      </c>
    </row>
    <row r="21" spans="1:25" ht="12" customHeight="1" x14ac:dyDescent="0.2">
      <c r="A21" s="86" t="s">
        <v>118</v>
      </c>
      <c r="C21" s="87" t="s">
        <v>51</v>
      </c>
      <c r="D21" s="597">
        <f>SUMIFS('Accounting data'!$G$2:$G$37000,'Accounting data'!$H$2:$H$37000,"1000*",'Accounting data'!$I$2:$I$37000,"63*",'Accounting data'!$K$2:$K$37000,"61*")+SUMIFS('Accounting data'!$G$2:$G$37000,'Accounting data'!$H$2:$H$37000,"1500*",'Accounting data'!$I$2:$I$37000,"63*",'Accounting data'!$K$2:$K$37000,"61*")</f>
        <v>0</v>
      </c>
      <c r="E21" s="597">
        <f>SUMIFS('Accounting data'!$G$2:$G$37000,'Accounting data'!$H$2:$H$37000,"1000*",'Accounting data'!$I$2:$I$37000,"63*",'Accounting data'!$K$2:$K$37000,"62*")+SUMIFS('Accounting data'!$G$2:$G$37000,'Accounting data'!$H$2:$H$37000,"1500*",'Accounting data'!$I$2:$I$37000,"63*",'Accounting data'!$K$2:$K$37000,"62*")</f>
        <v>0</v>
      </c>
      <c r="F21" s="597">
        <f>SUMIFS('Accounting data'!$G$2:$G$37000,'Accounting data'!$H$2:$H$37000,"1000*",'Accounting data'!$I$2:$I$37000,"63*",'Accounting data'!$K$2:$K$37000,"63*")+SUMIFS('Accounting data'!$G$2:$G$37000,'Accounting data'!$H$2:$H$37000,"1500*",'Accounting data'!$I$2:$I$37000,"63*",'Accounting data'!$K$2:$K$37000,"63*")</f>
        <v>0</v>
      </c>
      <c r="G21" s="597">
        <f>SUMIFS('Accounting data'!$G$2:$G$37000,'Accounting data'!$H$2:$H$37000,"1000*",'Accounting data'!$I$2:$I$37000,"63*",'Accounting data'!$K$2:$K$37000,"66*")+SUMIFS('Accounting data'!$G$2:$G$37000,'Accounting data'!$H$2:$H$37000,"1500*",'Accounting data'!$I$2:$I$37000,"63*",'Accounting data'!$K$2:$K$37000,"66*")</f>
        <v>0</v>
      </c>
      <c r="H21" s="667">
        <f>SUMIFS('Accounting data'!$G$2:$G$37000,'Accounting data'!$H$2:$H$37000,"1000*",'Accounting data'!$I$2:$I$37000,"63*",'Accounting data'!$K$2:$K$37000,"68*")+SUMIFS('Accounting data'!$G$2:$G$37000,'Accounting data'!$H$2:$H$37000,"1500*",'Accounting data'!$I$2:$I$37000,"63*",'Accounting data'!$K$2:$K$37000,"68*")</f>
        <v>0</v>
      </c>
      <c r="I21" s="736">
        <f>[3]!SP1000P630700800900</f>
        <v>0</v>
      </c>
      <c r="J21" s="668">
        <f t="shared" si="0"/>
        <v>0</v>
      </c>
      <c r="K21" s="596">
        <f>'[4]Page 2'!$J$21</f>
        <v>0</v>
      </c>
      <c r="L21" s="729">
        <f>IF(J21+J22=K22,0,IF(K22&gt;0,(J21+J22-K22)/K22,"--"))</f>
        <v>0</v>
      </c>
      <c r="M21" s="62" t="s">
        <v>51</v>
      </c>
    </row>
    <row r="22" spans="1:25" ht="12" customHeight="1" x14ac:dyDescent="0.2">
      <c r="A22" s="86" t="s">
        <v>119</v>
      </c>
      <c r="C22" s="87" t="s">
        <v>53</v>
      </c>
      <c r="D22" s="597">
        <f>SUMIFS('Accounting data'!$G$2:$G$37000,'Accounting data'!$H$2:$H$37000,"1000*",'Accounting data'!$I$2:$I$37000,"7*",'Accounting data'!$K$2:$K$37000,"61*")+SUMIFS('Accounting data'!$G$2:$G$37000,'Accounting data'!$H$2:$H$37000,"1000*",'Accounting data'!$I$2:$I$37000,"8*",'Accounting data'!$K$2:$K$37000,"61*")+SUMIFS('Accounting data'!$G$2:$G$37000,'Accounting data'!$H$2:$H$37000,"1000*",'Accounting data'!$I$2:$I$37000,"9*",'Accounting data'!$K$2:$K$37000,"61*")+SUMIFS('Accounting data'!$G$2:$G$37000,'Accounting data'!$H$2:$H$37000,"1500*",'Accounting data'!$I$2:$I$37000,"7*",'Accounting data'!$K$2:$K$37000,"61*")+SUMIFS('Accounting data'!$G$2:$G$37000,'Accounting data'!$H$2:$H$37000,"1500*",'Accounting data'!$I$2:$I$37000,"8*",'Accounting data'!$K$2:$K$37000,"61*")+SUMIFS('Accounting data'!$G$2:$G$37000,'Accounting data'!$H$2:$H$37000,"1500*",'Accounting data'!$I$2:$I$37000,"9*",'Accounting data'!$K$2:$K$37000,"61*")</f>
        <v>0</v>
      </c>
      <c r="E22" s="597">
        <f>SUMIFS('Accounting data'!$G$2:$G$37000,'Accounting data'!$H$2:$H$37000,"1000*",'Accounting data'!$I$2:$I$37000,"7*",'Accounting data'!$K$2:$K$37000,"62*")+SUMIFS('Accounting data'!$G$2:$G$37000,'Accounting data'!$H$2:$H$37000,"1000*",'Accounting data'!$I$2:$I$37000,"8*",'Accounting data'!$K$2:$K$37000,"62*")+SUMIFS('Accounting data'!$G$2:$G$37000,'Accounting data'!$H$2:$H$37000,"1000*",'Accounting data'!$I$2:$I$37000,"9*",'Accounting data'!$K$2:$K$37000,"62*")+SUMIFS('Accounting data'!$G$2:$G$37000,'Accounting data'!$H$2:$H$37000,"1500*",'Accounting data'!$I$2:$I$37000,"7*",'Accounting data'!$K$2:$K$37000,"62*")+SUMIFS('Accounting data'!$G$2:$G$37000,'Accounting data'!$H$2:$H$37000,"1500*",'Accounting data'!$I$2:$I$37000,"8*",'Accounting data'!$K$2:$K$37000,"62*")+SUMIFS('Accounting data'!$G$2:$G$37000,'Accounting data'!$H$2:$H$37000,"1500*",'Accounting data'!$I$2:$I$37000,"9*",'Accounting data'!$K$2:$K$37000,"62*")</f>
        <v>0</v>
      </c>
      <c r="F22" s="597">
        <f>SUMIFS('Accounting data'!$G$2:$G$37000,'Accounting data'!$H$2:$H$37000,"1000*",'Accounting data'!$I$2:$I$37000,"7*",'Accounting data'!$K$2:$K$37000,"63*")+SUMIFS('Accounting data'!$G$2:$G$37000,'Accounting data'!$H$2:$H$37000,"1000*",'Accounting data'!$I$2:$I$37000,"8*",'Accounting data'!$K$2:$K$37000,"63*")+SUMIFS('Accounting data'!$G$2:$G$37000,'Accounting data'!$H$2:$H$37000,"1000*",'Accounting data'!$I$2:$I$37000,"9*",'Accounting data'!$K$2:$K$37000,"63*")+SUMIFS('Accounting data'!$G$2:$G$37000,'Accounting data'!$H$2:$H$37000,"1500*",'Accounting data'!$I$2:$I$37000,"7*",'Accounting data'!$K$2:$K$37000,"63*")+SUMIFS('Accounting data'!$G$2:$G$37000,'Accounting data'!$H$2:$H$37000,"1500*",'Accounting data'!$I$2:$I$37000,"8*",'Accounting data'!$K$2:$K$37000,"63*")+SUMIFS('Accounting data'!$G$2:$G$37000,'Accounting data'!$H$2:$H$37000,"1500*",'Accounting data'!$I$2:$I$37000,"9*",'Accounting data'!$K$2:$K$37000,"63*")</f>
        <v>0</v>
      </c>
      <c r="G22" s="597">
        <f>SUMIFS('Accounting data'!$G$2:$G$37000,'Accounting data'!$H$2:$H$37000,"1000*",'Accounting data'!$I$2:$I$37000,"7*",'Accounting data'!$K$2:$K$37000,"66*")+SUMIFS('Accounting data'!$G$2:$G$37000,'Accounting data'!$H$2:$H$37000,"1000*",'Accounting data'!$I$2:$I$37000,"8*",'Accounting data'!$K$2:$K$37000,"66*")+SUMIFS('Accounting data'!$G$2:$G$37000,'Accounting data'!$H$2:$H$37000,"1000*",'Accounting data'!$I$2:$I$37000,"9*",'Accounting data'!$K$2:$K$37000,"66*")+SUMIFS('Accounting data'!$G$2:$G$37000,'Accounting data'!$H$2:$H$37000,"1500*",'Accounting data'!$I$2:$I$37000,"7*",'Accounting data'!$K$2:$K$37000,"66*")+SUMIFS('Accounting data'!$G$2:$G$37000,'Accounting data'!$H$2:$H$37000,"1500*",'Accounting data'!$I$2:$I$37000,"8*",'Accounting data'!$K$2:$K$37000,"66*")+SUMIFS('Accounting data'!$G$2:$G$37000,'Accounting data'!$H$2:$H$37000,"1500*",'Accounting data'!$I$2:$I$37000,"9*",'Accounting data'!$K$2:$K$37000,"66*")</f>
        <v>0</v>
      </c>
      <c r="H22" s="597">
        <f>SUMIFS('Accounting data'!$G$2:$G$37000,'Accounting data'!$H$2:$H$37000,"1000*",'Accounting data'!$I$2:$I$37000,"7*",'Accounting data'!$K$2:$K$37000,"68*")+SUMIFS('Accounting data'!$G$2:$G$37000,'Accounting data'!$H$2:$H$37000,"1000*",'Accounting data'!$I$2:$I$37000,"8*",'Accounting data'!$K$2:$K$37000,"68*")+SUMIFS('Accounting data'!$G$2:$G$37000,'Accounting data'!$H$2:$H$37000,"1000*",'Accounting data'!$I$2:$I$37000,"9*",'Accounting data'!$K$2:$K$37000,"68*")+SUMIFS('Accounting data'!$G$2:$G$37000,'Accounting data'!$H$2:$H$37000,"1500*",'Accounting data'!$I$2:$I$37000,"7*",'Accounting data'!$K$2:$K$37000,"68*")+SUMIFS('Accounting data'!$G$2:$G$37000,'Accounting data'!$H$2:$H$37000,"1500*",'Accounting data'!$I$2:$I$37000,"8*",'Accounting data'!$K$2:$K$37000,"68*")+SUMIFS('Accounting data'!$G$2:$G$37000,'Accounting data'!$H$2:$H$37000,"1500*",'Accounting data'!$I$2:$I$37000,"9*",'Accounting data'!$K$2:$K$37000,"68*")</f>
        <v>0</v>
      </c>
      <c r="I22" s="737"/>
      <c r="J22" s="598">
        <f t="shared" si="0"/>
        <v>0</v>
      </c>
      <c r="K22" s="596">
        <f>[4]!SP1000P630700800900</f>
        <v>0</v>
      </c>
      <c r="L22" s="731"/>
      <c r="M22" s="62" t="s">
        <v>53</v>
      </c>
    </row>
    <row r="23" spans="1:25" ht="12" customHeight="1" x14ac:dyDescent="0.2">
      <c r="A23" s="90" t="s">
        <v>120</v>
      </c>
      <c r="B23" s="2"/>
      <c r="C23" s="91" t="s">
        <v>55</v>
      </c>
      <c r="D23" s="597">
        <f t="shared" ref="D23:H23" si="2">SUM(D6:D22)</f>
        <v>229471</v>
      </c>
      <c r="E23" s="597">
        <f t="shared" si="2"/>
        <v>103086</v>
      </c>
      <c r="F23" s="597">
        <f t="shared" si="2"/>
        <v>316369</v>
      </c>
      <c r="G23" s="597">
        <f t="shared" si="2"/>
        <v>194689</v>
      </c>
      <c r="H23" s="597">
        <f t="shared" si="2"/>
        <v>207759</v>
      </c>
      <c r="I23" s="598">
        <f>SUM(I7:I22)</f>
        <v>1003544</v>
      </c>
      <c r="J23" s="598">
        <f>SUM(J7:J22)</f>
        <v>1051374</v>
      </c>
      <c r="K23" s="598">
        <f>SUM(K7:K22)</f>
        <v>867622</v>
      </c>
      <c r="L23" s="599">
        <f>IF(J23=K23,0,IF(K23&gt;0,(J23-K23)/K23,"--"))</f>
        <v>0.21179999999999999</v>
      </c>
      <c r="M23" s="62" t="s">
        <v>55</v>
      </c>
    </row>
    <row r="24" spans="1:25" ht="12" customHeight="1" x14ac:dyDescent="0.2">
      <c r="A24" s="92" t="s">
        <v>121</v>
      </c>
      <c r="C24" s="75"/>
      <c r="D24" s="85"/>
      <c r="E24" s="85"/>
      <c r="F24" s="85"/>
      <c r="G24" s="85"/>
      <c r="H24" s="85"/>
      <c r="I24" s="85"/>
      <c r="J24" s="85"/>
      <c r="K24" s="85"/>
      <c r="L24" s="729">
        <f>IF(J25=K25,0,IF(K25&gt;0,(J25-K25)/K25,"--"))</f>
        <v>-0.91479999999999995</v>
      </c>
      <c r="M24" s="617"/>
    </row>
    <row r="25" spans="1:25" ht="12" customHeight="1" x14ac:dyDescent="0.2">
      <c r="A25" s="86" t="s">
        <v>122</v>
      </c>
      <c r="C25" s="87" t="s">
        <v>57</v>
      </c>
      <c r="D25" s="601">
        <f>SUMIFS('Accounting data'!$G$2:$G$37000,'Accounting data'!$H$2:$H$37000,"1000*",'Accounting data'!$I$2:$I$37000,"200*",'Accounting data'!$J$2:$J$37000,"1*",'Accounting data'!$K$2:$K$37000,"61*")+SUMIFS('Accounting data'!$G$2:$G$37000,'Accounting data'!$H$2:$H$37000,"1500*",'Accounting data'!$I$2:$I$37000,"200*",'Accounting data'!$J$2:$J$37000,"1*",'Accounting data'!$K$2:$K$37000,"61*")+SUMIFS('Accounting data'!$G$2:$G$37000,'Accounting data'!$H$2:$H$37000,"1000*",'Accounting data'!$I$2:$I$37000,"270*",'Accounting data'!$J$2:$J$37000,"1*",'Accounting data'!$K$2:$K$37000,"61*")+SUMIFS('Accounting data'!$G$2:$G$37000,'Accounting data'!$H$2:$H$37000,"1500*",'Accounting data'!$I$2:$I$37000,"270*",'Accounting data'!$J$2:$J$37000,"1*",'Accounting data'!$K$2:$K$37000,"61*")</f>
        <v>1857</v>
      </c>
      <c r="E25" s="601">
        <f>SUMIFS('Accounting data'!$G$2:$G$37000,'Accounting data'!$H$2:$H$37000,"1000*",'Accounting data'!$I$2:$I$37000,"200*",'Accounting data'!$J$2:$J$37000,"1*",'Accounting data'!$K$2:$K$37000,"62*")+SUMIFS('Accounting data'!$G$2:$G$37000,'Accounting data'!$H$2:$H$37000,"1500*",'Accounting data'!$I$2:$I$37000,"200*",'Accounting data'!$J$2:$J$37000,"1*",'Accounting data'!$K$2:$K$37000,"62*")+SUMIFS('Accounting data'!$G$2:$G$37000,'Accounting data'!$H$2:$H$37000,"1000*",'Accounting data'!$I$2:$I$37000,"270*",'Accounting data'!$J$2:$J$37000,"1*",'Accounting data'!$K$2:$K$37000,"62*")+SUMIFS('Accounting data'!$G$2:$G$37000,'Accounting data'!$H$2:$H$37000,"1500*",'Accounting data'!$I$2:$I$37000,"270*",'Accounting data'!$J$2:$J$37000,"1*",'Accounting data'!$K$2:$K$37000,"62*")</f>
        <v>518</v>
      </c>
      <c r="F25" s="601">
        <f>SUMIFS('Accounting data'!$G$2:$G$37000,'Accounting data'!$H$2:$H$37000,"1000*",'Accounting data'!$I$2:$I$37000,"200*",'Accounting data'!$J$2:$J$37000,"1*",'Accounting data'!$K$2:$K$37000,"63*")+SUMIFS('Accounting data'!$G$2:$G$37000,'Accounting data'!$H$2:$H$37000,"1500*",'Accounting data'!$I$2:$I$37000,"200*",'Accounting data'!$J$2:$J$37000,"1*",'Accounting data'!$K$2:$K$37000,"63*")+SUMIFS('Accounting data'!$G$2:$G$37000,'Accounting data'!$H$2:$H$37000,"1000*",'Accounting data'!$I$2:$I$37000,"270*",'Accounting data'!$J$2:$J$37000,"1*",'Accounting data'!$K$2:$K$37000,"63*")+SUMIFS('Accounting data'!$G$2:$G$37000,'Accounting data'!$H$2:$H$37000,"1500*",'Accounting data'!$I$2:$I$37000,"270*",'Accounting data'!$J$2:$J$37000,"1*",'Accounting data'!$K$2:$K$37000,"63*")</f>
        <v>0</v>
      </c>
      <c r="G25" s="601">
        <f>SUMIFS('Accounting data'!$G$2:$G$37000,'Accounting data'!$H$2:$H$37000,"1000*",'Accounting data'!$I$2:$I$37000,"200*",'Accounting data'!$J$2:$J$37000,"1*",'Accounting data'!$K$2:$K$37000,"66*")+SUMIFS('Accounting data'!$G$2:$G$37000,'Accounting data'!$H$2:$H$37000,"1500*",'Accounting data'!$I$2:$I$37000,"200*",'Accounting data'!$J$2:$J$37000,"1*",'Accounting data'!$K$2:$K$37000,"66*")+SUMIFS('Accounting data'!$G$2:$G$37000,'Accounting data'!$H$2:$H$37000,"1000*",'Accounting data'!$I$2:$I$37000,"270*",'Accounting data'!$J$2:$J$37000,"1*",'Accounting data'!$K$2:$K$37000,"66*")+SUMIFS('Accounting data'!$G$2:$G$37000,'Accounting data'!$H$2:$H$37000,"1500*",'Accounting data'!$I$2:$I$37000,"270*",'Accounting data'!$J$2:$J$37000,"1*",'Accounting data'!$K$2:$K$37000,"66*")</f>
        <v>0</v>
      </c>
      <c r="H25" s="601">
        <f>SUMIFS('Accounting data'!$G$2:$G$37000,'Accounting data'!$H$2:$H$37000,"1000*",'Accounting data'!$I$2:$I$37000,"200*",'Accounting data'!$J$2:$J$37000,"1*",'Accounting data'!$K$2:$K$37000,"68*")+SUMIFS('Accounting data'!$G$2:$G$37000,'Accounting data'!$H$2:$H$37000,"1500*",'Accounting data'!$I$2:$I$37000,"200*",'Accounting data'!$J$2:$J$37000,"1*",'Accounting data'!$K$2:$K$37000,"68*")+SUMIFS('Accounting data'!$G$2:$G$37000,'Accounting data'!$H$2:$H$37000,"1000*",'Accounting data'!$I$2:$I$37000,"270*",'Accounting data'!$J$2:$J$37000,"1*",'Accounting data'!$K$2:$K$37000,"68*")+SUMIFS('Accounting data'!$G$2:$G$37000,'Accounting data'!$H$2:$H$37000,"1500*",'Accounting data'!$I$2:$I$37000,"270*",'Accounting data'!$J$2:$J$37000,"1*",'Accounting data'!$K$2:$K$37000,"68*")</f>
        <v>0</v>
      </c>
      <c r="I25" s="601">
        <f>[3]!SP1000P200F1000</f>
        <v>40358</v>
      </c>
      <c r="J25" s="601">
        <f>SUM(D25:H25)</f>
        <v>2375</v>
      </c>
      <c r="K25" s="601">
        <f>[4]!SP1000P200F1000</f>
        <v>27874</v>
      </c>
      <c r="L25" s="730"/>
      <c r="M25" s="62" t="s">
        <v>57</v>
      </c>
      <c r="Y25" s="594"/>
    </row>
    <row r="26" spans="1:25" ht="12" customHeight="1" x14ac:dyDescent="0.2">
      <c r="A26" s="86" t="s">
        <v>123</v>
      </c>
      <c r="C26" s="87"/>
      <c r="D26" s="85"/>
      <c r="E26" s="85"/>
      <c r="F26" s="85"/>
      <c r="G26" s="85"/>
      <c r="H26" s="85"/>
      <c r="I26" s="85"/>
      <c r="J26" s="85"/>
      <c r="K26" s="85"/>
      <c r="L26" s="729">
        <f>IF(J27=K27,0,IF(K27&gt;0,(J27-K27)/K27,"--"))</f>
        <v>3.0648</v>
      </c>
      <c r="M26" s="62"/>
      <c r="T26" s="594"/>
    </row>
    <row r="27" spans="1:25" ht="12" customHeight="1" x14ac:dyDescent="0.2">
      <c r="A27" s="86" t="s">
        <v>124</v>
      </c>
      <c r="C27" s="87" t="s">
        <v>59</v>
      </c>
      <c r="D27" s="601">
        <f>SUMIFS('Accounting data'!$G$2:$G$37000,'Accounting data'!$H$2:$H$37000,"1000*",'Accounting data'!$I$2:$I$37000,"200*",'Accounting data'!$J$2:$J$37000,"21*",'Accounting data'!$K$2:$K$37000,"61*")+SUMIFS('Accounting data'!$G$2:$G$37000,'Accounting data'!$H$2:$H$37000,"1500*",'Accounting data'!$I$2:$I$37000,"200*",'Accounting data'!$J$2:$J$37000,"21*",'Accounting data'!$K$2:$K$37000,"61*")+SUMIFS('Accounting data'!$G$2:$G$37000,'Accounting data'!$H$2:$H$37000,"1000*",'Accounting data'!$I$2:$I$37000,"270*",'Accounting data'!$J$2:$J$37000,"21*",'Accounting data'!$K$2:$K$37000,"61*")+SUMIFS('Accounting data'!$G$2:$G$37000,'Accounting data'!$H$2:$H$37000,"1500*",'Accounting data'!$I$2:$I$37000,"270*",'Accounting data'!$J$2:$J$37000,"21*",'Accounting data'!$K$2:$K$37000,"61*")</f>
        <v>79716</v>
      </c>
      <c r="E27" s="601">
        <f>SUMIFS('Accounting data'!$G$2:$G$37000,'Accounting data'!$H$2:$H$37000,"1000*",'Accounting data'!$I$2:$I$37000,"200*",'Accounting data'!$J$2:$J$37000,"21*",'Accounting data'!$K$2:$K$37000,"62*")+SUMIFS('Accounting data'!$G$2:$G$37000,'Accounting data'!$H$2:$H$37000,"1500*",'Accounting data'!$I$2:$I$37000,"200*",'Accounting data'!$J$2:$J$37000,"21*",'Accounting data'!$K$2:$K$37000,"62*")+SUMIFS('Accounting data'!$G$2:$G$37000,'Accounting data'!$H$2:$H$37000,"1000*",'Accounting data'!$I$2:$I$37000,"270*",'Accounting data'!$J$2:$J$37000,"21*",'Accounting data'!$K$2:$K$37000,"62*")+SUMIFS('Accounting data'!$G$2:$G$37000,'Accounting data'!$H$2:$H$37000,"1500*",'Accounting data'!$I$2:$I$37000,"270*",'Accounting data'!$J$2:$J$37000,"21*",'Accounting data'!$K$2:$K$37000,"62*")</f>
        <v>19444</v>
      </c>
      <c r="F27" s="601">
        <f>SUMIFS('Accounting data'!$G$2:$G$37000,'Accounting data'!$H$2:$H$37000,"1000*",'Accounting data'!$I$2:$I$37000,"200*",'Accounting data'!$J$2:$J$37000,"21*",'Accounting data'!$K$2:$K$37000,"63*")+SUMIFS('Accounting data'!$G$2:$G$37000,'Accounting data'!$H$2:$H$37000,"1500*",'Accounting data'!$I$2:$I$37000,"200*",'Accounting data'!$J$2:$J$37000,"21*",'Accounting data'!$K$2:$K$37000,"63*")+SUMIFS('Accounting data'!$G$2:$G$37000,'Accounting data'!$H$2:$H$37000,"1000*",'Accounting data'!$I$2:$I$37000,"270*",'Accounting data'!$J$2:$J$37000,"21*",'Accounting data'!$K$2:$K$37000,"63*")+SUMIFS('Accounting data'!$G$2:$G$37000,'Accounting data'!$H$2:$H$37000,"1500*",'Accounting data'!$I$2:$I$37000,"270*",'Accounting data'!$J$2:$J$37000,"21*",'Accounting data'!$K$2:$K$37000,"63*")</f>
        <v>2640</v>
      </c>
      <c r="G27" s="601">
        <f>SUMIFS('Accounting data'!$G$2:$G$37000,'Accounting data'!$H$2:$H$37000,"1000*",'Accounting data'!$I$2:$I$37000,"200*",'Accounting data'!$J$2:$J$37000,"21*",'Accounting data'!$K$2:$K$37000,"66*")+SUMIFS('Accounting data'!$G$2:$G$37000,'Accounting data'!$H$2:$H$37000,"1500*",'Accounting data'!$I$2:$I$37000,"200*",'Accounting data'!$J$2:$J$37000,"21*",'Accounting data'!$K$2:$K$37000,"66*")+SUMIFS('Accounting data'!$G$2:$G$37000,'Accounting data'!$H$2:$H$37000,"1000*",'Accounting data'!$I$2:$I$37000,"270*",'Accounting data'!$J$2:$J$37000,"21*",'Accounting data'!$K$2:$K$37000,"66*")+SUMIFS('Accounting data'!$G$2:$G$37000,'Accounting data'!$H$2:$H$37000,"1500*",'Accounting data'!$I$2:$I$37000,"270*",'Accounting data'!$J$2:$J$37000,"21*",'Accounting data'!$K$2:$K$37000,"66*")</f>
        <v>455</v>
      </c>
      <c r="H27" s="601">
        <f>SUMIFS('Accounting data'!$G$2:$G$37000,'Accounting data'!$H$2:$H$37000,"1000*",'Accounting data'!$I$2:$I$37000,"200*",'Accounting data'!$J$2:$J$37000,"21*",'Accounting data'!$K$2:$K$37000,"68*")+SUMIFS('Accounting data'!$G$2:$G$37000,'Accounting data'!$H$2:$H$37000,"1500*",'Accounting data'!$I$2:$I$37000,"200*",'Accounting data'!$J$2:$J$37000,"21*",'Accounting data'!$K$2:$K$37000,"68*")+SUMIFS('Accounting data'!$G$2:$G$37000,'Accounting data'!$H$2:$H$37000,"1000*",'Accounting data'!$I$2:$I$37000,"270*",'Accounting data'!$J$2:$J$37000,"21*",'Accounting data'!$K$2:$K$37000,"68*")+SUMIFS('Accounting data'!$G$2:$G$37000,'Accounting data'!$H$2:$H$37000,"1500*",'Accounting data'!$I$2:$I$37000,"270*",'Accounting data'!$J$2:$J$37000,"21*",'Accounting data'!$K$2:$K$37000,"68*")</f>
        <v>32</v>
      </c>
      <c r="I27" s="601">
        <f>[3]!SP1000P200F2100</f>
        <v>9746</v>
      </c>
      <c r="J27" s="601">
        <f>SUM(D27:H27)</f>
        <v>102287</v>
      </c>
      <c r="K27" s="601">
        <f>[4]!SP1000P200F2100</f>
        <v>25164</v>
      </c>
      <c r="L27" s="730"/>
      <c r="M27" s="62" t="s">
        <v>59</v>
      </c>
    </row>
    <row r="28" spans="1:25" ht="12" customHeight="1" x14ac:dyDescent="0.2">
      <c r="A28" s="86" t="s">
        <v>125</v>
      </c>
      <c r="C28" s="87" t="s">
        <v>61</v>
      </c>
      <c r="D28" s="597">
        <f>SUMIFS('Accounting data'!$G$2:$G$37000,'Accounting data'!$H$2:$H$37000,"1000*",'Accounting data'!$I$2:$I$37000,"200*",'Accounting data'!$J$2:$J$37000,"22*",'Accounting data'!$K$2:$K$37000,"61*")+SUMIFS('Accounting data'!$G$2:$G$37000,'Accounting data'!$H$2:$H$37000,"1500*",'Accounting data'!$I$2:$I$37000,"200*",'Accounting data'!$J$2:$J$37000,"22*",'Accounting data'!$K$2:$K$37000,"61*")+SUMIFS('Accounting data'!$G$2:$G$37000,'Accounting data'!$H$2:$H$37000,"1000*",'Accounting data'!$I$2:$I$37000,"270*",'Accounting data'!$J$2:$J$37000,"22*",'Accounting data'!$K$2:$K$37000,"61*")+SUMIFS('Accounting data'!$G$2:$G$37000,'Accounting data'!$H$2:$H$37000,"1500*",'Accounting data'!$I$2:$I$37000,"270*",'Accounting data'!$J$2:$J$37000,"22*",'Accounting data'!$K$2:$K$37000,"61*")</f>
        <v>397</v>
      </c>
      <c r="E28" s="597">
        <f>SUMIFS('Accounting data'!$G$2:$G$37000,'Accounting data'!$H$2:$H$37000,"1000*",'Accounting data'!$I$2:$I$37000,"200*",'Accounting data'!$J$2:$J$37000,"22*",'Accounting data'!$K$2:$K$37000,"62*")+SUMIFS('Accounting data'!$G$2:$G$37000,'Accounting data'!$H$2:$H$37000,"1500*",'Accounting data'!$I$2:$I$37000,"200*",'Accounting data'!$J$2:$J$37000,"22*",'Accounting data'!$K$2:$K$37000,"62*")+SUMIFS('Accounting data'!$G$2:$G$37000,'Accounting data'!$H$2:$H$37000,"1000*",'Accounting data'!$I$2:$I$37000,"270*",'Accounting data'!$J$2:$J$37000,"22*",'Accounting data'!$K$2:$K$37000,"62*")+SUMIFS('Accounting data'!$G$2:$G$37000,'Accounting data'!$H$2:$H$37000,"1500*",'Accounting data'!$I$2:$I$37000,"270*",'Accounting data'!$J$2:$J$37000,"22*",'Accounting data'!$K$2:$K$37000,"62*")</f>
        <v>95</v>
      </c>
      <c r="F28" s="597">
        <f>SUMIFS('Accounting data'!$G$2:$G$37000,'Accounting data'!$H$2:$H$37000,"1000*",'Accounting data'!$I$2:$I$37000,"200*",'Accounting data'!$J$2:$J$37000,"22*",'Accounting data'!$K$2:$K$37000,"63*")+SUMIFS('Accounting data'!$G$2:$G$37000,'Accounting data'!$H$2:$H$37000,"1500*",'Accounting data'!$I$2:$I$37000,"200*",'Accounting data'!$J$2:$J$37000,"22*",'Accounting data'!$K$2:$K$37000,"63*")+SUMIFS('Accounting data'!$G$2:$G$37000,'Accounting data'!$H$2:$H$37000,"1000*",'Accounting data'!$I$2:$I$37000,"270*",'Accounting data'!$J$2:$J$37000,"22*",'Accounting data'!$K$2:$K$37000,"63*")+SUMIFS('Accounting data'!$G$2:$G$37000,'Accounting data'!$H$2:$H$37000,"1500*",'Accounting data'!$I$2:$I$37000,"270*",'Accounting data'!$J$2:$J$37000,"22*",'Accounting data'!$K$2:$K$37000,"63*")</f>
        <v>24</v>
      </c>
      <c r="G28" s="597">
        <f>SUMIFS('Accounting data'!$G$2:$G$37000,'Accounting data'!$H$2:$H$37000,"1000*",'Accounting data'!$I$2:$I$37000,"200*",'Accounting data'!$J$2:$J$37000,"22*",'Accounting data'!$K$2:$K$37000,"66*")+SUMIFS('Accounting data'!$G$2:$G$37000,'Accounting data'!$H$2:$H$37000,"1500*",'Accounting data'!$I$2:$I$37000,"200*",'Accounting data'!$J$2:$J$37000,"22*",'Accounting data'!$K$2:$K$37000,"66*")+SUMIFS('Accounting data'!$G$2:$G$37000,'Accounting data'!$H$2:$H$37000,"1000*",'Accounting data'!$I$2:$I$37000,"270*",'Accounting data'!$J$2:$J$37000,"22*",'Accounting data'!$K$2:$K$37000,"66*")+SUMIFS('Accounting data'!$G$2:$G$37000,'Accounting data'!$H$2:$H$37000,"1500*",'Accounting data'!$I$2:$I$37000,"270*",'Accounting data'!$J$2:$J$37000,"22*",'Accounting data'!$K$2:$K$37000,"66*")</f>
        <v>0</v>
      </c>
      <c r="H28" s="597">
        <f>SUMIFS('Accounting data'!$G$2:$G$37000,'Accounting data'!$H$2:$H$37000,"1000*",'Accounting data'!$I$2:$I$37000,"200*",'Accounting data'!$J$2:$J$37000,"22*",'Accounting data'!$K$2:$K$37000,"68*")+SUMIFS('Accounting data'!$G$2:$G$37000,'Accounting data'!$H$2:$H$37000,"1500*",'Accounting data'!$I$2:$I$37000,"200*",'Accounting data'!$J$2:$J$37000,"22*",'Accounting data'!$K$2:$K$37000,"68*")+SUMIFS('Accounting data'!$G$2:$G$37000,'Accounting data'!$H$2:$H$37000,"1000*",'Accounting data'!$I$2:$I$37000,"270*",'Accounting data'!$J$2:$J$37000,"22*",'Accounting data'!$K$2:$K$37000,"68*")+SUMIFS('Accounting data'!$G$2:$G$37000,'Accounting data'!$H$2:$H$37000,"1500*",'Accounting data'!$I$2:$I$37000,"270*",'Accounting data'!$J$2:$J$37000,"22*",'Accounting data'!$K$2:$K$37000,"68*")</f>
        <v>0</v>
      </c>
      <c r="I28" s="596">
        <f>[3]!SP1000P200F2200</f>
        <v>0</v>
      </c>
      <c r="J28" s="598">
        <f t="shared" ref="J28:J36" si="3">SUM(D28:H28)</f>
        <v>516</v>
      </c>
      <c r="K28" s="596">
        <f>[4]!SP1000P200F2200</f>
        <v>1626</v>
      </c>
      <c r="L28" s="599">
        <f t="shared" ref="L28:L48" si="4">IF(J28=K28,0,IF(K28&gt;0,(J28-K28)/K28,"--"))</f>
        <v>-0.68269999999999997</v>
      </c>
      <c r="M28" s="62" t="s">
        <v>61</v>
      </c>
    </row>
    <row r="29" spans="1:25" ht="12" customHeight="1" x14ac:dyDescent="0.2">
      <c r="A29" s="86" t="s">
        <v>126</v>
      </c>
      <c r="C29" s="87" t="s">
        <v>63</v>
      </c>
      <c r="D29" s="597">
        <f>SUMIFS('Accounting data'!$G$2:$G$37000,'Accounting data'!$H$2:$H$37000,"1000*",'Accounting data'!$I$2:$I$37000,"200*",'Accounting data'!$J$2:$J$37000,"23*",'Accounting data'!$K$2:$K$37000,"61*")+SUMIFS('Accounting data'!$G$2:$G$37000,'Accounting data'!$H$2:$H$37000,"1500*",'Accounting data'!$I$2:$I$37000,"200*",'Accounting data'!$J$2:$J$37000,"23*",'Accounting data'!$K$2:$K$37000,"61*")+SUMIFS('Accounting data'!$G$2:$G$37000,'Accounting data'!$H$2:$H$37000,"1000*",'Accounting data'!$I$2:$I$37000,"270*",'Accounting data'!$J$2:$J$37000,"23*",'Accounting data'!$K$2:$K$37000,"61*")+SUMIFS('Accounting data'!$G$2:$G$37000,'Accounting data'!$H$2:$H$37000,"1500*",'Accounting data'!$I$2:$I$37000,"270*",'Accounting data'!$J$2:$J$37000,"23*",'Accounting data'!$K$2:$K$37000,"61*")</f>
        <v>0</v>
      </c>
      <c r="E29" s="597">
        <f>SUMIFS('Accounting data'!$G$2:$G$37000,'Accounting data'!$H$2:$H$37000,"1000*",'Accounting data'!$I$2:$I$37000,"200*",'Accounting data'!$J$2:$J$37000,"23*",'Accounting data'!$K$2:$K$37000,"62*")+SUMIFS('Accounting data'!$G$2:$G$37000,'Accounting data'!$H$2:$H$37000,"1500*",'Accounting data'!$I$2:$I$37000,"200*",'Accounting data'!$J$2:$J$37000,"23*",'Accounting data'!$K$2:$K$37000,"62*")+SUMIFS('Accounting data'!$G$2:$G$37000,'Accounting data'!$H$2:$H$37000,"1000*",'Accounting data'!$I$2:$I$37000,"270*",'Accounting data'!$J$2:$J$37000,"23*",'Accounting data'!$K$2:$K$37000,"62*")+SUMIFS('Accounting data'!$G$2:$G$37000,'Accounting data'!$H$2:$H$37000,"1500*",'Accounting data'!$I$2:$I$37000,"270*",'Accounting data'!$J$2:$J$37000,"23*",'Accounting data'!$K$2:$K$37000,"62*")</f>
        <v>0</v>
      </c>
      <c r="F29" s="597">
        <f>SUMIFS('Accounting data'!$G$2:$G$37000,'Accounting data'!$H$2:$H$37000,"1000*",'Accounting data'!$I$2:$I$37000,"200*",'Accounting data'!$J$2:$J$37000,"23*",'Accounting data'!$K$2:$K$37000,"63*")+SUMIFS('Accounting data'!$G$2:$G$37000,'Accounting data'!$H$2:$H$37000,"1500*",'Accounting data'!$I$2:$I$37000,"200*",'Accounting data'!$J$2:$J$37000,"23*",'Accounting data'!$K$2:$K$37000,"63*")+SUMIFS('Accounting data'!$G$2:$G$37000,'Accounting data'!$H$2:$H$37000,"1000*",'Accounting data'!$I$2:$I$37000,"270*",'Accounting data'!$J$2:$J$37000,"23*",'Accounting data'!$K$2:$K$37000,"63*")+SUMIFS('Accounting data'!$G$2:$G$37000,'Accounting data'!$H$2:$H$37000,"1500*",'Accounting data'!$I$2:$I$37000,"270*",'Accounting data'!$J$2:$J$37000,"23*",'Accounting data'!$K$2:$K$37000,"63*")</f>
        <v>20</v>
      </c>
      <c r="G29" s="597">
        <f>SUMIFS('Accounting data'!$G$2:$G$37000,'Accounting data'!$H$2:$H$37000,"1000*",'Accounting data'!$I$2:$I$37000,"200*",'Accounting data'!$J$2:$J$37000,"23*",'Accounting data'!$K$2:$K$37000,"66*")+SUMIFS('Accounting data'!$G$2:$G$37000,'Accounting data'!$H$2:$H$37000,"1500*",'Accounting data'!$I$2:$I$37000,"200*",'Accounting data'!$J$2:$J$37000,"23*",'Accounting data'!$K$2:$K$37000,"66*")+SUMIFS('Accounting data'!$G$2:$G$37000,'Accounting data'!$H$2:$H$37000,"1000*",'Accounting data'!$I$2:$I$37000,"270*",'Accounting data'!$J$2:$J$37000,"23*",'Accounting data'!$K$2:$K$37000,"66*")+SUMIFS('Accounting data'!$G$2:$G$37000,'Accounting data'!$H$2:$H$37000,"1500*",'Accounting data'!$I$2:$I$37000,"270*",'Accounting data'!$J$2:$J$37000,"23*",'Accounting data'!$K$2:$K$37000,"66*")</f>
        <v>0</v>
      </c>
      <c r="H29" s="597">
        <f>SUMIFS('Accounting data'!$G$2:$G$37000,'Accounting data'!$H$2:$H$37000,"1000*",'Accounting data'!$I$2:$I$37000,"200*",'Accounting data'!$J$2:$J$37000,"23*",'Accounting data'!$K$2:$K$37000,"68*")+SUMIFS('Accounting data'!$G$2:$G$37000,'Accounting data'!$H$2:$H$37000,"1500*",'Accounting data'!$I$2:$I$37000,"200*",'Accounting data'!$J$2:$J$37000,"23*",'Accounting data'!$K$2:$K$37000,"68*")+SUMIFS('Accounting data'!$G$2:$G$37000,'Accounting data'!$H$2:$H$37000,"1000*",'Accounting data'!$I$2:$I$37000,"270*",'Accounting data'!$J$2:$J$37000,"23*",'Accounting data'!$K$2:$K$37000,"68*")+SUMIFS('Accounting data'!$G$2:$G$37000,'Accounting data'!$H$2:$H$37000,"1500*",'Accounting data'!$I$2:$I$37000,"270*",'Accounting data'!$J$2:$J$37000,"23*",'Accounting data'!$K$2:$K$37000,"68*")</f>
        <v>0</v>
      </c>
      <c r="I29" s="596">
        <f>[3]!SP1000P200F2300</f>
        <v>0</v>
      </c>
      <c r="J29" s="598">
        <f t="shared" si="3"/>
        <v>20</v>
      </c>
      <c r="K29" s="596">
        <f>[4]!SP1000P200F2300</f>
        <v>0</v>
      </c>
      <c r="L29" s="599" t="str">
        <f t="shared" si="4"/>
        <v>--</v>
      </c>
      <c r="M29" s="62" t="s">
        <v>63</v>
      </c>
    </row>
    <row r="30" spans="1:25" ht="12" customHeight="1" x14ac:dyDescent="0.2">
      <c r="A30" s="86" t="s">
        <v>127</v>
      </c>
      <c r="C30" s="87" t="s">
        <v>65</v>
      </c>
      <c r="D30" s="597">
        <f>SUMIFS('Accounting data'!$G$2:$G$37000,'Accounting data'!$H$2:$H$37000,"1000*",'Accounting data'!$I$2:$I$37000,"200*",'Accounting data'!$J$2:$J$37000,"24*",'Accounting data'!$K$2:$K$37000,"61*")+SUMIFS('Accounting data'!$G$2:$G$37000,'Accounting data'!$H$2:$H$37000,"1500*",'Accounting data'!$I$2:$I$37000,"200*",'Accounting data'!$J$2:$J$37000,"24*",'Accounting data'!$K$2:$K$37000,"61*")+SUMIFS('Accounting data'!$G$2:$G$37000,'Accounting data'!$H$2:$H$37000,"1000*",'Accounting data'!$I$2:$I$37000,"270*",'Accounting data'!$J$2:$J$37000,"24*",'Accounting data'!$K$2:$K$37000,"61*")+SUMIFS('Accounting data'!$G$2:$G$37000,'Accounting data'!$H$2:$H$37000,"1500*",'Accounting data'!$I$2:$I$37000,"270*",'Accounting data'!$J$2:$J$37000,"24*",'Accounting data'!$K$2:$K$37000,"61*")</f>
        <v>0</v>
      </c>
      <c r="E30" s="597">
        <f>SUMIFS('Accounting data'!$G$2:$G$37000,'Accounting data'!$H$2:$H$37000,"1000*",'Accounting data'!$I$2:$I$37000,"200*",'Accounting data'!$J$2:$J$37000,"24*",'Accounting data'!$K$2:$K$37000,"62*")+SUMIFS('Accounting data'!$G$2:$G$37000,'Accounting data'!$H$2:$H$37000,"1500*",'Accounting data'!$I$2:$I$37000,"200*",'Accounting data'!$J$2:$J$37000,"24*",'Accounting data'!$K$2:$K$37000,"62*")+SUMIFS('Accounting data'!$G$2:$G$37000,'Accounting data'!$H$2:$H$37000,"1000*",'Accounting data'!$I$2:$I$37000,"270*",'Accounting data'!$J$2:$J$37000,"24*",'Accounting data'!$K$2:$K$37000,"62*")+SUMIFS('Accounting data'!$G$2:$G$37000,'Accounting data'!$H$2:$H$37000,"1500*",'Accounting data'!$I$2:$I$37000,"270*",'Accounting data'!$J$2:$J$37000,"24*",'Accounting data'!$K$2:$K$37000,"62*")</f>
        <v>0</v>
      </c>
      <c r="F30" s="597">
        <f>SUMIFS('Accounting data'!$G$2:$G$37000,'Accounting data'!$H$2:$H$37000,"1000*",'Accounting data'!$I$2:$I$37000,"200*",'Accounting data'!$J$2:$J$37000,"24*",'Accounting data'!$K$2:$K$37000,"63*")+SUMIFS('Accounting data'!$G$2:$G$37000,'Accounting data'!$H$2:$H$37000,"1500*",'Accounting data'!$I$2:$I$37000,"200*",'Accounting data'!$J$2:$J$37000,"24*",'Accounting data'!$K$2:$K$37000,"63*")+SUMIFS('Accounting data'!$G$2:$G$37000,'Accounting data'!$H$2:$H$37000,"1000*",'Accounting data'!$I$2:$I$37000,"270*",'Accounting data'!$J$2:$J$37000,"24*",'Accounting data'!$K$2:$K$37000,"63*")+SUMIFS('Accounting data'!$G$2:$G$37000,'Accounting data'!$H$2:$H$37000,"1500*",'Accounting data'!$I$2:$I$37000,"270*",'Accounting data'!$J$2:$J$37000,"24*",'Accounting data'!$K$2:$K$37000,"63*")</f>
        <v>0</v>
      </c>
      <c r="G30" s="597">
        <f>SUMIFS('Accounting data'!$G$2:$G$37000,'Accounting data'!$H$2:$H$37000,"1000*",'Accounting data'!$I$2:$I$37000,"200*",'Accounting data'!$J$2:$J$37000,"24*",'Accounting data'!$K$2:$K$37000,"66*")+SUMIFS('Accounting data'!$G$2:$G$37000,'Accounting data'!$H$2:$H$37000,"1500*",'Accounting data'!$I$2:$I$37000,"200*",'Accounting data'!$J$2:$J$37000,"24*",'Accounting data'!$K$2:$K$37000,"66*")+SUMIFS('Accounting data'!$G$2:$G$37000,'Accounting data'!$H$2:$H$37000,"1000*",'Accounting data'!$I$2:$I$37000,"270*",'Accounting data'!$J$2:$J$37000,"24*",'Accounting data'!$K$2:$K$37000,"66*")+SUMIFS('Accounting data'!$G$2:$G$37000,'Accounting data'!$H$2:$H$37000,"1500*",'Accounting data'!$I$2:$I$37000,"270*",'Accounting data'!$J$2:$J$37000,"24*",'Accounting data'!$K$2:$K$37000,"66*")</f>
        <v>0</v>
      </c>
      <c r="H30" s="597">
        <f>SUMIFS('Accounting data'!$G$2:$G$37000,'Accounting data'!$H$2:$H$37000,"1000*",'Accounting data'!$I$2:$I$37000,"200*",'Accounting data'!$J$2:$J$37000,"24*",'Accounting data'!$K$2:$K$37000,"68*")+SUMIFS('Accounting data'!$G$2:$G$37000,'Accounting data'!$H$2:$H$37000,"1500*",'Accounting data'!$I$2:$I$37000,"200*",'Accounting data'!$J$2:$J$37000,"24*",'Accounting data'!$K$2:$K$37000,"68*")+SUMIFS('Accounting data'!$G$2:$G$37000,'Accounting data'!$H$2:$H$37000,"1000*",'Accounting data'!$I$2:$I$37000,"270*",'Accounting data'!$J$2:$J$37000,"24*",'Accounting data'!$K$2:$K$37000,"68*")+SUMIFS('Accounting data'!$G$2:$G$37000,'Accounting data'!$H$2:$H$37000,"1500*",'Accounting data'!$I$2:$I$37000,"270*",'Accounting data'!$J$2:$J$37000,"24*",'Accounting data'!$K$2:$K$37000,"68*")</f>
        <v>0</v>
      </c>
      <c r="I30" s="596">
        <f>[3]!SP1000P200F2400</f>
        <v>0</v>
      </c>
      <c r="J30" s="598">
        <f t="shared" si="3"/>
        <v>0</v>
      </c>
      <c r="K30" s="596">
        <f>[4]!SP1000P200F2400</f>
        <v>19</v>
      </c>
      <c r="L30" s="599">
        <f t="shared" si="4"/>
        <v>-1</v>
      </c>
      <c r="M30" s="62" t="s">
        <v>65</v>
      </c>
    </row>
    <row r="31" spans="1:25" ht="12" customHeight="1" x14ac:dyDescent="0.2">
      <c r="A31" s="86" t="s">
        <v>128</v>
      </c>
      <c r="C31" s="87" t="s">
        <v>67</v>
      </c>
      <c r="D31" s="597">
        <f>SUMIFS('Accounting data'!$G$2:$G$37000,'Accounting data'!$H$2:$H$37000,"1000*",'Accounting data'!$I$2:$I$37000,"200*",'Accounting data'!$J$2:$J$37000,"25*",'Accounting data'!$K$2:$K$37000,"61*")+SUMIFS('Accounting data'!$G$2:$G$37000,'Accounting data'!$H$2:$H$37000,"1500*",'Accounting data'!$I$2:$I$37000,"200*",'Accounting data'!$J$2:$J$37000,"25*",'Accounting data'!$K$2:$K$37000,"61*")+SUMIFS('Accounting data'!$G$2:$G$37000,'Accounting data'!$H$2:$H$37000,"1000*",'Accounting data'!$I$2:$I$37000,"270*",'Accounting data'!$J$2:$J$37000,"25*",'Accounting data'!$K$2:$K$37000,"61*")+SUMIFS('Accounting data'!$G$2:$G$37000,'Accounting data'!$H$2:$H$37000,"1500*",'Accounting data'!$I$2:$I$37000,"270*",'Accounting data'!$J$2:$J$37000,"25*",'Accounting data'!$K$2:$K$37000,"61*")</f>
        <v>0</v>
      </c>
      <c r="E31" s="597">
        <f>SUMIFS('Accounting data'!$G$2:$G$37000,'Accounting data'!$H$2:$H$37000,"1000*",'Accounting data'!$I$2:$I$37000,"200*",'Accounting data'!$J$2:$J$37000,"25*",'Accounting data'!$K$2:$K$37000,"62*")+SUMIFS('Accounting data'!$G$2:$G$37000,'Accounting data'!$H$2:$H$37000,"1500*",'Accounting data'!$I$2:$I$37000,"200*",'Accounting data'!$J$2:$J$37000,"25*",'Accounting data'!$K$2:$K$37000,"62*")+SUMIFS('Accounting data'!$G$2:$G$37000,'Accounting data'!$H$2:$H$37000,"1000*",'Accounting data'!$I$2:$I$37000,"270*",'Accounting data'!$J$2:$J$37000,"25*",'Accounting data'!$K$2:$K$37000,"62*")+SUMIFS('Accounting data'!$G$2:$G$37000,'Accounting data'!$H$2:$H$37000,"1500*",'Accounting data'!$I$2:$I$37000,"270*",'Accounting data'!$J$2:$J$37000,"25*",'Accounting data'!$K$2:$K$37000,"62*")</f>
        <v>0</v>
      </c>
      <c r="F31" s="597">
        <f>SUMIFS('Accounting data'!$G$2:$G$37000,'Accounting data'!$H$2:$H$37000,"1000*",'Accounting data'!$I$2:$I$37000,"200*",'Accounting data'!$J$2:$J$37000,"25*",'Accounting data'!$K$2:$K$37000,"63*")+SUMIFS('Accounting data'!$G$2:$G$37000,'Accounting data'!$H$2:$H$37000,"1500*",'Accounting data'!$I$2:$I$37000,"200*",'Accounting data'!$J$2:$J$37000,"25*",'Accounting data'!$K$2:$K$37000,"63*")+SUMIFS('Accounting data'!$G$2:$G$37000,'Accounting data'!$H$2:$H$37000,"1000*",'Accounting data'!$I$2:$I$37000,"270*",'Accounting data'!$J$2:$J$37000,"25*",'Accounting data'!$K$2:$K$37000,"63*")+SUMIFS('Accounting data'!$G$2:$G$37000,'Accounting data'!$H$2:$H$37000,"1500*",'Accounting data'!$I$2:$I$37000,"270*",'Accounting data'!$J$2:$J$37000,"25*",'Accounting data'!$K$2:$K$37000,"63*")</f>
        <v>0</v>
      </c>
      <c r="G31" s="597">
        <f>SUMIFS('Accounting data'!$G$2:$G$37000,'Accounting data'!$H$2:$H$37000,"1000*",'Accounting data'!$I$2:$I$37000,"200*",'Accounting data'!$J$2:$J$37000,"25*",'Accounting data'!$K$2:$K$37000,"66*")+SUMIFS('Accounting data'!$G$2:$G$37000,'Accounting data'!$H$2:$H$37000,"1500*",'Accounting data'!$I$2:$I$37000,"200*",'Accounting data'!$J$2:$J$37000,"25*",'Accounting data'!$K$2:$K$37000,"66*")+SUMIFS('Accounting data'!$G$2:$G$37000,'Accounting data'!$H$2:$H$37000,"1000*",'Accounting data'!$I$2:$I$37000,"270*",'Accounting data'!$J$2:$J$37000,"25*",'Accounting data'!$K$2:$K$37000,"66*")+SUMIFS('Accounting data'!$G$2:$G$37000,'Accounting data'!$H$2:$H$37000,"1500*",'Accounting data'!$I$2:$I$37000,"270*",'Accounting data'!$J$2:$J$37000,"25*",'Accounting data'!$K$2:$K$37000,"66*")</f>
        <v>0</v>
      </c>
      <c r="H31" s="597">
        <f>SUMIFS('Accounting data'!$G$2:$G$37000,'Accounting data'!$H$2:$H$37000,"1000*",'Accounting data'!$I$2:$I$37000,"200*",'Accounting data'!$J$2:$J$37000,"25*",'Accounting data'!$K$2:$K$37000,"68*")+SUMIFS('Accounting data'!$G$2:$G$37000,'Accounting data'!$H$2:$H$37000,"1500*",'Accounting data'!$I$2:$I$37000,"200*",'Accounting data'!$J$2:$J$37000,"25*",'Accounting data'!$K$2:$K$37000,"68*")+SUMIFS('Accounting data'!$G$2:$G$37000,'Accounting data'!$H$2:$H$37000,"1000*",'Accounting data'!$I$2:$I$37000,"270*",'Accounting data'!$J$2:$J$37000,"25*",'Accounting data'!$K$2:$K$37000,"68*")+SUMIFS('Accounting data'!$G$2:$G$37000,'Accounting data'!$H$2:$H$37000,"1500*",'Accounting data'!$I$2:$I$37000,"270*",'Accounting data'!$J$2:$J$37000,"25*",'Accounting data'!$K$2:$K$37000,"68*")</f>
        <v>0</v>
      </c>
      <c r="I31" s="596">
        <f>[3]!SP1000P200F2500</f>
        <v>0</v>
      </c>
      <c r="J31" s="598">
        <f t="shared" si="3"/>
        <v>0</v>
      </c>
      <c r="K31" s="596">
        <f>[4]!SP1000P200F2500</f>
        <v>184</v>
      </c>
      <c r="L31" s="599">
        <f t="shared" si="4"/>
        <v>-1</v>
      </c>
      <c r="M31" s="62" t="s">
        <v>67</v>
      </c>
    </row>
    <row r="32" spans="1:25" ht="12" customHeight="1" x14ac:dyDescent="0.2">
      <c r="A32" s="86" t="s">
        <v>129</v>
      </c>
      <c r="C32" s="87" t="s">
        <v>69</v>
      </c>
      <c r="D32" s="597">
        <f>SUMIFS('Accounting data'!$G$2:$G$37000,'Accounting data'!$H$2:$H$37000,"1000*",'Accounting data'!$I$2:$I$37000,"200*",'Accounting data'!$J$2:$J$37000,"26*",'Accounting data'!$K$2:$K$37000,"61*")+SUMIFS('Accounting data'!$G$2:$G$37000,'Accounting data'!$H$2:$H$37000,"1500*",'Accounting data'!$I$2:$I$37000,"200*",'Accounting data'!$J$2:$J$37000,"26*",'Accounting data'!$K$2:$K$37000,"61*")+SUMIFS('Accounting data'!$G$2:$G$37000,'Accounting data'!$H$2:$H$37000,"1000*",'Accounting data'!$I$2:$I$37000,"270*",'Accounting data'!$J$2:$J$37000,"26*",'Accounting data'!$K$2:$K$37000,"61*")+SUMIFS('Accounting data'!$G$2:$G$37000,'Accounting data'!$H$2:$H$37000,"1500*",'Accounting data'!$I$2:$I$37000,"270*",'Accounting data'!$J$2:$J$37000,"26*",'Accounting data'!$K$2:$K$37000,"61*")</f>
        <v>0</v>
      </c>
      <c r="E32" s="597">
        <f>SUMIFS('Accounting data'!$G$2:$G$37000,'Accounting data'!$H$2:$H$37000,"1000*",'Accounting data'!$I$2:$I$37000,"200*",'Accounting data'!$J$2:$J$37000,"26*",'Accounting data'!$K$2:$K$37000,"62*")+SUMIFS('Accounting data'!$G$2:$G$37000,'Accounting data'!$H$2:$H$37000,"1500*",'Accounting data'!$I$2:$I$37000,"200*",'Accounting data'!$J$2:$J$37000,"26*",'Accounting data'!$K$2:$K$37000,"62*")+SUMIFS('Accounting data'!$G$2:$G$37000,'Accounting data'!$H$2:$H$37000,"1000*",'Accounting data'!$I$2:$I$37000,"270*",'Accounting data'!$J$2:$J$37000,"26*",'Accounting data'!$K$2:$K$37000,"62*")+SUMIFS('Accounting data'!$G$2:$G$37000,'Accounting data'!$H$2:$H$37000,"1500*",'Accounting data'!$I$2:$I$37000,"270*",'Accounting data'!$J$2:$J$37000,"26*",'Accounting data'!$K$2:$K$37000,"62*")</f>
        <v>0</v>
      </c>
      <c r="F32" s="597">
        <f>SUMIFS('Accounting data'!$G$2:$G$37000,'Accounting data'!$H$2:$H$37000,"1000*",'Accounting data'!$I$2:$I$37000,"200*",'Accounting data'!$J$2:$J$37000,"26*",'Accounting data'!$K$2:$K$37000,"63*")+SUMIFS('Accounting data'!$G$2:$G$37000,'Accounting data'!$H$2:$H$37000,"1500*",'Accounting data'!$I$2:$I$37000,"200*",'Accounting data'!$J$2:$J$37000,"26*",'Accounting data'!$K$2:$K$37000,"63*")+SUMIFS('Accounting data'!$G$2:$G$37000,'Accounting data'!$H$2:$H$37000,"1000*",'Accounting data'!$I$2:$I$37000,"270*",'Accounting data'!$J$2:$J$37000,"26*",'Accounting data'!$K$2:$K$37000,"63*")+SUMIFS('Accounting data'!$G$2:$G$37000,'Accounting data'!$H$2:$H$37000,"1500*",'Accounting data'!$I$2:$I$37000,"270*",'Accounting data'!$J$2:$J$37000,"26*",'Accounting data'!$K$2:$K$37000,"63*")</f>
        <v>0</v>
      </c>
      <c r="G32" s="597">
        <f>SUMIFS('Accounting data'!$G$2:$G$37000,'Accounting data'!$H$2:$H$37000,"1000*",'Accounting data'!$I$2:$I$37000,"200*",'Accounting data'!$J$2:$J$37000,"26*",'Accounting data'!$K$2:$K$37000,"66*")+SUMIFS('Accounting data'!$G$2:$G$37000,'Accounting data'!$H$2:$H$37000,"1500*",'Accounting data'!$I$2:$I$37000,"200*",'Accounting data'!$J$2:$J$37000,"26*",'Accounting data'!$K$2:$K$37000,"66*")+SUMIFS('Accounting data'!$G$2:$G$37000,'Accounting data'!$H$2:$H$37000,"1000*",'Accounting data'!$I$2:$I$37000,"270*",'Accounting data'!$J$2:$J$37000,"26*",'Accounting data'!$K$2:$K$37000,"66*")+SUMIFS('Accounting data'!$G$2:$G$37000,'Accounting data'!$H$2:$H$37000,"1500*",'Accounting data'!$I$2:$I$37000,"270*",'Accounting data'!$J$2:$J$37000,"26*",'Accounting data'!$K$2:$K$37000,"66*")</f>
        <v>0</v>
      </c>
      <c r="H32" s="597">
        <f>SUMIFS('Accounting data'!$G$2:$G$37000,'Accounting data'!$H$2:$H$37000,"1000*",'Accounting data'!$I$2:$I$37000,"200*",'Accounting data'!$J$2:$J$37000,"26*",'Accounting data'!$K$2:$K$37000,"68*")+SUMIFS('Accounting data'!$G$2:$G$37000,'Accounting data'!$H$2:$H$37000,"1500*",'Accounting data'!$I$2:$I$37000,"200*",'Accounting data'!$J$2:$J$37000,"26*",'Accounting data'!$K$2:$K$37000,"68*")+SUMIFS('Accounting data'!$G$2:$G$37000,'Accounting data'!$H$2:$H$37000,"1000*",'Accounting data'!$I$2:$I$37000,"270*",'Accounting data'!$J$2:$J$37000,"26*",'Accounting data'!$K$2:$K$37000,"68*")+SUMIFS('Accounting data'!$G$2:$G$37000,'Accounting data'!$H$2:$H$37000,"1500*",'Accounting data'!$I$2:$I$37000,"270*",'Accounting data'!$J$2:$J$37000,"26*",'Accounting data'!$K$2:$K$37000,"68*")</f>
        <v>0</v>
      </c>
      <c r="I32" s="596">
        <f>[3]!SP1000P200F2600</f>
        <v>0</v>
      </c>
      <c r="J32" s="598">
        <f t="shared" si="3"/>
        <v>0</v>
      </c>
      <c r="K32" s="596">
        <f>[4]!SP1000P200F2600</f>
        <v>0</v>
      </c>
      <c r="L32" s="599">
        <f t="shared" si="4"/>
        <v>0</v>
      </c>
      <c r="M32" s="62" t="s">
        <v>69</v>
      </c>
    </row>
    <row r="33" spans="1:13" ht="12" customHeight="1" x14ac:dyDescent="0.2">
      <c r="A33" s="86" t="s">
        <v>130</v>
      </c>
      <c r="C33" s="87" t="s">
        <v>71</v>
      </c>
      <c r="D33" s="597">
        <f>SUMIFS('Accounting data'!$G$2:$G$37000,'Accounting data'!$H$2:$H$37000,"1000*",'Accounting data'!$I$2:$I$37000,"200*",'Accounting data'!$J$2:$J$37000,"29*",'Accounting data'!$K$2:$K$37000,"61*")+SUMIFS('Accounting data'!$G$2:$G$37000,'Accounting data'!$H$2:$H$37000,"1500*",'Accounting data'!$I$2:$I$37000,"200*",'Accounting data'!$J$2:$J$37000,"29*",'Accounting data'!$K$2:$K$37000,"61*")+SUMIFS('Accounting data'!$G$2:$G$37000,'Accounting data'!$H$2:$H$37000,"1000*",'Accounting data'!$I$2:$I$37000,"270*",'Accounting data'!$J$2:$J$37000,"29*",'Accounting data'!$K$2:$K$37000,"61*")+SUMIFS('Accounting data'!$G$2:$G$37000,'Accounting data'!$H$2:$H$37000,"1500*",'Accounting data'!$I$2:$I$37000,"270*",'Accounting data'!$J$2:$J$37000,"29*",'Accounting data'!$K$2:$K$37000,"61*")</f>
        <v>0</v>
      </c>
      <c r="E33" s="597">
        <f>SUMIFS('Accounting data'!$G$2:$G$37000,'Accounting data'!$H$2:$H$37000,"1000*",'Accounting data'!$I$2:$I$37000,"200*",'Accounting data'!$J$2:$J$37000,"29*",'Accounting data'!$K$2:$K$37000,"62*")+SUMIFS('Accounting data'!$G$2:$G$37000,'Accounting data'!$H$2:$H$37000,"1500*",'Accounting data'!$I$2:$I$37000,"200*",'Accounting data'!$J$2:$J$37000,"29*",'Accounting data'!$K$2:$K$37000,"62*")+SUMIFS('Accounting data'!$G$2:$G$37000,'Accounting data'!$H$2:$H$37000,"1000*",'Accounting data'!$I$2:$I$37000,"270*",'Accounting data'!$J$2:$J$37000,"29*",'Accounting data'!$K$2:$K$37000,"62*")+SUMIFS('Accounting data'!$G$2:$G$37000,'Accounting data'!$H$2:$H$37000,"1500*",'Accounting data'!$I$2:$I$37000,"270*",'Accounting data'!$J$2:$J$37000,"29*",'Accounting data'!$K$2:$K$37000,"62*")</f>
        <v>0</v>
      </c>
      <c r="F33" s="597">
        <f>SUMIFS('Accounting data'!$G$2:$G$37000,'Accounting data'!$H$2:$H$37000,"1000*",'Accounting data'!$I$2:$I$37000,"200*",'Accounting data'!$J$2:$J$37000,"29*",'Accounting data'!$K$2:$K$37000,"63*")+SUMIFS('Accounting data'!$G$2:$G$37000,'Accounting data'!$H$2:$H$37000,"1500*",'Accounting data'!$I$2:$I$37000,"200*",'Accounting data'!$J$2:$J$37000,"29*",'Accounting data'!$K$2:$K$37000,"63*")+SUMIFS('Accounting data'!$G$2:$G$37000,'Accounting data'!$H$2:$H$37000,"1000*",'Accounting data'!$I$2:$I$37000,"270*",'Accounting data'!$J$2:$J$37000,"29*",'Accounting data'!$K$2:$K$37000,"63*")+SUMIFS('Accounting data'!$G$2:$G$37000,'Accounting data'!$H$2:$H$37000,"1500*",'Accounting data'!$I$2:$I$37000,"270*",'Accounting data'!$J$2:$J$37000,"29*",'Accounting data'!$K$2:$K$37000,"63*")</f>
        <v>0</v>
      </c>
      <c r="G33" s="597">
        <f>SUMIFS('Accounting data'!$G$2:$G$37000,'Accounting data'!$H$2:$H$37000,"1000*",'Accounting data'!$I$2:$I$37000,"200*",'Accounting data'!$J$2:$J$37000,"29*",'Accounting data'!$K$2:$K$37000,"66*")+SUMIFS('Accounting data'!$G$2:$G$37000,'Accounting data'!$H$2:$H$37000,"1500*",'Accounting data'!$I$2:$I$37000,"200*",'Accounting data'!$J$2:$J$37000,"29*",'Accounting data'!$K$2:$K$37000,"66*")+SUMIFS('Accounting data'!$G$2:$G$37000,'Accounting data'!$H$2:$H$37000,"1000*",'Accounting data'!$I$2:$I$37000,"270*",'Accounting data'!$J$2:$J$37000,"29*",'Accounting data'!$K$2:$K$37000,"66*")+SUMIFS('Accounting data'!$G$2:$G$37000,'Accounting data'!$H$2:$H$37000,"1500*",'Accounting data'!$I$2:$I$37000,"270*",'Accounting data'!$J$2:$J$37000,"29*",'Accounting data'!$K$2:$K$37000,"66*")</f>
        <v>0</v>
      </c>
      <c r="H33" s="597">
        <f>SUMIFS('Accounting data'!$G$2:$G$37000,'Accounting data'!$H$2:$H$37000,"1000*",'Accounting data'!$I$2:$I$37000,"200*",'Accounting data'!$J$2:$J$37000,"29*",'Accounting data'!$K$2:$K$37000,"68*")+SUMIFS('Accounting data'!$G$2:$G$37000,'Accounting data'!$H$2:$H$37000,"1500*",'Accounting data'!$I$2:$I$37000,"200*",'Accounting data'!$J$2:$J$37000,"29*",'Accounting data'!$K$2:$K$37000,"68*")+SUMIFS('Accounting data'!$G$2:$G$37000,'Accounting data'!$H$2:$H$37000,"1000*",'Accounting data'!$I$2:$I$37000,"270*",'Accounting data'!$J$2:$J$37000,"29*",'Accounting data'!$K$2:$K$37000,"68*")+SUMIFS('Accounting data'!$G$2:$G$37000,'Accounting data'!$H$2:$H$37000,"1500*",'Accounting data'!$I$2:$I$37000,"270*",'Accounting data'!$J$2:$J$37000,"29*",'Accounting data'!$K$2:$K$37000,"68*")</f>
        <v>0</v>
      </c>
      <c r="I33" s="596">
        <f>[3]!SP1000P200F2900</f>
        <v>0</v>
      </c>
      <c r="J33" s="598">
        <f t="shared" si="3"/>
        <v>0</v>
      </c>
      <c r="K33" s="596">
        <f>[4]!SP1000P200F2900</f>
        <v>0</v>
      </c>
      <c r="L33" s="599">
        <f t="shared" si="4"/>
        <v>0</v>
      </c>
      <c r="M33" s="62" t="s">
        <v>71</v>
      </c>
    </row>
    <row r="34" spans="1:13" ht="12" customHeight="1" x14ac:dyDescent="0.2">
      <c r="A34" s="86" t="s">
        <v>131</v>
      </c>
      <c r="C34" s="87" t="s">
        <v>73</v>
      </c>
      <c r="D34" s="597">
        <f>SUMIFS('Accounting data'!$G$2:$G$37000,'Accounting data'!$H$2:$H$37000,"1000*",'Accounting data'!$I$2:$I$37000,"200*",'Accounting data'!$J$2:$J$37000,"3*",'Accounting data'!$K$2:$K$37000,"61*")+SUMIFS('Accounting data'!$G$2:$G$37000,'Accounting data'!$H$2:$H$37000,"1500*",'Accounting data'!$I$2:$I$37000,"200*",'Accounting data'!$J$2:$J$37000,"3*",'Accounting data'!$K$2:$K$37000,"61*")+SUMIFS('Accounting data'!$G$2:$G$37000,'Accounting data'!$H$2:$H$37000,"1000*",'Accounting data'!$I$2:$I$37000,"270*",'Accounting data'!$J$2:$J$37000,"3*",'Accounting data'!$K$2:$K$37000,"61*")+SUMIFS('Accounting data'!$G$2:$G$37000,'Accounting data'!$H$2:$H$37000,"1500*",'Accounting data'!$I$2:$I$37000,"270*",'Accounting data'!$J$2:$J$37000,"3*",'Accounting data'!$K$2:$K$37000,"61*")</f>
        <v>0</v>
      </c>
      <c r="E34" s="597">
        <f>SUMIFS('Accounting data'!$G$2:$G$37000,'Accounting data'!$H$2:$H$37000,"1000*",'Accounting data'!$I$2:$I$37000,"200*",'Accounting data'!$J$2:$J$37000,"3*",'Accounting data'!$K$2:$K$37000,"62*")+SUMIFS('Accounting data'!$G$2:$G$37000,'Accounting data'!$H$2:$H$37000,"1500*",'Accounting data'!$I$2:$I$37000,"200*",'Accounting data'!$J$2:$J$37000,"3*",'Accounting data'!$K$2:$K$37000,"62*")+SUMIFS('Accounting data'!$G$2:$G$37000,'Accounting data'!$H$2:$H$37000,"1000*",'Accounting data'!$I$2:$I$37000,"270*",'Accounting data'!$J$2:$J$37000,"3*",'Accounting data'!$K$2:$K$37000,"62*")+SUMIFS('Accounting data'!$G$2:$G$37000,'Accounting data'!$H$2:$H$37000,"1500*",'Accounting data'!$I$2:$I$37000,"270*",'Accounting data'!$J$2:$J$37000,"3*",'Accounting data'!$K$2:$K$37000,"62*")</f>
        <v>0</v>
      </c>
      <c r="F34" s="597">
        <f>SUMIFS('Accounting data'!$G$2:$G$37000,'Accounting data'!$H$2:$H$37000,"1000*",'Accounting data'!$I$2:$I$37000,"200*",'Accounting data'!$J$2:$J$37000,"3*",'Accounting data'!$K$2:$K$37000,"63*")+SUMIFS('Accounting data'!$G$2:$G$37000,'Accounting data'!$H$2:$H$37000,"1500*",'Accounting data'!$I$2:$I$37000,"200*",'Accounting data'!$J$2:$J$37000,"3*",'Accounting data'!$K$2:$K$37000,"63*")+SUMIFS('Accounting data'!$G$2:$G$37000,'Accounting data'!$H$2:$H$37000,"1000*",'Accounting data'!$I$2:$I$37000,"270*",'Accounting data'!$J$2:$J$37000,"3*",'Accounting data'!$K$2:$K$37000,"63*")+SUMIFS('Accounting data'!$G$2:$G$37000,'Accounting data'!$H$2:$H$37000,"1500*",'Accounting data'!$I$2:$I$37000,"270*",'Accounting data'!$J$2:$J$37000,"3*",'Accounting data'!$K$2:$K$37000,"63*")</f>
        <v>0</v>
      </c>
      <c r="G34" s="597">
        <f>SUMIFS('Accounting data'!$G$2:$G$37000,'Accounting data'!$H$2:$H$37000,"1000*",'Accounting data'!$I$2:$I$37000,"200*",'Accounting data'!$J$2:$J$37000,"3*",'Accounting data'!$K$2:$K$37000,"66*")+SUMIFS('Accounting data'!$G$2:$G$37000,'Accounting data'!$H$2:$H$37000,"1500*",'Accounting data'!$I$2:$I$37000,"200*",'Accounting data'!$J$2:$J$37000,"3*",'Accounting data'!$K$2:$K$37000,"66*")+SUMIFS('Accounting data'!$G$2:$G$37000,'Accounting data'!$H$2:$H$37000,"1000*",'Accounting data'!$I$2:$I$37000,"270*",'Accounting data'!$J$2:$J$37000,"3*",'Accounting data'!$K$2:$K$37000,"66*")+SUMIFS('Accounting data'!$G$2:$G$37000,'Accounting data'!$H$2:$H$37000,"1500*",'Accounting data'!$I$2:$I$37000,"270*",'Accounting data'!$J$2:$J$37000,"3*",'Accounting data'!$K$2:$K$37000,"66*")</f>
        <v>0</v>
      </c>
      <c r="H34" s="597">
        <f>SUMIFS('Accounting data'!$G$2:$G$37000,'Accounting data'!$H$2:$H$37000,"1000*",'Accounting data'!$I$2:$I$37000,"200*",'Accounting data'!$J$2:$J$37000,"3*",'Accounting data'!$K$2:$K$37000,"68*")+SUMIFS('Accounting data'!$G$2:$G$37000,'Accounting data'!$H$2:$H$37000,"1500*",'Accounting data'!$I$2:$I$37000,"200*",'Accounting data'!$J$2:$J$37000,"3*",'Accounting data'!$K$2:$K$37000,"68*")+SUMIFS('Accounting data'!$G$2:$G$37000,'Accounting data'!$H$2:$H$37000,"1000*",'Accounting data'!$I$2:$I$37000,"270*",'Accounting data'!$J$2:$J$37000,"3*",'Accounting data'!$K$2:$K$37000,"68*")+SUMIFS('Accounting data'!$G$2:$G$37000,'Accounting data'!$H$2:$H$37000,"1500*",'Accounting data'!$I$2:$I$37000,"270*",'Accounting data'!$J$2:$J$37000,"3*",'Accounting data'!$K$2:$K$37000,"68*")</f>
        <v>0</v>
      </c>
      <c r="I34" s="596">
        <f>[3]!SP1000P200F3000</f>
        <v>0</v>
      </c>
      <c r="J34" s="598">
        <f t="shared" si="3"/>
        <v>0</v>
      </c>
      <c r="K34" s="596">
        <f>[4]!SP1000P200F3000</f>
        <v>0</v>
      </c>
      <c r="L34" s="599">
        <f t="shared" si="4"/>
        <v>0</v>
      </c>
      <c r="M34" s="62" t="s">
        <v>73</v>
      </c>
    </row>
    <row r="35" spans="1:13" ht="12" customHeight="1" x14ac:dyDescent="0.2">
      <c r="A35" s="86" t="s">
        <v>132</v>
      </c>
      <c r="C35" s="87" t="s">
        <v>75</v>
      </c>
      <c r="D35" s="597">
        <f>SUMIFS('Accounting data'!$G$2:$G$37000,'Accounting data'!$H$2:$H$37000,"1000*",'Accounting data'!$I$2:$I$37000,"200*",'Accounting data'!$J$2:$J$37000,"4*",'Accounting data'!$K$2:$K$37000,"61*")+SUMIFS('Accounting data'!$G$2:$G$37000,'Accounting data'!$H$2:$H$37000,"1500*",'Accounting data'!$I$2:$I$37000,"200*",'Accounting data'!$J$2:$J$37000,"4*",'Accounting data'!$K$2:$K$37000,"61*")+SUMIFS('Accounting data'!$G$2:$G$37000,'Accounting data'!$H$2:$H$37000,"1000*",'Accounting data'!$I$2:$I$37000,"270*",'Accounting data'!$J$2:$J$37000,"4*",'Accounting data'!$K$2:$K$37000,"61*")+SUMIFS('Accounting data'!$G$2:$G$37000,'Accounting data'!$H$2:$H$37000,"1500*",'Accounting data'!$I$2:$I$37000,"270*",'Accounting data'!$J$2:$J$37000,"4*",'Accounting data'!$K$2:$K$37000,"61*")</f>
        <v>0</v>
      </c>
      <c r="E35" s="597">
        <f>SUMIFS('Accounting data'!$G$2:$G$37000,'Accounting data'!$H$2:$H$37000,"1000*",'Accounting data'!$I$2:$I$37000,"200*",'Accounting data'!$J$2:$J$37000,"4*",'Accounting data'!$K$2:$K$37000,"62*")+SUMIFS('Accounting data'!$G$2:$G$37000,'Accounting data'!$H$2:$H$37000,"1500*",'Accounting data'!$I$2:$I$37000,"200*",'Accounting data'!$J$2:$J$37000,"4*",'Accounting data'!$K$2:$K$37000,"62*")+SUMIFS('Accounting data'!$G$2:$G$37000,'Accounting data'!$H$2:$H$37000,"1000*",'Accounting data'!$I$2:$I$37000,"270*",'Accounting data'!$J$2:$J$37000,"4*",'Accounting data'!$K$2:$K$37000,"62*")+SUMIFS('Accounting data'!$G$2:$G$37000,'Accounting data'!$H$2:$H$37000,"1500*",'Accounting data'!$I$2:$I$37000,"270*",'Accounting data'!$J$2:$J$37000,"4*",'Accounting data'!$K$2:$K$37000,"62*")</f>
        <v>0</v>
      </c>
      <c r="F35" s="597">
        <f>SUMIFS('Accounting data'!$G$2:$G$37000,'Accounting data'!$H$2:$H$37000,"1000*",'Accounting data'!$I$2:$I$37000,"200*",'Accounting data'!$J$2:$J$37000,"4*",'Accounting data'!$K$2:$K$37000,"63*")+SUMIFS('Accounting data'!$G$2:$G$37000,'Accounting data'!$H$2:$H$37000,"1500*",'Accounting data'!$I$2:$I$37000,"200*",'Accounting data'!$J$2:$J$37000,"4*",'Accounting data'!$K$2:$K$37000,"63*")+SUMIFS('Accounting data'!$G$2:$G$37000,'Accounting data'!$H$2:$H$37000,"1000*",'Accounting data'!$I$2:$I$37000,"270*",'Accounting data'!$J$2:$J$37000,"4*",'Accounting data'!$K$2:$K$37000,"63*")+SUMIFS('Accounting data'!$G$2:$G$37000,'Accounting data'!$H$2:$H$37000,"1500*",'Accounting data'!$I$2:$I$37000,"270*",'Accounting data'!$J$2:$J$37000,"4*",'Accounting data'!$K$2:$K$37000,"63*")</f>
        <v>0</v>
      </c>
      <c r="G35" s="597">
        <f>SUMIFS('Accounting data'!$G$2:$G$37000,'Accounting data'!$H$2:$H$37000,"1000*",'Accounting data'!$I$2:$I$37000,"200*",'Accounting data'!$J$2:$J$37000,"4*",'Accounting data'!$K$2:$K$37000,"66*")+SUMIFS('Accounting data'!$G$2:$G$37000,'Accounting data'!$H$2:$H$37000,"1500*",'Accounting data'!$I$2:$I$37000,"200*",'Accounting data'!$J$2:$J$37000,"4*",'Accounting data'!$K$2:$K$37000,"66*")+SUMIFS('Accounting data'!$G$2:$G$37000,'Accounting data'!$H$2:$H$37000,"1000*",'Accounting data'!$I$2:$I$37000,"270*",'Accounting data'!$J$2:$J$37000,"4*",'Accounting data'!$K$2:$K$37000,"66*")+SUMIFS('Accounting data'!$G$2:$G$37000,'Accounting data'!$H$2:$H$37000,"1500*",'Accounting data'!$I$2:$I$37000,"270*",'Accounting data'!$J$2:$J$37000,"4*",'Accounting data'!$K$2:$K$37000,"66*")</f>
        <v>0</v>
      </c>
      <c r="H35" s="597">
        <f>SUMIFS('Accounting data'!$G$2:$G$37000,'Accounting data'!$H$2:$H$37000,"1000*",'Accounting data'!$I$2:$I$37000,"200*",'Accounting data'!$J$2:$J$37000,"4*",'Accounting data'!$K$2:$K$37000,"68*")+SUMIFS('Accounting data'!$G$2:$G$37000,'Accounting data'!$H$2:$H$37000,"1500*",'Accounting data'!$I$2:$I$37000,"200*",'Accounting data'!$J$2:$J$37000,"4*",'Accounting data'!$K$2:$K$37000,"68*")+SUMIFS('Accounting data'!$G$2:$G$37000,'Accounting data'!$H$2:$H$37000,"1000*",'Accounting data'!$I$2:$I$37000,"270*",'Accounting data'!$J$2:$J$37000,"4*",'Accounting data'!$K$2:$K$37000,"68*")+SUMIFS('Accounting data'!$G$2:$G$37000,'Accounting data'!$H$2:$H$37000,"1500*",'Accounting data'!$I$2:$I$37000,"270*",'Accounting data'!$J$2:$J$37000,"4*",'Accounting data'!$K$2:$K$37000,"68*")</f>
        <v>0</v>
      </c>
      <c r="I35" s="596">
        <f>[3]!SP1000P200F4000</f>
        <v>0</v>
      </c>
      <c r="J35" s="598">
        <f t="shared" si="3"/>
        <v>0</v>
      </c>
      <c r="K35" s="596">
        <f>[4]!SP1000P200F4000</f>
        <v>0</v>
      </c>
      <c r="L35" s="599">
        <f t="shared" si="4"/>
        <v>0</v>
      </c>
      <c r="M35" s="62" t="s">
        <v>75</v>
      </c>
    </row>
    <row r="36" spans="1:13" ht="12" customHeight="1" x14ac:dyDescent="0.2">
      <c r="A36" s="86" t="s">
        <v>133</v>
      </c>
      <c r="C36" s="87" t="s">
        <v>77</v>
      </c>
      <c r="D36" s="597">
        <f>SUMIFS('Accounting data'!$G$2:$G$37000,'Accounting data'!$H$2:$H$37000,"1000*",'Accounting data'!$I$2:$I$37000,"200*",'Accounting data'!$J$2:$J$37000,"5*",'Accounting data'!$K$2:$K$37000,"61*")+SUMIFS('Accounting data'!$G$2:$G$37000,'Accounting data'!$H$2:$H$37000,"1500*",'Accounting data'!$I$2:$I$37000,"200*",'Accounting data'!$J$2:$J$37000,"5*",'Accounting data'!$K$2:$K$37000,"61*")+SUMIFS('Accounting data'!$G$2:$G$37000,'Accounting data'!$H$2:$H$37000,"1000*",'Accounting data'!$I$2:$I$37000,"270*",'Accounting data'!$J$2:$J$37000,"5*",'Accounting data'!$K$2:$K$37000,"61*")+SUMIFS('Accounting data'!$G$2:$G$37000,'Accounting data'!$H$2:$H$37000,"1500*",'Accounting data'!$I$2:$I$37000,"270*",'Accounting data'!$J$2:$J$37000,"5*",'Accounting data'!$K$2:$K$37000,"61*")</f>
        <v>0</v>
      </c>
      <c r="E36" s="597">
        <f>SUMIFS('Accounting data'!$G$2:$G$37000,'Accounting data'!$H$2:$H$37000,"1000*",'Accounting data'!$I$2:$I$37000,"200*",'Accounting data'!$J$2:$J$37000,"5*",'Accounting data'!$K$2:$K$37000,"62*")+SUMIFS('Accounting data'!$G$2:$G$37000,'Accounting data'!$H$2:$H$37000,"1500*",'Accounting data'!$I$2:$I$37000,"200*",'Accounting data'!$J$2:$J$37000,"5*",'Accounting data'!$K$2:$K$37000,"62*")+SUMIFS('Accounting data'!$G$2:$G$37000,'Accounting data'!$H$2:$H$37000,"1000*",'Accounting data'!$I$2:$I$37000,"270*",'Accounting data'!$J$2:$J$37000,"5*",'Accounting data'!$K$2:$K$37000,"62*")+SUMIFS('Accounting data'!$G$2:$G$37000,'Accounting data'!$H$2:$H$37000,"1500*",'Accounting data'!$I$2:$I$37000,"270*",'Accounting data'!$J$2:$J$37000,"5*",'Accounting data'!$K$2:$K$37000,"62*")</f>
        <v>0</v>
      </c>
      <c r="F36" s="597">
        <f>SUMIFS('Accounting data'!$G$2:$G$37000,'Accounting data'!$H$2:$H$37000,"1000*",'Accounting data'!$I$2:$I$37000,"200*",'Accounting data'!$J$2:$J$37000,"5*",'Accounting data'!$K$2:$K$37000,"63*")+SUMIFS('Accounting data'!$G$2:$G$37000,'Accounting data'!$H$2:$H$37000,"1500*",'Accounting data'!$I$2:$I$37000,"200*",'Accounting data'!$J$2:$J$37000,"5*",'Accounting data'!$K$2:$K$37000,"63*")+SUMIFS('Accounting data'!$G$2:$G$37000,'Accounting data'!$H$2:$H$37000,"1000*",'Accounting data'!$I$2:$I$37000,"270*",'Accounting data'!$J$2:$J$37000,"5*",'Accounting data'!$K$2:$K$37000,"63*")+SUMIFS('Accounting data'!$G$2:$G$37000,'Accounting data'!$H$2:$H$37000,"1500*",'Accounting data'!$I$2:$I$37000,"270*",'Accounting data'!$J$2:$J$37000,"5*",'Accounting data'!$K$2:$K$37000,"63*")</f>
        <v>0</v>
      </c>
      <c r="G36" s="597">
        <f>SUMIFS('Accounting data'!$G$2:$G$37000,'Accounting data'!$H$2:$H$37000,"1000*",'Accounting data'!$I$2:$I$37000,"200*",'Accounting data'!$J$2:$J$37000,"5*",'Accounting data'!$K$2:$K$37000,"66*")+SUMIFS('Accounting data'!$G$2:$G$37000,'Accounting data'!$H$2:$H$37000,"1500*",'Accounting data'!$I$2:$I$37000,"200*",'Accounting data'!$J$2:$J$37000,"5*",'Accounting data'!$K$2:$K$37000,"66*")+SUMIFS('Accounting data'!$G$2:$G$37000,'Accounting data'!$H$2:$H$37000,"1000*",'Accounting data'!$I$2:$I$37000,"270*",'Accounting data'!$J$2:$J$37000,"5*",'Accounting data'!$K$2:$K$37000,"66*")+SUMIFS('Accounting data'!$G$2:$G$37000,'Accounting data'!$H$2:$H$37000,"1500*",'Accounting data'!$I$2:$I$37000,"270*",'Accounting data'!$J$2:$J$37000,"5*",'Accounting data'!$K$2:$K$37000,"66*")</f>
        <v>0</v>
      </c>
      <c r="H36" s="597">
        <f>SUMIFS('Accounting data'!$G$2:$G$37000,'Accounting data'!$H$2:$H$37000,"1000*",'Accounting data'!$I$2:$I$37000,"200*",'Accounting data'!$J$2:$J$37000,"5*",'Accounting data'!$K$2:$K$37000,"68*")+SUMIFS('Accounting data'!$G$2:$G$37000,'Accounting data'!$H$2:$H$37000,"1500*",'Accounting data'!$I$2:$I$37000,"200*",'Accounting data'!$J$2:$J$37000,"5*",'Accounting data'!$K$2:$K$37000,"68*")+SUMIFS('Accounting data'!$G$2:$G$37000,'Accounting data'!$H$2:$H$37000,"1000*",'Accounting data'!$I$2:$I$37000,"270*",'Accounting data'!$J$2:$J$37000,"5*",'Accounting data'!$K$2:$K$37000,"68*")+SUMIFS('Accounting data'!$G$2:$G$37000,'Accounting data'!$H$2:$H$37000,"1500*",'Accounting data'!$I$2:$I$37000,"270*",'Accounting data'!$J$2:$J$37000,"5*",'Accounting data'!$K$2:$K$37000,"68*")</f>
        <v>0</v>
      </c>
      <c r="I36" s="596">
        <f>[3]!SP1000P200F5000</f>
        <v>0</v>
      </c>
      <c r="J36" s="598">
        <f t="shared" si="3"/>
        <v>0</v>
      </c>
      <c r="K36" s="596">
        <f>[4]!SP1000P200F5000</f>
        <v>0</v>
      </c>
      <c r="L36" s="599">
        <f t="shared" si="4"/>
        <v>0</v>
      </c>
      <c r="M36" s="62" t="s">
        <v>77</v>
      </c>
    </row>
    <row r="37" spans="1:13" ht="12" customHeight="1" x14ac:dyDescent="0.2">
      <c r="A37" s="90" t="s">
        <v>134</v>
      </c>
      <c r="B37" s="2"/>
      <c r="C37" s="93" t="s">
        <v>79</v>
      </c>
      <c r="D37" s="597">
        <f>SUM(D25:D36)</f>
        <v>81970</v>
      </c>
      <c r="E37" s="597">
        <f t="shared" ref="E37:G37" si="5">SUM(E25:E36)</f>
        <v>20057</v>
      </c>
      <c r="F37" s="597">
        <f t="shared" si="5"/>
        <v>2684</v>
      </c>
      <c r="G37" s="597">
        <f t="shared" si="5"/>
        <v>455</v>
      </c>
      <c r="H37" s="597">
        <f>SUM(H25:H36)</f>
        <v>32</v>
      </c>
      <c r="I37" s="597">
        <f>SUM(I25:I36)</f>
        <v>50104</v>
      </c>
      <c r="J37" s="597">
        <f>SUM(J25:J36)</f>
        <v>105198</v>
      </c>
      <c r="K37" s="597">
        <f>SUM(K25:K36)</f>
        <v>54867</v>
      </c>
      <c r="L37" s="94">
        <f t="shared" si="4"/>
        <v>0.9173</v>
      </c>
      <c r="M37" s="95" t="s">
        <v>79</v>
      </c>
    </row>
    <row r="38" spans="1:13" ht="12" customHeight="1" x14ac:dyDescent="0.2">
      <c r="A38" s="96" t="s">
        <v>135</v>
      </c>
      <c r="B38" s="97"/>
      <c r="C38" s="93" t="s">
        <v>81</v>
      </c>
      <c r="D38" s="597">
        <f>SUMIFS('Accounting data'!$G$2:$G$37000,'Accounting data'!$H$2:$H$37000,"1000*",'Accounting data'!$I$2:$I$37000,"400*",'Accounting data'!$K$2:$K$37000,"61*")+SUMIFS('Accounting data'!$G$2:$G$37000,'Accounting data'!$H$2:$H$37000,"1500*",'Accounting data'!$I$2:$I$37000,"400*",'Accounting data'!$K$2:$K$37000,"61*")</f>
        <v>5505</v>
      </c>
      <c r="E38" s="597">
        <f>SUMIFS('Accounting data'!$G$2:$G$37000,'Accounting data'!$H$2:$H$37000,"1000*",'Accounting data'!$I$2:$I$37000,"400*",'Accounting data'!$K$2:$K$37000,"62*")+SUMIFS('Accounting data'!$G$2:$G$37000,'Accounting data'!$H$2:$H$37000,"1500*",'Accounting data'!$I$2:$I$37000,"400*",'Accounting data'!$K$2:$K$37000,"62*")</f>
        <v>1717</v>
      </c>
      <c r="F38" s="597">
        <f>SUMIFS('Accounting data'!$G$2:$G$37000,'Accounting data'!$H$2:$H$37000,"1000*",'Accounting data'!$I$2:$I$37000,"400*",'Accounting data'!$K$2:$K$37000,"63*")+SUMIFS('Accounting data'!$G$2:$G$37000,'Accounting data'!$H$2:$H$37000,"1500*",'Accounting data'!$I$2:$I$37000,"400*",'Accounting data'!$K$2:$K$37000,"63*")</f>
        <v>27630</v>
      </c>
      <c r="G38" s="597">
        <f>SUMIFS('Accounting data'!$G$2:$G$37000,'Accounting data'!$H$2:$H$37000,"1000*",'Accounting data'!$I$2:$I$37000,"400*",'Accounting data'!$K$2:$K$37000,"66*")+SUMIFS('Accounting data'!$G$2:$G$37000,'Accounting data'!$H$2:$H$37000,"1500*",'Accounting data'!$I$2:$I$37000,"400*",'Accounting data'!$K$2:$K$37000,"66*")</f>
        <v>90</v>
      </c>
      <c r="H38" s="597">
        <f>SUMIFS('Accounting data'!$G$2:$G$37000,'Accounting data'!$H$2:$H$37000,"1000*",'Accounting data'!$I$2:$I$37000,"400*",'Accounting data'!$K$2:$K$37000,"68*")+SUMIFS('Accounting data'!$G$2:$G$37000,'Accounting data'!$H$2:$H$37000,"1500*",'Accounting data'!$I$2:$I$37000,"400*",'Accounting data'!$K$2:$K$37000,"68*")</f>
        <v>0</v>
      </c>
      <c r="I38" s="596">
        <f>[3]!SP1000P400</f>
        <v>16071</v>
      </c>
      <c r="J38" s="598">
        <f>SUM(D38:H38)</f>
        <v>34942</v>
      </c>
      <c r="K38" s="596">
        <f>[4]!SP1000P400</f>
        <v>18546</v>
      </c>
      <c r="L38" s="599">
        <f t="shared" si="4"/>
        <v>0.8841</v>
      </c>
      <c r="M38" s="95" t="s">
        <v>81</v>
      </c>
    </row>
    <row r="39" spans="1:13" ht="12" customHeight="1" x14ac:dyDescent="0.2">
      <c r="A39" s="96" t="s">
        <v>136</v>
      </c>
      <c r="B39" s="97"/>
      <c r="C39" s="98" t="s">
        <v>83</v>
      </c>
      <c r="D39" s="597">
        <f>SUMIFS('Accounting data'!$G$2:$G$37000,'Accounting data'!$H$2:$H$37000,"1000*",'Accounting data'!$I$2:$I$37000,"53*",'Accounting data'!$K$2:$K$37000,"61*")+SUMIFS('Accounting data'!$G$2:$G$37000,'Accounting data'!$H$2:$H$37000,"1500*",'Accounting data'!$I$2:$I$37000,"53*",'Accounting data'!$K$2:$K$37000,"61*")</f>
        <v>0</v>
      </c>
      <c r="E39" s="597">
        <f>SUMIFS('Accounting data'!$G$2:$G$37000,'Accounting data'!$H$2:$H$37000,"1000*",'Accounting data'!$I$2:$I$37000,"53*",'Accounting data'!$K$2:$K$37000,"62*")+SUMIFS('Accounting data'!$G$2:$G$37000,'Accounting data'!$H$2:$H$37000,"1000*",'Accounting data'!$I$2:$I$37000,"53*",'Accounting data'!$K$2:$K$37000,"62*")</f>
        <v>0</v>
      </c>
      <c r="F39" s="597">
        <f>SUMIFS('Accounting data'!$G$2:$G$37000,'Accounting data'!$H$2:$H$37000,"1000*",'Accounting data'!$I$2:$I$37000,"53*",'Accounting data'!$K$2:$K$37000,"63*")+SUMIFS('Accounting data'!$G$2:$G$37000,'Accounting data'!$H$2:$H$37000,"1500*",'Accounting data'!$I$2:$I$37000,"53*",'Accounting data'!$K$2:$K$37000,"63*")</f>
        <v>0</v>
      </c>
      <c r="G39" s="597">
        <f>SUMIFS('Accounting data'!$G$2:$G$37000,'Accounting data'!$H$2:$H$37000,"1000*",'Accounting data'!$I$2:$I$37000,"53*",'Accounting data'!$K$2:$K$37000,"66*")+SUMIFS('Accounting data'!$G$2:$G$37000,'Accounting data'!$H$2:$H$37000,"1500*",'Accounting data'!$I$2:$I$37000,"53*",'Accounting data'!$K$2:$K$37000,"66*")</f>
        <v>0</v>
      </c>
      <c r="H39" s="597">
        <f>SUMIFS('Accounting data'!$G$2:$G$37000,'Accounting data'!$H$2:$H$37000,"1000*",'Accounting data'!$I$2:$I$37000,"53*",'Accounting data'!$K$2:$K$37000,"68*")+SUMIFS('Accounting data'!$G$2:$G$37000,'Accounting data'!$H$2:$H$37000,"1500*",'Accounting data'!$I$2:$I$37000,"53*",'Accounting data'!$K$2:$K$37000,"68*")</f>
        <v>0</v>
      </c>
      <c r="I39" s="596">
        <f>[3]!SP1000P530</f>
        <v>0</v>
      </c>
      <c r="J39" s="598">
        <f>SUM(D39:H39)</f>
        <v>0</v>
      </c>
      <c r="K39" s="596">
        <f>[4]!SP1000P530</f>
        <v>0</v>
      </c>
      <c r="L39" s="599">
        <f t="shared" si="4"/>
        <v>0</v>
      </c>
      <c r="M39" s="95" t="s">
        <v>83</v>
      </c>
    </row>
    <row r="40" spans="1:13" ht="12" customHeight="1" x14ac:dyDescent="0.2">
      <c r="A40" s="96" t="s">
        <v>137</v>
      </c>
      <c r="B40" s="97"/>
      <c r="C40" s="98" t="s">
        <v>85</v>
      </c>
      <c r="D40" s="597">
        <f>SUMIFS('Accounting data'!$G$2:$G$37000,'Accounting data'!$H$2:$H$37000,"1000*",'Accounting data'!$I$2:$I$37000,"54*",'Accounting data'!$K$2:$K$37000,"61*")+SUMIFS('Accounting data'!$G$2:$G$37000,'Accounting data'!$H$2:$H$37000,"1500*",'Accounting data'!$I$2:$I$37000,"54*",'Accounting data'!$K$2:$K$37000,"61*")</f>
        <v>0</v>
      </c>
      <c r="E40" s="597">
        <f>SUMIFS('Accounting data'!$G$2:$G$37000,'Accounting data'!$H$2:$H$37000,"1000*",'Accounting data'!$I$2:$I$37000,"54*",'Accounting data'!$K$2:$K$37000,"62*")+SUMIFS('Accounting data'!$G$2:$G$37000,'Accounting data'!$H$2:$H$37000,"1500*",'Accounting data'!$I$2:$I$37000,"54*",'Accounting data'!$K$2:$K$37000,"62*")</f>
        <v>0</v>
      </c>
      <c r="F40" s="597">
        <f>SUMIFS('Accounting data'!$G$2:$G$37000,'Accounting data'!$H$2:$H$37000,"1000*",'Accounting data'!$I$2:$I$37000,"54*",'Accounting data'!$K$2:$K$37000,"63*")+SUMIFS('Accounting data'!$G$2:$G$37000,'Accounting data'!$H$2:$H$37000,"1500*",'Accounting data'!$I$2:$I$37000,"54*",'Accounting data'!$K$2:$K$37000,"63*")</f>
        <v>0</v>
      </c>
      <c r="G40" s="597">
        <f>SUMIFS('Accounting data'!$G$2:$G$37000,'Accounting data'!$H$2:$H$37000,"1000*",'Accounting data'!$I$2:$I$37000,"54*",'Accounting data'!$K$2:$K$37000,"66*")+SUMIFS('Accounting data'!$G$2:$G$37000,'Accounting data'!$H$2:$H$37000,"1500*",'Accounting data'!$I$2:$I$37000,"54*",'Accounting data'!$K$2:$K$37000,"66*")</f>
        <v>0</v>
      </c>
      <c r="H40" s="597">
        <f>SUMIFS('Accounting data'!$G$2:$G$37000,'Accounting data'!$H$2:$H$37000,"1000*",'Accounting data'!$I$2:$I$37000,"54*",'Accounting data'!$K$2:$K$37000,"68*")+SUMIFS('Accounting data'!$G$2:$G$37000,'Accounting data'!$H$2:$H$37000,"1500*",'Accounting data'!$I$2:$I$37000,"54*",'Accounting data'!$K$2:$K$37000,"68*")</f>
        <v>0</v>
      </c>
      <c r="I40" s="596">
        <f>[3]!SP1000P540</f>
        <v>0</v>
      </c>
      <c r="J40" s="598">
        <f>SUM(D40:H40)</f>
        <v>0</v>
      </c>
      <c r="K40" s="596">
        <f>[4]!SP1000P540</f>
        <v>0</v>
      </c>
      <c r="L40" s="599">
        <f t="shared" si="4"/>
        <v>0</v>
      </c>
      <c r="M40" s="95" t="s">
        <v>85</v>
      </c>
    </row>
    <row r="41" spans="1:13" ht="12" customHeight="1" x14ac:dyDescent="0.2">
      <c r="A41" s="96" t="s">
        <v>138</v>
      </c>
      <c r="B41" s="97"/>
      <c r="C41" s="98" t="s">
        <v>86</v>
      </c>
      <c r="D41" s="597">
        <f>SUMIFS('Accounting data'!$G$2:$G$37000,'Accounting data'!$H$2:$H$37000,"1000*",'Accounting data'!$I$2:$I$37000,"55*",'Accounting data'!$K$2:$K$37000,"61*")+SUMIFS('Accounting data'!$G$2:$G$37000,'Accounting data'!$H$2:$H$37000,"1500*",'Accounting data'!$I$2:$I$37000,"55*",'Accounting data'!$K$2:$K$37000,"61*")</f>
        <v>8024</v>
      </c>
      <c r="E41" s="597">
        <f>SUMIFS('Accounting data'!$G$2:$G$37000,'Accounting data'!$H$2:$H$37000,"1000*",'Accounting data'!$I$2:$I$37000,"55*",'Accounting data'!$K$2:$K$37000,"62*")+SUMIFS('Accounting data'!$G$2:$G$37000,'Accounting data'!$H$2:$H$37000,"1500*",'Accounting data'!$I$2:$I$37000,"55*",'Accounting data'!$K$2:$K$37000,"62*")</f>
        <v>1070</v>
      </c>
      <c r="F41" s="597">
        <f>SUMIFS('Accounting data'!$G$2:$G$37000,'Accounting data'!$H$2:$H$37000,"1000*",'Accounting data'!$I$2:$I$37000,"55*",'Accounting data'!$K$2:$K$37000,"63*")+SUMIFS('Accounting data'!$G$2:$G$37000,'Accounting data'!$H$2:$H$37000,"1500*",'Accounting data'!$I$2:$I$37000,"55*",'Accounting data'!$K$2:$K$37000,"63*")</f>
        <v>0</v>
      </c>
      <c r="G41" s="597">
        <f>SUMIFS('Accounting data'!$G$2:$G$37000,'Accounting data'!$H$2:$H$37000,"1000*",'Accounting data'!$I$2:$I$37000,"55*",'Accounting data'!$K$2:$K$37000,"66*")+SUMIFS('Accounting data'!$G$2:$G$37000,'Accounting data'!$H$2:$H$37000,"1500*",'Accounting data'!$I$2:$I$37000,"55*",'Accounting data'!$K$2:$K$37000,"66*")</f>
        <v>0</v>
      </c>
      <c r="H41" s="597">
        <f>SUMIFS('Accounting data'!$G$2:$G$37000,'Accounting data'!$H$2:$H$37000,"1000*",'Accounting data'!$I$2:$I$37000,"55*",'Accounting data'!$K$2:$K$37000,"68*")+SUMIFS('Accounting data'!$G$2:$G$37000,'Accounting data'!$H$2:$H$37000,"1500*",'Accounting data'!$I$2:$I$37000,"55*",'Accounting data'!$K$2:$K$37000,"68*")</f>
        <v>0</v>
      </c>
      <c r="I41" s="596">
        <f>[3]!SP1000P550</f>
        <v>9826</v>
      </c>
      <c r="J41" s="598">
        <f>SUM(D41:H41)</f>
        <v>9094</v>
      </c>
      <c r="K41" s="596">
        <f>[4]!SP1000P550</f>
        <v>10325</v>
      </c>
      <c r="L41" s="599">
        <f t="shared" si="4"/>
        <v>-0.1192</v>
      </c>
      <c r="M41" s="95" t="s">
        <v>86</v>
      </c>
    </row>
    <row r="42" spans="1:13" ht="12" customHeight="1" x14ac:dyDescent="0.2">
      <c r="A42" s="96" t="s">
        <v>139</v>
      </c>
      <c r="B42" s="97"/>
      <c r="C42" s="98" t="s">
        <v>140</v>
      </c>
      <c r="D42" s="597">
        <f t="shared" ref="D42:I42" si="6">SUM(D38:D41)+D37+D23</f>
        <v>324970</v>
      </c>
      <c r="E42" s="597">
        <f t="shared" si="6"/>
        <v>125930</v>
      </c>
      <c r="F42" s="597">
        <f t="shared" si="6"/>
        <v>346683</v>
      </c>
      <c r="G42" s="597">
        <f t="shared" si="6"/>
        <v>195234</v>
      </c>
      <c r="H42" s="597">
        <f t="shared" si="6"/>
        <v>207791</v>
      </c>
      <c r="I42" s="596">
        <f t="shared" si="6"/>
        <v>1079545</v>
      </c>
      <c r="J42" s="598">
        <f>SUM(J37:J41)+J23</f>
        <v>1200608</v>
      </c>
      <c r="K42" s="598">
        <f>SUM(K23)+SUM(K37:K41)</f>
        <v>951360</v>
      </c>
      <c r="L42" s="599">
        <f t="shared" si="4"/>
        <v>0.26200000000000001</v>
      </c>
      <c r="M42" s="95" t="s">
        <v>140</v>
      </c>
    </row>
    <row r="43" spans="1:13" ht="12" customHeight="1" x14ac:dyDescent="0.2">
      <c r="A43" s="96" t="s">
        <v>1179</v>
      </c>
      <c r="B43" s="97"/>
      <c r="C43" s="98" t="s">
        <v>141</v>
      </c>
      <c r="D43" s="597">
        <f>'Page 3'!F13</f>
        <v>42011</v>
      </c>
      <c r="E43" s="597">
        <f>'Page 3'!G13</f>
        <v>8378</v>
      </c>
      <c r="F43" s="597">
        <f>'Page 3'!H13</f>
        <v>0</v>
      </c>
      <c r="G43" s="597">
        <f>'Page 3'!I13</f>
        <v>0</v>
      </c>
      <c r="H43" s="687">
        <f>'Page 3'!G18</f>
        <v>0</v>
      </c>
      <c r="I43" s="596">
        <f>[3]!SP1000ClassSiteProj</f>
        <v>41789</v>
      </c>
      <c r="J43" s="598">
        <f>SUM(D43:H43)</f>
        <v>50389</v>
      </c>
      <c r="K43" s="596">
        <f>[4]!SP1000ClassSiteProj</f>
        <v>43825</v>
      </c>
      <c r="L43" s="599">
        <f t="shared" si="4"/>
        <v>0.14979999999999999</v>
      </c>
      <c r="M43" s="95" t="s">
        <v>141</v>
      </c>
    </row>
    <row r="44" spans="1:13" ht="12" customHeight="1" x14ac:dyDescent="0.2">
      <c r="A44" s="96" t="s">
        <v>142</v>
      </c>
      <c r="B44" s="97"/>
      <c r="C44" s="98" t="s">
        <v>143</v>
      </c>
      <c r="D44" s="99"/>
      <c r="E44" s="99"/>
      <c r="F44" s="99"/>
      <c r="G44" s="99"/>
      <c r="H44" s="99"/>
      <c r="I44" s="596">
        <f>[3]!SP1000InstrImpProj</f>
        <v>2200</v>
      </c>
      <c r="J44" s="598">
        <f>SUMIFS('Accounting data'!$G$2:$G$37000,'Accounting data'!$H$2:$H$37000,"1020*",'Accounting data'!$K$2:$K$37000,"6*")</f>
        <v>4181</v>
      </c>
      <c r="K44" s="596">
        <f>[4]!SP1000InstrImpProj</f>
        <v>4262</v>
      </c>
      <c r="L44" s="599">
        <f t="shared" si="4"/>
        <v>-1.9E-2</v>
      </c>
      <c r="M44" s="95" t="s">
        <v>143</v>
      </c>
    </row>
    <row r="45" spans="1:13" ht="12" customHeight="1" x14ac:dyDescent="0.2">
      <c r="A45" s="96" t="s">
        <v>144</v>
      </c>
      <c r="B45" s="97"/>
      <c r="C45" s="98" t="s">
        <v>145</v>
      </c>
      <c r="D45" s="597">
        <f>TotalSEIP6100</f>
        <v>0</v>
      </c>
      <c r="E45" s="597">
        <f>TotalSEIP6200</f>
        <v>0</v>
      </c>
      <c r="F45" s="597">
        <f>TotalSEIP630064006500</f>
        <v>0</v>
      </c>
      <c r="G45" s="597">
        <f>TotalSEIP6600</f>
        <v>0</v>
      </c>
      <c r="H45" s="597">
        <f>TotalSEIP6800</f>
        <v>0</v>
      </c>
      <c r="I45" s="596">
        <f>[3]!SP1000StruEngImmProj</f>
        <v>0</v>
      </c>
      <c r="J45" s="598">
        <f>SUM(D45:H45)</f>
        <v>0</v>
      </c>
      <c r="K45" s="596">
        <f>[4]!SP1000StruEngImmProj</f>
        <v>0</v>
      </c>
      <c r="L45" s="599">
        <f t="shared" si="4"/>
        <v>0</v>
      </c>
      <c r="M45" s="95" t="s">
        <v>145</v>
      </c>
    </row>
    <row r="46" spans="1:13" ht="12" customHeight="1" x14ac:dyDescent="0.2">
      <c r="A46" s="96" t="s">
        <v>146</v>
      </c>
      <c r="B46" s="97"/>
      <c r="C46" s="98" t="s">
        <v>147</v>
      </c>
      <c r="D46" s="597">
        <f>TotalCIP6100</f>
        <v>0</v>
      </c>
      <c r="E46" s="597">
        <f>TotalCIP6200</f>
        <v>0</v>
      </c>
      <c r="F46" s="597">
        <f>TotalCIP630064006500</f>
        <v>0</v>
      </c>
      <c r="G46" s="597">
        <f>TotalCIP6600</f>
        <v>0</v>
      </c>
      <c r="H46" s="597">
        <f>TotalCIP6800</f>
        <v>0</v>
      </c>
      <c r="I46" s="596">
        <f>[3]!SP1000CompInstrProj</f>
        <v>0</v>
      </c>
      <c r="J46" s="598">
        <f>SUM(D46:H46)</f>
        <v>0</v>
      </c>
      <c r="K46" s="596">
        <f>[4]!SP1000CompInstrProj</f>
        <v>0</v>
      </c>
      <c r="L46" s="599">
        <f t="shared" si="4"/>
        <v>0</v>
      </c>
      <c r="M46" s="95" t="s">
        <v>147</v>
      </c>
    </row>
    <row r="47" spans="1:13" ht="12" customHeight="1" x14ac:dyDescent="0.2">
      <c r="A47" s="219" t="s">
        <v>1180</v>
      </c>
      <c r="B47" s="100"/>
      <c r="C47" s="98" t="s">
        <v>148</v>
      </c>
      <c r="D47" s="101"/>
      <c r="E47" s="101"/>
      <c r="F47" s="101"/>
      <c r="G47" s="101"/>
      <c r="H47" s="101"/>
      <c r="I47" s="596">
        <f>[3]!SP1000FedStProj</f>
        <v>561882</v>
      </c>
      <c r="J47" s="598">
        <f>ActualTotalFederalAndStateProjects</f>
        <v>737320</v>
      </c>
      <c r="K47" s="596">
        <f>[4]!SP1000FedStProj</f>
        <v>551816</v>
      </c>
      <c r="L47" s="599">
        <f t="shared" si="4"/>
        <v>0.3362</v>
      </c>
      <c r="M47" s="95" t="s">
        <v>148</v>
      </c>
    </row>
    <row r="48" spans="1:13" ht="12" customHeight="1" x14ac:dyDescent="0.2">
      <c r="A48" s="96" t="s">
        <v>149</v>
      </c>
      <c r="B48" s="97"/>
      <c r="C48" s="98" t="s">
        <v>150</v>
      </c>
      <c r="D48" s="101"/>
      <c r="E48" s="101"/>
      <c r="F48" s="101"/>
      <c r="G48" s="101"/>
      <c r="H48" s="101"/>
      <c r="I48" s="598">
        <f>SUM(I42:I47)</f>
        <v>1685416</v>
      </c>
      <c r="J48" s="598">
        <f>SUM(J42:J47)</f>
        <v>1992498</v>
      </c>
      <c r="K48" s="598">
        <f>SUM(K42:K47)</f>
        <v>1551263</v>
      </c>
      <c r="L48" s="599">
        <f t="shared" si="4"/>
        <v>0.28439999999999999</v>
      </c>
      <c r="M48" s="95" t="s">
        <v>150</v>
      </c>
    </row>
    <row r="49" spans="1:1" ht="12" customHeight="1" x14ac:dyDescent="0.2">
      <c r="A49" s="595"/>
    </row>
    <row r="50" spans="1:1" ht="12" customHeight="1" x14ac:dyDescent="0.2"/>
    <row r="51" spans="1:1" ht="12" customHeight="1" x14ac:dyDescent="0.2"/>
    <row r="52" spans="1:1" ht="12" customHeight="1" x14ac:dyDescent="0.2"/>
    <row r="53" spans="1:1" ht="12" customHeight="1" x14ac:dyDescent="0.2"/>
    <row r="54" spans="1:1" ht="12" customHeight="1" x14ac:dyDescent="0.2"/>
    <row r="55" spans="1:1" ht="12" customHeight="1" x14ac:dyDescent="0.2"/>
    <row r="56" spans="1:1" ht="12" customHeight="1" x14ac:dyDescent="0.2"/>
    <row r="57" spans="1:1" ht="12" customHeight="1" x14ac:dyDescent="0.2"/>
    <row r="58" spans="1:1" ht="12" customHeight="1" x14ac:dyDescent="0.2"/>
    <row r="59" spans="1:1" ht="12" customHeight="1" x14ac:dyDescent="0.2"/>
  </sheetData>
  <sheetProtection formatCells="0" formatColumns="0" formatRows="0"/>
  <mergeCells count="11">
    <mergeCell ref="N10:AF10"/>
    <mergeCell ref="N9:AF9"/>
    <mergeCell ref="L6:L7"/>
    <mergeCell ref="L8:L9"/>
    <mergeCell ref="L26:L27"/>
    <mergeCell ref="L24:L25"/>
    <mergeCell ref="L21:L22"/>
    <mergeCell ref="B1:C1"/>
    <mergeCell ref="L3:L5"/>
    <mergeCell ref="I3:K3"/>
    <mergeCell ref="I21:I22"/>
  </mergeCells>
  <conditionalFormatting sqref="J10">
    <cfRule type="expression" dxfId="72" priority="1" stopIfTrue="1">
      <formula>$N$10&lt;&gt;""</formula>
    </cfRule>
  </conditionalFormatting>
  <conditionalFormatting sqref="N9:AF9">
    <cfRule type="expression" dxfId="71" priority="11" stopIfTrue="1">
      <formula>$N$9&lt;&gt;""</formula>
    </cfRule>
  </conditionalFormatting>
  <conditionalFormatting sqref="N10:AF10">
    <cfRule type="expression" dxfId="70" priority="10" stopIfTrue="1">
      <formula>$N$10&lt;&gt;""</formula>
    </cfRule>
  </conditionalFormatting>
  <hyperlinks>
    <hyperlink ref="A4" location="ExpensesPage2" display="Expenses" xr:uid="{00000000-0004-0000-0200-000000000000}"/>
    <hyperlink ref="A47:B47" location="FederalAndStateProjectsPage2" display="Federal and State Projects (from page 9, line 30)" xr:uid="{00000000-0004-0000-0200-000001000000}"/>
  </hyperlinks>
  <pageMargins left="0.75" right="0.25" top="0.25" bottom="0.25" header="0.5" footer="0.15"/>
  <pageSetup paperSize="5" orientation="landscape" r:id="rId1"/>
  <headerFooter>
    <oddFooter>&amp;LRev. 8/24 Arizona Department of Education and Auditor General&amp;CFY 2024</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567B2-2EA9-4084-AAFC-A40F2E53C17A}">
  <sheetPr>
    <pageSetUpPr fitToPage="1"/>
  </sheetPr>
  <dimension ref="A1:AA30"/>
  <sheetViews>
    <sheetView showGridLines="0" zoomScaleNormal="100" workbookViewId="0">
      <selection activeCell="F25" sqref="F25"/>
    </sheetView>
  </sheetViews>
  <sheetFormatPr defaultColWidth="9.33203125" defaultRowHeight="12.75" x14ac:dyDescent="0.2"/>
  <cols>
    <col min="1" max="1" width="1.83203125" customWidth="1"/>
    <col min="2" max="2" width="2" customWidth="1"/>
    <col min="3" max="3" width="21" customWidth="1"/>
    <col min="4" max="4" width="33.33203125" customWidth="1"/>
    <col min="5" max="5" width="4.33203125" customWidth="1"/>
    <col min="6" max="6" width="19.83203125" customWidth="1"/>
    <col min="7" max="12" width="16" customWidth="1"/>
    <col min="13" max="13" width="79.6640625" customWidth="1"/>
    <col min="15" max="15" width="8.83203125" customWidth="1"/>
  </cols>
  <sheetData>
    <row r="1" spans="1:14" x14ac:dyDescent="0.2">
      <c r="A1" s="595" t="s">
        <v>0</v>
      </c>
      <c r="D1" s="616" t="str">
        <f>'Cover Page'!D1</f>
        <v>ASU Preparatory Academy - South Phoenix Primary</v>
      </c>
      <c r="E1" s="617"/>
      <c r="F1" s="57" t="s">
        <v>151</v>
      </c>
      <c r="G1" s="616" t="str">
        <f>'Cover Page'!M1</f>
        <v>Maricopa</v>
      </c>
      <c r="H1" s="613"/>
      <c r="I1" s="57" t="s">
        <v>2</v>
      </c>
      <c r="J1" s="615" t="str">
        <f>'Cover Page'!R1</f>
        <v>078267000</v>
      </c>
    </row>
    <row r="4" spans="1:14" x14ac:dyDescent="0.2">
      <c r="A4" s="73"/>
      <c r="B4" s="110"/>
      <c r="C4" s="111"/>
      <c r="D4" s="111"/>
      <c r="E4" s="112"/>
      <c r="F4" s="71"/>
      <c r="G4" s="620" t="s">
        <v>152</v>
      </c>
      <c r="H4" s="620" t="s">
        <v>153</v>
      </c>
      <c r="I4" s="80"/>
      <c r="J4" s="741" t="s">
        <v>90</v>
      </c>
      <c r="K4" s="742"/>
      <c r="L4" s="113"/>
    </row>
    <row r="5" spans="1:14" x14ac:dyDescent="0.2">
      <c r="A5" s="114" t="s">
        <v>92</v>
      </c>
      <c r="C5" s="115"/>
      <c r="D5" s="115"/>
      <c r="E5" s="116"/>
      <c r="F5" s="78" t="s">
        <v>93</v>
      </c>
      <c r="G5" s="76" t="s">
        <v>94</v>
      </c>
      <c r="H5" s="78" t="s">
        <v>95</v>
      </c>
      <c r="I5" s="117" t="s">
        <v>96</v>
      </c>
      <c r="J5" s="78"/>
      <c r="K5" s="78"/>
      <c r="L5" s="118"/>
    </row>
    <row r="6" spans="1:14" x14ac:dyDescent="0.2">
      <c r="A6" s="90"/>
      <c r="B6" s="2"/>
      <c r="C6" s="119"/>
      <c r="D6" s="119"/>
      <c r="E6" s="120"/>
      <c r="F6" s="83">
        <v>6100</v>
      </c>
      <c r="G6" s="625">
        <v>6200</v>
      </c>
      <c r="H6" s="83" t="s">
        <v>100</v>
      </c>
      <c r="I6" s="83">
        <v>6600</v>
      </c>
      <c r="J6" s="83" t="s">
        <v>101</v>
      </c>
      <c r="K6" s="83" t="s">
        <v>23</v>
      </c>
      <c r="L6" s="118"/>
    </row>
    <row r="7" spans="1:14" x14ac:dyDescent="0.2">
      <c r="A7" s="605" t="s">
        <v>154</v>
      </c>
      <c r="B7" s="606"/>
      <c r="C7" s="606"/>
      <c r="D7" s="606"/>
      <c r="E7" s="121"/>
      <c r="F7" s="80"/>
      <c r="G7" s="80"/>
      <c r="H7" s="80"/>
      <c r="I7" s="80"/>
      <c r="J7" s="80"/>
      <c r="K7" s="80"/>
      <c r="L7" s="86"/>
    </row>
    <row r="8" spans="1:14" x14ac:dyDescent="0.2">
      <c r="A8" s="122"/>
      <c r="B8" s="115"/>
      <c r="C8" t="s">
        <v>155</v>
      </c>
      <c r="D8" s="115"/>
      <c r="E8" s="123" t="s">
        <v>24</v>
      </c>
      <c r="F8" s="603">
        <f>SUMIFS('Accounting data'!$G$2:$G$37000,'Accounting data'!$H$2:$H$37000,"1010*",'Accounting data'!$J$2:$J$37000,"1*",'Accounting data'!$K$2:$K$37000,"61*")</f>
        <v>31935</v>
      </c>
      <c r="G8" s="603">
        <f>SUMIFS('Accounting data'!$G$2:$G$37000,'Accounting data'!$H$2:$H$37000,"1010*",'Accounting data'!$J$2:$J$37000,"1*",'Accounting data'!$K$2:$K$37000,"62*")</f>
        <v>6368</v>
      </c>
      <c r="H8" s="603">
        <f>SUMIFS('Accounting data'!$G$2:$G$37000,'Accounting data'!$H$2:$H$37000,"1010*",'Accounting data'!$J$2:$J$37000,"1*",'Accounting data'!$K$2:$K$37000,"63*")</f>
        <v>0</v>
      </c>
      <c r="I8" s="603">
        <f>SUMIFS('Accounting data'!$G$2:$G$37000,'Accounting data'!$H$2:$H$37000,"1010*",'Accounting data'!$J$2:$J$37000,"1*",'Accounting data'!$K$2:$K$37000,"66*")</f>
        <v>0</v>
      </c>
      <c r="J8" s="602">
        <f t="array" ref="J8">[3]!_CSP1000</f>
        <v>41789</v>
      </c>
      <c r="K8" s="603">
        <f>SUM(F8:I8)</f>
        <v>38303</v>
      </c>
      <c r="L8" s="86"/>
    </row>
    <row r="9" spans="1:14" x14ac:dyDescent="0.2">
      <c r="A9" s="122"/>
      <c r="B9" s="115"/>
      <c r="C9" t="s">
        <v>156</v>
      </c>
      <c r="D9" s="115"/>
      <c r="E9" s="123" t="s">
        <v>26</v>
      </c>
      <c r="F9" s="598">
        <f>SUMIFS('Accounting data'!$G$2:$G$37000,'Accounting data'!$H$2:$H$37000,"1010*",'Accounting data'!$J$2:$J$37000,"21*",'Accounting data'!$K$2:$K$37000,"61*")</f>
        <v>10076</v>
      </c>
      <c r="G9" s="598">
        <f>SUMIFS('Accounting data'!$G$2:$G$37000,'Accounting data'!$H$2:$H$37000,"1010*",'Accounting data'!$J$2:$J$37000,"21*",'Accounting data'!$K$2:$K$37000,"62*")</f>
        <v>2010</v>
      </c>
      <c r="H9" s="598">
        <f>SUMIFS('Accounting data'!$G$2:$G$37000,'Accounting data'!$H$2:$H$37000,"1010*",'Accounting data'!$J$2:$J$37000,"21*",'Accounting data'!$K$2:$K$37000,"63*")</f>
        <v>0</v>
      </c>
      <c r="I9" s="598">
        <f>SUMIFS('Accounting data'!$G$2:$G$37000,'Accounting data'!$H$2:$H$37000,"1010*",'Accounting data'!$J$2:$J$37000,"21*",'Accounting data'!$K$2:$K$37000,"66*")</f>
        <v>0</v>
      </c>
      <c r="J9" s="596">
        <f t="array" ref="J9">[3]!_CSP2100</f>
        <v>0</v>
      </c>
      <c r="K9" s="598">
        <f t="shared" ref="K9:K13" si="0">SUM(F9:I9)</f>
        <v>12086</v>
      </c>
      <c r="L9" s="86"/>
    </row>
    <row r="10" spans="1:14" x14ac:dyDescent="0.2">
      <c r="A10" s="122"/>
      <c r="B10" s="115"/>
      <c r="C10" t="s">
        <v>157</v>
      </c>
      <c r="D10" s="115"/>
      <c r="E10" s="123" t="s">
        <v>28</v>
      </c>
      <c r="F10" s="598">
        <f>SUMIFS('Accounting data'!$G$2:$G$37000,'Accounting data'!$H$2:$H$37000,"1010*",'Accounting data'!$J$2:$J$37000,"22*",'Accounting data'!$K$2:$K$37000,"61*")</f>
        <v>0</v>
      </c>
      <c r="G10" s="598">
        <f>SUMIFS('Accounting data'!$G$2:$G$37000,'Accounting data'!$H$2:$H$37000,"1010*",'Accounting data'!$J$2:$J$37000,"22*",'Accounting data'!$K$2:$K$37000,"62*")</f>
        <v>0</v>
      </c>
      <c r="H10" s="598">
        <f>SUMIFS('Accounting data'!$G$2:$G$37000,'Accounting data'!$H$2:$H$37000,"1010*",'Accounting data'!$J$2:$J$37000,"22*",'Accounting data'!$K$2:$K$37000,"63*")</f>
        <v>0</v>
      </c>
      <c r="I10" s="598">
        <f>SUMIFS('Accounting data'!$G$2:$G$37000,'Accounting data'!$H$2:$H$37000,"1010*",'Accounting data'!$J$2:$J$37000,"22*",'Accounting data'!$K$2:$K$37000,"66*")</f>
        <v>0</v>
      </c>
      <c r="J10" s="596">
        <f t="array" ref="J10">[3]!_CSP2200</f>
        <v>0</v>
      </c>
      <c r="K10" s="598">
        <f t="shared" si="0"/>
        <v>0</v>
      </c>
      <c r="L10" s="86"/>
    </row>
    <row r="11" spans="1:14" x14ac:dyDescent="0.2">
      <c r="A11" s="122"/>
      <c r="B11" s="115"/>
      <c r="C11" s="219" t="s">
        <v>158</v>
      </c>
      <c r="D11" s="124"/>
      <c r="E11" s="123" t="s">
        <v>31</v>
      </c>
      <c r="F11" s="101"/>
      <c r="G11" s="101"/>
      <c r="H11" s="598">
        <f>SUMIFS('Accounting data'!$G$2:$G$37000,'Accounting data'!$H$2:$H$37000,"1010*",'Accounting data'!$J$2:$J$37000,"23*",'Accounting data'!$K$2:$K$37000,"63*")</f>
        <v>0</v>
      </c>
      <c r="I11" s="101"/>
      <c r="J11" s="596">
        <f t="array" ref="J11">[3]!_CSP2300</f>
        <v>0</v>
      </c>
      <c r="K11" s="598">
        <f t="shared" si="0"/>
        <v>0</v>
      </c>
      <c r="L11" s="86"/>
    </row>
    <row r="12" spans="1:14" ht="12.75" customHeight="1" x14ac:dyDescent="0.2">
      <c r="A12" s="125"/>
      <c r="B12" s="119"/>
      <c r="C12" s="219" t="s">
        <v>159</v>
      </c>
      <c r="D12" s="126"/>
      <c r="E12" s="127" t="s">
        <v>33</v>
      </c>
      <c r="F12" s="598">
        <f>SUMIFS('Accounting data'!$G$2:$G$37000,'Accounting data'!$H$2:$H$37000,"1010*",'Accounting data'!$J$2:$J$37000,"33*",'Accounting data'!$K$2:$K$37000,"61*")</f>
        <v>0</v>
      </c>
      <c r="G12" s="598">
        <f>SUMIFS('Accounting data'!$G$2:$G$37000,'Accounting data'!$H$2:$H$37000,"1010*",'Accounting data'!$J$2:$J$37000,"33*",'Accounting data'!$K$2:$K$37000,"62*")</f>
        <v>0</v>
      </c>
      <c r="H12" s="598">
        <f>SUMIFS('Accounting data'!$G$2:$G$37000,'Accounting data'!$H$2:$H$37000,"1010*",'Accounting data'!$J$2:$J$37000,"33*",'Accounting data'!$K$2:$K$37000,"63*")</f>
        <v>0</v>
      </c>
      <c r="I12" s="101"/>
      <c r="J12" s="596">
        <f t="array" ref="J12">[3]!_CSP3300</f>
        <v>0</v>
      </c>
      <c r="K12" s="598">
        <f t="shared" si="0"/>
        <v>0</v>
      </c>
      <c r="L12" s="86"/>
      <c r="M12" s="743" t="str">
        <f>IF('Page 2'!J48=0,"",IF(OR(K13&lt;=0),"The Charter did not report any expenses for Classroom Site Project. If the Charter did not have any expense, verify by checking the box in A14 on the Cover Page.",""))</f>
        <v/>
      </c>
      <c r="N12" s="4"/>
    </row>
    <row r="13" spans="1:14" ht="12" customHeight="1" x14ac:dyDescent="0.2">
      <c r="A13" s="90" t="s">
        <v>160</v>
      </c>
      <c r="B13" s="119"/>
      <c r="C13" s="2"/>
      <c r="D13" s="119"/>
      <c r="E13" s="127" t="s">
        <v>35</v>
      </c>
      <c r="F13" s="598">
        <f>SUM(F8:F12)</f>
        <v>42011</v>
      </c>
      <c r="G13" s="598">
        <f>SUM(G8:G12)</f>
        <v>8378</v>
      </c>
      <c r="H13" s="598">
        <f>SUM(H8:H12)</f>
        <v>0</v>
      </c>
      <c r="I13" s="598">
        <f>SUM(I8:I12)</f>
        <v>0</v>
      </c>
      <c r="J13" s="598">
        <f>SUM(J8:J12)</f>
        <v>41789</v>
      </c>
      <c r="K13" s="598">
        <f t="shared" si="0"/>
        <v>50389</v>
      </c>
      <c r="L13" s="86"/>
      <c r="M13" s="743"/>
      <c r="N13" s="4"/>
    </row>
    <row r="16" spans="1:14" ht="16.5" customHeight="1" x14ac:dyDescent="0.2">
      <c r="A16" s="605" t="s">
        <v>161</v>
      </c>
      <c r="B16" s="605"/>
      <c r="C16" s="606"/>
      <c r="D16" s="605"/>
      <c r="E16" s="128"/>
      <c r="F16" s="129" t="s">
        <v>101</v>
      </c>
      <c r="G16" s="631" t="s">
        <v>23</v>
      </c>
    </row>
    <row r="17" spans="1:27" x14ac:dyDescent="0.2">
      <c r="A17" s="68"/>
      <c r="B17" s="130"/>
      <c r="C17" s="69" t="s">
        <v>162</v>
      </c>
      <c r="D17" s="130"/>
      <c r="E17" s="131" t="s">
        <v>37</v>
      </c>
      <c r="F17" s="598">
        <f>'[3]Page 3'!$F$17</f>
        <v>0</v>
      </c>
      <c r="G17" s="102">
        <v>0</v>
      </c>
    </row>
    <row r="18" spans="1:27" ht="15" x14ac:dyDescent="0.2">
      <c r="A18" s="86"/>
      <c r="B18" s="594"/>
      <c r="C18" t="s">
        <v>163</v>
      </c>
      <c r="D18" s="594"/>
      <c r="E18" s="61" t="s">
        <v>39</v>
      </c>
      <c r="F18" s="598">
        <f>'[3]Page 3'!$F$18</f>
        <v>0</v>
      </c>
      <c r="G18" s="597">
        <f>SUMIFS('Accounting data'!$G$2:$G$37000,'Accounting data'!$H$2:$H$37000,"1010*",'Accounting data'!$K$2:$K$37000,"685*")</f>
        <v>0</v>
      </c>
      <c r="AA18" s="132" t="str">
        <f>IF(OR(F17="",F18="",F19=""),"yes","")</f>
        <v/>
      </c>
    </row>
    <row r="19" spans="1:27" x14ac:dyDescent="0.2">
      <c r="A19" s="90"/>
      <c r="B19" s="133"/>
      <c r="C19" s="2" t="s">
        <v>164</v>
      </c>
      <c r="D19" s="133"/>
      <c r="E19" s="134" t="s">
        <v>41</v>
      </c>
      <c r="F19" s="598">
        <f>'[3]Page 3'!$F$19</f>
        <v>0</v>
      </c>
      <c r="G19" s="102">
        <v>0</v>
      </c>
    </row>
    <row r="21" spans="1:27" x14ac:dyDescent="0.2">
      <c r="D21" s="2"/>
      <c r="E21" s="135"/>
      <c r="F21" s="2"/>
    </row>
    <row r="22" spans="1:27" x14ac:dyDescent="0.2">
      <c r="A22" s="136"/>
      <c r="B22" s="137"/>
      <c r="C22" s="137"/>
      <c r="D22" s="137"/>
      <c r="E22" s="137"/>
      <c r="F22" s="71" t="s">
        <v>165</v>
      </c>
    </row>
    <row r="23" spans="1:27" x14ac:dyDescent="0.2">
      <c r="A23" s="138" t="s">
        <v>166</v>
      </c>
      <c r="B23" s="139"/>
      <c r="C23" s="139"/>
      <c r="D23" s="140"/>
      <c r="E23" s="135"/>
      <c r="F23" s="83">
        <v>1010</v>
      </c>
    </row>
    <row r="24" spans="1:27" x14ac:dyDescent="0.2">
      <c r="A24" s="68" t="s">
        <v>167</v>
      </c>
      <c r="B24" s="69"/>
      <c r="C24" s="69"/>
      <c r="D24" s="130"/>
      <c r="E24" s="141" t="s">
        <v>43</v>
      </c>
      <c r="F24" s="596">
        <v>0</v>
      </c>
    </row>
    <row r="25" spans="1:27" x14ac:dyDescent="0.2">
      <c r="A25" s="86"/>
      <c r="B25" t="s">
        <v>168</v>
      </c>
      <c r="D25" s="115"/>
      <c r="E25" s="61" t="s">
        <v>45</v>
      </c>
      <c r="F25" s="598">
        <f>-(SUMIFS('Accounting data'!$G$2:$G$37000,'Accounting data'!$H$2:$H$37000,"1010*",'Accounting data'!$K$2:$K$37000,"3*"))</f>
        <v>50388</v>
      </c>
    </row>
    <row r="26" spans="1:27" x14ac:dyDescent="0.2">
      <c r="A26" s="86"/>
      <c r="B26" t="s">
        <v>169</v>
      </c>
      <c r="D26" s="115"/>
      <c r="E26" s="141" t="s">
        <v>47</v>
      </c>
      <c r="F26" s="598">
        <f>-(SUMIFS('Accounting data'!$G$2:$G$37000,'Accounting data'!$H$2:$H$37000,"1010*",'Accounting data'!$K$2:$K$37000,"15*"))</f>
        <v>0</v>
      </c>
    </row>
    <row r="27" spans="1:27" x14ac:dyDescent="0.2">
      <c r="A27" s="86" t="s">
        <v>170</v>
      </c>
      <c r="D27" s="115"/>
      <c r="E27" s="141" t="s">
        <v>49</v>
      </c>
      <c r="F27" s="598">
        <f>F25+F26</f>
        <v>50388</v>
      </c>
    </row>
    <row r="28" spans="1:27" x14ac:dyDescent="0.2">
      <c r="A28" s="86" t="s">
        <v>171</v>
      </c>
      <c r="D28" s="115"/>
      <c r="E28" s="141" t="s">
        <v>51</v>
      </c>
      <c r="F28" s="598">
        <f>F24+F27</f>
        <v>50388</v>
      </c>
    </row>
    <row r="29" spans="1:27" x14ac:dyDescent="0.2">
      <c r="A29" s="86" t="s">
        <v>172</v>
      </c>
      <c r="D29" s="115"/>
      <c r="E29" s="141" t="s">
        <v>53</v>
      </c>
      <c r="F29" s="598">
        <f>K13+G17+G18+G19</f>
        <v>50389</v>
      </c>
    </row>
    <row r="30" spans="1:27" x14ac:dyDescent="0.2">
      <c r="A30" s="90" t="s">
        <v>173</v>
      </c>
      <c r="B30" s="2"/>
      <c r="C30" s="2"/>
      <c r="D30" s="119"/>
      <c r="E30" s="142" t="s">
        <v>55</v>
      </c>
      <c r="F30" s="598">
        <f>F28-F29</f>
        <v>-1</v>
      </c>
    </row>
  </sheetData>
  <mergeCells count="2">
    <mergeCell ref="J4:K4"/>
    <mergeCell ref="M12:M13"/>
  </mergeCells>
  <conditionalFormatting sqref="F13:I13">
    <cfRule type="expression" dxfId="69" priority="4" stopIfTrue="1">
      <formula>$M$12&lt;&gt;""</formula>
    </cfRule>
  </conditionalFormatting>
  <conditionalFormatting sqref="G17">
    <cfRule type="containsBlanks" dxfId="68" priority="2">
      <formula>LEN(TRIM(G17))=0</formula>
    </cfRule>
  </conditionalFormatting>
  <conditionalFormatting sqref="G19">
    <cfRule type="containsBlanks" dxfId="67" priority="1">
      <formula>LEN(TRIM(G19))=0</formula>
    </cfRule>
  </conditionalFormatting>
  <conditionalFormatting sqref="K13">
    <cfRule type="expression" dxfId="66" priority="3" stopIfTrue="1">
      <formula>$M$12&lt;&gt;""</formula>
    </cfRule>
  </conditionalFormatting>
  <conditionalFormatting sqref="M12">
    <cfRule type="expression" dxfId="65" priority="8" stopIfTrue="1">
      <formula>$M$12&lt;&gt;""</formula>
    </cfRule>
  </conditionalFormatting>
  <hyperlinks>
    <hyperlink ref="A7:C7" location="ClssrmSitepg3" display="Classroom Site Project 1010" xr:uid="{00000000-0004-0000-0300-000000000000}"/>
    <hyperlink ref="C11" location="CSPlines4914" display="2300 Support services—general administration" xr:uid="{00000000-0004-0000-0300-000001000000}"/>
    <hyperlink ref="C12" location="CSPlines122615" display="3300 Community services operation" xr:uid="{00000000-0004-0000-0300-000002000000}"/>
    <hyperlink ref="A16:D16" location="CSPPropertyPayments" display="Classroom Site Project 1010 property payments" xr:uid="{00000000-0004-0000-0300-000003000000}"/>
  </hyperlinks>
  <pageMargins left="0.75" right="0.25" top="0.25" bottom="0.25" header="0.5" footer="0.15"/>
  <pageSetup paperSize="5" orientation="landscape" r:id="rId1"/>
  <headerFooter>
    <oddFooter>&amp;LRev. 8/24 Arizona Department of Education and Auditor General&amp;CFY 2024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B19C-07ED-48B7-ABA5-D6BCCEFE8DD4}">
  <sheetPr>
    <pageSetUpPr fitToPage="1"/>
  </sheetPr>
  <dimension ref="A1:AA36"/>
  <sheetViews>
    <sheetView showGridLines="0" zoomScaleNormal="100" workbookViewId="0">
      <selection activeCell="F28" sqref="F28"/>
    </sheetView>
  </sheetViews>
  <sheetFormatPr defaultColWidth="8.83203125" defaultRowHeight="12.75" x14ac:dyDescent="0.2"/>
  <cols>
    <col min="1" max="1" width="1.83203125" customWidth="1"/>
    <col min="2" max="2" width="20.33203125" customWidth="1"/>
    <col min="3" max="3" width="15.33203125" customWidth="1"/>
    <col min="4" max="4" width="20" customWidth="1"/>
    <col min="5" max="5" width="5.1640625" customWidth="1"/>
    <col min="6" max="9" width="15.33203125" customWidth="1"/>
    <col min="10" max="10" width="2.6640625" bestFit="1" customWidth="1"/>
    <col min="11" max="13" width="15.33203125" customWidth="1"/>
    <col min="14" max="15" width="8.83203125" customWidth="1"/>
    <col min="16" max="24" width="8.83203125" hidden="1" customWidth="1"/>
    <col min="25" max="25" width="8.83203125" customWidth="1"/>
    <col min="26" max="26" width="20.1640625" customWidth="1"/>
    <col min="27" max="27" width="8.83203125" customWidth="1"/>
  </cols>
  <sheetData>
    <row r="1" spans="1:27" ht="12.75" customHeight="1" x14ac:dyDescent="0.2">
      <c r="A1" s="595" t="s">
        <v>0</v>
      </c>
      <c r="C1" s="722" t="str">
        <f>'Cover Page'!D1</f>
        <v>ASU Preparatory Academy - South Phoenix Primary</v>
      </c>
      <c r="D1" s="722"/>
      <c r="F1" s="613"/>
      <c r="G1" s="57" t="s">
        <v>1</v>
      </c>
      <c r="H1" s="722" t="str">
        <f>'Cover Page'!M1</f>
        <v>Maricopa</v>
      </c>
      <c r="I1" s="722"/>
      <c r="J1" s="613"/>
      <c r="K1" s="57"/>
      <c r="L1" s="57" t="s">
        <v>2</v>
      </c>
      <c r="M1" s="615" t="str">
        <f>'Cover Page'!R1</f>
        <v>078267000</v>
      </c>
    </row>
    <row r="2" spans="1:27" ht="12.75" customHeight="1" x14ac:dyDescent="0.2">
      <c r="A2" s="613"/>
      <c r="B2" s="613"/>
      <c r="C2" s="613"/>
      <c r="D2" s="613"/>
      <c r="E2" s="613"/>
      <c r="F2" s="613"/>
      <c r="G2" s="613"/>
      <c r="H2" s="613"/>
      <c r="I2" s="613"/>
      <c r="J2" s="613"/>
    </row>
    <row r="3" spans="1:27" ht="12.75" customHeight="1" x14ac:dyDescent="0.2">
      <c r="A3" s="143"/>
      <c r="B3" s="69"/>
      <c r="C3" s="69"/>
      <c r="D3" s="69"/>
      <c r="E3" s="69"/>
      <c r="F3" s="143" t="s">
        <v>20</v>
      </c>
      <c r="G3" s="620" t="s">
        <v>174</v>
      </c>
      <c r="H3" s="741" t="s">
        <v>90</v>
      </c>
      <c r="I3" s="742"/>
      <c r="J3" s="613"/>
    </row>
    <row r="4" spans="1:27" ht="12.75" customHeight="1" x14ac:dyDescent="0.2">
      <c r="A4" s="114" t="s">
        <v>92</v>
      </c>
      <c r="F4" s="76" t="s">
        <v>175</v>
      </c>
      <c r="G4" s="78" t="s">
        <v>95</v>
      </c>
      <c r="H4" s="620"/>
      <c r="I4" s="144"/>
      <c r="J4" s="613"/>
    </row>
    <row r="5" spans="1:27" ht="12.75" customHeight="1" x14ac:dyDescent="0.2">
      <c r="A5" s="90"/>
      <c r="B5" s="2"/>
      <c r="C5" s="2"/>
      <c r="D5" s="2"/>
      <c r="E5" s="2"/>
      <c r="F5" s="76">
        <v>1000</v>
      </c>
      <c r="G5" s="78">
        <v>2000</v>
      </c>
      <c r="H5" s="83" t="s">
        <v>101</v>
      </c>
      <c r="I5" s="626" t="s">
        <v>23</v>
      </c>
      <c r="J5" s="613"/>
    </row>
    <row r="6" spans="1:27" ht="12.75" customHeight="1" x14ac:dyDescent="0.2">
      <c r="A6" s="84" t="s">
        <v>176</v>
      </c>
      <c r="B6" s="69"/>
      <c r="C6" s="69"/>
      <c r="D6" s="69"/>
      <c r="E6" s="145"/>
      <c r="F6" s="146"/>
      <c r="G6" s="146"/>
      <c r="H6" s="146"/>
      <c r="I6" s="146"/>
      <c r="J6" s="147"/>
    </row>
    <row r="7" spans="1:27" ht="12.75" customHeight="1" x14ac:dyDescent="0.2">
      <c r="A7" s="86"/>
      <c r="B7" t="s">
        <v>177</v>
      </c>
      <c r="E7" s="148">
        <v>1</v>
      </c>
      <c r="F7" s="49">
        <v>0</v>
      </c>
      <c r="G7" s="49">
        <v>0</v>
      </c>
      <c r="H7" s="603">
        <f>[3]!IIPTeacherCompensationIncreases</f>
        <v>0</v>
      </c>
      <c r="I7" s="603">
        <f>SUM(F7:G7)</f>
        <v>0</v>
      </c>
      <c r="J7" s="149">
        <v>1</v>
      </c>
      <c r="AA7" s="47" t="str">
        <f>IF(OR(F7="",F8="",F9="",F10="",G7="",G9="",G10="",G23="",G24="",G25="",G26="",G27=""),"yes","")</f>
        <v/>
      </c>
    </row>
    <row r="8" spans="1:27" ht="12.75" customHeight="1" x14ac:dyDescent="0.2">
      <c r="A8" s="86"/>
      <c r="B8" t="s">
        <v>178</v>
      </c>
      <c r="E8" s="150">
        <v>2</v>
      </c>
      <c r="F8" s="49">
        <v>0</v>
      </c>
      <c r="G8" s="151"/>
      <c r="H8" s="596">
        <f>[3]!IIPClassSizeReduction</f>
        <v>0</v>
      </c>
      <c r="I8" s="598">
        <f>SUM(F8:G8)</f>
        <v>0</v>
      </c>
      <c r="J8" s="149">
        <v>2</v>
      </c>
    </row>
    <row r="9" spans="1:27" ht="12.75" customHeight="1" x14ac:dyDescent="0.2">
      <c r="A9" s="86"/>
      <c r="B9" t="s">
        <v>179</v>
      </c>
      <c r="E9" s="150">
        <v>3</v>
      </c>
      <c r="F9" s="48">
        <v>0</v>
      </c>
      <c r="G9" s="48">
        <v>0</v>
      </c>
      <c r="H9" s="596">
        <f>[3]!IIPDropoutPreventionPrograms</f>
        <v>0</v>
      </c>
      <c r="I9" s="598">
        <f>SUM(F9:G9)</f>
        <v>0</v>
      </c>
      <c r="J9" s="149">
        <v>3</v>
      </c>
    </row>
    <row r="10" spans="1:27" ht="12.75" customHeight="1" x14ac:dyDescent="0.2">
      <c r="A10" s="86"/>
      <c r="B10" t="s">
        <v>180</v>
      </c>
      <c r="E10" s="150">
        <v>4</v>
      </c>
      <c r="F10" s="48">
        <v>4181</v>
      </c>
      <c r="G10" s="48">
        <v>0</v>
      </c>
      <c r="H10" s="596">
        <f>[3]!IIPInstructionalImprovementPrograms</f>
        <v>2200</v>
      </c>
      <c r="I10" s="598">
        <f>SUM(F10:G10)</f>
        <v>4181</v>
      </c>
      <c r="J10" s="149">
        <v>4</v>
      </c>
      <c r="K10" s="727" t="str">
        <f>IF('Page 2'!J48=0,"",IF(('Page 4'!I11=0),"If the Charter did not have any expense, verify by checking the box in A18 on the Cover Page.",""))</f>
        <v/>
      </c>
      <c r="L10" s="727"/>
      <c r="M10" s="727"/>
      <c r="N10" s="727"/>
      <c r="O10" s="727"/>
      <c r="P10" s="727"/>
      <c r="Q10" s="727"/>
      <c r="R10" s="727"/>
      <c r="S10" s="727"/>
      <c r="T10" s="727"/>
      <c r="U10" s="727"/>
      <c r="V10" s="727"/>
      <c r="W10" s="727"/>
      <c r="X10" s="727"/>
      <c r="Y10" s="727"/>
      <c r="Z10" s="727"/>
    </row>
    <row r="11" spans="1:27" ht="12.75" customHeight="1" x14ac:dyDescent="0.2">
      <c r="A11" s="90" t="s">
        <v>181</v>
      </c>
      <c r="B11" s="2"/>
      <c r="C11" s="2"/>
      <c r="D11" s="2"/>
      <c r="E11" s="152">
        <v>5</v>
      </c>
      <c r="F11" s="598">
        <f>SUM(F6:F10)</f>
        <v>4181</v>
      </c>
      <c r="G11" s="598">
        <f>SUM(G6:G10)</f>
        <v>0</v>
      </c>
      <c r="H11" s="598">
        <f>SUM(H7:H10)</f>
        <v>2200</v>
      </c>
      <c r="I11" s="598">
        <f>SUM(I7:I10)</f>
        <v>4181</v>
      </c>
      <c r="J11" s="149">
        <v>5</v>
      </c>
      <c r="K11" s="727" t="str">
        <f>IF('Page 2'!J48=0,"",IF(('Page 4'!I11&lt;&gt;'Page 2'!J44),"Total expenses for Instructional Improvement Project on line 5 should agree to the line 35 on page 2.",""))</f>
        <v/>
      </c>
      <c r="L11" s="727"/>
      <c r="M11" s="727"/>
      <c r="N11" s="727"/>
      <c r="O11" s="727"/>
      <c r="P11" s="727"/>
      <c r="Q11" s="727"/>
      <c r="R11" s="727"/>
      <c r="S11" s="727"/>
      <c r="T11" s="727"/>
      <c r="U11" s="727"/>
      <c r="V11" s="727"/>
      <c r="W11" s="727"/>
      <c r="X11" s="727"/>
      <c r="Y11" s="727"/>
      <c r="Z11" s="727"/>
    </row>
    <row r="12" spans="1:27" ht="12.75" customHeight="1" x14ac:dyDescent="0.2">
      <c r="K12" s="617"/>
    </row>
    <row r="13" spans="1:27" ht="12.75" customHeight="1" x14ac:dyDescent="0.2">
      <c r="A13" s="68"/>
      <c r="B13" s="69"/>
      <c r="C13" s="69"/>
      <c r="D13" s="69"/>
      <c r="E13" s="70"/>
      <c r="F13" s="80"/>
    </row>
    <row r="14" spans="1:27" ht="12.75" customHeight="1" x14ac:dyDescent="0.2">
      <c r="A14" s="81" t="s">
        <v>182</v>
      </c>
      <c r="B14" s="2"/>
      <c r="C14" s="2"/>
      <c r="D14" s="2"/>
      <c r="E14" s="82"/>
      <c r="F14" s="153" t="s">
        <v>23</v>
      </c>
    </row>
    <row r="15" spans="1:27" ht="12.75" customHeight="1" x14ac:dyDescent="0.2">
      <c r="A15" s="86" t="s">
        <v>167</v>
      </c>
      <c r="B15" s="613"/>
      <c r="D15" s="154"/>
      <c r="E15" s="155">
        <v>6</v>
      </c>
      <c r="F15" s="596">
        <f>[4]!AddlInstrImprProjEndBal</f>
        <v>0</v>
      </c>
      <c r="G15" s="149">
        <v>6</v>
      </c>
      <c r="I15" s="617"/>
      <c r="J15" s="617"/>
    </row>
    <row r="16" spans="1:27" ht="12.75" customHeight="1" x14ac:dyDescent="0.2">
      <c r="A16" s="156" t="s">
        <v>168</v>
      </c>
      <c r="B16" s="25"/>
      <c r="D16" s="157"/>
      <c r="E16" s="155">
        <v>7</v>
      </c>
      <c r="F16" s="598">
        <f>-(SUMIFS('Accounting data'!$G$2:$G$37000,'Accounting data'!$H$2:$H$37000,"1020*",'Accounting data'!$K$2:$K$37000,"1*")+SUMIFS('Accounting data'!$G$2:$G$37000,'Accounting data'!$H$2:$H$37000,"1020*",'Accounting data'!$K$2:$K$37000,"2*")+SUMIFS('Accounting data'!$G$2:$G$37000,'Accounting data'!$H$2:$H$37000,"1020*",'Accounting data'!$K$2:$K$37000,"3*")+SUMIFS('Accounting data'!$G$2:$G$37000,'Accounting data'!$H$2:$H$37000,"1020*",'Accounting data'!$K$2:$K$37000,"4*")+SUMIFS('Accounting data'!$G$2:$G$37000,'Accounting data'!$H$2:$H$37000,"1020*",'Accounting data'!$K$2:$K$37000,"Other*"))</f>
        <v>4181</v>
      </c>
      <c r="G16" s="149">
        <v>7</v>
      </c>
      <c r="I16" s="617"/>
      <c r="J16" s="617"/>
    </row>
    <row r="17" spans="1:12" ht="12.75" customHeight="1" x14ac:dyDescent="0.2">
      <c r="A17" s="156" t="s">
        <v>183</v>
      </c>
      <c r="B17" s="25"/>
      <c r="D17" s="157"/>
      <c r="E17" s="155">
        <v>8</v>
      </c>
      <c r="F17" s="598">
        <f>SUM(F15:F16)</f>
        <v>4181</v>
      </c>
      <c r="G17" s="149">
        <v>8</v>
      </c>
      <c r="I17" s="617"/>
      <c r="J17" s="617"/>
    </row>
    <row r="18" spans="1:12" ht="12.75" customHeight="1" x14ac:dyDescent="0.2">
      <c r="A18" s="156" t="s">
        <v>184</v>
      </c>
      <c r="D18" s="157"/>
      <c r="E18" s="155">
        <v>9</v>
      </c>
      <c r="F18" s="598">
        <f>ActualTotalInstImpExp</f>
        <v>4181</v>
      </c>
      <c r="G18" s="149">
        <v>9</v>
      </c>
      <c r="I18" s="617"/>
      <c r="J18" s="617"/>
    </row>
    <row r="19" spans="1:12" ht="12.75" customHeight="1" x14ac:dyDescent="0.2">
      <c r="A19" s="158" t="s">
        <v>185</v>
      </c>
      <c r="B19" s="2"/>
      <c r="C19" s="2"/>
      <c r="D19" s="159"/>
      <c r="E19" s="160">
        <v>10</v>
      </c>
      <c r="F19" s="598">
        <f>F17-F18</f>
        <v>0</v>
      </c>
      <c r="G19" s="149">
        <v>10</v>
      </c>
    </row>
    <row r="20" spans="1:12" ht="12.75" customHeight="1" x14ac:dyDescent="0.2">
      <c r="A20" s="154"/>
      <c r="D20" s="154"/>
      <c r="E20" s="155"/>
      <c r="F20" s="161"/>
      <c r="G20" s="149"/>
    </row>
    <row r="21" spans="1:12" ht="12.75" customHeight="1" x14ac:dyDescent="0.2">
      <c r="A21" s="68"/>
      <c r="B21" s="69"/>
      <c r="C21" s="69"/>
      <c r="D21" s="162"/>
      <c r="E21" s="163"/>
      <c r="F21" s="164"/>
      <c r="G21" s="164"/>
      <c r="H21" s="149"/>
    </row>
    <row r="22" spans="1:12" ht="12.75" customHeight="1" x14ac:dyDescent="0.2">
      <c r="A22" s="744" t="s">
        <v>186</v>
      </c>
      <c r="B22" s="744"/>
      <c r="C22" s="744"/>
      <c r="D22" s="744"/>
      <c r="E22" s="165"/>
      <c r="F22" s="166" t="s">
        <v>101</v>
      </c>
      <c r="G22" s="166" t="s">
        <v>23</v>
      </c>
      <c r="H22" s="167"/>
    </row>
    <row r="23" spans="1:12" ht="12.75" customHeight="1" x14ac:dyDescent="0.2">
      <c r="A23" s="168"/>
      <c r="B23" s="69" t="s">
        <v>187</v>
      </c>
      <c r="C23" s="69"/>
      <c r="D23" s="169"/>
      <c r="E23" s="170">
        <v>1</v>
      </c>
      <c r="F23" s="171"/>
      <c r="G23" s="50">
        <v>0</v>
      </c>
      <c r="H23" s="172">
        <v>1</v>
      </c>
    </row>
    <row r="24" spans="1:12" ht="12.75" customHeight="1" x14ac:dyDescent="0.2">
      <c r="A24" s="173"/>
      <c r="B24" t="s">
        <v>188</v>
      </c>
      <c r="D24" s="157"/>
      <c r="E24" s="174">
        <v>2</v>
      </c>
      <c r="F24" s="171"/>
      <c r="G24" s="50">
        <v>0</v>
      </c>
      <c r="H24" s="172">
        <v>2</v>
      </c>
    </row>
    <row r="25" spans="1:12" ht="12.75" customHeight="1" x14ac:dyDescent="0.2">
      <c r="A25" s="173"/>
      <c r="B25" t="s">
        <v>189</v>
      </c>
      <c r="D25" s="157"/>
      <c r="E25" s="174">
        <v>3</v>
      </c>
      <c r="F25" s="171"/>
      <c r="G25" s="50">
        <v>0</v>
      </c>
      <c r="H25" s="172">
        <v>3</v>
      </c>
    </row>
    <row r="26" spans="1:12" ht="12.75" customHeight="1" x14ac:dyDescent="0.2">
      <c r="A26" s="173"/>
      <c r="B26" t="s">
        <v>190</v>
      </c>
      <c r="D26" s="157"/>
      <c r="E26" s="174">
        <v>4</v>
      </c>
      <c r="F26" s="171"/>
      <c r="G26" s="50">
        <v>0</v>
      </c>
      <c r="H26" s="172">
        <v>4</v>
      </c>
    </row>
    <row r="27" spans="1:12" ht="12.75" customHeight="1" x14ac:dyDescent="0.2">
      <c r="A27" s="173"/>
      <c r="B27" t="s">
        <v>191</v>
      </c>
      <c r="D27" s="157"/>
      <c r="E27" s="174">
        <v>5</v>
      </c>
      <c r="F27" s="171"/>
      <c r="G27" s="50">
        <v>0</v>
      </c>
      <c r="H27" s="172">
        <v>5</v>
      </c>
    </row>
    <row r="28" spans="1:12" ht="12.75" customHeight="1" x14ac:dyDescent="0.2">
      <c r="A28" s="90" t="s">
        <v>192</v>
      </c>
      <c r="B28" s="2"/>
      <c r="C28" s="2"/>
      <c r="D28" s="2"/>
      <c r="E28" s="175">
        <v>6</v>
      </c>
      <c r="F28" s="596">
        <f>'[3]Page 2'!$E$34</f>
        <v>0</v>
      </c>
      <c r="G28" s="598">
        <f>SUM(G23:G27)</f>
        <v>0</v>
      </c>
      <c r="H28" s="172">
        <v>6</v>
      </c>
      <c r="I28" s="613"/>
      <c r="J28" s="613"/>
      <c r="K28" s="613"/>
      <c r="L28" s="613"/>
    </row>
    <row r="29" spans="1:12" ht="12.75" customHeight="1" x14ac:dyDescent="0.2">
      <c r="F29" s="176"/>
      <c r="G29" s="176"/>
      <c r="H29" s="176"/>
      <c r="I29" s="176"/>
      <c r="J29" s="176"/>
      <c r="K29" s="177"/>
      <c r="L29" s="176"/>
    </row>
    <row r="30" spans="1:12" ht="11.25" customHeight="1" x14ac:dyDescent="0.2">
      <c r="A30" s="614"/>
      <c r="D30" s="613"/>
      <c r="F30" s="1"/>
      <c r="G30" s="1"/>
    </row>
    <row r="31" spans="1:12" ht="11.25" customHeight="1" x14ac:dyDescent="0.2">
      <c r="A31" s="593"/>
      <c r="B31" s="178"/>
      <c r="C31" s="178"/>
      <c r="D31" s="179"/>
      <c r="E31" s="178"/>
      <c r="F31" s="180"/>
      <c r="G31" s="181"/>
      <c r="H31" s="182"/>
    </row>
    <row r="32" spans="1:12" ht="11.25" customHeight="1" x14ac:dyDescent="0.2">
      <c r="A32" s="593"/>
      <c r="B32" s="178"/>
      <c r="C32" s="178"/>
      <c r="D32" s="179"/>
      <c r="E32" s="178"/>
      <c r="F32" s="180"/>
      <c r="G32" s="181"/>
      <c r="H32" s="182"/>
    </row>
    <row r="33" spans="1:8" ht="11.25" customHeight="1" x14ac:dyDescent="0.2">
      <c r="A33" s="593"/>
      <c r="B33" s="178"/>
      <c r="C33" s="178"/>
      <c r="D33" s="179"/>
      <c r="E33" s="178"/>
      <c r="F33" s="180"/>
      <c r="G33" s="181"/>
      <c r="H33" s="182"/>
    </row>
    <row r="34" spans="1:8" ht="11.25" customHeight="1" x14ac:dyDescent="0.2">
      <c r="A34" s="593"/>
      <c r="B34" s="178"/>
      <c r="C34" s="178"/>
      <c r="D34" s="179"/>
      <c r="E34" s="178"/>
      <c r="F34" s="180"/>
      <c r="G34" s="181"/>
      <c r="H34" s="182"/>
    </row>
    <row r="35" spans="1:8" ht="11.25" customHeight="1" x14ac:dyDescent="0.2">
      <c r="A35" s="593"/>
      <c r="B35" s="178"/>
      <c r="C35" s="178"/>
      <c r="D35" s="179"/>
      <c r="E35" s="178"/>
      <c r="F35" s="180"/>
      <c r="G35" s="181"/>
      <c r="H35" s="182"/>
    </row>
    <row r="36" spans="1:8" ht="11.25" customHeight="1" x14ac:dyDescent="0.2">
      <c r="A36" s="593"/>
      <c r="D36" s="593"/>
      <c r="F36" s="183"/>
      <c r="G36" s="183"/>
      <c r="H36" s="88"/>
    </row>
  </sheetData>
  <sheetProtection formatCells="0" formatColumns="0" formatRows="0"/>
  <mergeCells count="6">
    <mergeCell ref="A22:D22"/>
    <mergeCell ref="K11:Z11"/>
    <mergeCell ref="H1:I1"/>
    <mergeCell ref="H3:I3"/>
    <mergeCell ref="C1:D1"/>
    <mergeCell ref="K10:Z10"/>
  </mergeCells>
  <conditionalFormatting sqref="G23:G27">
    <cfRule type="expression" dxfId="64" priority="4" stopIfTrue="1">
      <formula>G23=""</formula>
    </cfRule>
  </conditionalFormatting>
  <conditionalFormatting sqref="G7:I7 F7:F10 G9:G10">
    <cfRule type="expression" dxfId="63" priority="5" stopIfTrue="1">
      <formula>F7=""</formula>
    </cfRule>
  </conditionalFormatting>
  <conditionalFormatting sqref="K10:Z10">
    <cfRule type="expression" dxfId="62" priority="1" stopIfTrue="1">
      <formula>$K$10&lt;&gt;""</formula>
    </cfRule>
    <cfRule type="expression" dxfId="61" priority="2" stopIfTrue="1">
      <formula>"K10&lt;&gt;"""""</formula>
    </cfRule>
  </conditionalFormatting>
  <conditionalFormatting sqref="K11:Z11">
    <cfRule type="expression" dxfId="60" priority="6" stopIfTrue="1">
      <formula>$K$11&lt;&gt;""</formula>
    </cfRule>
  </conditionalFormatting>
  <hyperlinks>
    <hyperlink ref="A22:D22" location="ArizonaIndustryCredentialsIncentive" display="Arizona Industry Credentials Incentive Project—detailed expenses" xr:uid="{00000000-0004-0000-0400-000000000000}"/>
  </hyperlinks>
  <pageMargins left="0.75" right="0.25" top="0.25" bottom="0.25" header="0.5" footer="0.15"/>
  <pageSetup paperSize="5" orientation="landscape" r:id="rId1"/>
  <headerFooter>
    <oddFooter>&amp;LRev. 8/24 Arizona Department of Education and Auditor General&amp;CFY 2024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C18DB-0724-440E-87A7-0293D325255D}">
  <sheetPr>
    <pageSetUpPr fitToPage="1"/>
  </sheetPr>
  <dimension ref="A1:AB48"/>
  <sheetViews>
    <sheetView showGridLines="0" zoomScaleNormal="100" workbookViewId="0"/>
  </sheetViews>
  <sheetFormatPr defaultColWidth="9.33203125" defaultRowHeight="12.75" x14ac:dyDescent="0.2"/>
  <cols>
    <col min="1" max="1" width="1.83203125" customWidth="1"/>
    <col min="2" max="2" width="2" customWidth="1"/>
    <col min="3" max="3" width="17" customWidth="1"/>
    <col min="4" max="4" width="24" customWidth="1"/>
    <col min="5" max="5" width="4.33203125" bestFit="1" customWidth="1"/>
    <col min="6" max="9" width="12.83203125" customWidth="1"/>
    <col min="10" max="10" width="14.83203125" customWidth="1"/>
    <col min="11" max="15" width="12.83203125" customWidth="1"/>
    <col min="16" max="16" width="3.6640625" bestFit="1" customWidth="1"/>
  </cols>
  <sheetData>
    <row r="1" spans="1:28" ht="12" customHeight="1" x14ac:dyDescent="0.2">
      <c r="A1" s="595" t="s">
        <v>0</v>
      </c>
      <c r="D1" s="722" t="str">
        <f>'Cover Page'!D1</f>
        <v>ASU Preparatory Academy - South Phoenix Primary</v>
      </c>
      <c r="E1" s="722"/>
      <c r="F1" s="613"/>
      <c r="G1" s="613"/>
      <c r="I1" s="57" t="s">
        <v>1</v>
      </c>
      <c r="J1" s="722" t="str">
        <f>'Cover Page'!M1</f>
        <v>Maricopa</v>
      </c>
      <c r="K1" s="722"/>
      <c r="M1" s="57" t="s">
        <v>2</v>
      </c>
      <c r="N1" s="57"/>
      <c r="O1" s="615" t="str">
        <f>'Cover Page'!R1</f>
        <v>078267000</v>
      </c>
    </row>
    <row r="2" spans="1:28" ht="12" customHeight="1" x14ac:dyDescent="0.2">
      <c r="A2" s="65"/>
      <c r="B2" s="65"/>
      <c r="C2" s="65"/>
      <c r="D2" s="65"/>
      <c r="E2" s="65"/>
      <c r="F2" s="65"/>
      <c r="G2" s="65"/>
      <c r="H2" s="65"/>
      <c r="I2" s="65"/>
      <c r="J2" s="65"/>
    </row>
    <row r="3" spans="1:28" ht="12" customHeight="1" x14ac:dyDescent="0.2">
      <c r="A3" s="84"/>
      <c r="B3" s="69"/>
      <c r="C3" s="69"/>
      <c r="D3" s="69"/>
      <c r="E3" s="70"/>
      <c r="F3" s="184" t="s">
        <v>193</v>
      </c>
      <c r="G3" s="70"/>
      <c r="H3" s="620"/>
      <c r="I3" s="185" t="s">
        <v>194</v>
      </c>
      <c r="J3" s="620" t="s">
        <v>89</v>
      </c>
      <c r="K3" s="70"/>
      <c r="L3" s="80"/>
      <c r="M3" s="741" t="s">
        <v>195</v>
      </c>
      <c r="N3" s="756"/>
      <c r="O3" s="620" t="s">
        <v>196</v>
      </c>
    </row>
    <row r="4" spans="1:28" ht="12" customHeight="1" x14ac:dyDescent="0.2">
      <c r="A4" s="92" t="s">
        <v>197</v>
      </c>
      <c r="E4" s="75"/>
      <c r="F4" s="78" t="s">
        <v>198</v>
      </c>
      <c r="G4" s="144" t="s">
        <v>23</v>
      </c>
      <c r="H4" s="78" t="s">
        <v>93</v>
      </c>
      <c r="I4" s="76" t="s">
        <v>94</v>
      </c>
      <c r="J4" s="78" t="s">
        <v>95</v>
      </c>
      <c r="K4" s="144" t="s">
        <v>96</v>
      </c>
      <c r="L4" s="78" t="s">
        <v>97</v>
      </c>
      <c r="M4" s="186"/>
      <c r="O4" s="78" t="s">
        <v>198</v>
      </c>
    </row>
    <row r="5" spans="1:28" ht="12" customHeight="1" x14ac:dyDescent="0.2">
      <c r="A5" s="90"/>
      <c r="B5" s="2"/>
      <c r="C5" s="2"/>
      <c r="D5" s="2"/>
      <c r="E5" s="187"/>
      <c r="F5" s="83" t="s">
        <v>199</v>
      </c>
      <c r="G5" s="188" t="s">
        <v>200</v>
      </c>
      <c r="H5" s="83">
        <v>6100</v>
      </c>
      <c r="I5" s="625">
        <v>6200</v>
      </c>
      <c r="J5" s="83" t="s">
        <v>100</v>
      </c>
      <c r="K5" s="626">
        <v>6600</v>
      </c>
      <c r="L5" s="83">
        <v>6800</v>
      </c>
      <c r="M5" s="189" t="s">
        <v>101</v>
      </c>
      <c r="N5" s="190" t="s">
        <v>23</v>
      </c>
      <c r="O5" s="83" t="s">
        <v>199</v>
      </c>
    </row>
    <row r="6" spans="1:28" ht="11.25" customHeight="1" x14ac:dyDescent="0.2">
      <c r="A6" s="84" t="s">
        <v>201</v>
      </c>
      <c r="B6" s="69"/>
      <c r="C6" s="69"/>
      <c r="D6" s="69"/>
      <c r="F6" s="753"/>
      <c r="G6" s="753"/>
      <c r="H6" s="753"/>
      <c r="I6" s="753"/>
      <c r="J6" s="753"/>
      <c r="K6" s="753"/>
      <c r="L6" s="753"/>
      <c r="M6" s="753"/>
      <c r="N6" s="621"/>
      <c r="O6" s="753"/>
    </row>
    <row r="7" spans="1:28" ht="11.25" customHeight="1" x14ac:dyDescent="0.2">
      <c r="A7" s="114" t="s">
        <v>168</v>
      </c>
      <c r="E7" s="191"/>
      <c r="F7" s="754"/>
      <c r="G7" s="754"/>
      <c r="H7" s="754"/>
      <c r="I7" s="754"/>
      <c r="J7" s="754"/>
      <c r="K7" s="754"/>
      <c r="L7" s="754"/>
      <c r="M7" s="754"/>
      <c r="N7" s="622"/>
      <c r="O7" s="754"/>
      <c r="V7" s="594"/>
    </row>
    <row r="8" spans="1:28" ht="12" customHeight="1" x14ac:dyDescent="0.2">
      <c r="A8" s="114"/>
      <c r="B8" t="s">
        <v>202</v>
      </c>
      <c r="E8" s="191">
        <v>1</v>
      </c>
      <c r="F8" s="192"/>
      <c r="G8" s="598">
        <f>-(SUMIFS('Accounting data'!$G$2:$G$37000,'Accounting data'!$H$2:$H$37000,"1071*",'Accounting data'!$K$2:$K$37000,"32*"))</f>
        <v>0</v>
      </c>
      <c r="H8" s="192"/>
      <c r="I8" s="192"/>
      <c r="J8" s="192"/>
      <c r="K8" s="192"/>
      <c r="L8" s="192"/>
      <c r="M8" s="192"/>
      <c r="N8" s="192"/>
      <c r="O8" s="192"/>
      <c r="P8" s="149">
        <v>1</v>
      </c>
      <c r="V8" s="594"/>
    </row>
    <row r="9" spans="1:28" ht="12" customHeight="1" x14ac:dyDescent="0.2">
      <c r="A9" s="114"/>
      <c r="B9" t="s">
        <v>203</v>
      </c>
      <c r="E9" s="191">
        <v>2</v>
      </c>
      <c r="F9" s="192"/>
      <c r="G9" s="598">
        <f>-(SUMIFS('Accounting data'!$G$2:$G$37000,'Accounting data'!$H$2:$H$37000,"1071*",'Accounting data'!$K$2:$K$37000,"15*"))</f>
        <v>0</v>
      </c>
      <c r="H9" s="192"/>
      <c r="I9" s="192"/>
      <c r="J9" s="192"/>
      <c r="K9" s="192"/>
      <c r="L9" s="192"/>
      <c r="M9" s="192"/>
      <c r="N9" s="192"/>
      <c r="O9" s="192"/>
      <c r="P9" s="149">
        <v>2</v>
      </c>
      <c r="V9" s="594"/>
    </row>
    <row r="10" spans="1:28" ht="12" customHeight="1" x14ac:dyDescent="0.2">
      <c r="A10" s="86" t="s">
        <v>204</v>
      </c>
      <c r="E10" s="191">
        <v>3</v>
      </c>
      <c r="F10" s="192"/>
      <c r="G10" s="598">
        <f>SUM(G8:G9)</f>
        <v>0</v>
      </c>
      <c r="H10" s="193"/>
      <c r="I10" s="193"/>
      <c r="J10" s="193"/>
      <c r="K10" s="193"/>
      <c r="L10" s="193"/>
      <c r="M10" s="192"/>
      <c r="N10" s="192"/>
      <c r="O10" s="192"/>
      <c r="P10" s="149">
        <v>3</v>
      </c>
      <c r="V10" s="594"/>
    </row>
    <row r="11" spans="1:28" ht="11.25" customHeight="1" x14ac:dyDescent="0.2">
      <c r="A11" s="114" t="s">
        <v>92</v>
      </c>
      <c r="E11" s="194"/>
      <c r="F11" s="195"/>
      <c r="G11" s="745"/>
      <c r="H11" s="196"/>
      <c r="I11" s="196"/>
      <c r="J11" s="196"/>
      <c r="K11" s="196"/>
      <c r="L11" s="196"/>
      <c r="M11" s="196"/>
      <c r="N11" s="196"/>
      <c r="O11" s="197"/>
      <c r="AB11" s="594"/>
    </row>
    <row r="12" spans="1:28" ht="12" customHeight="1" x14ac:dyDescent="0.2">
      <c r="A12" s="86" t="s">
        <v>205</v>
      </c>
      <c r="F12" s="198"/>
      <c r="G12" s="746"/>
      <c r="H12" s="199"/>
      <c r="I12" s="199"/>
      <c r="J12" s="199"/>
      <c r="K12" s="199"/>
      <c r="L12" s="199"/>
      <c r="M12" s="199"/>
      <c r="N12" s="199"/>
      <c r="O12" s="200"/>
    </row>
    <row r="13" spans="1:28" ht="12" customHeight="1" x14ac:dyDescent="0.2">
      <c r="A13" s="86"/>
      <c r="B13" t="s">
        <v>206</v>
      </c>
      <c r="E13" s="194">
        <v>4</v>
      </c>
      <c r="F13" s="201"/>
      <c r="G13" s="755"/>
      <c r="H13" s="603">
        <f>SUMIFS('Accounting data'!$G$2:$G$37000,'Accounting data'!$H$2:$H$37000,"1071*",'Accounting data'!$I$2:$I$37000,"260*",'Accounting data'!$J$2:$J$37000,"1*",'Accounting data'!$K$2:$K$37000,"61*")</f>
        <v>0</v>
      </c>
      <c r="I13" s="603">
        <f>SUMIFS('Accounting data'!$G$2:$G$37000,'Accounting data'!$H$2:$H$37000,"1071*",'Accounting data'!$I$2:$I$37000,"260*",'Accounting data'!$J$2:$J$37000,"1*",'Accounting data'!$K$2:$K$37000,"62*")</f>
        <v>0</v>
      </c>
      <c r="J13" s="603">
        <f>SUMIFS('Accounting data'!$G$2:$G$37000,'Accounting data'!$H$2:$H$37000,"1071*",'Accounting data'!$I$2:$I$37000,"260*",'Accounting data'!$J$2:$J$37000,"1*",'Accounting data'!$K$2:$K$37000,"63*")</f>
        <v>0</v>
      </c>
      <c r="K13" s="603">
        <f>SUMIFS('Accounting data'!$G$2:$G$37000,'Accounting data'!$H$2:$H$37000,"1071*",'Accounting data'!$I$2:$I$37000,"260*",'Accounting data'!$J$2:$J$37000,"1*",'Accounting data'!$K$2:$K$37000,"66*")</f>
        <v>0</v>
      </c>
      <c r="L13" s="603">
        <f>SUMIFS('Accounting data'!$G$2:$G$37000,'Accounting data'!$H$2:$H$37000,"1071*",'Accounting data'!$I$2:$I$37000,"260*",'Accounting data'!$J$2:$J$37000,"1*",'Accounting data'!$K$2:$K$37000,"68*")</f>
        <v>0</v>
      </c>
      <c r="M13" s="603">
        <f>[3]!SEIP1071P260F1000</f>
        <v>0</v>
      </c>
      <c r="N13" s="603">
        <f>SUM(H13:L13)</f>
        <v>0</v>
      </c>
      <c r="O13" s="202"/>
      <c r="P13" s="149">
        <v>4</v>
      </c>
    </row>
    <row r="14" spans="1:28" ht="12" customHeight="1" x14ac:dyDescent="0.2">
      <c r="A14" s="86"/>
      <c r="B14" t="s">
        <v>207</v>
      </c>
      <c r="F14" s="195"/>
      <c r="G14" s="745"/>
      <c r="H14" s="199"/>
      <c r="I14" s="199"/>
      <c r="J14" s="199"/>
      <c r="K14" s="199"/>
      <c r="L14" s="199"/>
      <c r="M14" s="757">
        <f>[3]!SEIP1071P260F2100</f>
        <v>0</v>
      </c>
      <c r="N14" s="750">
        <f>SUM(H15:L15)</f>
        <v>0</v>
      </c>
      <c r="O14" s="197"/>
    </row>
    <row r="15" spans="1:28" ht="12" customHeight="1" x14ac:dyDescent="0.2">
      <c r="A15" s="86"/>
      <c r="C15" t="s">
        <v>208</v>
      </c>
      <c r="E15" s="191">
        <v>5</v>
      </c>
      <c r="F15" s="201"/>
      <c r="G15" s="755"/>
      <c r="H15" s="603">
        <f>SUMIFS('Accounting data'!$G$2:$G$37000,'Accounting data'!$H$2:$H$37000,"1071*",'Accounting data'!$I$2:$I$37000,"260*",'Accounting data'!$J$2:$J$37000,"21*",'Accounting data'!$K$2:$K$37000,"61*")</f>
        <v>0</v>
      </c>
      <c r="I15" s="603">
        <f>SUMIFS('Accounting data'!$G$2:$G$37000,'Accounting data'!$H$2:$H$37000,"1071*",'Accounting data'!$I$2:$I$37000,"260*",'Accounting data'!$J$2:$J$37000,"21*",'Accounting data'!$K$2:$K$37000,"62*")</f>
        <v>0</v>
      </c>
      <c r="J15" s="603">
        <f>SUMIFS('Accounting data'!$G$2:$G$37000,'Accounting data'!$H$2:$H$37000,"1071*",'Accounting data'!$I$2:$I$37000,"260*",'Accounting data'!$J$2:$J$37000,"21*",'Accounting data'!$K$2:$K$37000,"63*")</f>
        <v>0</v>
      </c>
      <c r="K15" s="603">
        <f>SUMIFS('Accounting data'!$G$2:$G$37000,'Accounting data'!$H$2:$H$37000,"1071*",'Accounting data'!$I$2:$I$37000,"260*",'Accounting data'!$J$2:$J$37000,"21*",'Accounting data'!$K$2:$K$37000,"66*")</f>
        <v>0</v>
      </c>
      <c r="L15" s="603">
        <f>SUMIFS('Accounting data'!$G$2:$G$37000,'Accounting data'!$H$2:$H$37000,"1071*",'Accounting data'!$I$2:$I$37000,"260*",'Accounting data'!$J$2:$J$37000,"21*",'Accounting data'!$K$2:$K$37000,"68*")</f>
        <v>0</v>
      </c>
      <c r="M15" s="758"/>
      <c r="N15" s="751"/>
      <c r="O15" s="202"/>
      <c r="P15" s="149">
        <v>5</v>
      </c>
    </row>
    <row r="16" spans="1:28" ht="12" customHeight="1" x14ac:dyDescent="0.2">
      <c r="A16" s="86"/>
      <c r="C16" t="s">
        <v>209</v>
      </c>
      <c r="E16" s="194">
        <v>6</v>
      </c>
      <c r="F16" s="203"/>
      <c r="G16" s="204"/>
      <c r="H16" s="603">
        <f>SUMIFS('Accounting data'!$G$2:$G$37000,'Accounting data'!$H$2:$H$37000,"1071*",'Accounting data'!$I$2:$I$37000,"260*",'Accounting data'!$J$2:$J$37000,"22*",'Accounting data'!$K$2:$K$37000,"61*")</f>
        <v>0</v>
      </c>
      <c r="I16" s="603">
        <f>SUMIFS('Accounting data'!$G$2:$G$37000,'Accounting data'!$H$2:$H$37000,"1071*",'Accounting data'!$I$2:$I$37000,"260*",'Accounting data'!$J$2:$J$37000,"22*",'Accounting data'!$K$2:$K$37000,"62*")</f>
        <v>0</v>
      </c>
      <c r="J16" s="603">
        <f>SUMIFS('Accounting data'!$G$2:$G$37000,'Accounting data'!$H$2:$H$37000,"1071*",'Accounting data'!$I$2:$I$37000,"260*",'Accounting data'!$J$2:$J$37000,"22*",'Accounting data'!$K$2:$K$37000,"63*")</f>
        <v>0</v>
      </c>
      <c r="K16" s="603">
        <f>SUMIFS('Accounting data'!$G$2:$G$37000,'Accounting data'!$H$2:$H$37000,"1071*",'Accounting data'!$I$2:$I$37000,"260*",'Accounting data'!$J$2:$J$37000,"22*",'Accounting data'!$K$2:$K$37000,"66*")</f>
        <v>0</v>
      </c>
      <c r="L16" s="603">
        <f>SUMIFS('Accounting data'!$G$2:$G$37000,'Accounting data'!$H$2:$H$37000,"1071*",'Accounting data'!$I$2:$I$37000,"260*",'Accounting data'!$J$2:$J$37000,"22*",'Accounting data'!$K$2:$K$37000,"68*")</f>
        <v>0</v>
      </c>
      <c r="M16" s="596">
        <f>[3]!SEIP1071P260F2200</f>
        <v>0</v>
      </c>
      <c r="N16" s="598">
        <f t="shared" ref="N16:N21" si="0">SUM(H16:L16)</f>
        <v>0</v>
      </c>
      <c r="O16" s="205"/>
      <c r="P16" s="149">
        <v>6</v>
      </c>
    </row>
    <row r="17" spans="1:16" ht="12" customHeight="1" x14ac:dyDescent="0.2">
      <c r="A17" s="86"/>
      <c r="C17" t="s">
        <v>210</v>
      </c>
      <c r="E17" s="191">
        <v>7</v>
      </c>
      <c r="F17" s="203"/>
      <c r="G17" s="204"/>
      <c r="H17" s="598">
        <f>SUMIFS('Accounting data'!$G$2:$G$37000,'Accounting data'!$H$2:$H$37000,"1071*",'Accounting data'!$I$2:$I$37000,"260*",'Accounting data'!$J$2:$J$37000,"23*",'Accounting data'!$K$2:$K$37000,"61*")</f>
        <v>0</v>
      </c>
      <c r="I17" s="598">
        <f>SUMIFS('Accounting data'!$G$2:$G$37000,'Accounting data'!$H$2:$H$37000,"1071*",'Accounting data'!$I$2:$I$37000,"260*",'Accounting data'!$J$2:$J$37000,"23*",'Accounting data'!$K$2:$K$37000,"62*")</f>
        <v>0</v>
      </c>
      <c r="J17" s="598">
        <f>SUMIFS('Accounting data'!$G$2:$G$37000,'Accounting data'!$H$2:$H$37000,"1071*",'Accounting data'!$I$2:$I$37000,"260*",'Accounting data'!$J$2:$J$37000,"23*",'Accounting data'!$K$2:$K$37000,"63*")</f>
        <v>0</v>
      </c>
      <c r="K17" s="598">
        <f>SUMIFS('Accounting data'!$G$2:$G$37000,'Accounting data'!$H$2:$H$37000,"1071*",'Accounting data'!$I$2:$I$37000,"260*",'Accounting data'!$J$2:$J$37000,"23*",'Accounting data'!$K$2:$K$37000,"66*")</f>
        <v>0</v>
      </c>
      <c r="L17" s="598">
        <f>SUMIFS('Accounting data'!$G$2:$G$37000,'Accounting data'!$H$2:$H$37000,"1071*",'Accounting data'!$I$2:$I$37000,"260*",'Accounting data'!$J$2:$J$37000,"23*",'Accounting data'!$K$2:$K$37000,"68*")</f>
        <v>0</v>
      </c>
      <c r="M17" s="596">
        <f>[3]!SEIP1071P260F2300</f>
        <v>0</v>
      </c>
      <c r="N17" s="598">
        <f t="shared" si="0"/>
        <v>0</v>
      </c>
      <c r="O17" s="205"/>
      <c r="P17" s="149">
        <v>7</v>
      </c>
    </row>
    <row r="18" spans="1:16" ht="12" customHeight="1" x14ac:dyDescent="0.2">
      <c r="A18" s="86"/>
      <c r="C18" t="s">
        <v>211</v>
      </c>
      <c r="E18" s="191">
        <v>8</v>
      </c>
      <c r="F18" s="203"/>
      <c r="G18" s="204"/>
      <c r="H18" s="598">
        <f>SUMIFS('Accounting data'!$G$2:$G$37000,'Accounting data'!$H$2:$H$37000,"1071*",'Accounting data'!$I$2:$I$37000,"260*",'Accounting data'!$J$2:$J$37000,"24*",'Accounting data'!$K$2:$K$37000,"61*")</f>
        <v>0</v>
      </c>
      <c r="I18" s="598">
        <f>SUMIFS('Accounting data'!$G$2:$G$37000,'Accounting data'!$H$2:$H$37000,"1071*",'Accounting data'!$I$2:$I$37000,"260*",'Accounting data'!$J$2:$J$37000,"24*",'Accounting data'!$K$2:$K$37000,"62*")</f>
        <v>0</v>
      </c>
      <c r="J18" s="598">
        <f>SUMIFS('Accounting data'!$G$2:$G$37000,'Accounting data'!$H$2:$H$37000,"1071*",'Accounting data'!$I$2:$I$37000,"260*",'Accounting data'!$J$2:$J$37000,"24*",'Accounting data'!$K$2:$K$37000,"63*")</f>
        <v>0</v>
      </c>
      <c r="K18" s="598">
        <f>SUMIFS('Accounting data'!$G$2:$G$37000,'Accounting data'!$H$2:$H$37000,"1071*",'Accounting data'!$I$2:$I$37000,"260*",'Accounting data'!$J$2:$J$37000,"24*",'Accounting data'!$K$2:$K$37000,"66*")</f>
        <v>0</v>
      </c>
      <c r="L18" s="598">
        <f>SUMIFS('Accounting data'!$G$2:$G$37000,'Accounting data'!$H$2:$H$37000,"1071*",'Accounting data'!$I$2:$I$37000,"260*",'Accounting data'!$J$2:$J$37000,"24*",'Accounting data'!$K$2:$K$37000,"68*")</f>
        <v>0</v>
      </c>
      <c r="M18" s="596">
        <f>[3]!SEIP1071P260F2400</f>
        <v>0</v>
      </c>
      <c r="N18" s="598">
        <f t="shared" si="0"/>
        <v>0</v>
      </c>
      <c r="O18" s="205"/>
      <c r="P18" s="149">
        <v>8</v>
      </c>
    </row>
    <row r="19" spans="1:16" ht="12" customHeight="1" x14ac:dyDescent="0.2">
      <c r="A19" s="86"/>
      <c r="C19" t="s">
        <v>212</v>
      </c>
      <c r="E19" s="191">
        <v>9</v>
      </c>
      <c r="F19" s="203"/>
      <c r="G19" s="204"/>
      <c r="H19" s="598">
        <f>SUMIFS('Accounting data'!$G$2:$G$37000,'Accounting data'!$H$2:$H$37000,"1071*",'Accounting data'!$I$2:$I$37000,"260*",'Accounting data'!$J$2:$J$37000,"25*",'Accounting data'!$K$2:$K$37000,"61*")</f>
        <v>0</v>
      </c>
      <c r="I19" s="598">
        <f>SUMIFS('Accounting data'!$G$2:$G$37000,'Accounting data'!$H$2:$H$37000,"1071*",'Accounting data'!$I$2:$I$37000,"260*",'Accounting data'!$J$2:$J$37000,"25*",'Accounting data'!$K$2:$K$37000,"62*")</f>
        <v>0</v>
      </c>
      <c r="J19" s="598">
        <f>SUMIFS('Accounting data'!$G$2:$G$37000,'Accounting data'!$H$2:$H$37000,"1071*",'Accounting data'!$I$2:$I$37000,"260*",'Accounting data'!$J$2:$J$37000,"25*",'Accounting data'!$K$2:$K$37000,"63*")</f>
        <v>0</v>
      </c>
      <c r="K19" s="598">
        <f>SUMIFS('Accounting data'!$G$2:$G$37000,'Accounting data'!$H$2:$H$37000,"1071*",'Accounting data'!$I$2:$I$37000,"260*",'Accounting data'!$J$2:$J$37000,"25*",'Accounting data'!$K$2:$K$37000,"66*")</f>
        <v>0</v>
      </c>
      <c r="L19" s="598">
        <f>SUMIFS('Accounting data'!$G$2:$G$37000,'Accounting data'!$H$2:$H$37000,"1071*",'Accounting data'!$I$2:$I$37000,"260*",'Accounting data'!$J$2:$J$37000,"25*",'Accounting data'!$K$2:$K$37000,"68*")</f>
        <v>0</v>
      </c>
      <c r="M19" s="596">
        <f>[3]!SEIP1071P260F2500</f>
        <v>0</v>
      </c>
      <c r="N19" s="598">
        <f t="shared" si="0"/>
        <v>0</v>
      </c>
      <c r="O19" s="205"/>
      <c r="P19" s="149">
        <v>9</v>
      </c>
    </row>
    <row r="20" spans="1:16" ht="12" customHeight="1" x14ac:dyDescent="0.2">
      <c r="A20" s="86"/>
      <c r="C20" t="s">
        <v>213</v>
      </c>
      <c r="E20" s="191">
        <v>10</v>
      </c>
      <c r="F20" s="203"/>
      <c r="G20" s="204"/>
      <c r="H20" s="598">
        <f>SUMIFS('Accounting data'!$G$2:$G$37000,'Accounting data'!$H$2:$H$37000,"1071*",'Accounting data'!$I$2:$I$37000,"260*",'Accounting data'!$J$2:$J$37000,"26*",'Accounting data'!$K$2:$K$37000,"61*")</f>
        <v>0</v>
      </c>
      <c r="I20" s="598">
        <f>SUMIFS('Accounting data'!$G$2:$G$37000,'Accounting data'!$H$2:$H$37000,"1071*",'Accounting data'!$I$2:$I$37000,"260*",'Accounting data'!$J$2:$J$37000,"26*",'Accounting data'!$K$2:$K$37000,"62*")</f>
        <v>0</v>
      </c>
      <c r="J20" s="598">
        <f>SUMIFS('Accounting data'!$G$2:$G$37000,'Accounting data'!$H$2:$H$37000,"1071*",'Accounting data'!$I$2:$I$37000,"260*",'Accounting data'!$J$2:$J$37000,"26*",'Accounting data'!$K$2:$K$37000,"63*")</f>
        <v>0</v>
      </c>
      <c r="K20" s="598">
        <f>SUMIFS('Accounting data'!$G$2:$G$37000,'Accounting data'!$H$2:$H$37000,"1071*",'Accounting data'!$I$2:$I$37000,"260*",'Accounting data'!$J$2:$J$37000,"26*",'Accounting data'!$K$2:$K$37000,"66*")</f>
        <v>0</v>
      </c>
      <c r="L20" s="598">
        <f>SUMIFS('Accounting data'!$G$2:$G$37000,'Accounting data'!$H$2:$H$37000,"1071*",'Accounting data'!$I$2:$I$37000,"260*",'Accounting data'!$J$2:$J$37000,"26*",'Accounting data'!$K$2:$K$37000,"68*")</f>
        <v>0</v>
      </c>
      <c r="M20" s="596">
        <f>[3]!SEIP1071P260F2600</f>
        <v>0</v>
      </c>
      <c r="N20" s="598">
        <f t="shared" si="0"/>
        <v>0</v>
      </c>
      <c r="O20" s="205"/>
      <c r="P20" s="149">
        <v>10</v>
      </c>
    </row>
    <row r="21" spans="1:16" ht="12" customHeight="1" x14ac:dyDescent="0.2">
      <c r="A21" s="86"/>
      <c r="C21" t="s">
        <v>214</v>
      </c>
      <c r="E21" s="191">
        <v>11</v>
      </c>
      <c r="F21" s="203"/>
      <c r="G21" s="204"/>
      <c r="H21" s="598">
        <f>SUMIFS('Accounting data'!$G$2:$G$37000,'Accounting data'!$H$2:$H$37000,"1071*",'Accounting data'!$I$2:$I$37000,"260*",'Accounting data'!$J$2:$J$37000,"29*",'Accounting data'!$K$2:$K$37000,"61*")</f>
        <v>0</v>
      </c>
      <c r="I21" s="598">
        <f>SUMIFS('Accounting data'!$G$2:$G$37000,'Accounting data'!$H$2:$H$37000,"1071*",'Accounting data'!$I$2:$I$37000,"260*",'Accounting data'!$J$2:$J$37000,"29*",'Accounting data'!$K$2:$K$37000,"62*")</f>
        <v>0</v>
      </c>
      <c r="J21" s="598">
        <f>SUMIFS('Accounting data'!$G$2:$G$37000,'Accounting data'!$H$2:$H$37000,"1071*",'Accounting data'!$I$2:$I$37000,"260*",'Accounting data'!$J$2:$J$37000,"29*",'Accounting data'!$K$2:$K$37000,"63*")</f>
        <v>0</v>
      </c>
      <c r="K21" s="598">
        <f>SUMIFS('Accounting data'!$G$2:$G$37000,'Accounting data'!$H$2:$H$37000,"1071*",'Accounting data'!$I$2:$I$37000,"260*",'Accounting data'!$J$2:$J$37000,"29*",'Accounting data'!$K$2:$K$37000,"66*")</f>
        <v>0</v>
      </c>
      <c r="L21" s="598">
        <f>SUMIFS('Accounting data'!$G$2:$G$37000,'Accounting data'!$H$2:$H$37000,"1071*",'Accounting data'!$I$2:$I$37000,"260*",'Accounting data'!$J$2:$J$37000,"29*",'Accounting data'!$K$2:$K$37000,"68*")</f>
        <v>0</v>
      </c>
      <c r="M21" s="596">
        <f>[3]!SEIP1071P260F2900</f>
        <v>0</v>
      </c>
      <c r="N21" s="598">
        <f t="shared" si="0"/>
        <v>0</v>
      </c>
      <c r="O21" s="205"/>
      <c r="P21" s="149">
        <v>11</v>
      </c>
    </row>
    <row r="22" spans="1:16" ht="12" customHeight="1" x14ac:dyDescent="0.2">
      <c r="A22" s="90"/>
      <c r="B22" s="2" t="s">
        <v>215</v>
      </c>
      <c r="C22" s="2"/>
      <c r="D22" s="2"/>
      <c r="E22" s="187">
        <v>12</v>
      </c>
      <c r="F22" s="203"/>
      <c r="G22" s="206"/>
      <c r="H22" s="598">
        <f>SUM(H13:H21)</f>
        <v>0</v>
      </c>
      <c r="I22" s="598">
        <f t="shared" ref="I22:N22" si="1">SUM(I13:I21)</f>
        <v>0</v>
      </c>
      <c r="J22" s="598">
        <f>SUM(J13:J21)</f>
        <v>0</v>
      </c>
      <c r="K22" s="598">
        <f t="shared" si="1"/>
        <v>0</v>
      </c>
      <c r="L22" s="598">
        <f t="shared" si="1"/>
        <v>0</v>
      </c>
      <c r="M22" s="598">
        <f t="shared" si="1"/>
        <v>0</v>
      </c>
      <c r="N22" s="598">
        <f t="shared" si="1"/>
        <v>0</v>
      </c>
      <c r="O22" s="205"/>
      <c r="P22" s="207">
        <v>12</v>
      </c>
    </row>
    <row r="23" spans="1:16" ht="12" customHeight="1" x14ac:dyDescent="0.2">
      <c r="A23" s="86" t="s">
        <v>216</v>
      </c>
      <c r="E23" s="191"/>
      <c r="F23" s="195"/>
      <c r="G23" s="745"/>
      <c r="H23" s="80"/>
      <c r="I23" s="80"/>
      <c r="J23" s="80"/>
      <c r="K23" s="80"/>
      <c r="L23" s="80"/>
      <c r="M23" s="80"/>
      <c r="N23" s="80"/>
      <c r="O23" s="197"/>
      <c r="P23" s="149"/>
    </row>
    <row r="24" spans="1:16" ht="12" customHeight="1" x14ac:dyDescent="0.2">
      <c r="A24" s="86"/>
      <c r="B24" t="s">
        <v>207</v>
      </c>
      <c r="E24" s="191"/>
      <c r="F24" s="198"/>
      <c r="G24" s="746"/>
      <c r="H24" s="598"/>
      <c r="I24" s="662"/>
      <c r="J24" s="662"/>
      <c r="K24" s="662"/>
      <c r="L24" s="662"/>
      <c r="M24" s="662"/>
      <c r="N24" s="199"/>
      <c r="O24" s="200"/>
      <c r="P24" s="149"/>
    </row>
    <row r="25" spans="1:16" ht="12" customHeight="1" x14ac:dyDescent="0.2">
      <c r="A25" s="86"/>
      <c r="C25" t="s">
        <v>217</v>
      </c>
      <c r="E25" s="191">
        <v>13</v>
      </c>
      <c r="F25" s="201"/>
      <c r="G25" s="755"/>
      <c r="H25" s="662">
        <f>SUMIFS('Accounting data'!$G$2:$G$37000,'Accounting data'!$H$2:$H$37000,"1071*",'Accounting data'!$I$2:$I$37000,"43*",'Accounting data'!$J$2:$J$37000,"27*",'Accounting data'!$K$2:$K$37000,"61*")</f>
        <v>0</v>
      </c>
      <c r="I25" s="662">
        <f>SUMIFS('Accounting data'!$G$2:$G$37000,'Accounting data'!$H$2:$H$37000,"1071*",'Accounting data'!$I$2:$I$37000,"43*",'Accounting data'!$J$2:$J$37000,"27*",'Accounting data'!$K$2:$K$37000,"62*")</f>
        <v>0</v>
      </c>
      <c r="J25" s="662">
        <f>SUMIFS('Accounting data'!$G$2:$G$37000,'Accounting data'!$H$2:$H$37000,"1071*",'Accounting data'!$I$2:$I$37000,"43*",'Accounting data'!$J$2:$J$37000,"27*",'Accounting data'!$K$2:$K$37000,"63*")</f>
        <v>0</v>
      </c>
      <c r="K25" s="662">
        <f>SUMIFS('Accounting data'!$G$2:$G$37000,'Accounting data'!$H$2:$H$37000,"1071*",'Accounting data'!$I$2:$I$37000,"43*",'Accounting data'!$J$2:$J$37000,"27*",'Accounting data'!$K$2:$K$37000,"66*")</f>
        <v>0</v>
      </c>
      <c r="L25" s="662">
        <f>SUMIFS('Accounting data'!$G$2:$G$37000,'Accounting data'!$H$2:$H$37000,"1071*",'Accounting data'!$I$2:$I$37000,"43*",'Accounting data'!$J$2:$J$37000,"27*",'Accounting data'!$K$2:$K$37000,"68*")</f>
        <v>0</v>
      </c>
      <c r="M25" s="662">
        <f>[3]!SEIP1071P430F2700</f>
        <v>0</v>
      </c>
      <c r="N25" s="603">
        <f>SUM(H25:L25)</f>
        <v>0</v>
      </c>
      <c r="O25" s="202"/>
      <c r="P25" s="207">
        <v>13</v>
      </c>
    </row>
    <row r="26" spans="1:16" ht="12" customHeight="1" x14ac:dyDescent="0.2">
      <c r="A26" s="96" t="s">
        <v>218</v>
      </c>
      <c r="B26" s="97"/>
      <c r="C26" s="97"/>
      <c r="D26" s="97"/>
      <c r="E26" s="208">
        <v>14</v>
      </c>
      <c r="F26" s="596">
        <f>[4]!SEIP1071EndBal</f>
        <v>0</v>
      </c>
      <c r="G26" s="598">
        <f>G10</f>
        <v>0</v>
      </c>
      <c r="H26" s="598">
        <f>SUM(H22:H24)</f>
        <v>0</v>
      </c>
      <c r="I26" s="598">
        <f>SUM(I22:I24)</f>
        <v>0</v>
      </c>
      <c r="J26" s="598">
        <f>SUM(J22:J24)</f>
        <v>0</v>
      </c>
      <c r="K26" s="598">
        <f>SUM(K22:K24)</f>
        <v>0</v>
      </c>
      <c r="L26" s="598">
        <f>SUM(L22:L24)</f>
        <v>0</v>
      </c>
      <c r="M26" s="598">
        <f>SUM(M22:M25)</f>
        <v>0</v>
      </c>
      <c r="N26" s="598">
        <f>SUM(N22:N25)</f>
        <v>0</v>
      </c>
      <c r="O26" s="598">
        <f>F26+G26-N26</f>
        <v>0</v>
      </c>
      <c r="P26" s="207">
        <v>14</v>
      </c>
    </row>
    <row r="27" spans="1:16" ht="9" customHeight="1" x14ac:dyDescent="0.2">
      <c r="A27" s="759"/>
      <c r="B27" s="759"/>
      <c r="C27" s="759"/>
      <c r="D27" s="759"/>
      <c r="E27" s="759"/>
      <c r="F27" s="759"/>
      <c r="G27" s="759"/>
      <c r="H27" s="759"/>
      <c r="I27" s="759"/>
      <c r="J27" s="760"/>
      <c r="K27" s="760"/>
      <c r="L27" s="760"/>
    </row>
    <row r="28" spans="1:16" ht="11.25" customHeight="1" x14ac:dyDescent="0.2">
      <c r="A28" s="84" t="s">
        <v>219</v>
      </c>
      <c r="B28" s="69"/>
      <c r="C28" s="69"/>
      <c r="D28" s="69"/>
      <c r="E28" s="209"/>
      <c r="F28" s="748"/>
      <c r="G28" s="748"/>
      <c r="H28" s="748"/>
      <c r="I28" s="748"/>
      <c r="J28" s="748"/>
      <c r="K28" s="748"/>
      <c r="L28" s="747"/>
      <c r="M28" s="747"/>
      <c r="N28" s="747"/>
      <c r="O28" s="748"/>
    </row>
    <row r="29" spans="1:16" ht="11.25" customHeight="1" x14ac:dyDescent="0.2">
      <c r="A29" s="114" t="s">
        <v>168</v>
      </c>
      <c r="E29" s="191"/>
      <c r="F29" s="749"/>
      <c r="G29" s="752"/>
      <c r="H29" s="752"/>
      <c r="I29" s="752"/>
      <c r="J29" s="752"/>
      <c r="K29" s="752"/>
      <c r="L29" s="747"/>
      <c r="M29" s="747"/>
      <c r="N29" s="747"/>
      <c r="O29" s="749"/>
    </row>
    <row r="30" spans="1:16" ht="12" customHeight="1" x14ac:dyDescent="0.2">
      <c r="A30" s="114"/>
      <c r="B30" t="s">
        <v>202</v>
      </c>
      <c r="E30" s="191">
        <v>15</v>
      </c>
      <c r="F30" s="192"/>
      <c r="G30" s="598">
        <f>-(SUMIFS('Accounting data'!$G$2:$G$37000,'Accounting data'!$H$2:$H$37000,"1072*",'Accounting data'!$K$2:$K$37000,"32*"))</f>
        <v>0</v>
      </c>
      <c r="H30" s="192"/>
      <c r="I30" s="192"/>
      <c r="J30" s="192"/>
      <c r="K30" s="192"/>
      <c r="L30" s="210"/>
      <c r="M30" s="192"/>
      <c r="N30" s="192"/>
      <c r="O30" s="192"/>
      <c r="P30" s="207">
        <v>15</v>
      </c>
    </row>
    <row r="31" spans="1:16" ht="12" customHeight="1" x14ac:dyDescent="0.2">
      <c r="A31" s="114"/>
      <c r="B31" t="s">
        <v>203</v>
      </c>
      <c r="E31" s="191">
        <v>16</v>
      </c>
      <c r="F31" s="192"/>
      <c r="G31" s="598">
        <f>-(SUMIFS('Accounting data'!$G$2:$G$37000,'Accounting data'!$H$2:$H$37000,"1072*",'Accounting data'!$K$2:$K$37000,"15*"))</f>
        <v>0</v>
      </c>
      <c r="H31" s="192"/>
      <c r="I31" s="192"/>
      <c r="J31" s="192"/>
      <c r="K31" s="192"/>
      <c r="L31" s="192"/>
      <c r="M31" s="192"/>
      <c r="N31" s="192"/>
      <c r="O31" s="192"/>
      <c r="P31" s="207">
        <v>16</v>
      </c>
    </row>
    <row r="32" spans="1:16" ht="12" customHeight="1" x14ac:dyDescent="0.2">
      <c r="A32" s="86" t="s">
        <v>220</v>
      </c>
      <c r="E32" s="191">
        <v>17</v>
      </c>
      <c r="F32" s="193"/>
      <c r="G32" s="598">
        <f>SUM(G30:G31)</f>
        <v>0</v>
      </c>
      <c r="H32" s="193"/>
      <c r="I32" s="193"/>
      <c r="J32" s="193"/>
      <c r="K32" s="193"/>
      <c r="L32" s="193"/>
      <c r="M32" s="193"/>
      <c r="N32" s="193"/>
      <c r="O32" s="193"/>
      <c r="P32" s="207">
        <v>17</v>
      </c>
    </row>
    <row r="33" spans="1:16" ht="11.25" customHeight="1" x14ac:dyDescent="0.2">
      <c r="A33" s="114" t="s">
        <v>92</v>
      </c>
      <c r="E33" s="194"/>
      <c r="F33" s="195"/>
      <c r="G33" s="211"/>
      <c r="H33" s="146"/>
      <c r="I33" s="146"/>
      <c r="J33" s="146"/>
      <c r="K33" s="146"/>
      <c r="L33" s="146"/>
      <c r="M33" s="146"/>
      <c r="N33" s="146"/>
      <c r="O33" s="195"/>
    </row>
    <row r="34" spans="1:16" ht="12" customHeight="1" x14ac:dyDescent="0.2">
      <c r="A34" s="86" t="s">
        <v>221</v>
      </c>
      <c r="E34" s="194"/>
      <c r="F34" s="198"/>
      <c r="G34" s="212"/>
      <c r="H34" s="199"/>
      <c r="I34" s="199"/>
      <c r="J34" s="199"/>
      <c r="K34" s="199"/>
      <c r="L34" s="199"/>
      <c r="M34" s="199"/>
      <c r="N34" s="199"/>
      <c r="O34" s="198"/>
    </row>
    <row r="35" spans="1:16" ht="12" customHeight="1" x14ac:dyDescent="0.2">
      <c r="A35" s="86"/>
      <c r="B35" t="s">
        <v>206</v>
      </c>
      <c r="E35" s="194">
        <v>18</v>
      </c>
      <c r="F35" s="201"/>
      <c r="G35" s="213"/>
      <c r="H35" s="603">
        <f>SUMIFS('Accounting data'!$G$2:$G$37000,'Accounting data'!$H$2:$H$37000,"1072*",'Accounting data'!$I$2:$I$37000,"265*",'Accounting data'!$J$2:$J$37000,"1*",'Accounting data'!$K$2:$K$37000,"61*")</f>
        <v>0</v>
      </c>
      <c r="I35" s="603">
        <f>SUMIFS('Accounting data'!$G$2:$G$37000,'Accounting data'!$H$2:$H$37000,"1072*",'Accounting data'!$I$2:$I$37000,"265*",'Accounting data'!$J$2:$J$37000,"1*",'Accounting data'!$K$2:$K$37000,"62*")</f>
        <v>0</v>
      </c>
      <c r="J35" s="603">
        <f>SUMIFS('Accounting data'!$G$2:$G$37000,'Accounting data'!$H$2:$H$37000,"1072*",'Accounting data'!$I$2:$I$37000,"265*",'Accounting data'!$J$2:$J$37000,"1*",'Accounting data'!$K$2:$K$37000,"63*")</f>
        <v>0</v>
      </c>
      <c r="K35" s="603">
        <f>SUMIFS('Accounting data'!$G$2:$G$37000,'Accounting data'!$H$2:$H$37000,"1072*",'Accounting data'!$I$2:$I$37000,"265*",'Accounting data'!$J$2:$J$37000,"1*",'Accounting data'!$K$2:$K$37000,"66*")</f>
        <v>0</v>
      </c>
      <c r="L35" s="603">
        <f>SUMIFS('Accounting data'!$G$2:$G$37000,'Accounting data'!$H$2:$H$37000,"1072*",'Accounting data'!$I$2:$I$37000,"265*",'Accounting data'!$J$2:$J$37000,"1*",'Accounting data'!$K$2:$K$37000,"68*")</f>
        <v>0</v>
      </c>
      <c r="M35" s="603">
        <f>[3]!CIP1072P265F1000</f>
        <v>0</v>
      </c>
      <c r="N35" s="603">
        <f>SUM(H35:L35)</f>
        <v>0</v>
      </c>
      <c r="O35" s="201"/>
      <c r="P35" s="207">
        <v>18</v>
      </c>
    </row>
    <row r="36" spans="1:16" ht="12" customHeight="1" x14ac:dyDescent="0.2">
      <c r="A36" s="86"/>
      <c r="B36" t="s">
        <v>207</v>
      </c>
      <c r="E36" s="191"/>
      <c r="F36" s="195"/>
      <c r="G36" s="746"/>
      <c r="H36" s="196"/>
      <c r="I36" s="196"/>
      <c r="J36" s="196"/>
      <c r="K36" s="196"/>
      <c r="L36" s="196"/>
      <c r="M36" s="196"/>
      <c r="N36" s="196"/>
      <c r="O36" s="195"/>
      <c r="P36" s="207"/>
    </row>
    <row r="37" spans="1:16" ht="12" customHeight="1" x14ac:dyDescent="0.2">
      <c r="A37" s="86"/>
      <c r="C37" t="s">
        <v>208</v>
      </c>
      <c r="E37" s="191">
        <v>19</v>
      </c>
      <c r="F37" s="201"/>
      <c r="G37" s="746"/>
      <c r="H37" s="603">
        <f>SUMIFS('Accounting data'!$G$2:$G$37000,'Accounting data'!$H$2:$H$37000,"1072*",'Accounting data'!$I$2:$I$37000,"265*",'Accounting data'!$J$2:$J$37000,"21*",'Accounting data'!$K$2:$K$37000,"61*")</f>
        <v>0</v>
      </c>
      <c r="I37" s="603">
        <f>SUMIFS('Accounting data'!$G$2:$G$37000,'Accounting data'!$H$2:$H$37000,"1072*",'Accounting data'!$I$2:$I$37000,"265*",'Accounting data'!$J$2:$J$37000,"21*",'Accounting data'!$K$2:$K$37000,"62*")</f>
        <v>0</v>
      </c>
      <c r="J37" s="603">
        <f>SUMIFS('Accounting data'!$G$2:$G$37000,'Accounting data'!$H$2:$H$37000,"1072*",'Accounting data'!$I$2:$I$37000,"265*",'Accounting data'!$J$2:$J$37000,"21*",'Accounting data'!$K$2:$K$37000,"63*")</f>
        <v>0</v>
      </c>
      <c r="K37" s="603">
        <f>SUMIFS('Accounting data'!$G$2:$G$37000,'Accounting data'!$H$2:$H$37000,"1072*",'Accounting data'!$I$2:$I$37000,"265*",'Accounting data'!$J$2:$J$37000,"21*",'Accounting data'!$K$2:$K$37000,"66*")</f>
        <v>0</v>
      </c>
      <c r="L37" s="603">
        <f>SUMIFS('Accounting data'!$G$2:$G$37000,'Accounting data'!$H$2:$H$37000,"1072*",'Accounting data'!$I$2:$I$37000,"265*",'Accounting data'!$J$2:$J$37000,"21*",'Accounting data'!$K$2:$K$37000,"68*")</f>
        <v>0</v>
      </c>
      <c r="M37" s="603">
        <f>[3]!CIP1072P265F2100</f>
        <v>0</v>
      </c>
      <c r="N37" s="603">
        <f>SUM(H37:L37)</f>
        <v>0</v>
      </c>
      <c r="O37" s="201"/>
      <c r="P37" s="207">
        <v>19</v>
      </c>
    </row>
    <row r="38" spans="1:16" ht="12" customHeight="1" x14ac:dyDescent="0.2">
      <c r="A38" s="86"/>
      <c r="C38" t="s">
        <v>209</v>
      </c>
      <c r="E38" s="191">
        <v>20</v>
      </c>
      <c r="F38" s="203"/>
      <c r="G38" s="204"/>
      <c r="H38" s="598">
        <f>SUMIFS('Accounting data'!$G$2:$G$37000,'Accounting data'!$H$2:$H$37000,"1072*",'Accounting data'!$I$2:$I$37000,"265*",'Accounting data'!$J$2:$J$37000,"22*",'Accounting data'!$K$2:$K$37000,"61*")</f>
        <v>0</v>
      </c>
      <c r="I38" s="598">
        <f>SUMIFS('Accounting data'!$G$2:$G$37000,'Accounting data'!$H$2:$H$37000,"1072*",'Accounting data'!$I$2:$I$37000,"265*",'Accounting data'!$J$2:$J$37000,"22*",'Accounting data'!$K$2:$K$37000,"62*")</f>
        <v>0</v>
      </c>
      <c r="J38" s="598">
        <f>SUMIFS('Accounting data'!$G$2:$G$37000,'Accounting data'!$H$2:$H$37000,"1072*",'Accounting data'!$I$2:$I$37000,"265*",'Accounting data'!$J$2:$J$37000,"22*",'Accounting data'!$K$2:$K$37000,"63*")</f>
        <v>0</v>
      </c>
      <c r="K38" s="598">
        <f>SUMIFS('Accounting data'!$G$2:$G$37000,'Accounting data'!$H$2:$H$37000,"1072*",'Accounting data'!$I$2:$I$37000,"265*",'Accounting data'!$J$2:$J$37000,"22*",'Accounting data'!$K$2:$K$37000,"66*")</f>
        <v>0</v>
      </c>
      <c r="L38" s="598">
        <f>SUMIFS('Accounting data'!$G$2:$G$37000,'Accounting data'!$H$2:$H$37000,"1072*",'Accounting data'!$I$2:$I$37000,"265*",'Accounting data'!$J$2:$J$37000,"22*",'Accounting data'!$K$2:$K$37000,"68*")</f>
        <v>0</v>
      </c>
      <c r="M38" s="596">
        <f>[3]!CIP1072P265F2200</f>
        <v>0</v>
      </c>
      <c r="N38" s="598">
        <f t="shared" ref="N38:N43" si="2">SUM(H38:L38)</f>
        <v>0</v>
      </c>
      <c r="O38" s="203"/>
      <c r="P38" s="207">
        <v>20</v>
      </c>
    </row>
    <row r="39" spans="1:16" ht="12" customHeight="1" x14ac:dyDescent="0.2">
      <c r="A39" s="86"/>
      <c r="C39" t="s">
        <v>210</v>
      </c>
      <c r="E39" s="191">
        <v>21</v>
      </c>
      <c r="F39" s="203"/>
      <c r="G39" s="204"/>
      <c r="H39" s="598">
        <f>SUMIFS('Accounting data'!$G$2:$G$37000,'Accounting data'!$H$2:$H$37000,"1072*",'Accounting data'!$I$2:$I$37000,"265*",'Accounting data'!$J$2:$J$37000,"23*",'Accounting data'!$K$2:$K$37000,"61*")</f>
        <v>0</v>
      </c>
      <c r="I39" s="598">
        <f>SUMIFS('Accounting data'!$G$2:$G$37000,'Accounting data'!$H$2:$H$37000,"1072*",'Accounting data'!$I$2:$I$37000,"265*",'Accounting data'!$J$2:$J$37000,"23*",'Accounting data'!$K$2:$K$37000,"62*")</f>
        <v>0</v>
      </c>
      <c r="J39" s="598">
        <f>SUMIFS('Accounting data'!$G$2:$G$37000,'Accounting data'!$H$2:$H$37000,"1072*",'Accounting data'!$I$2:$I$37000,"265*",'Accounting data'!$J$2:$J$37000,"23*",'Accounting data'!$K$2:$K$37000,"63*")</f>
        <v>0</v>
      </c>
      <c r="K39" s="598">
        <f>SUMIFS('Accounting data'!$G$2:$G$37000,'Accounting data'!$H$2:$H$37000,"1072*",'Accounting data'!$I$2:$I$37000,"265*",'Accounting data'!$J$2:$J$37000,"23*",'Accounting data'!$K$2:$K$37000,"66*")</f>
        <v>0</v>
      </c>
      <c r="L39" s="598">
        <f>SUMIFS('Accounting data'!$G$2:$G$37000,'Accounting data'!$H$2:$H$37000,"1072*",'Accounting data'!$I$2:$I$37000,"265*",'Accounting data'!$J$2:$J$37000,"23*",'Accounting data'!$K$2:$K$37000,"68*")</f>
        <v>0</v>
      </c>
      <c r="M39" s="596">
        <f>[3]!CIP1072P265F2300</f>
        <v>0</v>
      </c>
      <c r="N39" s="598">
        <f t="shared" si="2"/>
        <v>0</v>
      </c>
      <c r="O39" s="203"/>
      <c r="P39" s="207">
        <v>21</v>
      </c>
    </row>
    <row r="40" spans="1:16" ht="12" customHeight="1" x14ac:dyDescent="0.2">
      <c r="A40" s="86"/>
      <c r="C40" t="s">
        <v>211</v>
      </c>
      <c r="E40" s="191">
        <v>22</v>
      </c>
      <c r="F40" s="203"/>
      <c r="G40" s="204"/>
      <c r="H40" s="598">
        <f>SUMIFS('Accounting data'!$G$2:$G$37000,'Accounting data'!$H$2:$H$37000,"1072*",'Accounting data'!$I$2:$I$37000,"265*",'Accounting data'!$J$2:$J$37000,"24*",'Accounting data'!$K$2:$K$37000,"61*")</f>
        <v>0</v>
      </c>
      <c r="I40" s="598">
        <f>SUMIFS('Accounting data'!$G$2:$G$37000,'Accounting data'!$H$2:$H$37000,"1072*",'Accounting data'!$I$2:$I$37000,"265*",'Accounting data'!$J$2:$J$37000,"24*",'Accounting data'!$K$2:$K$37000,"62*")</f>
        <v>0</v>
      </c>
      <c r="J40" s="598">
        <f>SUMIFS('Accounting data'!$G$2:$G$37000,'Accounting data'!$H$2:$H$37000,"1072*",'Accounting data'!$I$2:$I$37000,"265*",'Accounting data'!$J$2:$J$37000,"24*",'Accounting data'!$K$2:$K$37000,"63*")</f>
        <v>0</v>
      </c>
      <c r="K40" s="598">
        <f>SUMIFS('Accounting data'!$G$2:$G$37000,'Accounting data'!$H$2:$H$37000,"1072*",'Accounting data'!$I$2:$I$37000,"265*",'Accounting data'!$J$2:$J$37000,"24*",'Accounting data'!$K$2:$K$37000,"66*")</f>
        <v>0</v>
      </c>
      <c r="L40" s="598">
        <f>SUMIFS('Accounting data'!$G$2:$G$37000,'Accounting data'!$H$2:$H$37000,"1072*",'Accounting data'!$I$2:$I$37000,"265*",'Accounting data'!$J$2:$J$37000,"24*",'Accounting data'!$K$2:$K$37000,"68*")</f>
        <v>0</v>
      </c>
      <c r="M40" s="596">
        <f>[3]!CIP1072P265F2400</f>
        <v>0</v>
      </c>
      <c r="N40" s="598">
        <f t="shared" si="2"/>
        <v>0</v>
      </c>
      <c r="O40" s="203"/>
      <c r="P40" s="207">
        <v>22</v>
      </c>
    </row>
    <row r="41" spans="1:16" ht="12" customHeight="1" x14ac:dyDescent="0.2">
      <c r="A41" s="86"/>
      <c r="C41" t="s">
        <v>212</v>
      </c>
      <c r="E41" s="191">
        <v>23</v>
      </c>
      <c r="F41" s="203"/>
      <c r="G41" s="204"/>
      <c r="H41" s="598">
        <f>SUMIFS('Accounting data'!$G$2:$G$37000,'Accounting data'!$H$2:$H$37000,"1072*",'Accounting data'!$I$2:$I$37000,"265*",'Accounting data'!$J$2:$J$37000,"25*",'Accounting data'!$K$2:$K$37000,"61*")</f>
        <v>0</v>
      </c>
      <c r="I41" s="598">
        <f>SUMIFS('Accounting data'!$G$2:$G$37000,'Accounting data'!$H$2:$H$37000,"1072*",'Accounting data'!$I$2:$I$37000,"265*",'Accounting data'!$J$2:$J$37000,"25*",'Accounting data'!$K$2:$K$37000,"62*")</f>
        <v>0</v>
      </c>
      <c r="J41" s="598">
        <f>SUMIFS('Accounting data'!$G$2:$G$37000,'Accounting data'!$H$2:$H$37000,"1072*",'Accounting data'!$I$2:$I$37000,"265*",'Accounting data'!$J$2:$J$37000,"25*",'Accounting data'!$K$2:$K$37000,"63*")</f>
        <v>0</v>
      </c>
      <c r="K41" s="598">
        <f>SUMIFS('Accounting data'!$G$2:$G$37000,'Accounting data'!$H$2:$H$37000,"1072*",'Accounting data'!$I$2:$I$37000,"265*",'Accounting data'!$J$2:$J$37000,"25*",'Accounting data'!$K$2:$K$37000,"66*")</f>
        <v>0</v>
      </c>
      <c r="L41" s="598">
        <f>SUMIFS('Accounting data'!$G$2:$G$37000,'Accounting data'!$H$2:$H$37000,"1072*",'Accounting data'!$I$2:$I$37000,"265*",'Accounting data'!$J$2:$J$37000,"25*",'Accounting data'!$K$2:$K$37000,"68*")</f>
        <v>0</v>
      </c>
      <c r="M41" s="596">
        <f>[3]!CIP1072P265F2500</f>
        <v>0</v>
      </c>
      <c r="N41" s="598">
        <f t="shared" si="2"/>
        <v>0</v>
      </c>
      <c r="O41" s="203"/>
      <c r="P41" s="207">
        <v>23</v>
      </c>
    </row>
    <row r="42" spans="1:16" ht="12" customHeight="1" x14ac:dyDescent="0.2">
      <c r="A42" s="86"/>
      <c r="C42" t="s">
        <v>213</v>
      </c>
      <c r="E42" s="191">
        <v>24</v>
      </c>
      <c r="F42" s="203"/>
      <c r="G42" s="204"/>
      <c r="H42" s="598">
        <f>SUMIFS('Accounting data'!$G$2:$G$37000,'Accounting data'!$H$2:$H$37000,"1072*",'Accounting data'!$I$2:$I$37000,"265*",'Accounting data'!$J$2:$J$37000,"26*",'Accounting data'!$K$2:$K$37000,"61*")</f>
        <v>0</v>
      </c>
      <c r="I42" s="598">
        <f>SUMIFS('Accounting data'!$G$2:$G$37000,'Accounting data'!$H$2:$H$37000,"1072*",'Accounting data'!$I$2:$I$37000,"265*",'Accounting data'!$J$2:$J$37000,"26*",'Accounting data'!$K$2:$K$37000,"62*")</f>
        <v>0</v>
      </c>
      <c r="J42" s="598">
        <f>SUMIFS('Accounting data'!$G$2:$G$37000,'Accounting data'!$H$2:$H$37000,"1072*",'Accounting data'!$I$2:$I$37000,"265*",'Accounting data'!$J$2:$J$37000,"26*",'Accounting data'!$K$2:$K$37000,"63*")</f>
        <v>0</v>
      </c>
      <c r="K42" s="598">
        <f>SUMIFS('Accounting data'!$G$2:$G$37000,'Accounting data'!$H$2:$H$37000,"1072*",'Accounting data'!$I$2:$I$37000,"265*",'Accounting data'!$J$2:$J$37000,"26*",'Accounting data'!$K$2:$K$37000,"66*")</f>
        <v>0</v>
      </c>
      <c r="L42" s="598">
        <f>SUMIFS('Accounting data'!$G$2:$G$37000,'Accounting data'!$H$2:$H$37000,"1072*",'Accounting data'!$I$2:$I$37000,"265*",'Accounting data'!$J$2:$J$37000,"26*",'Accounting data'!$K$2:$K$37000,"68*")</f>
        <v>0</v>
      </c>
      <c r="M42" s="596">
        <f>[3]!CIP1072P265F2600</f>
        <v>0</v>
      </c>
      <c r="N42" s="598">
        <f t="shared" si="2"/>
        <v>0</v>
      </c>
      <c r="O42" s="203"/>
      <c r="P42" s="207">
        <v>24</v>
      </c>
    </row>
    <row r="43" spans="1:16" ht="12" customHeight="1" x14ac:dyDescent="0.2">
      <c r="A43" s="86"/>
      <c r="C43" t="s">
        <v>214</v>
      </c>
      <c r="E43" s="191">
        <v>25</v>
      </c>
      <c r="F43" s="203"/>
      <c r="G43" s="204"/>
      <c r="H43" s="598">
        <f>SUMIFS('Accounting data'!$G$2:$G$37000,'Accounting data'!$H$2:$H$37000,"1072*",'Accounting data'!$I$2:$I$37000,"265*",'Accounting data'!$J$2:$J$37000,"29*",'Accounting data'!$K$2:$K$37000,"61*")</f>
        <v>0</v>
      </c>
      <c r="I43" s="598">
        <f>SUMIFS('Accounting data'!$G$2:$G$37000,'Accounting data'!$H$2:$H$37000,"1072*",'Accounting data'!$I$2:$I$37000,"265*",'Accounting data'!$J$2:$J$37000,"29*",'Accounting data'!$K$2:$K$37000,"62*")</f>
        <v>0</v>
      </c>
      <c r="J43" s="598">
        <f>SUMIFS('Accounting data'!$G$2:$G$37000,'Accounting data'!$H$2:$H$37000,"1072*",'Accounting data'!$I$2:$I$37000,"265*",'Accounting data'!$J$2:$J$37000,"29*",'Accounting data'!$K$2:$K$37000,"63*")</f>
        <v>0</v>
      </c>
      <c r="K43" s="598">
        <f>SUMIFS('Accounting data'!$G$2:$G$37000,'Accounting data'!$H$2:$H$37000,"1072*",'Accounting data'!$I$2:$I$37000,"265*",'Accounting data'!$J$2:$J$37000,"29*",'Accounting data'!$K$2:$K$37000,"66*")</f>
        <v>0</v>
      </c>
      <c r="L43" s="598">
        <f>SUMIFS('Accounting data'!$G$2:$G$37000,'Accounting data'!$H$2:$H$37000,"1072*",'Accounting data'!$I$2:$I$37000,"265*",'Accounting data'!$J$2:$J$37000,"29*",'Accounting data'!$K$2:$K$37000,"68*")</f>
        <v>0</v>
      </c>
      <c r="M43" s="596">
        <f>[3]!CIP1072P265F2900</f>
        <v>0</v>
      </c>
      <c r="N43" s="598">
        <f t="shared" si="2"/>
        <v>0</v>
      </c>
      <c r="O43" s="203"/>
      <c r="P43" s="207">
        <v>25</v>
      </c>
    </row>
    <row r="44" spans="1:16" ht="12" customHeight="1" x14ac:dyDescent="0.2">
      <c r="A44" s="90"/>
      <c r="B44" s="2" t="s">
        <v>222</v>
      </c>
      <c r="C44" s="2"/>
      <c r="D44" s="2"/>
      <c r="E44" s="187">
        <v>26</v>
      </c>
      <c r="F44" s="203"/>
      <c r="G44" s="204"/>
      <c r="H44" s="214">
        <f>SUM(H35:H43)</f>
        <v>0</v>
      </c>
      <c r="I44" s="214">
        <f t="shared" ref="I44:L44" si="3">SUM(I35:I43)</f>
        <v>0</v>
      </c>
      <c r="J44" s="214">
        <f>SUM(J35:J43)</f>
        <v>0</v>
      </c>
      <c r="K44" s="214">
        <f>SUM(K35:K43)</f>
        <v>0</v>
      </c>
      <c r="L44" s="214">
        <f t="shared" si="3"/>
        <v>0</v>
      </c>
      <c r="M44" s="214">
        <f>SUM(M35:M43)</f>
        <v>0</v>
      </c>
      <c r="N44" s="214">
        <f>SUM(N35:N43)</f>
        <v>0</v>
      </c>
      <c r="O44" s="203"/>
      <c r="P44" s="207">
        <v>26</v>
      </c>
    </row>
    <row r="45" spans="1:16" ht="12" customHeight="1" x14ac:dyDescent="0.2">
      <c r="A45" s="86" t="s">
        <v>223</v>
      </c>
      <c r="E45" s="191"/>
      <c r="F45" s="195"/>
      <c r="G45" s="745"/>
      <c r="H45" s="146"/>
      <c r="I45" s="146"/>
      <c r="J45" s="146"/>
      <c r="K45" s="146"/>
      <c r="L45" s="146"/>
      <c r="M45" s="146"/>
      <c r="N45" s="146"/>
      <c r="O45" s="195"/>
      <c r="P45" s="207"/>
    </row>
    <row r="46" spans="1:16" ht="12" customHeight="1" x14ac:dyDescent="0.2">
      <c r="A46" s="86"/>
      <c r="B46" t="s">
        <v>207</v>
      </c>
      <c r="E46" s="191"/>
      <c r="F46" s="198"/>
      <c r="G46" s="746"/>
      <c r="H46" s="199"/>
      <c r="I46" s="199"/>
      <c r="J46" s="199"/>
      <c r="K46" s="199"/>
      <c r="L46" s="199"/>
      <c r="M46" s="199"/>
      <c r="N46" s="199"/>
      <c r="O46" s="198"/>
      <c r="P46" s="207"/>
    </row>
    <row r="47" spans="1:16" ht="12" customHeight="1" x14ac:dyDescent="0.2">
      <c r="A47" s="86"/>
      <c r="C47" t="s">
        <v>217</v>
      </c>
      <c r="E47" s="191">
        <v>27</v>
      </c>
      <c r="F47" s="198"/>
      <c r="G47" s="746"/>
      <c r="H47" s="603">
        <f>SUMIFS('Accounting data'!$G$2:$G$37000,'Accounting data'!$H$2:$H$37000,"1072*",'Accounting data'!$I$2:$I$37000,"435*",'Accounting data'!$J$2:$J$37000,"27*",'Accounting data'!$K$2:$K$37000,"61*")</f>
        <v>0</v>
      </c>
      <c r="I47" s="603">
        <f>SUMIFS('Accounting data'!$G$2:$G$37000,'Accounting data'!$H$2:$H$37000,"1072*",'Accounting data'!$I$2:$I$37000,"435*",'Accounting data'!$J$2:$J$37000,"27*",'Accounting data'!$K$2:$K$37000,"62*")</f>
        <v>0</v>
      </c>
      <c r="J47" s="603">
        <f>SUMIFS('Accounting data'!$G$2:$G$37000,'Accounting data'!$H$2:$H$37000,"1072*",'Accounting data'!$I$2:$I$37000,"435*",'Accounting data'!$J$2:$J$37000,"27*",'Accounting data'!$K$2:$K$37000,"63*")</f>
        <v>0</v>
      </c>
      <c r="K47" s="603">
        <f>SUMIFS('Accounting data'!$G$2:$G$37000,'Accounting data'!$H$2:$H$37000,"1072*",'Accounting data'!$I$2:$I$37000,"435*",'Accounting data'!$J$2:$J$37000,"27*",'Accounting data'!$K$2:$K$37000,"66*")</f>
        <v>0</v>
      </c>
      <c r="L47" s="603">
        <f>SUMIFS('Accounting data'!$G$2:$G$37000,'Accounting data'!$H$2:$H$37000,"1072*",'Accounting data'!$I$2:$I$37000,"435*",'Accounting data'!$J$2:$J$37000,"27*",'Accounting data'!$K$2:$K$37000,"68*")</f>
        <v>0</v>
      </c>
      <c r="M47" s="603">
        <f>[3]!CIP1072P435F2700</f>
        <v>0</v>
      </c>
      <c r="N47" s="603">
        <f>SUM(H47:L47)</f>
        <v>0</v>
      </c>
      <c r="O47" s="198"/>
      <c r="P47" s="207">
        <v>27</v>
      </c>
    </row>
    <row r="48" spans="1:16" ht="12" customHeight="1" x14ac:dyDescent="0.2">
      <c r="A48" s="96" t="s">
        <v>224</v>
      </c>
      <c r="B48" s="97"/>
      <c r="C48" s="97"/>
      <c r="D48" s="97"/>
      <c r="E48" s="208">
        <v>28</v>
      </c>
      <c r="F48" s="596">
        <f>[4]!CIP1072EndBal</f>
        <v>0</v>
      </c>
      <c r="G48" s="598">
        <f>G32</f>
        <v>0</v>
      </c>
      <c r="H48" s="603">
        <f t="shared" ref="H48:L48" si="4">SUM(H44:H47)</f>
        <v>0</v>
      </c>
      <c r="I48" s="603">
        <f t="shared" si="4"/>
        <v>0</v>
      </c>
      <c r="J48" s="603">
        <f t="shared" si="4"/>
        <v>0</v>
      </c>
      <c r="K48" s="603">
        <f t="shared" si="4"/>
        <v>0</v>
      </c>
      <c r="L48" s="603">
        <f t="shared" si="4"/>
        <v>0</v>
      </c>
      <c r="M48" s="598">
        <f>SUM(M44:M47)</f>
        <v>0</v>
      </c>
      <c r="N48" s="598">
        <f>SUM(N44:N47)</f>
        <v>0</v>
      </c>
      <c r="O48" s="598">
        <f>F48+G48-N48</f>
        <v>0</v>
      </c>
      <c r="P48" s="207">
        <v>28</v>
      </c>
    </row>
  </sheetData>
  <sheetProtection formatCells="0" formatColumns="0" formatRows="0"/>
  <mergeCells count="30">
    <mergeCell ref="D1:E1"/>
    <mergeCell ref="J1:K1"/>
    <mergeCell ref="A27:L27"/>
    <mergeCell ref="H6:H7"/>
    <mergeCell ref="I6:I7"/>
    <mergeCell ref="J6:J7"/>
    <mergeCell ref="F28:F29"/>
    <mergeCell ref="F6:F7"/>
    <mergeCell ref="M3:N3"/>
    <mergeCell ref="M14:M15"/>
    <mergeCell ref="M6:M7"/>
    <mergeCell ref="O6:O7"/>
    <mergeCell ref="G11:G13"/>
    <mergeCell ref="G23:G25"/>
    <mergeCell ref="G14:G15"/>
    <mergeCell ref="G6:G7"/>
    <mergeCell ref="K6:K7"/>
    <mergeCell ref="L6:L7"/>
    <mergeCell ref="G45:G47"/>
    <mergeCell ref="M28:M29"/>
    <mergeCell ref="N28:N29"/>
    <mergeCell ref="O28:O29"/>
    <mergeCell ref="N14:N15"/>
    <mergeCell ref="G28:G29"/>
    <mergeCell ref="G36:G37"/>
    <mergeCell ref="H28:H29"/>
    <mergeCell ref="I28:I29"/>
    <mergeCell ref="J28:J29"/>
    <mergeCell ref="K28:K29"/>
    <mergeCell ref="L28:L29"/>
  </mergeCells>
  <pageMargins left="0.75" right="0.25" top="0.25" bottom="0.25" header="0.5" footer="0.15"/>
  <pageSetup paperSize="5" orientation="landscape" r:id="rId1"/>
  <headerFooter>
    <oddFooter>&amp;LRev. 8/24 Arizona Department of Education and Auditor General&amp;CFY 2024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2BCD-3477-455C-B39B-27A606227B57}">
  <sheetPr>
    <pageSetUpPr fitToPage="1"/>
  </sheetPr>
  <dimension ref="A1:AX45"/>
  <sheetViews>
    <sheetView showGridLines="0" topLeftCell="A4" zoomScaleNormal="100" workbookViewId="0">
      <selection activeCell="T30" sqref="T30"/>
    </sheetView>
  </sheetViews>
  <sheetFormatPr defaultColWidth="9.33203125" defaultRowHeight="12.75" x14ac:dyDescent="0.2"/>
  <cols>
    <col min="1" max="1" width="3.83203125" customWidth="1"/>
    <col min="2" max="2" width="33.33203125" customWidth="1"/>
    <col min="3" max="3" width="2" customWidth="1"/>
    <col min="4" max="4" width="16" customWidth="1"/>
    <col min="5" max="5" width="3" customWidth="1"/>
    <col min="6" max="6" width="12.83203125" customWidth="1"/>
    <col min="7" max="7" width="13" customWidth="1"/>
    <col min="8" max="9" width="3.83203125" customWidth="1"/>
    <col min="10" max="10" width="2.33203125" customWidth="1"/>
    <col min="11" max="11" width="11" customWidth="1"/>
    <col min="12" max="12" width="18.6640625" customWidth="1"/>
    <col min="13" max="13" width="6.33203125" customWidth="1"/>
    <col min="14" max="14" width="5.33203125" customWidth="1"/>
    <col min="15" max="15" width="7.33203125" customWidth="1"/>
    <col min="16" max="16" width="6.83203125" customWidth="1"/>
    <col min="17" max="17" width="9" customWidth="1"/>
    <col min="18" max="18" width="15.83203125" customWidth="1"/>
    <col min="19" max="19" width="15" customWidth="1"/>
    <col min="20" max="20" width="15.33203125" customWidth="1"/>
    <col min="21" max="21" width="12.83203125" customWidth="1"/>
    <col min="22" max="22" width="15.83203125" customWidth="1"/>
    <col min="23" max="23" width="9.33203125" customWidth="1"/>
  </cols>
  <sheetData>
    <row r="1" spans="1:50" ht="12" customHeight="1" x14ac:dyDescent="0.2">
      <c r="A1" s="595" t="s">
        <v>0</v>
      </c>
      <c r="C1" s="722" t="str">
        <f>'Cover Page'!D1</f>
        <v>ASU Preparatory Academy - South Phoenix Primary</v>
      </c>
      <c r="D1" s="722"/>
      <c r="E1" s="722"/>
      <c r="F1" s="722"/>
      <c r="H1" t="s">
        <v>20</v>
      </c>
      <c r="I1" s="595" t="s">
        <v>1</v>
      </c>
      <c r="L1" s="616" t="str">
        <f>'Cover Page'!M1</f>
        <v>Maricopa</v>
      </c>
      <c r="T1" s="57" t="s">
        <v>2</v>
      </c>
      <c r="U1" s="215" t="str">
        <f>'Cover Page'!R1</f>
        <v>078267000</v>
      </c>
    </row>
    <row r="2" spans="1:50" hidden="1" x14ac:dyDescent="0.2">
      <c r="T2" s="65"/>
      <c r="U2" s="65"/>
    </row>
    <row r="3" spans="1:50" x14ac:dyDescent="0.2">
      <c r="V3" s="154"/>
      <c r="AE3" s="593"/>
      <c r="AF3" s="593"/>
      <c r="AG3" s="593"/>
      <c r="AH3" s="593"/>
      <c r="AI3" s="593"/>
      <c r="AJ3" s="593"/>
      <c r="AK3" s="593"/>
      <c r="AL3" s="593"/>
      <c r="AM3" s="593"/>
      <c r="AN3" s="593"/>
      <c r="AO3" s="593"/>
      <c r="AP3" s="593"/>
      <c r="AQ3" s="593"/>
      <c r="AR3" s="593"/>
      <c r="AS3" s="593"/>
      <c r="AT3" s="593"/>
      <c r="AU3" s="593"/>
      <c r="AV3" s="593"/>
      <c r="AW3" s="593"/>
      <c r="AX3" s="593"/>
    </row>
    <row r="4" spans="1:50" x14ac:dyDescent="0.2">
      <c r="A4" s="216" t="s">
        <v>225</v>
      </c>
      <c r="B4" s="65"/>
      <c r="C4" s="65"/>
      <c r="D4" s="65"/>
      <c r="E4" s="65"/>
      <c r="F4" s="65"/>
      <c r="G4" s="65"/>
      <c r="H4" s="65"/>
      <c r="I4" s="65"/>
      <c r="J4" s="65"/>
      <c r="K4" s="65"/>
      <c r="L4" s="65"/>
      <c r="M4" s="65"/>
      <c r="N4" s="65"/>
      <c r="O4" s="65"/>
      <c r="P4" s="65"/>
      <c r="Q4" s="65"/>
      <c r="R4" s="65"/>
      <c r="S4" s="65"/>
      <c r="T4" s="65"/>
      <c r="U4" s="65"/>
      <c r="AE4" s="593"/>
      <c r="AF4" s="593"/>
      <c r="AG4" s="593"/>
      <c r="AH4" s="593"/>
      <c r="AI4" s="593"/>
      <c r="AJ4" s="593"/>
      <c r="AK4" s="593"/>
      <c r="AL4" s="593"/>
      <c r="AM4" s="593"/>
      <c r="AN4" s="593"/>
      <c r="AO4" s="593"/>
      <c r="AP4" s="593"/>
      <c r="AQ4" s="593"/>
      <c r="AR4" s="593"/>
      <c r="AS4" s="593"/>
      <c r="AT4" s="593"/>
      <c r="AU4" s="593"/>
      <c r="AV4" s="593"/>
      <c r="AW4" s="593"/>
      <c r="AX4" s="593"/>
    </row>
    <row r="5" spans="1:50" x14ac:dyDescent="0.2">
      <c r="D5" s="679" t="s">
        <v>1181</v>
      </c>
      <c r="F5" s="679" t="s">
        <v>1182</v>
      </c>
      <c r="AE5" s="593"/>
      <c r="AF5" s="593"/>
      <c r="AG5" s="593"/>
      <c r="AH5" s="593"/>
      <c r="AI5" s="593"/>
      <c r="AJ5" s="593"/>
      <c r="AK5" s="593"/>
      <c r="AL5" s="593"/>
      <c r="AM5" s="593"/>
      <c r="AN5" s="593"/>
      <c r="AO5" s="593"/>
      <c r="AP5" s="593"/>
      <c r="AQ5" s="593"/>
      <c r="AR5" s="593"/>
      <c r="AS5" s="593"/>
      <c r="AT5" s="593"/>
      <c r="AU5" s="593"/>
      <c r="AV5" s="593"/>
      <c r="AW5" s="593"/>
      <c r="AX5" s="593"/>
    </row>
    <row r="6" spans="1:50" x14ac:dyDescent="0.2">
      <c r="A6" t="s">
        <v>226</v>
      </c>
      <c r="B6" t="s">
        <v>227</v>
      </c>
      <c r="C6" s="3" t="s">
        <v>16</v>
      </c>
      <c r="D6" s="217">
        <f>[4]!CashBal</f>
        <v>-319497</v>
      </c>
      <c r="E6" s="3" t="s">
        <v>16</v>
      </c>
      <c r="F6" s="53">
        <v>109717</v>
      </c>
      <c r="I6" t="s">
        <v>228</v>
      </c>
      <c r="J6" s="218" t="s">
        <v>24</v>
      </c>
      <c r="K6" s="219" t="s">
        <v>229</v>
      </c>
      <c r="L6" s="220"/>
      <c r="M6" s="221"/>
      <c r="N6" s="220"/>
      <c r="O6" s="221"/>
      <c r="P6" s="220"/>
      <c r="Q6" s="221"/>
      <c r="T6" s="23">
        <v>5</v>
      </c>
      <c r="U6" s="727"/>
      <c r="V6" s="727"/>
      <c r="W6" s="727"/>
      <c r="X6" s="727"/>
      <c r="Y6" s="727"/>
      <c r="Z6" s="727"/>
      <c r="AA6" s="727"/>
      <c r="AE6" s="593"/>
      <c r="AF6" s="593"/>
      <c r="AG6" s="593"/>
      <c r="AH6" s="593"/>
      <c r="AI6" s="593"/>
      <c r="AJ6" s="593"/>
      <c r="AK6" s="593"/>
      <c r="AL6" s="593"/>
      <c r="AM6" s="593"/>
      <c r="AN6" s="593"/>
      <c r="AO6" s="593"/>
      <c r="AP6" s="593"/>
      <c r="AQ6" s="593"/>
      <c r="AR6" s="593"/>
      <c r="AS6" s="593"/>
      <c r="AT6" s="593"/>
      <c r="AU6" s="593"/>
      <c r="AV6" s="593"/>
      <c r="AW6" s="593"/>
      <c r="AX6" s="593"/>
    </row>
    <row r="7" spans="1:50" x14ac:dyDescent="0.2">
      <c r="D7" s="223"/>
      <c r="F7" s="223"/>
      <c r="J7" s="218" t="s">
        <v>26</v>
      </c>
      <c r="K7" s="219" t="s">
        <v>230</v>
      </c>
      <c r="L7" s="220"/>
      <c r="M7" s="221"/>
      <c r="N7" s="220"/>
      <c r="O7" s="221"/>
      <c r="P7" s="220"/>
      <c r="Q7" s="221"/>
      <c r="T7" s="23">
        <v>0</v>
      </c>
      <c r="AA7" s="224" t="str">
        <f>IF(OR(CashBal="",F9="",G9="",F10="",G10="",G14="",G15="",G16="",G17="",G18="",G19="",F23="",F24="",F25="",F26="",F27="",F28="",G33="",G34="",G35="",G36="",G38="",G40=""),"yes","")</f>
        <v/>
      </c>
      <c r="AE7" s="593"/>
      <c r="AF7" s="593"/>
      <c r="AG7" s="593"/>
      <c r="AH7" s="593"/>
      <c r="AI7" s="593"/>
      <c r="AJ7" s="593"/>
      <c r="AK7" s="593"/>
      <c r="AL7" s="593"/>
      <c r="AM7" s="593"/>
      <c r="AN7" s="593"/>
      <c r="AO7" s="593"/>
      <c r="AP7" s="593"/>
      <c r="AQ7" s="593"/>
      <c r="AR7" s="593"/>
      <c r="AS7" s="593"/>
      <c r="AT7" s="593"/>
      <c r="AU7" s="593"/>
      <c r="AV7" s="593"/>
      <c r="AW7" s="593"/>
      <c r="AX7" s="593"/>
    </row>
    <row r="8" spans="1:50" x14ac:dyDescent="0.2">
      <c r="A8" t="s">
        <v>231</v>
      </c>
      <c r="B8" s="219" t="s">
        <v>232</v>
      </c>
      <c r="C8" s="3"/>
      <c r="E8" s="3"/>
      <c r="F8" s="631" t="s">
        <v>101</v>
      </c>
      <c r="G8" s="631" t="s">
        <v>23</v>
      </c>
      <c r="J8" s="218" t="s">
        <v>28</v>
      </c>
      <c r="K8" s="219" t="s">
        <v>233</v>
      </c>
      <c r="L8" s="220"/>
      <c r="M8" s="221"/>
      <c r="N8" s="220"/>
      <c r="O8" s="221"/>
      <c r="P8" s="220"/>
      <c r="Q8" s="221"/>
      <c r="T8" s="26">
        <v>0</v>
      </c>
      <c r="AA8" s="224" t="str">
        <f>IF(OR(T6="",T7="",T8="",T9="",T10="",T11="",T12="",T13="",T29=""),"yes","")</f>
        <v/>
      </c>
      <c r="AE8" s="593"/>
      <c r="AF8" s="593"/>
      <c r="AG8" s="593"/>
      <c r="AH8" s="593"/>
      <c r="AI8" s="593"/>
      <c r="AJ8" s="593"/>
      <c r="AK8" s="593"/>
      <c r="AL8" s="593"/>
      <c r="AM8" s="593"/>
      <c r="AN8" s="593"/>
      <c r="AO8" s="593"/>
      <c r="AP8" s="593"/>
      <c r="AQ8" s="593"/>
      <c r="AR8" s="593"/>
      <c r="AS8" s="593"/>
      <c r="AT8" s="593"/>
      <c r="AU8" s="593"/>
      <c r="AV8" s="593"/>
      <c r="AW8" s="593"/>
      <c r="AX8" s="593"/>
    </row>
    <row r="9" spans="1:50" x14ac:dyDescent="0.2">
      <c r="B9" t="s">
        <v>234</v>
      </c>
      <c r="C9" s="3"/>
      <c r="E9" s="3"/>
      <c r="F9" s="50">
        <v>553</v>
      </c>
      <c r="G9" s="50">
        <v>319</v>
      </c>
      <c r="J9" s="225" t="s">
        <v>31</v>
      </c>
      <c r="K9" t="s">
        <v>235</v>
      </c>
      <c r="T9" s="24">
        <v>1</v>
      </c>
      <c r="AA9" s="224" t="str">
        <f>IF(OR(M19="",P19="",R19="",S19="",T19="",M20="",P20="",R20="",S20="",T20="",M21="",P21="",R21="",S21="",T21="",M22="",P22="",R22="",S22="",T22="",M24="",P24="",R24="",S24="",T24=""),"yes","")</f>
        <v/>
      </c>
      <c r="AE9" s="593"/>
      <c r="AF9" s="593"/>
      <c r="AG9" s="593"/>
      <c r="AH9" s="593"/>
      <c r="AI9" s="593"/>
      <c r="AJ9" s="593"/>
      <c r="AK9" s="593"/>
      <c r="AL9" s="593"/>
      <c r="AM9" s="593"/>
      <c r="AN9" s="593"/>
      <c r="AO9" s="593"/>
      <c r="AP9" s="593"/>
      <c r="AQ9" s="593"/>
      <c r="AR9" s="593"/>
      <c r="AS9" s="593"/>
      <c r="AT9" s="593"/>
      <c r="AU9" s="593"/>
      <c r="AV9" s="593"/>
      <c r="AW9" s="593"/>
      <c r="AX9" s="593"/>
    </row>
    <row r="10" spans="1:50" ht="13.5" thickBot="1" x14ac:dyDescent="0.25">
      <c r="B10" t="s">
        <v>236</v>
      </c>
      <c r="F10" s="52">
        <v>173</v>
      </c>
      <c r="G10" s="52">
        <v>142</v>
      </c>
      <c r="J10" s="225" t="s">
        <v>33</v>
      </c>
      <c r="K10" t="s">
        <v>237</v>
      </c>
      <c r="T10" s="23">
        <v>180</v>
      </c>
      <c r="AA10" s="224" t="str">
        <f>IF(AND(AA7="",AA8="",AA9=""),"","yes")</f>
        <v/>
      </c>
      <c r="AE10" s="593"/>
      <c r="AF10" s="593"/>
      <c r="AG10" s="593"/>
      <c r="AH10" s="593"/>
      <c r="AI10" s="593"/>
      <c r="AJ10" s="593"/>
      <c r="AK10" s="593"/>
      <c r="AL10" s="593"/>
      <c r="AM10" s="593"/>
      <c r="AN10" s="593"/>
      <c r="AO10" s="593"/>
      <c r="AP10" s="593"/>
      <c r="AQ10" s="593"/>
      <c r="AR10" s="593"/>
      <c r="AS10" s="593"/>
      <c r="AT10" s="593"/>
      <c r="AU10" s="593"/>
      <c r="AV10" s="593"/>
      <c r="AW10" s="593"/>
      <c r="AX10" s="593"/>
    </row>
    <row r="11" spans="1:50" ht="13.5" thickBot="1" x14ac:dyDescent="0.25">
      <c r="B11" t="s">
        <v>238</v>
      </c>
      <c r="F11" s="227">
        <f>SUM(F9:F10)</f>
        <v>726</v>
      </c>
      <c r="G11" s="227">
        <f>SUM(G9:G10)</f>
        <v>461</v>
      </c>
      <c r="J11" s="88" t="s">
        <v>35</v>
      </c>
      <c r="K11" t="s">
        <v>239</v>
      </c>
      <c r="S11" s="3" t="s">
        <v>16</v>
      </c>
      <c r="T11" s="24">
        <v>0</v>
      </c>
      <c r="AE11" s="593"/>
      <c r="AF11" s="593"/>
      <c r="AG11" s="593"/>
      <c r="AH11" s="593"/>
      <c r="AI11" s="593"/>
      <c r="AJ11" s="593"/>
      <c r="AK11" s="593"/>
      <c r="AL11" s="593"/>
      <c r="AM11" s="593"/>
      <c r="AN11" s="593"/>
      <c r="AO11" s="593"/>
      <c r="AP11" s="593"/>
      <c r="AQ11" s="593"/>
      <c r="AR11" s="593"/>
      <c r="AS11" s="593"/>
      <c r="AT11" s="593"/>
      <c r="AU11" s="593"/>
      <c r="AV11" s="593"/>
      <c r="AW11" s="593"/>
      <c r="AX11" s="593"/>
    </row>
    <row r="12" spans="1:50" ht="13.5" thickTop="1" x14ac:dyDescent="0.2">
      <c r="J12" s="88" t="s">
        <v>37</v>
      </c>
      <c r="K12" t="s">
        <v>240</v>
      </c>
      <c r="S12" s="3" t="s">
        <v>16</v>
      </c>
      <c r="T12" s="24">
        <v>0</v>
      </c>
      <c r="AE12" s="593"/>
      <c r="AF12" s="593"/>
      <c r="AG12" s="593"/>
      <c r="AH12" s="593"/>
      <c r="AI12" s="593"/>
      <c r="AJ12" s="593"/>
      <c r="AK12" s="593"/>
      <c r="AL12" s="593"/>
      <c r="AM12" s="593"/>
      <c r="AN12" s="593"/>
      <c r="AO12" s="593"/>
      <c r="AP12" s="593"/>
      <c r="AQ12" s="593"/>
      <c r="AR12" s="593"/>
      <c r="AS12" s="593"/>
      <c r="AT12" s="593"/>
      <c r="AU12" s="593"/>
      <c r="AV12" s="593"/>
      <c r="AW12" s="593"/>
      <c r="AX12" s="593"/>
    </row>
    <row r="13" spans="1:50" x14ac:dyDescent="0.2">
      <c r="A13" t="s">
        <v>241</v>
      </c>
      <c r="B13" s="219" t="s">
        <v>242</v>
      </c>
      <c r="F13" s="631" t="s">
        <v>101</v>
      </c>
      <c r="G13" s="631" t="s">
        <v>23</v>
      </c>
      <c r="J13" s="88" t="s">
        <v>39</v>
      </c>
      <c r="K13" t="s">
        <v>243</v>
      </c>
      <c r="S13" s="3" t="s">
        <v>16</v>
      </c>
      <c r="T13" s="624">
        <f>58908</f>
        <v>58908</v>
      </c>
      <c r="AE13" s="593"/>
      <c r="AF13" s="593"/>
      <c r="AG13" s="593"/>
      <c r="AH13" s="593"/>
      <c r="AI13" s="593"/>
      <c r="AJ13" s="593"/>
      <c r="AK13" s="593"/>
      <c r="AL13" s="593"/>
      <c r="AM13" s="593"/>
      <c r="AN13" s="593"/>
      <c r="AO13" s="593"/>
      <c r="AP13" s="593"/>
      <c r="AQ13" s="593"/>
      <c r="AR13" s="593"/>
      <c r="AS13" s="593"/>
      <c r="AT13" s="593"/>
      <c r="AU13" s="593"/>
      <c r="AV13" s="593"/>
      <c r="AW13" s="593"/>
      <c r="AX13" s="593"/>
    </row>
    <row r="14" spans="1:50" x14ac:dyDescent="0.2">
      <c r="B14" t="s">
        <v>244</v>
      </c>
      <c r="F14" s="596">
        <f>[3]!CA0181IntangibleAssets</f>
        <v>0</v>
      </c>
      <c r="G14" s="48">
        <v>0</v>
      </c>
      <c r="J14" s="88"/>
      <c r="T14" s="3"/>
      <c r="U14" s="228"/>
      <c r="AE14" s="593"/>
      <c r="AF14" s="593"/>
      <c r="AG14" s="593"/>
      <c r="AH14" s="593"/>
      <c r="AI14" s="593"/>
      <c r="AJ14" s="593"/>
      <c r="AK14" s="593"/>
      <c r="AL14" s="593"/>
      <c r="AM14" s="593"/>
      <c r="AN14" s="593"/>
      <c r="AO14" s="593"/>
      <c r="AP14" s="593"/>
      <c r="AQ14" s="593"/>
      <c r="AR14" s="593"/>
      <c r="AS14" s="593"/>
      <c r="AT14" s="593"/>
      <c r="AU14" s="593"/>
      <c r="AV14" s="593"/>
      <c r="AW14" s="593"/>
      <c r="AX14" s="593"/>
    </row>
    <row r="15" spans="1:50" x14ac:dyDescent="0.2">
      <c r="B15" t="s">
        <v>245</v>
      </c>
      <c r="F15" s="596">
        <f>[3]!CA0191Land</f>
        <v>0</v>
      </c>
      <c r="G15" s="48">
        <v>0</v>
      </c>
      <c r="AE15" s="593"/>
      <c r="AF15" s="593"/>
      <c r="AG15" s="593"/>
      <c r="AH15" s="593"/>
      <c r="AI15" s="593"/>
      <c r="AJ15" s="593"/>
      <c r="AK15" s="593"/>
      <c r="AL15" s="593"/>
      <c r="AM15" s="593"/>
      <c r="AN15" s="593"/>
      <c r="AO15" s="593"/>
      <c r="AP15" s="593"/>
      <c r="AQ15" s="593"/>
      <c r="AR15" s="593"/>
      <c r="AS15" s="593"/>
      <c r="AT15" s="593"/>
      <c r="AU15" s="593"/>
      <c r="AV15" s="593"/>
      <c r="AW15" s="593"/>
      <c r="AX15" s="593"/>
    </row>
    <row r="16" spans="1:50" ht="12.75" customHeight="1" x14ac:dyDescent="0.2">
      <c r="B16" t="s">
        <v>246</v>
      </c>
      <c r="F16" s="596">
        <f>[3]!CA0192SiteImprovements</f>
        <v>0</v>
      </c>
      <c r="G16" s="48">
        <v>0</v>
      </c>
      <c r="M16" s="762" t="s">
        <v>247</v>
      </c>
      <c r="N16" s="763"/>
      <c r="O16" s="764"/>
      <c r="P16" s="762" t="s">
        <v>248</v>
      </c>
      <c r="Q16" s="764"/>
      <c r="R16" s="229" t="s">
        <v>247</v>
      </c>
      <c r="S16" s="229" t="s">
        <v>248</v>
      </c>
      <c r="T16" s="229" t="s">
        <v>249</v>
      </c>
      <c r="V16" s="4"/>
      <c r="W16" s="4"/>
      <c r="AE16" s="593"/>
      <c r="AF16" s="593"/>
      <c r="AG16" s="593"/>
      <c r="AH16" s="593"/>
      <c r="AI16" s="593"/>
      <c r="AJ16" s="593"/>
      <c r="AK16" s="593"/>
      <c r="AL16" s="593"/>
      <c r="AM16" s="593"/>
      <c r="AN16" s="593"/>
      <c r="AO16" s="593"/>
      <c r="AP16" s="593"/>
      <c r="AQ16" s="593"/>
      <c r="AR16" s="593"/>
      <c r="AS16" s="593"/>
      <c r="AT16" s="593"/>
      <c r="AU16" s="593"/>
      <c r="AV16" s="593"/>
      <c r="AW16" s="593"/>
      <c r="AX16" s="593"/>
    </row>
    <row r="17" spans="1:50" ht="12.75" customHeight="1" x14ac:dyDescent="0.2">
      <c r="B17" t="s">
        <v>250</v>
      </c>
      <c r="F17" s="596">
        <f>[3]!CA0194Buildings</f>
        <v>0</v>
      </c>
      <c r="G17" s="48">
        <v>0</v>
      </c>
      <c r="I17" t="s">
        <v>251</v>
      </c>
      <c r="J17" s="219" t="s">
        <v>252</v>
      </c>
      <c r="K17" s="219"/>
      <c r="L17" s="219"/>
      <c r="M17" s="771" t="s">
        <v>253</v>
      </c>
      <c r="N17" s="787"/>
      <c r="O17" s="772"/>
      <c r="P17" s="771" t="s">
        <v>253</v>
      </c>
      <c r="Q17" s="772"/>
      <c r="R17" s="230" t="s">
        <v>254</v>
      </c>
      <c r="S17" s="230" t="s">
        <v>254</v>
      </c>
      <c r="T17" s="230" t="s">
        <v>253</v>
      </c>
      <c r="V17" s="4"/>
      <c r="W17" s="4"/>
      <c r="AE17" s="593"/>
      <c r="AF17" s="593"/>
      <c r="AG17" s="593"/>
      <c r="AH17" s="593"/>
      <c r="AI17" s="593"/>
      <c r="AJ17" s="593"/>
      <c r="AK17" s="593"/>
      <c r="AL17" s="593"/>
      <c r="AM17" s="593"/>
      <c r="AN17" s="593"/>
      <c r="AO17" s="593"/>
      <c r="AP17" s="593"/>
      <c r="AQ17" s="593"/>
      <c r="AR17" s="593"/>
      <c r="AS17" s="593"/>
      <c r="AT17" s="593"/>
      <c r="AU17" s="593"/>
      <c r="AV17" s="593"/>
      <c r="AW17" s="593"/>
      <c r="AX17" s="593"/>
    </row>
    <row r="18" spans="1:50" ht="12.75" customHeight="1" x14ac:dyDescent="0.2">
      <c r="B18" t="s">
        <v>255</v>
      </c>
      <c r="F18" s="596">
        <f>[3]!CA0196Equipment</f>
        <v>0</v>
      </c>
      <c r="G18" s="48">
        <v>0</v>
      </c>
      <c r="J18" s="219" t="s">
        <v>256</v>
      </c>
      <c r="K18" s="219"/>
      <c r="L18" s="219"/>
      <c r="M18" s="782" t="s">
        <v>257</v>
      </c>
      <c r="N18" s="788"/>
      <c r="O18" s="783"/>
      <c r="P18" s="782" t="s">
        <v>258</v>
      </c>
      <c r="Q18" s="783"/>
      <c r="R18" s="231" t="s">
        <v>259</v>
      </c>
      <c r="S18" s="231" t="s">
        <v>260</v>
      </c>
      <c r="T18" s="231" t="s">
        <v>261</v>
      </c>
      <c r="V18" s="4"/>
      <c r="W18" s="4"/>
      <c r="AE18" s="593"/>
      <c r="AF18" s="593"/>
      <c r="AG18" s="593"/>
      <c r="AH18" s="593"/>
      <c r="AI18" s="593"/>
      <c r="AJ18" s="593"/>
      <c r="AK18" s="593"/>
      <c r="AL18" s="593"/>
      <c r="AM18" s="593"/>
      <c r="AN18" s="593"/>
      <c r="AO18" s="593"/>
      <c r="AP18" s="593"/>
      <c r="AQ18" s="593"/>
      <c r="AR18" s="593"/>
      <c r="AS18" s="593"/>
      <c r="AT18" s="593"/>
      <c r="AU18" s="593"/>
      <c r="AV18" s="593"/>
      <c r="AW18" s="593"/>
      <c r="AX18" s="593"/>
    </row>
    <row r="19" spans="1:50" ht="12.75" customHeight="1" thickBot="1" x14ac:dyDescent="0.25">
      <c r="B19" s="219" t="s">
        <v>262</v>
      </c>
      <c r="F19" s="226">
        <f>[3]!CA0198CIP</f>
        <v>0</v>
      </c>
      <c r="G19" s="51">
        <v>-176791</v>
      </c>
      <c r="J19" s="218" t="s">
        <v>24</v>
      </c>
      <c r="K19" s="219" t="s">
        <v>263</v>
      </c>
      <c r="L19" s="219"/>
      <c r="M19" s="768">
        <v>224839</v>
      </c>
      <c r="N19" s="769"/>
      <c r="O19" s="770"/>
      <c r="P19" s="768">
        <v>4818</v>
      </c>
      <c r="Q19" s="769"/>
      <c r="R19" s="27">
        <v>0</v>
      </c>
      <c r="S19" s="27">
        <v>0</v>
      </c>
      <c r="T19" s="27">
        <v>20442</v>
      </c>
      <c r="V19" s="4"/>
      <c r="W19" s="4"/>
      <c r="AE19" s="593"/>
      <c r="AF19" s="593"/>
      <c r="AG19" s="593"/>
      <c r="AH19" s="593"/>
      <c r="AI19" s="593"/>
      <c r="AJ19" s="593"/>
      <c r="AK19" s="593"/>
      <c r="AL19" s="593"/>
      <c r="AM19" s="593"/>
      <c r="AN19" s="593"/>
      <c r="AO19" s="593"/>
      <c r="AP19" s="593"/>
      <c r="AQ19" s="593"/>
      <c r="AR19" s="593"/>
      <c r="AS19" s="593"/>
      <c r="AT19" s="593"/>
      <c r="AU19" s="593"/>
      <c r="AV19" s="593"/>
      <c r="AW19" s="593"/>
      <c r="AX19" s="593"/>
    </row>
    <row r="20" spans="1:50" ht="13.5" customHeight="1" thickBot="1" x14ac:dyDescent="0.25">
      <c r="B20" t="s">
        <v>264</v>
      </c>
      <c r="F20" s="585">
        <f>SUM(F14:F19)</f>
        <v>0</v>
      </c>
      <c r="G20" s="227">
        <f>SUM(G14:G19)</f>
        <v>-176791</v>
      </c>
      <c r="J20" s="218" t="s">
        <v>26</v>
      </c>
      <c r="K20" s="219" t="s">
        <v>265</v>
      </c>
      <c r="L20" s="219"/>
      <c r="M20" s="768">
        <f>41204+485</f>
        <v>41689</v>
      </c>
      <c r="N20" s="769"/>
      <c r="O20" s="770"/>
      <c r="P20" s="768">
        <v>0</v>
      </c>
      <c r="Q20" s="769"/>
      <c r="R20" s="27">
        <v>0</v>
      </c>
      <c r="S20" s="27">
        <v>0</v>
      </c>
      <c r="T20" s="27">
        <v>0</v>
      </c>
      <c r="V20" s="4"/>
      <c r="W20" s="4"/>
      <c r="AE20" s="593"/>
      <c r="AF20" s="593"/>
      <c r="AG20" s="593"/>
      <c r="AH20" s="593"/>
      <c r="AI20" s="593"/>
      <c r="AJ20" s="593"/>
      <c r="AK20" s="593"/>
      <c r="AL20" s="593"/>
      <c r="AM20" s="593"/>
      <c r="AN20" s="593"/>
      <c r="AO20" s="593"/>
      <c r="AP20" s="593"/>
      <c r="AQ20" s="593"/>
      <c r="AR20" s="593"/>
      <c r="AS20" s="593"/>
      <c r="AT20" s="593"/>
      <c r="AU20" s="593"/>
      <c r="AV20" s="593"/>
      <c r="AW20" s="593"/>
      <c r="AX20" s="593"/>
    </row>
    <row r="21" spans="1:50" ht="13.5" thickTop="1" x14ac:dyDescent="0.2">
      <c r="J21" s="218" t="s">
        <v>28</v>
      </c>
      <c r="K21" s="219" t="s">
        <v>266</v>
      </c>
      <c r="L21" s="219"/>
      <c r="M21" s="768">
        <v>0</v>
      </c>
      <c r="N21" s="769"/>
      <c r="O21" s="770"/>
      <c r="P21" s="768">
        <v>0</v>
      </c>
      <c r="Q21" s="769"/>
      <c r="R21" s="27">
        <v>0</v>
      </c>
      <c r="S21" s="27">
        <v>0</v>
      </c>
      <c r="T21" s="27">
        <v>0</v>
      </c>
      <c r="U21" s="228"/>
      <c r="V21" s="4"/>
      <c r="W21" s="4"/>
      <c r="AE21" s="593"/>
      <c r="AF21" s="593"/>
      <c r="AG21" s="593"/>
      <c r="AH21" s="593"/>
      <c r="AI21" s="593"/>
      <c r="AJ21" s="593"/>
      <c r="AK21" s="593"/>
      <c r="AL21" s="593"/>
      <c r="AM21" s="593"/>
      <c r="AN21" s="593"/>
      <c r="AO21" s="593"/>
      <c r="AP21" s="593"/>
      <c r="AQ21" s="593"/>
      <c r="AR21" s="593"/>
      <c r="AS21" s="593"/>
      <c r="AT21" s="593"/>
      <c r="AU21" s="593"/>
      <c r="AV21" s="593"/>
      <c r="AW21" s="593"/>
      <c r="AX21" s="593"/>
    </row>
    <row r="22" spans="1:50" ht="13.5" customHeight="1" x14ac:dyDescent="0.2">
      <c r="A22" t="s">
        <v>267</v>
      </c>
      <c r="B22" s="219" t="s">
        <v>1183</v>
      </c>
      <c r="C22" s="233"/>
      <c r="D22" s="233"/>
      <c r="E22" s="219"/>
      <c r="F22" s="219"/>
      <c r="J22" s="218" t="s">
        <v>31</v>
      </c>
      <c r="K22" s="219" t="s">
        <v>268</v>
      </c>
      <c r="L22" s="219"/>
      <c r="M22" s="784">
        <v>13700</v>
      </c>
      <c r="N22" s="785"/>
      <c r="O22" s="786"/>
      <c r="P22" s="768">
        <v>0</v>
      </c>
      <c r="Q22" s="770"/>
      <c r="R22" s="27">
        <v>0</v>
      </c>
      <c r="S22" s="27">
        <v>0</v>
      </c>
      <c r="T22" s="27">
        <v>0</v>
      </c>
      <c r="U22" s="228"/>
      <c r="AE22" s="593"/>
      <c r="AF22" s="593"/>
      <c r="AG22" s="593"/>
      <c r="AH22" s="593"/>
      <c r="AI22" s="593"/>
      <c r="AJ22" s="593"/>
      <c r="AK22" s="593"/>
      <c r="AL22" s="593"/>
      <c r="AM22" s="593"/>
      <c r="AN22" s="593"/>
      <c r="AO22" s="593"/>
      <c r="AP22" s="593"/>
      <c r="AQ22" s="593"/>
      <c r="AR22" s="593"/>
      <c r="AS22" s="593"/>
      <c r="AT22" s="593"/>
      <c r="AU22" s="593"/>
      <c r="AV22" s="593"/>
      <c r="AW22" s="593"/>
      <c r="AX22" s="593"/>
    </row>
    <row r="23" spans="1:50" ht="13.5" customHeight="1" x14ac:dyDescent="0.2">
      <c r="B23" t="s">
        <v>244</v>
      </c>
      <c r="E23" s="3" t="s">
        <v>16</v>
      </c>
      <c r="F23" s="23">
        <v>0</v>
      </c>
      <c r="J23" s="218" t="s">
        <v>33</v>
      </c>
      <c r="K23" s="765" t="s">
        <v>269</v>
      </c>
      <c r="L23" s="766"/>
      <c r="M23" s="234"/>
      <c r="N23" s="235"/>
      <c r="O23" s="236"/>
      <c r="P23" s="235"/>
      <c r="Q23" s="236"/>
      <c r="R23" s="237"/>
      <c r="S23" s="237"/>
      <c r="T23" s="237"/>
      <c r="U23" s="228"/>
      <c r="AE23" s="593"/>
      <c r="AF23" s="593"/>
      <c r="AG23" s="593"/>
      <c r="AH23" s="593"/>
      <c r="AI23" s="593"/>
      <c r="AJ23" s="593"/>
      <c r="AK23" s="593"/>
      <c r="AL23" s="593"/>
      <c r="AM23" s="593"/>
      <c r="AN23" s="593"/>
      <c r="AO23" s="593"/>
      <c r="AP23" s="593"/>
      <c r="AQ23" s="593"/>
      <c r="AR23" s="593"/>
      <c r="AS23" s="593"/>
      <c r="AT23" s="593"/>
      <c r="AU23" s="593"/>
      <c r="AV23" s="593"/>
      <c r="AW23" s="593"/>
      <c r="AX23" s="593"/>
    </row>
    <row r="24" spans="1:50" ht="13.5" customHeight="1" x14ac:dyDescent="0.2">
      <c r="B24" t="s">
        <v>245</v>
      </c>
      <c r="E24" s="3" t="s">
        <v>16</v>
      </c>
      <c r="F24" s="23">
        <v>0</v>
      </c>
      <c r="J24" s="238"/>
      <c r="K24" s="765"/>
      <c r="L24" s="766"/>
      <c r="M24" s="779">
        <v>0</v>
      </c>
      <c r="N24" s="780"/>
      <c r="O24" s="781"/>
      <c r="P24" s="779">
        <v>0</v>
      </c>
      <c r="Q24" s="780"/>
      <c r="R24" s="28">
        <v>0</v>
      </c>
      <c r="S24" s="28">
        <v>0</v>
      </c>
      <c r="T24" s="28">
        <v>0</v>
      </c>
      <c r="U24" s="228"/>
      <c r="AE24" s="593"/>
      <c r="AF24" s="593"/>
      <c r="AG24" s="593"/>
      <c r="AH24" s="593"/>
      <c r="AI24" s="593"/>
      <c r="AJ24" s="593"/>
      <c r="AK24" s="593"/>
      <c r="AL24" s="593"/>
      <c r="AM24" s="593"/>
      <c r="AN24" s="593"/>
      <c r="AO24" s="593"/>
      <c r="AP24" s="593"/>
      <c r="AQ24" s="593"/>
      <c r="AR24" s="593"/>
      <c r="AS24" s="593"/>
      <c r="AT24" s="593"/>
      <c r="AU24" s="593"/>
      <c r="AV24" s="593"/>
      <c r="AW24" s="593"/>
      <c r="AX24" s="593"/>
    </row>
    <row r="25" spans="1:50" ht="13.5" customHeight="1" x14ac:dyDescent="0.2">
      <c r="B25" t="s">
        <v>246</v>
      </c>
      <c r="E25" s="3" t="s">
        <v>16</v>
      </c>
      <c r="F25" s="23">
        <v>0</v>
      </c>
      <c r="M25" s="25"/>
      <c r="N25" s="25"/>
      <c r="O25" s="25"/>
      <c r="P25" s="25"/>
      <c r="Q25" s="25"/>
      <c r="R25" s="25"/>
      <c r="S25" s="25"/>
      <c r="T25" s="25"/>
      <c r="U25" s="25"/>
      <c r="AE25" s="593"/>
      <c r="AF25" s="593"/>
      <c r="AG25" s="593"/>
      <c r="AH25" s="593"/>
      <c r="AI25" s="593"/>
      <c r="AJ25" s="593"/>
      <c r="AK25" s="593"/>
      <c r="AL25" s="593"/>
      <c r="AM25" s="593"/>
      <c r="AN25" s="593"/>
      <c r="AO25" s="593"/>
      <c r="AP25" s="593"/>
      <c r="AQ25" s="593"/>
      <c r="AR25" s="593"/>
      <c r="AS25" s="593"/>
      <c r="AT25" s="593"/>
      <c r="AU25" s="593"/>
      <c r="AV25" s="593"/>
      <c r="AW25" s="593"/>
      <c r="AX25" s="593"/>
    </row>
    <row r="26" spans="1:50" ht="13.5" customHeight="1" x14ac:dyDescent="0.2">
      <c r="B26" t="s">
        <v>250</v>
      </c>
      <c r="E26" s="3" t="s">
        <v>16</v>
      </c>
      <c r="F26" s="24">
        <v>0</v>
      </c>
      <c r="M26" s="228"/>
      <c r="N26" s="228"/>
      <c r="O26" s="228"/>
      <c r="P26" s="228"/>
      <c r="Q26" s="228"/>
      <c r="R26" s="228"/>
      <c r="S26" s="228"/>
      <c r="T26" s="228"/>
      <c r="U26" s="228"/>
      <c r="AI26" s="593"/>
      <c r="AJ26" s="593"/>
      <c r="AK26" s="593"/>
      <c r="AL26" s="593"/>
      <c r="AM26" s="593"/>
      <c r="AN26" s="593"/>
      <c r="AO26" s="593"/>
      <c r="AP26" s="593"/>
      <c r="AQ26" s="593"/>
      <c r="AR26" s="593"/>
      <c r="AS26" s="593"/>
      <c r="AT26" s="593"/>
      <c r="AU26" s="593"/>
      <c r="AV26" s="593"/>
      <c r="AW26" s="593"/>
      <c r="AX26" s="593"/>
    </row>
    <row r="27" spans="1:50" ht="15.75" customHeight="1" thickBot="1" x14ac:dyDescent="0.25">
      <c r="B27" t="s">
        <v>255</v>
      </c>
      <c r="E27" s="3" t="s">
        <v>16</v>
      </c>
      <c r="F27" s="23">
        <v>51588</v>
      </c>
      <c r="I27" t="s">
        <v>270</v>
      </c>
      <c r="J27" s="219" t="s">
        <v>271</v>
      </c>
      <c r="K27" s="239"/>
      <c r="L27" s="239"/>
      <c r="M27" s="239"/>
      <c r="N27" s="239"/>
      <c r="O27" s="239"/>
      <c r="P27" s="239"/>
      <c r="Q27" s="239"/>
      <c r="R27" s="239"/>
      <c r="S27" s="594"/>
      <c r="AI27" s="593"/>
      <c r="AJ27" s="593"/>
      <c r="AK27" s="593"/>
      <c r="AL27" s="593"/>
      <c r="AM27" s="593"/>
      <c r="AN27" s="593"/>
      <c r="AO27" s="593"/>
      <c r="AP27" s="593"/>
      <c r="AQ27" s="593"/>
      <c r="AR27" s="593"/>
      <c r="AS27" s="593"/>
      <c r="AT27" s="593"/>
      <c r="AU27" s="593"/>
      <c r="AV27" s="593"/>
      <c r="AW27" s="593"/>
      <c r="AX27" s="593"/>
    </row>
    <row r="28" spans="1:50" ht="13.5" customHeight="1" thickBot="1" x14ac:dyDescent="0.3">
      <c r="B28" s="219" t="s">
        <v>262</v>
      </c>
      <c r="E28" s="3" t="s">
        <v>16</v>
      </c>
      <c r="F28" s="23">
        <v>0</v>
      </c>
      <c r="I28" s="88"/>
      <c r="K28" s="29"/>
      <c r="L28" t="s">
        <v>1184</v>
      </c>
      <c r="M28" s="240"/>
      <c r="N28" s="240"/>
      <c r="O28" s="240"/>
      <c r="P28" s="240"/>
      <c r="Q28" s="240"/>
      <c r="U28" s="594"/>
      <c r="AI28" s="593"/>
      <c r="AJ28" s="593"/>
      <c r="AK28" s="593"/>
      <c r="AL28" s="593"/>
      <c r="AM28" s="593"/>
      <c r="AN28" s="593"/>
      <c r="AO28" s="593"/>
      <c r="AP28" s="593"/>
      <c r="AQ28" s="593"/>
      <c r="AR28" s="593"/>
      <c r="AS28" s="593"/>
      <c r="AT28" s="593"/>
      <c r="AU28" s="593"/>
      <c r="AV28" s="593"/>
      <c r="AW28" s="593"/>
      <c r="AX28" s="593"/>
    </row>
    <row r="29" spans="1:50" ht="13.5" customHeight="1" thickBot="1" x14ac:dyDescent="0.25">
      <c r="B29" t="s">
        <v>272</v>
      </c>
      <c r="E29" s="3" t="s">
        <v>16</v>
      </c>
      <c r="F29" s="241">
        <f>SUM(F23:F28)</f>
        <v>51588</v>
      </c>
      <c r="I29" s="88"/>
      <c r="J29" t="s">
        <v>24</v>
      </c>
      <c r="K29" t="s">
        <v>1185</v>
      </c>
      <c r="N29" s="242"/>
      <c r="S29" s="3" t="s">
        <v>16</v>
      </c>
      <c r="T29" s="54">
        <v>60929</v>
      </c>
      <c r="U29" s="594"/>
      <c r="AI29" s="593"/>
      <c r="AJ29" s="593"/>
      <c r="AK29" s="593"/>
      <c r="AL29" s="593"/>
      <c r="AM29" s="593"/>
      <c r="AN29" s="593"/>
      <c r="AO29" s="593"/>
      <c r="AP29" s="593"/>
      <c r="AQ29" s="593"/>
      <c r="AR29" s="593"/>
      <c r="AS29" s="593"/>
      <c r="AT29" s="593"/>
      <c r="AU29" s="593"/>
      <c r="AV29" s="593"/>
      <c r="AW29" s="593"/>
      <c r="AX29" s="593"/>
    </row>
    <row r="30" spans="1:50" ht="13.5" thickTop="1" x14ac:dyDescent="0.2">
      <c r="I30" s="88"/>
      <c r="J30" t="s">
        <v>26</v>
      </c>
      <c r="K30" t="s">
        <v>1186</v>
      </c>
      <c r="L30" s="157"/>
      <c r="M30" s="157"/>
      <c r="S30" s="3" t="s">
        <v>16</v>
      </c>
      <c r="T30" s="243">
        <f>'[4]Page 6'!$T$29</f>
        <v>52956</v>
      </c>
      <c r="U30" s="594"/>
      <c r="AI30" s="593"/>
      <c r="AJ30" s="593"/>
      <c r="AK30" s="593"/>
      <c r="AL30" s="593"/>
      <c r="AM30" s="593"/>
      <c r="AN30" s="593"/>
      <c r="AO30" s="593"/>
      <c r="AP30" s="593"/>
      <c r="AQ30" s="593"/>
      <c r="AR30" s="593"/>
      <c r="AS30" s="593"/>
      <c r="AT30" s="593"/>
      <c r="AU30" s="593"/>
      <c r="AV30" s="593"/>
      <c r="AW30" s="593"/>
      <c r="AX30" s="593"/>
    </row>
    <row r="31" spans="1:50" x14ac:dyDescent="0.2">
      <c r="A31" t="s">
        <v>273</v>
      </c>
      <c r="B31" s="219" t="s">
        <v>274</v>
      </c>
      <c r="C31" s="219"/>
      <c r="D31" s="219"/>
      <c r="E31" s="244"/>
      <c r="J31" t="s">
        <v>28</v>
      </c>
      <c r="K31" t="s">
        <v>1187</v>
      </c>
      <c r="L31" s="157"/>
      <c r="M31" s="157"/>
      <c r="S31" s="3" t="s">
        <v>16</v>
      </c>
      <c r="T31" s="245">
        <f>T29-T30</f>
        <v>7973</v>
      </c>
      <c r="U31" s="594"/>
      <c r="AI31" s="593"/>
      <c r="AJ31" s="593"/>
      <c r="AK31" s="593"/>
      <c r="AL31" s="593"/>
      <c r="AM31" s="593"/>
      <c r="AN31" s="593"/>
      <c r="AO31" s="593"/>
      <c r="AP31" s="593"/>
      <c r="AQ31" s="593"/>
      <c r="AR31" s="593"/>
      <c r="AS31" s="593"/>
      <c r="AT31" s="593"/>
      <c r="AU31" s="593"/>
      <c r="AV31" s="593"/>
      <c r="AW31" s="593"/>
      <c r="AX31" s="593"/>
    </row>
    <row r="32" spans="1:50" ht="13.5" thickBot="1" x14ac:dyDescent="0.25">
      <c r="B32" t="s">
        <v>275</v>
      </c>
      <c r="F32" s="3"/>
      <c r="G32" s="25"/>
      <c r="J32" s="246" t="s">
        <v>31</v>
      </c>
      <c r="K32" t="s">
        <v>276</v>
      </c>
      <c r="L32" s="247"/>
      <c r="M32" s="247"/>
      <c r="P32" s="115"/>
      <c r="Q32" s="115"/>
      <c r="R32" s="115"/>
      <c r="S32" s="3" t="s">
        <v>16</v>
      </c>
      <c r="T32" s="248">
        <f>IF(PriorYearSalary&gt;0,T31/T30,0)</f>
        <v>0.151</v>
      </c>
      <c r="U32" s="594"/>
      <c r="AI32" s="593"/>
      <c r="AJ32" s="593"/>
      <c r="AK32" s="593"/>
      <c r="AL32" s="593"/>
      <c r="AM32" s="593"/>
      <c r="AN32" s="593"/>
      <c r="AO32" s="593"/>
      <c r="AP32" s="593"/>
      <c r="AQ32" s="593"/>
      <c r="AR32" s="593"/>
      <c r="AS32" s="593"/>
      <c r="AT32" s="593"/>
      <c r="AU32" s="593"/>
      <c r="AV32" s="593"/>
      <c r="AW32" s="593"/>
      <c r="AX32" s="593"/>
    </row>
    <row r="33" spans="1:50" ht="13.5" customHeight="1" thickTop="1" x14ac:dyDescent="0.2">
      <c r="B33" t="s">
        <v>277</v>
      </c>
      <c r="F33" s="3" t="s">
        <v>16</v>
      </c>
      <c r="G33" s="23">
        <v>723218</v>
      </c>
      <c r="H33" s="738" t="str">
        <f>IF('Page 2'!J48=0,"",IF(OR(G36&lt;=0),"The Charter did not report any current expenses for student support services on line 4. If the Charter did not have any expense, verify by checking the box in A16 on the Cover Page.",""))</f>
        <v/>
      </c>
      <c r="I33" s="738"/>
      <c r="J33" s="738"/>
      <c r="K33" s="738"/>
      <c r="L33" s="738"/>
      <c r="M33" s="738"/>
      <c r="N33" s="738"/>
      <c r="O33" s="738"/>
      <c r="P33" s="738"/>
      <c r="Q33" s="738"/>
      <c r="R33" s="738"/>
      <c r="S33" s="738"/>
      <c r="T33" s="4"/>
      <c r="U33" s="4"/>
      <c r="V33" s="4"/>
      <c r="AI33" s="593"/>
      <c r="AJ33" s="593"/>
      <c r="AK33" s="593"/>
      <c r="AL33" s="593"/>
      <c r="AM33" s="593"/>
      <c r="AN33" s="593"/>
      <c r="AO33" s="593"/>
      <c r="AP33" s="593"/>
      <c r="AQ33" s="593"/>
      <c r="AR33" s="593"/>
      <c r="AS33" s="593"/>
      <c r="AT33" s="593"/>
      <c r="AU33" s="593"/>
      <c r="AV33" s="593"/>
      <c r="AW33" s="593"/>
      <c r="AX33" s="593"/>
    </row>
    <row r="34" spans="1:50" ht="13.5" customHeight="1" x14ac:dyDescent="0.2">
      <c r="B34" t="s">
        <v>278</v>
      </c>
      <c r="C34" s="244"/>
      <c r="D34" s="244"/>
      <c r="E34" s="244"/>
      <c r="F34" s="3" t="s">
        <v>16</v>
      </c>
      <c r="G34" s="23">
        <v>119655</v>
      </c>
      <c r="H34" s="738"/>
      <c r="I34" s="738"/>
      <c r="J34" s="738"/>
      <c r="K34" s="738"/>
      <c r="L34" s="738"/>
      <c r="M34" s="738"/>
      <c r="N34" s="738"/>
      <c r="O34" s="738"/>
      <c r="P34" s="738"/>
      <c r="Q34" s="738"/>
      <c r="R34" s="738"/>
      <c r="S34" s="738"/>
      <c r="T34" s="4"/>
      <c r="U34" s="4"/>
      <c r="AI34" s="593"/>
      <c r="AJ34" s="593"/>
      <c r="AK34" s="593"/>
      <c r="AL34" s="593"/>
      <c r="AM34" s="593"/>
      <c r="AN34" s="593"/>
      <c r="AO34" s="593"/>
      <c r="AP34" s="593"/>
      <c r="AQ34" s="593"/>
      <c r="AR34" s="593"/>
      <c r="AS34" s="593"/>
      <c r="AT34" s="593"/>
      <c r="AU34" s="593"/>
      <c r="AV34" s="593"/>
      <c r="AW34" s="593"/>
      <c r="AX34" s="593"/>
    </row>
    <row r="35" spans="1:50" x14ac:dyDescent="0.2">
      <c r="B35" t="s">
        <v>279</v>
      </c>
      <c r="C35" s="244"/>
      <c r="D35" s="244"/>
      <c r="E35" s="244"/>
      <c r="F35" s="3" t="s">
        <v>16</v>
      </c>
      <c r="G35" s="24">
        <v>386928</v>
      </c>
      <c r="K35" t="s">
        <v>280</v>
      </c>
      <c r="AI35" s="593"/>
      <c r="AJ35" s="593"/>
      <c r="AK35" s="593"/>
      <c r="AL35" s="593"/>
      <c r="AM35" s="593"/>
      <c r="AN35" s="593"/>
      <c r="AO35" s="593"/>
      <c r="AP35" s="593"/>
      <c r="AQ35" s="593"/>
      <c r="AR35" s="593"/>
      <c r="AS35" s="593"/>
      <c r="AT35" s="593"/>
      <c r="AU35" s="593"/>
      <c r="AV35" s="593"/>
      <c r="AW35" s="593"/>
      <c r="AX35" s="593"/>
    </row>
    <row r="36" spans="1:50" x14ac:dyDescent="0.2">
      <c r="B36" t="s">
        <v>281</v>
      </c>
      <c r="C36" s="244"/>
      <c r="D36" s="244"/>
      <c r="E36" s="244"/>
      <c r="F36" s="3" t="s">
        <v>16</v>
      </c>
      <c r="G36" s="23">
        <v>379119</v>
      </c>
      <c r="K36" s="773"/>
      <c r="L36" s="774"/>
      <c r="M36" s="774"/>
      <c r="N36" s="774"/>
      <c r="O36" s="774"/>
      <c r="P36" s="774"/>
      <c r="Q36" s="774"/>
      <c r="R36" s="774"/>
      <c r="S36" s="774"/>
      <c r="T36" s="775"/>
      <c r="AI36" s="593"/>
      <c r="AJ36" s="593"/>
      <c r="AK36" s="593"/>
      <c r="AL36" s="593"/>
      <c r="AM36" s="593"/>
      <c r="AN36" s="593"/>
      <c r="AO36" s="593"/>
      <c r="AP36" s="593"/>
      <c r="AQ36" s="593"/>
      <c r="AR36" s="593"/>
      <c r="AS36" s="593"/>
      <c r="AT36" s="593"/>
      <c r="AU36" s="593"/>
      <c r="AV36" s="593"/>
      <c r="AW36" s="593"/>
      <c r="AX36" s="593"/>
    </row>
    <row r="37" spans="1:50" ht="15" x14ac:dyDescent="0.25">
      <c r="A37" s="249"/>
      <c r="B37" t="s">
        <v>282</v>
      </c>
      <c r="E37" s="244"/>
      <c r="F37" s="3"/>
      <c r="G37" s="25"/>
      <c r="K37" s="776"/>
      <c r="L37" s="777"/>
      <c r="M37" s="777"/>
      <c r="N37" s="777"/>
      <c r="O37" s="777"/>
      <c r="P37" s="777"/>
      <c r="Q37" s="777"/>
      <c r="R37" s="777"/>
      <c r="S37" s="777"/>
      <c r="T37" s="778"/>
      <c r="AI37" s="593"/>
      <c r="AJ37" s="593"/>
      <c r="AK37" s="593"/>
      <c r="AL37" s="593"/>
      <c r="AM37" s="593"/>
      <c r="AN37" s="593"/>
      <c r="AO37" s="593"/>
      <c r="AP37" s="593"/>
      <c r="AQ37" s="593"/>
      <c r="AR37" s="593"/>
      <c r="AS37" s="593"/>
      <c r="AT37" s="593"/>
      <c r="AU37" s="593"/>
      <c r="AV37" s="593"/>
      <c r="AW37" s="593"/>
      <c r="AX37" s="593"/>
    </row>
    <row r="38" spans="1:50" ht="15" x14ac:dyDescent="0.25">
      <c r="A38" s="249"/>
      <c r="B38" t="s">
        <v>283</v>
      </c>
      <c r="E38" s="244"/>
      <c r="F38" s="3" t="s">
        <v>16</v>
      </c>
      <c r="G38" s="23">
        <v>384500</v>
      </c>
      <c r="J38" s="225"/>
      <c r="K38" s="594"/>
      <c r="S38" s="3"/>
      <c r="T38" s="250"/>
      <c r="AE38" s="593"/>
      <c r="AF38" s="593"/>
      <c r="AG38" s="593"/>
      <c r="AH38" s="593"/>
      <c r="AI38" s="593"/>
      <c r="AJ38" s="593"/>
      <c r="AK38" s="593"/>
      <c r="AL38" s="593"/>
      <c r="AM38" s="593"/>
      <c r="AN38" s="593"/>
      <c r="AO38" s="593"/>
      <c r="AP38" s="593"/>
      <c r="AQ38" s="593"/>
      <c r="AR38" s="593"/>
      <c r="AS38" s="593"/>
      <c r="AT38" s="593"/>
      <c r="AU38" s="593"/>
      <c r="AV38" s="593"/>
      <c r="AW38" s="593"/>
      <c r="AX38" s="593"/>
    </row>
    <row r="39" spans="1:50" ht="15.75" thickBot="1" x14ac:dyDescent="0.3">
      <c r="A39" s="249"/>
      <c r="B39" s="88" t="s">
        <v>284</v>
      </c>
      <c r="F39" s="3" t="s">
        <v>16</v>
      </c>
      <c r="G39" s="241">
        <f>SUM(G33:G38)</f>
        <v>1993420</v>
      </c>
      <c r="AE39" s="593"/>
      <c r="AF39" s="593"/>
      <c r="AG39" s="593"/>
      <c r="AH39" s="593"/>
      <c r="AI39" s="593"/>
      <c r="AJ39" s="593"/>
      <c r="AK39" s="593"/>
      <c r="AL39" s="593"/>
      <c r="AM39" s="593"/>
      <c r="AN39" s="593"/>
      <c r="AO39" s="593"/>
      <c r="AP39" s="593"/>
      <c r="AQ39" s="593"/>
      <c r="AR39" s="593"/>
      <c r="AS39" s="593"/>
      <c r="AT39" s="593"/>
      <c r="AU39" s="593"/>
      <c r="AV39" s="593"/>
      <c r="AW39" s="593"/>
      <c r="AX39" s="593"/>
    </row>
    <row r="40" spans="1:50" ht="13.5" customHeight="1" thickTop="1" x14ac:dyDescent="0.2">
      <c r="B40" s="761" t="s">
        <v>285</v>
      </c>
      <c r="C40" s="761"/>
      <c r="D40" s="761"/>
      <c r="E40" s="761"/>
      <c r="F40" s="3" t="s">
        <v>16</v>
      </c>
      <c r="G40" s="23">
        <v>666505</v>
      </c>
      <c r="AE40" s="593"/>
      <c r="AF40" s="593"/>
      <c r="AG40" s="593"/>
      <c r="AH40" s="593"/>
      <c r="AI40" s="593"/>
      <c r="AJ40" s="593"/>
      <c r="AK40" s="593"/>
      <c r="AL40" s="593"/>
      <c r="AM40" s="593"/>
      <c r="AN40" s="593"/>
      <c r="AO40" s="593"/>
      <c r="AP40" s="593"/>
      <c r="AQ40" s="593"/>
      <c r="AR40" s="593"/>
      <c r="AS40" s="593"/>
      <c r="AT40" s="593"/>
      <c r="AU40" s="593"/>
      <c r="AV40" s="593"/>
      <c r="AW40" s="593"/>
      <c r="AX40" s="593"/>
    </row>
    <row r="41" spans="1:50" x14ac:dyDescent="0.2">
      <c r="B41" s="767" t="s">
        <v>286</v>
      </c>
      <c r="C41" s="767"/>
      <c r="D41" s="767"/>
      <c r="E41" s="767"/>
      <c r="F41" s="3" t="s">
        <v>16</v>
      </c>
      <c r="G41" s="222">
        <f>G39-G40</f>
        <v>1326915</v>
      </c>
      <c r="AE41" s="593"/>
      <c r="AF41" s="593"/>
      <c r="AG41" s="593"/>
      <c r="AH41" s="593"/>
      <c r="AI41" s="593"/>
      <c r="AJ41" s="593"/>
      <c r="AK41" s="593"/>
      <c r="AL41" s="593"/>
      <c r="AM41" s="593"/>
      <c r="AN41" s="593"/>
      <c r="AO41" s="593"/>
      <c r="AP41" s="593"/>
      <c r="AQ41" s="593"/>
      <c r="AR41" s="593"/>
      <c r="AS41" s="593"/>
      <c r="AT41" s="593"/>
      <c r="AU41" s="593"/>
      <c r="AV41" s="593"/>
      <c r="AW41" s="593"/>
      <c r="AX41" s="593"/>
    </row>
    <row r="42" spans="1:50" x14ac:dyDescent="0.2">
      <c r="AE42" s="593"/>
      <c r="AF42" s="593"/>
      <c r="AG42" s="593"/>
      <c r="AH42" s="593"/>
      <c r="AI42" s="593"/>
      <c r="AJ42" s="593"/>
      <c r="AK42" s="593"/>
      <c r="AL42" s="593"/>
      <c r="AM42" s="593"/>
      <c r="AN42" s="593"/>
      <c r="AO42" s="593"/>
      <c r="AP42" s="593"/>
      <c r="AQ42" s="593"/>
      <c r="AR42" s="593"/>
      <c r="AS42" s="593"/>
      <c r="AT42" s="593"/>
      <c r="AU42" s="593"/>
      <c r="AV42" s="593"/>
      <c r="AW42" s="593"/>
      <c r="AX42" s="593"/>
    </row>
    <row r="43" spans="1:50" x14ac:dyDescent="0.2">
      <c r="AE43" s="593"/>
      <c r="AF43" s="593"/>
      <c r="AG43" s="593"/>
      <c r="AH43" s="593"/>
      <c r="AI43" s="593"/>
      <c r="AJ43" s="593"/>
      <c r="AK43" s="593"/>
      <c r="AL43" s="593"/>
      <c r="AM43" s="593"/>
      <c r="AN43" s="593"/>
      <c r="AO43" s="593"/>
      <c r="AP43" s="593"/>
      <c r="AQ43" s="593"/>
      <c r="AR43" s="593"/>
      <c r="AS43" s="593"/>
      <c r="AT43" s="593"/>
      <c r="AU43" s="593"/>
      <c r="AV43" s="593"/>
      <c r="AW43" s="593"/>
      <c r="AX43" s="593"/>
    </row>
    <row r="44" spans="1:50" x14ac:dyDescent="0.2">
      <c r="A44" s="594"/>
      <c r="AE44" s="593"/>
      <c r="AF44" s="593"/>
      <c r="AG44" s="593"/>
      <c r="AH44" s="593"/>
      <c r="AI44" s="593"/>
      <c r="AJ44" s="593"/>
      <c r="AK44" s="593"/>
      <c r="AL44" s="593"/>
      <c r="AM44" s="593"/>
      <c r="AN44" s="593"/>
      <c r="AO44" s="593"/>
      <c r="AP44" s="593"/>
      <c r="AQ44" s="593"/>
      <c r="AR44" s="593"/>
      <c r="AS44" s="593"/>
      <c r="AT44" s="593"/>
      <c r="AU44" s="593"/>
      <c r="AV44" s="593"/>
      <c r="AW44" s="593"/>
      <c r="AX44" s="593"/>
    </row>
    <row r="45" spans="1:50" x14ac:dyDescent="0.2">
      <c r="AE45" s="593"/>
      <c r="AF45" s="593"/>
      <c r="AG45" s="593"/>
      <c r="AH45" s="593"/>
      <c r="AI45" s="593"/>
      <c r="AJ45" s="593"/>
      <c r="AK45" s="593"/>
      <c r="AL45" s="593"/>
      <c r="AM45" s="593"/>
      <c r="AN45" s="593"/>
      <c r="AO45" s="593"/>
      <c r="AP45" s="593"/>
      <c r="AQ45" s="593"/>
      <c r="AR45" s="593"/>
      <c r="AS45" s="593"/>
      <c r="AT45" s="593"/>
      <c r="AU45" s="593"/>
      <c r="AV45" s="593"/>
      <c r="AW45" s="593"/>
      <c r="AX45" s="593"/>
    </row>
  </sheetData>
  <sheetProtection formatCells="0" formatColumns="0" formatRows="0"/>
  <mergeCells count="23">
    <mergeCell ref="C1:F1"/>
    <mergeCell ref="P16:Q16"/>
    <mergeCell ref="P21:Q21"/>
    <mergeCell ref="M22:O22"/>
    <mergeCell ref="P22:Q22"/>
    <mergeCell ref="M17:O17"/>
    <mergeCell ref="M18:O18"/>
    <mergeCell ref="B40:E40"/>
    <mergeCell ref="U6:AA6"/>
    <mergeCell ref="M16:O16"/>
    <mergeCell ref="K23:L24"/>
    <mergeCell ref="B41:E41"/>
    <mergeCell ref="P20:Q20"/>
    <mergeCell ref="P19:Q19"/>
    <mergeCell ref="M20:O20"/>
    <mergeCell ref="M21:O21"/>
    <mergeCell ref="P17:Q17"/>
    <mergeCell ref="K36:T37"/>
    <mergeCell ref="P24:Q24"/>
    <mergeCell ref="H33:S34"/>
    <mergeCell ref="M24:O24"/>
    <mergeCell ref="P18:Q18"/>
    <mergeCell ref="M19:O19"/>
  </mergeCells>
  <conditionalFormatting sqref="F6 F9:F10">
    <cfRule type="expression" dxfId="59" priority="16" stopIfTrue="1">
      <formula>$F6=""</formula>
    </cfRule>
  </conditionalFormatting>
  <conditionalFormatting sqref="F23:F28">
    <cfRule type="expression" dxfId="58" priority="10" stopIfTrue="1">
      <formula>$F23=""</formula>
    </cfRule>
  </conditionalFormatting>
  <conditionalFormatting sqref="G9:G10">
    <cfRule type="expression" dxfId="57" priority="15" stopIfTrue="1">
      <formula>$G9=""</formula>
    </cfRule>
  </conditionalFormatting>
  <conditionalFormatting sqref="G14:G19">
    <cfRule type="expression" dxfId="56" priority="11" stopIfTrue="1">
      <formula>$G14=""</formula>
    </cfRule>
  </conditionalFormatting>
  <conditionalFormatting sqref="G33:G36 G38 G40">
    <cfRule type="expression" dxfId="55" priority="8" stopIfTrue="1">
      <formula>$G33=""</formula>
    </cfRule>
  </conditionalFormatting>
  <conditionalFormatting sqref="G36">
    <cfRule type="expression" dxfId="54" priority="9" stopIfTrue="1">
      <formula>$H$33&lt;&gt;""</formula>
    </cfRule>
  </conditionalFormatting>
  <conditionalFormatting sqref="H33">
    <cfRule type="expression" dxfId="53" priority="18" stopIfTrue="1">
      <formula>$H$33&lt;&gt;""</formula>
    </cfRule>
  </conditionalFormatting>
  <conditionalFormatting sqref="M19:T22">
    <cfRule type="expression" dxfId="52" priority="5" stopIfTrue="1">
      <formula>M19=""</formula>
    </cfRule>
  </conditionalFormatting>
  <conditionalFormatting sqref="M24:T24">
    <cfRule type="expression" dxfId="51" priority="6" stopIfTrue="1">
      <formula>M24=""</formula>
    </cfRule>
  </conditionalFormatting>
  <conditionalFormatting sqref="T6:T13">
    <cfRule type="expression" dxfId="50" priority="7" stopIfTrue="1">
      <formula>$T6=""</formula>
    </cfRule>
  </conditionalFormatting>
  <conditionalFormatting sqref="T29:T30">
    <cfRule type="expression" dxfId="49" priority="14" stopIfTrue="1">
      <formula>$T29=""</formula>
    </cfRule>
  </conditionalFormatting>
  <dataValidations count="1">
    <dataValidation type="list" allowBlank="1" showInputMessage="1" showErrorMessage="1" sqref="K28" xr:uid="{00000000-0002-0000-0600-000000000000}">
      <formula1>"X"</formula1>
    </dataValidation>
  </dataValidations>
  <hyperlinks>
    <hyperlink ref="B8" location="AuditServices" display="AUDIT SERVICES" xr:uid="{00000000-0004-0000-0600-000000000000}"/>
    <hyperlink ref="B13" location="CapitalAcquisitions" display="CAPITAL ACQUISITIONS" xr:uid="{00000000-0004-0000-0600-000001000000}"/>
    <hyperlink ref="B22:F22" location="InvestmentInCapitalAssets" display="INVESTMENT IN CAPITAL ASSETS AS OF JUNE 30, 2013" xr:uid="{00000000-0004-0000-0600-000002000000}"/>
    <hyperlink ref="B31:D31" location="CurrentExpensesByCategory" display="CURRENT EXPENSES BY CATEGORY" xr:uid="{00000000-0004-0000-0600-000003000000}"/>
    <hyperlink ref="J17:L18" location="TeacherSalaries" display="TEACHER SALARIES (1)" xr:uid="{00000000-0004-0000-0600-000004000000}"/>
    <hyperlink ref="J19:L19" location="TeacherSalariesLine1" display="1." xr:uid="{00000000-0004-0000-0600-000005000000}"/>
    <hyperlink ref="J20:L20" location="TeacherSalariesLine2" display="2." xr:uid="{00000000-0004-0000-0600-000006000000}"/>
    <hyperlink ref="J21:L21" location="TeacherSalariesLine3" display="3." xr:uid="{00000000-0004-0000-0600-000007000000}"/>
    <hyperlink ref="J22:L22" location="TeacherSalariesLine4" display="4." xr:uid="{00000000-0004-0000-0600-000008000000}"/>
    <hyperlink ref="B19" location="CapitalAcquisitionsLine5" display="5.  0198  Construction in Progress" xr:uid="{00000000-0004-0000-0600-000009000000}"/>
    <hyperlink ref="B28" location="InvestmentInCapitalAssetsLine5" display="5.  0198  Construction in Progress" xr:uid="{00000000-0004-0000-0600-00000A000000}"/>
    <hyperlink ref="J6:Q8" location="FullTimeEquivalentTeachers" display="1." xr:uid="{00000000-0004-0000-0600-00000B000000}"/>
    <hyperlink ref="B40:D40" location="CurrentExpensesbyCategoryLines7and8" display="7. Current Expenses from Federal Projects, excluding those projects intended to replace local tax revenues (e.g., most Impact Aid Projects)" xr:uid="{00000000-0004-0000-0600-00000C000000}"/>
    <hyperlink ref="B41:E41" location="CurrentExpensesbyCategoryLines7and8" display="8. Current Expenses from State and Local Projects, including those projects intended to replace local tax revenues (e.g., most Impact Aid Projects)" xr:uid="{00000000-0004-0000-0600-00000D000000}"/>
    <hyperlink ref="K23:L24" location="TeacherSalariesLine5" display="Cocurr. Act., Athletics, &amp; Other (Program 600)" xr:uid="{00000000-0004-0000-0600-00000E000000}"/>
    <hyperlink ref="J27:R27" location="AverageTeacherSalary" display="AVERAGE TEACHER SALARY (A.R.S. §15-189.05, as added by Laws 2018, Ch. 285, §3)" xr:uid="{00000000-0004-0000-0600-00000F000000}"/>
    <hyperlink ref="J23" location="TeacherSalariesLine5" display="5." xr:uid="{00000000-0004-0000-0600-000010000000}"/>
  </hyperlinks>
  <pageMargins left="0.75" right="0.25" top="0.25" bottom="0.25" header="0.5" footer="0.15"/>
  <pageSetup paperSize="5" scale="85" orientation="landscape" r:id="rId1"/>
  <headerFooter>
    <oddFooter>&amp;LRev. 8/24 Arizona Department of Education and Auditor General&amp;CFY 2024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C3BDB-7179-4DD0-A943-0C76DE5F692A}">
  <sheetPr>
    <pageSetUpPr fitToPage="1"/>
  </sheetPr>
  <dimension ref="A1:AA31"/>
  <sheetViews>
    <sheetView showGridLines="0" zoomScaleNormal="100" workbookViewId="0">
      <selection activeCell="I14" sqref="I14"/>
    </sheetView>
  </sheetViews>
  <sheetFormatPr defaultColWidth="9.33203125" defaultRowHeight="12.75" customHeight="1" x14ac:dyDescent="0.2"/>
  <cols>
    <col min="1" max="1" width="2.83203125" customWidth="1"/>
    <col min="2" max="2" width="9.83203125" customWidth="1"/>
    <col min="3" max="3" width="10.33203125" customWidth="1"/>
    <col min="4" max="4" width="10.83203125" customWidth="1"/>
    <col min="5" max="17" width="6.83203125" customWidth="1"/>
    <col min="18" max="18" width="9.6640625" customWidth="1"/>
    <col min="19" max="20" width="8.83203125" customWidth="1"/>
    <col min="21" max="22" width="11" customWidth="1"/>
    <col min="23" max="23" width="3.83203125" customWidth="1"/>
    <col min="24" max="24" width="9.33203125" customWidth="1"/>
  </cols>
  <sheetData>
    <row r="1" spans="1:27" ht="12.75" customHeight="1" x14ac:dyDescent="0.2">
      <c r="A1" s="595" t="s">
        <v>0</v>
      </c>
      <c r="D1" s="722" t="str">
        <f>'Cover Page'!D1</f>
        <v>ASU Preparatory Academy - South Phoenix Primary</v>
      </c>
      <c r="E1" s="722"/>
      <c r="F1" s="722"/>
      <c r="G1" s="722"/>
      <c r="K1" s="57" t="s">
        <v>1</v>
      </c>
      <c r="L1" s="722" t="str">
        <f>'Cover Page'!M1</f>
        <v>Maricopa</v>
      </c>
      <c r="M1" s="722"/>
      <c r="P1" s="65"/>
      <c r="U1" s="57" t="s">
        <v>2</v>
      </c>
      <c r="V1" s="215" t="str">
        <f>'Cover Page'!R1</f>
        <v>078267000</v>
      </c>
    </row>
    <row r="2" spans="1:27" ht="12.75" customHeight="1" x14ac:dyDescent="0.2">
      <c r="Q2" s="65"/>
      <c r="T2" s="65"/>
    </row>
    <row r="3" spans="1:27" ht="12.75" customHeight="1" x14ac:dyDescent="0.2">
      <c r="A3" s="216" t="s">
        <v>287</v>
      </c>
      <c r="B3" s="65"/>
      <c r="C3" s="65"/>
      <c r="D3" s="65"/>
      <c r="E3" s="65"/>
      <c r="F3" s="65"/>
      <c r="G3" s="65"/>
      <c r="H3" s="65"/>
      <c r="I3" s="65"/>
      <c r="J3" s="65"/>
      <c r="K3" s="65"/>
      <c r="L3" s="65"/>
      <c r="M3" s="65"/>
      <c r="N3" s="65"/>
      <c r="O3" s="65"/>
      <c r="P3" s="65"/>
      <c r="Q3" s="65"/>
      <c r="R3" s="65"/>
      <c r="S3" s="65"/>
      <c r="T3" s="65"/>
      <c r="U3" s="65"/>
      <c r="Y3" s="57"/>
    </row>
    <row r="4" spans="1:27" ht="6" customHeight="1" x14ac:dyDescent="0.2"/>
    <row r="5" spans="1:27" ht="12.75" customHeight="1" x14ac:dyDescent="0.2">
      <c r="A5" t="s">
        <v>288</v>
      </c>
    </row>
    <row r="6" spans="1:27" ht="12.75" customHeight="1" x14ac:dyDescent="0.2">
      <c r="E6" s="741" t="s">
        <v>289</v>
      </c>
      <c r="F6" s="756"/>
      <c r="G6" s="756"/>
      <c r="H6" s="756"/>
      <c r="I6" s="756"/>
      <c r="J6" s="756"/>
      <c r="K6" s="756"/>
      <c r="L6" s="756"/>
      <c r="M6" s="756"/>
      <c r="N6" s="756"/>
      <c r="O6" s="756"/>
      <c r="P6" s="756"/>
      <c r="Q6" s="756"/>
      <c r="R6" s="742"/>
    </row>
    <row r="7" spans="1:27" ht="12.75" customHeight="1" x14ac:dyDescent="0.2">
      <c r="B7" t="s">
        <v>290</v>
      </c>
      <c r="E7" s="631" t="s">
        <v>291</v>
      </c>
      <c r="F7" s="631">
        <v>1</v>
      </c>
      <c r="G7" s="631">
        <v>2</v>
      </c>
      <c r="H7" s="631">
        <v>3</v>
      </c>
      <c r="I7" s="631">
        <v>4</v>
      </c>
      <c r="J7" s="631">
        <v>5</v>
      </c>
      <c r="K7" s="631">
        <v>6</v>
      </c>
      <c r="L7" s="631">
        <v>7</v>
      </c>
      <c r="M7" s="631">
        <v>8</v>
      </c>
      <c r="N7" s="631">
        <v>9</v>
      </c>
      <c r="O7" s="631">
        <v>10</v>
      </c>
      <c r="P7" s="631">
        <v>11</v>
      </c>
      <c r="Q7" s="631">
        <v>12</v>
      </c>
      <c r="R7" s="631" t="s">
        <v>292</v>
      </c>
      <c r="S7" s="613"/>
      <c r="T7" s="613"/>
      <c r="AA7" s="47"/>
    </row>
    <row r="8" spans="1:27" ht="12.75" customHeight="1" x14ac:dyDescent="0.2">
      <c r="B8" t="s">
        <v>293</v>
      </c>
      <c r="E8" s="48">
        <v>0</v>
      </c>
      <c r="F8" s="48">
        <v>0</v>
      </c>
      <c r="G8" s="48">
        <v>0</v>
      </c>
      <c r="H8" s="48">
        <v>0</v>
      </c>
      <c r="I8" s="48">
        <v>0</v>
      </c>
      <c r="J8" s="48">
        <v>0</v>
      </c>
      <c r="K8" s="48">
        <v>0</v>
      </c>
      <c r="L8" s="48">
        <v>0</v>
      </c>
      <c r="M8" s="48">
        <v>0</v>
      </c>
      <c r="N8" s="48">
        <v>0</v>
      </c>
      <c r="O8" s="48">
        <v>0</v>
      </c>
      <c r="P8" s="48">
        <v>0</v>
      </c>
      <c r="Q8" s="48">
        <v>0</v>
      </c>
      <c r="R8" s="598">
        <f>SUM(E8:Q8)</f>
        <v>0</v>
      </c>
      <c r="S8" s="251" t="s">
        <v>24</v>
      </c>
      <c r="AA8" s="47" t="str">
        <f>IF(OR(E8="",F8="",G8="",H8="",I8="",J8="",K8="",L8="",M8="",N8="",O8="",P8="",Q8="",E9="",F9="",G9="",H9="",I9="",J9="",K9="",L9="",M9="",N9="",O9="",P9="",Q9=""),"yes","")</f>
        <v/>
      </c>
    </row>
    <row r="9" spans="1:27" ht="12.75" customHeight="1" x14ac:dyDescent="0.2">
      <c r="B9" t="s">
        <v>294</v>
      </c>
      <c r="E9" s="48">
        <v>0</v>
      </c>
      <c r="F9" s="48">
        <v>0</v>
      </c>
      <c r="G9" s="48">
        <v>0</v>
      </c>
      <c r="H9" s="48">
        <v>0</v>
      </c>
      <c r="I9" s="48">
        <v>0</v>
      </c>
      <c r="J9" s="48">
        <v>0</v>
      </c>
      <c r="K9" s="48">
        <v>0</v>
      </c>
      <c r="L9" s="48">
        <v>0</v>
      </c>
      <c r="M9" s="48">
        <v>0</v>
      </c>
      <c r="N9" s="48">
        <v>0</v>
      </c>
      <c r="O9" s="48">
        <v>0</v>
      </c>
      <c r="P9" s="48">
        <v>0</v>
      </c>
      <c r="Q9" s="48">
        <v>0</v>
      </c>
      <c r="R9" s="598">
        <f>SUM(E9:Q9)</f>
        <v>0</v>
      </c>
      <c r="S9" s="251" t="s">
        <v>26</v>
      </c>
      <c r="AA9" s="47" t="str">
        <f>IF(OR(E10="",F10="",G10="",H10="",I10="",J10="",K10="",L10="",M10="",N10="",O10="",P10="",Q10=""),"yes","")</f>
        <v/>
      </c>
    </row>
    <row r="10" spans="1:27" ht="12.75" customHeight="1" thickBot="1" x14ac:dyDescent="0.25">
      <c r="B10" t="s">
        <v>295</v>
      </c>
      <c r="E10" s="48">
        <v>0</v>
      </c>
      <c r="F10" s="48">
        <v>0</v>
      </c>
      <c r="G10" s="48">
        <v>0</v>
      </c>
      <c r="H10" s="48">
        <v>0</v>
      </c>
      <c r="I10" s="48">
        <v>0</v>
      </c>
      <c r="J10" s="48">
        <v>0</v>
      </c>
      <c r="K10" s="48">
        <v>0</v>
      </c>
      <c r="L10" s="48">
        <v>0</v>
      </c>
      <c r="M10" s="48">
        <v>0</v>
      </c>
      <c r="N10" s="48">
        <v>0</v>
      </c>
      <c r="O10" s="48">
        <v>0</v>
      </c>
      <c r="P10" s="48">
        <v>0</v>
      </c>
      <c r="Q10" s="48">
        <v>0</v>
      </c>
      <c r="R10" s="232">
        <f>SUM(E10:Q10)</f>
        <v>0</v>
      </c>
      <c r="S10" s="251" t="s">
        <v>28</v>
      </c>
      <c r="AA10" s="47"/>
    </row>
    <row r="11" spans="1:27" ht="12.75" customHeight="1" x14ac:dyDescent="0.2">
      <c r="B11" t="s">
        <v>296</v>
      </c>
      <c r="E11" s="795">
        <f t="shared" ref="E11:Q11" si="0">SUM(E8:E10)</f>
        <v>0</v>
      </c>
      <c r="F11" s="795">
        <f t="shared" si="0"/>
        <v>0</v>
      </c>
      <c r="G11" s="795">
        <f t="shared" si="0"/>
        <v>0</v>
      </c>
      <c r="H11" s="795">
        <f t="shared" si="0"/>
        <v>0</v>
      </c>
      <c r="I11" s="795">
        <f t="shared" si="0"/>
        <v>0</v>
      </c>
      <c r="J11" s="795">
        <f t="shared" ref="J11" si="1">SUM(J8:J10)</f>
        <v>0</v>
      </c>
      <c r="K11" s="795">
        <f t="shared" si="0"/>
        <v>0</v>
      </c>
      <c r="L11" s="795">
        <f t="shared" si="0"/>
        <v>0</v>
      </c>
      <c r="M11" s="795">
        <f>SUM(M8:M10)</f>
        <v>0</v>
      </c>
      <c r="N11" s="795">
        <f t="shared" si="0"/>
        <v>0</v>
      </c>
      <c r="O11" s="795">
        <f t="shared" si="0"/>
        <v>0</v>
      </c>
      <c r="P11" s="795">
        <f t="shared" si="0"/>
        <v>0</v>
      </c>
      <c r="Q11" s="795">
        <f t="shared" si="0"/>
        <v>0</v>
      </c>
      <c r="R11" s="795">
        <f>SUM(E11:Q11)</f>
        <v>0</v>
      </c>
      <c r="S11" s="251"/>
      <c r="AA11" s="47" t="str">
        <f>IF(OR(D17="",D18="",T16="",T17="",T18="",T19="",T20="",T21="",T22="",T25=""),"yes","")</f>
        <v/>
      </c>
    </row>
    <row r="12" spans="1:27" ht="13.5" thickBot="1" x14ac:dyDescent="0.25">
      <c r="B12" t="s">
        <v>297</v>
      </c>
      <c r="E12" s="796"/>
      <c r="F12" s="796"/>
      <c r="G12" s="796"/>
      <c r="H12" s="796"/>
      <c r="I12" s="796"/>
      <c r="J12" s="796"/>
      <c r="K12" s="796"/>
      <c r="L12" s="796"/>
      <c r="M12" s="796"/>
      <c r="N12" s="796"/>
      <c r="O12" s="796"/>
      <c r="P12" s="796"/>
      <c r="Q12" s="796"/>
      <c r="R12" s="796"/>
      <c r="S12" s="251" t="s">
        <v>31</v>
      </c>
      <c r="AA12" s="47" t="str">
        <f>IF(AND(AA8="",AA9="",AA11=""),"","yes")</f>
        <v/>
      </c>
    </row>
    <row r="13" spans="1:27" ht="16.5" customHeight="1" thickTop="1" x14ac:dyDescent="0.2">
      <c r="AA13" s="47"/>
    </row>
    <row r="14" spans="1:27" ht="12.75" customHeight="1" x14ac:dyDescent="0.2">
      <c r="A14" s="797" t="s">
        <v>298</v>
      </c>
      <c r="B14" s="797"/>
      <c r="C14" s="797"/>
      <c r="D14" s="797"/>
      <c r="E14" s="797"/>
      <c r="G14" s="252"/>
      <c r="M14">
        <f>[3]!SEIP1071P260F2100</f>
        <v>0</v>
      </c>
      <c r="AA14" s="47"/>
    </row>
    <row r="15" spans="1:27" ht="38.25" customHeight="1" x14ac:dyDescent="0.2">
      <c r="A15" s="219"/>
      <c r="B15" s="799" t="s">
        <v>299</v>
      </c>
      <c r="C15" s="799"/>
      <c r="D15" s="799"/>
      <c r="E15" s="799"/>
      <c r="G15" s="253"/>
      <c r="K15" s="586" t="s">
        <v>300</v>
      </c>
      <c r="L15" s="586"/>
      <c r="M15" s="586"/>
      <c r="N15" s="586"/>
      <c r="O15" s="586"/>
      <c r="P15" s="586"/>
      <c r="Q15" s="586"/>
      <c r="R15" s="586"/>
      <c r="S15" s="254" t="s">
        <v>301</v>
      </c>
      <c r="T15" s="255" t="s">
        <v>302</v>
      </c>
      <c r="AA15" s="47"/>
    </row>
    <row r="16" spans="1:27" ht="12.75" customHeight="1" x14ac:dyDescent="0.2">
      <c r="B16" s="617" t="s">
        <v>303</v>
      </c>
      <c r="K16" s="62" t="s">
        <v>24</v>
      </c>
      <c r="L16" s="797" t="s">
        <v>304</v>
      </c>
      <c r="M16" s="797"/>
      <c r="N16" s="797"/>
      <c r="O16" s="797"/>
      <c r="P16" s="797"/>
      <c r="S16" s="596">
        <f>'[3]Page 2'!$N$5</f>
        <v>50104</v>
      </c>
      <c r="T16" s="50">
        <v>104322</v>
      </c>
      <c r="U16" s="251" t="s">
        <v>24</v>
      </c>
    </row>
    <row r="17" spans="1:21" ht="12.75" customHeight="1" x14ac:dyDescent="0.2">
      <c r="B17" t="s">
        <v>305</v>
      </c>
      <c r="C17" s="3" t="s">
        <v>16</v>
      </c>
      <c r="D17" s="23">
        <v>876</v>
      </c>
      <c r="K17" s="62" t="s">
        <v>26</v>
      </c>
      <c r="L17" s="797" t="s">
        <v>306</v>
      </c>
      <c r="M17" s="797"/>
      <c r="N17" s="797"/>
      <c r="O17" s="178"/>
      <c r="S17" s="596">
        <f>[3]!P200GiftedEducation</f>
        <v>0</v>
      </c>
      <c r="T17" s="50">
        <v>876</v>
      </c>
      <c r="U17" s="251" t="s">
        <v>26</v>
      </c>
    </row>
    <row r="18" spans="1:21" ht="12.75" customHeight="1" x14ac:dyDescent="0.2">
      <c r="B18" s="251" t="s">
        <v>307</v>
      </c>
      <c r="C18" s="3" t="s">
        <v>16</v>
      </c>
      <c r="D18" s="24">
        <v>0</v>
      </c>
      <c r="K18" s="62" t="s">
        <v>28</v>
      </c>
      <c r="L18" t="s">
        <v>308</v>
      </c>
      <c r="S18" s="600">
        <f>[3]!P200ELLIncrementalCosts</f>
        <v>0</v>
      </c>
      <c r="T18" s="50">
        <v>0</v>
      </c>
      <c r="U18" s="251" t="s">
        <v>28</v>
      </c>
    </row>
    <row r="19" spans="1:21" ht="12.75" customHeight="1" thickBot="1" x14ac:dyDescent="0.25">
      <c r="B19" t="s">
        <v>309</v>
      </c>
      <c r="C19" s="3" t="s">
        <v>16</v>
      </c>
      <c r="D19" s="256">
        <f>SUM(D17:D18)</f>
        <v>876</v>
      </c>
      <c r="E19" s="178"/>
      <c r="K19" s="62" t="s">
        <v>31</v>
      </c>
      <c r="L19" t="s">
        <v>310</v>
      </c>
      <c r="S19" s="596">
        <f>[3]!P200ELLCompensatoryInstruction</f>
        <v>0</v>
      </c>
      <c r="T19" s="50">
        <v>0</v>
      </c>
      <c r="U19" s="251" t="s">
        <v>31</v>
      </c>
    </row>
    <row r="20" spans="1:21" ht="12.75" customHeight="1" thickTop="1" x14ac:dyDescent="0.2">
      <c r="K20" s="62" t="s">
        <v>33</v>
      </c>
      <c r="L20" t="s">
        <v>311</v>
      </c>
      <c r="S20" s="596">
        <f>[3]!P200RemedialEducation</f>
        <v>0</v>
      </c>
      <c r="T20" s="50">
        <v>0</v>
      </c>
      <c r="U20" s="251" t="s">
        <v>33</v>
      </c>
    </row>
    <row r="21" spans="1:21" x14ac:dyDescent="0.2">
      <c r="K21" s="62" t="s">
        <v>35</v>
      </c>
      <c r="L21" t="s">
        <v>312</v>
      </c>
      <c r="S21" s="596">
        <f>[3]!P200VocationalandTechnologicalEd</f>
        <v>0</v>
      </c>
      <c r="T21" s="50">
        <v>0</v>
      </c>
      <c r="U21" s="251" t="s">
        <v>35</v>
      </c>
    </row>
    <row r="22" spans="1:21" ht="12" customHeight="1" thickBot="1" x14ac:dyDescent="0.25">
      <c r="K22" s="62" t="s">
        <v>37</v>
      </c>
      <c r="L22" t="s">
        <v>313</v>
      </c>
      <c r="S22" s="226">
        <f>[3]!P200CareerEducation</f>
        <v>0</v>
      </c>
      <c r="T22" s="52">
        <v>0</v>
      </c>
      <c r="U22" s="251" t="s">
        <v>37</v>
      </c>
    </row>
    <row r="23" spans="1:21" ht="12.75" customHeight="1" thickBot="1" x14ac:dyDescent="0.25">
      <c r="K23" s="62" t="s">
        <v>39</v>
      </c>
      <c r="L23" s="798" t="s">
        <v>314</v>
      </c>
      <c r="M23" s="798"/>
      <c r="N23" s="798"/>
      <c r="O23" s="798"/>
      <c r="P23" s="798"/>
      <c r="Q23" s="4"/>
      <c r="S23" s="257">
        <f>SUM(S16:S22)</f>
        <v>50104</v>
      </c>
      <c r="T23" s="257">
        <f>SUM(T16:T22)</f>
        <v>105198</v>
      </c>
      <c r="U23" s="251" t="s">
        <v>39</v>
      </c>
    </row>
    <row r="24" spans="1:21" ht="12.75" customHeight="1" thickTop="1" x14ac:dyDescent="0.2">
      <c r="A24" s="3"/>
      <c r="B24" s="727"/>
      <c r="C24" s="727"/>
      <c r="D24" s="727"/>
      <c r="E24" s="727"/>
      <c r="F24" s="727"/>
      <c r="G24" s="727"/>
      <c r="H24" s="727"/>
      <c r="K24" s="62"/>
      <c r="U24" s="251"/>
    </row>
    <row r="25" spans="1:21" ht="12.75" customHeight="1" x14ac:dyDescent="0.2">
      <c r="A25" s="3"/>
      <c r="B25" s="727"/>
      <c r="C25" s="727"/>
      <c r="D25" s="727"/>
      <c r="E25" s="727"/>
      <c r="F25" s="727"/>
      <c r="G25" s="727"/>
      <c r="H25" s="727"/>
      <c r="K25" s="62" t="s">
        <v>41</v>
      </c>
      <c r="L25" s="791" t="s">
        <v>315</v>
      </c>
      <c r="M25" s="791"/>
      <c r="N25" s="791"/>
      <c r="O25" s="791"/>
      <c r="P25" s="791"/>
      <c r="Q25" s="791"/>
      <c r="R25" s="792"/>
      <c r="S25" s="789">
        <f>'[3]Page 2'!$N$14</f>
        <v>0</v>
      </c>
      <c r="T25" s="793">
        <v>0</v>
      </c>
      <c r="U25" s="251" t="s">
        <v>41</v>
      </c>
    </row>
    <row r="26" spans="1:21" ht="19.5" customHeight="1" thickBot="1" x14ac:dyDescent="0.25">
      <c r="A26" s="62"/>
      <c r="L26" s="791"/>
      <c r="M26" s="791"/>
      <c r="N26" s="791"/>
      <c r="O26" s="791"/>
      <c r="P26" s="791"/>
      <c r="Q26" s="791"/>
      <c r="R26" s="792"/>
      <c r="S26" s="790"/>
      <c r="T26" s="794"/>
    </row>
    <row r="31" spans="1:21" ht="12.75" customHeight="1" x14ac:dyDescent="0.2">
      <c r="B31" s="25"/>
      <c r="C31" s="25"/>
    </row>
  </sheetData>
  <sheetProtection formatCells="0" formatColumns="0" formatRows="0"/>
  <mergeCells count="27">
    <mergeCell ref="D1:G1"/>
    <mergeCell ref="L1:M1"/>
    <mergeCell ref="E11:E12"/>
    <mergeCell ref="F11:F12"/>
    <mergeCell ref="G11:G12"/>
    <mergeCell ref="H11:H12"/>
    <mergeCell ref="J11:J12"/>
    <mergeCell ref="K11:K12"/>
    <mergeCell ref="L11:L12"/>
    <mergeCell ref="I11:I12"/>
    <mergeCell ref="E6:R6"/>
    <mergeCell ref="M11:M12"/>
    <mergeCell ref="N11:N12"/>
    <mergeCell ref="O11:O12"/>
    <mergeCell ref="P11:P12"/>
    <mergeCell ref="B24:H24"/>
    <mergeCell ref="B25:H25"/>
    <mergeCell ref="L17:N17"/>
    <mergeCell ref="L23:P23"/>
    <mergeCell ref="A14:E14"/>
    <mergeCell ref="B15:E15"/>
    <mergeCell ref="L16:P16"/>
    <mergeCell ref="S25:S26"/>
    <mergeCell ref="L25:R26"/>
    <mergeCell ref="T25:T26"/>
    <mergeCell ref="Q11:Q12"/>
    <mergeCell ref="R11:R12"/>
  </mergeCells>
  <conditionalFormatting sqref="D17:D18">
    <cfRule type="expression" dxfId="48" priority="2" stopIfTrue="1">
      <formula>$D17=""</formula>
    </cfRule>
  </conditionalFormatting>
  <conditionalFormatting sqref="E8:Q10">
    <cfRule type="expression" dxfId="47" priority="5" stopIfTrue="1">
      <formula>E8=""</formula>
    </cfRule>
  </conditionalFormatting>
  <conditionalFormatting sqref="T16:T22 T25">
    <cfRule type="expression" dxfId="46" priority="3" stopIfTrue="1">
      <formula>$T16=""</formula>
    </cfRule>
  </conditionalFormatting>
  <hyperlinks>
    <hyperlink ref="K17:N17" location="TotalActualGiftedExpenses" display="15." xr:uid="{00000000-0004-0000-0700-000000000000}"/>
    <hyperlink ref="K23:P23" r:id="rId1" display="22." xr:uid="{00000000-0004-0000-0700-000001000000}"/>
    <hyperlink ref="A14:E15" location="TotalActualGiftedExpenses" display="B. EXPENSES FOR GIFTED PUPILS " xr:uid="{00000000-0004-0000-0700-000002000000}"/>
    <hyperlink ref="L16:P16" location="AllDisabilityClassifications" display="Total All Disability Classifications" xr:uid="{00000000-0004-0000-0700-000003000000}"/>
    <hyperlink ref="K25" r:id="rId2" display="22." xr:uid="{00000000-0004-0000-0700-000004000000}"/>
    <hyperlink ref="L25:R26" location="Section_C_Transportation" display="Expenses incurred for transporting students with disabilities (as defined in A.R.S. §15-761) unique to the IEP" xr:uid="{00000000-0004-0000-0700-000005000000}"/>
    <hyperlink ref="L15" location="SpecialEdProgramsByType" display="D. SPECIAL EDUCATION PROGRAMS BY TYPE" xr:uid="{00000000-0004-0000-0700-000006000000}"/>
    <hyperlink ref="S15" location="SpecialEdProgramsByType" display="Program 200 budget" xr:uid="{00000000-0004-0000-0700-000007000000}"/>
    <hyperlink ref="T15" location="SpecialEdProgramsByType" display="Program 200 actual" xr:uid="{00000000-0004-0000-0700-000008000000}"/>
    <hyperlink ref="K15:R15" location="SpecialEdProgramsByType" display="C. Special education programs by type" xr:uid="{00000000-0004-0000-0700-000009000000}"/>
  </hyperlinks>
  <pageMargins left="0.75" right="0.25" top="0.25" bottom="0.25" header="0.5" footer="0.15"/>
  <pageSetup paperSize="5" orientation="landscape" r:id="rId3"/>
  <headerFooter>
    <oddFooter>&amp;LRev. 8/24 Arizona Department of Education and Auditor General&amp;CFY 2024</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450-DE68-4942-B800-97A2E5966727}">
  <sheetPr>
    <pageSetUpPr fitToPage="1"/>
  </sheetPr>
  <dimension ref="A1:AC45"/>
  <sheetViews>
    <sheetView showGridLines="0" zoomScaleNormal="100" workbookViewId="0">
      <selection activeCell="J38" sqref="J38"/>
    </sheetView>
  </sheetViews>
  <sheetFormatPr defaultColWidth="9.33203125" defaultRowHeight="12.75" x14ac:dyDescent="0.2"/>
  <cols>
    <col min="1" max="1" width="21.33203125" customWidth="1"/>
    <col min="2" max="2" width="19.33203125" customWidth="1"/>
    <col min="3" max="3" width="13" customWidth="1"/>
    <col min="4" max="4" width="3.83203125" style="3" customWidth="1"/>
    <col min="5" max="12" width="13.83203125" customWidth="1"/>
    <col min="13" max="13" width="15.33203125" customWidth="1"/>
    <col min="14" max="14" width="13.83203125" customWidth="1"/>
    <col min="15" max="15" width="3.33203125" bestFit="1" customWidth="1"/>
    <col min="16" max="17" width="9.33203125" customWidth="1"/>
    <col min="18" max="18" width="9.33203125" hidden="1" customWidth="1"/>
    <col min="19" max="19" width="11" hidden="1" customWidth="1"/>
    <col min="20" max="25" width="9.33203125" hidden="1" customWidth="1"/>
    <col min="26" max="26" width="9.33203125" customWidth="1"/>
  </cols>
  <sheetData>
    <row r="1" spans="1:29" x14ac:dyDescent="0.2">
      <c r="A1" s="595" t="s">
        <v>0</v>
      </c>
      <c r="B1" s="722" t="str">
        <f>'Cover Page'!D1</f>
        <v>ASU Preparatory Academy - South Phoenix Primary</v>
      </c>
      <c r="C1" s="722"/>
      <c r="D1" s="722"/>
      <c r="G1" s="57" t="s">
        <v>1</v>
      </c>
      <c r="H1" s="722" t="str">
        <f>'Cover Page'!M1</f>
        <v>Maricopa</v>
      </c>
      <c r="I1" s="722"/>
      <c r="M1" s="57" t="s">
        <v>2</v>
      </c>
      <c r="N1" s="615" t="str">
        <f>'Cover Page'!R1</f>
        <v>078267000</v>
      </c>
    </row>
    <row r="3" spans="1:29" x14ac:dyDescent="0.2">
      <c r="A3" s="800" t="s">
        <v>316</v>
      </c>
      <c r="B3" s="800"/>
      <c r="C3" s="800"/>
      <c r="D3" s="801"/>
      <c r="E3" s="620" t="s">
        <v>193</v>
      </c>
      <c r="F3" s="680" t="s">
        <v>317</v>
      </c>
      <c r="G3" s="620"/>
      <c r="H3" s="620" t="s">
        <v>318</v>
      </c>
      <c r="I3" s="620"/>
      <c r="J3" s="185"/>
      <c r="K3" s="184"/>
      <c r="L3" s="184" t="s">
        <v>319</v>
      </c>
      <c r="M3" s="620" t="s">
        <v>320</v>
      </c>
      <c r="N3" s="620" t="s">
        <v>196</v>
      </c>
    </row>
    <row r="4" spans="1:29" x14ac:dyDescent="0.2">
      <c r="E4" s="78" t="s">
        <v>199</v>
      </c>
      <c r="F4" s="681" t="s">
        <v>193</v>
      </c>
      <c r="G4" s="78" t="s">
        <v>21</v>
      </c>
      <c r="H4" s="78" t="s">
        <v>321</v>
      </c>
      <c r="I4" s="78" t="s">
        <v>322</v>
      </c>
      <c r="J4" s="802" t="s">
        <v>92</v>
      </c>
      <c r="K4" s="803"/>
      <c r="L4" s="258" t="s">
        <v>323</v>
      </c>
      <c r="M4" s="78" t="s">
        <v>324</v>
      </c>
      <c r="N4" s="78" t="s">
        <v>199</v>
      </c>
      <c r="AA4" s="594"/>
      <c r="AB4" s="47"/>
      <c r="AC4" s="47"/>
    </row>
    <row r="5" spans="1:29" x14ac:dyDescent="0.2">
      <c r="A5" s="595" t="s">
        <v>325</v>
      </c>
      <c r="E5" s="83" t="s">
        <v>102</v>
      </c>
      <c r="F5" s="682" t="s">
        <v>494</v>
      </c>
      <c r="G5" s="83" t="s">
        <v>102</v>
      </c>
      <c r="H5" s="83" t="s">
        <v>102</v>
      </c>
      <c r="I5" s="83" t="s">
        <v>102</v>
      </c>
      <c r="J5" s="631" t="s">
        <v>101</v>
      </c>
      <c r="K5" s="631" t="s">
        <v>23</v>
      </c>
      <c r="L5" s="83" t="s">
        <v>326</v>
      </c>
      <c r="M5" s="83" t="s">
        <v>102</v>
      </c>
      <c r="N5" s="83" t="s">
        <v>102</v>
      </c>
      <c r="T5" s="594"/>
      <c r="AB5" s="47"/>
      <c r="AC5" s="47"/>
    </row>
    <row r="6" spans="1:29" x14ac:dyDescent="0.2">
      <c r="A6" t="s">
        <v>327</v>
      </c>
      <c r="D6" s="3" t="s">
        <v>24</v>
      </c>
      <c r="E6" s="596">
        <f>[4]!FP11001130EndBal</f>
        <v>3813</v>
      </c>
      <c r="F6" s="50">
        <v>-183</v>
      </c>
      <c r="G6" s="596">
        <f>-(SUMIFS('Accounting data'!$G$2:$G$37000,'Accounting data'!$H$2:$H$37000,"1100*",'Accounting data'!$K$2:$K$37000,"1*")+SUMIFS('Accounting data'!$G$2:$G$37000,'Accounting data'!$H$2:$H$37000,"1100*",'Accounting data'!$K$2:$K$37000,"2*")+SUMIFS('Accounting data'!$G$2:$G$37000,'Accounting data'!$H$2:$H$37000,"1100*",'Accounting data'!$K$2:$K$37000,"3*")+SUMIFS('Accounting data'!$G$2:$G$37000,'Accounting data'!$H$2:$H$37000,"1100*",'Accounting data'!$K$2:$K$37000,"4*")+SUMIFS('Accounting data'!$G$2:$G$37000,'Accounting data'!$H$2:$H$37000,"1100*",'Accounting data'!$K$2:$K$37000,"Other*"))</f>
        <v>112603</v>
      </c>
      <c r="H6" s="598">
        <f>SUMIFS('Accounting data'!$G$2:$G$37000,'Accounting data'!$H$2:$H$37000,"1100*",'Accounting data'!$K$2:$K$37000,"69*")</f>
        <v>8898</v>
      </c>
      <c r="I6" s="48">
        <v>0</v>
      </c>
      <c r="J6" s="596">
        <f>[3]!FP11001130TitleI</f>
        <v>75584</v>
      </c>
      <c r="K6" s="598">
        <f>SUMIFS('Accounting data'!$G$2:$G$37000,'Accounting data'!$H$2:$H$37000,"1100*",'Accounting data'!$K$2:$K$37000,"6*")-SUMIFS('Accounting data'!$G$2:$G$37000,'Accounting data'!$H$2:$H$37000,"1100*",'Accounting data'!$K$2:$K$37000,"69*")-SUMIFS('Accounting data'!$G$2:$G$37000,'Accounting data'!$H$2:$H$37000,"1100*",'Accounting data'!$K$2:$K$37000,"67*")</f>
        <v>103522</v>
      </c>
      <c r="L6" s="259"/>
      <c r="M6" s="48">
        <v>0</v>
      </c>
      <c r="N6" s="598">
        <f>SUM(IF(F6="",E6,F6)+G6-H6-I6-K6-M6)</f>
        <v>0</v>
      </c>
      <c r="O6" s="225" t="s">
        <v>24</v>
      </c>
      <c r="P6" s="25"/>
      <c r="AB6" s="47"/>
      <c r="AC6" s="47" t="str">
        <f>IF(OR(I6="",I7="",I8="",I9="",I10="",I11="",I12="",I13="",I14="",I15="",I16="",I17="",I18="",I19="",I20="",I21="",I22=""),"yes","")</f>
        <v/>
      </c>
    </row>
    <row r="7" spans="1:29" x14ac:dyDescent="0.2">
      <c r="A7" t="s">
        <v>328</v>
      </c>
      <c r="D7" s="3" t="s">
        <v>26</v>
      </c>
      <c r="E7" s="596">
        <f>[4]!FP11401150EndBal</f>
        <v>0</v>
      </c>
      <c r="F7" s="50">
        <v>0</v>
      </c>
      <c r="G7" s="596">
        <f>-(SUMIFS('Accounting data'!$G$2:$G$37000,'Accounting data'!$H$2:$H$37000,"1140*",'Accounting data'!$K$2:$K$37000,"1*")+SUMIFS('Accounting data'!$G$2:$G$37000,'Accounting data'!$H$2:$H$37000,"1140*",'Accounting data'!$K$2:$K$37000,"2*")+SUMIFS('Accounting data'!$G$2:$G$37000,'Accounting data'!$H$2:$H$37000,"1140*",'Accounting data'!$K$2:$K$37000,"3*")+SUMIFS('Accounting data'!$G$2:$G$37000,'Accounting data'!$H$2:$H$37000,"1140*",'Accounting data'!$K$2:$K$37000,"4*")+SUMIFS('Accounting data'!$G$2:$G$37000,'Accounting data'!$H$2:$H$37000,"1140*",'Accounting data'!$K$2:$K$37000,"Other*"))</f>
        <v>0</v>
      </c>
      <c r="H7" s="598">
        <f>SUMIFS('Accounting data'!$G$2:$G$37000,'Accounting data'!$H$2:$H$37000,"1140*",'Accounting data'!$K$2:$K$37000,"69*")</f>
        <v>0</v>
      </c>
      <c r="I7" s="48">
        <v>0</v>
      </c>
      <c r="J7" s="596">
        <f>[3]!FP11401150TitleII</f>
        <v>3193</v>
      </c>
      <c r="K7" s="598">
        <f>SUMIFS('Accounting data'!$G$2:$G$37000,'Accounting data'!$H$2:$H$37000,"1140*",'Accounting data'!$K$2:$K$37000,"6*")-SUMIFS('Accounting data'!$G$2:$G$37000,'Accounting data'!$H$2:$H$37000,"1140*",'Accounting data'!$K$2:$K$37000,"69*")-SUMIFS('Accounting data'!$G$2:$G$37000,'Accounting data'!$H$2:$H$37000,"1140*",'Accounting data'!$K$2:$K$37000,"67*")</f>
        <v>0</v>
      </c>
      <c r="L7" s="259"/>
      <c r="M7" s="48">
        <v>0</v>
      </c>
      <c r="N7" s="598">
        <f>SUM(IF(F7="",E7,F7)+G7-H7-I7-K7-M7)</f>
        <v>0</v>
      </c>
      <c r="O7" t="s">
        <v>26</v>
      </c>
      <c r="AB7" s="47"/>
      <c r="AC7" s="47" t="str">
        <f>IF(OR(M6="",M7="",M8="",M9="",M10="",M11="",M12="",M13="",M14="",M15="",M16="",M17="",M18="",M19="",M20="",M21="",M22=""),"yes","")</f>
        <v/>
      </c>
    </row>
    <row r="8" spans="1:29" x14ac:dyDescent="0.2">
      <c r="A8" t="s">
        <v>329</v>
      </c>
      <c r="D8" s="3" t="s">
        <v>28</v>
      </c>
      <c r="E8" s="596">
        <f>[4]!FP1160EndBal</f>
        <v>0</v>
      </c>
      <c r="F8" s="50">
        <v>0</v>
      </c>
      <c r="G8" s="596">
        <f>-(SUMIFS('Accounting data'!$G$2:$G$37000,'Accounting data'!$H$2:$H$37000,"1160*",'Accounting data'!$K$2:$K$37000,"1*")+SUMIFS('Accounting data'!$G$2:$G$37000,'Accounting data'!$H$2:$H$37000,"1160*",'Accounting data'!$K$2:$K$37000,"2*")+SUMIFS('Accounting data'!$G$2:$G$37000,'Accounting data'!$H$2:$H$37000,"1160*",'Accounting data'!$K$2:$K$37000,"3*")+SUMIFS('Accounting data'!$G$2:$G$37000,'Accounting data'!$H$2:$H$37000,"1160*",'Accounting data'!$K$2:$K$37000,"4*")+SUMIFS('Accounting data'!$G$2:$G$37000,'Accounting data'!$H$2:$H$37000,"1160*",'Accounting data'!$K$2:$K$37000,"Other*"))</f>
        <v>0</v>
      </c>
      <c r="H8" s="598">
        <f>SUMIFS('Accounting data'!$G$2:$G$37000,'Accounting data'!$H$2:$H$37000,"1160*",'Accounting data'!$K$2:$K$37000,"69*")</f>
        <v>0</v>
      </c>
      <c r="I8" s="48">
        <v>0</v>
      </c>
      <c r="J8" s="596">
        <f>[3]!FP1160TitleIV</f>
        <v>10000</v>
      </c>
      <c r="K8" s="598">
        <f>SUMIFS('Accounting data'!$G$2:$G$37000,'Accounting data'!$H$2:$H$37000,"1160*",'Accounting data'!$K$2:$K$37000,"6*")-SUMIFS('Accounting data'!$G$2:$G$37000,'Accounting data'!$H$2:$H$37000,"1160*",'Accounting data'!$K$2:$K$37000,"69*")-SUMIFS('Accounting data'!$G$2:$G$37000,'Accounting data'!$H$2:$H$37000,"1160*",'Accounting data'!$K$2:$K$37000,"67*")</f>
        <v>0</v>
      </c>
      <c r="L8" s="259"/>
      <c r="M8" s="48">
        <v>0</v>
      </c>
      <c r="N8" s="598">
        <f t="shared" ref="N8:N21" si="0">SUM(IF(F8="",E8,F8)+G8-H8-I8-K8-M8)</f>
        <v>0</v>
      </c>
      <c r="O8" t="s">
        <v>28</v>
      </c>
      <c r="AB8" s="47"/>
      <c r="AC8" s="47" t="str">
        <f>IF(OR(I25="",J25="",M25=""),"yes","")</f>
        <v>yes</v>
      </c>
    </row>
    <row r="9" spans="1:29" x14ac:dyDescent="0.2">
      <c r="A9" t="s">
        <v>330</v>
      </c>
      <c r="D9" s="3" t="s">
        <v>31</v>
      </c>
      <c r="E9" s="596">
        <f>[4]!FP11701180EndBal</f>
        <v>0</v>
      </c>
      <c r="F9" s="50">
        <v>0</v>
      </c>
      <c r="G9" s="596">
        <f>-(SUMIFS('Accounting data'!$G$2:$G$37000,'Accounting data'!$H$2:$H$37000,"1170*",'Accounting data'!$K$2:$K$37000,"1*")+SUMIFS('Accounting data'!$G$2:$G$37000,'Accounting data'!$H$2:$H$37000,"1170*",'Accounting data'!$K$2:$K$37000,"2*")+SUMIFS('Accounting data'!$G$2:$G$37000,'Accounting data'!$H$2:$H$37000,"1170*",'Accounting data'!$K$2:$K$37000,"3*")+SUMIFS('Accounting data'!$G$2:$G$37000,'Accounting data'!$H$2:$H$37000,"1170*",'Accounting data'!$K$2:$K$37000,"4*")+SUMIFS('Accounting data'!$G$2:$G$37000,'Accounting data'!$H$2:$H$37000,"1170*",'Accounting data'!$K$2:$K$37000,"Other*"))</f>
        <v>0</v>
      </c>
      <c r="H9" s="598">
        <f>SUMIFS('Accounting data'!$G$2:$G$37000,'Accounting data'!$H$2:$H$37000,"1170*",'Accounting data'!$K$2:$K$37000,"69*")</f>
        <v>0</v>
      </c>
      <c r="I9" s="48">
        <v>0</v>
      </c>
      <c r="J9" s="596">
        <f>[3]!FP11701180TitleV</f>
        <v>0</v>
      </c>
      <c r="K9" s="598">
        <f>SUMIFS('Accounting data'!$G$2:$G$37000,'Accounting data'!$H$2:$H$37000,"1170*",'Accounting data'!$K$2:$K$37000,"6*")-SUMIFS('Accounting data'!$G$2:$G$37000,'Accounting data'!$H$2:$H$37000,"1170*",'Accounting data'!$K$2:$K$37000,"69*")-SUMIFS('Accounting data'!$G$2:$G$37000,'Accounting data'!$H$2:$H$37000,"1170*",'Accounting data'!$K$2:$K$37000,"67*")</f>
        <v>0</v>
      </c>
      <c r="L9" s="259"/>
      <c r="M9" s="48">
        <v>0</v>
      </c>
      <c r="N9" s="598">
        <f t="shared" si="0"/>
        <v>0</v>
      </c>
      <c r="O9" t="s">
        <v>31</v>
      </c>
      <c r="AB9" s="47"/>
      <c r="AC9" s="47" t="str">
        <f>IF(OR(I28="",I29="",I30="",I31="",I32="",I33="",I34="",I35="",I36="",I37="",I38="",I39=""),"yes","")</f>
        <v/>
      </c>
    </row>
    <row r="10" spans="1:29" x14ac:dyDescent="0.2">
      <c r="A10" t="s">
        <v>331</v>
      </c>
      <c r="D10" s="3" t="s">
        <v>33</v>
      </c>
      <c r="E10" s="596">
        <f>[4]!FP1190EndBal</f>
        <v>147</v>
      </c>
      <c r="F10" s="50">
        <v>1</v>
      </c>
      <c r="G10" s="596">
        <f>-(SUMIFS('Accounting data'!$G$2:$G$37000,'Accounting data'!$H$2:$H$37000,"1190*",'Accounting data'!$K$2:$K$37000,"1*")+SUMIFS('Accounting data'!$G$2:$G$37000,'Accounting data'!$H$2:$H$37000,"1190*",'Accounting data'!$K$2:$K$37000,"2*")+SUMIFS('Accounting data'!$G$2:$G$37000,'Accounting data'!$H$2:$H$37000,"1190*",'Accounting data'!$K$2:$K$37000,"3*")+SUMIFS('Accounting data'!$G$2:$G$37000,'Accounting data'!$H$2:$H$37000,"1190*",'Accounting data'!$K$2:$K$37000,"4*")+SUMIFS('Accounting data'!$G$2:$G$37000,'Accounting data'!$H$2:$H$37000,"1190*",'Accounting data'!$K$2:$K$37000,"Other*"))</f>
        <v>2521</v>
      </c>
      <c r="H10" s="598">
        <f>SUMIFS('Accounting data'!$G$2:$G$37000,'Accounting data'!$H$2:$H$37000,"1190*",'Accounting data'!$K$2:$K$37000,"69*")</f>
        <v>27</v>
      </c>
      <c r="I10" s="48">
        <v>0</v>
      </c>
      <c r="J10" s="596">
        <f>[3]!FP1190TitleIII</f>
        <v>0</v>
      </c>
      <c r="K10" s="598">
        <f>SUMIFS('Accounting data'!$G$2:$G$37000,'Accounting data'!$H$2:$H$37000,"1190*",'Accounting data'!$K$2:$K$37000,"6*")-SUMIFS('Accounting data'!$G$2:$G$37000,'Accounting data'!$H$2:$H$37000,"1190*",'Accounting data'!$K$2:$K$37000,"69*")-SUMIFS('Accounting data'!$G$2:$G$37000,'Accounting data'!$H$2:$H$37000,"1190*",'Accounting data'!$K$2:$K$37000,"67*")</f>
        <v>2495</v>
      </c>
      <c r="L10" s="259"/>
      <c r="M10" s="48">
        <v>0</v>
      </c>
      <c r="N10" s="598">
        <f t="shared" si="0"/>
        <v>0</v>
      </c>
      <c r="O10" t="s">
        <v>33</v>
      </c>
      <c r="AB10" s="47"/>
      <c r="AC10" s="47" t="str">
        <f>IF(OR(M28="",M29="",M30="",M31="",M32="",M33="",M34="",M35="",M36="",M37="",M38="",M39=""),"yes","")</f>
        <v/>
      </c>
    </row>
    <row r="11" spans="1:29" x14ac:dyDescent="0.2">
      <c r="A11" t="s">
        <v>332</v>
      </c>
      <c r="D11" s="3" t="s">
        <v>35</v>
      </c>
      <c r="E11" s="596">
        <f>[4]!FP1200EndBal</f>
        <v>0</v>
      </c>
      <c r="F11" s="50">
        <v>0</v>
      </c>
      <c r="G11" s="596">
        <f>-(SUMIFS('Accounting data'!$G$2:$G$37000,'Accounting data'!$H$2:$H$37000,"1200*",'Accounting data'!$K$2:$K$37000,"1*")+SUMIFS('Accounting data'!$G$2:$G$37000,'Accounting data'!$H$2:$H$37000,"1200*",'Accounting data'!$K$2:$K$37000,"2*")+SUMIFS('Accounting data'!$G$2:$G$37000,'Accounting data'!$H$2:$H$37000,"1200*",'Accounting data'!$K$2:$K$37000,"3*")+SUMIFS('Accounting data'!$G$2:$G$37000,'Accounting data'!$H$2:$H$37000,"1200*",'Accounting data'!$K$2:$K$37000,"4*")+SUMIFS('Accounting data'!$G$2:$G$37000,'Accounting data'!$H$2:$H$37000,"1200*",'Accounting data'!$K$2:$K$37000,"Other*"))</f>
        <v>0</v>
      </c>
      <c r="H11" s="598">
        <f>SUMIFS('Accounting data'!$G$2:$G$37000,'Accounting data'!$H$2:$H$37000,"1200*",'Accounting data'!$K$2:$K$37000,"69*")</f>
        <v>0</v>
      </c>
      <c r="I11" s="48">
        <v>0</v>
      </c>
      <c r="J11" s="596">
        <f>[3]!FP1200TitleVII</f>
        <v>0</v>
      </c>
      <c r="K11" s="598">
        <f>SUMIFS('Accounting data'!$G$2:$G$37000,'Accounting data'!$H$2:$H$37000,"1200*",'Accounting data'!$K$2:$K$37000,"6*")-SUMIFS('Accounting data'!$G$2:$G$37000,'Accounting data'!$H$2:$H$37000,"1200*",'Accounting data'!$K$2:$K$37000,"69*")-SUMIFS('Accounting data'!$G$2:$G$37000,'Accounting data'!$H$2:$H$37000,"1200*",'Accounting data'!$K$2:$K$37000,"67*")</f>
        <v>0</v>
      </c>
      <c r="L11" s="259"/>
      <c r="M11" s="48">
        <v>0</v>
      </c>
      <c r="N11" s="598">
        <f t="shared" si="0"/>
        <v>0</v>
      </c>
      <c r="O11" t="s">
        <v>35</v>
      </c>
      <c r="AB11" s="47"/>
      <c r="AC11" s="47" t="str">
        <f>IF(AND(AC6="",AC8="",AC9="",AC7="",AC10=""),"","yes")</f>
        <v>yes</v>
      </c>
    </row>
    <row r="12" spans="1:29" x14ac:dyDescent="0.2">
      <c r="A12" t="s">
        <v>333</v>
      </c>
      <c r="D12" s="3" t="s">
        <v>37</v>
      </c>
      <c r="E12" s="596">
        <f>[4]!FP1210EndBal</f>
        <v>0</v>
      </c>
      <c r="F12" s="50">
        <v>0</v>
      </c>
      <c r="G12" s="596">
        <f>-(SUMIFS('Accounting data'!$G$2:$G$37000,'Accounting data'!$H$2:$H$37000,"1210*",'Accounting data'!$K$2:$K$37000,"1*")+SUMIFS('Accounting data'!$G$2:$G$37000,'Accounting data'!$H$2:$H$37000,"1210*",'Accounting data'!$K$2:$K$37000,"2*")+SUMIFS('Accounting data'!$G$2:$G$37000,'Accounting data'!$H$2:$H$37000,"1210*",'Accounting data'!$K$2:$K$37000,"3*")+SUMIFS('Accounting data'!$G$2:$G$37000,'Accounting data'!$H$2:$H$37000,"1210*",'Accounting data'!$K$2:$K$37000,"4*")+SUMIFS('Accounting data'!$G$2:$G$37000,'Accounting data'!$H$2:$H$37000,"1210*",'Accounting data'!$K$2:$K$37000,"Other*"))</f>
        <v>0</v>
      </c>
      <c r="H12" s="598">
        <f>SUMIFS('Accounting data'!$G$2:$G$37000,'Accounting data'!$H$2:$H$37000,"1210*",'Accounting data'!$K$2:$K$37000,"69*")</f>
        <v>0</v>
      </c>
      <c r="I12" s="48">
        <v>0</v>
      </c>
      <c r="J12" s="596">
        <f>[3]!FP1210TitleVI</f>
        <v>0</v>
      </c>
      <c r="K12" s="598">
        <f>SUMIFS('Accounting data'!$G$2:$G$37000,'Accounting data'!$H$2:$H$37000,"1210*",'Accounting data'!$K$2:$K$37000,"6*")-SUMIFS('Accounting data'!$G$2:$G$37000,'Accounting data'!$H$2:$H$37000,"1210*",'Accounting data'!$K$2:$K$37000,"69*")-SUMIFS('Accounting data'!$G$2:$G$37000,'Accounting data'!$H$2:$H$37000,"1210*",'Accounting data'!$K$2:$K$37000,"67*")</f>
        <v>0</v>
      </c>
      <c r="L12" s="259"/>
      <c r="M12" s="48">
        <v>0</v>
      </c>
      <c r="N12" s="598">
        <f t="shared" si="0"/>
        <v>0</v>
      </c>
      <c r="O12" t="s">
        <v>37</v>
      </c>
      <c r="AB12" s="47"/>
      <c r="AC12" s="47"/>
    </row>
    <row r="13" spans="1:29" x14ac:dyDescent="0.2">
      <c r="A13" t="s">
        <v>334</v>
      </c>
      <c r="D13" s="3" t="s">
        <v>39</v>
      </c>
      <c r="E13" s="596">
        <f>[4]!FP1220EndBal</f>
        <v>-752</v>
      </c>
      <c r="F13" s="50">
        <v>-2</v>
      </c>
      <c r="G13" s="596">
        <f>-(SUMIFS('Accounting data'!$G$2:$G$37000,'Accounting data'!$H$2:$H$37000,"122*",'Accounting data'!$K$2:$K$37000,"1*")+SUMIFS('Accounting data'!$G$2:$G$37000,'Accounting data'!$H$2:$H$37000,"122*",'Accounting data'!$K$2:$K$37000,"2*")+SUMIFS('Accounting data'!$G$2:$G$37000,'Accounting data'!$H$2:$H$37000,"122*",'Accounting data'!$K$2:$K$37000,"3*")+SUMIFS('Accounting data'!$G$2:$G$37000,'Accounting data'!$H$2:$H$37000,"122*",'Accounting data'!$K$2:$K$37000,"4*")+SUMIFS('Accounting data'!$G$2:$G$37000,'Accounting data'!$H$2:$H$37000,"122*",'Accounting data'!$K$2:$K$37000,"Other*"))</f>
        <v>10426</v>
      </c>
      <c r="H13" s="596">
        <f>SUMIFS('Accounting data'!$G$2:$G$37000,'Accounting data'!$H$2:$H$37000,"122*",'Accounting data'!$K$2:$K$37000,"69*")</f>
        <v>771</v>
      </c>
      <c r="I13" s="48">
        <v>0</v>
      </c>
      <c r="J13" s="596">
        <f>[3]!FP1220IDEA</f>
        <v>14144</v>
      </c>
      <c r="K13" s="598">
        <f>SUMIFS('Accounting data'!$G$2:$G$37000,'Accounting data'!$H$2:$H$37000,"122*",'Accounting data'!$K$2:$K$37000,"6*")-SUMIFS('Accounting data'!$G$2:$G$37000,'Accounting data'!$H$2:$H$37000,"122*",'Accounting data'!$K$2:$K$37000,"69*")-SUMIFS('Accounting data'!$G$2:$G$37000,'Accounting data'!$H$2:$H$37000,"122*",'Accounting data'!$K$2:$K$37000,"67*")</f>
        <v>9653</v>
      </c>
      <c r="L13" s="259"/>
      <c r="M13" s="48">
        <v>0</v>
      </c>
      <c r="N13" s="598">
        <f t="shared" si="0"/>
        <v>0</v>
      </c>
      <c r="O13" t="s">
        <v>39</v>
      </c>
      <c r="AB13" s="47"/>
      <c r="AC13" s="47"/>
    </row>
    <row r="14" spans="1:29" x14ac:dyDescent="0.2">
      <c r="A14" t="s">
        <v>335</v>
      </c>
      <c r="D14" s="3" t="s">
        <v>41</v>
      </c>
      <c r="E14" s="596">
        <f>[4]!FP1230EndBal</f>
        <v>0</v>
      </c>
      <c r="F14" s="50">
        <v>0</v>
      </c>
      <c r="G14" s="596">
        <f>-(SUMIFS('Accounting data'!$G$2:$G$37000,'Accounting data'!$H$2:$H$37000,"1230*",'Accounting data'!$K$2:$K$37000,"1*")+SUMIFS('Accounting data'!$G$2:$G$37000,'Accounting data'!$H$2:$H$37000,"1230*",'Accounting data'!$K$2:$K$37000,"2*")+SUMIFS('Accounting data'!$G$2:$G$37000,'Accounting data'!$H$2:$H$37000,"1230*",'Accounting data'!$K$2:$K$37000,"3*")+SUMIFS('Accounting data'!$G$2:$G$37000,'Accounting data'!$H$2:$H$37000,"1230*",'Accounting data'!$K$2:$K$37000,"4*")+SUMIFS('Accounting data'!$G$2:$G$37000,'Accounting data'!$H$2:$H$37000,"1230*",'Accounting data'!$K$2:$K$37000,"Other*"))</f>
        <v>0</v>
      </c>
      <c r="H14" s="598">
        <f>SUMIFS('Accounting data'!$G$2:$G$37000,'Accounting data'!$H$2:$H$37000,"1230*",'Accounting data'!$K$2:$K$37000,"69*")</f>
        <v>0</v>
      </c>
      <c r="I14" s="48">
        <v>0</v>
      </c>
      <c r="J14" s="596">
        <f>[3]!FP1230Johnson</f>
        <v>0</v>
      </c>
      <c r="K14" s="598">
        <f>SUMIFS('Accounting data'!$G$2:$G$37000,'Accounting data'!$H$2:$H$37000,"1230*",'Accounting data'!$K$2:$K$37000,"6*")-SUMIFS('Accounting data'!$G$2:$G$37000,'Accounting data'!$H$2:$H$37000,"1230*",'Accounting data'!$K$2:$K$37000,"69*")-SUMIFS('Accounting data'!$G$2:$G$37000,'Accounting data'!$H$2:$H$37000,"1230*",'Accounting data'!$K$2:$K$37000,"67*")</f>
        <v>0</v>
      </c>
      <c r="L14" s="259"/>
      <c r="M14" s="48">
        <v>0</v>
      </c>
      <c r="N14" s="598">
        <f t="shared" si="0"/>
        <v>0</v>
      </c>
      <c r="O14" t="s">
        <v>41</v>
      </c>
      <c r="AB14" s="47"/>
      <c r="AC14" s="47"/>
    </row>
    <row r="15" spans="1:29" x14ac:dyDescent="0.2">
      <c r="A15" t="s">
        <v>336</v>
      </c>
      <c r="D15" s="3" t="s">
        <v>43</v>
      </c>
      <c r="E15" s="596">
        <f>[4]!FP1240EndBal</f>
        <v>0</v>
      </c>
      <c r="F15" s="50">
        <v>0</v>
      </c>
      <c r="G15" s="596">
        <f>-(SUMIFS('Accounting data'!$G$2:$G$37000,'Accounting data'!$H$2:$H$37000,"1240*",'Accounting data'!$K$2:$K$37000,"1*")+SUMIFS('Accounting data'!$G$2:$G$37000,'Accounting data'!$H$2:$H$37000,"1240*",'Accounting data'!$K$2:$K$37000,"2*")+SUMIFS('Accounting data'!$G$2:$G$37000,'Accounting data'!$H$2:$H$37000,"1240*",'Accounting data'!$K$2:$K$37000,"3*")+SUMIFS('Accounting data'!$G$2:$G$37000,'Accounting data'!$H$2:$H$37000,"1240*",'Accounting data'!$K$2:$K$37000,"4*")+SUMIFS('Accounting data'!$G$2:$G$37000,'Accounting data'!$H$2:$H$37000,"1240*",'Accounting data'!$K$2:$K$37000,"Other*"))</f>
        <v>0</v>
      </c>
      <c r="H15" s="598">
        <f>SUMIFS('Accounting data'!$G$2:$G$37000,'Accounting data'!$H$2:$H$37000,"1240*",'Accounting data'!$K$2:$K$37000,"69*")</f>
        <v>0</v>
      </c>
      <c r="I15" s="48">
        <v>0</v>
      </c>
      <c r="J15" s="596">
        <f>[3]!FP1240WIA</f>
        <v>0</v>
      </c>
      <c r="K15" s="598">
        <f>SUMIFS('Accounting data'!$G$2:$G$37000,'Accounting data'!$H$2:$H$37000,"1240*",'Accounting data'!$K$2:$K$37000,"6*")-SUMIFS('Accounting data'!$G$2:$G$37000,'Accounting data'!$H$2:$H$37000,"1240*",'Accounting data'!$K$2:$K$37000,"69*")-SUMIFS('Accounting data'!$G$2:$G$37000,'Accounting data'!$H$2:$H$37000,"1240*",'Accounting data'!$K$2:$K$37000,"67*")</f>
        <v>0</v>
      </c>
      <c r="L15" s="259"/>
      <c r="M15" s="48">
        <v>0</v>
      </c>
      <c r="N15" s="598">
        <f t="shared" si="0"/>
        <v>0</v>
      </c>
      <c r="O15" t="s">
        <v>43</v>
      </c>
      <c r="AB15" s="47"/>
      <c r="AC15" s="47"/>
    </row>
    <row r="16" spans="1:29" x14ac:dyDescent="0.2">
      <c r="A16" t="s">
        <v>337</v>
      </c>
      <c r="D16" s="3" t="s">
        <v>45</v>
      </c>
      <c r="E16" s="596">
        <f>[4]!FP1250EndBal</f>
        <v>0</v>
      </c>
      <c r="F16" s="50">
        <v>0</v>
      </c>
      <c r="G16" s="596">
        <f>-(SUMIFS('Accounting data'!$G$2:$G$37000,'Accounting data'!$H$2:$H$37000,"1250*",'Accounting data'!$K$2:$K$37000,"1*")+SUMIFS('Accounting data'!$G$2:$G$37000,'Accounting data'!$H$2:$H$37000,"1250*",'Accounting data'!$K$2:$K$37000,"2*")+SUMIFS('Accounting data'!$G$2:$G$37000,'Accounting data'!$H$2:$H$37000,"1250*",'Accounting data'!$K$2:$K$37000,"3*")+SUMIFS('Accounting data'!$G$2:$G$37000,'Accounting data'!$H$2:$H$37000,"1250*",'Accounting data'!$K$2:$K$37000,"4*")+SUMIFS('Accounting data'!$G$2:$G$37000,'Accounting data'!$H$2:$H$37000,"1250*",'Accounting data'!$K$2:$K$37000,"Other*"))</f>
        <v>0</v>
      </c>
      <c r="H16" s="598">
        <f>SUMIFS('Accounting data'!$G$2:$G$37000,'Accounting data'!$H$2:$H$37000,"1250*",'Accounting data'!$K$2:$K$37000,"69*")</f>
        <v>0</v>
      </c>
      <c r="I16" s="48">
        <v>0</v>
      </c>
      <c r="J16" s="596">
        <f>[3]!FP1250AEA</f>
        <v>0</v>
      </c>
      <c r="K16" s="598">
        <f>SUMIFS('Accounting data'!$G$2:$G$37000,'Accounting data'!$H$2:$H$37000,"1250*",'Accounting data'!$K$2:$K$37000,"6*")-SUMIFS('Accounting data'!$G$2:$G$37000,'Accounting data'!$H$2:$H$37000,"1250*",'Accounting data'!$K$2:$K$37000,"69*")-SUMIFS('Accounting data'!$G$2:$G$37000,'Accounting data'!$H$2:$H$37000,"1250*",'Accounting data'!$K$2:$K$37000,"67*")</f>
        <v>0</v>
      </c>
      <c r="L16" s="259"/>
      <c r="M16" s="48">
        <v>0</v>
      </c>
      <c r="N16" s="598">
        <f t="shared" si="0"/>
        <v>0</v>
      </c>
      <c r="O16" t="s">
        <v>45</v>
      </c>
      <c r="AB16" s="47"/>
      <c r="AC16" s="47"/>
    </row>
    <row r="17" spans="1:29" x14ac:dyDescent="0.2">
      <c r="A17" t="s">
        <v>338</v>
      </c>
      <c r="D17" s="3" t="s">
        <v>47</v>
      </c>
      <c r="E17" s="596">
        <f>[4]!FP1260EndBal</f>
        <v>0</v>
      </c>
      <c r="F17" s="50">
        <v>0</v>
      </c>
      <c r="G17" s="596">
        <f>-(SUMIFS('Accounting data'!$G$2:$G$37000,'Accounting data'!$H$2:$H$37000,"1260*",'Accounting data'!$K$2:$K$37000,"1*")+SUMIFS('Accounting data'!$G$2:$G$37000,'Accounting data'!$H$2:$H$37000,"1260*",'Accounting data'!$K$2:$K$37000,"2*")+SUMIFS('Accounting data'!$G$2:$G$37000,'Accounting data'!$H$2:$H$37000,"1260*",'Accounting data'!$K$2:$K$37000,"3*")+SUMIFS('Accounting data'!$G$2:$G$37000,'Accounting data'!$H$2:$H$37000,"1260*",'Accounting data'!$K$2:$K$37000,"4*")+SUMIFS('Accounting data'!$G$2:$G$37000,'Accounting data'!$H$2:$H$37000,"1260*",'Accounting data'!$K$2:$K$37000,"Other*"))</f>
        <v>0</v>
      </c>
      <c r="H17" s="598">
        <f>SUMIFS('Accounting data'!$G$2:$G$37000,'Accounting data'!$H$2:$H$37000,"1260*",'Accounting data'!$K$2:$K$37000,"69*")</f>
        <v>0</v>
      </c>
      <c r="I17" s="48">
        <v>0</v>
      </c>
      <c r="J17" s="596">
        <f>[3]!FP12601270VocEd</f>
        <v>0</v>
      </c>
      <c r="K17" s="598">
        <f>SUMIFS('Accounting data'!$G$2:$G$37000,'Accounting data'!$H$2:$H$37000,"1260*",'Accounting data'!$K$2:$K$37000,"6*")-SUMIFS('Accounting data'!$G$2:$G$37000,'Accounting data'!$H$2:$H$37000,"1260*",'Accounting data'!$K$2:$K$37000,"69*")-SUMIFS('Accounting data'!$G$2:$G$37000,'Accounting data'!$H$2:$H$37000,"1260*",'Accounting data'!$K$2:$K$37000,"67*")</f>
        <v>0</v>
      </c>
      <c r="L17" s="259"/>
      <c r="M17" s="48">
        <v>0</v>
      </c>
      <c r="N17" s="598">
        <f t="shared" si="0"/>
        <v>0</v>
      </c>
      <c r="O17" t="s">
        <v>47</v>
      </c>
      <c r="AB17" s="47"/>
      <c r="AC17" s="47"/>
    </row>
    <row r="18" spans="1:29" x14ac:dyDescent="0.2">
      <c r="A18" t="s">
        <v>339</v>
      </c>
      <c r="D18" s="3" t="s">
        <v>49</v>
      </c>
      <c r="E18" s="596">
        <f>[4]!FP1280EndBal</f>
        <v>0</v>
      </c>
      <c r="F18" s="50">
        <v>0</v>
      </c>
      <c r="G18" s="596">
        <f>-(SUMIFS('Accounting data'!$G$2:$G$37000,'Accounting data'!$H$2:$H$37000,"1280*",'Accounting data'!$K$2:$K$37000,"1*")+SUMIFS('Accounting data'!$G$2:$G$37000,'Accounting data'!$H$2:$H$37000,"1280*",'Accounting data'!$K$2:$K$37000,"2*")+SUMIFS('Accounting data'!$G$2:$G$37000,'Accounting data'!$H$2:$H$37000,"1280*",'Accounting data'!$K$2:$K$37000,"3*")+SUMIFS('Accounting data'!$G$2:$G$37000,'Accounting data'!$H$2:$H$37000,"1280*",'Accounting data'!$K$2:$K$37000,"4*")+SUMIFS('Accounting data'!$G$2:$G$37000,'Accounting data'!$H$2:$H$37000,"1280*",'Accounting data'!$K$2:$K$37000,"Other*"))</f>
        <v>0</v>
      </c>
      <c r="H18" s="598">
        <f>SUMIFS('Accounting data'!$G$2:$G$37000,'Accounting data'!$H$2:$H$37000,"1280*",'Accounting data'!$K$2:$K$37000,"69*")</f>
        <v>0</v>
      </c>
      <c r="I18" s="48">
        <v>0</v>
      </c>
      <c r="J18" s="596">
        <f>[3]!FP1280TitleX</f>
        <v>0</v>
      </c>
      <c r="K18" s="598">
        <f>SUMIFS('Accounting data'!$G$2:$G$37000,'Accounting data'!$H$2:$H$37000,"1280*",'Accounting data'!$K$2:$K$37000,"6*")-SUMIFS('Accounting data'!$G$2:$G$37000,'Accounting data'!$H$2:$H$37000,"1280*",'Accounting data'!$K$2:$K$37000,"69*")-SUMIFS('Accounting data'!$G$2:$G$37000,'Accounting data'!$H$2:$H$37000,"1280*",'Accounting data'!$K$2:$K$37000,"67*")</f>
        <v>0</v>
      </c>
      <c r="L18" s="259"/>
      <c r="M18" s="48">
        <v>0</v>
      </c>
      <c r="N18" s="598">
        <f t="shared" si="0"/>
        <v>0</v>
      </c>
      <c r="O18" t="s">
        <v>49</v>
      </c>
      <c r="P18" s="594"/>
    </row>
    <row r="19" spans="1:29" x14ac:dyDescent="0.2">
      <c r="A19" t="s">
        <v>340</v>
      </c>
      <c r="D19" s="3" t="s">
        <v>51</v>
      </c>
      <c r="E19" s="596">
        <f>[4]!FP1290EndBal</f>
        <v>0</v>
      </c>
      <c r="F19" s="50">
        <v>0</v>
      </c>
      <c r="G19" s="596">
        <f>-(SUMIFS('Accounting data'!$G$2:$G$37000,'Accounting data'!$H$2:$H$37000,"1290*",'Accounting data'!$K$2:$K$37000,"1*")+SUMIFS('Accounting data'!$G$2:$G$37000,'Accounting data'!$H$2:$H$37000,"1290*",'Accounting data'!$K$2:$K$37000,"2*")+SUMIFS('Accounting data'!$G$2:$G$37000,'Accounting data'!$H$2:$H$37000,"1290*",'Accounting data'!$K$2:$K$37000,"3*")+SUMIFS('Accounting data'!$G$2:$G$37000,'Accounting data'!$H$2:$H$37000,"1290*",'Accounting data'!$K$2:$K$37000,"4*")+SUMIFS('Accounting data'!$G$2:$G$37000,'Accounting data'!$H$2:$H$37000,"1290*",'Accounting data'!$K$2:$K$37000,"Other*"))</f>
        <v>0</v>
      </c>
      <c r="H19" s="598">
        <f>SUMIFS('Accounting data'!$G$2:$G$37000,'Accounting data'!$H$2:$H$37000,"1290*",'Accounting data'!$K$2:$K$37000,"69*")</f>
        <v>0</v>
      </c>
      <c r="I19" s="48">
        <v>0</v>
      </c>
      <c r="J19" s="596">
        <f>[3]!FP1290Medicaid</f>
        <v>0</v>
      </c>
      <c r="K19" s="598">
        <f>SUMIFS('Accounting data'!$G$2:$G$37000,'Accounting data'!$H$2:$H$37000,"1290*",'Accounting data'!$K$2:$K$37000,"6*")-SUMIFS('Accounting data'!$G$2:$G$37000,'Accounting data'!$H$2:$H$37000,"1290*",'Accounting data'!$K$2:$K$37000,"69*")-SUMIFS('Accounting data'!$G$2:$G$37000,'Accounting data'!$H$2:$H$37000,"1290*",'Accounting data'!$K$2:$K$37000,"67*")</f>
        <v>0</v>
      </c>
      <c r="L19" s="259"/>
      <c r="M19" s="48">
        <v>0</v>
      </c>
      <c r="N19" s="598">
        <f t="shared" si="0"/>
        <v>0</v>
      </c>
      <c r="O19" t="s">
        <v>51</v>
      </c>
      <c r="P19" s="115"/>
      <c r="Q19" s="115"/>
      <c r="S19" s="25"/>
    </row>
    <row r="20" spans="1:29" x14ac:dyDescent="0.2">
      <c r="A20" t="s">
        <v>341</v>
      </c>
      <c r="D20" s="62" t="s">
        <v>53</v>
      </c>
      <c r="E20" s="596">
        <f>[4]!FP1300EndBal</f>
        <v>0</v>
      </c>
      <c r="F20" s="50">
        <v>0</v>
      </c>
      <c r="G20" s="596">
        <f>-(SUMIFS('Accounting data'!$G$2:$G$37000,'Accounting data'!$H$2:$H$37000,"1300*",'Accounting data'!$K$2:$K$37000,"1*")+SUMIFS('Accounting data'!$G$2:$G$37000,'Accounting data'!$H$2:$H$37000,"1300*",'Accounting data'!$K$2:$K$37000,"2*")+SUMIFS('Accounting data'!$G$2:$G$37000,'Accounting data'!$H$2:$H$37000,"1300*",'Accounting data'!$K$2:$K$37000,"3*")+SUMIFS('Accounting data'!$G$2:$G$37000,'Accounting data'!$H$2:$H$37000,"1300*",'Accounting data'!$K$2:$K$37000,"4*")+SUMIFS('Accounting data'!$G$2:$G$37000,'Accounting data'!$H$2:$H$37000,"1300*",'Accounting data'!$K$2:$K$37000,"Other*"))</f>
        <v>0</v>
      </c>
      <c r="H20" s="598">
        <f>SUMIFS('Accounting data'!$G$2:$G$37000,'Accounting data'!$H$2:$H$37000,"1300*",'Accounting data'!$K$2:$K$37000,"69*")</f>
        <v>0</v>
      </c>
      <c r="I20" s="48">
        <v>0</v>
      </c>
      <c r="J20" s="596">
        <f>[3]!FP1300Charter</f>
        <v>0</v>
      </c>
      <c r="K20" s="598">
        <f>SUMIFS('Accounting data'!$G$2:$G$37000,'Accounting data'!$H$2:$H$37000,"1300*",'Accounting data'!$K$2:$K$37000,"6*")-SUMIFS('Accounting data'!$G$2:$G$37000,'Accounting data'!$H$2:$H$37000,"1300*",'Accounting data'!$K$2:$K$37000,"69*")-SUMIFS('Accounting data'!$G$2:$G$37000,'Accounting data'!$H$2:$H$37000,"1300*",'Accounting data'!$K$2:$K$37000,"67*")</f>
        <v>0</v>
      </c>
      <c r="L20" s="259"/>
      <c r="M20" s="48">
        <v>0</v>
      </c>
      <c r="N20" s="598">
        <f t="shared" si="0"/>
        <v>0</v>
      </c>
      <c r="O20" s="251" t="s">
        <v>53</v>
      </c>
      <c r="P20" s="115"/>
      <c r="Q20" s="115"/>
      <c r="S20" s="25"/>
    </row>
    <row r="21" spans="1:29" x14ac:dyDescent="0.2">
      <c r="A21" s="219" t="s">
        <v>342</v>
      </c>
      <c r="B21" s="219"/>
      <c r="C21" s="219"/>
      <c r="D21" s="66" t="s">
        <v>55</v>
      </c>
      <c r="E21" s="596">
        <f>'[4]Page 8'!$M$21</f>
        <v>-14341</v>
      </c>
      <c r="F21" s="50">
        <v>0</v>
      </c>
      <c r="G21" s="596">
        <f>-(SUMIFS('Accounting data'!$G$2:$G$37000,'Accounting data'!$H$2:$H$37000,"13XX*",'Accounting data'!$K$2:$K$37000,"1*")+SUMIFS('Accounting data'!$G$2:$G$37000,'Accounting data'!$H$2:$H$37000,"13XX*",'Accounting data'!$K$2:$K$37000,"2*")+SUMIFS('Accounting data'!$G$2:$G$37000,'Accounting data'!$H$2:$H$37000,"13XX*",'Accounting data'!$K$2:$K$37000,"3*")+SUMIFS('Accounting data'!$G$2:$G$37000,'Accounting data'!$H$2:$H$37000,"13XX*",'Accounting data'!$K$2:$K$37000,"4*")+SUMIFS('Accounting data'!$G$2:$G$37000,'Accounting data'!$H$2:$H$37000,"13XX*",'Accounting data'!$K$2:$K$37000,"Other*"))</f>
        <v>0</v>
      </c>
      <c r="H21" s="598">
        <f>SUMIFS('Accounting data'!$G$2:$G$37000,'Accounting data'!$H$2:$H$37000,"13XX*",'Accounting data'!$K$2:$K$37000,"69*")</f>
        <v>0</v>
      </c>
      <c r="I21" s="48">
        <v>0</v>
      </c>
      <c r="J21" s="596">
        <f>[3]!FP13__ImpactAid</f>
        <v>0</v>
      </c>
      <c r="K21" s="598">
        <f>SUMIFS('Accounting data'!$G$2:$G$37000,'Accounting data'!$H$2:$H$37000,"13XX*",'Accounting data'!$K$2:$K$37000,"6*")-SUMIFS('Accounting data'!$G$2:$G$37000,'Accounting data'!$H$2:$H$37000,"13XX*",'Accounting data'!$K$2:$K$37000,"69*")-SUMIFS('Accounting data'!$G$2:$G$37000,'Accounting data'!$H$2:$H$37000,"13XX*",'Accounting data'!$K$2:$K$37000,"67*")</f>
        <v>0</v>
      </c>
      <c r="L21" s="259"/>
      <c r="M21" s="48">
        <v>0</v>
      </c>
      <c r="N21" s="598">
        <f t="shared" si="0"/>
        <v>0</v>
      </c>
      <c r="O21" s="251" t="s">
        <v>55</v>
      </c>
      <c r="P21" s="115"/>
      <c r="Q21" s="115"/>
      <c r="S21" s="25"/>
    </row>
    <row r="22" spans="1:29" ht="13.5" thickBot="1" x14ac:dyDescent="0.25">
      <c r="A22" s="219" t="s">
        <v>343</v>
      </c>
      <c r="B22" s="219"/>
      <c r="C22" s="219"/>
      <c r="D22" s="62" t="s">
        <v>57</v>
      </c>
      <c r="E22" s="226">
        <f>[4]!FP13101399EndBal</f>
        <v>87227</v>
      </c>
      <c r="F22" s="52">
        <v>-2</v>
      </c>
      <c r="G22" s="226">
        <f>-(SUMIFS('Accounting data'!$G$2:$G$37000,'Accounting data'!$H$2:$H$37000,"1310*",'Accounting data'!$K$2:$K$37000,"1*")+SUMIFS('Accounting data'!$G$2:$G$37000,'Accounting data'!$H$2:$H$37000,"1310*",'Accounting data'!$K$2:$K$37000,"2*")+SUMIFS('Accounting data'!$G$2:$G$37000,'Accounting data'!$H$2:$H$37000,"1310*",'Accounting data'!$K$2:$K$37000,"3*")+SUMIFS('Accounting data'!$G$2:$G$37000,'Accounting data'!$H$2:$H$37000,"1310*",'Accounting data'!$K$2:$K$37000,"4*")+SUMIFS('Accounting data'!$G$2:$G$37000,'Accounting data'!$H$2:$H$37000,"1310*",'Accounting data'!$K$2:$K$37000,"Other*"))</f>
        <v>633541</v>
      </c>
      <c r="H22" s="232">
        <f>SUMIFS('Accounting data'!$G$2:$G$37000,'Accounting data'!$H$2:$H$37000,"1310*",'Accounting data'!$K$2:$K$37000,"69*")</f>
        <v>82704</v>
      </c>
      <c r="I22" s="48">
        <v>0</v>
      </c>
      <c r="J22" s="226">
        <f>[3]!FP13101399Other</f>
        <v>458961</v>
      </c>
      <c r="K22" s="232">
        <f>SUMIFS('Accounting data'!$G$2:$G$37000,'Accounting data'!$H$2:$H$37000,"1310*",'Accounting data'!$K$2:$K$37000,"6*")-SUMIFS('Accounting data'!$G$2:$G$37000,'Accounting data'!$H$2:$H$37000,"1310*",'Accounting data'!$K$2:$K$37000,"69*")-SUMIFS('Accounting data'!$G$2:$G$37000,'Accounting data'!$H$2:$H$37000,"1310*",'Accounting data'!$K$2:$K$37000,"67*")</f>
        <v>550835</v>
      </c>
      <c r="L22" s="51">
        <v>0</v>
      </c>
      <c r="M22" s="48">
        <v>0</v>
      </c>
      <c r="N22" s="598">
        <f>SUM(IF(F22="",E22,F22)+G22-H22-I22-K22-M22-L22)</f>
        <v>0</v>
      </c>
      <c r="O22" s="251" t="s">
        <v>57</v>
      </c>
      <c r="P22" s="115"/>
      <c r="Q22" s="115"/>
      <c r="S22" s="25"/>
    </row>
    <row r="23" spans="1:29" ht="13.5" thickBot="1" x14ac:dyDescent="0.25">
      <c r="A23" t="s">
        <v>344</v>
      </c>
      <c r="D23" s="62" t="s">
        <v>59</v>
      </c>
      <c r="E23" s="227">
        <f t="shared" ref="E23:M23" si="1">SUM(E6:E22)</f>
        <v>76094</v>
      </c>
      <c r="F23" s="227" cm="1">
        <f t="array" ref="F23">SUM(IF(F6:F22="",E6:E22,F6:F22))</f>
        <v>-186</v>
      </c>
      <c r="G23" s="227">
        <f t="shared" si="1"/>
        <v>759091</v>
      </c>
      <c r="H23" s="227">
        <f t="shared" si="1"/>
        <v>92400</v>
      </c>
      <c r="I23" s="227">
        <f>SUM(I6:I22)</f>
        <v>0</v>
      </c>
      <c r="J23" s="227">
        <f>SUM(J6:J22)</f>
        <v>561882</v>
      </c>
      <c r="K23" s="227">
        <f t="shared" si="1"/>
        <v>666505</v>
      </c>
      <c r="L23" s="227">
        <f>SUM(L6:L22)</f>
        <v>0</v>
      </c>
      <c r="M23" s="227">
        <f t="shared" si="1"/>
        <v>0</v>
      </c>
      <c r="N23" s="598">
        <f>SUM(IF(F23="",E23,F23)+G23-H23-I23-K23-M23)</f>
        <v>0</v>
      </c>
      <c r="O23" s="251" t="s">
        <v>59</v>
      </c>
    </row>
    <row r="24" spans="1:29" ht="13.5" thickTop="1" x14ac:dyDescent="0.2">
      <c r="D24" s="62"/>
      <c r="E24" s="25"/>
      <c r="F24" s="25"/>
      <c r="G24" s="25"/>
      <c r="H24" s="25"/>
      <c r="I24" s="25"/>
      <c r="J24" s="25"/>
      <c r="K24" s="25"/>
      <c r="L24" s="25"/>
      <c r="M24" s="25"/>
      <c r="N24" s="25"/>
      <c r="O24" s="251"/>
    </row>
    <row r="25" spans="1:29" x14ac:dyDescent="0.2">
      <c r="A25" s="219" t="s">
        <v>345</v>
      </c>
      <c r="B25" s="219"/>
      <c r="C25" s="219"/>
      <c r="D25" s="62" t="s">
        <v>61</v>
      </c>
      <c r="E25" s="596">
        <f>'[4]Page 8'!$M$25</f>
        <v>41647</v>
      </c>
      <c r="F25" s="50">
        <v>-3</v>
      </c>
      <c r="G25" s="598">
        <f>Q25+Z25</f>
        <v>634277</v>
      </c>
      <c r="H25" s="596">
        <f t="array" ref="H25">SUM(SUMIFS('Accounting data'!$G$2:$G$37000,'Accounting data'!$H$2:$H$37000,{"1310-1399-COVID-19*","1227*","1228*"},'Accounting data'!$K$2:$K$37000,"69*"))</f>
        <v>82757</v>
      </c>
      <c r="I25" s="50">
        <v>0</v>
      </c>
      <c r="J25" s="101"/>
      <c r="K25" s="598">
        <f t="array" ref="K25">SUM(SUMIFS('Accounting data'!$G$2:$G$37000,'Accounting data'!$H$2:$H$37000,{"1310-1399-COVID-19*","1227*","1228*"},'Accounting data'!$K$2:$K$37000,"6*"))-SUM(SUMIFS('Accounting data'!$G$2:$G$37000,'Accounting data'!$H$2:$H$37000,{"1310-1399-COVID-19*","1227*","1228*"},'Accounting data'!$K$2:$K$37000,"69*"))-SUM(SUMIFS('Accounting data'!$G$2:$G$37000,'Accounting data'!$H$2:$H$37000,{"1310-1399-COVID-19*","1227*","1228*"},'Accounting data'!$K$2:$K$37000,"67*"))</f>
        <v>551517</v>
      </c>
      <c r="L25" s="48">
        <v>0</v>
      </c>
      <c r="M25" s="50">
        <v>0</v>
      </c>
      <c r="N25" s="598">
        <f>SUM(IF(F25="",E25,F25)+G25-H25-I25-K25-M25-L25)</f>
        <v>0</v>
      </c>
      <c r="O25" s="62" t="s">
        <v>61</v>
      </c>
      <c r="Q25" s="47">
        <f t="array" ref="Q25">-(SUMIFS('Accounting data'!$G$2:$G$37000,'Accounting data'!$H$2:$H$37000,"1310-1399-COVID-19*",'Accounting data'!$K$2:$K$37000,"1*")+SUMIFS('Accounting data'!$G$2:$G$37000,'Accounting data'!$H$2:$H$37000,"1310-1399-COVID-19*",'Accounting data'!$K$2:$K$37000,"2*")+SUMIFS('Accounting data'!$G$2:$G$37000,'Accounting data'!$H$2:$H$37000,"1310-1399-COVID-19*",'Accounting data'!$K$2:$K$37000,"3*")+SUMIFS('Accounting data'!$G$2:$G$37000,'Accounting data'!$H$2:$H$37000,"1310-1399-COVID-19*",'Accounting data'!$K$2:$K$37000,"4*")+SUMIFS('Accounting data'!$G$2:$G$37000,'Accounting data'!$H$2:$H$37000,"1310-1399-COVID-19*",'Accounting data'!$K$2:$K$37000,"Other*")+SUM(SUMIFS('Accounting data'!$G$2:$G$37000,'Accounting data'!$H$2:$H$37000,"1227*",'Accounting data'!$K$2:$K$37000,{"1*","2*","3*","4*","Other*"})))</f>
        <v>634277</v>
      </c>
      <c r="R25" s="47"/>
      <c r="S25" s="47"/>
      <c r="T25" s="47"/>
      <c r="U25" s="47"/>
      <c r="V25" s="47"/>
      <c r="W25" s="47"/>
      <c r="X25" s="47"/>
      <c r="Y25" s="47"/>
      <c r="Z25" s="47">
        <f t="array" ref="Z25">-SUM(SUMIFS('Accounting data'!$G$2:$G$37000,'Accounting data'!$H$2:$H$37000,"1228*",'Accounting data'!$K$2:$K$37000,{"1*","2*","3*","4*","Other*"}))</f>
        <v>0</v>
      </c>
    </row>
    <row r="26" spans="1:29" x14ac:dyDescent="0.2">
      <c r="D26" s="62"/>
      <c r="E26" s="25"/>
      <c r="F26" s="25"/>
      <c r="G26" s="25"/>
      <c r="H26" s="25"/>
      <c r="I26" s="25"/>
      <c r="J26" s="25"/>
      <c r="K26" s="25"/>
      <c r="L26" s="25"/>
      <c r="M26" s="25"/>
      <c r="N26" s="25"/>
      <c r="O26" s="251"/>
    </row>
    <row r="27" spans="1:29" x14ac:dyDescent="0.2">
      <c r="A27" s="595" t="s">
        <v>346</v>
      </c>
      <c r="E27" s="222"/>
      <c r="F27" s="222"/>
      <c r="G27" s="222"/>
      <c r="H27" s="222"/>
      <c r="I27" s="222"/>
      <c r="J27" s="222"/>
      <c r="K27" s="222"/>
      <c r="L27" s="222"/>
      <c r="M27" s="222"/>
      <c r="N27" s="222"/>
    </row>
    <row r="28" spans="1:29" x14ac:dyDescent="0.2">
      <c r="A28" t="s">
        <v>347</v>
      </c>
      <c r="D28" s="62" t="s">
        <v>63</v>
      </c>
      <c r="E28" s="596">
        <f>[4]!StP1400EndBal</f>
        <v>0</v>
      </c>
      <c r="F28" s="50">
        <v>0</v>
      </c>
      <c r="G28" s="596">
        <f>-(SUMIFS('Accounting data'!$G$2:$G$37000,'Accounting data'!$H$2:$H$37000,"1400*",'Accounting data'!$K$2:$K$37000,"1*")+SUMIFS('Accounting data'!$G$2:$G$37000,'Accounting data'!$H$2:$H$37000,"1400*",'Accounting data'!$K$2:$K$37000,"2*")+SUMIFS('Accounting data'!$G$2:$G$37000,'Accounting data'!$H$2:$H$37000,"1400*",'Accounting data'!$K$2:$K$37000,"3*")+SUMIFS('Accounting data'!$G$2:$G$37000,'Accounting data'!$H$2:$H$37000,"1400*",'Accounting data'!$K$2:$K$37000,"4*")+SUMIFS('Accounting data'!$G$2:$G$37000,'Accounting data'!$H$2:$H$37000,"1400*",'Accounting data'!$K$2:$K$37000,"Other*"))</f>
        <v>0</v>
      </c>
      <c r="H28" s="99"/>
      <c r="I28" s="48">
        <v>0</v>
      </c>
      <c r="J28" s="596">
        <f>[3]!SP1400VocEd</f>
        <v>0</v>
      </c>
      <c r="K28" s="598">
        <f>SUMIFS('Accounting data'!$G$2:$G$37000,'Accounting data'!$H$2:$H$37000,"1400*",'Accounting data'!$K$2:$K$37000,"6*")-SUMIFS('Accounting data'!$G$2:$G$37000,'Accounting data'!$H$2:$H$37000,"1400*",'Accounting data'!$K$2:$K$37000,"69*")-SUMIFS('Accounting data'!$G$2:$G$37000,'Accounting data'!$H$2:$H$37000,"1400*",'Accounting data'!$K$2:$K$37000,"67*")</f>
        <v>0</v>
      </c>
      <c r="L28" s="48">
        <v>0</v>
      </c>
      <c r="M28" s="48">
        <v>0</v>
      </c>
      <c r="N28" s="598">
        <f>SUM(IF(F28="",E28,F28)+G28-H28-I28-K28-L28-M28)</f>
        <v>0</v>
      </c>
      <c r="O28" s="62" t="s">
        <v>63</v>
      </c>
    </row>
    <row r="29" spans="1:29" x14ac:dyDescent="0.2">
      <c r="A29" t="s">
        <v>348</v>
      </c>
      <c r="D29" s="62" t="s">
        <v>65</v>
      </c>
      <c r="E29" s="596">
        <f>[4]!StP1410EndBal</f>
        <v>0</v>
      </c>
      <c r="F29" s="50">
        <v>0</v>
      </c>
      <c r="G29" s="596">
        <f>-(SUMIFS('Accounting data'!$G$2:$G$37000,'Accounting data'!$H$2:$H$37000,"1410*",'Accounting data'!$K$2:$K$37000,"1*")+SUMIFS('Accounting data'!$G$2:$G$37000,'Accounting data'!$H$2:$H$37000,"1410*",'Accounting data'!$K$2:$K$37000,"2*")+SUMIFS('Accounting data'!$G$2:$G$37000,'Accounting data'!$H$2:$H$37000,"1410*",'Accounting data'!$K$2:$K$37000,"3*")+SUMIFS('Accounting data'!$G$2:$G$37000,'Accounting data'!$H$2:$H$37000,"1410*",'Accounting data'!$K$2:$K$37000,"4*")+SUMIFS('Accounting data'!$G$2:$G$37000,'Accounting data'!$H$2:$H$37000,"1410*",'Accounting data'!$K$2:$K$37000,"Other*"))</f>
        <v>0</v>
      </c>
      <c r="H29" s="99"/>
      <c r="I29" s="48">
        <v>0</v>
      </c>
      <c r="J29" s="596">
        <f>[3]!SP1410EarlyChildhoodBlockGrant</f>
        <v>0</v>
      </c>
      <c r="K29" s="598">
        <f>SUMIFS('Accounting data'!$G$2:$G$37000,'Accounting data'!$H$2:$H$37000,"1410*",'Accounting data'!$K$2:$K$37000,"6*")-SUMIFS('Accounting data'!$G$2:$G$37000,'Accounting data'!$H$2:$H$37000,"1410*",'Accounting data'!$K$2:$K$37000,"69*")-SUMIFS('Accounting data'!$G$2:$G$37000,'Accounting data'!$H$2:$H$37000,"1410*",'Accounting data'!$K$2:$K$37000,"67*")</f>
        <v>0</v>
      </c>
      <c r="L29" s="48">
        <v>0</v>
      </c>
      <c r="M29" s="48">
        <v>0</v>
      </c>
      <c r="N29" s="598">
        <f t="shared" ref="N29:N39" si="2">SUM(IF(F29="",E29,F29)+G29-H29-I29-K29-L29-M29)</f>
        <v>0</v>
      </c>
      <c r="O29" s="62" t="s">
        <v>65</v>
      </c>
    </row>
    <row r="30" spans="1:29" x14ac:dyDescent="0.2">
      <c r="A30" t="s">
        <v>349</v>
      </c>
      <c r="D30" s="62" t="s">
        <v>67</v>
      </c>
      <c r="E30" s="596">
        <f>[4]!StP1420EndBal</f>
        <v>0</v>
      </c>
      <c r="F30" s="50">
        <v>0</v>
      </c>
      <c r="G30" s="596">
        <f>-(SUMIFS('Accounting data'!$G$2:$G$37000,'Accounting data'!$H$2:$H$37000,"1420*",'Accounting data'!$K$2:$K$37000,"1*")+SUMIFS('Accounting data'!$G$2:$G$37000,'Accounting data'!$H$2:$H$37000,"1420*",'Accounting data'!$K$2:$K$37000,"2*")+SUMIFS('Accounting data'!$G$2:$G$37000,'Accounting data'!$H$2:$H$37000,"1420*",'Accounting data'!$K$2:$K$37000,"3*")+SUMIFS('Accounting data'!$G$2:$G$37000,'Accounting data'!$H$2:$H$37000,"1420*",'Accounting data'!$K$2:$K$37000,"4*")+SUMIFS('Accounting data'!$G$2:$G$37000,'Accounting data'!$H$2:$H$37000,"1420*",'Accounting data'!$K$2:$K$37000,"Other*"))</f>
        <v>0</v>
      </c>
      <c r="H30" s="99"/>
      <c r="I30" s="48">
        <v>0</v>
      </c>
      <c r="J30" s="596">
        <f>[3]!FP1420ExtendedSchool</f>
        <v>0</v>
      </c>
      <c r="K30" s="598">
        <f>SUMIFS('Accounting data'!$G$2:$G$37000,'Accounting data'!$H$2:$H$37000,"1420*",'Accounting data'!$K$2:$K$37000,"6*")-SUMIFS('Accounting data'!$G$2:$G$37000,'Accounting data'!$H$2:$H$37000,"1420*",'Accounting data'!$K$2:$K$37000,"69*")-SUMIFS('Accounting data'!$G$2:$G$37000,'Accounting data'!$H$2:$H$37000,"1420*",'Accounting data'!$K$2:$K$37000,"67*")</f>
        <v>0</v>
      </c>
      <c r="L30" s="48">
        <v>0</v>
      </c>
      <c r="M30" s="48">
        <v>0</v>
      </c>
      <c r="N30" s="598">
        <f t="shared" si="2"/>
        <v>0</v>
      </c>
      <c r="O30" s="62" t="s">
        <v>67</v>
      </c>
    </row>
    <row r="31" spans="1:29" x14ac:dyDescent="0.2">
      <c r="A31" t="s">
        <v>350</v>
      </c>
      <c r="D31" s="62" t="s">
        <v>69</v>
      </c>
      <c r="E31" s="596">
        <f>[4]!StP1425EndBal</f>
        <v>0</v>
      </c>
      <c r="F31" s="50">
        <v>0</v>
      </c>
      <c r="G31" s="596">
        <f>-(SUMIFS('Accounting data'!$G$2:$G$37000,'Accounting data'!$H$2:$H$37000,"1425*",'Accounting data'!$K$2:$K$37000,"1*")+SUMIFS('Accounting data'!$G$2:$G$37000,'Accounting data'!$H$2:$H$37000,"1425*",'Accounting data'!$K$2:$K$37000,"2*")+SUMIFS('Accounting data'!$G$2:$G$37000,'Accounting data'!$H$2:$H$37000,"1425*",'Accounting data'!$K$2:$K$37000,"3*")+SUMIFS('Accounting data'!$G$2:$G$37000,'Accounting data'!$H$2:$H$37000,"1425*",'Accounting data'!$K$2:$K$37000,"4*")+SUMIFS('Accounting data'!$G$2:$G$37000,'Accounting data'!$H$2:$H$37000,"1425*",'Accounting data'!$K$2:$K$37000,"Other*"))</f>
        <v>0</v>
      </c>
      <c r="H31" s="99"/>
      <c r="I31" s="48">
        <v>0</v>
      </c>
      <c r="J31" s="596">
        <f>[3]!SP1425AdultBasicEd</f>
        <v>0</v>
      </c>
      <c r="K31" s="598">
        <f>SUMIFS('Accounting data'!$G$2:$G$37000,'Accounting data'!$H$2:$H$37000,"1425*",'Accounting data'!$K$2:$K$37000,"6*")-SUMIFS('Accounting data'!$G$2:$G$37000,'Accounting data'!$H$2:$H$37000,"1425*",'Accounting data'!$K$2:$K$37000,"69*")-SUMIFS('Accounting data'!$G$2:$G$37000,'Accounting data'!$H$2:$H$37000,"1425*",'Accounting data'!$K$2:$K$37000,"67*")</f>
        <v>0</v>
      </c>
      <c r="L31" s="48">
        <v>0</v>
      </c>
      <c r="M31" s="48">
        <v>0</v>
      </c>
      <c r="N31" s="598">
        <f t="shared" si="2"/>
        <v>0</v>
      </c>
      <c r="O31" s="62" t="s">
        <v>69</v>
      </c>
    </row>
    <row r="32" spans="1:29" x14ac:dyDescent="0.2">
      <c r="A32" t="s">
        <v>351</v>
      </c>
      <c r="D32" s="62" t="s">
        <v>71</v>
      </c>
      <c r="E32" s="596">
        <f>[4]!StP1430EndBal</f>
        <v>0</v>
      </c>
      <c r="F32" s="50">
        <v>0</v>
      </c>
      <c r="G32" s="596">
        <f>-(SUMIFS('Accounting data'!$G$2:$G$37000,'Accounting data'!$H$2:$H$37000,"1430*",'Accounting data'!$K$2:$K$37000,"1*")+SUMIFS('Accounting data'!$G$2:$G$37000,'Accounting data'!$H$2:$H$37000,"1430*",'Accounting data'!$K$2:$K$37000,"2*")+SUMIFS('Accounting data'!$G$2:$G$37000,'Accounting data'!$H$2:$H$37000,"1430*",'Accounting data'!$K$2:$K$37000,"3*")+SUMIFS('Accounting data'!$G$2:$G$37000,'Accounting data'!$H$2:$H$37000,"1430*",'Accounting data'!$K$2:$K$37000,"4*")+SUMIFS('Accounting data'!$G$2:$G$37000,'Accounting data'!$H$2:$H$37000,"1430*",'Accounting data'!$K$2:$K$37000,"Other*"))</f>
        <v>0</v>
      </c>
      <c r="H32" s="99"/>
      <c r="I32" s="48">
        <v>0</v>
      </c>
      <c r="J32" s="596">
        <f>[3]!SP1430ChemicalAbuse</f>
        <v>0</v>
      </c>
      <c r="K32" s="598">
        <f>SUMIFS('Accounting data'!$G$2:$G$37000,'Accounting data'!$H$2:$H$37000,"1430*",'Accounting data'!$K$2:$K$37000,"6*")-SUMIFS('Accounting data'!$G$2:$G$37000,'Accounting data'!$H$2:$H$37000,"1430*",'Accounting data'!$K$2:$K$37000,"69*")-SUMIFS('Accounting data'!$G$2:$G$37000,'Accounting data'!$H$2:$H$37000,"1430*",'Accounting data'!$K$2:$K$37000,"67*")</f>
        <v>0</v>
      </c>
      <c r="L32" s="48">
        <v>0</v>
      </c>
      <c r="M32" s="48">
        <v>0</v>
      </c>
      <c r="N32" s="598">
        <f t="shared" si="2"/>
        <v>0</v>
      </c>
      <c r="O32" s="62" t="s">
        <v>71</v>
      </c>
    </row>
    <row r="33" spans="1:15" ht="12.75" customHeight="1" x14ac:dyDescent="0.2">
      <c r="A33" t="s">
        <v>352</v>
      </c>
      <c r="D33" s="62" t="s">
        <v>73</v>
      </c>
      <c r="E33" s="596">
        <f>[4]!StP1435EndBal</f>
        <v>0</v>
      </c>
      <c r="F33" s="50">
        <v>0</v>
      </c>
      <c r="G33" s="596">
        <f>-(SUMIFS('Accounting data'!$G$2:$G$37000,'Accounting data'!$H$2:$H$37000,"1435*",'Accounting data'!$K$2:$K$37000,"1*")+SUMIFS('Accounting data'!$G$2:$G$37000,'Accounting data'!$H$2:$H$37000,"1435*",'Accounting data'!$K$2:$K$37000,"2*")+SUMIFS('Accounting data'!$G$2:$G$37000,'Accounting data'!$H$2:$H$37000,"1435*",'Accounting data'!$K$2:$K$37000,"3*")+SUMIFS('Accounting data'!$G$2:$G$37000,'Accounting data'!$H$2:$H$37000,"1435*",'Accounting data'!$K$2:$K$37000,"4*")+SUMIFS('Accounting data'!$G$2:$G$37000,'Accounting data'!$H$2:$H$37000,"1435*",'Accounting data'!$K$2:$K$37000,"Other*"))</f>
        <v>3088</v>
      </c>
      <c r="H33" s="99"/>
      <c r="I33" s="48">
        <v>0</v>
      </c>
      <c r="J33" s="596">
        <f>[3]!SP1435AcademicContests</f>
        <v>0</v>
      </c>
      <c r="K33" s="598">
        <f>SUMIFS('Accounting data'!$G$2:$G$37000,'Accounting data'!$H$2:$H$37000,"1435*",'Accounting data'!$K$2:$K$37000,"6*")-SUMIFS('Accounting data'!$G$2:$G$37000,'Accounting data'!$H$2:$H$37000,"1435*",'Accounting data'!$K$2:$K$37000,"69*")-SUMIFS('Accounting data'!$G$2:$G$37000,'Accounting data'!$H$2:$H$37000,"1435*",'Accounting data'!$K$2:$K$37000,"67*")</f>
        <v>3088</v>
      </c>
      <c r="L33" s="48">
        <v>0</v>
      </c>
      <c r="M33" s="48">
        <v>0</v>
      </c>
      <c r="N33" s="598">
        <f t="shared" si="2"/>
        <v>0</v>
      </c>
      <c r="O33" s="62" t="s">
        <v>73</v>
      </c>
    </row>
    <row r="34" spans="1:15" ht="12.75" customHeight="1" x14ac:dyDescent="0.2">
      <c r="A34" t="s">
        <v>353</v>
      </c>
      <c r="D34" s="62" t="s">
        <v>75</v>
      </c>
      <c r="E34" s="596">
        <f>[4]!StP1450EndBal</f>
        <v>0</v>
      </c>
      <c r="F34" s="50">
        <v>0</v>
      </c>
      <c r="G34" s="596">
        <f>-(SUMIFS('Accounting data'!$G$2:$G$37000,'Accounting data'!$H$2:$H$37000,"1450*",'Accounting data'!$K$2:$K$37000,"1*")+SUMIFS('Accounting data'!$G$2:$G$37000,'Accounting data'!$H$2:$H$37000,"1450*",'Accounting data'!$K$2:$K$37000,"2*")+SUMIFS('Accounting data'!$G$2:$G$37000,'Accounting data'!$H$2:$H$37000,"1450*",'Accounting data'!$K$2:$K$37000,"3*")+SUMIFS('Accounting data'!$G$2:$G$37000,'Accounting data'!$H$2:$H$37000,"1450*",'Accounting data'!$K$2:$K$37000,"4*")+SUMIFS('Accounting data'!$G$2:$G$37000,'Accounting data'!$H$2:$H$37000,"1450*",'Accounting data'!$K$2:$K$37000,"Other*"))</f>
        <v>0</v>
      </c>
      <c r="H34" s="99"/>
      <c r="I34" s="48">
        <v>0</v>
      </c>
      <c r="J34" s="596">
        <f>[3]!SP1450GiftedEd</f>
        <v>0</v>
      </c>
      <c r="K34" s="598">
        <f>SUMIFS('Accounting data'!$G$2:$G$37000,'Accounting data'!$H$2:$H$37000,"1450*",'Accounting data'!$K$2:$K$37000,"6*")-SUMIFS('Accounting data'!$G$2:$G$37000,'Accounting data'!$H$2:$H$37000,"1450*",'Accounting data'!$K$2:$K$37000,"69*")-SUMIFS('Accounting data'!$G$2:$G$37000,'Accounting data'!$H$2:$H$37000,"1450*",'Accounting data'!$K$2:$K$37000,"67*")</f>
        <v>0</v>
      </c>
      <c r="L34" s="48">
        <v>0</v>
      </c>
      <c r="M34" s="48">
        <v>0</v>
      </c>
      <c r="N34" s="598">
        <f t="shared" si="2"/>
        <v>0</v>
      </c>
      <c r="O34" s="62" t="s">
        <v>75</v>
      </c>
    </row>
    <row r="35" spans="1:15" ht="12.75" customHeight="1" x14ac:dyDescent="0.2">
      <c r="A35" t="s">
        <v>354</v>
      </c>
      <c r="D35" s="62" t="s">
        <v>77</v>
      </c>
      <c r="E35" s="596">
        <f>'[4]Page 8'!$M$35</f>
        <v>0</v>
      </c>
      <c r="F35" s="50">
        <v>0</v>
      </c>
      <c r="G35" s="596">
        <f>-(SUMIFS('Accounting data'!$G$2:$G$37000,'Accounting data'!$H$2:$H$37000,"1456*",'Accounting data'!$K$2:$K$37000,"1*")+SUMIFS('Accounting data'!$G$2:$G$37000,'Accounting data'!$H$2:$H$37000,"1456*",'Accounting data'!$K$2:$K$37000,"2*")+SUMIFS('Accounting data'!$G$2:$G$37000,'Accounting data'!$H$2:$H$37000,"1456*",'Accounting data'!$K$2:$K$37000,"3*")+SUMIFS('Accounting data'!$G$2:$G$37000,'Accounting data'!$H$2:$H$37000,"1456*",'Accounting data'!$K$2:$K$37000,"4*")+SUMIFS('Accounting data'!$G$2:$G$37000,'Accounting data'!$H$2:$H$37000,"1456*",'Accounting data'!$K$2:$K$37000,"Other*"))</f>
        <v>0</v>
      </c>
      <c r="H35" s="99"/>
      <c r="I35" s="48">
        <v>0</v>
      </c>
      <c r="J35" s="596">
        <f>+'[3]Page 2'!$E$31</f>
        <v>0</v>
      </c>
      <c r="K35" s="598">
        <f>SUMIFS('Accounting data'!$G$2:$G$37000,'Accounting data'!$H$2:$H$37000,"1456*",'Accounting data'!$K$2:$K$37000,"6*")-SUMIFS('Accounting data'!$G$2:$G$37000,'Accounting data'!$H$2:$H$37000,"1456*",'Accounting data'!$K$2:$K$37000,"69*")-SUMIFS('Accounting data'!$G$2:$G$37000,'Accounting data'!$H$2:$H$37000,"1456*",'Accounting data'!$K$2:$K$37000,"67*")</f>
        <v>0</v>
      </c>
      <c r="L35" s="48">
        <v>0</v>
      </c>
      <c r="M35" s="48">
        <v>0</v>
      </c>
      <c r="N35" s="598">
        <f t="shared" si="2"/>
        <v>0</v>
      </c>
      <c r="O35" s="62" t="s">
        <v>77</v>
      </c>
    </row>
    <row r="36" spans="1:15" x14ac:dyDescent="0.2">
      <c r="A36" t="s">
        <v>355</v>
      </c>
      <c r="D36" s="62" t="s">
        <v>79</v>
      </c>
      <c r="E36" s="596">
        <f>[4]!StP1460EndBal</f>
        <v>0</v>
      </c>
      <c r="F36" s="50">
        <v>0</v>
      </c>
      <c r="G36" s="596">
        <f>-(SUMIFS('Accounting data'!$G$2:$G$37000,'Accounting data'!$H$2:$H$37000,"1460*",'Accounting data'!$K$2:$K$37000,"1*")+SUMIFS('Accounting data'!$G$2:$G$37000,'Accounting data'!$H$2:$H$37000,"1460*",'Accounting data'!$K$2:$K$37000,"2*")+SUMIFS('Accounting data'!$G$2:$G$37000,'Accounting data'!$H$2:$H$37000,"1460*",'Accounting data'!$K$2:$K$37000,"3*")+SUMIFS('Accounting data'!$G$2:$G$37000,'Accounting data'!$H$2:$H$37000,"1460*",'Accounting data'!$K$2:$K$37000,"4*")+SUMIFS('Accounting data'!$G$2:$G$37000,'Accounting data'!$H$2:$H$37000,"1460*",'Accounting data'!$K$2:$K$37000,"Other*"))</f>
        <v>0</v>
      </c>
      <c r="H36" s="192"/>
      <c r="I36" s="48">
        <v>0</v>
      </c>
      <c r="J36" s="596">
        <f>[3]!SP1460EnvironmentalSpecialPlate</f>
        <v>0</v>
      </c>
      <c r="K36" s="598">
        <f>SUMIFS('Accounting data'!$G$2:$G$37000,'Accounting data'!$H$2:$H$37000,"1460*",'Accounting data'!$K$2:$K$37000,"6*")-SUMIFS('Accounting data'!$G$2:$G$37000,'Accounting data'!$H$2:$H$37000,"1460*",'Accounting data'!$K$2:$K$37000,"69*")-SUMIFS('Accounting data'!$G$2:$G$37000,'Accounting data'!$H$2:$H$37000,"1460*",'Accounting data'!$K$2:$K$37000,"67*")</f>
        <v>0</v>
      </c>
      <c r="L36" s="48">
        <v>0</v>
      </c>
      <c r="M36" s="48">
        <v>0</v>
      </c>
      <c r="N36" s="598">
        <f t="shared" si="2"/>
        <v>0</v>
      </c>
      <c r="O36" s="62" t="s">
        <v>81</v>
      </c>
    </row>
    <row r="37" spans="1:15" ht="12.75" customHeight="1" x14ac:dyDescent="0.2">
      <c r="A37" t="s">
        <v>356</v>
      </c>
      <c r="D37" s="62" t="s">
        <v>81</v>
      </c>
      <c r="E37" s="596">
        <f>[4]!StP1465EndBal</f>
        <v>0</v>
      </c>
      <c r="F37" s="50">
        <v>0</v>
      </c>
      <c r="G37" s="596">
        <f>-(SUMIFS('Accounting data'!$G$2:$G$37000,'Accounting data'!$H$2:$H$37000,"1465*",'Accounting data'!$K$2:$K$37000,"1*")+SUMIFS('Accounting data'!$G$2:$G$37000,'Accounting data'!$H$2:$H$37000,"1465*",'Accounting data'!$K$2:$K$37000,"2*")+SUMIFS('Accounting data'!$G$2:$G$37000,'Accounting data'!$H$2:$H$37000,"1465*",'Accounting data'!$K$2:$K$37000,"3*")+SUMIFS('Accounting data'!$G$2:$G$37000,'Accounting data'!$H$2:$H$37000,"1465*",'Accounting data'!$K$2:$K$37000,"4*")+SUMIFS('Accounting data'!$G$2:$G$37000,'Accounting data'!$H$2:$H$37000,"1465*",'Accounting data'!$K$2:$K$37000,"Other*"))</f>
        <v>0</v>
      </c>
      <c r="H37" s="260"/>
      <c r="I37" s="48">
        <v>0</v>
      </c>
      <c r="J37" s="596">
        <f>[3]!SP1465CharterSchool</f>
        <v>0</v>
      </c>
      <c r="K37" s="598">
        <f>SUMIFS('Accounting data'!$G$2:$G$37000,'Accounting data'!$H$2:$H$37000,"1465*",'Accounting data'!$K$2:$K$37000,"6*")-SUMIFS('Accounting data'!$G$2:$G$37000,'Accounting data'!$H$2:$H$37000,"1465*",'Accounting data'!$K$2:$K$37000,"69*")-SUMIFS('Accounting data'!$G$2:$G$37000,'Accounting data'!$H$2:$H$37000,"1465*",'Accounting data'!$K$2:$K$37000,"67*")</f>
        <v>0</v>
      </c>
      <c r="L37" s="48">
        <v>0</v>
      </c>
      <c r="M37" s="48">
        <v>0</v>
      </c>
      <c r="N37" s="598">
        <f t="shared" si="2"/>
        <v>0</v>
      </c>
      <c r="O37" s="62" t="s">
        <v>83</v>
      </c>
    </row>
    <row r="38" spans="1:15" ht="12.75" customHeight="1" x14ac:dyDescent="0.2">
      <c r="A38" s="261" t="s">
        <v>357</v>
      </c>
      <c r="B38" s="261"/>
      <c r="C38" s="261"/>
      <c r="D38" s="66" t="s">
        <v>83</v>
      </c>
      <c r="E38" s="596">
        <f t="array" ref="E38">[4]!StP14XXEndBal</f>
        <v>0</v>
      </c>
      <c r="F38" s="50">
        <v>0</v>
      </c>
      <c r="G38" s="596">
        <f>-(SUMIFS('Accounting data'!$G$2:$G$37000,'Accounting data'!$H$2:$H$37000,"14XX*",'Accounting data'!$K$2:$K$37000,"1*")+SUMIFS('Accounting data'!$G$2:$G$37000,'Accounting data'!$H$2:$H$37000,"14XX*",'Accounting data'!$K$2:$K$37000,"2*")+SUMIFS('Accounting data'!$G$2:$G$37000,'Accounting data'!$H$2:$H$37000,"14XX*",'Accounting data'!$K$2:$K$37000,"3*")+SUMIFS('Accounting data'!$G$2:$G$37000,'Accounting data'!$H$2:$H$37000,"14XX*",'Accounting data'!$K$2:$K$37000,"4*")+SUMIFS('Accounting data'!$G$2:$G$37000,'Accounting data'!$H$2:$H$37000,"14XX*",'Accounting data'!$K$2:$K$37000,"Other*"))</f>
        <v>0</v>
      </c>
      <c r="H38" s="260"/>
      <c r="I38" s="48">
        <v>0</v>
      </c>
      <c r="J38" s="596">
        <f>'[3]Page 2'!$E$34</f>
        <v>0</v>
      </c>
      <c r="K38" s="598">
        <f>SUMIFS('Accounting data'!$G$2:$G$37000,'Accounting data'!$H$2:$H$37000,"14XX*",'Accounting data'!$K$2:$K$37000,"6*")-SUMIFS('Accounting data'!$G$2:$G$37000,'Accounting data'!$H$2:$H$37000,"14XX*",'Accounting data'!$K$2:$K$37000,"69*")-SUMIFS('Accounting data'!$G$2:$G$37000,'Accounting data'!$H$2:$H$37000,"14XX*",'Accounting data'!$K$2:$K$37000,"67*")</f>
        <v>0</v>
      </c>
      <c r="L38" s="48">
        <v>0</v>
      </c>
      <c r="M38" s="48">
        <v>0</v>
      </c>
      <c r="N38" s="598">
        <f t="shared" si="2"/>
        <v>0</v>
      </c>
      <c r="O38" s="66" t="s">
        <v>85</v>
      </c>
    </row>
    <row r="39" spans="1:15" ht="12.75" customHeight="1" thickBot="1" x14ac:dyDescent="0.25">
      <c r="A39" t="s">
        <v>358</v>
      </c>
      <c r="D39" s="62" t="s">
        <v>85</v>
      </c>
      <c r="E39" s="226">
        <f>[4]!StP14701499EndBal+'[4]Page 8'!$M$36</f>
        <v>0</v>
      </c>
      <c r="F39" s="50">
        <v>1</v>
      </c>
      <c r="G39" s="226">
        <f>-(SUMIFS('Accounting data'!$G$2:$G$37000,'Accounting data'!$H$2:$H$37000,"1470*",'Accounting data'!$K$2:$K$37000,"1*")+SUMIFS('Accounting data'!$G$2:$G$37000,'Accounting data'!$H$2:$H$37000,"1470*",'Accounting data'!$K$2:$K$37000,"2*")+SUMIFS('Accounting data'!$G$2:$G$37000,'Accounting data'!$H$2:$H$37000,"1470*",'Accounting data'!$K$2:$K$37000,"3*")+SUMIFS('Accounting data'!$G$2:$G$37000,'Accounting data'!$H$2:$H$37000,"1470*",'Accounting data'!$K$2:$K$37000,"4*")+SUMIFS('Accounting data'!$G$2:$G$37000,'Accounting data'!$H$2:$H$37000,"1470*",'Accounting data'!$K$2:$K$37000,"Other*"))</f>
        <v>67726</v>
      </c>
      <c r="H39" s="262"/>
      <c r="I39" s="48">
        <v>0</v>
      </c>
      <c r="J39" s="226">
        <f>[3]!SP14701499Other</f>
        <v>0</v>
      </c>
      <c r="K39" s="232">
        <f>SUMIFS('Accounting data'!$G$2:$G$37000,'Accounting data'!$H$2:$H$37000,"1470*",'Accounting data'!$K$2:$K$37000,"6*")-SUMIFS('Accounting data'!$G$2:$G$37000,'Accounting data'!$H$2:$H$37000,"1470*",'Accounting data'!$K$2:$K$37000,"69*")-SUMIFS('Accounting data'!$G$2:$G$37000,'Accounting data'!$H$2:$H$37000,"1470*",'Accounting data'!$K$2:$K$37000,"67*")</f>
        <v>67727</v>
      </c>
      <c r="L39" s="48">
        <v>0</v>
      </c>
      <c r="M39" s="48">
        <v>0</v>
      </c>
      <c r="N39" s="598">
        <f t="shared" si="2"/>
        <v>0</v>
      </c>
      <c r="O39" s="62" t="s">
        <v>86</v>
      </c>
    </row>
    <row r="40" spans="1:15" ht="13.5" thickBot="1" x14ac:dyDescent="0.25">
      <c r="A40" t="s">
        <v>1143</v>
      </c>
      <c r="D40" s="62" t="s">
        <v>86</v>
      </c>
      <c r="E40" s="227">
        <f>SUM(E28:E39)</f>
        <v>0</v>
      </c>
      <c r="F40" s="227" cm="1">
        <f t="array" ref="F40">SUM(IF(F28:F39="",E28:E39,F28:F39))</f>
        <v>1</v>
      </c>
      <c r="G40" s="227">
        <f>SUM(G28:G39)</f>
        <v>70814</v>
      </c>
      <c r="H40" s="263"/>
      <c r="I40" s="227">
        <f>SUM(I28:I39)</f>
        <v>0</v>
      </c>
      <c r="J40" s="227">
        <f>SUM(J28:J39)</f>
        <v>0</v>
      </c>
      <c r="K40" s="227">
        <f>SUM(K28:K39)</f>
        <v>70815</v>
      </c>
      <c r="L40" s="227">
        <f>SUM(L28:L39)</f>
        <v>0</v>
      </c>
      <c r="M40" s="227">
        <f>SUM(M28:M39)</f>
        <v>0</v>
      </c>
      <c r="N40" s="598">
        <f>SUM(IF(F40="",E40,F40)+G40-H40-I40-K40-L40-M40)</f>
        <v>0</v>
      </c>
      <c r="O40" s="62" t="s">
        <v>140</v>
      </c>
    </row>
    <row r="41" spans="1:15" ht="13.5" thickTop="1" x14ac:dyDescent="0.2">
      <c r="D41" s="264"/>
      <c r="E41" s="25"/>
      <c r="F41" s="25"/>
      <c r="G41" s="25"/>
      <c r="H41" s="25"/>
      <c r="I41" s="25"/>
      <c r="J41" s="25"/>
      <c r="K41" s="25"/>
      <c r="L41" s="25"/>
      <c r="M41" s="25"/>
      <c r="N41" s="25"/>
      <c r="O41" s="265"/>
    </row>
    <row r="42" spans="1:15" ht="13.5" thickBot="1" x14ac:dyDescent="0.25">
      <c r="A42" s="219" t="s">
        <v>1142</v>
      </c>
      <c r="B42" s="219"/>
      <c r="C42" s="219"/>
      <c r="D42" s="62" t="s">
        <v>140</v>
      </c>
      <c r="E42" s="266">
        <f>SUM(E23+E40)</f>
        <v>76094</v>
      </c>
      <c r="F42" s="266">
        <f>SUM(F23+F40)</f>
        <v>-185</v>
      </c>
      <c r="G42" s="266">
        <f>SUM(G23+G40)</f>
        <v>829905</v>
      </c>
      <c r="H42" s="604">
        <f>H23</f>
        <v>92400</v>
      </c>
      <c r="I42" s="266">
        <f>SUM(I23+I40)</f>
        <v>0</v>
      </c>
      <c r="J42" s="266">
        <f>SUM(J23+J40)</f>
        <v>561882</v>
      </c>
      <c r="K42" s="266">
        <f>SUM(K23+K40)</f>
        <v>737320</v>
      </c>
      <c r="L42" s="266">
        <f>SUM(L23+L40)</f>
        <v>0</v>
      </c>
      <c r="M42" s="266">
        <f>SUM(M23+M40)</f>
        <v>0</v>
      </c>
      <c r="N42" s="598">
        <f>SUM(IF(F42="",E42,F42)+G42-H42-I42-K42-L42-M42)</f>
        <v>0</v>
      </c>
      <c r="O42" s="62" t="s">
        <v>141</v>
      </c>
    </row>
    <row r="43" spans="1:15" ht="13.5" thickTop="1" x14ac:dyDescent="0.2"/>
    <row r="45" spans="1:15" ht="12" customHeight="1" x14ac:dyDescent="0.2">
      <c r="A45" s="594"/>
    </row>
  </sheetData>
  <sheetProtection formatCells="0" formatColumns="0" formatRows="0"/>
  <mergeCells count="4">
    <mergeCell ref="A3:D3"/>
    <mergeCell ref="B1:D1"/>
    <mergeCell ref="H1:I1"/>
    <mergeCell ref="J4:K4"/>
  </mergeCells>
  <conditionalFormatting sqref="F6:F22 F25 F28:F39">
    <cfRule type="expression" dxfId="45" priority="1" stopIfTrue="1">
      <formula>$F6=""</formula>
    </cfRule>
  </conditionalFormatting>
  <conditionalFormatting sqref="I6:I22 I28:I39">
    <cfRule type="expression" dxfId="44" priority="7" stopIfTrue="1">
      <formula>$I6=""</formula>
    </cfRule>
  </conditionalFormatting>
  <conditionalFormatting sqref="I25 M25">
    <cfRule type="expression" dxfId="43" priority="5" stopIfTrue="1">
      <formula>I$25=""</formula>
    </cfRule>
  </conditionalFormatting>
  <conditionalFormatting sqref="L22 L28:L39">
    <cfRule type="containsBlanks" dxfId="42" priority="4">
      <formula>LEN(TRIM(L22))=0</formula>
    </cfRule>
  </conditionalFormatting>
  <conditionalFormatting sqref="L25">
    <cfRule type="containsBlanks" dxfId="41" priority="3">
      <formula>LEN(TRIM(L25))=0</formula>
    </cfRule>
  </conditionalFormatting>
  <conditionalFormatting sqref="M6:M22 M28:M39">
    <cfRule type="expression" dxfId="40" priority="6" stopIfTrue="1">
      <formula>$M6=""</formula>
    </cfRule>
  </conditionalFormatting>
  <hyperlinks>
    <hyperlink ref="A3:D3" location="FederalAndStateProjectsPage9" display="FEDERAL AND STATE PROJECTS" xr:uid="{00000000-0004-0000-0800-000000000000}"/>
    <hyperlink ref="A42:C42" location="FederalAndStateProjectsPage9Line30" display="     Total Federal and State Projects (lines 17 and 29)" xr:uid="{00000000-0004-0000-0800-000001000000}"/>
    <hyperlink ref="A21:C22" location="ImpactAidandOtherFederalProjects" display="13__ Impact Aid" xr:uid="{00000000-0004-0000-0800-000002000000}"/>
    <hyperlink ref="A25:C25" location="ImpactAidandOtherFederalProjects" display="Total COVID-19 federal relief projects included in line 17" xr:uid="{00000000-0004-0000-0800-000003000000}"/>
    <hyperlink ref="F3" location="FederalAndStateProjectsAdjustedBeginningProjectBalance" display="Adjusted" xr:uid="{00000000-0004-0000-0800-000004000000}"/>
    <hyperlink ref="F4" location="FederalAndStateProjectsAdjustedBeginningProjectBalance" display="Beginning" xr:uid="{00000000-0004-0000-0800-000005000000}"/>
    <hyperlink ref="F5" location="FederalAndStateProjectsAdjustedBeginningProjectBalance" display="Project Balance" xr:uid="{00000000-0004-0000-0800-000006000000}"/>
  </hyperlinks>
  <pageMargins left="0.75" right="0.25" top="0.25" bottom="0.25" header="0.5" footer="0.15"/>
  <pageSetup paperSize="5" scale="92" orientation="landscape" r:id="rId1"/>
  <headerFooter>
    <oddFooter>&amp;LRev. 8/24 Arizona Department of Education and Auditor General&amp;CFY 2024</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8385876d-3ffd-449d-b709-a8df02b96ae7">
      <Terms xmlns="http://schemas.microsoft.com/office/infopath/2007/PartnerControls"/>
    </lcf76f155ced4ddcb4097134ff3c332f>
    <TaxCatchAll xmlns="ffcdc2e4-c8f2-4bf7-ab1d-ea300bde3fd8" xsi:nil="true"/>
  </documentManagement>
</p:properties>
</file>

<file path=customXml/item2.xml><?xml version="1.0" encoding="utf-8"?>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70CC293A09E046BE89913D5D7A0855" ma:contentTypeVersion="13" ma:contentTypeDescription="Create a new document." ma:contentTypeScope="" ma:versionID="798dea16ed758de3799db7189bd5c9d4">
  <xsd:schema xmlns:xsd="http://www.w3.org/2001/XMLSchema" xmlns:xs="http://www.w3.org/2001/XMLSchema" xmlns:p="http://schemas.microsoft.com/office/2006/metadata/properties" xmlns:ns2="8385876d-3ffd-449d-b709-a8df02b96ae7" xmlns:ns3="ffcdc2e4-c8f2-4bf7-ab1d-ea300bde3fd8" targetNamespace="http://schemas.microsoft.com/office/2006/metadata/properties" ma:root="true" ma:fieldsID="bd853b57da55c3c911dd2045b9586b0a" ns2:_="" ns3:_="">
    <xsd:import namespace="8385876d-3ffd-449d-b709-a8df02b96ae7"/>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5876d-3ffd-449d-b709-a8df02b96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B4F38B-0799-4886-B61C-8DBB46B47F73}">
  <ds:schemaRefs>
    <ds:schemaRef ds:uri="http://www.w3.org/XML/1998/namespace"/>
    <ds:schemaRef ds:uri="http://purl.org/dc/terms/"/>
    <ds:schemaRef ds:uri="http://schemas.openxmlformats.org/package/2006/metadata/core-properties"/>
    <ds:schemaRef ds:uri="http://purl.org/dc/dcmitype/"/>
    <ds:schemaRef ds:uri="http://schemas.microsoft.com/office/2006/metadata/properties"/>
    <ds:schemaRef ds:uri="http://schemas.microsoft.com/office/2006/documentManagement/types"/>
    <ds:schemaRef ds:uri="http://schemas.microsoft.com/office/infopath/2007/PartnerControls"/>
    <ds:schemaRef ds:uri="ffcdc2e4-c8f2-4bf7-ab1d-ea300bde3fd8"/>
    <ds:schemaRef ds:uri="8385876d-3ffd-449d-b709-a8df02b96ae7"/>
    <ds:schemaRef ds:uri="http://purl.org/dc/elements/1.1/"/>
  </ds:schemaRefs>
</ds:datastoreItem>
</file>

<file path=customXml/itemProps2.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3.xml><?xml version="1.0" encoding="utf-8"?>
<ds:datastoreItem xmlns:ds="http://schemas.openxmlformats.org/officeDocument/2006/customXml" ds:itemID="{39EE2D3E-3671-4873-A941-EAD2EB9B14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5876d-3ffd-449d-b709-a8df02b96ae7"/>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18</vt:i4>
      </vt:variant>
      <vt:variant>
        <vt:lpstr>Named Ranges</vt:lpstr>
      </vt:variant>
      <vt:variant>
        <vt:i4>183</vt:i4>
      </vt:variant>
    </vt:vector>
  </HeadingPairs>
  <TitlesOfParts>
    <vt:vector size="201" baseType="lpstr">
      <vt:lpstr>Cover Page</vt:lpstr>
      <vt:lpstr>Page 1</vt:lpstr>
      <vt:lpstr>Page 2</vt:lpstr>
      <vt:lpstr>Page 3</vt:lpstr>
      <vt:lpstr>Page 4</vt:lpstr>
      <vt:lpstr>Page 5</vt:lpstr>
      <vt:lpstr>Page 6</vt:lpstr>
      <vt:lpstr>Page 7</vt:lpstr>
      <vt:lpstr>Page 8</vt:lpstr>
      <vt:lpstr>Page 9</vt:lpstr>
      <vt:lpstr>Page 10</vt:lpstr>
      <vt:lpstr>Summary</vt:lpstr>
      <vt:lpstr>Project balance reserves</vt:lpstr>
      <vt:lpstr>School listing</vt:lpstr>
      <vt:lpstr>Alerts</vt:lpstr>
      <vt:lpstr>Instructions</vt:lpstr>
      <vt:lpstr>Accounting data</vt:lpstr>
      <vt:lpstr>Calculations</vt:lpstr>
      <vt:lpstr>Account</vt:lpstr>
      <vt:lpstr>Accounting_Data_Tab</vt:lpstr>
      <vt:lpstr>ActualTotalFederalAndStateProjects</vt:lpstr>
      <vt:lpstr>ActualTotalInstImpExp</vt:lpstr>
      <vt:lpstr>AddlInstrImprProjEndBal</vt:lpstr>
      <vt:lpstr>AdjustedBeginningProjectBalance</vt:lpstr>
      <vt:lpstr>AllDisabilityClassifications</vt:lpstr>
      <vt:lpstr>ArizonaIndustryCredentialsIncentive</vt:lpstr>
      <vt:lpstr>AuditServices</vt:lpstr>
      <vt:lpstr>AverageTeacherSalary</vt:lpstr>
      <vt:lpstr>BegProjectBalances</vt:lpstr>
      <vt:lpstr>CapitalAcquisitions</vt:lpstr>
      <vt:lpstr>CapitalAcquisitionsLine5</vt:lpstr>
      <vt:lpstr>CashandInvestments</vt:lpstr>
      <vt:lpstr>CashBal</vt:lpstr>
      <vt:lpstr>CIP1072EndBal</vt:lpstr>
      <vt:lpstr>ClssrmSitepg3</vt:lpstr>
      <vt:lpstr>CSPlines122615</vt:lpstr>
      <vt:lpstr>CSPlines4914</vt:lpstr>
      <vt:lpstr>CSPPropertyPayments</vt:lpstr>
      <vt:lpstr>CurrentExpensesByCategory</vt:lpstr>
      <vt:lpstr>CurrentExpensesbyCategoryLines7and8</vt:lpstr>
      <vt:lpstr>DebtService</vt:lpstr>
      <vt:lpstr>District_Name</vt:lpstr>
      <vt:lpstr>ExpensesPage2</vt:lpstr>
      <vt:lpstr>FederalAndStateProjectsAdjustedBeginningProjectBalance</vt:lpstr>
      <vt:lpstr>FederalAndStateProjectsPage2</vt:lpstr>
      <vt:lpstr>FederalAndStateProjectsPage9</vt:lpstr>
      <vt:lpstr>FederalAndStateProjectsPage9Line30</vt:lpstr>
      <vt:lpstr>Food_Service_1600</vt:lpstr>
      <vt:lpstr>FP11001130EndBal</vt:lpstr>
      <vt:lpstr>FP11401150EndBal</vt:lpstr>
      <vt:lpstr>FP1160EndBal</vt:lpstr>
      <vt:lpstr>FP11701180EndBal</vt:lpstr>
      <vt:lpstr>FP1190EndBal</vt:lpstr>
      <vt:lpstr>FP1200EndBal</vt:lpstr>
      <vt:lpstr>FP1210EndBal</vt:lpstr>
      <vt:lpstr>FP1220EndBal</vt:lpstr>
      <vt:lpstr>FP1230EndBal</vt:lpstr>
      <vt:lpstr>FP1240EndBal</vt:lpstr>
      <vt:lpstr>FP1250EndBal</vt:lpstr>
      <vt:lpstr>FP1260EndBal</vt:lpstr>
      <vt:lpstr>FP1280EndBal</vt:lpstr>
      <vt:lpstr>FP1290EndBal</vt:lpstr>
      <vt:lpstr>FP1300EndBal</vt:lpstr>
      <vt:lpstr>FP13101399EndBal</vt:lpstr>
      <vt:lpstr>FP13XXImpactAidEndBal</vt:lpstr>
      <vt:lpstr>FullTimeEquivalentTeachers</vt:lpstr>
      <vt:lpstr>GeneralInstructions</vt:lpstr>
      <vt:lpstr>GeneralPage1</vt:lpstr>
      <vt:lpstr>GeneralPage10</vt:lpstr>
      <vt:lpstr>ImpactAidandOtherFederalProjects</vt:lpstr>
      <vt:lpstr>InvestmentInCapitalAssets</vt:lpstr>
      <vt:lpstr>InvestmentInCapitalAssetsLine5</vt:lpstr>
      <vt:lpstr>LongandShortTermDebt</vt:lpstr>
      <vt:lpstr>NameCountyCTDSNumber</vt:lpstr>
      <vt:lpstr>Page10DebtServiceDetail</vt:lpstr>
      <vt:lpstr>Page10FY20to23Exp</vt:lpstr>
      <vt:lpstr>Page10FY24Exp</vt:lpstr>
      <vt:lpstr>Page10General</vt:lpstr>
      <vt:lpstr>Page10OtherLine</vt:lpstr>
      <vt:lpstr>Page10PPP</vt:lpstr>
      <vt:lpstr>Page10projects</vt:lpstr>
      <vt:lpstr>Page10ProjectsLine1</vt:lpstr>
      <vt:lpstr>Page10ProjectsLine2</vt:lpstr>
      <vt:lpstr>Page10ProjectsLine3</vt:lpstr>
      <vt:lpstr>Page10ProjectsLine4</vt:lpstr>
      <vt:lpstr>Page10ProjectsLine5</vt:lpstr>
      <vt:lpstr>Page10ProjectsLine6</vt:lpstr>
      <vt:lpstr>Page10PropertyDisbursement</vt:lpstr>
      <vt:lpstr>Page10PropertyDisbursementDetail</vt:lpstr>
      <vt:lpstr>Page10Remaining</vt:lpstr>
      <vt:lpstr>Page10TechDetail</vt:lpstr>
      <vt:lpstr>Page10TechDetailLine7</vt:lpstr>
      <vt:lpstr>Page10TotalAward</vt:lpstr>
      <vt:lpstr>Alerts!Print_Area</vt:lpstr>
      <vt:lpstr>'Cover Page'!Print_Area</vt:lpstr>
      <vt:lpstr>Instructions!Print_Area</vt:lpstr>
      <vt:lpstr>'Page 1'!Print_Area</vt:lpstr>
      <vt:lpstr>'Page 10'!Print_Area</vt:lpstr>
      <vt:lpstr>'Page 2'!Print_Area</vt:lpstr>
      <vt:lpstr>'Page 3'!Print_Area</vt:lpstr>
      <vt:lpstr>'Page 4'!Print_Area</vt:lpstr>
      <vt:lpstr>'Page 6'!Print_Area</vt:lpstr>
      <vt:lpstr>'Page 7'!Print_Area</vt:lpstr>
      <vt:lpstr>'Page 8'!Print_Area</vt:lpstr>
      <vt:lpstr>'Page 9'!Print_Area</vt:lpstr>
      <vt:lpstr>'Project balance reserves'!Print_Area</vt:lpstr>
      <vt:lpstr>Summary!Print_Area</vt:lpstr>
      <vt:lpstr>PriorYearSalary</vt:lpstr>
      <vt:lpstr>PropertyDisbursements</vt:lpstr>
      <vt:lpstr>PropertyDisbursementsByType</vt:lpstr>
      <vt:lpstr>ReserveBalSecA</vt:lpstr>
      <vt:lpstr>ReserveBalSecAl1</vt:lpstr>
      <vt:lpstr>ReserveBalSecAl2</vt:lpstr>
      <vt:lpstr>ReserveBalSecAl3</vt:lpstr>
      <vt:lpstr>ReserveBalSecAl3a</vt:lpstr>
      <vt:lpstr>ReserveBalSecAl3b</vt:lpstr>
      <vt:lpstr>ReserveBalSecAl3c</vt:lpstr>
      <vt:lpstr>ReserveBalSecAl3d</vt:lpstr>
      <vt:lpstr>ReserveBalSecAl3e</vt:lpstr>
      <vt:lpstr>ReserveBalSecAl3f</vt:lpstr>
      <vt:lpstr>ReserveBalSecAl3g</vt:lpstr>
      <vt:lpstr>ReserveBalSecB</vt:lpstr>
      <vt:lpstr>ReserveBalSecBl4</vt:lpstr>
      <vt:lpstr>ReserveBalSecBl5</vt:lpstr>
      <vt:lpstr>Restricted3200</vt:lpstr>
      <vt:lpstr>Revenue_From_Selected_Federal_Sources</vt:lpstr>
      <vt:lpstr>School_Listing_Tab</vt:lpstr>
      <vt:lpstr>Section_C_Transportation</vt:lpstr>
      <vt:lpstr>SEIP1071EndBal</vt:lpstr>
      <vt:lpstr>SP1000ClassSiteProj</vt:lpstr>
      <vt:lpstr>SP1000CompInstrProj</vt:lpstr>
      <vt:lpstr>SP1000FedStProj</vt:lpstr>
      <vt:lpstr>SP1000InstrImpProj</vt:lpstr>
      <vt:lpstr>SP1000P100F1000</vt:lpstr>
      <vt:lpstr>SP1000P100F2100</vt:lpstr>
      <vt:lpstr>SP1000P100F2200</vt:lpstr>
      <vt:lpstr>SP1000P100F2300</vt:lpstr>
      <vt:lpstr>SP1000P100F2400</vt:lpstr>
      <vt:lpstr>SP1000P100F2500</vt:lpstr>
      <vt:lpstr>SP1000P100F2600</vt:lpstr>
      <vt:lpstr>SP1000P100F2900</vt:lpstr>
      <vt:lpstr>SP1000P100F3000</vt:lpstr>
      <vt:lpstr>SP1000P100F4000</vt:lpstr>
      <vt:lpstr>SP1000P100F5000</vt:lpstr>
      <vt:lpstr>SP1000P200F1000</vt:lpstr>
      <vt:lpstr>SP1000P200F2100</vt:lpstr>
      <vt:lpstr>SP1000P200F2200</vt:lpstr>
      <vt:lpstr>SP1000P200F2300</vt:lpstr>
      <vt:lpstr>SP1000P200F2400</vt:lpstr>
      <vt:lpstr>SP1000P200F2500</vt:lpstr>
      <vt:lpstr>SP1000P200F2600</vt:lpstr>
      <vt:lpstr>SP1000P200F2900</vt:lpstr>
      <vt:lpstr>SP1000P200F3000</vt:lpstr>
      <vt:lpstr>SP1000P200F4000</vt:lpstr>
      <vt:lpstr>SP1000P200F5000</vt:lpstr>
      <vt:lpstr>SP1000P400</vt:lpstr>
      <vt:lpstr>SP1000P530</vt:lpstr>
      <vt:lpstr>SP1000P540</vt:lpstr>
      <vt:lpstr>SP1000P550</vt:lpstr>
      <vt:lpstr>SP1000P610</vt:lpstr>
      <vt:lpstr>SP1000P620</vt:lpstr>
      <vt:lpstr>SP1000P630700800900</vt:lpstr>
      <vt:lpstr>SP1000StruEngImmProj</vt:lpstr>
      <vt:lpstr>SpecialEdProgramsByType</vt:lpstr>
      <vt:lpstr>StP1400EndBal</vt:lpstr>
      <vt:lpstr>StP1410EndBal</vt:lpstr>
      <vt:lpstr>StP1420EndBal</vt:lpstr>
      <vt:lpstr>StP1425EndBal</vt:lpstr>
      <vt:lpstr>StP1430EndBal</vt:lpstr>
      <vt:lpstr>StP1435EndBal</vt:lpstr>
      <vt:lpstr>StP1450EndBal</vt:lpstr>
      <vt:lpstr>StP1456EndBal</vt:lpstr>
      <vt:lpstr>StP1460EndBal</vt:lpstr>
      <vt:lpstr>StP1465EndBal</vt:lpstr>
      <vt:lpstr>StP14701499EndBal</vt:lpstr>
      <vt:lpstr>StP14XXEndBal</vt:lpstr>
      <vt:lpstr>SumADM</vt:lpstr>
      <vt:lpstr>SumGen</vt:lpstr>
      <vt:lpstr>SupportServicesInstructionDetail</vt:lpstr>
      <vt:lpstr>TeacherSalaries</vt:lpstr>
      <vt:lpstr>TeacherSalariesLine1</vt:lpstr>
      <vt:lpstr>TeacherSalariesLine2</vt:lpstr>
      <vt:lpstr>TeacherSalariesLine3</vt:lpstr>
      <vt:lpstr>TeacherSalariesLine4</vt:lpstr>
      <vt:lpstr>TeacherSalariesLine5</vt:lpstr>
      <vt:lpstr>TechnologyDetail</vt:lpstr>
      <vt:lpstr>TotalActualGiftedExpenses</vt:lpstr>
      <vt:lpstr>TotalCIP6100</vt:lpstr>
      <vt:lpstr>TotalCIP6200</vt:lpstr>
      <vt:lpstr>TotalCIP630064006500</vt:lpstr>
      <vt:lpstr>TotalCIP6600</vt:lpstr>
      <vt:lpstr>TotalCIP6800</vt:lpstr>
      <vt:lpstr>TotalSEIP6100</vt:lpstr>
      <vt:lpstr>TotalSEIP6200</vt:lpstr>
      <vt:lpstr>TotalSEIP630064006500</vt:lpstr>
      <vt:lpstr>TotalSEIP6600</vt:lpstr>
      <vt:lpstr>TotalSEIP6800</vt:lpstr>
      <vt:lpstr>TotExpSchoolwide</vt:lpstr>
      <vt:lpstr>Unrestricted_Restricted_4100_4300</vt:lpstr>
      <vt:lpstr>Unrestricted_Restricted_4200_4500</vt:lpstr>
      <vt:lpstr>UtilitiesandEnergyServices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AFR</dc:title>
  <dc:subject/>
  <dc:creator>AZ Auditor General</dc:creator>
  <cp:keywords/>
  <dc:description/>
  <cp:lastModifiedBy>Kallirae Reynolds</cp:lastModifiedBy>
  <cp:lastPrinted>2024-08-15T21:26:38Z</cp:lastPrinted>
  <dcterms:created xsi:type="dcterms:W3CDTF">1997-10-09T16:56:13Z</dcterms:created>
  <dcterms:modified xsi:type="dcterms:W3CDTF">2026-06-24T19:01:11Z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2024</vt:lpwstr>
  </property>
  <property fmtid="{D5CDD505-2E9C-101B-9397-08002B2CF9AE}" pid="3" name="BudgetTypeID">
    <vt:lpwstr>11</vt:lpwstr>
  </property>
  <property fmtid="{D5CDD505-2E9C-101B-9397-08002B2CF9AE}" pid="4" name="SchoolBySchool">
    <vt:lpwstr>0</vt:lpwstr>
  </property>
  <property fmtid="{D5CDD505-2E9C-101B-9397-08002B2CF9AE}" pid="5" name="Password">
    <vt:lpwstr>DBacks123</vt:lpwstr>
  </property>
  <property fmtid="{D5CDD505-2E9C-101B-9397-08002B2CF9AE}" pid="6" name="ContentTypeId">
    <vt:lpwstr>0x0101001070CC293A09E046BE89913D5D7A0855</vt:lpwstr>
  </property>
  <property fmtid="{D5CDD505-2E9C-101B-9397-08002B2CF9AE}" pid="7" name="MediaServiceImageTags">
    <vt:lpwstr/>
  </property>
  <property fmtid="{D5CDD505-2E9C-101B-9397-08002B2CF9AE}" pid="8" name="ADEGUID">
    <vt:lpwstr>FA1AF65C-EDB5-44C1-8753-ACDA7573233C</vt:lpwstr>
  </property>
</Properties>
</file>